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frankgentile/Documents/MarchMadness/"/>
    </mc:Choice>
  </mc:AlternateContent>
  <xr:revisionPtr revIDLastSave="0" documentId="13_ncr:1_{1310BB20-2337-2946-9B71-35CF03325782}" xr6:coauthVersionLast="47" xr6:coauthVersionMax="47" xr10:uidLastSave="{00000000-0000-0000-0000-000000000000}"/>
  <bookViews>
    <workbookView xWindow="31700" yWindow="-3440" windowWidth="27580" windowHeight="17500" firstSheet="3" activeTab="1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2" i="18" l="1"/>
  <c r="P2" i="18"/>
  <c r="L2" i="18"/>
  <c r="J2" i="18"/>
  <c r="H2" i="18"/>
  <c r="F2" i="18"/>
  <c r="E2" i="18"/>
  <c r="D2" i="18"/>
  <c r="C2" i="18"/>
  <c r="B2" i="18"/>
  <c r="A2" i="18"/>
  <c r="R2" i="17"/>
  <c r="P2" i="17"/>
  <c r="L2" i="17"/>
  <c r="J2" i="17"/>
  <c r="H2" i="17"/>
  <c r="F2" i="17"/>
  <c r="E2" i="17"/>
  <c r="D2" i="17"/>
  <c r="C2" i="17"/>
  <c r="B2" i="17"/>
  <c r="A2" i="17"/>
  <c r="R2" i="16"/>
  <c r="P2" i="16"/>
  <c r="L2" i="16"/>
  <c r="J2" i="16"/>
  <c r="H2" i="16"/>
  <c r="F2" i="16"/>
  <c r="E2" i="16"/>
  <c r="D2" i="16"/>
  <c r="C2" i="16"/>
  <c r="B2" i="16"/>
  <c r="A2" i="16"/>
  <c r="R2" i="15"/>
  <c r="P2" i="15"/>
  <c r="L2" i="15"/>
  <c r="J2" i="15"/>
  <c r="H2" i="15"/>
  <c r="F2" i="15"/>
  <c r="E2" i="15"/>
  <c r="D2" i="15"/>
  <c r="C2" i="15"/>
  <c r="B2" i="15"/>
  <c r="A2" i="15"/>
  <c r="R2" i="14"/>
  <c r="P2" i="14"/>
  <c r="L2" i="14"/>
  <c r="J2" i="14"/>
  <c r="H2" i="14"/>
  <c r="F2" i="14"/>
  <c r="E2" i="14"/>
  <c r="D2" i="14"/>
  <c r="C2" i="14"/>
  <c r="B2" i="14"/>
  <c r="A2" i="14"/>
  <c r="R2" i="13"/>
  <c r="P2" i="13"/>
  <c r="L2" i="13"/>
  <c r="J2" i="13"/>
  <c r="H2" i="13"/>
  <c r="F2" i="13"/>
  <c r="E2" i="13"/>
  <c r="D2" i="13"/>
  <c r="C2" i="13"/>
  <c r="B2" i="13"/>
  <c r="A2" i="13"/>
  <c r="R2" i="12"/>
  <c r="P2" i="12"/>
  <c r="L2" i="12"/>
  <c r="J2" i="12"/>
  <c r="H2" i="12"/>
  <c r="F2" i="12"/>
  <c r="E2" i="12"/>
  <c r="D2" i="12"/>
  <c r="C2" i="12"/>
  <c r="B2" i="12"/>
  <c r="A2" i="12"/>
  <c r="R2" i="11"/>
  <c r="P2" i="11"/>
  <c r="L2" i="11"/>
  <c r="J2" i="11"/>
  <c r="H2" i="11"/>
  <c r="F2" i="11"/>
  <c r="E2" i="11"/>
  <c r="D2" i="11"/>
  <c r="C2" i="11"/>
  <c r="B2" i="11"/>
  <c r="A2" i="11"/>
  <c r="R2" i="10"/>
  <c r="P2" i="10"/>
  <c r="L2" i="10"/>
  <c r="J2" i="10"/>
  <c r="H2" i="10"/>
  <c r="F2" i="10"/>
  <c r="E2" i="10"/>
  <c r="D2" i="10"/>
  <c r="C2" i="10"/>
  <c r="B2" i="10"/>
  <c r="A2" i="10"/>
  <c r="R2" i="9"/>
  <c r="P2" i="9"/>
  <c r="L2" i="9"/>
  <c r="J2" i="9"/>
  <c r="H2" i="9"/>
  <c r="F2" i="9"/>
  <c r="E2" i="9"/>
  <c r="D2" i="9"/>
  <c r="C2" i="9"/>
  <c r="B2" i="9"/>
  <c r="A2" i="9"/>
  <c r="R2" i="8"/>
  <c r="P2" i="8"/>
  <c r="L2" i="8"/>
  <c r="J2" i="8"/>
  <c r="H2" i="8"/>
  <c r="F2" i="8"/>
  <c r="E2" i="8"/>
  <c r="D2" i="8"/>
  <c r="C2" i="8"/>
  <c r="B2" i="8"/>
  <c r="A2" i="8"/>
  <c r="R2" i="7"/>
  <c r="P2" i="7"/>
  <c r="L2" i="7"/>
  <c r="J2" i="7"/>
  <c r="H2" i="7"/>
  <c r="F2" i="7"/>
  <c r="E2" i="7"/>
  <c r="D2" i="7"/>
  <c r="C2" i="7"/>
  <c r="B2" i="7"/>
  <c r="A2" i="7"/>
  <c r="R2" i="6"/>
  <c r="P2" i="6"/>
  <c r="L2" i="6"/>
  <c r="J2" i="6"/>
  <c r="H2" i="6"/>
  <c r="F2" i="6"/>
  <c r="E2" i="6"/>
  <c r="D2" i="6"/>
  <c r="C2" i="6"/>
  <c r="B2" i="6"/>
  <c r="A2" i="6"/>
  <c r="R2" i="5"/>
  <c r="P2" i="5"/>
  <c r="L2" i="5"/>
  <c r="J2" i="5"/>
  <c r="H2" i="5"/>
  <c r="F2" i="5"/>
  <c r="E2" i="5"/>
  <c r="D2" i="5"/>
  <c r="C2" i="5"/>
  <c r="B2" i="5"/>
  <c r="A2" i="5"/>
  <c r="R2" i="4"/>
  <c r="P2" i="4"/>
  <c r="L2" i="4"/>
  <c r="J2" i="4"/>
  <c r="H2" i="4"/>
  <c r="F2" i="4"/>
  <c r="E2" i="4"/>
  <c r="D2" i="4"/>
  <c r="C2" i="4"/>
  <c r="B2" i="4"/>
  <c r="A2" i="4"/>
  <c r="R2" i="3"/>
  <c r="P2" i="3"/>
  <c r="L2" i="3"/>
  <c r="J2" i="3"/>
  <c r="H2" i="3"/>
  <c r="F2" i="3"/>
  <c r="E2" i="3"/>
  <c r="D2" i="3"/>
  <c r="C2" i="3"/>
  <c r="B2" i="3"/>
  <c r="A2" i="3"/>
  <c r="R2" i="2"/>
  <c r="P2" i="2"/>
  <c r="L2" i="2"/>
  <c r="J2" i="2"/>
  <c r="H2" i="2"/>
  <c r="F2" i="2"/>
  <c r="E2" i="2"/>
  <c r="D2" i="2"/>
  <c r="C2" i="2"/>
  <c r="B2" i="2"/>
  <c r="A2" i="2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D371" i="18"/>
  <c r="C371" i="18"/>
  <c r="B371" i="18"/>
  <c r="A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D370" i="18"/>
  <c r="C370" i="18"/>
  <c r="B370" i="18"/>
  <c r="A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D369" i="18"/>
  <c r="C369" i="18"/>
  <c r="B369" i="18"/>
  <c r="A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D368" i="18"/>
  <c r="C368" i="18"/>
  <c r="B368" i="18"/>
  <c r="A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D367" i="18"/>
  <c r="C367" i="18"/>
  <c r="B367" i="18"/>
  <c r="A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D366" i="18"/>
  <c r="C366" i="18"/>
  <c r="B366" i="18"/>
  <c r="A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D365" i="18"/>
  <c r="C365" i="18"/>
  <c r="B365" i="18"/>
  <c r="A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D364" i="18"/>
  <c r="C364" i="18"/>
  <c r="B364" i="18"/>
  <c r="A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D363" i="18"/>
  <c r="C363" i="18"/>
  <c r="B363" i="18"/>
  <c r="A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D362" i="18"/>
  <c r="C362" i="18"/>
  <c r="B362" i="18"/>
  <c r="A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D361" i="18"/>
  <c r="C361" i="18"/>
  <c r="B361" i="18"/>
  <c r="A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D360" i="18"/>
  <c r="C360" i="18"/>
  <c r="B360" i="18"/>
  <c r="A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D359" i="18"/>
  <c r="C359" i="18"/>
  <c r="B359" i="18"/>
  <c r="A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D358" i="18"/>
  <c r="C358" i="18"/>
  <c r="B358" i="18"/>
  <c r="A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D357" i="18"/>
  <c r="C357" i="18"/>
  <c r="B357" i="18"/>
  <c r="A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D356" i="18"/>
  <c r="C356" i="18"/>
  <c r="B356" i="18"/>
  <c r="A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D355" i="18"/>
  <c r="C355" i="18"/>
  <c r="B355" i="18"/>
  <c r="A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D354" i="18"/>
  <c r="C354" i="18"/>
  <c r="B354" i="18"/>
  <c r="A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D353" i="18"/>
  <c r="C353" i="18"/>
  <c r="B353" i="18"/>
  <c r="A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D352" i="18"/>
  <c r="C352" i="18"/>
  <c r="B352" i="18"/>
  <c r="A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D351" i="18"/>
  <c r="C351" i="18"/>
  <c r="B351" i="18"/>
  <c r="A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D350" i="18"/>
  <c r="C350" i="18"/>
  <c r="B350" i="18"/>
  <c r="A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D349" i="18"/>
  <c r="C349" i="18"/>
  <c r="B349" i="18"/>
  <c r="A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D348" i="18"/>
  <c r="C348" i="18"/>
  <c r="B348" i="18"/>
  <c r="A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D347" i="18"/>
  <c r="C347" i="18"/>
  <c r="B347" i="18"/>
  <c r="A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D346" i="18"/>
  <c r="C346" i="18"/>
  <c r="B346" i="18"/>
  <c r="A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D345" i="18"/>
  <c r="C345" i="18"/>
  <c r="B345" i="18"/>
  <c r="A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D344" i="18"/>
  <c r="C344" i="18"/>
  <c r="B344" i="18"/>
  <c r="A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D343" i="18"/>
  <c r="C343" i="18"/>
  <c r="B343" i="18"/>
  <c r="A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D342" i="18"/>
  <c r="C342" i="18"/>
  <c r="B342" i="18"/>
  <c r="A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D341" i="18"/>
  <c r="C341" i="18"/>
  <c r="B341" i="18"/>
  <c r="A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D340" i="18"/>
  <c r="C340" i="18"/>
  <c r="B340" i="18"/>
  <c r="A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D339" i="18"/>
  <c r="C339" i="18"/>
  <c r="B339" i="18"/>
  <c r="A339" i="18"/>
  <c r="T338" i="18"/>
  <c r="R338" i="18"/>
  <c r="P338" i="18"/>
  <c r="N338" i="18"/>
  <c r="L338" i="18"/>
  <c r="J338" i="18"/>
  <c r="H338" i="18"/>
  <c r="F338" i="18"/>
  <c r="E338" i="18"/>
  <c r="D338" i="18"/>
  <c r="C338" i="18"/>
  <c r="B338" i="18"/>
  <c r="A338" i="18"/>
  <c r="T337" i="18"/>
  <c r="N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D336" i="18"/>
  <c r="C336" i="18"/>
  <c r="B336" i="18"/>
  <c r="A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D335" i="18"/>
  <c r="C335" i="18"/>
  <c r="B335" i="18"/>
  <c r="A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D334" i="18"/>
  <c r="C334" i="18"/>
  <c r="B334" i="18"/>
  <c r="A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D333" i="18"/>
  <c r="C333" i="18"/>
  <c r="B333" i="18"/>
  <c r="A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D332" i="18"/>
  <c r="C332" i="18"/>
  <c r="B332" i="18"/>
  <c r="A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D331" i="18"/>
  <c r="C331" i="18"/>
  <c r="B331" i="18"/>
  <c r="A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D330" i="18"/>
  <c r="C330" i="18"/>
  <c r="B330" i="18"/>
  <c r="A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D329" i="18"/>
  <c r="C329" i="18"/>
  <c r="B329" i="18"/>
  <c r="A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D328" i="18"/>
  <c r="C328" i="18"/>
  <c r="B328" i="18"/>
  <c r="A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D327" i="18"/>
  <c r="C327" i="18"/>
  <c r="B327" i="18"/>
  <c r="A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D326" i="18"/>
  <c r="C326" i="18"/>
  <c r="B326" i="18"/>
  <c r="A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D325" i="18"/>
  <c r="C325" i="18"/>
  <c r="B325" i="18"/>
  <c r="A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D324" i="18"/>
  <c r="C324" i="18"/>
  <c r="B324" i="18"/>
  <c r="A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D323" i="18"/>
  <c r="C323" i="18"/>
  <c r="B323" i="18"/>
  <c r="A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D322" i="18"/>
  <c r="C322" i="18"/>
  <c r="B322" i="18"/>
  <c r="A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D321" i="18"/>
  <c r="C321" i="18"/>
  <c r="B321" i="18"/>
  <c r="A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D320" i="18"/>
  <c r="C320" i="18"/>
  <c r="B320" i="18"/>
  <c r="A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D319" i="18"/>
  <c r="C319" i="18"/>
  <c r="B319" i="18"/>
  <c r="A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D318" i="18"/>
  <c r="C318" i="18"/>
  <c r="B318" i="18"/>
  <c r="A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D317" i="18"/>
  <c r="C317" i="18"/>
  <c r="B317" i="18"/>
  <c r="A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D316" i="18"/>
  <c r="C316" i="18"/>
  <c r="B316" i="18"/>
  <c r="A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D315" i="18"/>
  <c r="C315" i="18"/>
  <c r="B315" i="18"/>
  <c r="A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D314" i="18"/>
  <c r="C314" i="18"/>
  <c r="B314" i="18"/>
  <c r="A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D313" i="18"/>
  <c r="C313" i="18"/>
  <c r="B313" i="18"/>
  <c r="A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D312" i="18"/>
  <c r="C312" i="18"/>
  <c r="B312" i="18"/>
  <c r="A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D311" i="18"/>
  <c r="C311" i="18"/>
  <c r="B311" i="18"/>
  <c r="A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D310" i="18"/>
  <c r="C310" i="18"/>
  <c r="B310" i="18"/>
  <c r="A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D309" i="18"/>
  <c r="C309" i="18"/>
  <c r="B309" i="18"/>
  <c r="A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D308" i="18"/>
  <c r="C308" i="18"/>
  <c r="B308" i="18"/>
  <c r="A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D307" i="18"/>
  <c r="C307" i="18"/>
  <c r="B307" i="18"/>
  <c r="A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D306" i="18"/>
  <c r="C306" i="18"/>
  <c r="B306" i="18"/>
  <c r="A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D305" i="18"/>
  <c r="C305" i="18"/>
  <c r="B305" i="18"/>
  <c r="A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D304" i="18"/>
  <c r="C304" i="18"/>
  <c r="B304" i="18"/>
  <c r="A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D303" i="18"/>
  <c r="C303" i="18"/>
  <c r="B303" i="18"/>
  <c r="A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D302" i="18"/>
  <c r="C302" i="18"/>
  <c r="B302" i="18"/>
  <c r="A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D301" i="18"/>
  <c r="C301" i="18"/>
  <c r="B301" i="18"/>
  <c r="A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D300" i="18"/>
  <c r="C300" i="18"/>
  <c r="B300" i="18"/>
  <c r="A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D299" i="18"/>
  <c r="C299" i="18"/>
  <c r="B299" i="18"/>
  <c r="A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D298" i="18"/>
  <c r="C298" i="18"/>
  <c r="B298" i="18"/>
  <c r="A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D297" i="18"/>
  <c r="C297" i="18"/>
  <c r="B297" i="18"/>
  <c r="A297" i="18"/>
  <c r="T296" i="18"/>
  <c r="R296" i="18"/>
  <c r="P296" i="18"/>
  <c r="N296" i="18"/>
  <c r="L296" i="18"/>
  <c r="J296" i="18"/>
  <c r="H296" i="18"/>
  <c r="F296" i="18"/>
  <c r="E296" i="18"/>
  <c r="D296" i="18"/>
  <c r="C296" i="18"/>
  <c r="B296" i="18"/>
  <c r="A296" i="18"/>
  <c r="T295" i="18"/>
  <c r="N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D294" i="18"/>
  <c r="C294" i="18"/>
  <c r="B294" i="18"/>
  <c r="A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D293" i="18"/>
  <c r="C293" i="18"/>
  <c r="B293" i="18"/>
  <c r="A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D292" i="18"/>
  <c r="C292" i="18"/>
  <c r="B292" i="18"/>
  <c r="A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D291" i="18"/>
  <c r="C291" i="18"/>
  <c r="B291" i="18"/>
  <c r="A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D290" i="18"/>
  <c r="C290" i="18"/>
  <c r="B290" i="18"/>
  <c r="A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D289" i="18"/>
  <c r="C289" i="18"/>
  <c r="B289" i="18"/>
  <c r="A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D288" i="18"/>
  <c r="C288" i="18"/>
  <c r="B288" i="18"/>
  <c r="A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D287" i="18"/>
  <c r="C287" i="18"/>
  <c r="B287" i="18"/>
  <c r="A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D286" i="18"/>
  <c r="C286" i="18"/>
  <c r="B286" i="18"/>
  <c r="A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D285" i="18"/>
  <c r="C285" i="18"/>
  <c r="B285" i="18"/>
  <c r="A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D284" i="18"/>
  <c r="C284" i="18"/>
  <c r="B284" i="18"/>
  <c r="A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D283" i="18"/>
  <c r="C283" i="18"/>
  <c r="B283" i="18"/>
  <c r="A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D282" i="18"/>
  <c r="C282" i="18"/>
  <c r="B282" i="18"/>
  <c r="A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D281" i="18"/>
  <c r="C281" i="18"/>
  <c r="B281" i="18"/>
  <c r="A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D280" i="18"/>
  <c r="C280" i="18"/>
  <c r="B280" i="18"/>
  <c r="A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D279" i="18"/>
  <c r="C279" i="18"/>
  <c r="B279" i="18"/>
  <c r="A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D278" i="18"/>
  <c r="C278" i="18"/>
  <c r="B278" i="18"/>
  <c r="A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D277" i="18"/>
  <c r="C277" i="18"/>
  <c r="B277" i="18"/>
  <c r="A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D276" i="18"/>
  <c r="C276" i="18"/>
  <c r="B276" i="18"/>
  <c r="A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D275" i="18"/>
  <c r="C275" i="18"/>
  <c r="B275" i="18"/>
  <c r="A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D274" i="18"/>
  <c r="C274" i="18"/>
  <c r="B274" i="18"/>
  <c r="A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D273" i="18"/>
  <c r="C273" i="18"/>
  <c r="B273" i="18"/>
  <c r="A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D272" i="18"/>
  <c r="C272" i="18"/>
  <c r="B272" i="18"/>
  <c r="A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D271" i="18"/>
  <c r="C271" i="18"/>
  <c r="B271" i="18"/>
  <c r="A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D270" i="18"/>
  <c r="C270" i="18"/>
  <c r="B270" i="18"/>
  <c r="A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D269" i="18"/>
  <c r="C269" i="18"/>
  <c r="B269" i="18"/>
  <c r="A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D268" i="18"/>
  <c r="C268" i="18"/>
  <c r="B268" i="18"/>
  <c r="A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D267" i="18"/>
  <c r="C267" i="18"/>
  <c r="B267" i="18"/>
  <c r="A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D266" i="18"/>
  <c r="C266" i="18"/>
  <c r="B266" i="18"/>
  <c r="A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D265" i="18"/>
  <c r="C265" i="18"/>
  <c r="B265" i="18"/>
  <c r="A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D264" i="18"/>
  <c r="C264" i="18"/>
  <c r="B264" i="18"/>
  <c r="A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D263" i="18"/>
  <c r="C263" i="18"/>
  <c r="B263" i="18"/>
  <c r="A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D262" i="18"/>
  <c r="C262" i="18"/>
  <c r="B262" i="18"/>
  <c r="A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D261" i="18"/>
  <c r="C261" i="18"/>
  <c r="B261" i="18"/>
  <c r="A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D260" i="18"/>
  <c r="C260" i="18"/>
  <c r="B260" i="18"/>
  <c r="A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D259" i="18"/>
  <c r="C259" i="18"/>
  <c r="B259" i="18"/>
  <c r="A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D258" i="18"/>
  <c r="C258" i="18"/>
  <c r="B258" i="18"/>
  <c r="A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D257" i="18"/>
  <c r="C257" i="18"/>
  <c r="B257" i="18"/>
  <c r="A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D256" i="18"/>
  <c r="C256" i="18"/>
  <c r="B256" i="18"/>
  <c r="A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D255" i="18"/>
  <c r="C255" i="18"/>
  <c r="B255" i="18"/>
  <c r="A255" i="18"/>
  <c r="T254" i="18"/>
  <c r="R254" i="18"/>
  <c r="P254" i="18"/>
  <c r="N254" i="18"/>
  <c r="L254" i="18"/>
  <c r="J254" i="18"/>
  <c r="H254" i="18"/>
  <c r="F254" i="18"/>
  <c r="E254" i="18"/>
  <c r="D254" i="18"/>
  <c r="C254" i="18"/>
  <c r="B254" i="18"/>
  <c r="A254" i="18"/>
  <c r="T253" i="18"/>
  <c r="N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D252" i="18"/>
  <c r="C252" i="18"/>
  <c r="B252" i="18"/>
  <c r="A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D251" i="18"/>
  <c r="C251" i="18"/>
  <c r="B251" i="18"/>
  <c r="A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D250" i="18"/>
  <c r="C250" i="18"/>
  <c r="B250" i="18"/>
  <c r="A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A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D248" i="18"/>
  <c r="C248" i="18"/>
  <c r="B248" i="18"/>
  <c r="A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A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D246" i="18"/>
  <c r="C246" i="18"/>
  <c r="B246" i="18"/>
  <c r="A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A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A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A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A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A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A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D239" i="18"/>
  <c r="C239" i="18"/>
  <c r="B239" i="18"/>
  <c r="A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A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D237" i="18"/>
  <c r="C237" i="18"/>
  <c r="B237" i="18"/>
  <c r="A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A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D235" i="18"/>
  <c r="C235" i="18"/>
  <c r="B235" i="18"/>
  <c r="A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A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A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A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A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A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A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D228" i="18"/>
  <c r="C228" i="18"/>
  <c r="B228" i="18"/>
  <c r="A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A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D226" i="18"/>
  <c r="C226" i="18"/>
  <c r="B226" i="18"/>
  <c r="A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A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A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D223" i="18"/>
  <c r="C223" i="18"/>
  <c r="B223" i="18"/>
  <c r="A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A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A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A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A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A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D217" i="18"/>
  <c r="C217" i="18"/>
  <c r="B217" i="18"/>
  <c r="A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D216" i="18"/>
  <c r="C216" i="18"/>
  <c r="B216" i="18"/>
  <c r="A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D215" i="18"/>
  <c r="C215" i="18"/>
  <c r="B215" i="18"/>
  <c r="A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D214" i="18"/>
  <c r="C214" i="18"/>
  <c r="B214" i="18"/>
  <c r="A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A213" i="18"/>
  <c r="T212" i="18"/>
  <c r="R212" i="18"/>
  <c r="P212" i="18"/>
  <c r="N212" i="18"/>
  <c r="L212" i="18"/>
  <c r="J212" i="18"/>
  <c r="H212" i="18"/>
  <c r="F212" i="18"/>
  <c r="E212" i="18"/>
  <c r="D212" i="18"/>
  <c r="C212" i="18"/>
  <c r="B212" i="18"/>
  <c r="A212" i="18"/>
  <c r="T211" i="18"/>
  <c r="N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A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D209" i="18"/>
  <c r="C209" i="18"/>
  <c r="B209" i="18"/>
  <c r="A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A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A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A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A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A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D203" i="18"/>
  <c r="C203" i="18"/>
  <c r="B203" i="18"/>
  <c r="A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A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A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A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A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D198" i="18"/>
  <c r="C198" i="18"/>
  <c r="B198" i="18"/>
  <c r="A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D197" i="18"/>
  <c r="C197" i="18"/>
  <c r="B197" i="18"/>
  <c r="A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D196" i="18"/>
  <c r="C196" i="18"/>
  <c r="B196" i="18"/>
  <c r="A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D195" i="18"/>
  <c r="C195" i="18"/>
  <c r="B195" i="18"/>
  <c r="A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A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A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A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A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D190" i="18"/>
  <c r="C190" i="18"/>
  <c r="B190" i="18"/>
  <c r="A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A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A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A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A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A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D184" i="18"/>
  <c r="C184" i="18"/>
  <c r="B184" i="18"/>
  <c r="A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A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A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A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A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A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D178" i="18"/>
  <c r="C178" i="18"/>
  <c r="B178" i="18"/>
  <c r="A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D177" i="18"/>
  <c r="C177" i="18"/>
  <c r="B177" i="18"/>
  <c r="A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D176" i="18"/>
  <c r="C176" i="18"/>
  <c r="B176" i="18"/>
  <c r="A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D175" i="18"/>
  <c r="C175" i="18"/>
  <c r="B175" i="18"/>
  <c r="A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D174" i="18"/>
  <c r="C174" i="18"/>
  <c r="B174" i="18"/>
  <c r="A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D173" i="18"/>
  <c r="C173" i="18"/>
  <c r="B173" i="18"/>
  <c r="A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D172" i="18"/>
  <c r="C172" i="18"/>
  <c r="B172" i="18"/>
  <c r="A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D171" i="18"/>
  <c r="C171" i="18"/>
  <c r="B171" i="18"/>
  <c r="A171" i="18"/>
  <c r="T170" i="18"/>
  <c r="R170" i="18"/>
  <c r="P170" i="18"/>
  <c r="N170" i="18"/>
  <c r="L170" i="18"/>
  <c r="J170" i="18"/>
  <c r="H170" i="18"/>
  <c r="F170" i="18"/>
  <c r="E170" i="18"/>
  <c r="D170" i="18"/>
  <c r="C170" i="18"/>
  <c r="B170" i="18"/>
  <c r="A170" i="18"/>
  <c r="T169" i="18"/>
  <c r="N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D168" i="18"/>
  <c r="C168" i="18"/>
  <c r="B168" i="18"/>
  <c r="A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D167" i="18"/>
  <c r="C167" i="18"/>
  <c r="B167" i="18"/>
  <c r="A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D166" i="18"/>
  <c r="C166" i="18"/>
  <c r="B166" i="18"/>
  <c r="A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D165" i="18"/>
  <c r="C165" i="18"/>
  <c r="B165" i="18"/>
  <c r="A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D164" i="18"/>
  <c r="C164" i="18"/>
  <c r="B164" i="18"/>
  <c r="A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D163" i="18"/>
  <c r="C163" i="18"/>
  <c r="B163" i="18"/>
  <c r="A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D162" i="18"/>
  <c r="C162" i="18"/>
  <c r="B162" i="18"/>
  <c r="A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D161" i="18"/>
  <c r="C161" i="18"/>
  <c r="B161" i="18"/>
  <c r="A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D160" i="18"/>
  <c r="C160" i="18"/>
  <c r="B160" i="18"/>
  <c r="A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D159" i="18"/>
  <c r="C159" i="18"/>
  <c r="B159" i="18"/>
  <c r="A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D158" i="18"/>
  <c r="C158" i="18"/>
  <c r="B158" i="18"/>
  <c r="A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D157" i="18"/>
  <c r="C157" i="18"/>
  <c r="B157" i="18"/>
  <c r="A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D156" i="18"/>
  <c r="C156" i="18"/>
  <c r="B156" i="18"/>
  <c r="A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D155" i="18"/>
  <c r="C155" i="18"/>
  <c r="B155" i="18"/>
  <c r="A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D154" i="18"/>
  <c r="C154" i="18"/>
  <c r="B154" i="18"/>
  <c r="A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D153" i="18"/>
  <c r="C153" i="18"/>
  <c r="B153" i="18"/>
  <c r="A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D152" i="18"/>
  <c r="C152" i="18"/>
  <c r="B152" i="18"/>
  <c r="A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D151" i="18"/>
  <c r="C151" i="18"/>
  <c r="B151" i="18"/>
  <c r="A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D150" i="18"/>
  <c r="C150" i="18"/>
  <c r="B150" i="18"/>
  <c r="A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D149" i="18"/>
  <c r="C149" i="18"/>
  <c r="B149" i="18"/>
  <c r="A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D148" i="18"/>
  <c r="C148" i="18"/>
  <c r="B148" i="18"/>
  <c r="A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D147" i="18"/>
  <c r="C147" i="18"/>
  <c r="B147" i="18"/>
  <c r="A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D146" i="18"/>
  <c r="C146" i="18"/>
  <c r="B146" i="18"/>
  <c r="A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D145" i="18"/>
  <c r="C145" i="18"/>
  <c r="B145" i="18"/>
  <c r="A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D144" i="18"/>
  <c r="C144" i="18"/>
  <c r="B144" i="18"/>
  <c r="A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D143" i="18"/>
  <c r="C143" i="18"/>
  <c r="B143" i="18"/>
  <c r="A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D142" i="18"/>
  <c r="C142" i="18"/>
  <c r="B142" i="18"/>
  <c r="A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D141" i="18"/>
  <c r="C141" i="18"/>
  <c r="B141" i="18"/>
  <c r="A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D140" i="18"/>
  <c r="C140" i="18"/>
  <c r="B140" i="18"/>
  <c r="A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D139" i="18"/>
  <c r="C139" i="18"/>
  <c r="B139" i="18"/>
  <c r="A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D138" i="18"/>
  <c r="C138" i="18"/>
  <c r="B138" i="18"/>
  <c r="A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D137" i="18"/>
  <c r="C137" i="18"/>
  <c r="B137" i="18"/>
  <c r="A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D136" i="18"/>
  <c r="C136" i="18"/>
  <c r="B136" i="18"/>
  <c r="A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D135" i="18"/>
  <c r="C135" i="18"/>
  <c r="B135" i="18"/>
  <c r="A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D134" i="18"/>
  <c r="C134" i="18"/>
  <c r="B134" i="18"/>
  <c r="A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D133" i="18"/>
  <c r="C133" i="18"/>
  <c r="B133" i="18"/>
  <c r="A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D132" i="18"/>
  <c r="C132" i="18"/>
  <c r="B132" i="18"/>
  <c r="A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D131" i="18"/>
  <c r="C131" i="18"/>
  <c r="B131" i="18"/>
  <c r="A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D130" i="18"/>
  <c r="C130" i="18"/>
  <c r="B130" i="18"/>
  <c r="A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D129" i="18"/>
  <c r="C129" i="18"/>
  <c r="B129" i="18"/>
  <c r="A129" i="18"/>
  <c r="T128" i="18"/>
  <c r="R128" i="18"/>
  <c r="P128" i="18"/>
  <c r="N128" i="18"/>
  <c r="L128" i="18"/>
  <c r="J128" i="18"/>
  <c r="H128" i="18"/>
  <c r="F128" i="18"/>
  <c r="E128" i="18"/>
  <c r="D128" i="18"/>
  <c r="C128" i="18"/>
  <c r="B128" i="18"/>
  <c r="A128" i="18"/>
  <c r="T127" i="18"/>
  <c r="N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D126" i="18"/>
  <c r="C126" i="18"/>
  <c r="B126" i="18"/>
  <c r="A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D125" i="18"/>
  <c r="C125" i="18"/>
  <c r="B125" i="18"/>
  <c r="A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D124" i="18"/>
  <c r="C124" i="18"/>
  <c r="B124" i="18"/>
  <c r="A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D123" i="18"/>
  <c r="C123" i="18"/>
  <c r="B123" i="18"/>
  <c r="A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D122" i="18"/>
  <c r="C122" i="18"/>
  <c r="B122" i="18"/>
  <c r="A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D121" i="18"/>
  <c r="C121" i="18"/>
  <c r="B121" i="18"/>
  <c r="A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D120" i="18"/>
  <c r="C120" i="18"/>
  <c r="B120" i="18"/>
  <c r="A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D119" i="18"/>
  <c r="C119" i="18"/>
  <c r="B119" i="18"/>
  <c r="A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D118" i="18"/>
  <c r="C118" i="18"/>
  <c r="B118" i="18"/>
  <c r="A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D117" i="18"/>
  <c r="C117" i="18"/>
  <c r="B117" i="18"/>
  <c r="A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D116" i="18"/>
  <c r="C116" i="18"/>
  <c r="B116" i="18"/>
  <c r="A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D115" i="18"/>
  <c r="C115" i="18"/>
  <c r="B115" i="18"/>
  <c r="A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D114" i="18"/>
  <c r="C114" i="18"/>
  <c r="B114" i="18"/>
  <c r="A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D113" i="18"/>
  <c r="C113" i="18"/>
  <c r="B113" i="18"/>
  <c r="A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D112" i="18"/>
  <c r="C112" i="18"/>
  <c r="B112" i="18"/>
  <c r="A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D111" i="18"/>
  <c r="C111" i="18"/>
  <c r="B111" i="18"/>
  <c r="A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D110" i="18"/>
  <c r="C110" i="18"/>
  <c r="B110" i="18"/>
  <c r="A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D109" i="18"/>
  <c r="C109" i="18"/>
  <c r="B109" i="18"/>
  <c r="A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D108" i="18"/>
  <c r="C108" i="18"/>
  <c r="B108" i="18"/>
  <c r="A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D107" i="18"/>
  <c r="C107" i="18"/>
  <c r="B107" i="18"/>
  <c r="A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D106" i="18"/>
  <c r="C106" i="18"/>
  <c r="B106" i="18"/>
  <c r="A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D105" i="18"/>
  <c r="C105" i="18"/>
  <c r="B105" i="18"/>
  <c r="A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D104" i="18"/>
  <c r="C104" i="18"/>
  <c r="B104" i="18"/>
  <c r="A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D103" i="18"/>
  <c r="C103" i="18"/>
  <c r="B103" i="18"/>
  <c r="A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D102" i="18"/>
  <c r="C102" i="18"/>
  <c r="B102" i="18"/>
  <c r="A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D101" i="18"/>
  <c r="C101" i="18"/>
  <c r="B101" i="18"/>
  <c r="A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D100" i="18"/>
  <c r="C100" i="18"/>
  <c r="B100" i="18"/>
  <c r="A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D99" i="18"/>
  <c r="C99" i="18"/>
  <c r="B99" i="18"/>
  <c r="A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D98" i="18"/>
  <c r="C98" i="18"/>
  <c r="B98" i="18"/>
  <c r="A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D97" i="18"/>
  <c r="C97" i="18"/>
  <c r="B97" i="18"/>
  <c r="A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D96" i="18"/>
  <c r="C96" i="18"/>
  <c r="B96" i="18"/>
  <c r="A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D95" i="18"/>
  <c r="C95" i="18"/>
  <c r="B95" i="18"/>
  <c r="A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D94" i="18"/>
  <c r="C94" i="18"/>
  <c r="B94" i="18"/>
  <c r="A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D93" i="18"/>
  <c r="C93" i="18"/>
  <c r="B93" i="18"/>
  <c r="A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D92" i="18"/>
  <c r="C92" i="18"/>
  <c r="B92" i="18"/>
  <c r="A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D91" i="18"/>
  <c r="C91" i="18"/>
  <c r="B91" i="18"/>
  <c r="A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D90" i="18"/>
  <c r="C90" i="18"/>
  <c r="B90" i="18"/>
  <c r="A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D89" i="18"/>
  <c r="C89" i="18"/>
  <c r="B89" i="18"/>
  <c r="A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D88" i="18"/>
  <c r="C88" i="18"/>
  <c r="B88" i="18"/>
  <c r="A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D87" i="18"/>
  <c r="C87" i="18"/>
  <c r="B87" i="18"/>
  <c r="A87" i="18"/>
  <c r="T86" i="18"/>
  <c r="R86" i="18"/>
  <c r="P86" i="18"/>
  <c r="N86" i="18"/>
  <c r="L86" i="18"/>
  <c r="J86" i="18"/>
  <c r="H86" i="18"/>
  <c r="F86" i="18"/>
  <c r="E86" i="18"/>
  <c r="D86" i="18"/>
  <c r="C86" i="18"/>
  <c r="B86" i="18"/>
  <c r="A86" i="18"/>
  <c r="T85" i="18"/>
  <c r="N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D84" i="18"/>
  <c r="C84" i="18"/>
  <c r="B84" i="18"/>
  <c r="A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D83" i="18"/>
  <c r="C83" i="18"/>
  <c r="B83" i="18"/>
  <c r="A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D82" i="18"/>
  <c r="C82" i="18"/>
  <c r="B82" i="18"/>
  <c r="A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D81" i="18"/>
  <c r="C81" i="18"/>
  <c r="B81" i="18"/>
  <c r="A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D80" i="18"/>
  <c r="C80" i="18"/>
  <c r="B80" i="18"/>
  <c r="A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D79" i="18"/>
  <c r="C79" i="18"/>
  <c r="B79" i="18"/>
  <c r="A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D78" i="18"/>
  <c r="C78" i="18"/>
  <c r="B78" i="18"/>
  <c r="A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D77" i="18"/>
  <c r="C77" i="18"/>
  <c r="B77" i="18"/>
  <c r="A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D76" i="18"/>
  <c r="C76" i="18"/>
  <c r="B76" i="18"/>
  <c r="A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D75" i="18"/>
  <c r="C75" i="18"/>
  <c r="B75" i="18"/>
  <c r="A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D74" i="18"/>
  <c r="C74" i="18"/>
  <c r="B74" i="18"/>
  <c r="A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D73" i="18"/>
  <c r="C73" i="18"/>
  <c r="B73" i="18"/>
  <c r="A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D72" i="18"/>
  <c r="C72" i="18"/>
  <c r="B72" i="18"/>
  <c r="A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D71" i="18"/>
  <c r="C71" i="18"/>
  <c r="B71" i="18"/>
  <c r="A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D70" i="18"/>
  <c r="C70" i="18"/>
  <c r="B70" i="18"/>
  <c r="A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D69" i="18"/>
  <c r="C69" i="18"/>
  <c r="B69" i="18"/>
  <c r="A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D68" i="18"/>
  <c r="C68" i="18"/>
  <c r="B68" i="18"/>
  <c r="A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D67" i="18"/>
  <c r="C67" i="18"/>
  <c r="B67" i="18"/>
  <c r="A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D66" i="18"/>
  <c r="C66" i="18"/>
  <c r="B66" i="18"/>
  <c r="A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D65" i="18"/>
  <c r="C65" i="18"/>
  <c r="B65" i="18"/>
  <c r="A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D64" i="18"/>
  <c r="C64" i="18"/>
  <c r="B64" i="18"/>
  <c r="A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D63" i="18"/>
  <c r="C63" i="18"/>
  <c r="B63" i="18"/>
  <c r="A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D62" i="18"/>
  <c r="C62" i="18"/>
  <c r="B62" i="18"/>
  <c r="A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D61" i="18"/>
  <c r="C61" i="18"/>
  <c r="B61" i="18"/>
  <c r="A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D60" i="18"/>
  <c r="C60" i="18"/>
  <c r="B60" i="18"/>
  <c r="A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D59" i="18"/>
  <c r="C59" i="18"/>
  <c r="B59" i="18"/>
  <c r="A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D58" i="18"/>
  <c r="C58" i="18"/>
  <c r="B58" i="18"/>
  <c r="A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D57" i="18"/>
  <c r="C57" i="18"/>
  <c r="B57" i="18"/>
  <c r="A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D56" i="18"/>
  <c r="C56" i="18"/>
  <c r="B56" i="18"/>
  <c r="A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D55" i="18"/>
  <c r="C55" i="18"/>
  <c r="B55" i="18"/>
  <c r="A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C54" i="18"/>
  <c r="B54" i="18"/>
  <c r="A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D53" i="18"/>
  <c r="C53" i="18"/>
  <c r="B53" i="18"/>
  <c r="A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C52" i="18"/>
  <c r="B52" i="18"/>
  <c r="A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D51" i="18"/>
  <c r="C51" i="18"/>
  <c r="B51" i="18"/>
  <c r="A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D50" i="18"/>
  <c r="C50" i="18"/>
  <c r="B50" i="18"/>
  <c r="A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D49" i="18"/>
  <c r="C49" i="18"/>
  <c r="B49" i="18"/>
  <c r="A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C48" i="18"/>
  <c r="B48" i="18"/>
  <c r="A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D47" i="18"/>
  <c r="C47" i="18"/>
  <c r="B47" i="18"/>
  <c r="A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D46" i="18"/>
  <c r="C46" i="18"/>
  <c r="B46" i="18"/>
  <c r="A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D45" i="18"/>
  <c r="C45" i="18"/>
  <c r="B45" i="18"/>
  <c r="A45" i="18"/>
  <c r="T44" i="18"/>
  <c r="R44" i="18"/>
  <c r="P44" i="18"/>
  <c r="N44" i="18"/>
  <c r="L44" i="18"/>
  <c r="J44" i="18"/>
  <c r="H44" i="18"/>
  <c r="F44" i="18"/>
  <c r="E44" i="18"/>
  <c r="D44" i="18"/>
  <c r="C44" i="18"/>
  <c r="B44" i="18"/>
  <c r="A44" i="18"/>
  <c r="T43" i="18"/>
  <c r="N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C42" i="18"/>
  <c r="B42" i="18"/>
  <c r="A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D41" i="18"/>
  <c r="C41" i="18"/>
  <c r="B41" i="18"/>
  <c r="A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C40" i="18"/>
  <c r="B40" i="18"/>
  <c r="A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C39" i="18"/>
  <c r="B39" i="18"/>
  <c r="A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C38" i="18"/>
  <c r="B38" i="18"/>
  <c r="A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C37" i="18"/>
  <c r="B37" i="18"/>
  <c r="A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D36" i="18"/>
  <c r="C36" i="18"/>
  <c r="B36" i="18"/>
  <c r="A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D35" i="18"/>
  <c r="C35" i="18"/>
  <c r="B35" i="18"/>
  <c r="A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C34" i="18"/>
  <c r="B34" i="18"/>
  <c r="A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D33" i="18"/>
  <c r="C33" i="18"/>
  <c r="B33" i="18"/>
  <c r="A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C32" i="18"/>
  <c r="B32" i="18"/>
  <c r="A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C31" i="18"/>
  <c r="B31" i="18"/>
  <c r="A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C30" i="18"/>
  <c r="B30" i="18"/>
  <c r="A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A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A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C27" i="18"/>
  <c r="B27" i="18"/>
  <c r="A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C26" i="18"/>
  <c r="B26" i="18"/>
  <c r="A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C25" i="18"/>
  <c r="B25" i="18"/>
  <c r="A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A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A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A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A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A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A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A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A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C16" i="18"/>
  <c r="B16" i="18"/>
  <c r="A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C15" i="18"/>
  <c r="B15" i="18"/>
  <c r="A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B14" i="18"/>
  <c r="A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B13" i="18"/>
  <c r="A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C12" i="18"/>
  <c r="B12" i="18"/>
  <c r="A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C11" i="18"/>
  <c r="B11" i="18"/>
  <c r="A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B10" i="18"/>
  <c r="A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B8" i="18"/>
  <c r="A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A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6" i="18"/>
  <c r="A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5" i="18"/>
  <c r="A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4" i="18"/>
  <c r="A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A3" i="18"/>
  <c r="T1" i="18"/>
  <c r="N1" i="18"/>
  <c r="A1" i="18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D369" i="17"/>
  <c r="C369" i="17"/>
  <c r="B369" i="17"/>
  <c r="A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D368" i="17"/>
  <c r="C368" i="17"/>
  <c r="B368" i="17"/>
  <c r="A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D367" i="17"/>
  <c r="C367" i="17"/>
  <c r="B367" i="17"/>
  <c r="A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D366" i="17"/>
  <c r="C366" i="17"/>
  <c r="B366" i="17"/>
  <c r="A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D365" i="17"/>
  <c r="C365" i="17"/>
  <c r="B365" i="17"/>
  <c r="A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D364" i="17"/>
  <c r="C364" i="17"/>
  <c r="B364" i="17"/>
  <c r="A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D363" i="17"/>
  <c r="C363" i="17"/>
  <c r="B363" i="17"/>
  <c r="A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D362" i="17"/>
  <c r="C362" i="17"/>
  <c r="B362" i="17"/>
  <c r="A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D361" i="17"/>
  <c r="C361" i="17"/>
  <c r="B361" i="17"/>
  <c r="A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D360" i="17"/>
  <c r="C360" i="17"/>
  <c r="B360" i="17"/>
  <c r="A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D359" i="17"/>
  <c r="C359" i="17"/>
  <c r="B359" i="17"/>
  <c r="A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D358" i="17"/>
  <c r="C358" i="17"/>
  <c r="B358" i="17"/>
  <c r="A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D357" i="17"/>
  <c r="C357" i="17"/>
  <c r="B357" i="17"/>
  <c r="A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D356" i="17"/>
  <c r="C356" i="17"/>
  <c r="B356" i="17"/>
  <c r="A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D355" i="17"/>
  <c r="C355" i="17"/>
  <c r="B355" i="17"/>
  <c r="A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D354" i="17"/>
  <c r="C354" i="17"/>
  <c r="B354" i="17"/>
  <c r="A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D353" i="17"/>
  <c r="C353" i="17"/>
  <c r="B353" i="17"/>
  <c r="A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D352" i="17"/>
  <c r="C352" i="17"/>
  <c r="B352" i="17"/>
  <c r="A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D351" i="17"/>
  <c r="C351" i="17"/>
  <c r="B351" i="17"/>
  <c r="A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D350" i="17"/>
  <c r="C350" i="17"/>
  <c r="B350" i="17"/>
  <c r="A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D349" i="17"/>
  <c r="C349" i="17"/>
  <c r="B349" i="17"/>
  <c r="A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D348" i="17"/>
  <c r="C348" i="17"/>
  <c r="B348" i="17"/>
  <c r="A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D347" i="17"/>
  <c r="C347" i="17"/>
  <c r="B347" i="17"/>
  <c r="A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D346" i="17"/>
  <c r="C346" i="17"/>
  <c r="B346" i="17"/>
  <c r="A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D345" i="17"/>
  <c r="C345" i="17"/>
  <c r="B345" i="17"/>
  <c r="A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D344" i="17"/>
  <c r="C344" i="17"/>
  <c r="B344" i="17"/>
  <c r="A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D343" i="17"/>
  <c r="C343" i="17"/>
  <c r="B343" i="17"/>
  <c r="A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D342" i="17"/>
  <c r="C342" i="17"/>
  <c r="B342" i="17"/>
  <c r="A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D341" i="17"/>
  <c r="C341" i="17"/>
  <c r="B341" i="17"/>
  <c r="A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D340" i="17"/>
  <c r="C340" i="17"/>
  <c r="B340" i="17"/>
  <c r="A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D339" i="17"/>
  <c r="C339" i="17"/>
  <c r="B339" i="17"/>
  <c r="A339" i="17"/>
  <c r="T338" i="17"/>
  <c r="R338" i="17"/>
  <c r="P338" i="17"/>
  <c r="N338" i="17"/>
  <c r="L338" i="17"/>
  <c r="J338" i="17"/>
  <c r="H338" i="17"/>
  <c r="F338" i="17"/>
  <c r="E338" i="17"/>
  <c r="D338" i="17"/>
  <c r="C338" i="17"/>
  <c r="B338" i="17"/>
  <c r="A338" i="17"/>
  <c r="T337" i="17"/>
  <c r="N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D336" i="17"/>
  <c r="C336" i="17"/>
  <c r="B336" i="17"/>
  <c r="A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D335" i="17"/>
  <c r="C335" i="17"/>
  <c r="B335" i="17"/>
  <c r="A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D334" i="17"/>
  <c r="C334" i="17"/>
  <c r="B334" i="17"/>
  <c r="A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D333" i="17"/>
  <c r="C333" i="17"/>
  <c r="B333" i="17"/>
  <c r="A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D332" i="17"/>
  <c r="C332" i="17"/>
  <c r="B332" i="17"/>
  <c r="A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D331" i="17"/>
  <c r="C331" i="17"/>
  <c r="B331" i="17"/>
  <c r="A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D330" i="17"/>
  <c r="C330" i="17"/>
  <c r="B330" i="17"/>
  <c r="A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D329" i="17"/>
  <c r="C329" i="17"/>
  <c r="B329" i="17"/>
  <c r="A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D328" i="17"/>
  <c r="C328" i="17"/>
  <c r="B328" i="17"/>
  <c r="A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D327" i="17"/>
  <c r="C327" i="17"/>
  <c r="B327" i="17"/>
  <c r="A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D326" i="17"/>
  <c r="C326" i="17"/>
  <c r="B326" i="17"/>
  <c r="A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D325" i="17"/>
  <c r="C325" i="17"/>
  <c r="B325" i="17"/>
  <c r="A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D324" i="17"/>
  <c r="C324" i="17"/>
  <c r="B324" i="17"/>
  <c r="A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D323" i="17"/>
  <c r="C323" i="17"/>
  <c r="B323" i="17"/>
  <c r="A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D322" i="17"/>
  <c r="C322" i="17"/>
  <c r="B322" i="17"/>
  <c r="A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D321" i="17"/>
  <c r="C321" i="17"/>
  <c r="B321" i="17"/>
  <c r="A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D320" i="17"/>
  <c r="C320" i="17"/>
  <c r="B320" i="17"/>
  <c r="A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D319" i="17"/>
  <c r="C319" i="17"/>
  <c r="B319" i="17"/>
  <c r="A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D318" i="17"/>
  <c r="C318" i="17"/>
  <c r="B318" i="17"/>
  <c r="A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D317" i="17"/>
  <c r="C317" i="17"/>
  <c r="B317" i="17"/>
  <c r="A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D316" i="17"/>
  <c r="C316" i="17"/>
  <c r="B316" i="17"/>
  <c r="A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D315" i="17"/>
  <c r="C315" i="17"/>
  <c r="B315" i="17"/>
  <c r="A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D314" i="17"/>
  <c r="C314" i="17"/>
  <c r="B314" i="17"/>
  <c r="A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D313" i="17"/>
  <c r="C313" i="17"/>
  <c r="B313" i="17"/>
  <c r="A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D312" i="17"/>
  <c r="C312" i="17"/>
  <c r="B312" i="17"/>
  <c r="A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D311" i="17"/>
  <c r="C311" i="17"/>
  <c r="B311" i="17"/>
  <c r="A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D310" i="17"/>
  <c r="C310" i="17"/>
  <c r="B310" i="17"/>
  <c r="A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D309" i="17"/>
  <c r="C309" i="17"/>
  <c r="B309" i="17"/>
  <c r="A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D308" i="17"/>
  <c r="C308" i="17"/>
  <c r="B308" i="17"/>
  <c r="A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D307" i="17"/>
  <c r="C307" i="17"/>
  <c r="B307" i="17"/>
  <c r="A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D306" i="17"/>
  <c r="C306" i="17"/>
  <c r="B306" i="17"/>
  <c r="A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D305" i="17"/>
  <c r="C305" i="17"/>
  <c r="B305" i="17"/>
  <c r="A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D304" i="17"/>
  <c r="C304" i="17"/>
  <c r="B304" i="17"/>
  <c r="A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D303" i="17"/>
  <c r="C303" i="17"/>
  <c r="B303" i="17"/>
  <c r="A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D302" i="17"/>
  <c r="C302" i="17"/>
  <c r="B302" i="17"/>
  <c r="A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D301" i="17"/>
  <c r="C301" i="17"/>
  <c r="B301" i="17"/>
  <c r="A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D300" i="17"/>
  <c r="C300" i="17"/>
  <c r="B300" i="17"/>
  <c r="A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D299" i="17"/>
  <c r="C299" i="17"/>
  <c r="B299" i="17"/>
  <c r="A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D298" i="17"/>
  <c r="C298" i="17"/>
  <c r="B298" i="17"/>
  <c r="A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D297" i="17"/>
  <c r="C297" i="17"/>
  <c r="B297" i="17"/>
  <c r="A297" i="17"/>
  <c r="T296" i="17"/>
  <c r="R296" i="17"/>
  <c r="P296" i="17"/>
  <c r="N296" i="17"/>
  <c r="L296" i="17"/>
  <c r="J296" i="17"/>
  <c r="H296" i="17"/>
  <c r="F296" i="17"/>
  <c r="E296" i="17"/>
  <c r="D296" i="17"/>
  <c r="C296" i="17"/>
  <c r="B296" i="17"/>
  <c r="A296" i="17"/>
  <c r="T295" i="17"/>
  <c r="N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D294" i="17"/>
  <c r="C294" i="17"/>
  <c r="B294" i="17"/>
  <c r="A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D293" i="17"/>
  <c r="C293" i="17"/>
  <c r="B293" i="17"/>
  <c r="A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D292" i="17"/>
  <c r="C292" i="17"/>
  <c r="B292" i="17"/>
  <c r="A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D291" i="17"/>
  <c r="C291" i="17"/>
  <c r="B291" i="17"/>
  <c r="A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D290" i="17"/>
  <c r="C290" i="17"/>
  <c r="B290" i="17"/>
  <c r="A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D289" i="17"/>
  <c r="C289" i="17"/>
  <c r="B289" i="17"/>
  <c r="A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D288" i="17"/>
  <c r="C288" i="17"/>
  <c r="B288" i="17"/>
  <c r="A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D287" i="17"/>
  <c r="C287" i="17"/>
  <c r="B287" i="17"/>
  <c r="A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D286" i="17"/>
  <c r="C286" i="17"/>
  <c r="B286" i="17"/>
  <c r="A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D285" i="17"/>
  <c r="C285" i="17"/>
  <c r="B285" i="17"/>
  <c r="A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D284" i="17"/>
  <c r="C284" i="17"/>
  <c r="B284" i="17"/>
  <c r="A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D283" i="17"/>
  <c r="C283" i="17"/>
  <c r="B283" i="17"/>
  <c r="A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D282" i="17"/>
  <c r="C282" i="17"/>
  <c r="B282" i="17"/>
  <c r="A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D281" i="17"/>
  <c r="C281" i="17"/>
  <c r="B281" i="17"/>
  <c r="A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D280" i="17"/>
  <c r="C280" i="17"/>
  <c r="B280" i="17"/>
  <c r="A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D279" i="17"/>
  <c r="C279" i="17"/>
  <c r="B279" i="17"/>
  <c r="A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D278" i="17"/>
  <c r="C278" i="17"/>
  <c r="B278" i="17"/>
  <c r="A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D277" i="17"/>
  <c r="C277" i="17"/>
  <c r="B277" i="17"/>
  <c r="A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D276" i="17"/>
  <c r="C276" i="17"/>
  <c r="B276" i="17"/>
  <c r="A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D275" i="17"/>
  <c r="C275" i="17"/>
  <c r="B275" i="17"/>
  <c r="A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D274" i="17"/>
  <c r="C274" i="17"/>
  <c r="B274" i="17"/>
  <c r="A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D273" i="17"/>
  <c r="C273" i="17"/>
  <c r="B273" i="17"/>
  <c r="A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D272" i="17"/>
  <c r="C272" i="17"/>
  <c r="B272" i="17"/>
  <c r="A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D271" i="17"/>
  <c r="C271" i="17"/>
  <c r="B271" i="17"/>
  <c r="A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D270" i="17"/>
  <c r="C270" i="17"/>
  <c r="B270" i="17"/>
  <c r="A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D269" i="17"/>
  <c r="C269" i="17"/>
  <c r="B269" i="17"/>
  <c r="A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D268" i="17"/>
  <c r="C268" i="17"/>
  <c r="B268" i="17"/>
  <c r="A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D267" i="17"/>
  <c r="C267" i="17"/>
  <c r="B267" i="17"/>
  <c r="A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D266" i="17"/>
  <c r="C266" i="17"/>
  <c r="B266" i="17"/>
  <c r="A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D265" i="17"/>
  <c r="C265" i="17"/>
  <c r="B265" i="17"/>
  <c r="A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D264" i="17"/>
  <c r="C264" i="17"/>
  <c r="B264" i="17"/>
  <c r="A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D263" i="17"/>
  <c r="C263" i="17"/>
  <c r="B263" i="17"/>
  <c r="A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D262" i="17"/>
  <c r="C262" i="17"/>
  <c r="B262" i="17"/>
  <c r="A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D261" i="17"/>
  <c r="C261" i="17"/>
  <c r="B261" i="17"/>
  <c r="A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D260" i="17"/>
  <c r="C260" i="17"/>
  <c r="B260" i="17"/>
  <c r="A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D259" i="17"/>
  <c r="C259" i="17"/>
  <c r="B259" i="17"/>
  <c r="A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D258" i="17"/>
  <c r="C258" i="17"/>
  <c r="B258" i="17"/>
  <c r="A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D257" i="17"/>
  <c r="C257" i="17"/>
  <c r="B257" i="17"/>
  <c r="A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D256" i="17"/>
  <c r="C256" i="17"/>
  <c r="B256" i="17"/>
  <c r="A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D255" i="17"/>
  <c r="C255" i="17"/>
  <c r="B255" i="17"/>
  <c r="A255" i="17"/>
  <c r="T254" i="17"/>
  <c r="R254" i="17"/>
  <c r="P254" i="17"/>
  <c r="N254" i="17"/>
  <c r="L254" i="17"/>
  <c r="J254" i="17"/>
  <c r="H254" i="17"/>
  <c r="F254" i="17"/>
  <c r="E254" i="17"/>
  <c r="D254" i="17"/>
  <c r="C254" i="17"/>
  <c r="B254" i="17"/>
  <c r="A254" i="17"/>
  <c r="T253" i="17"/>
  <c r="N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D252" i="17"/>
  <c r="C252" i="17"/>
  <c r="B252" i="17"/>
  <c r="A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D251" i="17"/>
  <c r="C251" i="17"/>
  <c r="B251" i="17"/>
  <c r="A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D250" i="17"/>
  <c r="C250" i="17"/>
  <c r="B250" i="17"/>
  <c r="A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A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D248" i="17"/>
  <c r="C248" i="17"/>
  <c r="B248" i="17"/>
  <c r="A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A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D246" i="17"/>
  <c r="C246" i="17"/>
  <c r="B246" i="17"/>
  <c r="A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A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A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A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A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A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D240" i="17"/>
  <c r="C240" i="17"/>
  <c r="B240" i="17"/>
  <c r="A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D239" i="17"/>
  <c r="C239" i="17"/>
  <c r="B239" i="17"/>
  <c r="A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A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D237" i="17"/>
  <c r="C237" i="17"/>
  <c r="B237" i="17"/>
  <c r="A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A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D235" i="17"/>
  <c r="C235" i="17"/>
  <c r="B235" i="17"/>
  <c r="A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A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A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A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A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A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D229" i="17"/>
  <c r="C229" i="17"/>
  <c r="B229" i="17"/>
  <c r="A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D228" i="17"/>
  <c r="C228" i="17"/>
  <c r="B228" i="17"/>
  <c r="A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A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D226" i="17"/>
  <c r="C226" i="17"/>
  <c r="B226" i="17"/>
  <c r="A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A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A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A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A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A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A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A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A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D217" i="17"/>
  <c r="C217" i="17"/>
  <c r="B217" i="17"/>
  <c r="A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D216" i="17"/>
  <c r="C216" i="17"/>
  <c r="B216" i="17"/>
  <c r="A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D215" i="17"/>
  <c r="C215" i="17"/>
  <c r="B215" i="17"/>
  <c r="A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D214" i="17"/>
  <c r="C214" i="17"/>
  <c r="B214" i="17"/>
  <c r="A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A213" i="17"/>
  <c r="T212" i="17"/>
  <c r="R212" i="17"/>
  <c r="P212" i="17"/>
  <c r="N212" i="17"/>
  <c r="L212" i="17"/>
  <c r="J212" i="17"/>
  <c r="H212" i="17"/>
  <c r="F212" i="17"/>
  <c r="E212" i="17"/>
  <c r="D212" i="17"/>
  <c r="C212" i="17"/>
  <c r="B212" i="17"/>
  <c r="A212" i="17"/>
  <c r="T211" i="17"/>
  <c r="N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A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D209" i="17"/>
  <c r="C209" i="17"/>
  <c r="B209" i="17"/>
  <c r="A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A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A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A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A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A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D203" i="17"/>
  <c r="C203" i="17"/>
  <c r="B203" i="17"/>
  <c r="A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A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A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A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A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A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D197" i="17"/>
  <c r="C197" i="17"/>
  <c r="B197" i="17"/>
  <c r="A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D196" i="17"/>
  <c r="C196" i="17"/>
  <c r="B196" i="17"/>
  <c r="A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D195" i="17"/>
  <c r="C195" i="17"/>
  <c r="B195" i="17"/>
  <c r="A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A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A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A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A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D190" i="17"/>
  <c r="C190" i="17"/>
  <c r="B190" i="17"/>
  <c r="A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A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A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A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A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A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B184" i="17"/>
  <c r="A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A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A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A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A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A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D178" i="17"/>
  <c r="C178" i="17"/>
  <c r="B178" i="17"/>
  <c r="A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D177" i="17"/>
  <c r="C177" i="17"/>
  <c r="B177" i="17"/>
  <c r="A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D176" i="17"/>
  <c r="C176" i="17"/>
  <c r="B176" i="17"/>
  <c r="A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D175" i="17"/>
  <c r="C175" i="17"/>
  <c r="B175" i="17"/>
  <c r="A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D174" i="17"/>
  <c r="C174" i="17"/>
  <c r="B174" i="17"/>
  <c r="A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D173" i="17"/>
  <c r="C173" i="17"/>
  <c r="B173" i="17"/>
  <c r="A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D172" i="17"/>
  <c r="C172" i="17"/>
  <c r="B172" i="17"/>
  <c r="A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D171" i="17"/>
  <c r="C171" i="17"/>
  <c r="B171" i="17"/>
  <c r="A171" i="17"/>
  <c r="T170" i="17"/>
  <c r="R170" i="17"/>
  <c r="P170" i="17"/>
  <c r="N170" i="17"/>
  <c r="L170" i="17"/>
  <c r="J170" i="17"/>
  <c r="H170" i="17"/>
  <c r="F170" i="17"/>
  <c r="E170" i="17"/>
  <c r="D170" i="17"/>
  <c r="C170" i="17"/>
  <c r="B170" i="17"/>
  <c r="A170" i="17"/>
  <c r="T169" i="17"/>
  <c r="N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B168" i="17"/>
  <c r="A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D167" i="17"/>
  <c r="C167" i="17"/>
  <c r="B167" i="17"/>
  <c r="A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D166" i="17"/>
  <c r="C166" i="17"/>
  <c r="B166" i="17"/>
  <c r="A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D165" i="17"/>
  <c r="C165" i="17"/>
  <c r="B165" i="17"/>
  <c r="A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D164" i="17"/>
  <c r="C164" i="17"/>
  <c r="B164" i="17"/>
  <c r="A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D163" i="17"/>
  <c r="C163" i="17"/>
  <c r="B163" i="17"/>
  <c r="A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D162" i="17"/>
  <c r="C162" i="17"/>
  <c r="B162" i="17"/>
  <c r="A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D161" i="17"/>
  <c r="C161" i="17"/>
  <c r="B161" i="17"/>
  <c r="A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D160" i="17"/>
  <c r="C160" i="17"/>
  <c r="B160" i="17"/>
  <c r="A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D159" i="17"/>
  <c r="C159" i="17"/>
  <c r="B159" i="17"/>
  <c r="A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D158" i="17"/>
  <c r="C158" i="17"/>
  <c r="B158" i="17"/>
  <c r="A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D157" i="17"/>
  <c r="C157" i="17"/>
  <c r="B157" i="17"/>
  <c r="A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D156" i="17"/>
  <c r="C156" i="17"/>
  <c r="B156" i="17"/>
  <c r="A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D155" i="17"/>
  <c r="C155" i="17"/>
  <c r="B155" i="17"/>
  <c r="A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D154" i="17"/>
  <c r="C154" i="17"/>
  <c r="B154" i="17"/>
  <c r="A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D153" i="17"/>
  <c r="C153" i="17"/>
  <c r="B153" i="17"/>
  <c r="A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D152" i="17"/>
  <c r="C152" i="17"/>
  <c r="B152" i="17"/>
  <c r="A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D151" i="17"/>
  <c r="C151" i="17"/>
  <c r="B151" i="17"/>
  <c r="A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D150" i="17"/>
  <c r="C150" i="17"/>
  <c r="B150" i="17"/>
  <c r="A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D149" i="17"/>
  <c r="C149" i="17"/>
  <c r="B149" i="17"/>
  <c r="A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D148" i="17"/>
  <c r="C148" i="17"/>
  <c r="B148" i="17"/>
  <c r="A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D147" i="17"/>
  <c r="C147" i="17"/>
  <c r="B147" i="17"/>
  <c r="A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D146" i="17"/>
  <c r="C146" i="17"/>
  <c r="B146" i="17"/>
  <c r="A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D145" i="17"/>
  <c r="C145" i="17"/>
  <c r="B145" i="17"/>
  <c r="A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D144" i="17"/>
  <c r="C144" i="17"/>
  <c r="B144" i="17"/>
  <c r="A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D143" i="17"/>
  <c r="C143" i="17"/>
  <c r="B143" i="17"/>
  <c r="A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D142" i="17"/>
  <c r="C142" i="17"/>
  <c r="B142" i="17"/>
  <c r="A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D141" i="17"/>
  <c r="C141" i="17"/>
  <c r="B141" i="17"/>
  <c r="A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D140" i="17"/>
  <c r="C140" i="17"/>
  <c r="B140" i="17"/>
  <c r="A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D139" i="17"/>
  <c r="C139" i="17"/>
  <c r="B139" i="17"/>
  <c r="A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D138" i="17"/>
  <c r="C138" i="17"/>
  <c r="B138" i="17"/>
  <c r="A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D137" i="17"/>
  <c r="C137" i="17"/>
  <c r="B137" i="17"/>
  <c r="A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D136" i="17"/>
  <c r="C136" i="17"/>
  <c r="B136" i="17"/>
  <c r="A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D135" i="17"/>
  <c r="C135" i="17"/>
  <c r="B135" i="17"/>
  <c r="A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D134" i="17"/>
  <c r="C134" i="17"/>
  <c r="B134" i="17"/>
  <c r="A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D133" i="17"/>
  <c r="C133" i="17"/>
  <c r="B133" i="17"/>
  <c r="A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D132" i="17"/>
  <c r="C132" i="17"/>
  <c r="B132" i="17"/>
  <c r="A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D131" i="17"/>
  <c r="C131" i="17"/>
  <c r="B131" i="17"/>
  <c r="A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D130" i="17"/>
  <c r="C130" i="17"/>
  <c r="B130" i="17"/>
  <c r="A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D129" i="17"/>
  <c r="C129" i="17"/>
  <c r="B129" i="17"/>
  <c r="A129" i="17"/>
  <c r="T128" i="17"/>
  <c r="R128" i="17"/>
  <c r="P128" i="17"/>
  <c r="N128" i="17"/>
  <c r="L128" i="17"/>
  <c r="J128" i="17"/>
  <c r="H128" i="17"/>
  <c r="F128" i="17"/>
  <c r="E128" i="17"/>
  <c r="D128" i="17"/>
  <c r="C128" i="17"/>
  <c r="B128" i="17"/>
  <c r="A128" i="17"/>
  <c r="T127" i="17"/>
  <c r="N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D126" i="17"/>
  <c r="C126" i="17"/>
  <c r="B126" i="17"/>
  <c r="A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D125" i="17"/>
  <c r="C125" i="17"/>
  <c r="B125" i="17"/>
  <c r="A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D124" i="17"/>
  <c r="C124" i="17"/>
  <c r="B124" i="17"/>
  <c r="A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D123" i="17"/>
  <c r="C123" i="17"/>
  <c r="B123" i="17"/>
  <c r="A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D122" i="17"/>
  <c r="C122" i="17"/>
  <c r="B122" i="17"/>
  <c r="A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D121" i="17"/>
  <c r="C121" i="17"/>
  <c r="B121" i="17"/>
  <c r="A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D120" i="17"/>
  <c r="C120" i="17"/>
  <c r="B120" i="17"/>
  <c r="A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D119" i="17"/>
  <c r="C119" i="17"/>
  <c r="B119" i="17"/>
  <c r="A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D118" i="17"/>
  <c r="C118" i="17"/>
  <c r="B118" i="17"/>
  <c r="A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D117" i="17"/>
  <c r="C117" i="17"/>
  <c r="B117" i="17"/>
  <c r="A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D116" i="17"/>
  <c r="C116" i="17"/>
  <c r="B116" i="17"/>
  <c r="A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B115" i="17"/>
  <c r="A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D114" i="17"/>
  <c r="C114" i="17"/>
  <c r="B114" i="17"/>
  <c r="A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D113" i="17"/>
  <c r="C113" i="17"/>
  <c r="B113" i="17"/>
  <c r="A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D112" i="17"/>
  <c r="C112" i="17"/>
  <c r="B112" i="17"/>
  <c r="A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D111" i="17"/>
  <c r="C111" i="17"/>
  <c r="B111" i="17"/>
  <c r="A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D110" i="17"/>
  <c r="C110" i="17"/>
  <c r="B110" i="17"/>
  <c r="A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D109" i="17"/>
  <c r="C109" i="17"/>
  <c r="B109" i="17"/>
  <c r="A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D108" i="17"/>
  <c r="C108" i="17"/>
  <c r="B108" i="17"/>
  <c r="A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D107" i="17"/>
  <c r="C107" i="17"/>
  <c r="B107" i="17"/>
  <c r="A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D106" i="17"/>
  <c r="C106" i="17"/>
  <c r="B106" i="17"/>
  <c r="A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D105" i="17"/>
  <c r="C105" i="17"/>
  <c r="B105" i="17"/>
  <c r="A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D104" i="17"/>
  <c r="C104" i="17"/>
  <c r="B104" i="17"/>
  <c r="A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D103" i="17"/>
  <c r="C103" i="17"/>
  <c r="B103" i="17"/>
  <c r="A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D102" i="17"/>
  <c r="C102" i="17"/>
  <c r="B102" i="17"/>
  <c r="A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D101" i="17"/>
  <c r="C101" i="17"/>
  <c r="B101" i="17"/>
  <c r="A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D100" i="17"/>
  <c r="C100" i="17"/>
  <c r="B100" i="17"/>
  <c r="A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D99" i="17"/>
  <c r="C99" i="17"/>
  <c r="B99" i="17"/>
  <c r="A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B98" i="17"/>
  <c r="A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D97" i="17"/>
  <c r="C97" i="17"/>
  <c r="B97" i="17"/>
  <c r="A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D96" i="17"/>
  <c r="C96" i="17"/>
  <c r="B96" i="17"/>
  <c r="A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B95" i="17"/>
  <c r="A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D94" i="17"/>
  <c r="C94" i="17"/>
  <c r="B94" i="17"/>
  <c r="A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D93" i="17"/>
  <c r="C93" i="17"/>
  <c r="B93" i="17"/>
  <c r="A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D92" i="17"/>
  <c r="C92" i="17"/>
  <c r="B92" i="17"/>
  <c r="A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D91" i="17"/>
  <c r="C91" i="17"/>
  <c r="B91" i="17"/>
  <c r="A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D90" i="17"/>
  <c r="C90" i="17"/>
  <c r="B90" i="17"/>
  <c r="A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D89" i="17"/>
  <c r="C89" i="17"/>
  <c r="B89" i="17"/>
  <c r="A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D88" i="17"/>
  <c r="C88" i="17"/>
  <c r="B88" i="17"/>
  <c r="A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D87" i="17"/>
  <c r="C87" i="17"/>
  <c r="B87" i="17"/>
  <c r="A87" i="17"/>
  <c r="T86" i="17"/>
  <c r="R86" i="17"/>
  <c r="P86" i="17"/>
  <c r="N86" i="17"/>
  <c r="L86" i="17"/>
  <c r="J86" i="17"/>
  <c r="H86" i="17"/>
  <c r="F86" i="17"/>
  <c r="E86" i="17"/>
  <c r="D86" i="17"/>
  <c r="C86" i="17"/>
  <c r="B86" i="17"/>
  <c r="A86" i="17"/>
  <c r="T85" i="17"/>
  <c r="N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D84" i="17"/>
  <c r="C84" i="17"/>
  <c r="B84" i="17"/>
  <c r="A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D83" i="17"/>
  <c r="C83" i="17"/>
  <c r="B83" i="17"/>
  <c r="A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D82" i="17"/>
  <c r="C82" i="17"/>
  <c r="B82" i="17"/>
  <c r="A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D81" i="17"/>
  <c r="C81" i="17"/>
  <c r="B81" i="17"/>
  <c r="A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D80" i="17"/>
  <c r="C80" i="17"/>
  <c r="B80" i="17"/>
  <c r="A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D79" i="17"/>
  <c r="C79" i="17"/>
  <c r="B79" i="17"/>
  <c r="A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D78" i="17"/>
  <c r="C78" i="17"/>
  <c r="B78" i="17"/>
  <c r="A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D77" i="17"/>
  <c r="C77" i="17"/>
  <c r="B77" i="17"/>
  <c r="A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D76" i="17"/>
  <c r="C76" i="17"/>
  <c r="B76" i="17"/>
  <c r="A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D75" i="17"/>
  <c r="C75" i="17"/>
  <c r="B75" i="17"/>
  <c r="A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D74" i="17"/>
  <c r="C74" i="17"/>
  <c r="B74" i="17"/>
  <c r="A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D73" i="17"/>
  <c r="C73" i="17"/>
  <c r="B73" i="17"/>
  <c r="A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D72" i="17"/>
  <c r="C72" i="17"/>
  <c r="B72" i="17"/>
  <c r="A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C71" i="17"/>
  <c r="B71" i="17"/>
  <c r="A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D70" i="17"/>
  <c r="C70" i="17"/>
  <c r="B70" i="17"/>
  <c r="A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D69" i="17"/>
  <c r="C69" i="17"/>
  <c r="B69" i="17"/>
  <c r="A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D68" i="17"/>
  <c r="C68" i="17"/>
  <c r="B68" i="17"/>
  <c r="A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D67" i="17"/>
  <c r="C67" i="17"/>
  <c r="B67" i="17"/>
  <c r="A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D66" i="17"/>
  <c r="C66" i="17"/>
  <c r="B66" i="17"/>
  <c r="A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D65" i="17"/>
  <c r="C65" i="17"/>
  <c r="B65" i="17"/>
  <c r="A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D64" i="17"/>
  <c r="C64" i="17"/>
  <c r="B64" i="17"/>
  <c r="A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D63" i="17"/>
  <c r="C63" i="17"/>
  <c r="B63" i="17"/>
  <c r="A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D62" i="17"/>
  <c r="C62" i="17"/>
  <c r="B62" i="17"/>
  <c r="A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D61" i="17"/>
  <c r="C61" i="17"/>
  <c r="B61" i="17"/>
  <c r="A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D60" i="17"/>
  <c r="C60" i="17"/>
  <c r="B60" i="17"/>
  <c r="A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D59" i="17"/>
  <c r="C59" i="17"/>
  <c r="B59" i="17"/>
  <c r="A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D58" i="17"/>
  <c r="C58" i="17"/>
  <c r="B58" i="17"/>
  <c r="A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D57" i="17"/>
  <c r="C57" i="17"/>
  <c r="B57" i="17"/>
  <c r="A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D56" i="17"/>
  <c r="C56" i="17"/>
  <c r="B56" i="17"/>
  <c r="A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D55" i="17"/>
  <c r="C55" i="17"/>
  <c r="B55" i="17"/>
  <c r="A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D54" i="17"/>
  <c r="C54" i="17"/>
  <c r="B54" i="17"/>
  <c r="A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D53" i="17"/>
  <c r="C53" i="17"/>
  <c r="B53" i="17"/>
  <c r="A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C52" i="17"/>
  <c r="B52" i="17"/>
  <c r="A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D51" i="17"/>
  <c r="C51" i="17"/>
  <c r="B51" i="17"/>
  <c r="A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B50" i="17"/>
  <c r="A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C49" i="17"/>
  <c r="B49" i="17"/>
  <c r="A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B48" i="17"/>
  <c r="A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B47" i="17"/>
  <c r="A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B46" i="17"/>
  <c r="A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C45" i="17"/>
  <c r="B45" i="17"/>
  <c r="A45" i="17"/>
  <c r="T44" i="17"/>
  <c r="R44" i="17"/>
  <c r="P44" i="17"/>
  <c r="N44" i="17"/>
  <c r="L44" i="17"/>
  <c r="J44" i="17"/>
  <c r="H44" i="17"/>
  <c r="F44" i="17"/>
  <c r="E44" i="17"/>
  <c r="D44" i="17"/>
  <c r="C44" i="17"/>
  <c r="B44" i="17"/>
  <c r="A44" i="17"/>
  <c r="T43" i="17"/>
  <c r="N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B42" i="17"/>
  <c r="A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B41" i="17"/>
  <c r="A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B40" i="17"/>
  <c r="A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B39" i="17"/>
  <c r="A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B38" i="17"/>
  <c r="A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B37" i="17"/>
  <c r="A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B36" i="17"/>
  <c r="A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B35" i="17"/>
  <c r="A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B34" i="17"/>
  <c r="A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B33" i="17"/>
  <c r="A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B32" i="17"/>
  <c r="A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B31" i="17"/>
  <c r="A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B30" i="17"/>
  <c r="A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A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A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C27" i="17"/>
  <c r="B27" i="17"/>
  <c r="A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B26" i="17"/>
  <c r="A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B25" i="17"/>
  <c r="A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B24" i="17"/>
  <c r="A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B23" i="17"/>
  <c r="A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B22" i="17"/>
  <c r="A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B21" i="17"/>
  <c r="A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B20" i="17"/>
  <c r="A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B19" i="17"/>
  <c r="A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B18" i="17"/>
  <c r="A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C17" i="17"/>
  <c r="B17" i="17"/>
  <c r="A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C16" i="17"/>
  <c r="B16" i="17"/>
  <c r="A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C15" i="17"/>
  <c r="B15" i="17"/>
  <c r="A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B14" i="17"/>
  <c r="A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B13" i="17"/>
  <c r="A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C12" i="17"/>
  <c r="B12" i="17"/>
  <c r="A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B11" i="17"/>
  <c r="A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B10" i="17"/>
  <c r="A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A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B8" i="17"/>
  <c r="A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A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C6" i="17"/>
  <c r="B6" i="17"/>
  <c r="A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C5" i="17"/>
  <c r="B5" i="17"/>
  <c r="A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B4" i="17"/>
  <c r="A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B3" i="17"/>
  <c r="A3" i="17"/>
  <c r="T1" i="17"/>
  <c r="N1" i="17"/>
  <c r="A1" i="17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D369" i="16"/>
  <c r="C369" i="16"/>
  <c r="B369" i="16"/>
  <c r="A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D368" i="16"/>
  <c r="C368" i="16"/>
  <c r="B368" i="16"/>
  <c r="A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D367" i="16"/>
  <c r="C367" i="16"/>
  <c r="B367" i="16"/>
  <c r="A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D366" i="16"/>
  <c r="C366" i="16"/>
  <c r="B366" i="16"/>
  <c r="A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D365" i="16"/>
  <c r="C365" i="16"/>
  <c r="B365" i="16"/>
  <c r="A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D364" i="16"/>
  <c r="C364" i="16"/>
  <c r="B364" i="16"/>
  <c r="A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D363" i="16"/>
  <c r="C363" i="16"/>
  <c r="B363" i="16"/>
  <c r="A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D362" i="16"/>
  <c r="C362" i="16"/>
  <c r="B362" i="16"/>
  <c r="A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D361" i="16"/>
  <c r="C361" i="16"/>
  <c r="B361" i="16"/>
  <c r="A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D360" i="16"/>
  <c r="C360" i="16"/>
  <c r="B360" i="16"/>
  <c r="A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D359" i="16"/>
  <c r="C359" i="16"/>
  <c r="B359" i="16"/>
  <c r="A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D358" i="16"/>
  <c r="C358" i="16"/>
  <c r="B358" i="16"/>
  <c r="A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D357" i="16"/>
  <c r="C357" i="16"/>
  <c r="B357" i="16"/>
  <c r="A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D356" i="16"/>
  <c r="C356" i="16"/>
  <c r="B356" i="16"/>
  <c r="A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D355" i="16"/>
  <c r="C355" i="16"/>
  <c r="B355" i="16"/>
  <c r="A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D354" i="16"/>
  <c r="C354" i="16"/>
  <c r="B354" i="16"/>
  <c r="A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D353" i="16"/>
  <c r="C353" i="16"/>
  <c r="B353" i="16"/>
  <c r="A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D352" i="16"/>
  <c r="C352" i="16"/>
  <c r="B352" i="16"/>
  <c r="A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D351" i="16"/>
  <c r="C351" i="16"/>
  <c r="B351" i="16"/>
  <c r="A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D350" i="16"/>
  <c r="C350" i="16"/>
  <c r="B350" i="16"/>
  <c r="A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D349" i="16"/>
  <c r="C349" i="16"/>
  <c r="B349" i="16"/>
  <c r="A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D348" i="16"/>
  <c r="C348" i="16"/>
  <c r="B348" i="16"/>
  <c r="A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D347" i="16"/>
  <c r="C347" i="16"/>
  <c r="B347" i="16"/>
  <c r="A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D346" i="16"/>
  <c r="C346" i="16"/>
  <c r="B346" i="16"/>
  <c r="A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D345" i="16"/>
  <c r="C345" i="16"/>
  <c r="B345" i="16"/>
  <c r="A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D344" i="16"/>
  <c r="C344" i="16"/>
  <c r="B344" i="16"/>
  <c r="A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D343" i="16"/>
  <c r="C343" i="16"/>
  <c r="B343" i="16"/>
  <c r="A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D342" i="16"/>
  <c r="C342" i="16"/>
  <c r="B342" i="16"/>
  <c r="A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D341" i="16"/>
  <c r="C341" i="16"/>
  <c r="B341" i="16"/>
  <c r="A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D340" i="16"/>
  <c r="C340" i="16"/>
  <c r="B340" i="16"/>
  <c r="A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D339" i="16"/>
  <c r="C339" i="16"/>
  <c r="B339" i="16"/>
  <c r="A339" i="16"/>
  <c r="T338" i="16"/>
  <c r="R338" i="16"/>
  <c r="P338" i="16"/>
  <c r="N338" i="16"/>
  <c r="L338" i="16"/>
  <c r="J338" i="16"/>
  <c r="H338" i="16"/>
  <c r="F338" i="16"/>
  <c r="E338" i="16"/>
  <c r="D338" i="16"/>
  <c r="C338" i="16"/>
  <c r="B338" i="16"/>
  <c r="A338" i="16"/>
  <c r="T337" i="16"/>
  <c r="N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D336" i="16"/>
  <c r="C336" i="16"/>
  <c r="B336" i="16"/>
  <c r="A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D335" i="16"/>
  <c r="C335" i="16"/>
  <c r="B335" i="16"/>
  <c r="A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D334" i="16"/>
  <c r="C334" i="16"/>
  <c r="B334" i="16"/>
  <c r="A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D333" i="16"/>
  <c r="C333" i="16"/>
  <c r="B333" i="16"/>
  <c r="A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D332" i="16"/>
  <c r="C332" i="16"/>
  <c r="B332" i="16"/>
  <c r="A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D331" i="16"/>
  <c r="C331" i="16"/>
  <c r="B331" i="16"/>
  <c r="A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D330" i="16"/>
  <c r="C330" i="16"/>
  <c r="B330" i="16"/>
  <c r="A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D329" i="16"/>
  <c r="C329" i="16"/>
  <c r="B329" i="16"/>
  <c r="A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D328" i="16"/>
  <c r="C328" i="16"/>
  <c r="B328" i="16"/>
  <c r="A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D327" i="16"/>
  <c r="C327" i="16"/>
  <c r="B327" i="16"/>
  <c r="A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D326" i="16"/>
  <c r="C326" i="16"/>
  <c r="B326" i="16"/>
  <c r="A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D325" i="16"/>
  <c r="C325" i="16"/>
  <c r="B325" i="16"/>
  <c r="A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D324" i="16"/>
  <c r="C324" i="16"/>
  <c r="B324" i="16"/>
  <c r="A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D323" i="16"/>
  <c r="C323" i="16"/>
  <c r="B323" i="16"/>
  <c r="A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D322" i="16"/>
  <c r="C322" i="16"/>
  <c r="B322" i="16"/>
  <c r="A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D321" i="16"/>
  <c r="C321" i="16"/>
  <c r="B321" i="16"/>
  <c r="A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D320" i="16"/>
  <c r="C320" i="16"/>
  <c r="B320" i="16"/>
  <c r="A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D319" i="16"/>
  <c r="C319" i="16"/>
  <c r="B319" i="16"/>
  <c r="A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D318" i="16"/>
  <c r="C318" i="16"/>
  <c r="B318" i="16"/>
  <c r="A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D317" i="16"/>
  <c r="C317" i="16"/>
  <c r="B317" i="16"/>
  <c r="A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D316" i="16"/>
  <c r="C316" i="16"/>
  <c r="B316" i="16"/>
  <c r="A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D315" i="16"/>
  <c r="C315" i="16"/>
  <c r="B315" i="16"/>
  <c r="A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D314" i="16"/>
  <c r="C314" i="16"/>
  <c r="B314" i="16"/>
  <c r="A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D313" i="16"/>
  <c r="C313" i="16"/>
  <c r="B313" i="16"/>
  <c r="A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D312" i="16"/>
  <c r="C312" i="16"/>
  <c r="B312" i="16"/>
  <c r="A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D311" i="16"/>
  <c r="C311" i="16"/>
  <c r="B311" i="16"/>
  <c r="A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D310" i="16"/>
  <c r="C310" i="16"/>
  <c r="B310" i="16"/>
  <c r="A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D309" i="16"/>
  <c r="C309" i="16"/>
  <c r="B309" i="16"/>
  <c r="A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D308" i="16"/>
  <c r="C308" i="16"/>
  <c r="B308" i="16"/>
  <c r="A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D307" i="16"/>
  <c r="C307" i="16"/>
  <c r="B307" i="16"/>
  <c r="A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D306" i="16"/>
  <c r="C306" i="16"/>
  <c r="B306" i="16"/>
  <c r="A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D305" i="16"/>
  <c r="C305" i="16"/>
  <c r="B305" i="16"/>
  <c r="A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D304" i="16"/>
  <c r="C304" i="16"/>
  <c r="B304" i="16"/>
  <c r="A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D303" i="16"/>
  <c r="C303" i="16"/>
  <c r="B303" i="16"/>
  <c r="A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D302" i="16"/>
  <c r="C302" i="16"/>
  <c r="B302" i="16"/>
  <c r="A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D301" i="16"/>
  <c r="C301" i="16"/>
  <c r="B301" i="16"/>
  <c r="A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D300" i="16"/>
  <c r="C300" i="16"/>
  <c r="B300" i="16"/>
  <c r="A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D299" i="16"/>
  <c r="C299" i="16"/>
  <c r="B299" i="16"/>
  <c r="A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D298" i="16"/>
  <c r="C298" i="16"/>
  <c r="B298" i="16"/>
  <c r="A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D297" i="16"/>
  <c r="C297" i="16"/>
  <c r="B297" i="16"/>
  <c r="A297" i="16"/>
  <c r="T296" i="16"/>
  <c r="R296" i="16"/>
  <c r="P296" i="16"/>
  <c r="N296" i="16"/>
  <c r="L296" i="16"/>
  <c r="J296" i="16"/>
  <c r="H296" i="16"/>
  <c r="F296" i="16"/>
  <c r="E296" i="16"/>
  <c r="D296" i="16"/>
  <c r="C296" i="16"/>
  <c r="B296" i="16"/>
  <c r="A296" i="16"/>
  <c r="T295" i="16"/>
  <c r="N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D294" i="16"/>
  <c r="C294" i="16"/>
  <c r="B294" i="16"/>
  <c r="A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D293" i="16"/>
  <c r="C293" i="16"/>
  <c r="B293" i="16"/>
  <c r="A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D292" i="16"/>
  <c r="C292" i="16"/>
  <c r="B292" i="16"/>
  <c r="A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D291" i="16"/>
  <c r="C291" i="16"/>
  <c r="B291" i="16"/>
  <c r="A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D290" i="16"/>
  <c r="C290" i="16"/>
  <c r="B290" i="16"/>
  <c r="A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D289" i="16"/>
  <c r="C289" i="16"/>
  <c r="B289" i="16"/>
  <c r="A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D288" i="16"/>
  <c r="C288" i="16"/>
  <c r="B288" i="16"/>
  <c r="A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D287" i="16"/>
  <c r="C287" i="16"/>
  <c r="B287" i="16"/>
  <c r="A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D286" i="16"/>
  <c r="C286" i="16"/>
  <c r="B286" i="16"/>
  <c r="A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D285" i="16"/>
  <c r="C285" i="16"/>
  <c r="B285" i="16"/>
  <c r="A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D284" i="16"/>
  <c r="C284" i="16"/>
  <c r="B284" i="16"/>
  <c r="A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D283" i="16"/>
  <c r="C283" i="16"/>
  <c r="B283" i="16"/>
  <c r="A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D282" i="16"/>
  <c r="C282" i="16"/>
  <c r="B282" i="16"/>
  <c r="A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D281" i="16"/>
  <c r="C281" i="16"/>
  <c r="B281" i="16"/>
  <c r="A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D280" i="16"/>
  <c r="C280" i="16"/>
  <c r="B280" i="16"/>
  <c r="A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D279" i="16"/>
  <c r="C279" i="16"/>
  <c r="B279" i="16"/>
  <c r="A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D278" i="16"/>
  <c r="C278" i="16"/>
  <c r="B278" i="16"/>
  <c r="A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D277" i="16"/>
  <c r="C277" i="16"/>
  <c r="B277" i="16"/>
  <c r="A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D276" i="16"/>
  <c r="C276" i="16"/>
  <c r="B276" i="16"/>
  <c r="A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D275" i="16"/>
  <c r="C275" i="16"/>
  <c r="B275" i="16"/>
  <c r="A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D274" i="16"/>
  <c r="C274" i="16"/>
  <c r="B274" i="16"/>
  <c r="A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D273" i="16"/>
  <c r="C273" i="16"/>
  <c r="B273" i="16"/>
  <c r="A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D272" i="16"/>
  <c r="C272" i="16"/>
  <c r="B272" i="16"/>
  <c r="A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D271" i="16"/>
  <c r="C271" i="16"/>
  <c r="B271" i="16"/>
  <c r="A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D270" i="16"/>
  <c r="C270" i="16"/>
  <c r="B270" i="16"/>
  <c r="A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D269" i="16"/>
  <c r="C269" i="16"/>
  <c r="B269" i="16"/>
  <c r="A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D268" i="16"/>
  <c r="C268" i="16"/>
  <c r="B268" i="16"/>
  <c r="A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D267" i="16"/>
  <c r="C267" i="16"/>
  <c r="B267" i="16"/>
  <c r="A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D266" i="16"/>
  <c r="C266" i="16"/>
  <c r="B266" i="16"/>
  <c r="A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D265" i="16"/>
  <c r="C265" i="16"/>
  <c r="B265" i="16"/>
  <c r="A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D264" i="16"/>
  <c r="C264" i="16"/>
  <c r="B264" i="16"/>
  <c r="A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D263" i="16"/>
  <c r="C263" i="16"/>
  <c r="B263" i="16"/>
  <c r="A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D262" i="16"/>
  <c r="C262" i="16"/>
  <c r="B262" i="16"/>
  <c r="A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D261" i="16"/>
  <c r="C261" i="16"/>
  <c r="B261" i="16"/>
  <c r="A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D260" i="16"/>
  <c r="C260" i="16"/>
  <c r="B260" i="16"/>
  <c r="A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D259" i="16"/>
  <c r="C259" i="16"/>
  <c r="B259" i="16"/>
  <c r="A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D258" i="16"/>
  <c r="C258" i="16"/>
  <c r="B258" i="16"/>
  <c r="A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D257" i="16"/>
  <c r="C257" i="16"/>
  <c r="B257" i="16"/>
  <c r="A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D256" i="16"/>
  <c r="C256" i="16"/>
  <c r="B256" i="16"/>
  <c r="A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D255" i="16"/>
  <c r="C255" i="16"/>
  <c r="B255" i="16"/>
  <c r="A255" i="16"/>
  <c r="T254" i="16"/>
  <c r="R254" i="16"/>
  <c r="P254" i="16"/>
  <c r="N254" i="16"/>
  <c r="L254" i="16"/>
  <c r="J254" i="16"/>
  <c r="H254" i="16"/>
  <c r="F254" i="16"/>
  <c r="E254" i="16"/>
  <c r="D254" i="16"/>
  <c r="C254" i="16"/>
  <c r="B254" i="16"/>
  <c r="A254" i="16"/>
  <c r="T253" i="16"/>
  <c r="N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D252" i="16"/>
  <c r="C252" i="16"/>
  <c r="B252" i="16"/>
  <c r="A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D251" i="16"/>
  <c r="C251" i="16"/>
  <c r="B251" i="16"/>
  <c r="A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D250" i="16"/>
  <c r="C250" i="16"/>
  <c r="B250" i="16"/>
  <c r="A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D249" i="16"/>
  <c r="C249" i="16"/>
  <c r="B249" i="16"/>
  <c r="A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D248" i="16"/>
  <c r="C248" i="16"/>
  <c r="B248" i="16"/>
  <c r="A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D247" i="16"/>
  <c r="C247" i="16"/>
  <c r="B247" i="16"/>
  <c r="A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D246" i="16"/>
  <c r="C246" i="16"/>
  <c r="B246" i="16"/>
  <c r="A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D245" i="16"/>
  <c r="C245" i="16"/>
  <c r="B245" i="16"/>
  <c r="A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D244" i="16"/>
  <c r="C244" i="16"/>
  <c r="B244" i="16"/>
  <c r="A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D243" i="16"/>
  <c r="C243" i="16"/>
  <c r="B243" i="16"/>
  <c r="A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D242" i="16"/>
  <c r="C242" i="16"/>
  <c r="B242" i="16"/>
  <c r="A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D241" i="16"/>
  <c r="C241" i="16"/>
  <c r="B241" i="16"/>
  <c r="A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D240" i="16"/>
  <c r="C240" i="16"/>
  <c r="B240" i="16"/>
  <c r="A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D239" i="16"/>
  <c r="C239" i="16"/>
  <c r="B239" i="16"/>
  <c r="A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D238" i="16"/>
  <c r="C238" i="16"/>
  <c r="B238" i="16"/>
  <c r="A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D237" i="16"/>
  <c r="C237" i="16"/>
  <c r="B237" i="16"/>
  <c r="A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D236" i="16"/>
  <c r="C236" i="16"/>
  <c r="B236" i="16"/>
  <c r="A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D235" i="16"/>
  <c r="C235" i="16"/>
  <c r="B235" i="16"/>
  <c r="A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D234" i="16"/>
  <c r="C234" i="16"/>
  <c r="B234" i="16"/>
  <c r="A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D233" i="16"/>
  <c r="C233" i="16"/>
  <c r="B233" i="16"/>
  <c r="A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D232" i="16"/>
  <c r="C232" i="16"/>
  <c r="B232" i="16"/>
  <c r="A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D231" i="16"/>
  <c r="C231" i="16"/>
  <c r="B231" i="16"/>
  <c r="A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D230" i="16"/>
  <c r="C230" i="16"/>
  <c r="B230" i="16"/>
  <c r="A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D229" i="16"/>
  <c r="C229" i="16"/>
  <c r="B229" i="16"/>
  <c r="A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D228" i="16"/>
  <c r="C228" i="16"/>
  <c r="B228" i="16"/>
  <c r="A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D227" i="16"/>
  <c r="C227" i="16"/>
  <c r="B227" i="16"/>
  <c r="A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D226" i="16"/>
  <c r="C226" i="16"/>
  <c r="B226" i="16"/>
  <c r="A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D225" i="16"/>
  <c r="C225" i="16"/>
  <c r="B225" i="16"/>
  <c r="A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D224" i="16"/>
  <c r="C224" i="16"/>
  <c r="B224" i="16"/>
  <c r="A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D223" i="16"/>
  <c r="C223" i="16"/>
  <c r="B223" i="16"/>
  <c r="A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D222" i="16"/>
  <c r="C222" i="16"/>
  <c r="B222" i="16"/>
  <c r="A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D221" i="16"/>
  <c r="C221" i="16"/>
  <c r="B221" i="16"/>
  <c r="A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D220" i="16"/>
  <c r="C220" i="16"/>
  <c r="B220" i="16"/>
  <c r="A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D219" i="16"/>
  <c r="C219" i="16"/>
  <c r="B219" i="16"/>
  <c r="A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D218" i="16"/>
  <c r="C218" i="16"/>
  <c r="B218" i="16"/>
  <c r="A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D217" i="16"/>
  <c r="C217" i="16"/>
  <c r="B217" i="16"/>
  <c r="A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D216" i="16"/>
  <c r="C216" i="16"/>
  <c r="B216" i="16"/>
  <c r="A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D215" i="16"/>
  <c r="C215" i="16"/>
  <c r="B215" i="16"/>
  <c r="A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D214" i="16"/>
  <c r="C214" i="16"/>
  <c r="B214" i="16"/>
  <c r="A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D213" i="16"/>
  <c r="C213" i="16"/>
  <c r="B213" i="16"/>
  <c r="A213" i="16"/>
  <c r="T212" i="16"/>
  <c r="R212" i="16"/>
  <c r="P212" i="16"/>
  <c r="N212" i="16"/>
  <c r="L212" i="16"/>
  <c r="J212" i="16"/>
  <c r="H212" i="16"/>
  <c r="F212" i="16"/>
  <c r="E212" i="16"/>
  <c r="D212" i="16"/>
  <c r="C212" i="16"/>
  <c r="B212" i="16"/>
  <c r="A212" i="16"/>
  <c r="T211" i="16"/>
  <c r="N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D210" i="16"/>
  <c r="C210" i="16"/>
  <c r="B210" i="16"/>
  <c r="A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D209" i="16"/>
  <c r="C209" i="16"/>
  <c r="B209" i="16"/>
  <c r="A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D208" i="16"/>
  <c r="C208" i="16"/>
  <c r="B208" i="16"/>
  <c r="A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D207" i="16"/>
  <c r="C207" i="16"/>
  <c r="B207" i="16"/>
  <c r="A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D206" i="16"/>
  <c r="C206" i="16"/>
  <c r="B206" i="16"/>
  <c r="A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D205" i="16"/>
  <c r="C205" i="16"/>
  <c r="B205" i="16"/>
  <c r="A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D204" i="16"/>
  <c r="C204" i="16"/>
  <c r="B204" i="16"/>
  <c r="A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D203" i="16"/>
  <c r="C203" i="16"/>
  <c r="B203" i="16"/>
  <c r="A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D202" i="16"/>
  <c r="C202" i="16"/>
  <c r="B202" i="16"/>
  <c r="A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D201" i="16"/>
  <c r="C201" i="16"/>
  <c r="B201" i="16"/>
  <c r="A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D200" i="16"/>
  <c r="C200" i="16"/>
  <c r="B200" i="16"/>
  <c r="A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D199" i="16"/>
  <c r="C199" i="16"/>
  <c r="B199" i="16"/>
  <c r="A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D198" i="16"/>
  <c r="C198" i="16"/>
  <c r="B198" i="16"/>
  <c r="A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D197" i="16"/>
  <c r="C197" i="16"/>
  <c r="B197" i="16"/>
  <c r="A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D196" i="16"/>
  <c r="C196" i="16"/>
  <c r="B196" i="16"/>
  <c r="A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D195" i="16"/>
  <c r="C195" i="16"/>
  <c r="B195" i="16"/>
  <c r="A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D194" i="16"/>
  <c r="C194" i="16"/>
  <c r="B194" i="16"/>
  <c r="A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D193" i="16"/>
  <c r="C193" i="16"/>
  <c r="B193" i="16"/>
  <c r="A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D192" i="16"/>
  <c r="C192" i="16"/>
  <c r="B192" i="16"/>
  <c r="A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D191" i="16"/>
  <c r="C191" i="16"/>
  <c r="B191" i="16"/>
  <c r="A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D190" i="16"/>
  <c r="C190" i="16"/>
  <c r="B190" i="16"/>
  <c r="A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D189" i="16"/>
  <c r="C189" i="16"/>
  <c r="B189" i="16"/>
  <c r="A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D188" i="16"/>
  <c r="C188" i="16"/>
  <c r="B188" i="16"/>
  <c r="A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D187" i="16"/>
  <c r="C187" i="16"/>
  <c r="B187" i="16"/>
  <c r="A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D186" i="16"/>
  <c r="C186" i="16"/>
  <c r="B186" i="16"/>
  <c r="A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D185" i="16"/>
  <c r="C185" i="16"/>
  <c r="B185" i="16"/>
  <c r="A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D184" i="16"/>
  <c r="C184" i="16"/>
  <c r="B184" i="16"/>
  <c r="A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D183" i="16"/>
  <c r="C183" i="16"/>
  <c r="B183" i="16"/>
  <c r="A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D182" i="16"/>
  <c r="C182" i="16"/>
  <c r="B182" i="16"/>
  <c r="A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D181" i="16"/>
  <c r="C181" i="16"/>
  <c r="B181" i="16"/>
  <c r="A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D180" i="16"/>
  <c r="C180" i="16"/>
  <c r="B180" i="16"/>
  <c r="A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D179" i="16"/>
  <c r="C179" i="16"/>
  <c r="B179" i="16"/>
  <c r="A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D178" i="16"/>
  <c r="C178" i="16"/>
  <c r="B178" i="16"/>
  <c r="A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D177" i="16"/>
  <c r="C177" i="16"/>
  <c r="B177" i="16"/>
  <c r="A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D176" i="16"/>
  <c r="C176" i="16"/>
  <c r="B176" i="16"/>
  <c r="A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D175" i="16"/>
  <c r="C175" i="16"/>
  <c r="B175" i="16"/>
  <c r="A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D174" i="16"/>
  <c r="C174" i="16"/>
  <c r="B174" i="16"/>
  <c r="A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D173" i="16"/>
  <c r="C173" i="16"/>
  <c r="B173" i="16"/>
  <c r="A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D172" i="16"/>
  <c r="C172" i="16"/>
  <c r="B172" i="16"/>
  <c r="A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D171" i="16"/>
  <c r="C171" i="16"/>
  <c r="B171" i="16"/>
  <c r="A171" i="16"/>
  <c r="T170" i="16"/>
  <c r="R170" i="16"/>
  <c r="P170" i="16"/>
  <c r="N170" i="16"/>
  <c r="L170" i="16"/>
  <c r="J170" i="16"/>
  <c r="H170" i="16"/>
  <c r="F170" i="16"/>
  <c r="E170" i="16"/>
  <c r="D170" i="16"/>
  <c r="C170" i="16"/>
  <c r="B170" i="16"/>
  <c r="A170" i="16"/>
  <c r="T169" i="16"/>
  <c r="N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D168" i="16"/>
  <c r="C168" i="16"/>
  <c r="B168" i="16"/>
  <c r="A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D167" i="16"/>
  <c r="C167" i="16"/>
  <c r="B167" i="16"/>
  <c r="A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D166" i="16"/>
  <c r="C166" i="16"/>
  <c r="B166" i="16"/>
  <c r="A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D165" i="16"/>
  <c r="C165" i="16"/>
  <c r="B165" i="16"/>
  <c r="A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D164" i="16"/>
  <c r="C164" i="16"/>
  <c r="B164" i="16"/>
  <c r="A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D163" i="16"/>
  <c r="C163" i="16"/>
  <c r="B163" i="16"/>
  <c r="A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D162" i="16"/>
  <c r="C162" i="16"/>
  <c r="B162" i="16"/>
  <c r="A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D161" i="16"/>
  <c r="C161" i="16"/>
  <c r="B161" i="16"/>
  <c r="A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D160" i="16"/>
  <c r="C160" i="16"/>
  <c r="B160" i="16"/>
  <c r="A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D159" i="16"/>
  <c r="C159" i="16"/>
  <c r="B159" i="16"/>
  <c r="A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D158" i="16"/>
  <c r="C158" i="16"/>
  <c r="B158" i="16"/>
  <c r="A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D157" i="16"/>
  <c r="C157" i="16"/>
  <c r="B157" i="16"/>
  <c r="A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D156" i="16"/>
  <c r="C156" i="16"/>
  <c r="B156" i="16"/>
  <c r="A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D155" i="16"/>
  <c r="C155" i="16"/>
  <c r="B155" i="16"/>
  <c r="A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D154" i="16"/>
  <c r="C154" i="16"/>
  <c r="B154" i="16"/>
  <c r="A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D153" i="16"/>
  <c r="C153" i="16"/>
  <c r="B153" i="16"/>
  <c r="A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D152" i="16"/>
  <c r="C152" i="16"/>
  <c r="B152" i="16"/>
  <c r="A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D151" i="16"/>
  <c r="C151" i="16"/>
  <c r="B151" i="16"/>
  <c r="A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D150" i="16"/>
  <c r="C150" i="16"/>
  <c r="B150" i="16"/>
  <c r="A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D149" i="16"/>
  <c r="C149" i="16"/>
  <c r="B149" i="16"/>
  <c r="A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D148" i="16"/>
  <c r="C148" i="16"/>
  <c r="B148" i="16"/>
  <c r="A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D147" i="16"/>
  <c r="C147" i="16"/>
  <c r="B147" i="16"/>
  <c r="A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D146" i="16"/>
  <c r="C146" i="16"/>
  <c r="B146" i="16"/>
  <c r="A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D145" i="16"/>
  <c r="C145" i="16"/>
  <c r="B145" i="16"/>
  <c r="A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D144" i="16"/>
  <c r="C144" i="16"/>
  <c r="B144" i="16"/>
  <c r="A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D143" i="16"/>
  <c r="C143" i="16"/>
  <c r="B143" i="16"/>
  <c r="A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D142" i="16"/>
  <c r="C142" i="16"/>
  <c r="B142" i="16"/>
  <c r="A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D141" i="16"/>
  <c r="C141" i="16"/>
  <c r="B141" i="16"/>
  <c r="A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D140" i="16"/>
  <c r="C140" i="16"/>
  <c r="B140" i="16"/>
  <c r="A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D139" i="16"/>
  <c r="C139" i="16"/>
  <c r="B139" i="16"/>
  <c r="A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D138" i="16"/>
  <c r="C138" i="16"/>
  <c r="B138" i="16"/>
  <c r="A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D137" i="16"/>
  <c r="C137" i="16"/>
  <c r="B137" i="16"/>
  <c r="A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D136" i="16"/>
  <c r="C136" i="16"/>
  <c r="B136" i="16"/>
  <c r="A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D135" i="16"/>
  <c r="C135" i="16"/>
  <c r="B135" i="16"/>
  <c r="A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D134" i="16"/>
  <c r="C134" i="16"/>
  <c r="B134" i="16"/>
  <c r="A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D133" i="16"/>
  <c r="C133" i="16"/>
  <c r="B133" i="16"/>
  <c r="A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D132" i="16"/>
  <c r="C132" i="16"/>
  <c r="B132" i="16"/>
  <c r="A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D131" i="16"/>
  <c r="C131" i="16"/>
  <c r="B131" i="16"/>
  <c r="A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D130" i="16"/>
  <c r="C130" i="16"/>
  <c r="B130" i="16"/>
  <c r="A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D129" i="16"/>
  <c r="C129" i="16"/>
  <c r="B129" i="16"/>
  <c r="A129" i="16"/>
  <c r="T128" i="16"/>
  <c r="R128" i="16"/>
  <c r="P128" i="16"/>
  <c r="N128" i="16"/>
  <c r="L128" i="16"/>
  <c r="J128" i="16"/>
  <c r="H128" i="16"/>
  <c r="F128" i="16"/>
  <c r="E128" i="16"/>
  <c r="D128" i="16"/>
  <c r="C128" i="16"/>
  <c r="B128" i="16"/>
  <c r="A128" i="16"/>
  <c r="T127" i="16"/>
  <c r="N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D126" i="16"/>
  <c r="C126" i="16"/>
  <c r="B126" i="16"/>
  <c r="A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D125" i="16"/>
  <c r="C125" i="16"/>
  <c r="B125" i="16"/>
  <c r="A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D124" i="16"/>
  <c r="C124" i="16"/>
  <c r="B124" i="16"/>
  <c r="A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D123" i="16"/>
  <c r="C123" i="16"/>
  <c r="B123" i="16"/>
  <c r="A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D122" i="16"/>
  <c r="C122" i="16"/>
  <c r="B122" i="16"/>
  <c r="A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D121" i="16"/>
  <c r="C121" i="16"/>
  <c r="B121" i="16"/>
  <c r="A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D120" i="16"/>
  <c r="C120" i="16"/>
  <c r="B120" i="16"/>
  <c r="A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D119" i="16"/>
  <c r="C119" i="16"/>
  <c r="B119" i="16"/>
  <c r="A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D118" i="16"/>
  <c r="C118" i="16"/>
  <c r="B118" i="16"/>
  <c r="A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D117" i="16"/>
  <c r="C117" i="16"/>
  <c r="B117" i="16"/>
  <c r="A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D116" i="16"/>
  <c r="C116" i="16"/>
  <c r="B116" i="16"/>
  <c r="A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D115" i="16"/>
  <c r="C115" i="16"/>
  <c r="B115" i="16"/>
  <c r="A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D114" i="16"/>
  <c r="C114" i="16"/>
  <c r="B114" i="16"/>
  <c r="A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D113" i="16"/>
  <c r="C113" i="16"/>
  <c r="B113" i="16"/>
  <c r="A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D112" i="16"/>
  <c r="C112" i="16"/>
  <c r="B112" i="16"/>
  <c r="A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D111" i="16"/>
  <c r="C111" i="16"/>
  <c r="B111" i="16"/>
  <c r="A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D110" i="16"/>
  <c r="C110" i="16"/>
  <c r="B110" i="16"/>
  <c r="A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D109" i="16"/>
  <c r="C109" i="16"/>
  <c r="B109" i="16"/>
  <c r="A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D108" i="16"/>
  <c r="C108" i="16"/>
  <c r="B108" i="16"/>
  <c r="A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D107" i="16"/>
  <c r="C107" i="16"/>
  <c r="B107" i="16"/>
  <c r="A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D106" i="16"/>
  <c r="C106" i="16"/>
  <c r="B106" i="16"/>
  <c r="A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D105" i="16"/>
  <c r="C105" i="16"/>
  <c r="B105" i="16"/>
  <c r="A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D104" i="16"/>
  <c r="C104" i="16"/>
  <c r="B104" i="16"/>
  <c r="A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D103" i="16"/>
  <c r="C103" i="16"/>
  <c r="B103" i="16"/>
  <c r="A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D102" i="16"/>
  <c r="C102" i="16"/>
  <c r="B102" i="16"/>
  <c r="A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D101" i="16"/>
  <c r="C101" i="16"/>
  <c r="B101" i="16"/>
  <c r="A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D100" i="16"/>
  <c r="C100" i="16"/>
  <c r="B100" i="16"/>
  <c r="A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A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A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D97" i="16"/>
  <c r="C97" i="16"/>
  <c r="B97" i="16"/>
  <c r="A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D96" i="16"/>
  <c r="C96" i="16"/>
  <c r="B96" i="16"/>
  <c r="A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D95" i="16"/>
  <c r="C95" i="16"/>
  <c r="B95" i="16"/>
  <c r="A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D94" i="16"/>
  <c r="C94" i="16"/>
  <c r="B94" i="16"/>
  <c r="A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D93" i="16"/>
  <c r="C93" i="16"/>
  <c r="B93" i="16"/>
  <c r="A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D92" i="16"/>
  <c r="C92" i="16"/>
  <c r="B92" i="16"/>
  <c r="A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D91" i="16"/>
  <c r="C91" i="16"/>
  <c r="B91" i="16"/>
  <c r="A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D90" i="16"/>
  <c r="C90" i="16"/>
  <c r="B90" i="16"/>
  <c r="A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D89" i="16"/>
  <c r="C89" i="16"/>
  <c r="B89" i="16"/>
  <c r="A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D88" i="16"/>
  <c r="C88" i="16"/>
  <c r="B88" i="16"/>
  <c r="A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A87" i="16"/>
  <c r="T86" i="16"/>
  <c r="R86" i="16"/>
  <c r="P86" i="16"/>
  <c r="N86" i="16"/>
  <c r="L86" i="16"/>
  <c r="J86" i="16"/>
  <c r="H86" i="16"/>
  <c r="F86" i="16"/>
  <c r="E86" i="16"/>
  <c r="D86" i="16"/>
  <c r="C86" i="16"/>
  <c r="B86" i="16"/>
  <c r="A86" i="16"/>
  <c r="T85" i="16"/>
  <c r="N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D84" i="16"/>
  <c r="C84" i="16"/>
  <c r="B84" i="16"/>
  <c r="A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D83" i="16"/>
  <c r="C83" i="16"/>
  <c r="B83" i="16"/>
  <c r="A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D82" i="16"/>
  <c r="C82" i="16"/>
  <c r="B82" i="16"/>
  <c r="A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D81" i="16"/>
  <c r="C81" i="16"/>
  <c r="B81" i="16"/>
  <c r="A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D80" i="16"/>
  <c r="C80" i="16"/>
  <c r="B80" i="16"/>
  <c r="A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D79" i="16"/>
  <c r="C79" i="16"/>
  <c r="B79" i="16"/>
  <c r="A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D78" i="16"/>
  <c r="C78" i="16"/>
  <c r="B78" i="16"/>
  <c r="A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D77" i="16"/>
  <c r="C77" i="16"/>
  <c r="B77" i="16"/>
  <c r="A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B76" i="16"/>
  <c r="A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D75" i="16"/>
  <c r="C75" i="16"/>
  <c r="B75" i="16"/>
  <c r="A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D74" i="16"/>
  <c r="C74" i="16"/>
  <c r="B74" i="16"/>
  <c r="A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D73" i="16"/>
  <c r="C73" i="16"/>
  <c r="B73" i="16"/>
  <c r="A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D72" i="16"/>
  <c r="C72" i="16"/>
  <c r="B72" i="16"/>
  <c r="A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D71" i="16"/>
  <c r="C71" i="16"/>
  <c r="B71" i="16"/>
  <c r="A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D70" i="16"/>
  <c r="C70" i="16"/>
  <c r="B70" i="16"/>
  <c r="A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D69" i="16"/>
  <c r="C69" i="16"/>
  <c r="B69" i="16"/>
  <c r="A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D68" i="16"/>
  <c r="C68" i="16"/>
  <c r="B68" i="16"/>
  <c r="A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A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D66" i="16"/>
  <c r="C66" i="16"/>
  <c r="B66" i="16"/>
  <c r="A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D65" i="16"/>
  <c r="C65" i="16"/>
  <c r="B65" i="16"/>
  <c r="A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D64" i="16"/>
  <c r="C64" i="16"/>
  <c r="B64" i="16"/>
  <c r="A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D63" i="16"/>
  <c r="C63" i="16"/>
  <c r="B63" i="16"/>
  <c r="A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D62" i="16"/>
  <c r="C62" i="16"/>
  <c r="B62" i="16"/>
  <c r="A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1" i="16"/>
  <c r="C61" i="16"/>
  <c r="B61" i="16"/>
  <c r="A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A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D59" i="16"/>
  <c r="C59" i="16"/>
  <c r="B59" i="16"/>
  <c r="A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D58" i="16"/>
  <c r="C58" i="16"/>
  <c r="B58" i="16"/>
  <c r="A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D57" i="16"/>
  <c r="C57" i="16"/>
  <c r="B57" i="16"/>
  <c r="A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D56" i="16"/>
  <c r="C56" i="16"/>
  <c r="B56" i="16"/>
  <c r="A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D55" i="16"/>
  <c r="C55" i="16"/>
  <c r="B55" i="16"/>
  <c r="A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D54" i="16"/>
  <c r="C54" i="16"/>
  <c r="B54" i="16"/>
  <c r="A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D53" i="16"/>
  <c r="C53" i="16"/>
  <c r="B53" i="16"/>
  <c r="A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D52" i="16"/>
  <c r="C52" i="16"/>
  <c r="B52" i="16"/>
  <c r="A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D51" i="16"/>
  <c r="C51" i="16"/>
  <c r="B51" i="16"/>
  <c r="A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C50" i="16"/>
  <c r="B50" i="16"/>
  <c r="A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T44" i="16"/>
  <c r="R44" i="16"/>
  <c r="P44" i="16"/>
  <c r="N44" i="16"/>
  <c r="L44" i="16"/>
  <c r="J44" i="16"/>
  <c r="H44" i="16"/>
  <c r="F44" i="16"/>
  <c r="E44" i="16"/>
  <c r="D44" i="16"/>
  <c r="C44" i="16"/>
  <c r="B44" i="16"/>
  <c r="A44" i="16"/>
  <c r="T43" i="16"/>
  <c r="N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A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D8" i="16"/>
  <c r="C8" i="16"/>
  <c r="B8" i="16"/>
  <c r="A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D7" i="16"/>
  <c r="C7" i="16"/>
  <c r="B7" i="16"/>
  <c r="A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D6" i="16"/>
  <c r="C6" i="16"/>
  <c r="B6" i="16"/>
  <c r="A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T1" i="16"/>
  <c r="N1" i="16"/>
  <c r="A1" i="16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D369" i="15"/>
  <c r="C369" i="15"/>
  <c r="B369" i="15"/>
  <c r="A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D368" i="15"/>
  <c r="C368" i="15"/>
  <c r="B368" i="15"/>
  <c r="A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D367" i="15"/>
  <c r="C367" i="15"/>
  <c r="B367" i="15"/>
  <c r="A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D366" i="15"/>
  <c r="C366" i="15"/>
  <c r="B366" i="15"/>
  <c r="A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D365" i="15"/>
  <c r="C365" i="15"/>
  <c r="B365" i="15"/>
  <c r="A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D364" i="15"/>
  <c r="C364" i="15"/>
  <c r="B364" i="15"/>
  <c r="A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D363" i="15"/>
  <c r="C363" i="15"/>
  <c r="B363" i="15"/>
  <c r="A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D362" i="15"/>
  <c r="C362" i="15"/>
  <c r="B362" i="15"/>
  <c r="A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D361" i="15"/>
  <c r="C361" i="15"/>
  <c r="B361" i="15"/>
  <c r="A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D360" i="15"/>
  <c r="C360" i="15"/>
  <c r="B360" i="15"/>
  <c r="A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D359" i="15"/>
  <c r="C359" i="15"/>
  <c r="B359" i="15"/>
  <c r="A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D358" i="15"/>
  <c r="C358" i="15"/>
  <c r="B358" i="15"/>
  <c r="A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D357" i="15"/>
  <c r="C357" i="15"/>
  <c r="B357" i="15"/>
  <c r="A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D356" i="15"/>
  <c r="C356" i="15"/>
  <c r="B356" i="15"/>
  <c r="A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D355" i="15"/>
  <c r="C355" i="15"/>
  <c r="B355" i="15"/>
  <c r="A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D354" i="15"/>
  <c r="C354" i="15"/>
  <c r="B354" i="15"/>
  <c r="A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D353" i="15"/>
  <c r="C353" i="15"/>
  <c r="B353" i="15"/>
  <c r="A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D352" i="15"/>
  <c r="C352" i="15"/>
  <c r="B352" i="15"/>
  <c r="A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D351" i="15"/>
  <c r="C351" i="15"/>
  <c r="B351" i="15"/>
  <c r="A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D350" i="15"/>
  <c r="C350" i="15"/>
  <c r="B350" i="15"/>
  <c r="A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D349" i="15"/>
  <c r="C349" i="15"/>
  <c r="B349" i="15"/>
  <c r="A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D348" i="15"/>
  <c r="C348" i="15"/>
  <c r="B348" i="15"/>
  <c r="A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D347" i="15"/>
  <c r="C347" i="15"/>
  <c r="B347" i="15"/>
  <c r="A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D346" i="15"/>
  <c r="C346" i="15"/>
  <c r="B346" i="15"/>
  <c r="A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D345" i="15"/>
  <c r="C345" i="15"/>
  <c r="B345" i="15"/>
  <c r="A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D344" i="15"/>
  <c r="C344" i="15"/>
  <c r="B344" i="15"/>
  <c r="A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D343" i="15"/>
  <c r="C343" i="15"/>
  <c r="B343" i="15"/>
  <c r="A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D342" i="15"/>
  <c r="C342" i="15"/>
  <c r="B342" i="15"/>
  <c r="A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D341" i="15"/>
  <c r="C341" i="15"/>
  <c r="B341" i="15"/>
  <c r="A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D340" i="15"/>
  <c r="C340" i="15"/>
  <c r="B340" i="15"/>
  <c r="A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D339" i="15"/>
  <c r="C339" i="15"/>
  <c r="B339" i="15"/>
  <c r="A339" i="15"/>
  <c r="T338" i="15"/>
  <c r="R338" i="15"/>
  <c r="P338" i="15"/>
  <c r="N338" i="15"/>
  <c r="L338" i="15"/>
  <c r="J338" i="15"/>
  <c r="H338" i="15"/>
  <c r="F338" i="15"/>
  <c r="E338" i="15"/>
  <c r="D338" i="15"/>
  <c r="C338" i="15"/>
  <c r="B338" i="15"/>
  <c r="A338" i="15"/>
  <c r="T337" i="15"/>
  <c r="N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D336" i="15"/>
  <c r="C336" i="15"/>
  <c r="B336" i="15"/>
  <c r="A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D335" i="15"/>
  <c r="C335" i="15"/>
  <c r="B335" i="15"/>
  <c r="A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D334" i="15"/>
  <c r="C334" i="15"/>
  <c r="B334" i="15"/>
  <c r="A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D333" i="15"/>
  <c r="C333" i="15"/>
  <c r="B333" i="15"/>
  <c r="A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D332" i="15"/>
  <c r="C332" i="15"/>
  <c r="B332" i="15"/>
  <c r="A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D331" i="15"/>
  <c r="C331" i="15"/>
  <c r="B331" i="15"/>
  <c r="A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D330" i="15"/>
  <c r="C330" i="15"/>
  <c r="B330" i="15"/>
  <c r="A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D329" i="15"/>
  <c r="C329" i="15"/>
  <c r="B329" i="15"/>
  <c r="A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D328" i="15"/>
  <c r="C328" i="15"/>
  <c r="B328" i="15"/>
  <c r="A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D327" i="15"/>
  <c r="C327" i="15"/>
  <c r="B327" i="15"/>
  <c r="A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D326" i="15"/>
  <c r="C326" i="15"/>
  <c r="B326" i="15"/>
  <c r="A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D325" i="15"/>
  <c r="C325" i="15"/>
  <c r="B325" i="15"/>
  <c r="A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D324" i="15"/>
  <c r="C324" i="15"/>
  <c r="B324" i="15"/>
  <c r="A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D323" i="15"/>
  <c r="C323" i="15"/>
  <c r="B323" i="15"/>
  <c r="A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D322" i="15"/>
  <c r="C322" i="15"/>
  <c r="B322" i="15"/>
  <c r="A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D321" i="15"/>
  <c r="C321" i="15"/>
  <c r="B321" i="15"/>
  <c r="A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D320" i="15"/>
  <c r="C320" i="15"/>
  <c r="B320" i="15"/>
  <c r="A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D319" i="15"/>
  <c r="C319" i="15"/>
  <c r="B319" i="15"/>
  <c r="A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D318" i="15"/>
  <c r="C318" i="15"/>
  <c r="B318" i="15"/>
  <c r="A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D317" i="15"/>
  <c r="C317" i="15"/>
  <c r="B317" i="15"/>
  <c r="A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D316" i="15"/>
  <c r="C316" i="15"/>
  <c r="B316" i="15"/>
  <c r="A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D315" i="15"/>
  <c r="C315" i="15"/>
  <c r="B315" i="15"/>
  <c r="A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D314" i="15"/>
  <c r="C314" i="15"/>
  <c r="B314" i="15"/>
  <c r="A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D313" i="15"/>
  <c r="C313" i="15"/>
  <c r="B313" i="15"/>
  <c r="A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D312" i="15"/>
  <c r="C312" i="15"/>
  <c r="B312" i="15"/>
  <c r="A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D311" i="15"/>
  <c r="C311" i="15"/>
  <c r="B311" i="15"/>
  <c r="A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D310" i="15"/>
  <c r="C310" i="15"/>
  <c r="B310" i="15"/>
  <c r="A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D309" i="15"/>
  <c r="C309" i="15"/>
  <c r="B309" i="15"/>
  <c r="A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D308" i="15"/>
  <c r="C308" i="15"/>
  <c r="B308" i="15"/>
  <c r="A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D307" i="15"/>
  <c r="C307" i="15"/>
  <c r="B307" i="15"/>
  <c r="A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D306" i="15"/>
  <c r="C306" i="15"/>
  <c r="B306" i="15"/>
  <c r="A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D305" i="15"/>
  <c r="C305" i="15"/>
  <c r="B305" i="15"/>
  <c r="A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D304" i="15"/>
  <c r="C304" i="15"/>
  <c r="B304" i="15"/>
  <c r="A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D303" i="15"/>
  <c r="C303" i="15"/>
  <c r="B303" i="15"/>
  <c r="A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D302" i="15"/>
  <c r="C302" i="15"/>
  <c r="B302" i="15"/>
  <c r="A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D301" i="15"/>
  <c r="C301" i="15"/>
  <c r="B301" i="15"/>
  <c r="A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D300" i="15"/>
  <c r="C300" i="15"/>
  <c r="B300" i="15"/>
  <c r="A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D299" i="15"/>
  <c r="C299" i="15"/>
  <c r="B299" i="15"/>
  <c r="A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D298" i="15"/>
  <c r="C298" i="15"/>
  <c r="B298" i="15"/>
  <c r="A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D297" i="15"/>
  <c r="C297" i="15"/>
  <c r="B297" i="15"/>
  <c r="A297" i="15"/>
  <c r="T296" i="15"/>
  <c r="R296" i="15"/>
  <c r="P296" i="15"/>
  <c r="N296" i="15"/>
  <c r="L296" i="15"/>
  <c r="J296" i="15"/>
  <c r="H296" i="15"/>
  <c r="F296" i="15"/>
  <c r="E296" i="15"/>
  <c r="D296" i="15"/>
  <c r="C296" i="15"/>
  <c r="B296" i="15"/>
  <c r="A296" i="15"/>
  <c r="T295" i="15"/>
  <c r="N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D294" i="15"/>
  <c r="C294" i="15"/>
  <c r="B294" i="15"/>
  <c r="A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D293" i="15"/>
  <c r="C293" i="15"/>
  <c r="B293" i="15"/>
  <c r="A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D292" i="15"/>
  <c r="C292" i="15"/>
  <c r="B292" i="15"/>
  <c r="A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D291" i="15"/>
  <c r="C291" i="15"/>
  <c r="B291" i="15"/>
  <c r="A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D290" i="15"/>
  <c r="C290" i="15"/>
  <c r="B290" i="15"/>
  <c r="A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D289" i="15"/>
  <c r="C289" i="15"/>
  <c r="B289" i="15"/>
  <c r="A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D288" i="15"/>
  <c r="C288" i="15"/>
  <c r="B288" i="15"/>
  <c r="A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D287" i="15"/>
  <c r="C287" i="15"/>
  <c r="B287" i="15"/>
  <c r="A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D286" i="15"/>
  <c r="C286" i="15"/>
  <c r="B286" i="15"/>
  <c r="A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D285" i="15"/>
  <c r="C285" i="15"/>
  <c r="B285" i="15"/>
  <c r="A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D284" i="15"/>
  <c r="C284" i="15"/>
  <c r="B284" i="15"/>
  <c r="A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D283" i="15"/>
  <c r="C283" i="15"/>
  <c r="B283" i="15"/>
  <c r="A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D282" i="15"/>
  <c r="C282" i="15"/>
  <c r="B282" i="15"/>
  <c r="A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D281" i="15"/>
  <c r="C281" i="15"/>
  <c r="B281" i="15"/>
  <c r="A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D280" i="15"/>
  <c r="C280" i="15"/>
  <c r="B280" i="15"/>
  <c r="A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D279" i="15"/>
  <c r="C279" i="15"/>
  <c r="B279" i="15"/>
  <c r="A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D278" i="15"/>
  <c r="C278" i="15"/>
  <c r="B278" i="15"/>
  <c r="A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D277" i="15"/>
  <c r="C277" i="15"/>
  <c r="B277" i="15"/>
  <c r="A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D276" i="15"/>
  <c r="C276" i="15"/>
  <c r="B276" i="15"/>
  <c r="A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D275" i="15"/>
  <c r="C275" i="15"/>
  <c r="B275" i="15"/>
  <c r="A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D274" i="15"/>
  <c r="C274" i="15"/>
  <c r="B274" i="15"/>
  <c r="A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D273" i="15"/>
  <c r="C273" i="15"/>
  <c r="B273" i="15"/>
  <c r="A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D272" i="15"/>
  <c r="C272" i="15"/>
  <c r="B272" i="15"/>
  <c r="A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D271" i="15"/>
  <c r="C271" i="15"/>
  <c r="B271" i="15"/>
  <c r="A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D270" i="15"/>
  <c r="C270" i="15"/>
  <c r="B270" i="15"/>
  <c r="A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D269" i="15"/>
  <c r="C269" i="15"/>
  <c r="B269" i="15"/>
  <c r="A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D268" i="15"/>
  <c r="C268" i="15"/>
  <c r="B268" i="15"/>
  <c r="A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D267" i="15"/>
  <c r="C267" i="15"/>
  <c r="B267" i="15"/>
  <c r="A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D266" i="15"/>
  <c r="C266" i="15"/>
  <c r="B266" i="15"/>
  <c r="A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D265" i="15"/>
  <c r="C265" i="15"/>
  <c r="B265" i="15"/>
  <c r="A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D264" i="15"/>
  <c r="C264" i="15"/>
  <c r="B264" i="15"/>
  <c r="A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D263" i="15"/>
  <c r="C263" i="15"/>
  <c r="B263" i="15"/>
  <c r="A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D262" i="15"/>
  <c r="C262" i="15"/>
  <c r="B262" i="15"/>
  <c r="A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D261" i="15"/>
  <c r="C261" i="15"/>
  <c r="B261" i="15"/>
  <c r="A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A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A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A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A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A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A255" i="15"/>
  <c r="T254" i="15"/>
  <c r="R254" i="15"/>
  <c r="P254" i="15"/>
  <c r="N254" i="15"/>
  <c r="L254" i="15"/>
  <c r="J254" i="15"/>
  <c r="H254" i="15"/>
  <c r="F254" i="15"/>
  <c r="E254" i="15"/>
  <c r="D254" i="15"/>
  <c r="C254" i="15"/>
  <c r="B254" i="15"/>
  <c r="A254" i="15"/>
  <c r="T253" i="15"/>
  <c r="N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D252" i="15"/>
  <c r="C252" i="15"/>
  <c r="B252" i="15"/>
  <c r="A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D251" i="15"/>
  <c r="C251" i="15"/>
  <c r="B251" i="15"/>
  <c r="A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A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A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A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A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A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A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A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A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D242" i="15"/>
  <c r="C242" i="15"/>
  <c r="B242" i="15"/>
  <c r="A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D241" i="15"/>
  <c r="C241" i="15"/>
  <c r="B241" i="15"/>
  <c r="A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A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A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A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A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A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A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A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D233" i="15"/>
  <c r="C233" i="15"/>
  <c r="B233" i="15"/>
  <c r="A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D232" i="15"/>
  <c r="C232" i="15"/>
  <c r="B232" i="15"/>
  <c r="A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A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A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A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A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A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A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A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A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D223" i="15"/>
  <c r="C223" i="15"/>
  <c r="B223" i="15"/>
  <c r="A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D222" i="15"/>
  <c r="C222" i="15"/>
  <c r="B222" i="15"/>
  <c r="A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D221" i="15"/>
  <c r="C221" i="15"/>
  <c r="B221" i="15"/>
  <c r="A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C220" i="15"/>
  <c r="B220" i="15"/>
  <c r="A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A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D218" i="15"/>
  <c r="C218" i="15"/>
  <c r="B218" i="15"/>
  <c r="A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D217" i="15"/>
  <c r="C217" i="15"/>
  <c r="B217" i="15"/>
  <c r="A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D216" i="15"/>
  <c r="C216" i="15"/>
  <c r="B216" i="15"/>
  <c r="A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A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D214" i="15"/>
  <c r="C214" i="15"/>
  <c r="B214" i="15"/>
  <c r="A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D213" i="15"/>
  <c r="C213" i="15"/>
  <c r="B213" i="15"/>
  <c r="A213" i="15"/>
  <c r="T212" i="15"/>
  <c r="R212" i="15"/>
  <c r="P212" i="15"/>
  <c r="N212" i="15"/>
  <c r="L212" i="15"/>
  <c r="J212" i="15"/>
  <c r="H212" i="15"/>
  <c r="F212" i="15"/>
  <c r="E212" i="15"/>
  <c r="D212" i="15"/>
  <c r="C212" i="15"/>
  <c r="B212" i="15"/>
  <c r="A212" i="15"/>
  <c r="T211" i="15"/>
  <c r="N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D210" i="15"/>
  <c r="C210" i="15"/>
  <c r="B210" i="15"/>
  <c r="A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D209" i="15"/>
  <c r="C209" i="15"/>
  <c r="B209" i="15"/>
  <c r="A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A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A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A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A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D204" i="15"/>
  <c r="C204" i="15"/>
  <c r="B204" i="15"/>
  <c r="A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D203" i="15"/>
  <c r="C203" i="15"/>
  <c r="B203" i="15"/>
  <c r="A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A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A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A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D199" i="15"/>
  <c r="C199" i="15"/>
  <c r="B199" i="15"/>
  <c r="A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A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A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A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A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A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A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A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A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A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A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188" i="15"/>
  <c r="A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D187" i="15"/>
  <c r="C187" i="15"/>
  <c r="B187" i="15"/>
  <c r="A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D186" i="15"/>
  <c r="C186" i="15"/>
  <c r="B186" i="15"/>
  <c r="A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A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A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A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A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D181" i="15"/>
  <c r="C181" i="15"/>
  <c r="B181" i="15"/>
  <c r="A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A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A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A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A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A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A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A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A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A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D171" i="15"/>
  <c r="C171" i="15"/>
  <c r="B171" i="15"/>
  <c r="A171" i="15"/>
  <c r="T170" i="15"/>
  <c r="R170" i="15"/>
  <c r="P170" i="15"/>
  <c r="N170" i="15"/>
  <c r="L170" i="15"/>
  <c r="J170" i="15"/>
  <c r="H170" i="15"/>
  <c r="F170" i="15"/>
  <c r="E170" i="15"/>
  <c r="D170" i="15"/>
  <c r="C170" i="15"/>
  <c r="B170" i="15"/>
  <c r="A170" i="15"/>
  <c r="T169" i="15"/>
  <c r="N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A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A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A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A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A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B163" i="15"/>
  <c r="A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D162" i="15"/>
  <c r="C162" i="15"/>
  <c r="B162" i="15"/>
  <c r="A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D161" i="15"/>
  <c r="C161" i="15"/>
  <c r="B161" i="15"/>
  <c r="A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C160" i="15"/>
  <c r="B160" i="15"/>
  <c r="A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C159" i="15"/>
  <c r="B159" i="15"/>
  <c r="A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C158" i="15"/>
  <c r="B158" i="15"/>
  <c r="A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C157" i="15"/>
  <c r="B157" i="15"/>
  <c r="A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C156" i="15"/>
  <c r="B156" i="15"/>
  <c r="A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C155" i="15"/>
  <c r="B155" i="15"/>
  <c r="A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C154" i="15"/>
  <c r="B154" i="15"/>
  <c r="A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C153" i="15"/>
  <c r="B153" i="15"/>
  <c r="A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C152" i="15"/>
  <c r="B152" i="15"/>
  <c r="A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C151" i="15"/>
  <c r="B151" i="15"/>
  <c r="A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C150" i="15"/>
  <c r="B150" i="15"/>
  <c r="A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C149" i="15"/>
  <c r="B149" i="15"/>
  <c r="A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C148" i="15"/>
  <c r="B148" i="15"/>
  <c r="A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C147" i="15"/>
  <c r="B147" i="15"/>
  <c r="A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C146" i="15"/>
  <c r="B146" i="15"/>
  <c r="A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C145" i="15"/>
  <c r="B145" i="15"/>
  <c r="A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C144" i="15"/>
  <c r="B144" i="15"/>
  <c r="A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C143" i="15"/>
  <c r="B143" i="15"/>
  <c r="A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C142" i="15"/>
  <c r="B142" i="15"/>
  <c r="A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C141" i="15"/>
  <c r="B141" i="15"/>
  <c r="A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C140" i="15"/>
  <c r="B140" i="15"/>
  <c r="A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C139" i="15"/>
  <c r="B139" i="15"/>
  <c r="A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C138" i="15"/>
  <c r="B138" i="15"/>
  <c r="A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C137" i="15"/>
  <c r="B137" i="15"/>
  <c r="A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C136" i="15"/>
  <c r="B136" i="15"/>
  <c r="A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C135" i="15"/>
  <c r="B135" i="15"/>
  <c r="A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C134" i="15"/>
  <c r="B134" i="15"/>
  <c r="A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C133" i="15"/>
  <c r="B133" i="15"/>
  <c r="A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C132" i="15"/>
  <c r="B132" i="15"/>
  <c r="A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C131" i="15"/>
  <c r="B131" i="15"/>
  <c r="A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C130" i="15"/>
  <c r="B130" i="15"/>
  <c r="A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C129" i="15"/>
  <c r="B129" i="15"/>
  <c r="A129" i="15"/>
  <c r="T128" i="15"/>
  <c r="R128" i="15"/>
  <c r="P128" i="15"/>
  <c r="N128" i="15"/>
  <c r="L128" i="15"/>
  <c r="J128" i="15"/>
  <c r="H128" i="15"/>
  <c r="F128" i="15"/>
  <c r="E128" i="15"/>
  <c r="D128" i="15"/>
  <c r="C128" i="15"/>
  <c r="B128" i="15"/>
  <c r="A128" i="15"/>
  <c r="T127" i="15"/>
  <c r="N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C126" i="15"/>
  <c r="B126" i="15"/>
  <c r="A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C125" i="15"/>
  <c r="B125" i="15"/>
  <c r="A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C124" i="15"/>
  <c r="B124" i="15"/>
  <c r="A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C123" i="15"/>
  <c r="B123" i="15"/>
  <c r="A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C122" i="15"/>
  <c r="B122" i="15"/>
  <c r="A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C121" i="15"/>
  <c r="B121" i="15"/>
  <c r="A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C120" i="15"/>
  <c r="B120" i="15"/>
  <c r="A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C119" i="15"/>
  <c r="B119" i="15"/>
  <c r="A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C118" i="15"/>
  <c r="B118" i="15"/>
  <c r="A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C117" i="15"/>
  <c r="B117" i="15"/>
  <c r="A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C116" i="15"/>
  <c r="B116" i="15"/>
  <c r="A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C115" i="15"/>
  <c r="B115" i="15"/>
  <c r="A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C114" i="15"/>
  <c r="B114" i="15"/>
  <c r="A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C113" i="15"/>
  <c r="B113" i="15"/>
  <c r="A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C112" i="15"/>
  <c r="B112" i="15"/>
  <c r="A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C111" i="15"/>
  <c r="B111" i="15"/>
  <c r="A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C110" i="15"/>
  <c r="B110" i="15"/>
  <c r="A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C109" i="15"/>
  <c r="B109" i="15"/>
  <c r="A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C108" i="15"/>
  <c r="B108" i="15"/>
  <c r="A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C107" i="15"/>
  <c r="B107" i="15"/>
  <c r="A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C106" i="15"/>
  <c r="B106" i="15"/>
  <c r="A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C105" i="15"/>
  <c r="B105" i="15"/>
  <c r="A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C104" i="15"/>
  <c r="B104" i="15"/>
  <c r="A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C103" i="15"/>
  <c r="B103" i="15"/>
  <c r="A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C102" i="15"/>
  <c r="B102" i="15"/>
  <c r="A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C101" i="15"/>
  <c r="B101" i="15"/>
  <c r="A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C100" i="15"/>
  <c r="B100" i="15"/>
  <c r="A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C99" i="15"/>
  <c r="B99" i="15"/>
  <c r="A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C98" i="15"/>
  <c r="B98" i="15"/>
  <c r="A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C97" i="15"/>
  <c r="B97" i="15"/>
  <c r="A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C96" i="15"/>
  <c r="B96" i="15"/>
  <c r="A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C95" i="15"/>
  <c r="B95" i="15"/>
  <c r="A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C94" i="15"/>
  <c r="B94" i="15"/>
  <c r="A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C93" i="15"/>
  <c r="B93" i="15"/>
  <c r="A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C92" i="15"/>
  <c r="B92" i="15"/>
  <c r="A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C91" i="15"/>
  <c r="B91" i="15"/>
  <c r="A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C90" i="15"/>
  <c r="B90" i="15"/>
  <c r="A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C89" i="15"/>
  <c r="B89" i="15"/>
  <c r="A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C88" i="15"/>
  <c r="B88" i="15"/>
  <c r="A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C87" i="15"/>
  <c r="B87" i="15"/>
  <c r="A87" i="15"/>
  <c r="T86" i="15"/>
  <c r="R86" i="15"/>
  <c r="P86" i="15"/>
  <c r="N86" i="15"/>
  <c r="L86" i="15"/>
  <c r="J86" i="15"/>
  <c r="H86" i="15"/>
  <c r="F86" i="15"/>
  <c r="E86" i="15"/>
  <c r="D86" i="15"/>
  <c r="C86" i="15"/>
  <c r="B86" i="15"/>
  <c r="A86" i="15"/>
  <c r="T85" i="15"/>
  <c r="N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C84" i="15"/>
  <c r="B84" i="15"/>
  <c r="A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C83" i="15"/>
  <c r="B83" i="15"/>
  <c r="A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C82" i="15"/>
  <c r="B82" i="15"/>
  <c r="A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C81" i="15"/>
  <c r="B81" i="15"/>
  <c r="A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C80" i="15"/>
  <c r="B80" i="15"/>
  <c r="A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C79" i="15"/>
  <c r="B79" i="15"/>
  <c r="A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C78" i="15"/>
  <c r="B78" i="15"/>
  <c r="A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C77" i="15"/>
  <c r="B77" i="15"/>
  <c r="A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C76" i="15"/>
  <c r="B76" i="15"/>
  <c r="A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C75" i="15"/>
  <c r="B75" i="15"/>
  <c r="A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C74" i="15"/>
  <c r="B74" i="15"/>
  <c r="A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C73" i="15"/>
  <c r="B73" i="15"/>
  <c r="A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C72" i="15"/>
  <c r="B72" i="15"/>
  <c r="A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C71" i="15"/>
  <c r="B71" i="15"/>
  <c r="A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C70" i="15"/>
  <c r="B70" i="15"/>
  <c r="A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C69" i="15"/>
  <c r="B69" i="15"/>
  <c r="A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C68" i="15"/>
  <c r="B68" i="15"/>
  <c r="A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C67" i="15"/>
  <c r="B67" i="15"/>
  <c r="A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C66" i="15"/>
  <c r="B66" i="15"/>
  <c r="A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C65" i="15"/>
  <c r="B65" i="15"/>
  <c r="A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C64" i="15"/>
  <c r="B64" i="15"/>
  <c r="A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C63" i="15"/>
  <c r="B63" i="15"/>
  <c r="A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C62" i="15"/>
  <c r="B62" i="15"/>
  <c r="A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C61" i="15"/>
  <c r="B61" i="15"/>
  <c r="A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C60" i="15"/>
  <c r="B60" i="15"/>
  <c r="A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C59" i="15"/>
  <c r="B59" i="15"/>
  <c r="A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C58" i="15"/>
  <c r="B58" i="15"/>
  <c r="A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C57" i="15"/>
  <c r="B57" i="15"/>
  <c r="A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C56" i="15"/>
  <c r="B56" i="15"/>
  <c r="A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C55" i="15"/>
  <c r="B55" i="15"/>
  <c r="A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C54" i="15"/>
  <c r="B54" i="15"/>
  <c r="A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C53" i="15"/>
  <c r="B53" i="15"/>
  <c r="A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C52" i="15"/>
  <c r="B52" i="15"/>
  <c r="A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C51" i="15"/>
  <c r="B51" i="15"/>
  <c r="A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C50" i="15"/>
  <c r="B50" i="15"/>
  <c r="A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C49" i="15"/>
  <c r="B49" i="15"/>
  <c r="A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C48" i="15"/>
  <c r="B48" i="15"/>
  <c r="A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C47" i="15"/>
  <c r="B47" i="15"/>
  <c r="A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C46" i="15"/>
  <c r="B46" i="15"/>
  <c r="A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C45" i="15"/>
  <c r="B45" i="15"/>
  <c r="A45" i="15"/>
  <c r="T44" i="15"/>
  <c r="R44" i="15"/>
  <c r="P44" i="15"/>
  <c r="N44" i="15"/>
  <c r="L44" i="15"/>
  <c r="J44" i="15"/>
  <c r="H44" i="15"/>
  <c r="F44" i="15"/>
  <c r="E44" i="15"/>
  <c r="D44" i="15"/>
  <c r="C44" i="15"/>
  <c r="B44" i="15"/>
  <c r="A44" i="15"/>
  <c r="T43" i="15"/>
  <c r="N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C42" i="15"/>
  <c r="B42" i="15"/>
  <c r="A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C41" i="15"/>
  <c r="B41" i="15"/>
  <c r="A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C40" i="15"/>
  <c r="B40" i="15"/>
  <c r="A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C39" i="15"/>
  <c r="B39" i="15"/>
  <c r="A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5"/>
  <c r="B38" i="15"/>
  <c r="A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B37" i="15"/>
  <c r="A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C36" i="15"/>
  <c r="B36" i="15"/>
  <c r="A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C35" i="15"/>
  <c r="B35" i="15"/>
  <c r="A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C34" i="15"/>
  <c r="B34" i="15"/>
  <c r="A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C33" i="15"/>
  <c r="B33" i="15"/>
  <c r="A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C32" i="15"/>
  <c r="B32" i="15"/>
  <c r="A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C31" i="15"/>
  <c r="B31" i="15"/>
  <c r="A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C30" i="15"/>
  <c r="B30" i="15"/>
  <c r="A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A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A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C27" i="15"/>
  <c r="B27" i="15"/>
  <c r="A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C26" i="15"/>
  <c r="B26" i="15"/>
  <c r="A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C25" i="15"/>
  <c r="B25" i="15"/>
  <c r="A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C24" i="15"/>
  <c r="B24" i="15"/>
  <c r="A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C23" i="15"/>
  <c r="B23" i="15"/>
  <c r="A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C22" i="15"/>
  <c r="B22" i="15"/>
  <c r="A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C21" i="15"/>
  <c r="B21" i="15"/>
  <c r="A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C20" i="15"/>
  <c r="B20" i="15"/>
  <c r="A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C19" i="15"/>
  <c r="B19" i="15"/>
  <c r="A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C18" i="15"/>
  <c r="B18" i="15"/>
  <c r="A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C17" i="15"/>
  <c r="B17" i="15"/>
  <c r="A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C16" i="15"/>
  <c r="B16" i="15"/>
  <c r="A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C15" i="15"/>
  <c r="B15" i="15"/>
  <c r="A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C14" i="15"/>
  <c r="B14" i="15"/>
  <c r="A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C13" i="15"/>
  <c r="B13" i="15"/>
  <c r="A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C12" i="15"/>
  <c r="B12" i="15"/>
  <c r="A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B11" i="15"/>
  <c r="A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D8" i="15"/>
  <c r="C8" i="15"/>
  <c r="B8" i="15"/>
  <c r="A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3" i="15"/>
  <c r="T1" i="15"/>
  <c r="N1" i="15"/>
  <c r="A1" i="15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D369" i="14"/>
  <c r="C369" i="14"/>
  <c r="B369" i="14"/>
  <c r="A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D368" i="14"/>
  <c r="C368" i="14"/>
  <c r="B368" i="14"/>
  <c r="A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D367" i="14"/>
  <c r="C367" i="14"/>
  <c r="B367" i="14"/>
  <c r="A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D366" i="14"/>
  <c r="C366" i="14"/>
  <c r="B366" i="14"/>
  <c r="A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D365" i="14"/>
  <c r="C365" i="14"/>
  <c r="B365" i="14"/>
  <c r="A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D364" i="14"/>
  <c r="C364" i="14"/>
  <c r="B364" i="14"/>
  <c r="A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D363" i="14"/>
  <c r="C363" i="14"/>
  <c r="B363" i="14"/>
  <c r="A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D362" i="14"/>
  <c r="C362" i="14"/>
  <c r="B362" i="14"/>
  <c r="A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D361" i="14"/>
  <c r="C361" i="14"/>
  <c r="B361" i="14"/>
  <c r="A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D360" i="14"/>
  <c r="C360" i="14"/>
  <c r="B360" i="14"/>
  <c r="A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D359" i="14"/>
  <c r="C359" i="14"/>
  <c r="B359" i="14"/>
  <c r="A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D358" i="14"/>
  <c r="C358" i="14"/>
  <c r="B358" i="14"/>
  <c r="A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D357" i="14"/>
  <c r="C357" i="14"/>
  <c r="B357" i="14"/>
  <c r="A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D356" i="14"/>
  <c r="C356" i="14"/>
  <c r="B356" i="14"/>
  <c r="A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D355" i="14"/>
  <c r="C355" i="14"/>
  <c r="B355" i="14"/>
  <c r="A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D354" i="14"/>
  <c r="C354" i="14"/>
  <c r="B354" i="14"/>
  <c r="A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D353" i="14"/>
  <c r="C353" i="14"/>
  <c r="B353" i="14"/>
  <c r="A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D352" i="14"/>
  <c r="C352" i="14"/>
  <c r="B352" i="14"/>
  <c r="A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D351" i="14"/>
  <c r="C351" i="14"/>
  <c r="B351" i="14"/>
  <c r="A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D350" i="14"/>
  <c r="C350" i="14"/>
  <c r="B350" i="14"/>
  <c r="A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D349" i="14"/>
  <c r="C349" i="14"/>
  <c r="B349" i="14"/>
  <c r="A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D348" i="14"/>
  <c r="C348" i="14"/>
  <c r="B348" i="14"/>
  <c r="A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D347" i="14"/>
  <c r="C347" i="14"/>
  <c r="B347" i="14"/>
  <c r="A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D346" i="14"/>
  <c r="C346" i="14"/>
  <c r="B346" i="14"/>
  <c r="A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D345" i="14"/>
  <c r="C345" i="14"/>
  <c r="B345" i="14"/>
  <c r="A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D344" i="14"/>
  <c r="C344" i="14"/>
  <c r="B344" i="14"/>
  <c r="A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D343" i="14"/>
  <c r="C343" i="14"/>
  <c r="B343" i="14"/>
  <c r="A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D342" i="14"/>
  <c r="C342" i="14"/>
  <c r="B342" i="14"/>
  <c r="A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D341" i="14"/>
  <c r="C341" i="14"/>
  <c r="B341" i="14"/>
  <c r="A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D340" i="14"/>
  <c r="C340" i="14"/>
  <c r="B340" i="14"/>
  <c r="A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D339" i="14"/>
  <c r="C339" i="14"/>
  <c r="B339" i="14"/>
  <c r="A339" i="14"/>
  <c r="T338" i="14"/>
  <c r="R338" i="14"/>
  <c r="P338" i="14"/>
  <c r="N338" i="14"/>
  <c r="L338" i="14"/>
  <c r="J338" i="14"/>
  <c r="H338" i="14"/>
  <c r="F338" i="14"/>
  <c r="E338" i="14"/>
  <c r="D338" i="14"/>
  <c r="C338" i="14"/>
  <c r="B338" i="14"/>
  <c r="A338" i="14"/>
  <c r="T337" i="14"/>
  <c r="N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D336" i="14"/>
  <c r="C336" i="14"/>
  <c r="B336" i="14"/>
  <c r="A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D335" i="14"/>
  <c r="C335" i="14"/>
  <c r="B335" i="14"/>
  <c r="A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D334" i="14"/>
  <c r="C334" i="14"/>
  <c r="B334" i="14"/>
  <c r="A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D333" i="14"/>
  <c r="C333" i="14"/>
  <c r="B333" i="14"/>
  <c r="A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D332" i="14"/>
  <c r="C332" i="14"/>
  <c r="B332" i="14"/>
  <c r="A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D331" i="14"/>
  <c r="C331" i="14"/>
  <c r="B331" i="14"/>
  <c r="A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D330" i="14"/>
  <c r="C330" i="14"/>
  <c r="B330" i="14"/>
  <c r="A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D329" i="14"/>
  <c r="C329" i="14"/>
  <c r="B329" i="14"/>
  <c r="A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D328" i="14"/>
  <c r="C328" i="14"/>
  <c r="B328" i="14"/>
  <c r="A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D327" i="14"/>
  <c r="C327" i="14"/>
  <c r="B327" i="14"/>
  <c r="A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D326" i="14"/>
  <c r="C326" i="14"/>
  <c r="B326" i="14"/>
  <c r="A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D325" i="14"/>
  <c r="C325" i="14"/>
  <c r="B325" i="14"/>
  <c r="A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D324" i="14"/>
  <c r="C324" i="14"/>
  <c r="B324" i="14"/>
  <c r="A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D323" i="14"/>
  <c r="C323" i="14"/>
  <c r="B323" i="14"/>
  <c r="A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D322" i="14"/>
  <c r="C322" i="14"/>
  <c r="B322" i="14"/>
  <c r="A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D321" i="14"/>
  <c r="C321" i="14"/>
  <c r="B321" i="14"/>
  <c r="A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D320" i="14"/>
  <c r="C320" i="14"/>
  <c r="B320" i="14"/>
  <c r="A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D319" i="14"/>
  <c r="C319" i="14"/>
  <c r="B319" i="14"/>
  <c r="A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D318" i="14"/>
  <c r="C318" i="14"/>
  <c r="B318" i="14"/>
  <c r="A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D317" i="14"/>
  <c r="C317" i="14"/>
  <c r="B317" i="14"/>
  <c r="A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D316" i="14"/>
  <c r="C316" i="14"/>
  <c r="B316" i="14"/>
  <c r="A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D315" i="14"/>
  <c r="C315" i="14"/>
  <c r="B315" i="14"/>
  <c r="A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D314" i="14"/>
  <c r="C314" i="14"/>
  <c r="B314" i="14"/>
  <c r="A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D313" i="14"/>
  <c r="C313" i="14"/>
  <c r="B313" i="14"/>
  <c r="A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D312" i="14"/>
  <c r="C312" i="14"/>
  <c r="B312" i="14"/>
  <c r="A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D311" i="14"/>
  <c r="C311" i="14"/>
  <c r="B311" i="14"/>
  <c r="A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D310" i="14"/>
  <c r="C310" i="14"/>
  <c r="B310" i="14"/>
  <c r="A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D309" i="14"/>
  <c r="C309" i="14"/>
  <c r="B309" i="14"/>
  <c r="A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D308" i="14"/>
  <c r="C308" i="14"/>
  <c r="B308" i="14"/>
  <c r="A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D307" i="14"/>
  <c r="C307" i="14"/>
  <c r="B307" i="14"/>
  <c r="A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D306" i="14"/>
  <c r="C306" i="14"/>
  <c r="B306" i="14"/>
  <c r="A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D305" i="14"/>
  <c r="C305" i="14"/>
  <c r="B305" i="14"/>
  <c r="A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D304" i="14"/>
  <c r="C304" i="14"/>
  <c r="B304" i="14"/>
  <c r="A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D303" i="14"/>
  <c r="C303" i="14"/>
  <c r="B303" i="14"/>
  <c r="A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D302" i="14"/>
  <c r="C302" i="14"/>
  <c r="B302" i="14"/>
  <c r="A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D301" i="14"/>
  <c r="C301" i="14"/>
  <c r="B301" i="14"/>
  <c r="A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D300" i="14"/>
  <c r="C300" i="14"/>
  <c r="B300" i="14"/>
  <c r="A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D299" i="14"/>
  <c r="C299" i="14"/>
  <c r="B299" i="14"/>
  <c r="A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D298" i="14"/>
  <c r="C298" i="14"/>
  <c r="B298" i="14"/>
  <c r="A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D297" i="14"/>
  <c r="C297" i="14"/>
  <c r="B297" i="14"/>
  <c r="A297" i="14"/>
  <c r="T296" i="14"/>
  <c r="R296" i="14"/>
  <c r="P296" i="14"/>
  <c r="N296" i="14"/>
  <c r="L296" i="14"/>
  <c r="J296" i="14"/>
  <c r="H296" i="14"/>
  <c r="F296" i="14"/>
  <c r="E296" i="14"/>
  <c r="D296" i="14"/>
  <c r="C296" i="14"/>
  <c r="B296" i="14"/>
  <c r="A296" i="14"/>
  <c r="T295" i="14"/>
  <c r="N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D294" i="14"/>
  <c r="C294" i="14"/>
  <c r="B294" i="14"/>
  <c r="A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D293" i="14"/>
  <c r="C293" i="14"/>
  <c r="B293" i="14"/>
  <c r="A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D292" i="14"/>
  <c r="C292" i="14"/>
  <c r="B292" i="14"/>
  <c r="A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D291" i="14"/>
  <c r="C291" i="14"/>
  <c r="B291" i="14"/>
  <c r="A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D290" i="14"/>
  <c r="C290" i="14"/>
  <c r="B290" i="14"/>
  <c r="A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D289" i="14"/>
  <c r="C289" i="14"/>
  <c r="B289" i="14"/>
  <c r="A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D288" i="14"/>
  <c r="C288" i="14"/>
  <c r="B288" i="14"/>
  <c r="A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D287" i="14"/>
  <c r="C287" i="14"/>
  <c r="B287" i="14"/>
  <c r="A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D286" i="14"/>
  <c r="C286" i="14"/>
  <c r="B286" i="14"/>
  <c r="A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D285" i="14"/>
  <c r="C285" i="14"/>
  <c r="B285" i="14"/>
  <c r="A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D284" i="14"/>
  <c r="C284" i="14"/>
  <c r="B284" i="14"/>
  <c r="A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D283" i="14"/>
  <c r="C283" i="14"/>
  <c r="B283" i="14"/>
  <c r="A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D282" i="14"/>
  <c r="C282" i="14"/>
  <c r="B282" i="14"/>
  <c r="A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D281" i="14"/>
  <c r="C281" i="14"/>
  <c r="B281" i="14"/>
  <c r="A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D280" i="14"/>
  <c r="C280" i="14"/>
  <c r="B280" i="14"/>
  <c r="A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D279" i="14"/>
  <c r="C279" i="14"/>
  <c r="B279" i="14"/>
  <c r="A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D278" i="14"/>
  <c r="C278" i="14"/>
  <c r="B278" i="14"/>
  <c r="A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D277" i="14"/>
  <c r="C277" i="14"/>
  <c r="B277" i="14"/>
  <c r="A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D276" i="14"/>
  <c r="C276" i="14"/>
  <c r="B276" i="14"/>
  <c r="A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D275" i="14"/>
  <c r="C275" i="14"/>
  <c r="B275" i="14"/>
  <c r="A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D274" i="14"/>
  <c r="C274" i="14"/>
  <c r="B274" i="14"/>
  <c r="A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D273" i="14"/>
  <c r="C273" i="14"/>
  <c r="B273" i="14"/>
  <c r="A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D272" i="14"/>
  <c r="C272" i="14"/>
  <c r="B272" i="14"/>
  <c r="A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D271" i="14"/>
  <c r="C271" i="14"/>
  <c r="B271" i="14"/>
  <c r="A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D270" i="14"/>
  <c r="C270" i="14"/>
  <c r="B270" i="14"/>
  <c r="A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D269" i="14"/>
  <c r="C269" i="14"/>
  <c r="B269" i="14"/>
  <c r="A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D268" i="14"/>
  <c r="C268" i="14"/>
  <c r="B268" i="14"/>
  <c r="A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D267" i="14"/>
  <c r="C267" i="14"/>
  <c r="B267" i="14"/>
  <c r="A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D266" i="14"/>
  <c r="C266" i="14"/>
  <c r="B266" i="14"/>
  <c r="A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D265" i="14"/>
  <c r="C265" i="14"/>
  <c r="B265" i="14"/>
  <c r="A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D264" i="14"/>
  <c r="C264" i="14"/>
  <c r="B264" i="14"/>
  <c r="A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D263" i="14"/>
  <c r="C263" i="14"/>
  <c r="B263" i="14"/>
  <c r="A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D262" i="14"/>
  <c r="C262" i="14"/>
  <c r="B262" i="14"/>
  <c r="A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D261" i="14"/>
  <c r="C261" i="14"/>
  <c r="B261" i="14"/>
  <c r="A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A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A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A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A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A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A255" i="14"/>
  <c r="T254" i="14"/>
  <c r="R254" i="14"/>
  <c r="P254" i="14"/>
  <c r="N254" i="14"/>
  <c r="L254" i="14"/>
  <c r="J254" i="14"/>
  <c r="H254" i="14"/>
  <c r="F254" i="14"/>
  <c r="E254" i="14"/>
  <c r="D254" i="14"/>
  <c r="C254" i="14"/>
  <c r="B254" i="14"/>
  <c r="A254" i="14"/>
  <c r="T253" i="14"/>
  <c r="N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D252" i="14"/>
  <c r="C252" i="14"/>
  <c r="B252" i="14"/>
  <c r="A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D251" i="14"/>
  <c r="C251" i="14"/>
  <c r="B251" i="14"/>
  <c r="A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A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A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A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A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A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A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A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A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D242" i="14"/>
  <c r="C242" i="14"/>
  <c r="B242" i="14"/>
  <c r="A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D241" i="14"/>
  <c r="C241" i="14"/>
  <c r="B241" i="14"/>
  <c r="A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A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A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A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A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A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A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A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A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D232" i="14"/>
  <c r="C232" i="14"/>
  <c r="B232" i="14"/>
  <c r="A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A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A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A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A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A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A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A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A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D223" i="14"/>
  <c r="C223" i="14"/>
  <c r="B223" i="14"/>
  <c r="A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D222" i="14"/>
  <c r="C222" i="14"/>
  <c r="B222" i="14"/>
  <c r="A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D221" i="14"/>
  <c r="C221" i="14"/>
  <c r="B221" i="14"/>
  <c r="A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D220" i="14"/>
  <c r="C220" i="14"/>
  <c r="B220" i="14"/>
  <c r="A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A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A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A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D216" i="14"/>
  <c r="C216" i="14"/>
  <c r="B216" i="14"/>
  <c r="A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A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A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A213" i="14"/>
  <c r="T212" i="14"/>
  <c r="R212" i="14"/>
  <c r="P212" i="14"/>
  <c r="N212" i="14"/>
  <c r="L212" i="14"/>
  <c r="J212" i="14"/>
  <c r="H212" i="14"/>
  <c r="F212" i="14"/>
  <c r="E212" i="14"/>
  <c r="D212" i="14"/>
  <c r="C212" i="14"/>
  <c r="B212" i="14"/>
  <c r="A212" i="14"/>
  <c r="T211" i="14"/>
  <c r="N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A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A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A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A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A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C205" i="14"/>
  <c r="B205" i="14"/>
  <c r="A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D204" i="14"/>
  <c r="C204" i="14"/>
  <c r="B204" i="14"/>
  <c r="A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D203" i="14"/>
  <c r="C203" i="14"/>
  <c r="B203" i="14"/>
  <c r="A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A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A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A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D199" i="14"/>
  <c r="C199" i="14"/>
  <c r="B199" i="14"/>
  <c r="A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A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A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A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A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A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A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A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A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A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A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188" i="14"/>
  <c r="A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187" i="14"/>
  <c r="A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186" i="14"/>
  <c r="A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185" i="14"/>
  <c r="A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A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A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A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A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A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A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A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A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A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A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A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A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A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171" i="14"/>
  <c r="A171" i="14"/>
  <c r="T170" i="14"/>
  <c r="R170" i="14"/>
  <c r="P170" i="14"/>
  <c r="N170" i="14"/>
  <c r="L170" i="14"/>
  <c r="J170" i="14"/>
  <c r="H170" i="14"/>
  <c r="F170" i="14"/>
  <c r="E170" i="14"/>
  <c r="D170" i="14"/>
  <c r="C170" i="14"/>
  <c r="B170" i="14"/>
  <c r="A170" i="14"/>
  <c r="T169" i="14"/>
  <c r="N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A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A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A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A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A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A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A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161" i="14"/>
  <c r="A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A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A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158" i="14"/>
  <c r="A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157" i="14"/>
  <c r="A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156" i="14"/>
  <c r="A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A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154" i="14"/>
  <c r="A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T128" i="14"/>
  <c r="R128" i="14"/>
  <c r="P128" i="14"/>
  <c r="N128" i="14"/>
  <c r="L128" i="14"/>
  <c r="J128" i="14"/>
  <c r="H128" i="14"/>
  <c r="F128" i="14"/>
  <c r="E128" i="14"/>
  <c r="D128" i="14"/>
  <c r="C128" i="14"/>
  <c r="B128" i="14"/>
  <c r="A128" i="14"/>
  <c r="T127" i="14"/>
  <c r="N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T86" i="14"/>
  <c r="R86" i="14"/>
  <c r="P86" i="14"/>
  <c r="N86" i="14"/>
  <c r="L86" i="14"/>
  <c r="J86" i="14"/>
  <c r="H86" i="14"/>
  <c r="F86" i="14"/>
  <c r="E86" i="14"/>
  <c r="D86" i="14"/>
  <c r="C86" i="14"/>
  <c r="B86" i="14"/>
  <c r="A86" i="14"/>
  <c r="T85" i="14"/>
  <c r="N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T44" i="14"/>
  <c r="R44" i="14"/>
  <c r="P44" i="14"/>
  <c r="N44" i="14"/>
  <c r="L44" i="14"/>
  <c r="J44" i="14"/>
  <c r="H44" i="14"/>
  <c r="F44" i="14"/>
  <c r="E44" i="14"/>
  <c r="D44" i="14"/>
  <c r="C44" i="14"/>
  <c r="B44" i="14"/>
  <c r="A44" i="14"/>
  <c r="T43" i="14"/>
  <c r="N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T1" i="14"/>
  <c r="N1" i="14"/>
  <c r="A1" i="14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D369" i="13"/>
  <c r="C369" i="13"/>
  <c r="B369" i="13"/>
  <c r="A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D368" i="13"/>
  <c r="C368" i="13"/>
  <c r="B368" i="13"/>
  <c r="A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D367" i="13"/>
  <c r="C367" i="13"/>
  <c r="B367" i="13"/>
  <c r="A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D366" i="13"/>
  <c r="C366" i="13"/>
  <c r="B366" i="13"/>
  <c r="A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D365" i="13"/>
  <c r="C365" i="13"/>
  <c r="B365" i="13"/>
  <c r="A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D364" i="13"/>
  <c r="C364" i="13"/>
  <c r="B364" i="13"/>
  <c r="A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D363" i="13"/>
  <c r="C363" i="13"/>
  <c r="B363" i="13"/>
  <c r="A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D362" i="13"/>
  <c r="C362" i="13"/>
  <c r="B362" i="13"/>
  <c r="A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D361" i="13"/>
  <c r="C361" i="13"/>
  <c r="B361" i="13"/>
  <c r="A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D360" i="13"/>
  <c r="C360" i="13"/>
  <c r="B360" i="13"/>
  <c r="A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D359" i="13"/>
  <c r="C359" i="13"/>
  <c r="B359" i="13"/>
  <c r="A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D358" i="13"/>
  <c r="C358" i="13"/>
  <c r="B358" i="13"/>
  <c r="A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D357" i="13"/>
  <c r="C357" i="13"/>
  <c r="B357" i="13"/>
  <c r="A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D356" i="13"/>
  <c r="C356" i="13"/>
  <c r="B356" i="13"/>
  <c r="A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D355" i="13"/>
  <c r="C355" i="13"/>
  <c r="B355" i="13"/>
  <c r="A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D354" i="13"/>
  <c r="C354" i="13"/>
  <c r="B354" i="13"/>
  <c r="A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D353" i="13"/>
  <c r="C353" i="13"/>
  <c r="B353" i="13"/>
  <c r="A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D352" i="13"/>
  <c r="C352" i="13"/>
  <c r="B352" i="13"/>
  <c r="A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D351" i="13"/>
  <c r="C351" i="13"/>
  <c r="B351" i="13"/>
  <c r="A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D350" i="13"/>
  <c r="C350" i="13"/>
  <c r="B350" i="13"/>
  <c r="A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D349" i="13"/>
  <c r="C349" i="13"/>
  <c r="B349" i="13"/>
  <c r="A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D348" i="13"/>
  <c r="C348" i="13"/>
  <c r="B348" i="13"/>
  <c r="A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D347" i="13"/>
  <c r="C347" i="13"/>
  <c r="B347" i="13"/>
  <c r="A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D346" i="13"/>
  <c r="C346" i="13"/>
  <c r="B346" i="13"/>
  <c r="A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D345" i="13"/>
  <c r="C345" i="13"/>
  <c r="B345" i="13"/>
  <c r="A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D344" i="13"/>
  <c r="C344" i="13"/>
  <c r="B344" i="13"/>
  <c r="A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D343" i="13"/>
  <c r="C343" i="13"/>
  <c r="B343" i="13"/>
  <c r="A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D342" i="13"/>
  <c r="C342" i="13"/>
  <c r="B342" i="13"/>
  <c r="A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D341" i="13"/>
  <c r="C341" i="13"/>
  <c r="B341" i="13"/>
  <c r="A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D340" i="13"/>
  <c r="C340" i="13"/>
  <c r="B340" i="13"/>
  <c r="A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D339" i="13"/>
  <c r="C339" i="13"/>
  <c r="B339" i="13"/>
  <c r="A339" i="13"/>
  <c r="T338" i="13"/>
  <c r="R338" i="13"/>
  <c r="P338" i="13"/>
  <c r="N338" i="13"/>
  <c r="L338" i="13"/>
  <c r="J338" i="13"/>
  <c r="H338" i="13"/>
  <c r="F338" i="13"/>
  <c r="E338" i="13"/>
  <c r="D338" i="13"/>
  <c r="C338" i="13"/>
  <c r="B338" i="13"/>
  <c r="A338" i="13"/>
  <c r="T337" i="13"/>
  <c r="N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D336" i="13"/>
  <c r="C336" i="13"/>
  <c r="B336" i="13"/>
  <c r="A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D335" i="13"/>
  <c r="C335" i="13"/>
  <c r="B335" i="13"/>
  <c r="A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D334" i="13"/>
  <c r="C334" i="13"/>
  <c r="B334" i="13"/>
  <c r="A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D333" i="13"/>
  <c r="C333" i="13"/>
  <c r="B333" i="13"/>
  <c r="A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D332" i="13"/>
  <c r="C332" i="13"/>
  <c r="B332" i="13"/>
  <c r="A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D331" i="13"/>
  <c r="C331" i="13"/>
  <c r="B331" i="13"/>
  <c r="A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D330" i="13"/>
  <c r="C330" i="13"/>
  <c r="B330" i="13"/>
  <c r="A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D329" i="13"/>
  <c r="C329" i="13"/>
  <c r="B329" i="13"/>
  <c r="A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D328" i="13"/>
  <c r="C328" i="13"/>
  <c r="B328" i="13"/>
  <c r="A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D327" i="13"/>
  <c r="C327" i="13"/>
  <c r="B327" i="13"/>
  <c r="A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D326" i="13"/>
  <c r="C326" i="13"/>
  <c r="B326" i="13"/>
  <c r="A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D325" i="13"/>
  <c r="C325" i="13"/>
  <c r="B325" i="13"/>
  <c r="A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D324" i="13"/>
  <c r="C324" i="13"/>
  <c r="B324" i="13"/>
  <c r="A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D323" i="13"/>
  <c r="C323" i="13"/>
  <c r="B323" i="13"/>
  <c r="A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D322" i="13"/>
  <c r="C322" i="13"/>
  <c r="B322" i="13"/>
  <c r="A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D321" i="13"/>
  <c r="C321" i="13"/>
  <c r="B321" i="13"/>
  <c r="A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D320" i="13"/>
  <c r="C320" i="13"/>
  <c r="B320" i="13"/>
  <c r="A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D319" i="13"/>
  <c r="C319" i="13"/>
  <c r="B319" i="13"/>
  <c r="A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D318" i="13"/>
  <c r="C318" i="13"/>
  <c r="B318" i="13"/>
  <c r="A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D317" i="13"/>
  <c r="C317" i="13"/>
  <c r="B317" i="13"/>
  <c r="A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D316" i="13"/>
  <c r="C316" i="13"/>
  <c r="B316" i="13"/>
  <c r="A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D315" i="13"/>
  <c r="C315" i="13"/>
  <c r="B315" i="13"/>
  <c r="A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D314" i="13"/>
  <c r="C314" i="13"/>
  <c r="B314" i="13"/>
  <c r="A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D313" i="13"/>
  <c r="C313" i="13"/>
  <c r="B313" i="13"/>
  <c r="A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D312" i="13"/>
  <c r="C312" i="13"/>
  <c r="B312" i="13"/>
  <c r="A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D311" i="13"/>
  <c r="C311" i="13"/>
  <c r="B311" i="13"/>
  <c r="A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D310" i="13"/>
  <c r="C310" i="13"/>
  <c r="B310" i="13"/>
  <c r="A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D309" i="13"/>
  <c r="C309" i="13"/>
  <c r="B309" i="13"/>
  <c r="A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D308" i="13"/>
  <c r="C308" i="13"/>
  <c r="B308" i="13"/>
  <c r="A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D307" i="13"/>
  <c r="C307" i="13"/>
  <c r="B307" i="13"/>
  <c r="A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D306" i="13"/>
  <c r="C306" i="13"/>
  <c r="B306" i="13"/>
  <c r="A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D305" i="13"/>
  <c r="C305" i="13"/>
  <c r="B305" i="13"/>
  <c r="A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D304" i="13"/>
  <c r="C304" i="13"/>
  <c r="B304" i="13"/>
  <c r="A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D303" i="13"/>
  <c r="C303" i="13"/>
  <c r="B303" i="13"/>
  <c r="A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D302" i="13"/>
  <c r="C302" i="13"/>
  <c r="B302" i="13"/>
  <c r="A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D301" i="13"/>
  <c r="C301" i="13"/>
  <c r="B301" i="13"/>
  <c r="A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D300" i="13"/>
  <c r="C300" i="13"/>
  <c r="B300" i="13"/>
  <c r="A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D299" i="13"/>
  <c r="C299" i="13"/>
  <c r="B299" i="13"/>
  <c r="A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D298" i="13"/>
  <c r="C298" i="13"/>
  <c r="B298" i="13"/>
  <c r="A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D297" i="13"/>
  <c r="C297" i="13"/>
  <c r="B297" i="13"/>
  <c r="A297" i="13"/>
  <c r="T296" i="13"/>
  <c r="R296" i="13"/>
  <c r="P296" i="13"/>
  <c r="N296" i="13"/>
  <c r="L296" i="13"/>
  <c r="J296" i="13"/>
  <c r="H296" i="13"/>
  <c r="F296" i="13"/>
  <c r="E296" i="13"/>
  <c r="D296" i="13"/>
  <c r="C296" i="13"/>
  <c r="B296" i="13"/>
  <c r="A296" i="13"/>
  <c r="T295" i="13"/>
  <c r="N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D294" i="13"/>
  <c r="C294" i="13"/>
  <c r="B294" i="13"/>
  <c r="A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D293" i="13"/>
  <c r="C293" i="13"/>
  <c r="B293" i="13"/>
  <c r="A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D292" i="13"/>
  <c r="C292" i="13"/>
  <c r="B292" i="13"/>
  <c r="A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D291" i="13"/>
  <c r="C291" i="13"/>
  <c r="B291" i="13"/>
  <c r="A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D290" i="13"/>
  <c r="C290" i="13"/>
  <c r="B290" i="13"/>
  <c r="A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D289" i="13"/>
  <c r="C289" i="13"/>
  <c r="B289" i="13"/>
  <c r="A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D288" i="13"/>
  <c r="C288" i="13"/>
  <c r="B288" i="13"/>
  <c r="A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D287" i="13"/>
  <c r="C287" i="13"/>
  <c r="B287" i="13"/>
  <c r="A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D286" i="13"/>
  <c r="C286" i="13"/>
  <c r="B286" i="13"/>
  <c r="A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D285" i="13"/>
  <c r="C285" i="13"/>
  <c r="B285" i="13"/>
  <c r="A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D284" i="13"/>
  <c r="C284" i="13"/>
  <c r="B284" i="13"/>
  <c r="A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D283" i="13"/>
  <c r="C283" i="13"/>
  <c r="B283" i="13"/>
  <c r="A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D282" i="13"/>
  <c r="C282" i="13"/>
  <c r="B282" i="13"/>
  <c r="A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D281" i="13"/>
  <c r="C281" i="13"/>
  <c r="B281" i="13"/>
  <c r="A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D280" i="13"/>
  <c r="C280" i="13"/>
  <c r="B280" i="13"/>
  <c r="A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D279" i="13"/>
  <c r="C279" i="13"/>
  <c r="B279" i="13"/>
  <c r="A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D278" i="13"/>
  <c r="C278" i="13"/>
  <c r="B278" i="13"/>
  <c r="A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D277" i="13"/>
  <c r="C277" i="13"/>
  <c r="B277" i="13"/>
  <c r="A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D276" i="13"/>
  <c r="C276" i="13"/>
  <c r="B276" i="13"/>
  <c r="A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D275" i="13"/>
  <c r="C275" i="13"/>
  <c r="B275" i="13"/>
  <c r="A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D274" i="13"/>
  <c r="C274" i="13"/>
  <c r="B274" i="13"/>
  <c r="A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D273" i="13"/>
  <c r="C273" i="13"/>
  <c r="B273" i="13"/>
  <c r="A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D272" i="13"/>
  <c r="C272" i="13"/>
  <c r="B272" i="13"/>
  <c r="A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D271" i="13"/>
  <c r="C271" i="13"/>
  <c r="B271" i="13"/>
  <c r="A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D270" i="13"/>
  <c r="C270" i="13"/>
  <c r="B270" i="13"/>
  <c r="A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D269" i="13"/>
  <c r="C269" i="13"/>
  <c r="B269" i="13"/>
  <c r="A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D268" i="13"/>
  <c r="C268" i="13"/>
  <c r="B268" i="13"/>
  <c r="A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D267" i="13"/>
  <c r="C267" i="13"/>
  <c r="B267" i="13"/>
  <c r="A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D266" i="13"/>
  <c r="C266" i="13"/>
  <c r="B266" i="13"/>
  <c r="A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D265" i="13"/>
  <c r="C265" i="13"/>
  <c r="B265" i="13"/>
  <c r="A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D264" i="13"/>
  <c r="C264" i="13"/>
  <c r="B264" i="13"/>
  <c r="A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D263" i="13"/>
  <c r="C263" i="13"/>
  <c r="B263" i="13"/>
  <c r="A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D262" i="13"/>
  <c r="C262" i="13"/>
  <c r="B262" i="13"/>
  <c r="A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D261" i="13"/>
  <c r="C261" i="13"/>
  <c r="B261" i="13"/>
  <c r="A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A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A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A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A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A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A255" i="13"/>
  <c r="T254" i="13"/>
  <c r="R254" i="13"/>
  <c r="P254" i="13"/>
  <c r="N254" i="13"/>
  <c r="L254" i="13"/>
  <c r="J254" i="13"/>
  <c r="H254" i="13"/>
  <c r="F254" i="13"/>
  <c r="E254" i="13"/>
  <c r="D254" i="13"/>
  <c r="C254" i="13"/>
  <c r="B254" i="13"/>
  <c r="A254" i="13"/>
  <c r="T253" i="13"/>
  <c r="N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D252" i="13"/>
  <c r="C252" i="13"/>
  <c r="B252" i="13"/>
  <c r="A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D251" i="13"/>
  <c r="C251" i="13"/>
  <c r="B251" i="13"/>
  <c r="A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A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A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A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A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A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A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A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D243" i="13"/>
  <c r="C243" i="13"/>
  <c r="B243" i="13"/>
  <c r="A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D242" i="13"/>
  <c r="C242" i="13"/>
  <c r="B242" i="13"/>
  <c r="A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D241" i="13"/>
  <c r="C241" i="13"/>
  <c r="B241" i="13"/>
  <c r="A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A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A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A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A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A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A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A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D233" i="13"/>
  <c r="C233" i="13"/>
  <c r="B233" i="13"/>
  <c r="A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D232" i="13"/>
  <c r="C232" i="13"/>
  <c r="B232" i="13"/>
  <c r="A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A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A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A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A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A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A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A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D224" i="13"/>
  <c r="C224" i="13"/>
  <c r="B224" i="13"/>
  <c r="A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D223" i="13"/>
  <c r="C223" i="13"/>
  <c r="B223" i="13"/>
  <c r="A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D222" i="13"/>
  <c r="C222" i="13"/>
  <c r="B222" i="13"/>
  <c r="A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D221" i="13"/>
  <c r="C221" i="13"/>
  <c r="B221" i="13"/>
  <c r="A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D220" i="13"/>
  <c r="C220" i="13"/>
  <c r="B220" i="13"/>
  <c r="A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A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A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A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D216" i="13"/>
  <c r="C216" i="13"/>
  <c r="B216" i="13"/>
  <c r="A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A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A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A213" i="13"/>
  <c r="T212" i="13"/>
  <c r="R212" i="13"/>
  <c r="P212" i="13"/>
  <c r="N212" i="13"/>
  <c r="L212" i="13"/>
  <c r="J212" i="13"/>
  <c r="H212" i="13"/>
  <c r="F212" i="13"/>
  <c r="E212" i="13"/>
  <c r="D212" i="13"/>
  <c r="C212" i="13"/>
  <c r="B212" i="13"/>
  <c r="A212" i="13"/>
  <c r="T211" i="13"/>
  <c r="N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A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A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A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A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A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A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D204" i="13"/>
  <c r="C204" i="13"/>
  <c r="B204" i="13"/>
  <c r="A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D203" i="13"/>
  <c r="C203" i="13"/>
  <c r="B203" i="13"/>
  <c r="A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A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A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A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D199" i="13"/>
  <c r="C199" i="13"/>
  <c r="B199" i="13"/>
  <c r="A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A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A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A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A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A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A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A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A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A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A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188" i="13"/>
  <c r="A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B187" i="13"/>
  <c r="A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C186" i="13"/>
  <c r="B186" i="13"/>
  <c r="A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D185" i="13"/>
  <c r="C185" i="13"/>
  <c r="B185" i="13"/>
  <c r="A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A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A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A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D181" i="13"/>
  <c r="C181" i="13"/>
  <c r="B181" i="13"/>
  <c r="A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A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A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A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A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A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A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A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A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A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B171" i="13"/>
  <c r="A171" i="13"/>
  <c r="T170" i="13"/>
  <c r="R170" i="13"/>
  <c r="P170" i="13"/>
  <c r="N170" i="13"/>
  <c r="L170" i="13"/>
  <c r="J170" i="13"/>
  <c r="H170" i="13"/>
  <c r="F170" i="13"/>
  <c r="E170" i="13"/>
  <c r="D170" i="13"/>
  <c r="C170" i="13"/>
  <c r="B170" i="13"/>
  <c r="A170" i="13"/>
  <c r="T169" i="13"/>
  <c r="N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A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A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A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A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A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A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B162" i="13"/>
  <c r="A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B161" i="13"/>
  <c r="A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B160" i="13"/>
  <c r="A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B159" i="13"/>
  <c r="A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B158" i="13"/>
  <c r="A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B157" i="13"/>
  <c r="A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B156" i="13"/>
  <c r="A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B155" i="13"/>
  <c r="A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B154" i="13"/>
  <c r="A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B153" i="13"/>
  <c r="A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B152" i="13"/>
  <c r="A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B151" i="13"/>
  <c r="A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B150" i="13"/>
  <c r="A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B149" i="13"/>
  <c r="A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B148" i="13"/>
  <c r="A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B147" i="13"/>
  <c r="A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B146" i="13"/>
  <c r="A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B145" i="13"/>
  <c r="A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B144" i="13"/>
  <c r="A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B143" i="13"/>
  <c r="A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B142" i="13"/>
  <c r="A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B141" i="13"/>
  <c r="A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B140" i="13"/>
  <c r="A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B139" i="13"/>
  <c r="A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B138" i="13"/>
  <c r="A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B137" i="13"/>
  <c r="A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B136" i="13"/>
  <c r="A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B135" i="13"/>
  <c r="A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B134" i="13"/>
  <c r="A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B133" i="13"/>
  <c r="A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B132" i="13"/>
  <c r="A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B131" i="13"/>
  <c r="A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B130" i="13"/>
  <c r="A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B129" i="13"/>
  <c r="A129" i="13"/>
  <c r="T128" i="13"/>
  <c r="R128" i="13"/>
  <c r="P128" i="13"/>
  <c r="N128" i="13"/>
  <c r="L128" i="13"/>
  <c r="J128" i="13"/>
  <c r="H128" i="13"/>
  <c r="F128" i="13"/>
  <c r="E128" i="13"/>
  <c r="D128" i="13"/>
  <c r="C128" i="13"/>
  <c r="B128" i="13"/>
  <c r="A128" i="13"/>
  <c r="T127" i="13"/>
  <c r="N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B126" i="13"/>
  <c r="A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B125" i="13"/>
  <c r="A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B124" i="13"/>
  <c r="A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B123" i="13"/>
  <c r="A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B122" i="13"/>
  <c r="A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B121" i="13"/>
  <c r="A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B120" i="13"/>
  <c r="A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B119" i="13"/>
  <c r="A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B118" i="13"/>
  <c r="A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B117" i="13"/>
  <c r="A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B116" i="13"/>
  <c r="A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B115" i="13"/>
  <c r="A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B114" i="13"/>
  <c r="A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B113" i="13"/>
  <c r="A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B112" i="13"/>
  <c r="A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B111" i="13"/>
  <c r="A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B110" i="13"/>
  <c r="A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B109" i="13"/>
  <c r="A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B108" i="13"/>
  <c r="A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B107" i="13"/>
  <c r="A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B106" i="13"/>
  <c r="A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105" i="13"/>
  <c r="A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A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A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A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101" i="13"/>
  <c r="A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98" i="13"/>
  <c r="A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A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A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A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A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A87" i="13"/>
  <c r="T86" i="13"/>
  <c r="R86" i="13"/>
  <c r="P86" i="13"/>
  <c r="N86" i="13"/>
  <c r="L86" i="13"/>
  <c r="J86" i="13"/>
  <c r="H86" i="13"/>
  <c r="F86" i="13"/>
  <c r="E86" i="13"/>
  <c r="D86" i="13"/>
  <c r="C86" i="13"/>
  <c r="B86" i="13"/>
  <c r="A86" i="13"/>
  <c r="T85" i="13"/>
  <c r="N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45" i="13"/>
  <c r="T44" i="13"/>
  <c r="R44" i="13"/>
  <c r="P44" i="13"/>
  <c r="N44" i="13"/>
  <c r="L44" i="13"/>
  <c r="J44" i="13"/>
  <c r="H44" i="13"/>
  <c r="F44" i="13"/>
  <c r="E44" i="13"/>
  <c r="D44" i="13"/>
  <c r="C44" i="13"/>
  <c r="B44" i="13"/>
  <c r="A44" i="13"/>
  <c r="T43" i="13"/>
  <c r="N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B4" i="13"/>
  <c r="A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A3" i="13"/>
  <c r="T1" i="13"/>
  <c r="N1" i="13"/>
  <c r="A1" i="13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D365" i="12"/>
  <c r="C365" i="12"/>
  <c r="B365" i="12"/>
  <c r="A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D364" i="12"/>
  <c r="C364" i="12"/>
  <c r="B364" i="12"/>
  <c r="A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D363" i="12"/>
  <c r="C363" i="12"/>
  <c r="B363" i="12"/>
  <c r="A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D362" i="12"/>
  <c r="C362" i="12"/>
  <c r="B362" i="12"/>
  <c r="A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D361" i="12"/>
  <c r="C361" i="12"/>
  <c r="B361" i="12"/>
  <c r="A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D360" i="12"/>
  <c r="C360" i="12"/>
  <c r="B360" i="12"/>
  <c r="A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D359" i="12"/>
  <c r="C359" i="12"/>
  <c r="B359" i="12"/>
  <c r="A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D358" i="12"/>
  <c r="C358" i="12"/>
  <c r="B358" i="12"/>
  <c r="A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D357" i="12"/>
  <c r="C357" i="12"/>
  <c r="B357" i="12"/>
  <c r="A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D356" i="12"/>
  <c r="C356" i="12"/>
  <c r="B356" i="12"/>
  <c r="A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D355" i="12"/>
  <c r="C355" i="12"/>
  <c r="B355" i="12"/>
  <c r="A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D354" i="12"/>
  <c r="C354" i="12"/>
  <c r="B354" i="12"/>
  <c r="A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D353" i="12"/>
  <c r="C353" i="12"/>
  <c r="B353" i="12"/>
  <c r="A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D352" i="12"/>
  <c r="C352" i="12"/>
  <c r="B352" i="12"/>
  <c r="A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D351" i="12"/>
  <c r="C351" i="12"/>
  <c r="B351" i="12"/>
  <c r="A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D350" i="12"/>
  <c r="C350" i="12"/>
  <c r="B350" i="12"/>
  <c r="A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D349" i="12"/>
  <c r="C349" i="12"/>
  <c r="B349" i="12"/>
  <c r="A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D348" i="12"/>
  <c r="C348" i="12"/>
  <c r="B348" i="12"/>
  <c r="A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D347" i="12"/>
  <c r="C347" i="12"/>
  <c r="B347" i="12"/>
  <c r="A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D346" i="12"/>
  <c r="C346" i="12"/>
  <c r="B346" i="12"/>
  <c r="A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D345" i="12"/>
  <c r="C345" i="12"/>
  <c r="B345" i="12"/>
  <c r="A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D344" i="12"/>
  <c r="C344" i="12"/>
  <c r="B344" i="12"/>
  <c r="A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D343" i="12"/>
  <c r="C343" i="12"/>
  <c r="B343" i="12"/>
  <c r="A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D342" i="12"/>
  <c r="C342" i="12"/>
  <c r="B342" i="12"/>
  <c r="A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D341" i="12"/>
  <c r="C341" i="12"/>
  <c r="B341" i="12"/>
  <c r="A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D340" i="12"/>
  <c r="C340" i="12"/>
  <c r="B340" i="12"/>
  <c r="A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D339" i="12"/>
  <c r="C339" i="12"/>
  <c r="B339" i="12"/>
  <c r="A339" i="12"/>
  <c r="T338" i="12"/>
  <c r="R338" i="12"/>
  <c r="P338" i="12"/>
  <c r="N338" i="12"/>
  <c r="L338" i="12"/>
  <c r="J338" i="12"/>
  <c r="H338" i="12"/>
  <c r="F338" i="12"/>
  <c r="E338" i="12"/>
  <c r="D338" i="12"/>
  <c r="C338" i="12"/>
  <c r="B338" i="12"/>
  <c r="A338" i="12"/>
  <c r="T337" i="12"/>
  <c r="N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D336" i="12"/>
  <c r="C336" i="12"/>
  <c r="B336" i="12"/>
  <c r="A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D335" i="12"/>
  <c r="C335" i="12"/>
  <c r="B335" i="12"/>
  <c r="A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D334" i="12"/>
  <c r="C334" i="12"/>
  <c r="B334" i="12"/>
  <c r="A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D333" i="12"/>
  <c r="C333" i="12"/>
  <c r="B333" i="12"/>
  <c r="A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D332" i="12"/>
  <c r="C332" i="12"/>
  <c r="B332" i="12"/>
  <c r="A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D331" i="12"/>
  <c r="C331" i="12"/>
  <c r="B331" i="12"/>
  <c r="A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D330" i="12"/>
  <c r="C330" i="12"/>
  <c r="B330" i="12"/>
  <c r="A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D329" i="12"/>
  <c r="C329" i="12"/>
  <c r="B329" i="12"/>
  <c r="A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D328" i="12"/>
  <c r="C328" i="12"/>
  <c r="B328" i="12"/>
  <c r="A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D327" i="12"/>
  <c r="C327" i="12"/>
  <c r="B327" i="12"/>
  <c r="A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D326" i="12"/>
  <c r="C326" i="12"/>
  <c r="B326" i="12"/>
  <c r="A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D325" i="12"/>
  <c r="C325" i="12"/>
  <c r="B325" i="12"/>
  <c r="A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D324" i="12"/>
  <c r="C324" i="12"/>
  <c r="B324" i="12"/>
  <c r="A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D323" i="12"/>
  <c r="C323" i="12"/>
  <c r="B323" i="12"/>
  <c r="A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D322" i="12"/>
  <c r="C322" i="12"/>
  <c r="B322" i="12"/>
  <c r="A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D321" i="12"/>
  <c r="C321" i="12"/>
  <c r="B321" i="12"/>
  <c r="A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D320" i="12"/>
  <c r="C320" i="12"/>
  <c r="B320" i="12"/>
  <c r="A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D319" i="12"/>
  <c r="C319" i="12"/>
  <c r="B319" i="12"/>
  <c r="A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D318" i="12"/>
  <c r="C318" i="12"/>
  <c r="B318" i="12"/>
  <c r="A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D317" i="12"/>
  <c r="C317" i="12"/>
  <c r="B317" i="12"/>
  <c r="A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D316" i="12"/>
  <c r="C316" i="12"/>
  <c r="B316" i="12"/>
  <c r="A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D315" i="12"/>
  <c r="C315" i="12"/>
  <c r="B315" i="12"/>
  <c r="A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D314" i="12"/>
  <c r="C314" i="12"/>
  <c r="B314" i="12"/>
  <c r="A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D313" i="12"/>
  <c r="C313" i="12"/>
  <c r="B313" i="12"/>
  <c r="A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D312" i="12"/>
  <c r="C312" i="12"/>
  <c r="B312" i="12"/>
  <c r="A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D311" i="12"/>
  <c r="C311" i="12"/>
  <c r="B311" i="12"/>
  <c r="A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D310" i="12"/>
  <c r="C310" i="12"/>
  <c r="B310" i="12"/>
  <c r="A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D309" i="12"/>
  <c r="C309" i="12"/>
  <c r="B309" i="12"/>
  <c r="A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D308" i="12"/>
  <c r="C308" i="12"/>
  <c r="B308" i="12"/>
  <c r="A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D307" i="12"/>
  <c r="C307" i="12"/>
  <c r="B307" i="12"/>
  <c r="A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D306" i="12"/>
  <c r="C306" i="12"/>
  <c r="B306" i="12"/>
  <c r="A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D305" i="12"/>
  <c r="C305" i="12"/>
  <c r="B305" i="12"/>
  <c r="A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D304" i="12"/>
  <c r="C304" i="12"/>
  <c r="B304" i="12"/>
  <c r="A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D303" i="12"/>
  <c r="C303" i="12"/>
  <c r="B303" i="12"/>
  <c r="A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D302" i="12"/>
  <c r="C302" i="12"/>
  <c r="B302" i="12"/>
  <c r="A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D301" i="12"/>
  <c r="C301" i="12"/>
  <c r="B301" i="12"/>
  <c r="A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D300" i="12"/>
  <c r="C300" i="12"/>
  <c r="B300" i="12"/>
  <c r="A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D299" i="12"/>
  <c r="C299" i="12"/>
  <c r="B299" i="12"/>
  <c r="A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D298" i="12"/>
  <c r="C298" i="12"/>
  <c r="B298" i="12"/>
  <c r="A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D297" i="12"/>
  <c r="C297" i="12"/>
  <c r="B297" i="12"/>
  <c r="A297" i="12"/>
  <c r="T296" i="12"/>
  <c r="R296" i="12"/>
  <c r="P296" i="12"/>
  <c r="N296" i="12"/>
  <c r="L296" i="12"/>
  <c r="J296" i="12"/>
  <c r="H296" i="12"/>
  <c r="F296" i="12"/>
  <c r="E296" i="12"/>
  <c r="D296" i="12"/>
  <c r="C296" i="12"/>
  <c r="B296" i="12"/>
  <c r="A296" i="12"/>
  <c r="T295" i="12"/>
  <c r="N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D294" i="12"/>
  <c r="C294" i="12"/>
  <c r="B294" i="12"/>
  <c r="A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D293" i="12"/>
  <c r="C293" i="12"/>
  <c r="B293" i="12"/>
  <c r="A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D292" i="12"/>
  <c r="C292" i="12"/>
  <c r="B292" i="12"/>
  <c r="A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D291" i="12"/>
  <c r="C291" i="12"/>
  <c r="B291" i="12"/>
  <c r="A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D290" i="12"/>
  <c r="C290" i="12"/>
  <c r="B290" i="12"/>
  <c r="A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D289" i="12"/>
  <c r="C289" i="12"/>
  <c r="B289" i="12"/>
  <c r="A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D288" i="12"/>
  <c r="C288" i="12"/>
  <c r="B288" i="12"/>
  <c r="A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D287" i="12"/>
  <c r="C287" i="12"/>
  <c r="B287" i="12"/>
  <c r="A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D286" i="12"/>
  <c r="C286" i="12"/>
  <c r="B286" i="12"/>
  <c r="A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D285" i="12"/>
  <c r="C285" i="12"/>
  <c r="B285" i="12"/>
  <c r="A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D284" i="12"/>
  <c r="C284" i="12"/>
  <c r="B284" i="12"/>
  <c r="A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D283" i="12"/>
  <c r="C283" i="12"/>
  <c r="B283" i="12"/>
  <c r="A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D282" i="12"/>
  <c r="C282" i="12"/>
  <c r="B282" i="12"/>
  <c r="A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D281" i="12"/>
  <c r="C281" i="12"/>
  <c r="B281" i="12"/>
  <c r="A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D280" i="12"/>
  <c r="C280" i="12"/>
  <c r="B280" i="12"/>
  <c r="A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D279" i="12"/>
  <c r="C279" i="12"/>
  <c r="B279" i="12"/>
  <c r="A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D278" i="12"/>
  <c r="C278" i="12"/>
  <c r="B278" i="12"/>
  <c r="A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D277" i="12"/>
  <c r="C277" i="12"/>
  <c r="B277" i="12"/>
  <c r="A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D276" i="12"/>
  <c r="C276" i="12"/>
  <c r="B276" i="12"/>
  <c r="A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D275" i="12"/>
  <c r="C275" i="12"/>
  <c r="B275" i="12"/>
  <c r="A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D274" i="12"/>
  <c r="C274" i="12"/>
  <c r="B274" i="12"/>
  <c r="A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D273" i="12"/>
  <c r="C273" i="12"/>
  <c r="B273" i="12"/>
  <c r="A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D272" i="12"/>
  <c r="C272" i="12"/>
  <c r="B272" i="12"/>
  <c r="A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D271" i="12"/>
  <c r="C271" i="12"/>
  <c r="B271" i="12"/>
  <c r="A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D270" i="12"/>
  <c r="C270" i="12"/>
  <c r="B270" i="12"/>
  <c r="A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D269" i="12"/>
  <c r="C269" i="12"/>
  <c r="B269" i="12"/>
  <c r="A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D268" i="12"/>
  <c r="C268" i="12"/>
  <c r="B268" i="12"/>
  <c r="A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D267" i="12"/>
  <c r="C267" i="12"/>
  <c r="B267" i="12"/>
  <c r="A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D266" i="12"/>
  <c r="C266" i="12"/>
  <c r="B266" i="12"/>
  <c r="A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D265" i="12"/>
  <c r="C265" i="12"/>
  <c r="B265" i="12"/>
  <c r="A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D264" i="12"/>
  <c r="C264" i="12"/>
  <c r="B264" i="12"/>
  <c r="A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D263" i="12"/>
  <c r="C263" i="12"/>
  <c r="B263" i="12"/>
  <c r="A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D262" i="12"/>
  <c r="C262" i="12"/>
  <c r="B262" i="12"/>
  <c r="A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D261" i="12"/>
  <c r="C261" i="12"/>
  <c r="B261" i="12"/>
  <c r="A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D260" i="12"/>
  <c r="C260" i="12"/>
  <c r="B260" i="12"/>
  <c r="A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D259" i="12"/>
  <c r="C259" i="12"/>
  <c r="B259" i="12"/>
  <c r="A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D258" i="12"/>
  <c r="C258" i="12"/>
  <c r="B258" i="12"/>
  <c r="A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D257" i="12"/>
  <c r="C257" i="12"/>
  <c r="B257" i="12"/>
  <c r="A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D256" i="12"/>
  <c r="C256" i="12"/>
  <c r="B256" i="12"/>
  <c r="A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D255" i="12"/>
  <c r="C255" i="12"/>
  <c r="B255" i="12"/>
  <c r="A255" i="12"/>
  <c r="T254" i="12"/>
  <c r="R254" i="12"/>
  <c r="P254" i="12"/>
  <c r="N254" i="12"/>
  <c r="L254" i="12"/>
  <c r="J254" i="12"/>
  <c r="H254" i="12"/>
  <c r="F254" i="12"/>
  <c r="E254" i="12"/>
  <c r="D254" i="12"/>
  <c r="C254" i="12"/>
  <c r="B254" i="12"/>
  <c r="A254" i="12"/>
  <c r="T253" i="12"/>
  <c r="N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D252" i="12"/>
  <c r="C252" i="12"/>
  <c r="B252" i="12"/>
  <c r="A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D251" i="12"/>
  <c r="C251" i="12"/>
  <c r="B251" i="12"/>
  <c r="A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D250" i="12"/>
  <c r="C250" i="12"/>
  <c r="B250" i="12"/>
  <c r="A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D249" i="12"/>
  <c r="C249" i="12"/>
  <c r="B249" i="12"/>
  <c r="A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D248" i="12"/>
  <c r="C248" i="12"/>
  <c r="B248" i="12"/>
  <c r="A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D247" i="12"/>
  <c r="C247" i="12"/>
  <c r="B247" i="12"/>
  <c r="A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D246" i="12"/>
  <c r="C246" i="12"/>
  <c r="B246" i="12"/>
  <c r="A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D245" i="12"/>
  <c r="C245" i="12"/>
  <c r="B245" i="12"/>
  <c r="A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D244" i="12"/>
  <c r="C244" i="12"/>
  <c r="B244" i="12"/>
  <c r="A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D243" i="12"/>
  <c r="C243" i="12"/>
  <c r="B243" i="12"/>
  <c r="A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D242" i="12"/>
  <c r="C242" i="12"/>
  <c r="B242" i="12"/>
  <c r="A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D241" i="12"/>
  <c r="C241" i="12"/>
  <c r="B241" i="12"/>
  <c r="A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D240" i="12"/>
  <c r="C240" i="12"/>
  <c r="B240" i="12"/>
  <c r="A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D239" i="12"/>
  <c r="C239" i="12"/>
  <c r="B239" i="12"/>
  <c r="A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D238" i="12"/>
  <c r="C238" i="12"/>
  <c r="B238" i="12"/>
  <c r="A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D237" i="12"/>
  <c r="C237" i="12"/>
  <c r="B237" i="12"/>
  <c r="A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D236" i="12"/>
  <c r="C236" i="12"/>
  <c r="B236" i="12"/>
  <c r="A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D235" i="12"/>
  <c r="C235" i="12"/>
  <c r="B235" i="12"/>
  <c r="A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D234" i="12"/>
  <c r="C234" i="12"/>
  <c r="B234" i="12"/>
  <c r="A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D233" i="12"/>
  <c r="C233" i="12"/>
  <c r="B233" i="12"/>
  <c r="A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D232" i="12"/>
  <c r="C232" i="12"/>
  <c r="B232" i="12"/>
  <c r="A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D231" i="12"/>
  <c r="C231" i="12"/>
  <c r="B231" i="12"/>
  <c r="A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D230" i="12"/>
  <c r="C230" i="12"/>
  <c r="B230" i="12"/>
  <c r="A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D229" i="12"/>
  <c r="C229" i="12"/>
  <c r="B229" i="12"/>
  <c r="A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D228" i="12"/>
  <c r="C228" i="12"/>
  <c r="B228" i="12"/>
  <c r="A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D227" i="12"/>
  <c r="C227" i="12"/>
  <c r="B227" i="12"/>
  <c r="A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D226" i="12"/>
  <c r="C226" i="12"/>
  <c r="B226" i="12"/>
  <c r="A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D225" i="12"/>
  <c r="C225" i="12"/>
  <c r="B225" i="12"/>
  <c r="A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D224" i="12"/>
  <c r="C224" i="12"/>
  <c r="B224" i="12"/>
  <c r="A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D223" i="12"/>
  <c r="C223" i="12"/>
  <c r="B223" i="12"/>
  <c r="A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D222" i="12"/>
  <c r="C222" i="12"/>
  <c r="B222" i="12"/>
  <c r="A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D221" i="12"/>
  <c r="C221" i="12"/>
  <c r="B221" i="12"/>
  <c r="A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D220" i="12"/>
  <c r="C220" i="12"/>
  <c r="B220" i="12"/>
  <c r="A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D219" i="12"/>
  <c r="C219" i="12"/>
  <c r="B219" i="12"/>
  <c r="A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D218" i="12"/>
  <c r="C218" i="12"/>
  <c r="B218" i="12"/>
  <c r="A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D217" i="12"/>
  <c r="C217" i="12"/>
  <c r="B217" i="12"/>
  <c r="A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D216" i="12"/>
  <c r="C216" i="12"/>
  <c r="B216" i="12"/>
  <c r="A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D215" i="12"/>
  <c r="C215" i="12"/>
  <c r="B215" i="12"/>
  <c r="A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D214" i="12"/>
  <c r="C214" i="12"/>
  <c r="B214" i="12"/>
  <c r="A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D213" i="12"/>
  <c r="C213" i="12"/>
  <c r="B213" i="12"/>
  <c r="A213" i="12"/>
  <c r="T212" i="12"/>
  <c r="R212" i="12"/>
  <c r="P212" i="12"/>
  <c r="N212" i="12"/>
  <c r="L212" i="12"/>
  <c r="J212" i="12"/>
  <c r="H212" i="12"/>
  <c r="F212" i="12"/>
  <c r="E212" i="12"/>
  <c r="D212" i="12"/>
  <c r="C212" i="12"/>
  <c r="B212" i="12"/>
  <c r="A212" i="12"/>
  <c r="T211" i="12"/>
  <c r="N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D210" i="12"/>
  <c r="C210" i="12"/>
  <c r="B210" i="12"/>
  <c r="A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D209" i="12"/>
  <c r="C209" i="12"/>
  <c r="B209" i="12"/>
  <c r="A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D208" i="12"/>
  <c r="C208" i="12"/>
  <c r="B208" i="12"/>
  <c r="A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D207" i="12"/>
  <c r="C207" i="12"/>
  <c r="B207" i="12"/>
  <c r="A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D206" i="12"/>
  <c r="C206" i="12"/>
  <c r="B206" i="12"/>
  <c r="A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D205" i="12"/>
  <c r="C205" i="12"/>
  <c r="B205" i="12"/>
  <c r="A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D204" i="12"/>
  <c r="C204" i="12"/>
  <c r="B204" i="12"/>
  <c r="A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D203" i="12"/>
  <c r="C203" i="12"/>
  <c r="B203" i="12"/>
  <c r="A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D202" i="12"/>
  <c r="C202" i="12"/>
  <c r="B202" i="12"/>
  <c r="A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D201" i="12"/>
  <c r="C201" i="12"/>
  <c r="B201" i="12"/>
  <c r="A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D200" i="12"/>
  <c r="C200" i="12"/>
  <c r="B200" i="12"/>
  <c r="A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D199" i="12"/>
  <c r="C199" i="12"/>
  <c r="B199" i="12"/>
  <c r="A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D198" i="12"/>
  <c r="C198" i="12"/>
  <c r="B198" i="12"/>
  <c r="A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D197" i="12"/>
  <c r="C197" i="12"/>
  <c r="B197" i="12"/>
  <c r="A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D196" i="12"/>
  <c r="C196" i="12"/>
  <c r="B196" i="12"/>
  <c r="A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D195" i="12"/>
  <c r="C195" i="12"/>
  <c r="B195" i="12"/>
  <c r="A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D194" i="12"/>
  <c r="C194" i="12"/>
  <c r="B194" i="12"/>
  <c r="A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D193" i="12"/>
  <c r="C193" i="12"/>
  <c r="B193" i="12"/>
  <c r="A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D192" i="12"/>
  <c r="C192" i="12"/>
  <c r="B192" i="12"/>
  <c r="A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D191" i="12"/>
  <c r="C191" i="12"/>
  <c r="B191" i="12"/>
  <c r="A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D190" i="12"/>
  <c r="C190" i="12"/>
  <c r="B190" i="12"/>
  <c r="A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D189" i="12"/>
  <c r="C189" i="12"/>
  <c r="B189" i="12"/>
  <c r="A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A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A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A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A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A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A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A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A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A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A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A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A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A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A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A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A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A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A171" i="12"/>
  <c r="T170" i="12"/>
  <c r="R170" i="12"/>
  <c r="P170" i="12"/>
  <c r="N170" i="12"/>
  <c r="L170" i="12"/>
  <c r="J170" i="12"/>
  <c r="H170" i="12"/>
  <c r="F170" i="12"/>
  <c r="E170" i="12"/>
  <c r="D170" i="12"/>
  <c r="C170" i="12"/>
  <c r="B170" i="12"/>
  <c r="A170" i="12"/>
  <c r="T169" i="12"/>
  <c r="N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A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A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A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A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A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A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A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A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A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A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A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A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A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A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A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A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A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A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A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A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A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A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A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A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A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A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A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A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A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A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A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A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A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A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A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A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A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A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A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A129" i="12"/>
  <c r="T128" i="12"/>
  <c r="R128" i="12"/>
  <c r="P128" i="12"/>
  <c r="N128" i="12"/>
  <c r="L128" i="12"/>
  <c r="J128" i="12"/>
  <c r="H128" i="12"/>
  <c r="F128" i="12"/>
  <c r="E128" i="12"/>
  <c r="D128" i="12"/>
  <c r="C128" i="12"/>
  <c r="B128" i="12"/>
  <c r="A128" i="12"/>
  <c r="T127" i="12"/>
  <c r="N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A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A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A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A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A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A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A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A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A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A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A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A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A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A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A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A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A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A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A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A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A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A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A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A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A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A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A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A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A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A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A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A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A87" i="12"/>
  <c r="T86" i="12"/>
  <c r="R86" i="12"/>
  <c r="P86" i="12"/>
  <c r="N86" i="12"/>
  <c r="L86" i="12"/>
  <c r="J86" i="12"/>
  <c r="H86" i="12"/>
  <c r="F86" i="12"/>
  <c r="E86" i="12"/>
  <c r="D86" i="12"/>
  <c r="C86" i="12"/>
  <c r="B86" i="12"/>
  <c r="A86" i="12"/>
  <c r="T85" i="12"/>
  <c r="N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T44" i="12"/>
  <c r="R44" i="12"/>
  <c r="P44" i="12"/>
  <c r="N44" i="12"/>
  <c r="L44" i="12"/>
  <c r="J44" i="12"/>
  <c r="H44" i="12"/>
  <c r="F44" i="12"/>
  <c r="E44" i="12"/>
  <c r="D44" i="12"/>
  <c r="C44" i="12"/>
  <c r="B44" i="12"/>
  <c r="A44" i="12"/>
  <c r="T43" i="12"/>
  <c r="N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3" i="12"/>
  <c r="T1" i="12"/>
  <c r="N1" i="12"/>
  <c r="A1" i="12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D363" i="11"/>
  <c r="C363" i="11"/>
  <c r="B363" i="11"/>
  <c r="A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D362" i="11"/>
  <c r="C362" i="11"/>
  <c r="B362" i="11"/>
  <c r="A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D361" i="11"/>
  <c r="C361" i="11"/>
  <c r="B361" i="11"/>
  <c r="A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D360" i="11"/>
  <c r="C360" i="11"/>
  <c r="B360" i="11"/>
  <c r="A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D359" i="11"/>
  <c r="C359" i="11"/>
  <c r="B359" i="11"/>
  <c r="A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D358" i="11"/>
  <c r="C358" i="11"/>
  <c r="B358" i="11"/>
  <c r="A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D357" i="11"/>
  <c r="C357" i="11"/>
  <c r="B357" i="11"/>
  <c r="A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D356" i="11"/>
  <c r="C356" i="11"/>
  <c r="B356" i="11"/>
  <c r="A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D355" i="11"/>
  <c r="C355" i="11"/>
  <c r="B355" i="11"/>
  <c r="A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D354" i="11"/>
  <c r="C354" i="11"/>
  <c r="B354" i="11"/>
  <c r="A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D353" i="11"/>
  <c r="C353" i="11"/>
  <c r="B353" i="11"/>
  <c r="A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D352" i="11"/>
  <c r="C352" i="11"/>
  <c r="B352" i="11"/>
  <c r="A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D351" i="11"/>
  <c r="C351" i="11"/>
  <c r="B351" i="11"/>
  <c r="A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D350" i="11"/>
  <c r="C350" i="11"/>
  <c r="B350" i="11"/>
  <c r="A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D349" i="11"/>
  <c r="C349" i="11"/>
  <c r="B349" i="11"/>
  <c r="A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D348" i="11"/>
  <c r="C348" i="11"/>
  <c r="B348" i="11"/>
  <c r="A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D347" i="11"/>
  <c r="C347" i="11"/>
  <c r="B347" i="11"/>
  <c r="A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D346" i="11"/>
  <c r="C346" i="11"/>
  <c r="B346" i="11"/>
  <c r="A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D345" i="11"/>
  <c r="C345" i="11"/>
  <c r="B345" i="11"/>
  <c r="A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D344" i="11"/>
  <c r="C344" i="11"/>
  <c r="B344" i="11"/>
  <c r="A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D343" i="11"/>
  <c r="C343" i="11"/>
  <c r="B343" i="11"/>
  <c r="A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D342" i="11"/>
  <c r="C342" i="11"/>
  <c r="B342" i="11"/>
  <c r="A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D341" i="11"/>
  <c r="C341" i="11"/>
  <c r="B341" i="11"/>
  <c r="A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D340" i="11"/>
  <c r="C340" i="11"/>
  <c r="B340" i="11"/>
  <c r="A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D339" i="11"/>
  <c r="C339" i="11"/>
  <c r="B339" i="11"/>
  <c r="A339" i="11"/>
  <c r="T338" i="11"/>
  <c r="R338" i="11"/>
  <c r="P338" i="11"/>
  <c r="N338" i="11"/>
  <c r="L338" i="11"/>
  <c r="J338" i="11"/>
  <c r="H338" i="11"/>
  <c r="F338" i="11"/>
  <c r="E338" i="11"/>
  <c r="D338" i="11"/>
  <c r="C338" i="11"/>
  <c r="B338" i="11"/>
  <c r="A338" i="11"/>
  <c r="T337" i="11"/>
  <c r="N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D336" i="11"/>
  <c r="C336" i="11"/>
  <c r="B336" i="11"/>
  <c r="A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D335" i="11"/>
  <c r="C335" i="11"/>
  <c r="B335" i="11"/>
  <c r="A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D334" i="11"/>
  <c r="C334" i="11"/>
  <c r="B334" i="11"/>
  <c r="A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D333" i="11"/>
  <c r="C333" i="11"/>
  <c r="B333" i="11"/>
  <c r="A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D332" i="11"/>
  <c r="C332" i="11"/>
  <c r="B332" i="11"/>
  <c r="A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D331" i="11"/>
  <c r="C331" i="11"/>
  <c r="B331" i="11"/>
  <c r="A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D330" i="11"/>
  <c r="C330" i="11"/>
  <c r="B330" i="11"/>
  <c r="A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D329" i="11"/>
  <c r="C329" i="11"/>
  <c r="B329" i="11"/>
  <c r="A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D328" i="11"/>
  <c r="C328" i="11"/>
  <c r="B328" i="11"/>
  <c r="A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D327" i="11"/>
  <c r="C327" i="11"/>
  <c r="B327" i="11"/>
  <c r="A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D326" i="11"/>
  <c r="C326" i="11"/>
  <c r="B326" i="11"/>
  <c r="A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D325" i="11"/>
  <c r="C325" i="11"/>
  <c r="B325" i="11"/>
  <c r="A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D324" i="11"/>
  <c r="C324" i="11"/>
  <c r="B324" i="11"/>
  <c r="A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D323" i="11"/>
  <c r="C323" i="11"/>
  <c r="B323" i="11"/>
  <c r="A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D322" i="11"/>
  <c r="C322" i="11"/>
  <c r="B322" i="11"/>
  <c r="A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D321" i="11"/>
  <c r="C321" i="11"/>
  <c r="B321" i="11"/>
  <c r="A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D320" i="11"/>
  <c r="C320" i="11"/>
  <c r="B320" i="11"/>
  <c r="A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D319" i="11"/>
  <c r="C319" i="11"/>
  <c r="B319" i="11"/>
  <c r="A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D318" i="11"/>
  <c r="C318" i="11"/>
  <c r="B318" i="11"/>
  <c r="A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D317" i="11"/>
  <c r="C317" i="11"/>
  <c r="B317" i="11"/>
  <c r="A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D316" i="11"/>
  <c r="C316" i="11"/>
  <c r="B316" i="11"/>
  <c r="A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D315" i="11"/>
  <c r="C315" i="11"/>
  <c r="B315" i="11"/>
  <c r="A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D314" i="11"/>
  <c r="C314" i="11"/>
  <c r="B314" i="11"/>
  <c r="A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D313" i="11"/>
  <c r="C313" i="11"/>
  <c r="B313" i="11"/>
  <c r="A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D312" i="11"/>
  <c r="C312" i="11"/>
  <c r="B312" i="11"/>
  <c r="A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D311" i="11"/>
  <c r="C311" i="11"/>
  <c r="B311" i="11"/>
  <c r="A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D310" i="11"/>
  <c r="C310" i="11"/>
  <c r="B310" i="11"/>
  <c r="A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D309" i="11"/>
  <c r="C309" i="11"/>
  <c r="B309" i="11"/>
  <c r="A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D308" i="11"/>
  <c r="C308" i="11"/>
  <c r="B308" i="11"/>
  <c r="A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D307" i="11"/>
  <c r="C307" i="11"/>
  <c r="B307" i="11"/>
  <c r="A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D306" i="11"/>
  <c r="C306" i="11"/>
  <c r="B306" i="11"/>
  <c r="A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D305" i="11"/>
  <c r="C305" i="11"/>
  <c r="B305" i="11"/>
  <c r="A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D304" i="11"/>
  <c r="C304" i="11"/>
  <c r="B304" i="11"/>
  <c r="A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D303" i="11"/>
  <c r="C303" i="11"/>
  <c r="B303" i="11"/>
  <c r="A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D302" i="11"/>
  <c r="C302" i="11"/>
  <c r="B302" i="11"/>
  <c r="A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D301" i="11"/>
  <c r="C301" i="11"/>
  <c r="B301" i="11"/>
  <c r="A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D300" i="11"/>
  <c r="C300" i="11"/>
  <c r="B300" i="11"/>
  <c r="A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D299" i="11"/>
  <c r="C299" i="11"/>
  <c r="B299" i="11"/>
  <c r="A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D298" i="11"/>
  <c r="C298" i="11"/>
  <c r="B298" i="11"/>
  <c r="A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D297" i="11"/>
  <c r="C297" i="11"/>
  <c r="B297" i="11"/>
  <c r="A297" i="11"/>
  <c r="T296" i="11"/>
  <c r="R296" i="11"/>
  <c r="P296" i="11"/>
  <c r="N296" i="11"/>
  <c r="L296" i="11"/>
  <c r="J296" i="11"/>
  <c r="H296" i="11"/>
  <c r="F296" i="11"/>
  <c r="E296" i="11"/>
  <c r="D296" i="11"/>
  <c r="C296" i="11"/>
  <c r="B296" i="11"/>
  <c r="A296" i="11"/>
  <c r="T295" i="11"/>
  <c r="N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D294" i="11"/>
  <c r="C294" i="11"/>
  <c r="B294" i="11"/>
  <c r="A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D293" i="11"/>
  <c r="C293" i="11"/>
  <c r="B293" i="11"/>
  <c r="A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D292" i="11"/>
  <c r="C292" i="11"/>
  <c r="B292" i="11"/>
  <c r="A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D291" i="11"/>
  <c r="C291" i="11"/>
  <c r="B291" i="11"/>
  <c r="A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D290" i="11"/>
  <c r="C290" i="11"/>
  <c r="B290" i="11"/>
  <c r="A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D289" i="11"/>
  <c r="C289" i="11"/>
  <c r="B289" i="11"/>
  <c r="A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D288" i="11"/>
  <c r="C288" i="11"/>
  <c r="B288" i="11"/>
  <c r="A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D287" i="11"/>
  <c r="C287" i="11"/>
  <c r="B287" i="11"/>
  <c r="A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D286" i="11"/>
  <c r="C286" i="11"/>
  <c r="B286" i="11"/>
  <c r="A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D285" i="11"/>
  <c r="C285" i="11"/>
  <c r="B285" i="11"/>
  <c r="A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D284" i="11"/>
  <c r="C284" i="11"/>
  <c r="B284" i="11"/>
  <c r="A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D283" i="11"/>
  <c r="C283" i="11"/>
  <c r="B283" i="11"/>
  <c r="A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D282" i="11"/>
  <c r="C282" i="11"/>
  <c r="B282" i="11"/>
  <c r="A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D281" i="11"/>
  <c r="C281" i="11"/>
  <c r="B281" i="11"/>
  <c r="A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D280" i="11"/>
  <c r="C280" i="11"/>
  <c r="B280" i="11"/>
  <c r="A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D279" i="11"/>
  <c r="C279" i="11"/>
  <c r="B279" i="11"/>
  <c r="A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D278" i="11"/>
  <c r="C278" i="11"/>
  <c r="B278" i="11"/>
  <c r="A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D277" i="11"/>
  <c r="C277" i="11"/>
  <c r="B277" i="11"/>
  <c r="A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D276" i="11"/>
  <c r="C276" i="11"/>
  <c r="B276" i="11"/>
  <c r="A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D275" i="11"/>
  <c r="C275" i="11"/>
  <c r="B275" i="11"/>
  <c r="A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D274" i="11"/>
  <c r="C274" i="11"/>
  <c r="B274" i="11"/>
  <c r="A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D273" i="11"/>
  <c r="C273" i="11"/>
  <c r="B273" i="11"/>
  <c r="A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D272" i="11"/>
  <c r="C272" i="11"/>
  <c r="B272" i="11"/>
  <c r="A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D271" i="11"/>
  <c r="C271" i="11"/>
  <c r="B271" i="11"/>
  <c r="A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D270" i="11"/>
  <c r="C270" i="11"/>
  <c r="B270" i="11"/>
  <c r="A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D269" i="11"/>
  <c r="C269" i="11"/>
  <c r="B269" i="11"/>
  <c r="A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D268" i="11"/>
  <c r="C268" i="11"/>
  <c r="B268" i="11"/>
  <c r="A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D267" i="11"/>
  <c r="C267" i="11"/>
  <c r="B267" i="11"/>
  <c r="A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D266" i="11"/>
  <c r="C266" i="11"/>
  <c r="B266" i="11"/>
  <c r="A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D265" i="11"/>
  <c r="C265" i="11"/>
  <c r="B265" i="11"/>
  <c r="A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D264" i="11"/>
  <c r="C264" i="11"/>
  <c r="B264" i="11"/>
  <c r="A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D263" i="11"/>
  <c r="C263" i="11"/>
  <c r="B263" i="11"/>
  <c r="A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D262" i="11"/>
  <c r="C262" i="11"/>
  <c r="B262" i="11"/>
  <c r="A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D261" i="11"/>
  <c r="C261" i="11"/>
  <c r="B261" i="11"/>
  <c r="A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D260" i="11"/>
  <c r="C260" i="11"/>
  <c r="B260" i="11"/>
  <c r="A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D259" i="11"/>
  <c r="C259" i="11"/>
  <c r="B259" i="11"/>
  <c r="A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D258" i="11"/>
  <c r="C258" i="11"/>
  <c r="B258" i="11"/>
  <c r="A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D257" i="11"/>
  <c r="C257" i="11"/>
  <c r="B257" i="11"/>
  <c r="A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D256" i="11"/>
  <c r="C256" i="11"/>
  <c r="B256" i="11"/>
  <c r="A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D255" i="11"/>
  <c r="C255" i="11"/>
  <c r="B255" i="11"/>
  <c r="A255" i="11"/>
  <c r="T254" i="11"/>
  <c r="R254" i="11"/>
  <c r="P254" i="11"/>
  <c r="N254" i="11"/>
  <c r="L254" i="11"/>
  <c r="J254" i="11"/>
  <c r="H254" i="11"/>
  <c r="F254" i="11"/>
  <c r="E254" i="11"/>
  <c r="D254" i="11"/>
  <c r="C254" i="11"/>
  <c r="B254" i="11"/>
  <c r="A254" i="11"/>
  <c r="T253" i="11"/>
  <c r="N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D252" i="11"/>
  <c r="C252" i="11"/>
  <c r="B252" i="11"/>
  <c r="A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D251" i="11"/>
  <c r="C251" i="11"/>
  <c r="B251" i="11"/>
  <c r="A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D250" i="11"/>
  <c r="C250" i="11"/>
  <c r="B250" i="11"/>
  <c r="A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D249" i="11"/>
  <c r="C249" i="11"/>
  <c r="B249" i="11"/>
  <c r="A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D248" i="11"/>
  <c r="C248" i="11"/>
  <c r="B248" i="11"/>
  <c r="A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D247" i="11"/>
  <c r="C247" i="11"/>
  <c r="B247" i="11"/>
  <c r="A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D246" i="11"/>
  <c r="C246" i="11"/>
  <c r="B246" i="11"/>
  <c r="A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D245" i="11"/>
  <c r="C245" i="11"/>
  <c r="B245" i="11"/>
  <c r="A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D244" i="11"/>
  <c r="C244" i="11"/>
  <c r="B244" i="11"/>
  <c r="A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D243" i="11"/>
  <c r="C243" i="11"/>
  <c r="B243" i="11"/>
  <c r="A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D242" i="11"/>
  <c r="C242" i="11"/>
  <c r="B242" i="11"/>
  <c r="A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D241" i="11"/>
  <c r="C241" i="11"/>
  <c r="B241" i="11"/>
  <c r="A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D240" i="11"/>
  <c r="C240" i="11"/>
  <c r="B240" i="11"/>
  <c r="A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D239" i="11"/>
  <c r="C239" i="11"/>
  <c r="B239" i="11"/>
  <c r="A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D238" i="11"/>
  <c r="C238" i="11"/>
  <c r="B238" i="11"/>
  <c r="A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D237" i="11"/>
  <c r="C237" i="11"/>
  <c r="B237" i="11"/>
  <c r="A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D236" i="11"/>
  <c r="C236" i="11"/>
  <c r="B236" i="11"/>
  <c r="A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D235" i="11"/>
  <c r="C235" i="11"/>
  <c r="B235" i="11"/>
  <c r="A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D234" i="11"/>
  <c r="C234" i="11"/>
  <c r="B234" i="11"/>
  <c r="A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D233" i="11"/>
  <c r="C233" i="11"/>
  <c r="B233" i="11"/>
  <c r="A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D232" i="11"/>
  <c r="C232" i="11"/>
  <c r="B232" i="11"/>
  <c r="A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D231" i="11"/>
  <c r="C231" i="11"/>
  <c r="B231" i="11"/>
  <c r="A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D230" i="11"/>
  <c r="C230" i="11"/>
  <c r="B230" i="11"/>
  <c r="A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D229" i="11"/>
  <c r="C229" i="11"/>
  <c r="B229" i="11"/>
  <c r="A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D228" i="11"/>
  <c r="C228" i="11"/>
  <c r="B228" i="11"/>
  <c r="A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D227" i="11"/>
  <c r="C227" i="11"/>
  <c r="B227" i="11"/>
  <c r="A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D226" i="11"/>
  <c r="C226" i="11"/>
  <c r="B226" i="11"/>
  <c r="A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D225" i="11"/>
  <c r="C225" i="11"/>
  <c r="B225" i="11"/>
  <c r="A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D224" i="11"/>
  <c r="C224" i="11"/>
  <c r="B224" i="11"/>
  <c r="A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D223" i="11"/>
  <c r="C223" i="11"/>
  <c r="B223" i="11"/>
  <c r="A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D222" i="11"/>
  <c r="C222" i="11"/>
  <c r="B222" i="11"/>
  <c r="A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D221" i="11"/>
  <c r="C221" i="11"/>
  <c r="B221" i="11"/>
  <c r="A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D220" i="11"/>
  <c r="C220" i="11"/>
  <c r="B220" i="11"/>
  <c r="A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D219" i="11"/>
  <c r="C219" i="11"/>
  <c r="B219" i="11"/>
  <c r="A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D218" i="11"/>
  <c r="C218" i="11"/>
  <c r="B218" i="11"/>
  <c r="A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D217" i="11"/>
  <c r="C217" i="11"/>
  <c r="B217" i="11"/>
  <c r="A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D216" i="11"/>
  <c r="C216" i="11"/>
  <c r="B216" i="11"/>
  <c r="A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D215" i="11"/>
  <c r="C215" i="11"/>
  <c r="B215" i="11"/>
  <c r="A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D214" i="11"/>
  <c r="C214" i="11"/>
  <c r="B214" i="11"/>
  <c r="A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D213" i="11"/>
  <c r="C213" i="11"/>
  <c r="B213" i="11"/>
  <c r="A213" i="11"/>
  <c r="T212" i="11"/>
  <c r="R212" i="11"/>
  <c r="P212" i="11"/>
  <c r="N212" i="11"/>
  <c r="L212" i="11"/>
  <c r="J212" i="11"/>
  <c r="H212" i="11"/>
  <c r="F212" i="11"/>
  <c r="E212" i="11"/>
  <c r="D212" i="11"/>
  <c r="C212" i="11"/>
  <c r="B212" i="11"/>
  <c r="A212" i="11"/>
  <c r="T211" i="11"/>
  <c r="N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D210" i="11"/>
  <c r="C210" i="11"/>
  <c r="B210" i="11"/>
  <c r="A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D209" i="11"/>
  <c r="C209" i="11"/>
  <c r="B209" i="11"/>
  <c r="A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D208" i="11"/>
  <c r="C208" i="11"/>
  <c r="B208" i="11"/>
  <c r="A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D207" i="11"/>
  <c r="C207" i="11"/>
  <c r="B207" i="11"/>
  <c r="A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D206" i="11"/>
  <c r="C206" i="11"/>
  <c r="B206" i="11"/>
  <c r="A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D205" i="11"/>
  <c r="C205" i="11"/>
  <c r="B205" i="11"/>
  <c r="A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D204" i="11"/>
  <c r="C204" i="11"/>
  <c r="B204" i="11"/>
  <c r="A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D203" i="11"/>
  <c r="C203" i="11"/>
  <c r="B203" i="11"/>
  <c r="A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D202" i="11"/>
  <c r="C202" i="11"/>
  <c r="B202" i="11"/>
  <c r="A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D201" i="11"/>
  <c r="C201" i="11"/>
  <c r="B201" i="11"/>
  <c r="A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D200" i="11"/>
  <c r="C200" i="11"/>
  <c r="B200" i="11"/>
  <c r="A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D199" i="11"/>
  <c r="C199" i="11"/>
  <c r="B199" i="11"/>
  <c r="A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D198" i="11"/>
  <c r="C198" i="11"/>
  <c r="B198" i="11"/>
  <c r="A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C197" i="11"/>
  <c r="B197" i="11"/>
  <c r="A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D196" i="11"/>
  <c r="C196" i="11"/>
  <c r="B196" i="11"/>
  <c r="A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D195" i="11"/>
  <c r="C195" i="11"/>
  <c r="B195" i="11"/>
  <c r="A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D194" i="11"/>
  <c r="C194" i="11"/>
  <c r="B194" i="11"/>
  <c r="A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D193" i="11"/>
  <c r="C193" i="11"/>
  <c r="B193" i="11"/>
  <c r="A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D192" i="11"/>
  <c r="C192" i="11"/>
  <c r="B192" i="11"/>
  <c r="A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D191" i="11"/>
  <c r="C191" i="11"/>
  <c r="B191" i="11"/>
  <c r="A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D190" i="11"/>
  <c r="C190" i="11"/>
  <c r="B190" i="11"/>
  <c r="A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D189" i="11"/>
  <c r="C189" i="11"/>
  <c r="B189" i="11"/>
  <c r="A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D188" i="11"/>
  <c r="C188" i="11"/>
  <c r="B188" i="11"/>
  <c r="A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D187" i="11"/>
  <c r="C187" i="11"/>
  <c r="B187" i="11"/>
  <c r="A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D186" i="11"/>
  <c r="C186" i="11"/>
  <c r="B186" i="11"/>
  <c r="A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D185" i="11"/>
  <c r="C185" i="11"/>
  <c r="B185" i="11"/>
  <c r="A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D184" i="11"/>
  <c r="C184" i="11"/>
  <c r="B184" i="11"/>
  <c r="A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D183" i="11"/>
  <c r="C183" i="11"/>
  <c r="B183" i="11"/>
  <c r="A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D182" i="11"/>
  <c r="C182" i="11"/>
  <c r="B182" i="11"/>
  <c r="A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D181" i="11"/>
  <c r="C181" i="11"/>
  <c r="B181" i="11"/>
  <c r="A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D180" i="11"/>
  <c r="C180" i="11"/>
  <c r="B180" i="11"/>
  <c r="A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D179" i="11"/>
  <c r="C179" i="11"/>
  <c r="B179" i="11"/>
  <c r="A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D178" i="11"/>
  <c r="C178" i="11"/>
  <c r="B178" i="11"/>
  <c r="A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D177" i="11"/>
  <c r="C177" i="11"/>
  <c r="B177" i="11"/>
  <c r="A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D176" i="11"/>
  <c r="C176" i="11"/>
  <c r="B176" i="11"/>
  <c r="A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D175" i="11"/>
  <c r="C175" i="11"/>
  <c r="B175" i="11"/>
  <c r="A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D174" i="11"/>
  <c r="C174" i="11"/>
  <c r="B174" i="11"/>
  <c r="A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D173" i="11"/>
  <c r="C173" i="11"/>
  <c r="B173" i="11"/>
  <c r="A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D172" i="11"/>
  <c r="C172" i="11"/>
  <c r="B172" i="11"/>
  <c r="A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D171" i="11"/>
  <c r="C171" i="11"/>
  <c r="B171" i="11"/>
  <c r="A171" i="11"/>
  <c r="T170" i="11"/>
  <c r="R170" i="11"/>
  <c r="P170" i="11"/>
  <c r="N170" i="11"/>
  <c r="L170" i="11"/>
  <c r="J170" i="11"/>
  <c r="H170" i="11"/>
  <c r="F170" i="11"/>
  <c r="E170" i="11"/>
  <c r="D170" i="11"/>
  <c r="C170" i="11"/>
  <c r="B170" i="11"/>
  <c r="A170" i="11"/>
  <c r="T169" i="11"/>
  <c r="N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D168" i="11"/>
  <c r="C168" i="11"/>
  <c r="B168" i="11"/>
  <c r="A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D167" i="11"/>
  <c r="C167" i="11"/>
  <c r="B167" i="11"/>
  <c r="A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D166" i="11"/>
  <c r="C166" i="11"/>
  <c r="B166" i="11"/>
  <c r="A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D165" i="11"/>
  <c r="C165" i="11"/>
  <c r="B165" i="11"/>
  <c r="A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D164" i="11"/>
  <c r="C164" i="11"/>
  <c r="B164" i="11"/>
  <c r="A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D163" i="11"/>
  <c r="C163" i="11"/>
  <c r="B163" i="11"/>
  <c r="A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D162" i="11"/>
  <c r="C162" i="11"/>
  <c r="B162" i="11"/>
  <c r="A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D161" i="11"/>
  <c r="C161" i="11"/>
  <c r="B161" i="11"/>
  <c r="A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D160" i="11"/>
  <c r="C160" i="11"/>
  <c r="B160" i="11"/>
  <c r="A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D159" i="11"/>
  <c r="C159" i="11"/>
  <c r="B159" i="11"/>
  <c r="A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D158" i="11"/>
  <c r="C158" i="11"/>
  <c r="B158" i="11"/>
  <c r="A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D157" i="11"/>
  <c r="C157" i="11"/>
  <c r="B157" i="11"/>
  <c r="A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D156" i="11"/>
  <c r="C156" i="11"/>
  <c r="B156" i="11"/>
  <c r="A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A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A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A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A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A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A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A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A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D147" i="11"/>
  <c r="C147" i="11"/>
  <c r="B147" i="11"/>
  <c r="A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B146" i="11"/>
  <c r="A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B145" i="11"/>
  <c r="A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A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A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A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A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A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A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A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A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B136" i="11"/>
  <c r="A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B135" i="11"/>
  <c r="A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B134" i="11"/>
  <c r="A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B133" i="11"/>
  <c r="A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B132" i="11"/>
  <c r="A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A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B130" i="11"/>
  <c r="A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B129" i="11"/>
  <c r="A129" i="11"/>
  <c r="T128" i="11"/>
  <c r="R128" i="11"/>
  <c r="P128" i="11"/>
  <c r="N128" i="11"/>
  <c r="L128" i="11"/>
  <c r="J128" i="11"/>
  <c r="H128" i="11"/>
  <c r="F128" i="11"/>
  <c r="E128" i="11"/>
  <c r="D128" i="11"/>
  <c r="C128" i="11"/>
  <c r="B128" i="11"/>
  <c r="A128" i="11"/>
  <c r="T127" i="11"/>
  <c r="N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B126" i="11"/>
  <c r="A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B125" i="11"/>
  <c r="A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A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B123" i="11"/>
  <c r="A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B122" i="11"/>
  <c r="A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A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A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A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A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B117" i="11"/>
  <c r="A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B116" i="11"/>
  <c r="A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B115" i="11"/>
  <c r="A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A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B113" i="11"/>
  <c r="A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112" i="11"/>
  <c r="A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B111" i="11"/>
  <c r="A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A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109" i="11"/>
  <c r="A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108" i="11"/>
  <c r="A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107" i="11"/>
  <c r="A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106" i="11"/>
  <c r="A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A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A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A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A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A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A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99" i="11"/>
  <c r="A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B98" i="11"/>
  <c r="A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A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A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A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91" i="11"/>
  <c r="A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90" i="11"/>
  <c r="A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89" i="11"/>
  <c r="A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88" i="11"/>
  <c r="A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87" i="11"/>
  <c r="A87" i="11"/>
  <c r="T86" i="11"/>
  <c r="R86" i="11"/>
  <c r="P86" i="11"/>
  <c r="N86" i="11"/>
  <c r="L86" i="11"/>
  <c r="J86" i="11"/>
  <c r="H86" i="11"/>
  <c r="F86" i="11"/>
  <c r="E86" i="11"/>
  <c r="D86" i="11"/>
  <c r="C86" i="11"/>
  <c r="B86" i="11"/>
  <c r="A86" i="11"/>
  <c r="T85" i="11"/>
  <c r="N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45" i="11"/>
  <c r="T44" i="11"/>
  <c r="R44" i="11"/>
  <c r="P44" i="11"/>
  <c r="N44" i="11"/>
  <c r="L44" i="11"/>
  <c r="J44" i="11"/>
  <c r="H44" i="11"/>
  <c r="F44" i="11"/>
  <c r="E44" i="11"/>
  <c r="D44" i="11"/>
  <c r="C44" i="11"/>
  <c r="B44" i="11"/>
  <c r="A44" i="11"/>
  <c r="T43" i="11"/>
  <c r="N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A3" i="11"/>
  <c r="T1" i="11"/>
  <c r="N1" i="11"/>
  <c r="A1" i="11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D363" i="10"/>
  <c r="C363" i="10"/>
  <c r="B363" i="10"/>
  <c r="A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D362" i="10"/>
  <c r="C362" i="10"/>
  <c r="B362" i="10"/>
  <c r="A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D361" i="10"/>
  <c r="C361" i="10"/>
  <c r="B361" i="10"/>
  <c r="A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D360" i="10"/>
  <c r="C360" i="10"/>
  <c r="B360" i="10"/>
  <c r="A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D359" i="10"/>
  <c r="C359" i="10"/>
  <c r="B359" i="10"/>
  <c r="A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D358" i="10"/>
  <c r="C358" i="10"/>
  <c r="B358" i="10"/>
  <c r="A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D357" i="10"/>
  <c r="C357" i="10"/>
  <c r="B357" i="10"/>
  <c r="A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D356" i="10"/>
  <c r="C356" i="10"/>
  <c r="B356" i="10"/>
  <c r="A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D355" i="10"/>
  <c r="C355" i="10"/>
  <c r="B355" i="10"/>
  <c r="A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D354" i="10"/>
  <c r="C354" i="10"/>
  <c r="B354" i="10"/>
  <c r="A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D353" i="10"/>
  <c r="C353" i="10"/>
  <c r="B353" i="10"/>
  <c r="A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D352" i="10"/>
  <c r="C352" i="10"/>
  <c r="B352" i="10"/>
  <c r="A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D351" i="10"/>
  <c r="C351" i="10"/>
  <c r="B351" i="10"/>
  <c r="A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D350" i="10"/>
  <c r="C350" i="10"/>
  <c r="B350" i="10"/>
  <c r="A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D349" i="10"/>
  <c r="C349" i="10"/>
  <c r="B349" i="10"/>
  <c r="A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D348" i="10"/>
  <c r="C348" i="10"/>
  <c r="B348" i="10"/>
  <c r="A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D347" i="10"/>
  <c r="C347" i="10"/>
  <c r="B347" i="10"/>
  <c r="A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D346" i="10"/>
  <c r="C346" i="10"/>
  <c r="B346" i="10"/>
  <c r="A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D345" i="10"/>
  <c r="C345" i="10"/>
  <c r="B345" i="10"/>
  <c r="A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D344" i="10"/>
  <c r="C344" i="10"/>
  <c r="B344" i="10"/>
  <c r="A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D343" i="10"/>
  <c r="C343" i="10"/>
  <c r="B343" i="10"/>
  <c r="A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D342" i="10"/>
  <c r="C342" i="10"/>
  <c r="B342" i="10"/>
  <c r="A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D341" i="10"/>
  <c r="C341" i="10"/>
  <c r="B341" i="10"/>
  <c r="A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D340" i="10"/>
  <c r="C340" i="10"/>
  <c r="B340" i="10"/>
  <c r="A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D339" i="10"/>
  <c r="C339" i="10"/>
  <c r="B339" i="10"/>
  <c r="A339" i="10"/>
  <c r="T338" i="10"/>
  <c r="R338" i="10"/>
  <c r="P338" i="10"/>
  <c r="N338" i="10"/>
  <c r="L338" i="10"/>
  <c r="J338" i="10"/>
  <c r="H338" i="10"/>
  <c r="F338" i="10"/>
  <c r="E338" i="10"/>
  <c r="D338" i="10"/>
  <c r="C338" i="10"/>
  <c r="B338" i="10"/>
  <c r="A338" i="10"/>
  <c r="T337" i="10"/>
  <c r="N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D336" i="10"/>
  <c r="C336" i="10"/>
  <c r="B336" i="10"/>
  <c r="A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D335" i="10"/>
  <c r="C335" i="10"/>
  <c r="B335" i="10"/>
  <c r="A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D334" i="10"/>
  <c r="C334" i="10"/>
  <c r="B334" i="10"/>
  <c r="A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D333" i="10"/>
  <c r="C333" i="10"/>
  <c r="B333" i="10"/>
  <c r="A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D332" i="10"/>
  <c r="C332" i="10"/>
  <c r="B332" i="10"/>
  <c r="A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D331" i="10"/>
  <c r="C331" i="10"/>
  <c r="B331" i="10"/>
  <c r="A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D330" i="10"/>
  <c r="C330" i="10"/>
  <c r="B330" i="10"/>
  <c r="A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D329" i="10"/>
  <c r="C329" i="10"/>
  <c r="B329" i="10"/>
  <c r="A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D328" i="10"/>
  <c r="C328" i="10"/>
  <c r="B328" i="10"/>
  <c r="A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D327" i="10"/>
  <c r="C327" i="10"/>
  <c r="B327" i="10"/>
  <c r="A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D326" i="10"/>
  <c r="C326" i="10"/>
  <c r="B326" i="10"/>
  <c r="A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D325" i="10"/>
  <c r="C325" i="10"/>
  <c r="B325" i="10"/>
  <c r="A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D324" i="10"/>
  <c r="C324" i="10"/>
  <c r="B324" i="10"/>
  <c r="A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D323" i="10"/>
  <c r="C323" i="10"/>
  <c r="B323" i="10"/>
  <c r="A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D322" i="10"/>
  <c r="C322" i="10"/>
  <c r="B322" i="10"/>
  <c r="A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D321" i="10"/>
  <c r="C321" i="10"/>
  <c r="B321" i="10"/>
  <c r="A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D320" i="10"/>
  <c r="C320" i="10"/>
  <c r="B320" i="10"/>
  <c r="A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D319" i="10"/>
  <c r="C319" i="10"/>
  <c r="B319" i="10"/>
  <c r="A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D318" i="10"/>
  <c r="C318" i="10"/>
  <c r="B318" i="10"/>
  <c r="A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D317" i="10"/>
  <c r="C317" i="10"/>
  <c r="B317" i="10"/>
  <c r="A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D316" i="10"/>
  <c r="C316" i="10"/>
  <c r="B316" i="10"/>
  <c r="A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D315" i="10"/>
  <c r="C315" i="10"/>
  <c r="B315" i="10"/>
  <c r="A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D314" i="10"/>
  <c r="C314" i="10"/>
  <c r="B314" i="10"/>
  <c r="A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D313" i="10"/>
  <c r="C313" i="10"/>
  <c r="B313" i="10"/>
  <c r="A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D312" i="10"/>
  <c r="C312" i="10"/>
  <c r="B312" i="10"/>
  <c r="A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D311" i="10"/>
  <c r="C311" i="10"/>
  <c r="B311" i="10"/>
  <c r="A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D310" i="10"/>
  <c r="C310" i="10"/>
  <c r="B310" i="10"/>
  <c r="A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D309" i="10"/>
  <c r="C309" i="10"/>
  <c r="B309" i="10"/>
  <c r="A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D308" i="10"/>
  <c r="C308" i="10"/>
  <c r="B308" i="10"/>
  <c r="A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D307" i="10"/>
  <c r="C307" i="10"/>
  <c r="B307" i="10"/>
  <c r="A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D306" i="10"/>
  <c r="C306" i="10"/>
  <c r="B306" i="10"/>
  <c r="A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D305" i="10"/>
  <c r="C305" i="10"/>
  <c r="B305" i="10"/>
  <c r="A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D304" i="10"/>
  <c r="C304" i="10"/>
  <c r="B304" i="10"/>
  <c r="A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D303" i="10"/>
  <c r="C303" i="10"/>
  <c r="B303" i="10"/>
  <c r="A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D302" i="10"/>
  <c r="C302" i="10"/>
  <c r="B302" i="10"/>
  <c r="A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D301" i="10"/>
  <c r="C301" i="10"/>
  <c r="B301" i="10"/>
  <c r="A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D300" i="10"/>
  <c r="C300" i="10"/>
  <c r="B300" i="10"/>
  <c r="A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D299" i="10"/>
  <c r="C299" i="10"/>
  <c r="B299" i="10"/>
  <c r="A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D298" i="10"/>
  <c r="C298" i="10"/>
  <c r="B298" i="10"/>
  <c r="A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D297" i="10"/>
  <c r="C297" i="10"/>
  <c r="B297" i="10"/>
  <c r="A297" i="10"/>
  <c r="T296" i="10"/>
  <c r="R296" i="10"/>
  <c r="P296" i="10"/>
  <c r="N296" i="10"/>
  <c r="L296" i="10"/>
  <c r="J296" i="10"/>
  <c r="H296" i="10"/>
  <c r="F296" i="10"/>
  <c r="E296" i="10"/>
  <c r="D296" i="10"/>
  <c r="C296" i="10"/>
  <c r="B296" i="10"/>
  <c r="A296" i="10"/>
  <c r="T295" i="10"/>
  <c r="N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D294" i="10"/>
  <c r="C294" i="10"/>
  <c r="B294" i="10"/>
  <c r="A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D293" i="10"/>
  <c r="C293" i="10"/>
  <c r="B293" i="10"/>
  <c r="A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D292" i="10"/>
  <c r="C292" i="10"/>
  <c r="B292" i="10"/>
  <c r="A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D291" i="10"/>
  <c r="C291" i="10"/>
  <c r="B291" i="10"/>
  <c r="A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D290" i="10"/>
  <c r="C290" i="10"/>
  <c r="B290" i="10"/>
  <c r="A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D289" i="10"/>
  <c r="C289" i="10"/>
  <c r="B289" i="10"/>
  <c r="A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D288" i="10"/>
  <c r="C288" i="10"/>
  <c r="B288" i="10"/>
  <c r="A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D287" i="10"/>
  <c r="C287" i="10"/>
  <c r="B287" i="10"/>
  <c r="A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D286" i="10"/>
  <c r="C286" i="10"/>
  <c r="B286" i="10"/>
  <c r="A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D285" i="10"/>
  <c r="C285" i="10"/>
  <c r="B285" i="10"/>
  <c r="A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D284" i="10"/>
  <c r="C284" i="10"/>
  <c r="B284" i="10"/>
  <c r="A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D283" i="10"/>
  <c r="C283" i="10"/>
  <c r="B283" i="10"/>
  <c r="A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D282" i="10"/>
  <c r="C282" i="10"/>
  <c r="B282" i="10"/>
  <c r="A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D281" i="10"/>
  <c r="C281" i="10"/>
  <c r="B281" i="10"/>
  <c r="A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D280" i="10"/>
  <c r="C280" i="10"/>
  <c r="B280" i="10"/>
  <c r="A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D279" i="10"/>
  <c r="C279" i="10"/>
  <c r="B279" i="10"/>
  <c r="A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D278" i="10"/>
  <c r="C278" i="10"/>
  <c r="B278" i="10"/>
  <c r="A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D277" i="10"/>
  <c r="C277" i="10"/>
  <c r="B277" i="10"/>
  <c r="A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D276" i="10"/>
  <c r="C276" i="10"/>
  <c r="B276" i="10"/>
  <c r="A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D275" i="10"/>
  <c r="C275" i="10"/>
  <c r="B275" i="10"/>
  <c r="A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D274" i="10"/>
  <c r="C274" i="10"/>
  <c r="B274" i="10"/>
  <c r="A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D273" i="10"/>
  <c r="C273" i="10"/>
  <c r="B273" i="10"/>
  <c r="A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D272" i="10"/>
  <c r="C272" i="10"/>
  <c r="B272" i="10"/>
  <c r="A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D271" i="10"/>
  <c r="C271" i="10"/>
  <c r="B271" i="10"/>
  <c r="A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D270" i="10"/>
  <c r="C270" i="10"/>
  <c r="B270" i="10"/>
  <c r="A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D269" i="10"/>
  <c r="C269" i="10"/>
  <c r="B269" i="10"/>
  <c r="A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D268" i="10"/>
  <c r="C268" i="10"/>
  <c r="B268" i="10"/>
  <c r="A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D267" i="10"/>
  <c r="C267" i="10"/>
  <c r="B267" i="10"/>
  <c r="A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D266" i="10"/>
  <c r="C266" i="10"/>
  <c r="B266" i="10"/>
  <c r="A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D265" i="10"/>
  <c r="C265" i="10"/>
  <c r="B265" i="10"/>
  <c r="A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D264" i="10"/>
  <c r="C264" i="10"/>
  <c r="B264" i="10"/>
  <c r="A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D263" i="10"/>
  <c r="C263" i="10"/>
  <c r="B263" i="10"/>
  <c r="A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D262" i="10"/>
  <c r="C262" i="10"/>
  <c r="B262" i="10"/>
  <c r="A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D261" i="10"/>
  <c r="C261" i="10"/>
  <c r="B261" i="10"/>
  <c r="A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D260" i="10"/>
  <c r="C260" i="10"/>
  <c r="B260" i="10"/>
  <c r="A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D259" i="10"/>
  <c r="C259" i="10"/>
  <c r="B259" i="10"/>
  <c r="A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D258" i="10"/>
  <c r="C258" i="10"/>
  <c r="B258" i="10"/>
  <c r="A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D257" i="10"/>
  <c r="C257" i="10"/>
  <c r="B257" i="10"/>
  <c r="A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D256" i="10"/>
  <c r="C256" i="10"/>
  <c r="B256" i="10"/>
  <c r="A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D255" i="10"/>
  <c r="C255" i="10"/>
  <c r="B255" i="10"/>
  <c r="A255" i="10"/>
  <c r="T254" i="10"/>
  <c r="R254" i="10"/>
  <c r="P254" i="10"/>
  <c r="N254" i="10"/>
  <c r="L254" i="10"/>
  <c r="J254" i="10"/>
  <c r="H254" i="10"/>
  <c r="F254" i="10"/>
  <c r="E254" i="10"/>
  <c r="D254" i="10"/>
  <c r="C254" i="10"/>
  <c r="B254" i="10"/>
  <c r="A254" i="10"/>
  <c r="T253" i="10"/>
  <c r="N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D252" i="10"/>
  <c r="C252" i="10"/>
  <c r="B252" i="10"/>
  <c r="A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D251" i="10"/>
  <c r="C251" i="10"/>
  <c r="B251" i="10"/>
  <c r="A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D250" i="10"/>
  <c r="C250" i="10"/>
  <c r="B250" i="10"/>
  <c r="A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D249" i="10"/>
  <c r="C249" i="10"/>
  <c r="B249" i="10"/>
  <c r="A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D248" i="10"/>
  <c r="C248" i="10"/>
  <c r="B248" i="10"/>
  <c r="A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D247" i="10"/>
  <c r="C247" i="10"/>
  <c r="B247" i="10"/>
  <c r="A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D246" i="10"/>
  <c r="C246" i="10"/>
  <c r="B246" i="10"/>
  <c r="A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D245" i="10"/>
  <c r="C245" i="10"/>
  <c r="B245" i="10"/>
  <c r="A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D244" i="10"/>
  <c r="C244" i="10"/>
  <c r="B244" i="10"/>
  <c r="A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D243" i="10"/>
  <c r="C243" i="10"/>
  <c r="B243" i="10"/>
  <c r="A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D242" i="10"/>
  <c r="C242" i="10"/>
  <c r="B242" i="10"/>
  <c r="A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D241" i="10"/>
  <c r="C241" i="10"/>
  <c r="B241" i="10"/>
  <c r="A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D240" i="10"/>
  <c r="C240" i="10"/>
  <c r="B240" i="10"/>
  <c r="A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D239" i="10"/>
  <c r="C239" i="10"/>
  <c r="B239" i="10"/>
  <c r="A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D238" i="10"/>
  <c r="C238" i="10"/>
  <c r="B238" i="10"/>
  <c r="A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D237" i="10"/>
  <c r="C237" i="10"/>
  <c r="B237" i="10"/>
  <c r="A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D236" i="10"/>
  <c r="C236" i="10"/>
  <c r="B236" i="10"/>
  <c r="A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D235" i="10"/>
  <c r="C235" i="10"/>
  <c r="B235" i="10"/>
  <c r="A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D234" i="10"/>
  <c r="C234" i="10"/>
  <c r="B234" i="10"/>
  <c r="A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D233" i="10"/>
  <c r="C233" i="10"/>
  <c r="B233" i="10"/>
  <c r="A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D232" i="10"/>
  <c r="C232" i="10"/>
  <c r="B232" i="10"/>
  <c r="A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D231" i="10"/>
  <c r="C231" i="10"/>
  <c r="B231" i="10"/>
  <c r="A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D230" i="10"/>
  <c r="C230" i="10"/>
  <c r="B230" i="10"/>
  <c r="A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D229" i="10"/>
  <c r="C229" i="10"/>
  <c r="B229" i="10"/>
  <c r="A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D228" i="10"/>
  <c r="C228" i="10"/>
  <c r="B228" i="10"/>
  <c r="A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D227" i="10"/>
  <c r="C227" i="10"/>
  <c r="B227" i="10"/>
  <c r="A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D226" i="10"/>
  <c r="C226" i="10"/>
  <c r="B226" i="10"/>
  <c r="A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D225" i="10"/>
  <c r="C225" i="10"/>
  <c r="B225" i="10"/>
  <c r="A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D224" i="10"/>
  <c r="C224" i="10"/>
  <c r="B224" i="10"/>
  <c r="A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D223" i="10"/>
  <c r="C223" i="10"/>
  <c r="B223" i="10"/>
  <c r="A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D222" i="10"/>
  <c r="C222" i="10"/>
  <c r="B222" i="10"/>
  <c r="A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D221" i="10"/>
  <c r="C221" i="10"/>
  <c r="B221" i="10"/>
  <c r="A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D220" i="10"/>
  <c r="C220" i="10"/>
  <c r="B220" i="10"/>
  <c r="A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D219" i="10"/>
  <c r="C219" i="10"/>
  <c r="B219" i="10"/>
  <c r="A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D218" i="10"/>
  <c r="C218" i="10"/>
  <c r="B218" i="10"/>
  <c r="A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D217" i="10"/>
  <c r="C217" i="10"/>
  <c r="B217" i="10"/>
  <c r="A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D216" i="10"/>
  <c r="C216" i="10"/>
  <c r="B216" i="10"/>
  <c r="A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D215" i="10"/>
  <c r="C215" i="10"/>
  <c r="B215" i="10"/>
  <c r="A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D214" i="10"/>
  <c r="C214" i="10"/>
  <c r="B214" i="10"/>
  <c r="A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D213" i="10"/>
  <c r="C213" i="10"/>
  <c r="B213" i="10"/>
  <c r="A213" i="10"/>
  <c r="T212" i="10"/>
  <c r="R212" i="10"/>
  <c r="P212" i="10"/>
  <c r="N212" i="10"/>
  <c r="L212" i="10"/>
  <c r="J212" i="10"/>
  <c r="H212" i="10"/>
  <c r="F212" i="10"/>
  <c r="E212" i="10"/>
  <c r="D212" i="10"/>
  <c r="C212" i="10"/>
  <c r="B212" i="10"/>
  <c r="A212" i="10"/>
  <c r="T211" i="10"/>
  <c r="N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D210" i="10"/>
  <c r="C210" i="10"/>
  <c r="B210" i="10"/>
  <c r="A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D209" i="10"/>
  <c r="C209" i="10"/>
  <c r="B209" i="10"/>
  <c r="A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D208" i="10"/>
  <c r="C208" i="10"/>
  <c r="B208" i="10"/>
  <c r="A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D207" i="10"/>
  <c r="C207" i="10"/>
  <c r="B207" i="10"/>
  <c r="A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D206" i="10"/>
  <c r="C206" i="10"/>
  <c r="B206" i="10"/>
  <c r="A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D205" i="10"/>
  <c r="C205" i="10"/>
  <c r="B205" i="10"/>
  <c r="A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D204" i="10"/>
  <c r="C204" i="10"/>
  <c r="B204" i="10"/>
  <c r="A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D203" i="10"/>
  <c r="C203" i="10"/>
  <c r="B203" i="10"/>
  <c r="A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D202" i="10"/>
  <c r="C202" i="10"/>
  <c r="B202" i="10"/>
  <c r="A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D201" i="10"/>
  <c r="C201" i="10"/>
  <c r="B201" i="10"/>
  <c r="A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D200" i="10"/>
  <c r="C200" i="10"/>
  <c r="B200" i="10"/>
  <c r="A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D199" i="10"/>
  <c r="C199" i="10"/>
  <c r="B199" i="10"/>
  <c r="A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D198" i="10"/>
  <c r="C198" i="10"/>
  <c r="B198" i="10"/>
  <c r="A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D197" i="10"/>
  <c r="C197" i="10"/>
  <c r="B197" i="10"/>
  <c r="A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D196" i="10"/>
  <c r="C196" i="10"/>
  <c r="B196" i="10"/>
  <c r="A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D195" i="10"/>
  <c r="C195" i="10"/>
  <c r="B195" i="10"/>
  <c r="A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D194" i="10"/>
  <c r="C194" i="10"/>
  <c r="B194" i="10"/>
  <c r="A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D193" i="10"/>
  <c r="C193" i="10"/>
  <c r="B193" i="10"/>
  <c r="A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D192" i="10"/>
  <c r="C192" i="10"/>
  <c r="B192" i="10"/>
  <c r="A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D191" i="10"/>
  <c r="C191" i="10"/>
  <c r="B191" i="10"/>
  <c r="A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D190" i="10"/>
  <c r="C190" i="10"/>
  <c r="B190" i="10"/>
  <c r="A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D189" i="10"/>
  <c r="C189" i="10"/>
  <c r="B189" i="10"/>
  <c r="A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D188" i="10"/>
  <c r="C188" i="10"/>
  <c r="B188" i="10"/>
  <c r="A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D187" i="10"/>
  <c r="C187" i="10"/>
  <c r="B187" i="10"/>
  <c r="A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D186" i="10"/>
  <c r="C186" i="10"/>
  <c r="B186" i="10"/>
  <c r="A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D185" i="10"/>
  <c r="C185" i="10"/>
  <c r="B185" i="10"/>
  <c r="A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D184" i="10"/>
  <c r="C184" i="10"/>
  <c r="B184" i="10"/>
  <c r="A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D183" i="10"/>
  <c r="C183" i="10"/>
  <c r="B183" i="10"/>
  <c r="A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D182" i="10"/>
  <c r="C182" i="10"/>
  <c r="B182" i="10"/>
  <c r="A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D181" i="10"/>
  <c r="C181" i="10"/>
  <c r="B181" i="10"/>
  <c r="A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D180" i="10"/>
  <c r="C180" i="10"/>
  <c r="B180" i="10"/>
  <c r="A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D179" i="10"/>
  <c r="C179" i="10"/>
  <c r="B179" i="10"/>
  <c r="A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D178" i="10"/>
  <c r="C178" i="10"/>
  <c r="B178" i="10"/>
  <c r="A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D177" i="10"/>
  <c r="C177" i="10"/>
  <c r="B177" i="10"/>
  <c r="A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D176" i="10"/>
  <c r="C176" i="10"/>
  <c r="B176" i="10"/>
  <c r="A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D175" i="10"/>
  <c r="C175" i="10"/>
  <c r="B175" i="10"/>
  <c r="A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D174" i="10"/>
  <c r="C174" i="10"/>
  <c r="B174" i="10"/>
  <c r="A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D173" i="10"/>
  <c r="C173" i="10"/>
  <c r="B173" i="10"/>
  <c r="A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D172" i="10"/>
  <c r="C172" i="10"/>
  <c r="B172" i="10"/>
  <c r="A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D171" i="10"/>
  <c r="C171" i="10"/>
  <c r="B171" i="10"/>
  <c r="A171" i="10"/>
  <c r="T170" i="10"/>
  <c r="R170" i="10"/>
  <c r="P170" i="10"/>
  <c r="N170" i="10"/>
  <c r="L170" i="10"/>
  <c r="J170" i="10"/>
  <c r="H170" i="10"/>
  <c r="F170" i="10"/>
  <c r="E170" i="10"/>
  <c r="D170" i="10"/>
  <c r="C170" i="10"/>
  <c r="B170" i="10"/>
  <c r="A170" i="10"/>
  <c r="T169" i="10"/>
  <c r="N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D168" i="10"/>
  <c r="C168" i="10"/>
  <c r="B168" i="10"/>
  <c r="A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D167" i="10"/>
  <c r="C167" i="10"/>
  <c r="B167" i="10"/>
  <c r="A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D166" i="10"/>
  <c r="C166" i="10"/>
  <c r="B166" i="10"/>
  <c r="A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D165" i="10"/>
  <c r="C165" i="10"/>
  <c r="B165" i="10"/>
  <c r="A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D164" i="10"/>
  <c r="C164" i="10"/>
  <c r="B164" i="10"/>
  <c r="A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D163" i="10"/>
  <c r="C163" i="10"/>
  <c r="B163" i="10"/>
  <c r="A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D162" i="10"/>
  <c r="C162" i="10"/>
  <c r="B162" i="10"/>
  <c r="A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D161" i="10"/>
  <c r="C161" i="10"/>
  <c r="B161" i="10"/>
  <c r="A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D160" i="10"/>
  <c r="C160" i="10"/>
  <c r="B160" i="10"/>
  <c r="A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D159" i="10"/>
  <c r="C159" i="10"/>
  <c r="B159" i="10"/>
  <c r="A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D158" i="10"/>
  <c r="C158" i="10"/>
  <c r="B158" i="10"/>
  <c r="A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D157" i="10"/>
  <c r="C157" i="10"/>
  <c r="B157" i="10"/>
  <c r="A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D156" i="10"/>
  <c r="C156" i="10"/>
  <c r="B156" i="10"/>
  <c r="A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A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A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A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A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A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A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A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A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A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B146" i="10"/>
  <c r="A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B145" i="10"/>
  <c r="A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A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A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A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A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A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A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A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A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A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B135" i="10"/>
  <c r="A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B134" i="10"/>
  <c r="A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B133" i="10"/>
  <c r="A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B132" i="10"/>
  <c r="A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A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A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A129" i="10"/>
  <c r="T128" i="10"/>
  <c r="R128" i="10"/>
  <c r="P128" i="10"/>
  <c r="N128" i="10"/>
  <c r="L128" i="10"/>
  <c r="J128" i="10"/>
  <c r="H128" i="10"/>
  <c r="F128" i="10"/>
  <c r="E128" i="10"/>
  <c r="D128" i="10"/>
  <c r="C128" i="10"/>
  <c r="B128" i="10"/>
  <c r="A128" i="10"/>
  <c r="T127" i="10"/>
  <c r="N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A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A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A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A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A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A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A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A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A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B117" i="10"/>
  <c r="A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B116" i="10"/>
  <c r="A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B115" i="10"/>
  <c r="A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A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A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A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B111" i="10"/>
  <c r="A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A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A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A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A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A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A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A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A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A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A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100" i="10"/>
  <c r="A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99" i="10"/>
  <c r="A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B98" i="10"/>
  <c r="A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A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A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A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A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93" i="10"/>
  <c r="A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92" i="10"/>
  <c r="A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91" i="10"/>
  <c r="A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90" i="10"/>
  <c r="A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89" i="10"/>
  <c r="A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B88" i="10"/>
  <c r="A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B87" i="10"/>
  <c r="A87" i="10"/>
  <c r="T86" i="10"/>
  <c r="R86" i="10"/>
  <c r="P86" i="10"/>
  <c r="N86" i="10"/>
  <c r="L86" i="10"/>
  <c r="J86" i="10"/>
  <c r="H86" i="10"/>
  <c r="F86" i="10"/>
  <c r="E86" i="10"/>
  <c r="D86" i="10"/>
  <c r="C86" i="10"/>
  <c r="B86" i="10"/>
  <c r="A86" i="10"/>
  <c r="T85" i="10"/>
  <c r="N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A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A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A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A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A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A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A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A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A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A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A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A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45" i="10"/>
  <c r="T44" i="10"/>
  <c r="R44" i="10"/>
  <c r="P44" i="10"/>
  <c r="N44" i="10"/>
  <c r="L44" i="10"/>
  <c r="J44" i="10"/>
  <c r="H44" i="10"/>
  <c r="F44" i="10"/>
  <c r="E44" i="10"/>
  <c r="D44" i="10"/>
  <c r="C44" i="10"/>
  <c r="B44" i="10"/>
  <c r="A44" i="10"/>
  <c r="T43" i="10"/>
  <c r="N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A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A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A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3" i="10"/>
  <c r="T1" i="10"/>
  <c r="N1" i="10"/>
  <c r="A1" i="10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D365" i="9"/>
  <c r="C365" i="9"/>
  <c r="B365" i="9"/>
  <c r="A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D364" i="9"/>
  <c r="C364" i="9"/>
  <c r="B364" i="9"/>
  <c r="A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C363" i="9"/>
  <c r="B363" i="9"/>
  <c r="A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C362" i="9"/>
  <c r="B362" i="9"/>
  <c r="A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D361" i="9"/>
  <c r="C361" i="9"/>
  <c r="B361" i="9"/>
  <c r="A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C360" i="9"/>
  <c r="B360" i="9"/>
  <c r="A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D359" i="9"/>
  <c r="C359" i="9"/>
  <c r="B359" i="9"/>
  <c r="A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D358" i="9"/>
  <c r="C358" i="9"/>
  <c r="B358" i="9"/>
  <c r="A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D357" i="9"/>
  <c r="C357" i="9"/>
  <c r="B357" i="9"/>
  <c r="A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D356" i="9"/>
  <c r="C356" i="9"/>
  <c r="B356" i="9"/>
  <c r="A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C355" i="9"/>
  <c r="B355" i="9"/>
  <c r="A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C354" i="9"/>
  <c r="B354" i="9"/>
  <c r="A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D353" i="9"/>
  <c r="C353" i="9"/>
  <c r="B353" i="9"/>
  <c r="A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C352" i="9"/>
  <c r="B352" i="9"/>
  <c r="A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D351" i="9"/>
  <c r="C351" i="9"/>
  <c r="B351" i="9"/>
  <c r="A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D350" i="9"/>
  <c r="C350" i="9"/>
  <c r="B350" i="9"/>
  <c r="A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D349" i="9"/>
  <c r="C349" i="9"/>
  <c r="B349" i="9"/>
  <c r="A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D348" i="9"/>
  <c r="C348" i="9"/>
  <c r="B348" i="9"/>
  <c r="A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C347" i="9"/>
  <c r="B347" i="9"/>
  <c r="A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C346" i="9"/>
  <c r="B346" i="9"/>
  <c r="A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D345" i="9"/>
  <c r="C345" i="9"/>
  <c r="B345" i="9"/>
  <c r="A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C344" i="9"/>
  <c r="B344" i="9"/>
  <c r="A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D343" i="9"/>
  <c r="C343" i="9"/>
  <c r="B343" i="9"/>
  <c r="A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D342" i="9"/>
  <c r="C342" i="9"/>
  <c r="B342" i="9"/>
  <c r="A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C341" i="9"/>
  <c r="B341" i="9"/>
  <c r="A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D340" i="9"/>
  <c r="C340" i="9"/>
  <c r="B340" i="9"/>
  <c r="A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T338" i="9"/>
  <c r="R338" i="9"/>
  <c r="P338" i="9"/>
  <c r="N338" i="9"/>
  <c r="L338" i="9"/>
  <c r="J338" i="9"/>
  <c r="H338" i="9"/>
  <c r="F338" i="9"/>
  <c r="E338" i="9"/>
  <c r="D338" i="9"/>
  <c r="C338" i="9"/>
  <c r="B338" i="9"/>
  <c r="A338" i="9"/>
  <c r="T337" i="9"/>
  <c r="N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D336" i="9"/>
  <c r="C336" i="9"/>
  <c r="B336" i="9"/>
  <c r="A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D334" i="9"/>
  <c r="C334" i="9"/>
  <c r="B334" i="9"/>
  <c r="A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D333" i="9"/>
  <c r="C333" i="9"/>
  <c r="B333" i="9"/>
  <c r="A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D332" i="9"/>
  <c r="C332" i="9"/>
  <c r="B332" i="9"/>
  <c r="A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D331" i="9"/>
  <c r="C331" i="9"/>
  <c r="B331" i="9"/>
  <c r="A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D328" i="9"/>
  <c r="C328" i="9"/>
  <c r="B328" i="9"/>
  <c r="A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D326" i="9"/>
  <c r="C326" i="9"/>
  <c r="B326" i="9"/>
  <c r="A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D325" i="9"/>
  <c r="C325" i="9"/>
  <c r="B325" i="9"/>
  <c r="A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D324" i="9"/>
  <c r="C324" i="9"/>
  <c r="B324" i="9"/>
  <c r="A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D323" i="9"/>
  <c r="C323" i="9"/>
  <c r="B323" i="9"/>
  <c r="A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D320" i="9"/>
  <c r="C320" i="9"/>
  <c r="B320" i="9"/>
  <c r="A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D318" i="9"/>
  <c r="C318" i="9"/>
  <c r="B318" i="9"/>
  <c r="A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D317" i="9"/>
  <c r="C317" i="9"/>
  <c r="B317" i="9"/>
  <c r="A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D316" i="9"/>
  <c r="C316" i="9"/>
  <c r="B316" i="9"/>
  <c r="A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D312" i="9"/>
  <c r="C312" i="9"/>
  <c r="B312" i="9"/>
  <c r="A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D310" i="9"/>
  <c r="C310" i="9"/>
  <c r="B310" i="9"/>
  <c r="A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D309" i="9"/>
  <c r="C309" i="9"/>
  <c r="B309" i="9"/>
  <c r="A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D308" i="9"/>
  <c r="C308" i="9"/>
  <c r="B308" i="9"/>
  <c r="A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D307" i="9"/>
  <c r="C307" i="9"/>
  <c r="B307" i="9"/>
  <c r="A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D304" i="9"/>
  <c r="C304" i="9"/>
  <c r="B304" i="9"/>
  <c r="A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D302" i="9"/>
  <c r="C302" i="9"/>
  <c r="B302" i="9"/>
  <c r="A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D301" i="9"/>
  <c r="C301" i="9"/>
  <c r="B301" i="9"/>
  <c r="A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D300" i="9"/>
  <c r="C300" i="9"/>
  <c r="B300" i="9"/>
  <c r="A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T296" i="9"/>
  <c r="R296" i="9"/>
  <c r="P296" i="9"/>
  <c r="N296" i="9"/>
  <c r="L296" i="9"/>
  <c r="J296" i="9"/>
  <c r="H296" i="9"/>
  <c r="F296" i="9"/>
  <c r="E296" i="9"/>
  <c r="D296" i="9"/>
  <c r="C296" i="9"/>
  <c r="B296" i="9"/>
  <c r="A296" i="9"/>
  <c r="T295" i="9"/>
  <c r="N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D294" i="9"/>
  <c r="C294" i="9"/>
  <c r="B294" i="9"/>
  <c r="A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D293" i="9"/>
  <c r="C293" i="9"/>
  <c r="B293" i="9"/>
  <c r="A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D292" i="9"/>
  <c r="C292" i="9"/>
  <c r="B292" i="9"/>
  <c r="A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D291" i="9"/>
  <c r="C291" i="9"/>
  <c r="B291" i="9"/>
  <c r="A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D288" i="9"/>
  <c r="C288" i="9"/>
  <c r="B288" i="9"/>
  <c r="A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D286" i="9"/>
  <c r="C286" i="9"/>
  <c r="B286" i="9"/>
  <c r="A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D285" i="9"/>
  <c r="C285" i="9"/>
  <c r="B285" i="9"/>
  <c r="A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D284" i="9"/>
  <c r="C284" i="9"/>
  <c r="B284" i="9"/>
  <c r="A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D283" i="9"/>
  <c r="C283" i="9"/>
  <c r="B283" i="9"/>
  <c r="A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D280" i="9"/>
  <c r="C280" i="9"/>
  <c r="B280" i="9"/>
  <c r="A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D278" i="9"/>
  <c r="C278" i="9"/>
  <c r="B278" i="9"/>
  <c r="A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D277" i="9"/>
  <c r="C277" i="9"/>
  <c r="B277" i="9"/>
  <c r="A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D276" i="9"/>
  <c r="C276" i="9"/>
  <c r="B276" i="9"/>
  <c r="A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D272" i="9"/>
  <c r="C272" i="9"/>
  <c r="B272" i="9"/>
  <c r="A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D270" i="9"/>
  <c r="C270" i="9"/>
  <c r="B270" i="9"/>
  <c r="A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D269" i="9"/>
  <c r="C269" i="9"/>
  <c r="B269" i="9"/>
  <c r="A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D268" i="9"/>
  <c r="C268" i="9"/>
  <c r="B268" i="9"/>
  <c r="A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D267" i="9"/>
  <c r="C267" i="9"/>
  <c r="B267" i="9"/>
  <c r="A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D264" i="9"/>
  <c r="C264" i="9"/>
  <c r="B264" i="9"/>
  <c r="A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D262" i="9"/>
  <c r="C262" i="9"/>
  <c r="B262" i="9"/>
  <c r="A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D261" i="9"/>
  <c r="C261" i="9"/>
  <c r="B261" i="9"/>
  <c r="A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D260" i="9"/>
  <c r="C260" i="9"/>
  <c r="B260" i="9"/>
  <c r="A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D259" i="9"/>
  <c r="C259" i="9"/>
  <c r="B259" i="9"/>
  <c r="A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D256" i="9"/>
  <c r="C256" i="9"/>
  <c r="B256" i="9"/>
  <c r="A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T254" i="9"/>
  <c r="R254" i="9"/>
  <c r="P254" i="9"/>
  <c r="N254" i="9"/>
  <c r="L254" i="9"/>
  <c r="J254" i="9"/>
  <c r="H254" i="9"/>
  <c r="F254" i="9"/>
  <c r="E254" i="9"/>
  <c r="D254" i="9"/>
  <c r="C254" i="9"/>
  <c r="B254" i="9"/>
  <c r="A254" i="9"/>
  <c r="T253" i="9"/>
  <c r="N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D252" i="9"/>
  <c r="C252" i="9"/>
  <c r="B252" i="9"/>
  <c r="A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D248" i="9"/>
  <c r="C248" i="9"/>
  <c r="B248" i="9"/>
  <c r="A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D246" i="9"/>
  <c r="C246" i="9"/>
  <c r="B246" i="9"/>
  <c r="A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D245" i="9"/>
  <c r="C245" i="9"/>
  <c r="B245" i="9"/>
  <c r="A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D244" i="9"/>
  <c r="C244" i="9"/>
  <c r="B244" i="9"/>
  <c r="A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D243" i="9"/>
  <c r="C243" i="9"/>
  <c r="B243" i="9"/>
  <c r="A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D240" i="9"/>
  <c r="C240" i="9"/>
  <c r="B240" i="9"/>
  <c r="A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D238" i="9"/>
  <c r="C238" i="9"/>
  <c r="B238" i="9"/>
  <c r="A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D237" i="9"/>
  <c r="C237" i="9"/>
  <c r="B237" i="9"/>
  <c r="A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D236" i="9"/>
  <c r="C236" i="9"/>
  <c r="B236" i="9"/>
  <c r="A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D232" i="9"/>
  <c r="C232" i="9"/>
  <c r="B232" i="9"/>
  <c r="A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D230" i="9"/>
  <c r="C230" i="9"/>
  <c r="B230" i="9"/>
  <c r="A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D229" i="9"/>
  <c r="C229" i="9"/>
  <c r="B229" i="9"/>
  <c r="A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D228" i="9"/>
  <c r="C228" i="9"/>
  <c r="B228" i="9"/>
  <c r="A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D227" i="9"/>
  <c r="C227" i="9"/>
  <c r="B227" i="9"/>
  <c r="A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D224" i="9"/>
  <c r="C224" i="9"/>
  <c r="B224" i="9"/>
  <c r="A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D222" i="9"/>
  <c r="C222" i="9"/>
  <c r="B222" i="9"/>
  <c r="A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D221" i="9"/>
  <c r="C221" i="9"/>
  <c r="B221" i="9"/>
  <c r="A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D220" i="9"/>
  <c r="C220" i="9"/>
  <c r="B220" i="9"/>
  <c r="A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D219" i="9"/>
  <c r="C219" i="9"/>
  <c r="B219" i="9"/>
  <c r="A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D216" i="9"/>
  <c r="C216" i="9"/>
  <c r="B216" i="9"/>
  <c r="A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D214" i="9"/>
  <c r="C214" i="9"/>
  <c r="B214" i="9"/>
  <c r="A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D213" i="9"/>
  <c r="C213" i="9"/>
  <c r="B213" i="9"/>
  <c r="A213" i="9"/>
  <c r="T212" i="9"/>
  <c r="R212" i="9"/>
  <c r="P212" i="9"/>
  <c r="N212" i="9"/>
  <c r="L212" i="9"/>
  <c r="J212" i="9"/>
  <c r="H212" i="9"/>
  <c r="F212" i="9"/>
  <c r="E212" i="9"/>
  <c r="D212" i="9"/>
  <c r="C212" i="9"/>
  <c r="B212" i="9"/>
  <c r="A212" i="9"/>
  <c r="T211" i="9"/>
  <c r="N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D206" i="9"/>
  <c r="C206" i="9"/>
  <c r="B206" i="9"/>
  <c r="A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D205" i="9"/>
  <c r="C205" i="9"/>
  <c r="B205" i="9"/>
  <c r="A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D204" i="9"/>
  <c r="C204" i="9"/>
  <c r="B204" i="9"/>
  <c r="A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D203" i="9"/>
  <c r="C203" i="9"/>
  <c r="B203" i="9"/>
  <c r="A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D200" i="9"/>
  <c r="C200" i="9"/>
  <c r="B200" i="9"/>
  <c r="A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C198" i="9"/>
  <c r="B198" i="9"/>
  <c r="A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D197" i="9"/>
  <c r="C197" i="9"/>
  <c r="B197" i="9"/>
  <c r="A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D196" i="9"/>
  <c r="C196" i="9"/>
  <c r="B196" i="9"/>
  <c r="A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D195" i="9"/>
  <c r="C195" i="9"/>
  <c r="B195" i="9"/>
  <c r="A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C192" i="9"/>
  <c r="B192" i="9"/>
  <c r="A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C190" i="9"/>
  <c r="B190" i="9"/>
  <c r="A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D189" i="9"/>
  <c r="C189" i="9"/>
  <c r="B189" i="9"/>
  <c r="A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C188" i="9"/>
  <c r="B188" i="9"/>
  <c r="A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C182" i="9"/>
  <c r="B182" i="9"/>
  <c r="A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C181" i="9"/>
  <c r="B181" i="9"/>
  <c r="A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D180" i="9"/>
  <c r="C180" i="9"/>
  <c r="B180" i="9"/>
  <c r="A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C179" i="9"/>
  <c r="B179" i="9"/>
  <c r="A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D176" i="9"/>
  <c r="C176" i="9"/>
  <c r="B176" i="9"/>
  <c r="A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D174" i="9"/>
  <c r="C174" i="9"/>
  <c r="B174" i="9"/>
  <c r="A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D173" i="9"/>
  <c r="C173" i="9"/>
  <c r="B173" i="9"/>
  <c r="A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C172" i="9"/>
  <c r="B172" i="9"/>
  <c r="A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T170" i="9"/>
  <c r="R170" i="9"/>
  <c r="P170" i="9"/>
  <c r="N170" i="9"/>
  <c r="L170" i="9"/>
  <c r="J170" i="9"/>
  <c r="H170" i="9"/>
  <c r="F170" i="9"/>
  <c r="E170" i="9"/>
  <c r="D170" i="9"/>
  <c r="C170" i="9"/>
  <c r="B170" i="9"/>
  <c r="A170" i="9"/>
  <c r="T169" i="9"/>
  <c r="N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D166" i="9"/>
  <c r="C166" i="9"/>
  <c r="B166" i="9"/>
  <c r="A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D165" i="9"/>
  <c r="C165" i="9"/>
  <c r="B165" i="9"/>
  <c r="A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C164" i="9"/>
  <c r="B164" i="9"/>
  <c r="A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C163" i="9"/>
  <c r="B163" i="9"/>
  <c r="A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C160" i="9"/>
  <c r="B160" i="9"/>
  <c r="A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C158" i="9"/>
  <c r="B158" i="9"/>
  <c r="A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D157" i="9"/>
  <c r="C157" i="9"/>
  <c r="B157" i="9"/>
  <c r="A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B156" i="9"/>
  <c r="A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A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A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A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A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A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A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A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A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A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B136" i="9"/>
  <c r="A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B134" i="9"/>
  <c r="A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B133" i="9"/>
  <c r="A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B132" i="9"/>
  <c r="A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A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T128" i="9"/>
  <c r="R128" i="9"/>
  <c r="P128" i="9"/>
  <c r="N128" i="9"/>
  <c r="L128" i="9"/>
  <c r="J128" i="9"/>
  <c r="H128" i="9"/>
  <c r="F128" i="9"/>
  <c r="E128" i="9"/>
  <c r="D128" i="9"/>
  <c r="C128" i="9"/>
  <c r="B128" i="9"/>
  <c r="A128" i="9"/>
  <c r="T127" i="9"/>
  <c r="N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A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A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T86" i="9"/>
  <c r="R86" i="9"/>
  <c r="P86" i="9"/>
  <c r="N86" i="9"/>
  <c r="L86" i="9"/>
  <c r="J86" i="9"/>
  <c r="H86" i="9"/>
  <c r="F86" i="9"/>
  <c r="E86" i="9"/>
  <c r="D86" i="9"/>
  <c r="C86" i="9"/>
  <c r="B86" i="9"/>
  <c r="A86" i="9"/>
  <c r="T85" i="9"/>
  <c r="N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T44" i="9"/>
  <c r="R44" i="9"/>
  <c r="P44" i="9"/>
  <c r="N44" i="9"/>
  <c r="L44" i="9"/>
  <c r="J44" i="9"/>
  <c r="H44" i="9"/>
  <c r="F44" i="9"/>
  <c r="E44" i="9"/>
  <c r="D44" i="9"/>
  <c r="C44" i="9"/>
  <c r="B44" i="9"/>
  <c r="A44" i="9"/>
  <c r="T43" i="9"/>
  <c r="N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T1" i="9"/>
  <c r="N1" i="9"/>
  <c r="A1" i="9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D362" i="8"/>
  <c r="C362" i="8"/>
  <c r="B362" i="8"/>
  <c r="A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D361" i="8"/>
  <c r="C361" i="8"/>
  <c r="B361" i="8"/>
  <c r="A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D360" i="8"/>
  <c r="C360" i="8"/>
  <c r="B360" i="8"/>
  <c r="A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D359" i="8"/>
  <c r="C359" i="8"/>
  <c r="B359" i="8"/>
  <c r="A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D358" i="8"/>
  <c r="C358" i="8"/>
  <c r="B358" i="8"/>
  <c r="A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D357" i="8"/>
  <c r="C357" i="8"/>
  <c r="B357" i="8"/>
  <c r="A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D356" i="8"/>
  <c r="C356" i="8"/>
  <c r="B356" i="8"/>
  <c r="A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D355" i="8"/>
  <c r="C355" i="8"/>
  <c r="B355" i="8"/>
  <c r="A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D354" i="8"/>
  <c r="C354" i="8"/>
  <c r="B354" i="8"/>
  <c r="A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D353" i="8"/>
  <c r="C353" i="8"/>
  <c r="B353" i="8"/>
  <c r="A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D352" i="8"/>
  <c r="C352" i="8"/>
  <c r="B352" i="8"/>
  <c r="A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D351" i="8"/>
  <c r="C351" i="8"/>
  <c r="B351" i="8"/>
  <c r="A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D350" i="8"/>
  <c r="C350" i="8"/>
  <c r="B350" i="8"/>
  <c r="A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D349" i="8"/>
  <c r="C349" i="8"/>
  <c r="B349" i="8"/>
  <c r="A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D348" i="8"/>
  <c r="C348" i="8"/>
  <c r="B348" i="8"/>
  <c r="A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D347" i="8"/>
  <c r="C347" i="8"/>
  <c r="B347" i="8"/>
  <c r="A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D346" i="8"/>
  <c r="C346" i="8"/>
  <c r="B346" i="8"/>
  <c r="A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D345" i="8"/>
  <c r="C345" i="8"/>
  <c r="B345" i="8"/>
  <c r="A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D344" i="8"/>
  <c r="C344" i="8"/>
  <c r="B344" i="8"/>
  <c r="A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D343" i="8"/>
  <c r="C343" i="8"/>
  <c r="B343" i="8"/>
  <c r="A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D342" i="8"/>
  <c r="C342" i="8"/>
  <c r="B342" i="8"/>
  <c r="A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D341" i="8"/>
  <c r="C341" i="8"/>
  <c r="B341" i="8"/>
  <c r="A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D340" i="8"/>
  <c r="C340" i="8"/>
  <c r="B340" i="8"/>
  <c r="A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D339" i="8"/>
  <c r="C339" i="8"/>
  <c r="B339" i="8"/>
  <c r="A339" i="8"/>
  <c r="T338" i="8"/>
  <c r="R338" i="8"/>
  <c r="P338" i="8"/>
  <c r="N338" i="8"/>
  <c r="L338" i="8"/>
  <c r="J338" i="8"/>
  <c r="H338" i="8"/>
  <c r="F338" i="8"/>
  <c r="E338" i="8"/>
  <c r="D338" i="8"/>
  <c r="C338" i="8"/>
  <c r="B338" i="8"/>
  <c r="A338" i="8"/>
  <c r="T337" i="8"/>
  <c r="N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D336" i="8"/>
  <c r="C336" i="8"/>
  <c r="B336" i="8"/>
  <c r="A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D335" i="8"/>
  <c r="C335" i="8"/>
  <c r="B335" i="8"/>
  <c r="A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D334" i="8"/>
  <c r="C334" i="8"/>
  <c r="B334" i="8"/>
  <c r="A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D333" i="8"/>
  <c r="C333" i="8"/>
  <c r="B333" i="8"/>
  <c r="A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D332" i="8"/>
  <c r="C332" i="8"/>
  <c r="B332" i="8"/>
  <c r="A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D331" i="8"/>
  <c r="C331" i="8"/>
  <c r="B331" i="8"/>
  <c r="A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D330" i="8"/>
  <c r="C330" i="8"/>
  <c r="B330" i="8"/>
  <c r="A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D329" i="8"/>
  <c r="C329" i="8"/>
  <c r="B329" i="8"/>
  <c r="A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D328" i="8"/>
  <c r="C328" i="8"/>
  <c r="B328" i="8"/>
  <c r="A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D327" i="8"/>
  <c r="C327" i="8"/>
  <c r="B327" i="8"/>
  <c r="A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D326" i="8"/>
  <c r="C326" i="8"/>
  <c r="B326" i="8"/>
  <c r="A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D325" i="8"/>
  <c r="C325" i="8"/>
  <c r="B325" i="8"/>
  <c r="A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D324" i="8"/>
  <c r="C324" i="8"/>
  <c r="B324" i="8"/>
  <c r="A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D323" i="8"/>
  <c r="C323" i="8"/>
  <c r="B323" i="8"/>
  <c r="A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D322" i="8"/>
  <c r="C322" i="8"/>
  <c r="B322" i="8"/>
  <c r="A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D321" i="8"/>
  <c r="C321" i="8"/>
  <c r="B321" i="8"/>
  <c r="A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D320" i="8"/>
  <c r="C320" i="8"/>
  <c r="B320" i="8"/>
  <c r="A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D319" i="8"/>
  <c r="C319" i="8"/>
  <c r="B319" i="8"/>
  <c r="A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D318" i="8"/>
  <c r="C318" i="8"/>
  <c r="B318" i="8"/>
  <c r="A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D317" i="8"/>
  <c r="C317" i="8"/>
  <c r="B317" i="8"/>
  <c r="A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D316" i="8"/>
  <c r="C316" i="8"/>
  <c r="B316" i="8"/>
  <c r="A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D315" i="8"/>
  <c r="C315" i="8"/>
  <c r="B315" i="8"/>
  <c r="A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D314" i="8"/>
  <c r="C314" i="8"/>
  <c r="B314" i="8"/>
  <c r="A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D313" i="8"/>
  <c r="C313" i="8"/>
  <c r="B313" i="8"/>
  <c r="A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D312" i="8"/>
  <c r="C312" i="8"/>
  <c r="B312" i="8"/>
  <c r="A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D311" i="8"/>
  <c r="C311" i="8"/>
  <c r="B311" i="8"/>
  <c r="A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D310" i="8"/>
  <c r="C310" i="8"/>
  <c r="B310" i="8"/>
  <c r="A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D309" i="8"/>
  <c r="C309" i="8"/>
  <c r="B309" i="8"/>
  <c r="A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D308" i="8"/>
  <c r="C308" i="8"/>
  <c r="B308" i="8"/>
  <c r="A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D307" i="8"/>
  <c r="C307" i="8"/>
  <c r="B307" i="8"/>
  <c r="A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D306" i="8"/>
  <c r="C306" i="8"/>
  <c r="B306" i="8"/>
  <c r="A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D305" i="8"/>
  <c r="C305" i="8"/>
  <c r="B305" i="8"/>
  <c r="A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D304" i="8"/>
  <c r="C304" i="8"/>
  <c r="B304" i="8"/>
  <c r="A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D303" i="8"/>
  <c r="C303" i="8"/>
  <c r="B303" i="8"/>
  <c r="A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D302" i="8"/>
  <c r="C302" i="8"/>
  <c r="B302" i="8"/>
  <c r="A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D301" i="8"/>
  <c r="C301" i="8"/>
  <c r="B301" i="8"/>
  <c r="A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D300" i="8"/>
  <c r="C300" i="8"/>
  <c r="B300" i="8"/>
  <c r="A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D299" i="8"/>
  <c r="C299" i="8"/>
  <c r="B299" i="8"/>
  <c r="A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D298" i="8"/>
  <c r="C298" i="8"/>
  <c r="B298" i="8"/>
  <c r="A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D297" i="8"/>
  <c r="C297" i="8"/>
  <c r="B297" i="8"/>
  <c r="A297" i="8"/>
  <c r="T296" i="8"/>
  <c r="R296" i="8"/>
  <c r="P296" i="8"/>
  <c r="N296" i="8"/>
  <c r="L296" i="8"/>
  <c r="J296" i="8"/>
  <c r="H296" i="8"/>
  <c r="F296" i="8"/>
  <c r="E296" i="8"/>
  <c r="D296" i="8"/>
  <c r="C296" i="8"/>
  <c r="B296" i="8"/>
  <c r="A296" i="8"/>
  <c r="T295" i="8"/>
  <c r="N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D294" i="8"/>
  <c r="C294" i="8"/>
  <c r="B294" i="8"/>
  <c r="A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D293" i="8"/>
  <c r="C293" i="8"/>
  <c r="B293" i="8"/>
  <c r="A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D292" i="8"/>
  <c r="C292" i="8"/>
  <c r="B292" i="8"/>
  <c r="A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D291" i="8"/>
  <c r="C291" i="8"/>
  <c r="B291" i="8"/>
  <c r="A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D290" i="8"/>
  <c r="C290" i="8"/>
  <c r="B290" i="8"/>
  <c r="A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D289" i="8"/>
  <c r="C289" i="8"/>
  <c r="B289" i="8"/>
  <c r="A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D288" i="8"/>
  <c r="C288" i="8"/>
  <c r="B288" i="8"/>
  <c r="A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D287" i="8"/>
  <c r="C287" i="8"/>
  <c r="B287" i="8"/>
  <c r="A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D286" i="8"/>
  <c r="C286" i="8"/>
  <c r="B286" i="8"/>
  <c r="A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D285" i="8"/>
  <c r="C285" i="8"/>
  <c r="B285" i="8"/>
  <c r="A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D284" i="8"/>
  <c r="C284" i="8"/>
  <c r="B284" i="8"/>
  <c r="A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D283" i="8"/>
  <c r="C283" i="8"/>
  <c r="B283" i="8"/>
  <c r="A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D282" i="8"/>
  <c r="C282" i="8"/>
  <c r="B282" i="8"/>
  <c r="A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D281" i="8"/>
  <c r="C281" i="8"/>
  <c r="B281" i="8"/>
  <c r="A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D280" i="8"/>
  <c r="C280" i="8"/>
  <c r="B280" i="8"/>
  <c r="A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D279" i="8"/>
  <c r="C279" i="8"/>
  <c r="B279" i="8"/>
  <c r="A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D278" i="8"/>
  <c r="C278" i="8"/>
  <c r="B278" i="8"/>
  <c r="A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D277" i="8"/>
  <c r="C277" i="8"/>
  <c r="B277" i="8"/>
  <c r="A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D276" i="8"/>
  <c r="C276" i="8"/>
  <c r="B276" i="8"/>
  <c r="A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D275" i="8"/>
  <c r="C275" i="8"/>
  <c r="B275" i="8"/>
  <c r="A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D274" i="8"/>
  <c r="C274" i="8"/>
  <c r="B274" i="8"/>
  <c r="A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D273" i="8"/>
  <c r="C273" i="8"/>
  <c r="B273" i="8"/>
  <c r="A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D272" i="8"/>
  <c r="C272" i="8"/>
  <c r="B272" i="8"/>
  <c r="A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D271" i="8"/>
  <c r="C271" i="8"/>
  <c r="B271" i="8"/>
  <c r="A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D270" i="8"/>
  <c r="C270" i="8"/>
  <c r="B270" i="8"/>
  <c r="A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D269" i="8"/>
  <c r="C269" i="8"/>
  <c r="B269" i="8"/>
  <c r="A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D268" i="8"/>
  <c r="C268" i="8"/>
  <c r="B268" i="8"/>
  <c r="A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D267" i="8"/>
  <c r="C267" i="8"/>
  <c r="B267" i="8"/>
  <c r="A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D266" i="8"/>
  <c r="C266" i="8"/>
  <c r="B266" i="8"/>
  <c r="A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D265" i="8"/>
  <c r="C265" i="8"/>
  <c r="B265" i="8"/>
  <c r="A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D264" i="8"/>
  <c r="C264" i="8"/>
  <c r="B264" i="8"/>
  <c r="A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D263" i="8"/>
  <c r="C263" i="8"/>
  <c r="B263" i="8"/>
  <c r="A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D262" i="8"/>
  <c r="C262" i="8"/>
  <c r="B262" i="8"/>
  <c r="A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D261" i="8"/>
  <c r="C261" i="8"/>
  <c r="B261" i="8"/>
  <c r="A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D260" i="8"/>
  <c r="C260" i="8"/>
  <c r="B260" i="8"/>
  <c r="A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D259" i="8"/>
  <c r="C259" i="8"/>
  <c r="B259" i="8"/>
  <c r="A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D258" i="8"/>
  <c r="C258" i="8"/>
  <c r="B258" i="8"/>
  <c r="A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D257" i="8"/>
  <c r="C257" i="8"/>
  <c r="B257" i="8"/>
  <c r="A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D256" i="8"/>
  <c r="C256" i="8"/>
  <c r="B256" i="8"/>
  <c r="A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D255" i="8"/>
  <c r="C255" i="8"/>
  <c r="B255" i="8"/>
  <c r="A255" i="8"/>
  <c r="T254" i="8"/>
  <c r="R254" i="8"/>
  <c r="P254" i="8"/>
  <c r="N254" i="8"/>
  <c r="L254" i="8"/>
  <c r="J254" i="8"/>
  <c r="H254" i="8"/>
  <c r="F254" i="8"/>
  <c r="E254" i="8"/>
  <c r="D254" i="8"/>
  <c r="C254" i="8"/>
  <c r="B254" i="8"/>
  <c r="A254" i="8"/>
  <c r="T253" i="8"/>
  <c r="N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D252" i="8"/>
  <c r="C252" i="8"/>
  <c r="B252" i="8"/>
  <c r="A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D251" i="8"/>
  <c r="C251" i="8"/>
  <c r="B251" i="8"/>
  <c r="A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D250" i="8"/>
  <c r="C250" i="8"/>
  <c r="B250" i="8"/>
  <c r="A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D249" i="8"/>
  <c r="C249" i="8"/>
  <c r="B249" i="8"/>
  <c r="A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D248" i="8"/>
  <c r="C248" i="8"/>
  <c r="B248" i="8"/>
  <c r="A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D247" i="8"/>
  <c r="C247" i="8"/>
  <c r="B247" i="8"/>
  <c r="A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D246" i="8"/>
  <c r="C246" i="8"/>
  <c r="B246" i="8"/>
  <c r="A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D245" i="8"/>
  <c r="C245" i="8"/>
  <c r="B245" i="8"/>
  <c r="A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D244" i="8"/>
  <c r="C244" i="8"/>
  <c r="B244" i="8"/>
  <c r="A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D243" i="8"/>
  <c r="C243" i="8"/>
  <c r="B243" i="8"/>
  <c r="A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D242" i="8"/>
  <c r="C242" i="8"/>
  <c r="B242" i="8"/>
  <c r="A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D241" i="8"/>
  <c r="C241" i="8"/>
  <c r="B241" i="8"/>
  <c r="A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D240" i="8"/>
  <c r="C240" i="8"/>
  <c r="B240" i="8"/>
  <c r="A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D239" i="8"/>
  <c r="C239" i="8"/>
  <c r="B239" i="8"/>
  <c r="A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D238" i="8"/>
  <c r="C238" i="8"/>
  <c r="B238" i="8"/>
  <c r="A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D237" i="8"/>
  <c r="C237" i="8"/>
  <c r="B237" i="8"/>
  <c r="A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D236" i="8"/>
  <c r="C236" i="8"/>
  <c r="B236" i="8"/>
  <c r="A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D235" i="8"/>
  <c r="C235" i="8"/>
  <c r="B235" i="8"/>
  <c r="A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D234" i="8"/>
  <c r="C234" i="8"/>
  <c r="B234" i="8"/>
  <c r="A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D233" i="8"/>
  <c r="C233" i="8"/>
  <c r="B233" i="8"/>
  <c r="A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D232" i="8"/>
  <c r="C232" i="8"/>
  <c r="B232" i="8"/>
  <c r="A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D231" i="8"/>
  <c r="C231" i="8"/>
  <c r="B231" i="8"/>
  <c r="A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D230" i="8"/>
  <c r="C230" i="8"/>
  <c r="B230" i="8"/>
  <c r="A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D229" i="8"/>
  <c r="C229" i="8"/>
  <c r="B229" i="8"/>
  <c r="A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D228" i="8"/>
  <c r="C228" i="8"/>
  <c r="B228" i="8"/>
  <c r="A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D227" i="8"/>
  <c r="C227" i="8"/>
  <c r="B227" i="8"/>
  <c r="A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D226" i="8"/>
  <c r="C226" i="8"/>
  <c r="B226" i="8"/>
  <c r="A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D225" i="8"/>
  <c r="C225" i="8"/>
  <c r="B225" i="8"/>
  <c r="A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D224" i="8"/>
  <c r="C224" i="8"/>
  <c r="B224" i="8"/>
  <c r="A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D223" i="8"/>
  <c r="C223" i="8"/>
  <c r="B223" i="8"/>
  <c r="A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D222" i="8"/>
  <c r="C222" i="8"/>
  <c r="B222" i="8"/>
  <c r="A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D221" i="8"/>
  <c r="C221" i="8"/>
  <c r="B221" i="8"/>
  <c r="A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D220" i="8"/>
  <c r="C220" i="8"/>
  <c r="B220" i="8"/>
  <c r="A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D219" i="8"/>
  <c r="C219" i="8"/>
  <c r="B219" i="8"/>
  <c r="A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D218" i="8"/>
  <c r="C218" i="8"/>
  <c r="B218" i="8"/>
  <c r="A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D217" i="8"/>
  <c r="C217" i="8"/>
  <c r="B217" i="8"/>
  <c r="A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D216" i="8"/>
  <c r="C216" i="8"/>
  <c r="B216" i="8"/>
  <c r="A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D215" i="8"/>
  <c r="C215" i="8"/>
  <c r="B215" i="8"/>
  <c r="A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D214" i="8"/>
  <c r="C214" i="8"/>
  <c r="B214" i="8"/>
  <c r="A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D213" i="8"/>
  <c r="C213" i="8"/>
  <c r="B213" i="8"/>
  <c r="A213" i="8"/>
  <c r="T212" i="8"/>
  <c r="R212" i="8"/>
  <c r="P212" i="8"/>
  <c r="N212" i="8"/>
  <c r="L212" i="8"/>
  <c r="J212" i="8"/>
  <c r="H212" i="8"/>
  <c r="F212" i="8"/>
  <c r="E212" i="8"/>
  <c r="D212" i="8"/>
  <c r="C212" i="8"/>
  <c r="B212" i="8"/>
  <c r="A212" i="8"/>
  <c r="T211" i="8"/>
  <c r="N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D210" i="8"/>
  <c r="C210" i="8"/>
  <c r="B210" i="8"/>
  <c r="A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D209" i="8"/>
  <c r="C209" i="8"/>
  <c r="B209" i="8"/>
  <c r="A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D208" i="8"/>
  <c r="C208" i="8"/>
  <c r="B208" i="8"/>
  <c r="A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D207" i="8"/>
  <c r="C207" i="8"/>
  <c r="B207" i="8"/>
  <c r="A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D206" i="8"/>
  <c r="C206" i="8"/>
  <c r="B206" i="8"/>
  <c r="A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D205" i="8"/>
  <c r="C205" i="8"/>
  <c r="B205" i="8"/>
  <c r="A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D204" i="8"/>
  <c r="C204" i="8"/>
  <c r="B204" i="8"/>
  <c r="A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D203" i="8"/>
  <c r="C203" i="8"/>
  <c r="B203" i="8"/>
  <c r="A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D202" i="8"/>
  <c r="C202" i="8"/>
  <c r="B202" i="8"/>
  <c r="A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D201" i="8"/>
  <c r="C201" i="8"/>
  <c r="B201" i="8"/>
  <c r="A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D200" i="8"/>
  <c r="C200" i="8"/>
  <c r="B200" i="8"/>
  <c r="A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D199" i="8"/>
  <c r="C199" i="8"/>
  <c r="B199" i="8"/>
  <c r="A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B198" i="8"/>
  <c r="A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D197" i="8"/>
  <c r="C197" i="8"/>
  <c r="B197" i="8"/>
  <c r="A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D196" i="8"/>
  <c r="C196" i="8"/>
  <c r="B196" i="8"/>
  <c r="A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B195" i="8"/>
  <c r="A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D194" i="8"/>
  <c r="C194" i="8"/>
  <c r="B194" i="8"/>
  <c r="A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B193" i="8"/>
  <c r="A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B192" i="8"/>
  <c r="A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B191" i="8"/>
  <c r="A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B190" i="8"/>
  <c r="A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B189" i="8"/>
  <c r="A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B188" i="8"/>
  <c r="A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B187" i="8"/>
  <c r="A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B186" i="8"/>
  <c r="A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B185" i="8"/>
  <c r="A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B184" i="8"/>
  <c r="A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B183" i="8"/>
  <c r="A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B182" i="8"/>
  <c r="A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B181" i="8"/>
  <c r="A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B180" i="8"/>
  <c r="A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B179" i="8"/>
  <c r="A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B178" i="8"/>
  <c r="A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B177" i="8"/>
  <c r="A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B176" i="8"/>
  <c r="A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B175" i="8"/>
  <c r="A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B174" i="8"/>
  <c r="A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B173" i="8"/>
  <c r="A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B172" i="8"/>
  <c r="A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B171" i="8"/>
  <c r="A171" i="8"/>
  <c r="T170" i="8"/>
  <c r="R170" i="8"/>
  <c r="P170" i="8"/>
  <c r="N170" i="8"/>
  <c r="L170" i="8"/>
  <c r="J170" i="8"/>
  <c r="H170" i="8"/>
  <c r="F170" i="8"/>
  <c r="E170" i="8"/>
  <c r="D170" i="8"/>
  <c r="C170" i="8"/>
  <c r="B170" i="8"/>
  <c r="A170" i="8"/>
  <c r="T169" i="8"/>
  <c r="N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B168" i="8"/>
  <c r="A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B167" i="8"/>
  <c r="A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B166" i="8"/>
  <c r="A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B165" i="8"/>
  <c r="A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B164" i="8"/>
  <c r="A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B163" i="8"/>
  <c r="A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B162" i="8"/>
  <c r="A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B161" i="8"/>
  <c r="A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B160" i="8"/>
  <c r="A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B159" i="8"/>
  <c r="A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B158" i="8"/>
  <c r="A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B157" i="8"/>
  <c r="A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B156" i="8"/>
  <c r="A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B155" i="8"/>
  <c r="A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B154" i="8"/>
  <c r="A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B153" i="8"/>
  <c r="A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B152" i="8"/>
  <c r="A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B151" i="8"/>
  <c r="A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B150" i="8"/>
  <c r="A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B149" i="8"/>
  <c r="A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B148" i="8"/>
  <c r="A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B147" i="8"/>
  <c r="A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B146" i="8"/>
  <c r="A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B145" i="8"/>
  <c r="A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B144" i="8"/>
  <c r="A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B143" i="8"/>
  <c r="A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B142" i="8"/>
  <c r="A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B141" i="8"/>
  <c r="A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B140" i="8"/>
  <c r="A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B139" i="8"/>
  <c r="A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B138" i="8"/>
  <c r="A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B137" i="8"/>
  <c r="A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B136" i="8"/>
  <c r="A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B135" i="8"/>
  <c r="A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134" i="8"/>
  <c r="A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133" i="8"/>
  <c r="A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B132" i="8"/>
  <c r="A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B131" i="8"/>
  <c r="A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B130" i="8"/>
  <c r="A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B129" i="8"/>
  <c r="A129" i="8"/>
  <c r="T128" i="8"/>
  <c r="R128" i="8"/>
  <c r="P128" i="8"/>
  <c r="N128" i="8"/>
  <c r="L128" i="8"/>
  <c r="J128" i="8"/>
  <c r="H128" i="8"/>
  <c r="F128" i="8"/>
  <c r="E128" i="8"/>
  <c r="D128" i="8"/>
  <c r="C128" i="8"/>
  <c r="B128" i="8"/>
  <c r="A128" i="8"/>
  <c r="T127" i="8"/>
  <c r="N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B126" i="8"/>
  <c r="A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B125" i="8"/>
  <c r="A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B124" i="8"/>
  <c r="A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B123" i="8"/>
  <c r="A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B122" i="8"/>
  <c r="A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B121" i="8"/>
  <c r="A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120" i="8"/>
  <c r="A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B119" i="8"/>
  <c r="A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B118" i="8"/>
  <c r="A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117" i="8"/>
  <c r="A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B116" i="8"/>
  <c r="A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B115" i="8"/>
  <c r="A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B114" i="8"/>
  <c r="A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B113" i="8"/>
  <c r="A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112" i="8"/>
  <c r="A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B111" i="8"/>
  <c r="A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B110" i="8"/>
  <c r="A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109" i="8"/>
  <c r="A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B108" i="8"/>
  <c r="A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107" i="8"/>
  <c r="A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A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A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A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103" i="8"/>
  <c r="A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A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B101" i="8"/>
  <c r="A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A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A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B98" i="8"/>
  <c r="A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A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A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A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A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A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A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A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90" i="8"/>
  <c r="A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B89" i="8"/>
  <c r="A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B88" i="8"/>
  <c r="A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87" i="8"/>
  <c r="A87" i="8"/>
  <c r="T86" i="8"/>
  <c r="R86" i="8"/>
  <c r="P86" i="8"/>
  <c r="N86" i="8"/>
  <c r="L86" i="8"/>
  <c r="J86" i="8"/>
  <c r="H86" i="8"/>
  <c r="F86" i="8"/>
  <c r="E86" i="8"/>
  <c r="D86" i="8"/>
  <c r="C86" i="8"/>
  <c r="B86" i="8"/>
  <c r="A86" i="8"/>
  <c r="T85" i="8"/>
  <c r="N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A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A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A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A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A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A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A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A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A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A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A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A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A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A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A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A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A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A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A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45" i="8"/>
  <c r="T44" i="8"/>
  <c r="R44" i="8"/>
  <c r="P44" i="8"/>
  <c r="N44" i="8"/>
  <c r="L44" i="8"/>
  <c r="J44" i="8"/>
  <c r="H44" i="8"/>
  <c r="F44" i="8"/>
  <c r="E44" i="8"/>
  <c r="D44" i="8"/>
  <c r="C44" i="8"/>
  <c r="B44" i="8"/>
  <c r="A44" i="8"/>
  <c r="T43" i="8"/>
  <c r="N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A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A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A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A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A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A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A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A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A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A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A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A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A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A3" i="8"/>
  <c r="T1" i="8"/>
  <c r="N1" i="8"/>
  <c r="A1" i="8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C359" i="7"/>
  <c r="B359" i="7"/>
  <c r="A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C358" i="7"/>
  <c r="B358" i="7"/>
  <c r="A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D357" i="7"/>
  <c r="C357" i="7"/>
  <c r="B357" i="7"/>
  <c r="A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D356" i="7"/>
  <c r="C356" i="7"/>
  <c r="B356" i="7"/>
  <c r="A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D355" i="7"/>
  <c r="C355" i="7"/>
  <c r="B355" i="7"/>
  <c r="A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D354" i="7"/>
  <c r="C354" i="7"/>
  <c r="B354" i="7"/>
  <c r="A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C353" i="7"/>
  <c r="B353" i="7"/>
  <c r="A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C352" i="7"/>
  <c r="B352" i="7"/>
  <c r="A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C351" i="7"/>
  <c r="B351" i="7"/>
  <c r="A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C350" i="7"/>
  <c r="B350" i="7"/>
  <c r="A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D349" i="7"/>
  <c r="C349" i="7"/>
  <c r="B349" i="7"/>
  <c r="A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D348" i="7"/>
  <c r="C348" i="7"/>
  <c r="B348" i="7"/>
  <c r="A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D347" i="7"/>
  <c r="C347" i="7"/>
  <c r="B347" i="7"/>
  <c r="A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D346" i="7"/>
  <c r="C346" i="7"/>
  <c r="B346" i="7"/>
  <c r="A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D345" i="7"/>
  <c r="C345" i="7"/>
  <c r="B345" i="7"/>
  <c r="A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C344" i="7"/>
  <c r="B344" i="7"/>
  <c r="A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C343" i="7"/>
  <c r="B343" i="7"/>
  <c r="A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D342" i="7"/>
  <c r="C342" i="7"/>
  <c r="B342" i="7"/>
  <c r="A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D341" i="7"/>
  <c r="C341" i="7"/>
  <c r="B341" i="7"/>
  <c r="A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T338" i="7"/>
  <c r="R338" i="7"/>
  <c r="P338" i="7"/>
  <c r="N338" i="7"/>
  <c r="L338" i="7"/>
  <c r="J338" i="7"/>
  <c r="H338" i="7"/>
  <c r="F338" i="7"/>
  <c r="E338" i="7"/>
  <c r="D338" i="7"/>
  <c r="C338" i="7"/>
  <c r="B338" i="7"/>
  <c r="A338" i="7"/>
  <c r="T337" i="7"/>
  <c r="N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D336" i="7"/>
  <c r="C336" i="7"/>
  <c r="B336" i="7"/>
  <c r="A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D335" i="7"/>
  <c r="C335" i="7"/>
  <c r="B335" i="7"/>
  <c r="A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D333" i="7"/>
  <c r="C333" i="7"/>
  <c r="B333" i="7"/>
  <c r="A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D332" i="7"/>
  <c r="C332" i="7"/>
  <c r="B332" i="7"/>
  <c r="A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D330" i="7"/>
  <c r="C330" i="7"/>
  <c r="B330" i="7"/>
  <c r="A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D328" i="7"/>
  <c r="C328" i="7"/>
  <c r="B328" i="7"/>
  <c r="A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D327" i="7"/>
  <c r="C327" i="7"/>
  <c r="B327" i="7"/>
  <c r="A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D322" i="7"/>
  <c r="C322" i="7"/>
  <c r="B322" i="7"/>
  <c r="A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D320" i="7"/>
  <c r="C320" i="7"/>
  <c r="B320" i="7"/>
  <c r="A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D319" i="7"/>
  <c r="C319" i="7"/>
  <c r="B319" i="7"/>
  <c r="A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D317" i="7"/>
  <c r="C317" i="7"/>
  <c r="B317" i="7"/>
  <c r="A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D316" i="7"/>
  <c r="C316" i="7"/>
  <c r="B316" i="7"/>
  <c r="A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D314" i="7"/>
  <c r="C314" i="7"/>
  <c r="B314" i="7"/>
  <c r="A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D312" i="7"/>
  <c r="C312" i="7"/>
  <c r="B312" i="7"/>
  <c r="A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D311" i="7"/>
  <c r="C311" i="7"/>
  <c r="B311" i="7"/>
  <c r="A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D306" i="7"/>
  <c r="C306" i="7"/>
  <c r="B306" i="7"/>
  <c r="A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D304" i="7"/>
  <c r="C304" i="7"/>
  <c r="B304" i="7"/>
  <c r="A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D303" i="7"/>
  <c r="C303" i="7"/>
  <c r="B303" i="7"/>
  <c r="A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D301" i="7"/>
  <c r="C301" i="7"/>
  <c r="B301" i="7"/>
  <c r="A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D300" i="7"/>
  <c r="C300" i="7"/>
  <c r="B300" i="7"/>
  <c r="A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D298" i="7"/>
  <c r="C298" i="7"/>
  <c r="B298" i="7"/>
  <c r="A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T296" i="7"/>
  <c r="R296" i="7"/>
  <c r="P296" i="7"/>
  <c r="N296" i="7"/>
  <c r="L296" i="7"/>
  <c r="J296" i="7"/>
  <c r="H296" i="7"/>
  <c r="F296" i="7"/>
  <c r="E296" i="7"/>
  <c r="D296" i="7"/>
  <c r="C296" i="7"/>
  <c r="B296" i="7"/>
  <c r="A296" i="7"/>
  <c r="T295" i="7"/>
  <c r="N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D290" i="7"/>
  <c r="C290" i="7"/>
  <c r="B290" i="7"/>
  <c r="A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D288" i="7"/>
  <c r="C288" i="7"/>
  <c r="B288" i="7"/>
  <c r="A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D287" i="7"/>
  <c r="C287" i="7"/>
  <c r="B287" i="7"/>
  <c r="A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D285" i="7"/>
  <c r="C285" i="7"/>
  <c r="B285" i="7"/>
  <c r="A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D284" i="7"/>
  <c r="C284" i="7"/>
  <c r="B284" i="7"/>
  <c r="A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D282" i="7"/>
  <c r="C282" i="7"/>
  <c r="B282" i="7"/>
  <c r="A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D280" i="7"/>
  <c r="C280" i="7"/>
  <c r="B280" i="7"/>
  <c r="A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D279" i="7"/>
  <c r="C279" i="7"/>
  <c r="B279" i="7"/>
  <c r="A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D274" i="7"/>
  <c r="C274" i="7"/>
  <c r="B274" i="7"/>
  <c r="A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D272" i="7"/>
  <c r="C272" i="7"/>
  <c r="B272" i="7"/>
  <c r="A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D271" i="7"/>
  <c r="C271" i="7"/>
  <c r="B271" i="7"/>
  <c r="A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D269" i="7"/>
  <c r="C269" i="7"/>
  <c r="B269" i="7"/>
  <c r="A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D268" i="7"/>
  <c r="C268" i="7"/>
  <c r="B268" i="7"/>
  <c r="A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D266" i="7"/>
  <c r="C266" i="7"/>
  <c r="B266" i="7"/>
  <c r="A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D264" i="7"/>
  <c r="C264" i="7"/>
  <c r="B264" i="7"/>
  <c r="A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T254" i="7"/>
  <c r="R254" i="7"/>
  <c r="P254" i="7"/>
  <c r="N254" i="7"/>
  <c r="L254" i="7"/>
  <c r="J254" i="7"/>
  <c r="H254" i="7"/>
  <c r="F254" i="7"/>
  <c r="E254" i="7"/>
  <c r="D254" i="7"/>
  <c r="C254" i="7"/>
  <c r="B254" i="7"/>
  <c r="A254" i="7"/>
  <c r="T253" i="7"/>
  <c r="N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T212" i="7"/>
  <c r="R212" i="7"/>
  <c r="P212" i="7"/>
  <c r="N212" i="7"/>
  <c r="L212" i="7"/>
  <c r="J212" i="7"/>
  <c r="H212" i="7"/>
  <c r="F212" i="7"/>
  <c r="E212" i="7"/>
  <c r="D212" i="7"/>
  <c r="C212" i="7"/>
  <c r="B212" i="7"/>
  <c r="A212" i="7"/>
  <c r="T211" i="7"/>
  <c r="N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T170" i="7"/>
  <c r="R170" i="7"/>
  <c r="P170" i="7"/>
  <c r="N170" i="7"/>
  <c r="L170" i="7"/>
  <c r="J170" i="7"/>
  <c r="H170" i="7"/>
  <c r="F170" i="7"/>
  <c r="E170" i="7"/>
  <c r="D170" i="7"/>
  <c r="C170" i="7"/>
  <c r="B170" i="7"/>
  <c r="A170" i="7"/>
  <c r="T169" i="7"/>
  <c r="N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T128" i="7"/>
  <c r="R128" i="7"/>
  <c r="P128" i="7"/>
  <c r="N128" i="7"/>
  <c r="L128" i="7"/>
  <c r="J128" i="7"/>
  <c r="H128" i="7"/>
  <c r="F128" i="7"/>
  <c r="E128" i="7"/>
  <c r="D128" i="7"/>
  <c r="C128" i="7"/>
  <c r="B128" i="7"/>
  <c r="A128" i="7"/>
  <c r="T127" i="7"/>
  <c r="N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T86" i="7"/>
  <c r="R86" i="7"/>
  <c r="P86" i="7"/>
  <c r="N86" i="7"/>
  <c r="L86" i="7"/>
  <c r="J86" i="7"/>
  <c r="H86" i="7"/>
  <c r="F86" i="7"/>
  <c r="E86" i="7"/>
  <c r="D86" i="7"/>
  <c r="C86" i="7"/>
  <c r="B86" i="7"/>
  <c r="A86" i="7"/>
  <c r="T85" i="7"/>
  <c r="N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T44" i="7"/>
  <c r="R44" i="7"/>
  <c r="P44" i="7"/>
  <c r="N44" i="7"/>
  <c r="L44" i="7"/>
  <c r="J44" i="7"/>
  <c r="H44" i="7"/>
  <c r="F44" i="7"/>
  <c r="E44" i="7"/>
  <c r="D44" i="7"/>
  <c r="C44" i="7"/>
  <c r="B44" i="7"/>
  <c r="A44" i="7"/>
  <c r="T43" i="7"/>
  <c r="N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T1" i="7"/>
  <c r="N1" i="7"/>
  <c r="A1" i="7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D354" i="6"/>
  <c r="C354" i="6"/>
  <c r="B354" i="6"/>
  <c r="A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D353" i="6"/>
  <c r="C353" i="6"/>
  <c r="B353" i="6"/>
  <c r="A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D352" i="6"/>
  <c r="C352" i="6"/>
  <c r="B352" i="6"/>
  <c r="A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D351" i="6"/>
  <c r="C351" i="6"/>
  <c r="B351" i="6"/>
  <c r="A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D350" i="6"/>
  <c r="C350" i="6"/>
  <c r="B350" i="6"/>
  <c r="A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D349" i="6"/>
  <c r="C349" i="6"/>
  <c r="B349" i="6"/>
  <c r="A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D348" i="6"/>
  <c r="C348" i="6"/>
  <c r="B348" i="6"/>
  <c r="A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D347" i="6"/>
  <c r="C347" i="6"/>
  <c r="B347" i="6"/>
  <c r="A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D346" i="6"/>
  <c r="C346" i="6"/>
  <c r="B346" i="6"/>
  <c r="A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D345" i="6"/>
  <c r="C345" i="6"/>
  <c r="B345" i="6"/>
  <c r="A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D344" i="6"/>
  <c r="C344" i="6"/>
  <c r="B344" i="6"/>
  <c r="A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D343" i="6"/>
  <c r="C343" i="6"/>
  <c r="B343" i="6"/>
  <c r="A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D342" i="6"/>
  <c r="C342" i="6"/>
  <c r="B342" i="6"/>
  <c r="A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D341" i="6"/>
  <c r="C341" i="6"/>
  <c r="B341" i="6"/>
  <c r="A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D340" i="6"/>
  <c r="C340" i="6"/>
  <c r="B340" i="6"/>
  <c r="A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D339" i="6"/>
  <c r="C339" i="6"/>
  <c r="B339" i="6"/>
  <c r="A339" i="6"/>
  <c r="T338" i="6"/>
  <c r="R338" i="6"/>
  <c r="P338" i="6"/>
  <c r="N338" i="6"/>
  <c r="L338" i="6"/>
  <c r="J338" i="6"/>
  <c r="H338" i="6"/>
  <c r="F338" i="6"/>
  <c r="E338" i="6"/>
  <c r="D338" i="6"/>
  <c r="C338" i="6"/>
  <c r="B338" i="6"/>
  <c r="A338" i="6"/>
  <c r="T337" i="6"/>
  <c r="N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D336" i="6"/>
  <c r="C336" i="6"/>
  <c r="B336" i="6"/>
  <c r="A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D335" i="6"/>
  <c r="C335" i="6"/>
  <c r="B335" i="6"/>
  <c r="A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D334" i="6"/>
  <c r="C334" i="6"/>
  <c r="B334" i="6"/>
  <c r="A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D333" i="6"/>
  <c r="C333" i="6"/>
  <c r="B333" i="6"/>
  <c r="A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D332" i="6"/>
  <c r="C332" i="6"/>
  <c r="B332" i="6"/>
  <c r="A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D331" i="6"/>
  <c r="C331" i="6"/>
  <c r="B331" i="6"/>
  <c r="A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D330" i="6"/>
  <c r="C330" i="6"/>
  <c r="B330" i="6"/>
  <c r="A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D329" i="6"/>
  <c r="C329" i="6"/>
  <c r="B329" i="6"/>
  <c r="A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D328" i="6"/>
  <c r="C328" i="6"/>
  <c r="B328" i="6"/>
  <c r="A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D327" i="6"/>
  <c r="C327" i="6"/>
  <c r="B327" i="6"/>
  <c r="A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D326" i="6"/>
  <c r="C326" i="6"/>
  <c r="B326" i="6"/>
  <c r="A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D325" i="6"/>
  <c r="C325" i="6"/>
  <c r="B325" i="6"/>
  <c r="A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D324" i="6"/>
  <c r="C324" i="6"/>
  <c r="B324" i="6"/>
  <c r="A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D323" i="6"/>
  <c r="C323" i="6"/>
  <c r="B323" i="6"/>
  <c r="A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D322" i="6"/>
  <c r="C322" i="6"/>
  <c r="B322" i="6"/>
  <c r="A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D321" i="6"/>
  <c r="C321" i="6"/>
  <c r="B321" i="6"/>
  <c r="A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D320" i="6"/>
  <c r="C320" i="6"/>
  <c r="B320" i="6"/>
  <c r="A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D319" i="6"/>
  <c r="C319" i="6"/>
  <c r="B319" i="6"/>
  <c r="A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D318" i="6"/>
  <c r="C318" i="6"/>
  <c r="B318" i="6"/>
  <c r="A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D317" i="6"/>
  <c r="C317" i="6"/>
  <c r="B317" i="6"/>
  <c r="A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D316" i="6"/>
  <c r="C316" i="6"/>
  <c r="B316" i="6"/>
  <c r="A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D315" i="6"/>
  <c r="C315" i="6"/>
  <c r="B315" i="6"/>
  <c r="A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D314" i="6"/>
  <c r="C314" i="6"/>
  <c r="B314" i="6"/>
  <c r="A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D313" i="6"/>
  <c r="C313" i="6"/>
  <c r="B313" i="6"/>
  <c r="A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D312" i="6"/>
  <c r="C312" i="6"/>
  <c r="B312" i="6"/>
  <c r="A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D311" i="6"/>
  <c r="C311" i="6"/>
  <c r="B311" i="6"/>
  <c r="A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D310" i="6"/>
  <c r="C310" i="6"/>
  <c r="B310" i="6"/>
  <c r="A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D309" i="6"/>
  <c r="C309" i="6"/>
  <c r="B309" i="6"/>
  <c r="A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D308" i="6"/>
  <c r="C308" i="6"/>
  <c r="B308" i="6"/>
  <c r="A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D307" i="6"/>
  <c r="C307" i="6"/>
  <c r="B307" i="6"/>
  <c r="A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D306" i="6"/>
  <c r="C306" i="6"/>
  <c r="B306" i="6"/>
  <c r="A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D305" i="6"/>
  <c r="C305" i="6"/>
  <c r="B305" i="6"/>
  <c r="A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D304" i="6"/>
  <c r="C304" i="6"/>
  <c r="B304" i="6"/>
  <c r="A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D303" i="6"/>
  <c r="C303" i="6"/>
  <c r="B303" i="6"/>
  <c r="A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D302" i="6"/>
  <c r="C302" i="6"/>
  <c r="B302" i="6"/>
  <c r="A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D301" i="6"/>
  <c r="C301" i="6"/>
  <c r="B301" i="6"/>
  <c r="A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D300" i="6"/>
  <c r="C300" i="6"/>
  <c r="B300" i="6"/>
  <c r="A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D299" i="6"/>
  <c r="C299" i="6"/>
  <c r="B299" i="6"/>
  <c r="A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D298" i="6"/>
  <c r="C298" i="6"/>
  <c r="B298" i="6"/>
  <c r="A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D297" i="6"/>
  <c r="C297" i="6"/>
  <c r="B297" i="6"/>
  <c r="A297" i="6"/>
  <c r="T296" i="6"/>
  <c r="R296" i="6"/>
  <c r="P296" i="6"/>
  <c r="N296" i="6"/>
  <c r="L296" i="6"/>
  <c r="J296" i="6"/>
  <c r="H296" i="6"/>
  <c r="F296" i="6"/>
  <c r="E296" i="6"/>
  <c r="D296" i="6"/>
  <c r="C296" i="6"/>
  <c r="B296" i="6"/>
  <c r="A296" i="6"/>
  <c r="T295" i="6"/>
  <c r="N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D294" i="6"/>
  <c r="C294" i="6"/>
  <c r="B294" i="6"/>
  <c r="A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D293" i="6"/>
  <c r="C293" i="6"/>
  <c r="B293" i="6"/>
  <c r="A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D292" i="6"/>
  <c r="C292" i="6"/>
  <c r="B292" i="6"/>
  <c r="A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D291" i="6"/>
  <c r="C291" i="6"/>
  <c r="B291" i="6"/>
  <c r="A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D290" i="6"/>
  <c r="C290" i="6"/>
  <c r="B290" i="6"/>
  <c r="A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D289" i="6"/>
  <c r="C289" i="6"/>
  <c r="B289" i="6"/>
  <c r="A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D288" i="6"/>
  <c r="C288" i="6"/>
  <c r="B288" i="6"/>
  <c r="A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D287" i="6"/>
  <c r="C287" i="6"/>
  <c r="B287" i="6"/>
  <c r="A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D286" i="6"/>
  <c r="C286" i="6"/>
  <c r="B286" i="6"/>
  <c r="A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D285" i="6"/>
  <c r="C285" i="6"/>
  <c r="B285" i="6"/>
  <c r="A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C284" i="6"/>
  <c r="B284" i="6"/>
  <c r="A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D283" i="6"/>
  <c r="C283" i="6"/>
  <c r="B283" i="6"/>
  <c r="A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C282" i="6"/>
  <c r="B282" i="6"/>
  <c r="A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C281" i="6"/>
  <c r="B281" i="6"/>
  <c r="A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B280" i="6"/>
  <c r="A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B279" i="6"/>
  <c r="A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C278" i="6"/>
  <c r="B278" i="6"/>
  <c r="A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D277" i="6"/>
  <c r="C277" i="6"/>
  <c r="B277" i="6"/>
  <c r="A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D276" i="6"/>
  <c r="C276" i="6"/>
  <c r="B276" i="6"/>
  <c r="A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B275" i="6"/>
  <c r="A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B274" i="6"/>
  <c r="A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B273" i="6"/>
  <c r="A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B272" i="6"/>
  <c r="A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B271" i="6"/>
  <c r="A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B270" i="6"/>
  <c r="A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C269" i="6"/>
  <c r="B269" i="6"/>
  <c r="A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B268" i="6"/>
  <c r="A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C267" i="6"/>
  <c r="B267" i="6"/>
  <c r="A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D266" i="6"/>
  <c r="C266" i="6"/>
  <c r="B266" i="6"/>
  <c r="A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D265" i="6"/>
  <c r="C265" i="6"/>
  <c r="B265" i="6"/>
  <c r="A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D264" i="6"/>
  <c r="C264" i="6"/>
  <c r="B264" i="6"/>
  <c r="A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D263" i="6"/>
  <c r="C263" i="6"/>
  <c r="B263" i="6"/>
  <c r="A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D262" i="6"/>
  <c r="C262" i="6"/>
  <c r="B262" i="6"/>
  <c r="A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C261" i="6"/>
  <c r="B261" i="6"/>
  <c r="A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D260" i="6"/>
  <c r="C260" i="6"/>
  <c r="B260" i="6"/>
  <c r="A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C259" i="6"/>
  <c r="B259" i="6"/>
  <c r="A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A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A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A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A255" i="6"/>
  <c r="T254" i="6"/>
  <c r="R254" i="6"/>
  <c r="P254" i="6"/>
  <c r="N254" i="6"/>
  <c r="L254" i="6"/>
  <c r="J254" i="6"/>
  <c r="H254" i="6"/>
  <c r="F254" i="6"/>
  <c r="E254" i="6"/>
  <c r="D254" i="6"/>
  <c r="C254" i="6"/>
  <c r="B254" i="6"/>
  <c r="A254" i="6"/>
  <c r="T253" i="6"/>
  <c r="N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A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B251" i="6"/>
  <c r="A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B250" i="6"/>
  <c r="A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B249" i="6"/>
  <c r="A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B248" i="6"/>
  <c r="A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B247" i="6"/>
  <c r="A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B246" i="6"/>
  <c r="A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B245" i="6"/>
  <c r="A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B244" i="6"/>
  <c r="A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B243" i="6"/>
  <c r="A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B242" i="6"/>
  <c r="A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C241" i="6"/>
  <c r="B241" i="6"/>
  <c r="A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D240" i="6"/>
  <c r="C240" i="6"/>
  <c r="B240" i="6"/>
  <c r="A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D239" i="6"/>
  <c r="C239" i="6"/>
  <c r="B239" i="6"/>
  <c r="A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D238" i="6"/>
  <c r="C238" i="6"/>
  <c r="B238" i="6"/>
  <c r="A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D237" i="6"/>
  <c r="C237" i="6"/>
  <c r="B237" i="6"/>
  <c r="A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D236" i="6"/>
  <c r="C236" i="6"/>
  <c r="B236" i="6"/>
  <c r="A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D235" i="6"/>
  <c r="C235" i="6"/>
  <c r="B235" i="6"/>
  <c r="A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C234" i="6"/>
  <c r="B234" i="6"/>
  <c r="A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C233" i="6"/>
  <c r="B233" i="6"/>
  <c r="A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D232" i="6"/>
  <c r="C232" i="6"/>
  <c r="B232" i="6"/>
  <c r="A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D231" i="6"/>
  <c r="C231" i="6"/>
  <c r="B231" i="6"/>
  <c r="A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D230" i="6"/>
  <c r="C230" i="6"/>
  <c r="B230" i="6"/>
  <c r="A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D229" i="6"/>
  <c r="C229" i="6"/>
  <c r="B229" i="6"/>
  <c r="A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D228" i="6"/>
  <c r="C228" i="6"/>
  <c r="B228" i="6"/>
  <c r="A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D227" i="6"/>
  <c r="C227" i="6"/>
  <c r="B227" i="6"/>
  <c r="A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D226" i="6"/>
  <c r="C226" i="6"/>
  <c r="B226" i="6"/>
  <c r="A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D225" i="6"/>
  <c r="C225" i="6"/>
  <c r="B225" i="6"/>
  <c r="A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D224" i="6"/>
  <c r="C224" i="6"/>
  <c r="B224" i="6"/>
  <c r="A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D223" i="6"/>
  <c r="C223" i="6"/>
  <c r="B223" i="6"/>
  <c r="A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D222" i="6"/>
  <c r="C222" i="6"/>
  <c r="B222" i="6"/>
  <c r="A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D221" i="6"/>
  <c r="C221" i="6"/>
  <c r="B221" i="6"/>
  <c r="A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D220" i="6"/>
  <c r="C220" i="6"/>
  <c r="B220" i="6"/>
  <c r="A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D219" i="6"/>
  <c r="C219" i="6"/>
  <c r="B219" i="6"/>
  <c r="A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C218" i="6"/>
  <c r="B218" i="6"/>
  <c r="A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C217" i="6"/>
  <c r="B217" i="6"/>
  <c r="A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D216" i="6"/>
  <c r="C216" i="6"/>
  <c r="B216" i="6"/>
  <c r="A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D215" i="6"/>
  <c r="C215" i="6"/>
  <c r="B215" i="6"/>
  <c r="A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D214" i="6"/>
  <c r="C214" i="6"/>
  <c r="B214" i="6"/>
  <c r="A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C213" i="6"/>
  <c r="B213" i="6"/>
  <c r="A213" i="6"/>
  <c r="T212" i="6"/>
  <c r="R212" i="6"/>
  <c r="P212" i="6"/>
  <c r="N212" i="6"/>
  <c r="L212" i="6"/>
  <c r="J212" i="6"/>
  <c r="H212" i="6"/>
  <c r="F212" i="6"/>
  <c r="E212" i="6"/>
  <c r="D212" i="6"/>
  <c r="C212" i="6"/>
  <c r="B212" i="6"/>
  <c r="A212" i="6"/>
  <c r="T211" i="6"/>
  <c r="N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D210" i="6"/>
  <c r="C210" i="6"/>
  <c r="B210" i="6"/>
  <c r="A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D209" i="6"/>
  <c r="C209" i="6"/>
  <c r="B209" i="6"/>
  <c r="A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C208" i="6"/>
  <c r="B208" i="6"/>
  <c r="A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C207" i="6"/>
  <c r="B207" i="6"/>
  <c r="A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D206" i="6"/>
  <c r="C206" i="6"/>
  <c r="B206" i="6"/>
  <c r="A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D205" i="6"/>
  <c r="C205" i="6"/>
  <c r="B205" i="6"/>
  <c r="A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C204" i="6"/>
  <c r="B204" i="6"/>
  <c r="A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D203" i="6"/>
  <c r="C203" i="6"/>
  <c r="B203" i="6"/>
  <c r="A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D202" i="6"/>
  <c r="C202" i="6"/>
  <c r="B202" i="6"/>
  <c r="A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D201" i="6"/>
  <c r="C201" i="6"/>
  <c r="B201" i="6"/>
  <c r="A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D200" i="6"/>
  <c r="C200" i="6"/>
  <c r="B200" i="6"/>
  <c r="A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C199" i="6"/>
  <c r="B199" i="6"/>
  <c r="A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C198" i="6"/>
  <c r="B198" i="6"/>
  <c r="A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C197" i="6"/>
  <c r="B197" i="6"/>
  <c r="A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C196" i="6"/>
  <c r="B196" i="6"/>
  <c r="A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C195" i="6"/>
  <c r="B195" i="6"/>
  <c r="A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C194" i="6"/>
  <c r="B194" i="6"/>
  <c r="A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C193" i="6"/>
  <c r="B193" i="6"/>
  <c r="A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C192" i="6"/>
  <c r="B192" i="6"/>
  <c r="A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C191" i="6"/>
  <c r="B191" i="6"/>
  <c r="A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C190" i="6"/>
  <c r="B190" i="6"/>
  <c r="A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B189" i="6"/>
  <c r="A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B188" i="6"/>
  <c r="A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B187" i="6"/>
  <c r="A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B186" i="6"/>
  <c r="A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B185" i="6"/>
  <c r="A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B184" i="6"/>
  <c r="A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C183" i="6"/>
  <c r="B183" i="6"/>
  <c r="A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B182" i="6"/>
  <c r="A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B181" i="6"/>
  <c r="A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C180" i="6"/>
  <c r="B180" i="6"/>
  <c r="A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C179" i="6"/>
  <c r="B179" i="6"/>
  <c r="A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C178" i="6"/>
  <c r="B178" i="6"/>
  <c r="A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C177" i="6"/>
  <c r="B177" i="6"/>
  <c r="A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C176" i="6"/>
  <c r="B176" i="6"/>
  <c r="A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C175" i="6"/>
  <c r="B175" i="6"/>
  <c r="A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C174" i="6"/>
  <c r="B174" i="6"/>
  <c r="A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B173" i="6"/>
  <c r="A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B172" i="6"/>
  <c r="A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B171" i="6"/>
  <c r="A171" i="6"/>
  <c r="T170" i="6"/>
  <c r="R170" i="6"/>
  <c r="P170" i="6"/>
  <c r="N170" i="6"/>
  <c r="L170" i="6"/>
  <c r="J170" i="6"/>
  <c r="H170" i="6"/>
  <c r="F170" i="6"/>
  <c r="E170" i="6"/>
  <c r="D170" i="6"/>
  <c r="C170" i="6"/>
  <c r="B170" i="6"/>
  <c r="A170" i="6"/>
  <c r="T169" i="6"/>
  <c r="N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B168" i="6"/>
  <c r="A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B167" i="6"/>
  <c r="A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C166" i="6"/>
  <c r="B166" i="6"/>
  <c r="A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C165" i="6"/>
  <c r="B165" i="6"/>
  <c r="A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B164" i="6"/>
  <c r="A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C163" i="6"/>
  <c r="B163" i="6"/>
  <c r="A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B162" i="6"/>
  <c r="A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C161" i="6"/>
  <c r="B161" i="6"/>
  <c r="A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B160" i="6"/>
  <c r="A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B159" i="6"/>
  <c r="A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B158" i="6"/>
  <c r="A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B157" i="6"/>
  <c r="A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B156" i="6"/>
  <c r="A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B155" i="6"/>
  <c r="A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B154" i="6"/>
  <c r="A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B153" i="6"/>
  <c r="A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B152" i="6"/>
  <c r="A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B151" i="6"/>
  <c r="A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B150" i="6"/>
  <c r="A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B149" i="6"/>
  <c r="A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B148" i="6"/>
  <c r="A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B147" i="6"/>
  <c r="A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B146" i="6"/>
  <c r="A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B145" i="6"/>
  <c r="A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B144" i="6"/>
  <c r="A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B143" i="6"/>
  <c r="A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B142" i="6"/>
  <c r="A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C141" i="6"/>
  <c r="B141" i="6"/>
  <c r="A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C140" i="6"/>
  <c r="B140" i="6"/>
  <c r="A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C139" i="6"/>
  <c r="B139" i="6"/>
  <c r="A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C138" i="6"/>
  <c r="B138" i="6"/>
  <c r="A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C137" i="6"/>
  <c r="B137" i="6"/>
  <c r="A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C136" i="6"/>
  <c r="B136" i="6"/>
  <c r="A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A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A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C133" i="6"/>
  <c r="B133" i="6"/>
  <c r="A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C132" i="6"/>
  <c r="B132" i="6"/>
  <c r="A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C131" i="6"/>
  <c r="B131" i="6"/>
  <c r="A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A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C129" i="6"/>
  <c r="B129" i="6"/>
  <c r="A129" i="6"/>
  <c r="T128" i="6"/>
  <c r="R128" i="6"/>
  <c r="P128" i="6"/>
  <c r="N128" i="6"/>
  <c r="L128" i="6"/>
  <c r="J128" i="6"/>
  <c r="H128" i="6"/>
  <c r="F128" i="6"/>
  <c r="E128" i="6"/>
  <c r="D128" i="6"/>
  <c r="C128" i="6"/>
  <c r="B128" i="6"/>
  <c r="A128" i="6"/>
  <c r="T127" i="6"/>
  <c r="N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C126" i="6"/>
  <c r="B126" i="6"/>
  <c r="A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B125" i="6"/>
  <c r="A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B124" i="6"/>
  <c r="A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B123" i="6"/>
  <c r="A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B122" i="6"/>
  <c r="A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B121" i="6"/>
  <c r="A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B120" i="6"/>
  <c r="A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A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A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B117" i="6"/>
  <c r="A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A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B115" i="6"/>
  <c r="A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A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A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A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A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A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109" i="6"/>
  <c r="A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A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A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A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A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A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A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A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A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A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A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A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A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A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A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A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A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A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A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B88" i="6"/>
  <c r="A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87" i="6"/>
  <c r="A87" i="6"/>
  <c r="T86" i="6"/>
  <c r="R86" i="6"/>
  <c r="P86" i="6"/>
  <c r="N86" i="6"/>
  <c r="L86" i="6"/>
  <c r="J86" i="6"/>
  <c r="H86" i="6"/>
  <c r="F86" i="6"/>
  <c r="E86" i="6"/>
  <c r="D86" i="6"/>
  <c r="C86" i="6"/>
  <c r="B86" i="6"/>
  <c r="A86" i="6"/>
  <c r="T85" i="6"/>
  <c r="N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A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A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A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A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A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A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A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A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A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A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A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A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/>
  <c r="A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A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A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A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A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A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A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A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A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A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A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A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A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A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A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A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A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A45" i="6"/>
  <c r="T44" i="6"/>
  <c r="R44" i="6"/>
  <c r="P44" i="6"/>
  <c r="N44" i="6"/>
  <c r="L44" i="6"/>
  <c r="J44" i="6"/>
  <c r="H44" i="6"/>
  <c r="F44" i="6"/>
  <c r="E44" i="6"/>
  <c r="D44" i="6"/>
  <c r="C44" i="6"/>
  <c r="B44" i="6"/>
  <c r="A44" i="6"/>
  <c r="T43" i="6"/>
  <c r="N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A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A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A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A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A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A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A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A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A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A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A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A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A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A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A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A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A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A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A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A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A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A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A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A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A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A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A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3" i="6"/>
  <c r="T1" i="6"/>
  <c r="N1" i="6"/>
  <c r="A1" i="6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A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A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A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A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A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A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A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A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A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A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A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A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A339" i="5"/>
  <c r="T338" i="5"/>
  <c r="R338" i="5"/>
  <c r="P338" i="5"/>
  <c r="N338" i="5"/>
  <c r="L338" i="5"/>
  <c r="J338" i="5"/>
  <c r="H338" i="5"/>
  <c r="F338" i="5"/>
  <c r="E338" i="5"/>
  <c r="D338" i="5"/>
  <c r="C338" i="5"/>
  <c r="B338" i="5"/>
  <c r="A338" i="5"/>
  <c r="T337" i="5"/>
  <c r="N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A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A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A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A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A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A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A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A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A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A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A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A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A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A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A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A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A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A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A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A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A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A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A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A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A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A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A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A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A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A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A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A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A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A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A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A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A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297" i="5"/>
  <c r="T296" i="5"/>
  <c r="R296" i="5"/>
  <c r="P296" i="5"/>
  <c r="N296" i="5"/>
  <c r="L296" i="5"/>
  <c r="J296" i="5"/>
  <c r="H296" i="5"/>
  <c r="F296" i="5"/>
  <c r="E296" i="5"/>
  <c r="D296" i="5"/>
  <c r="C296" i="5"/>
  <c r="B296" i="5"/>
  <c r="A296" i="5"/>
  <c r="T295" i="5"/>
  <c r="N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A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A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A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A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A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A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255" i="5"/>
  <c r="T254" i="5"/>
  <c r="R254" i="5"/>
  <c r="P254" i="5"/>
  <c r="N254" i="5"/>
  <c r="L254" i="5"/>
  <c r="J254" i="5"/>
  <c r="H254" i="5"/>
  <c r="F254" i="5"/>
  <c r="E254" i="5"/>
  <c r="D254" i="5"/>
  <c r="C254" i="5"/>
  <c r="B254" i="5"/>
  <c r="A254" i="5"/>
  <c r="T253" i="5"/>
  <c r="N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T212" i="5"/>
  <c r="R212" i="5"/>
  <c r="P212" i="5"/>
  <c r="N212" i="5"/>
  <c r="L212" i="5"/>
  <c r="J212" i="5"/>
  <c r="H212" i="5"/>
  <c r="F212" i="5"/>
  <c r="E212" i="5"/>
  <c r="D212" i="5"/>
  <c r="C212" i="5"/>
  <c r="B212" i="5"/>
  <c r="A212" i="5"/>
  <c r="T211" i="5"/>
  <c r="N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T170" i="5"/>
  <c r="R170" i="5"/>
  <c r="P170" i="5"/>
  <c r="N170" i="5"/>
  <c r="L170" i="5"/>
  <c r="J170" i="5"/>
  <c r="H170" i="5"/>
  <c r="F170" i="5"/>
  <c r="E170" i="5"/>
  <c r="D170" i="5"/>
  <c r="C170" i="5"/>
  <c r="B170" i="5"/>
  <c r="A170" i="5"/>
  <c r="T169" i="5"/>
  <c r="N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T128" i="5"/>
  <c r="R128" i="5"/>
  <c r="P128" i="5"/>
  <c r="N128" i="5"/>
  <c r="L128" i="5"/>
  <c r="J128" i="5"/>
  <c r="H128" i="5"/>
  <c r="F128" i="5"/>
  <c r="E128" i="5"/>
  <c r="D128" i="5"/>
  <c r="C128" i="5"/>
  <c r="B128" i="5"/>
  <c r="A128" i="5"/>
  <c r="T127" i="5"/>
  <c r="N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T86" i="5"/>
  <c r="R86" i="5"/>
  <c r="P86" i="5"/>
  <c r="N86" i="5"/>
  <c r="L86" i="5"/>
  <c r="J86" i="5"/>
  <c r="H86" i="5"/>
  <c r="F86" i="5"/>
  <c r="E86" i="5"/>
  <c r="D86" i="5"/>
  <c r="C86" i="5"/>
  <c r="B86" i="5"/>
  <c r="A86" i="5"/>
  <c r="T85" i="5"/>
  <c r="N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T44" i="5"/>
  <c r="R44" i="5"/>
  <c r="P44" i="5"/>
  <c r="N44" i="5"/>
  <c r="L44" i="5"/>
  <c r="J44" i="5"/>
  <c r="H44" i="5"/>
  <c r="F44" i="5"/>
  <c r="E44" i="5"/>
  <c r="D44" i="5"/>
  <c r="C44" i="5"/>
  <c r="B44" i="5"/>
  <c r="A44" i="5"/>
  <c r="T43" i="5"/>
  <c r="N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T1" i="5"/>
  <c r="N1" i="5"/>
  <c r="A1" i="5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A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A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A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A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A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A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A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A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A339" i="4"/>
  <c r="T338" i="4"/>
  <c r="R338" i="4"/>
  <c r="P338" i="4"/>
  <c r="N338" i="4"/>
  <c r="L338" i="4"/>
  <c r="J338" i="4"/>
  <c r="H338" i="4"/>
  <c r="F338" i="4"/>
  <c r="E338" i="4"/>
  <c r="D338" i="4"/>
  <c r="C338" i="4"/>
  <c r="B338" i="4"/>
  <c r="A338" i="4"/>
  <c r="T337" i="4"/>
  <c r="N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A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A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A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A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A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A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A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A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A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A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A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A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A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A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A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A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A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A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A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A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A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A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A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A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A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A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A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A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A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A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A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A297" i="4"/>
  <c r="T296" i="4"/>
  <c r="R296" i="4"/>
  <c r="P296" i="4"/>
  <c r="N296" i="4"/>
  <c r="L296" i="4"/>
  <c r="J296" i="4"/>
  <c r="H296" i="4"/>
  <c r="F296" i="4"/>
  <c r="E296" i="4"/>
  <c r="D296" i="4"/>
  <c r="C296" i="4"/>
  <c r="B296" i="4"/>
  <c r="A296" i="4"/>
  <c r="T295" i="4"/>
  <c r="N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A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A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A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A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A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A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A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A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A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A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A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A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A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A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A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A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A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A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A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A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A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A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A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A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A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A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A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255" i="4"/>
  <c r="T254" i="4"/>
  <c r="R254" i="4"/>
  <c r="P254" i="4"/>
  <c r="N254" i="4"/>
  <c r="L254" i="4"/>
  <c r="J254" i="4"/>
  <c r="H254" i="4"/>
  <c r="F254" i="4"/>
  <c r="E254" i="4"/>
  <c r="D254" i="4"/>
  <c r="C254" i="4"/>
  <c r="B254" i="4"/>
  <c r="A254" i="4"/>
  <c r="T253" i="4"/>
  <c r="N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A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A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A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A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A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A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A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A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A213" i="4"/>
  <c r="T212" i="4"/>
  <c r="R212" i="4"/>
  <c r="P212" i="4"/>
  <c r="N212" i="4"/>
  <c r="L212" i="4"/>
  <c r="J212" i="4"/>
  <c r="H212" i="4"/>
  <c r="F212" i="4"/>
  <c r="E212" i="4"/>
  <c r="D212" i="4"/>
  <c r="C212" i="4"/>
  <c r="B212" i="4"/>
  <c r="A212" i="4"/>
  <c r="T211" i="4"/>
  <c r="N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A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A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A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A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A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T170" i="4"/>
  <c r="R170" i="4"/>
  <c r="P170" i="4"/>
  <c r="N170" i="4"/>
  <c r="L170" i="4"/>
  <c r="J170" i="4"/>
  <c r="H170" i="4"/>
  <c r="F170" i="4"/>
  <c r="E170" i="4"/>
  <c r="D170" i="4"/>
  <c r="C170" i="4"/>
  <c r="B170" i="4"/>
  <c r="A170" i="4"/>
  <c r="T169" i="4"/>
  <c r="N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T128" i="4"/>
  <c r="R128" i="4"/>
  <c r="P128" i="4"/>
  <c r="N128" i="4"/>
  <c r="L128" i="4"/>
  <c r="J128" i="4"/>
  <c r="H128" i="4"/>
  <c r="F128" i="4"/>
  <c r="E128" i="4"/>
  <c r="D128" i="4"/>
  <c r="C128" i="4"/>
  <c r="B128" i="4"/>
  <c r="A128" i="4"/>
  <c r="T127" i="4"/>
  <c r="N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T86" i="4"/>
  <c r="R86" i="4"/>
  <c r="P86" i="4"/>
  <c r="N86" i="4"/>
  <c r="L86" i="4"/>
  <c r="J86" i="4"/>
  <c r="H86" i="4"/>
  <c r="F86" i="4"/>
  <c r="E86" i="4"/>
  <c r="D86" i="4"/>
  <c r="C86" i="4"/>
  <c r="B86" i="4"/>
  <c r="A86" i="4"/>
  <c r="T85" i="4"/>
  <c r="N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T44" i="4"/>
  <c r="R44" i="4"/>
  <c r="P44" i="4"/>
  <c r="N44" i="4"/>
  <c r="L44" i="4"/>
  <c r="J44" i="4"/>
  <c r="H44" i="4"/>
  <c r="F44" i="4"/>
  <c r="E44" i="4"/>
  <c r="D44" i="4"/>
  <c r="C44" i="4"/>
  <c r="B44" i="4"/>
  <c r="A44" i="4"/>
  <c r="T43" i="4"/>
  <c r="N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A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A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A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3" i="4"/>
  <c r="T1" i="4"/>
  <c r="N1" i="4"/>
  <c r="A1" i="4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A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A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A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A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A339" i="3"/>
  <c r="T338" i="3"/>
  <c r="R338" i="3"/>
  <c r="P338" i="3"/>
  <c r="N338" i="3"/>
  <c r="L338" i="3"/>
  <c r="J338" i="3"/>
  <c r="H338" i="3"/>
  <c r="F338" i="3"/>
  <c r="E338" i="3"/>
  <c r="D338" i="3"/>
  <c r="C338" i="3"/>
  <c r="B338" i="3"/>
  <c r="A338" i="3"/>
  <c r="T337" i="3"/>
  <c r="N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A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A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A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A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A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A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A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A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A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A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A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A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A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A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A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A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A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A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A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A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A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A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T296" i="3"/>
  <c r="R296" i="3"/>
  <c r="P296" i="3"/>
  <c r="N296" i="3"/>
  <c r="L296" i="3"/>
  <c r="J296" i="3"/>
  <c r="H296" i="3"/>
  <c r="F296" i="3"/>
  <c r="E296" i="3"/>
  <c r="D296" i="3"/>
  <c r="C296" i="3"/>
  <c r="B296" i="3"/>
  <c r="A296" i="3"/>
  <c r="T295" i="3"/>
  <c r="N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A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A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A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A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A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A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A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A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A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A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A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A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A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A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A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A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A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A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A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A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A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A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T254" i="3"/>
  <c r="R254" i="3"/>
  <c r="P254" i="3"/>
  <c r="N254" i="3"/>
  <c r="L254" i="3"/>
  <c r="J254" i="3"/>
  <c r="H254" i="3"/>
  <c r="F254" i="3"/>
  <c r="E254" i="3"/>
  <c r="D254" i="3"/>
  <c r="C254" i="3"/>
  <c r="B254" i="3"/>
  <c r="A254" i="3"/>
  <c r="T253" i="3"/>
  <c r="N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A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A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A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A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A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T212" i="3"/>
  <c r="R212" i="3"/>
  <c r="P212" i="3"/>
  <c r="N212" i="3"/>
  <c r="L212" i="3"/>
  <c r="J212" i="3"/>
  <c r="H212" i="3"/>
  <c r="F212" i="3"/>
  <c r="E212" i="3"/>
  <c r="D212" i="3"/>
  <c r="C212" i="3"/>
  <c r="B212" i="3"/>
  <c r="A212" i="3"/>
  <c r="T211" i="3"/>
  <c r="N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T170" i="3"/>
  <c r="R170" i="3"/>
  <c r="P170" i="3"/>
  <c r="N170" i="3"/>
  <c r="L170" i="3"/>
  <c r="J170" i="3"/>
  <c r="H170" i="3"/>
  <c r="F170" i="3"/>
  <c r="E170" i="3"/>
  <c r="D170" i="3"/>
  <c r="C170" i="3"/>
  <c r="B170" i="3"/>
  <c r="A170" i="3"/>
  <c r="T169" i="3"/>
  <c r="N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T128" i="3"/>
  <c r="R128" i="3"/>
  <c r="P128" i="3"/>
  <c r="N128" i="3"/>
  <c r="L128" i="3"/>
  <c r="J128" i="3"/>
  <c r="H128" i="3"/>
  <c r="F128" i="3"/>
  <c r="E128" i="3"/>
  <c r="D128" i="3"/>
  <c r="C128" i="3"/>
  <c r="B128" i="3"/>
  <c r="A128" i="3"/>
  <c r="T127" i="3"/>
  <c r="N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T86" i="3"/>
  <c r="R86" i="3"/>
  <c r="P86" i="3"/>
  <c r="N86" i="3"/>
  <c r="L86" i="3"/>
  <c r="J86" i="3"/>
  <c r="H86" i="3"/>
  <c r="F86" i="3"/>
  <c r="E86" i="3"/>
  <c r="D86" i="3"/>
  <c r="C86" i="3"/>
  <c r="B86" i="3"/>
  <c r="A86" i="3"/>
  <c r="T85" i="3"/>
  <c r="N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T44" i="3"/>
  <c r="R44" i="3"/>
  <c r="P44" i="3"/>
  <c r="N44" i="3"/>
  <c r="L44" i="3"/>
  <c r="J44" i="3"/>
  <c r="H44" i="3"/>
  <c r="F44" i="3"/>
  <c r="E44" i="3"/>
  <c r="D44" i="3"/>
  <c r="C44" i="3"/>
  <c r="B44" i="3"/>
  <c r="A44" i="3"/>
  <c r="T43" i="3"/>
  <c r="N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T1" i="3"/>
  <c r="N1" i="3"/>
  <c r="A1" i="3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A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A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A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A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A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A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A339" i="2"/>
  <c r="T338" i="2"/>
  <c r="R338" i="2"/>
  <c r="P338" i="2"/>
  <c r="N338" i="2"/>
  <c r="L338" i="2"/>
  <c r="J338" i="2"/>
  <c r="H338" i="2"/>
  <c r="F338" i="2"/>
  <c r="E338" i="2"/>
  <c r="D338" i="2"/>
  <c r="C338" i="2"/>
  <c r="B338" i="2"/>
  <c r="A338" i="2"/>
  <c r="T337" i="2"/>
  <c r="N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A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A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A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A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A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A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A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A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A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A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A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A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A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A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A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A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A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A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A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A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A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A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A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A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A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A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A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A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A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A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A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A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A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A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A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A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A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A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A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A297" i="2"/>
  <c r="T296" i="2"/>
  <c r="R296" i="2"/>
  <c r="P296" i="2"/>
  <c r="N296" i="2"/>
  <c r="L296" i="2"/>
  <c r="J296" i="2"/>
  <c r="H296" i="2"/>
  <c r="F296" i="2"/>
  <c r="E296" i="2"/>
  <c r="D296" i="2"/>
  <c r="C296" i="2"/>
  <c r="B296" i="2"/>
  <c r="A296" i="2"/>
  <c r="T295" i="2"/>
  <c r="N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A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A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A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A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A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A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A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A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A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A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A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A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A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A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A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A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A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A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A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A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A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A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A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A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A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A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A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A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A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A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A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A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A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A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A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A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A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A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A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A255" i="2"/>
  <c r="T254" i="2"/>
  <c r="R254" i="2"/>
  <c r="P254" i="2"/>
  <c r="N254" i="2"/>
  <c r="L254" i="2"/>
  <c r="J254" i="2"/>
  <c r="H254" i="2"/>
  <c r="F254" i="2"/>
  <c r="E254" i="2"/>
  <c r="D254" i="2"/>
  <c r="C254" i="2"/>
  <c r="B254" i="2"/>
  <c r="A254" i="2"/>
  <c r="T253" i="2"/>
  <c r="N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A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A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A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A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A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A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A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A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A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A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A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A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A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A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A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A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A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A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A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A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A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A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A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A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A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A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A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A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A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A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A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A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A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A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A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A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A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A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A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A213" i="2"/>
  <c r="T212" i="2"/>
  <c r="R212" i="2"/>
  <c r="P212" i="2"/>
  <c r="N212" i="2"/>
  <c r="L212" i="2"/>
  <c r="J212" i="2"/>
  <c r="H212" i="2"/>
  <c r="F212" i="2"/>
  <c r="E212" i="2"/>
  <c r="D212" i="2"/>
  <c r="C212" i="2"/>
  <c r="B212" i="2"/>
  <c r="A212" i="2"/>
  <c r="T211" i="2"/>
  <c r="N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A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A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A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A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A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A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A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A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A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A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A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A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A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A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A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A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A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A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A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A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A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A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A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A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A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A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A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A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A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A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A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A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A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A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A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A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A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A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A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A171" i="2"/>
  <c r="T170" i="2"/>
  <c r="R170" i="2"/>
  <c r="P170" i="2"/>
  <c r="N170" i="2"/>
  <c r="L170" i="2"/>
  <c r="J170" i="2"/>
  <c r="H170" i="2"/>
  <c r="F170" i="2"/>
  <c r="E170" i="2"/>
  <c r="D170" i="2"/>
  <c r="C170" i="2"/>
  <c r="B170" i="2"/>
  <c r="A170" i="2"/>
  <c r="T169" i="2"/>
  <c r="N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A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A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A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A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A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A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A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A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A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A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A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A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A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A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A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A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A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A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A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A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A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A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A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A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A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A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A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A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A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A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A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A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A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A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A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A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A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A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A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A129" i="2"/>
  <c r="T128" i="2"/>
  <c r="R128" i="2"/>
  <c r="P128" i="2"/>
  <c r="N128" i="2"/>
  <c r="L128" i="2"/>
  <c r="J128" i="2"/>
  <c r="H128" i="2"/>
  <c r="F128" i="2"/>
  <c r="E128" i="2"/>
  <c r="D128" i="2"/>
  <c r="C128" i="2"/>
  <c r="B128" i="2"/>
  <c r="A128" i="2"/>
  <c r="T127" i="2"/>
  <c r="N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A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A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A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A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A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A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A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A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A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A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A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A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A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A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A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T86" i="2"/>
  <c r="R86" i="2"/>
  <c r="P86" i="2"/>
  <c r="N86" i="2"/>
  <c r="L86" i="2"/>
  <c r="J86" i="2"/>
  <c r="H86" i="2"/>
  <c r="F86" i="2"/>
  <c r="E86" i="2"/>
  <c r="D86" i="2"/>
  <c r="C86" i="2"/>
  <c r="B86" i="2"/>
  <c r="A86" i="2"/>
  <c r="T85" i="2"/>
  <c r="N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T44" i="2"/>
  <c r="R44" i="2"/>
  <c r="P44" i="2"/>
  <c r="N44" i="2"/>
  <c r="L44" i="2"/>
  <c r="J44" i="2"/>
  <c r="H44" i="2"/>
  <c r="F44" i="2"/>
  <c r="E44" i="2"/>
  <c r="D44" i="2"/>
  <c r="C44" i="2"/>
  <c r="B44" i="2"/>
  <c r="A44" i="2"/>
  <c r="T43" i="2"/>
  <c r="N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A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A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A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A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A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A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3" i="2"/>
  <c r="T1" i="2"/>
  <c r="N1" i="2"/>
  <c r="A1" i="2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A339" i="1"/>
  <c r="T338" i="1"/>
  <c r="R338" i="1"/>
  <c r="P338" i="1"/>
  <c r="N338" i="1"/>
  <c r="L338" i="1"/>
  <c r="J338" i="1"/>
  <c r="H338" i="1"/>
  <c r="F338" i="1"/>
  <c r="E338" i="1"/>
  <c r="D338" i="1"/>
  <c r="C338" i="1"/>
  <c r="B338" i="1"/>
  <c r="A338" i="1"/>
  <c r="T337" i="1"/>
  <c r="N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T296" i="1"/>
  <c r="R296" i="1"/>
  <c r="P296" i="1"/>
  <c r="N296" i="1"/>
  <c r="L296" i="1"/>
  <c r="J296" i="1"/>
  <c r="H296" i="1"/>
  <c r="F296" i="1"/>
  <c r="E296" i="1"/>
  <c r="D296" i="1"/>
  <c r="C296" i="1"/>
  <c r="B296" i="1"/>
  <c r="A296" i="1"/>
  <c r="T295" i="1"/>
  <c r="N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T254" i="1"/>
  <c r="R254" i="1"/>
  <c r="P254" i="1"/>
  <c r="N254" i="1"/>
  <c r="L254" i="1"/>
  <c r="J254" i="1"/>
  <c r="H254" i="1"/>
  <c r="F254" i="1"/>
  <c r="E254" i="1"/>
  <c r="D254" i="1"/>
  <c r="C254" i="1"/>
  <c r="B254" i="1"/>
  <c r="A254" i="1"/>
  <c r="T253" i="1"/>
  <c r="N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T212" i="1"/>
  <c r="R212" i="1"/>
  <c r="P212" i="1"/>
  <c r="N212" i="1"/>
  <c r="L212" i="1"/>
  <c r="J212" i="1"/>
  <c r="H212" i="1"/>
  <c r="F212" i="1"/>
  <c r="E212" i="1"/>
  <c r="D212" i="1"/>
  <c r="C212" i="1"/>
  <c r="B212" i="1"/>
  <c r="A212" i="1"/>
  <c r="T211" i="1"/>
  <c r="N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T170" i="1"/>
  <c r="R170" i="1"/>
  <c r="P170" i="1"/>
  <c r="N170" i="1"/>
  <c r="L170" i="1"/>
  <c r="J170" i="1"/>
  <c r="H170" i="1"/>
  <c r="F170" i="1"/>
  <c r="E170" i="1"/>
  <c r="D170" i="1"/>
  <c r="C170" i="1"/>
  <c r="B170" i="1"/>
  <c r="A170" i="1"/>
  <c r="T169" i="1"/>
  <c r="N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T128" i="1"/>
  <c r="R128" i="1"/>
  <c r="P128" i="1"/>
  <c r="N128" i="1"/>
  <c r="L128" i="1"/>
  <c r="J128" i="1"/>
  <c r="H128" i="1"/>
  <c r="F128" i="1"/>
  <c r="E128" i="1"/>
  <c r="D128" i="1"/>
  <c r="C128" i="1"/>
  <c r="B128" i="1"/>
  <c r="A128" i="1"/>
  <c r="T127" i="1"/>
  <c r="N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T86" i="1"/>
  <c r="R86" i="1"/>
  <c r="P86" i="1"/>
  <c r="N86" i="1"/>
  <c r="L86" i="1"/>
  <c r="J86" i="1"/>
  <c r="H86" i="1"/>
  <c r="F86" i="1"/>
  <c r="E86" i="1"/>
  <c r="D86" i="1"/>
  <c r="C86" i="1"/>
  <c r="B86" i="1"/>
  <c r="A86" i="1"/>
  <c r="T85" i="1"/>
  <c r="N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T44" i="1"/>
  <c r="R44" i="1"/>
  <c r="P44" i="1"/>
  <c r="N44" i="1"/>
  <c r="L44" i="1"/>
  <c r="J44" i="1"/>
  <c r="H44" i="1"/>
  <c r="F44" i="1"/>
  <c r="E44" i="1"/>
  <c r="D44" i="1"/>
  <c r="C44" i="1"/>
  <c r="B44" i="1"/>
  <c r="A44" i="1"/>
  <c r="T43" i="1"/>
  <c r="N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R2" i="1"/>
  <c r="P2" i="1"/>
  <c r="L2" i="1"/>
  <c r="J2" i="1"/>
  <c r="H2" i="1"/>
  <c r="F2" i="1"/>
  <c r="E2" i="1"/>
  <c r="D2" i="1"/>
  <c r="C2" i="1"/>
  <c r="B2" i="1"/>
  <c r="A2" i="1"/>
  <c r="T1" i="1"/>
  <c r="N1" i="1"/>
  <c r="A1" i="1"/>
</calcChain>
</file>

<file path=xl/sharedStrings.xml><?xml version="1.0" encoding="utf-8"?>
<sst xmlns="http://schemas.openxmlformats.org/spreadsheetml/2006/main" count="180" uniqueCount="10">
  <si>
    <t>SOS</t>
  </si>
  <si>
    <t>NCSOS</t>
  </si>
  <si>
    <t>Offense Rank</t>
  </si>
  <si>
    <t>Defense Rank</t>
  </si>
  <si>
    <t>Tempo Rank</t>
  </si>
  <si>
    <t>Luck Rank</t>
  </si>
  <si>
    <t>SOS Rank</t>
  </si>
  <si>
    <t>Opp Offense Rank</t>
  </si>
  <si>
    <t>Opp Defense Rank</t>
  </si>
  <si>
    <t>NonConf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</si>
</sst>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d"/>
  </numFmts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1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/>
    <xf numFmtId="164" fontId="1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345"/>
  <sheetViews>
    <sheetView topLeftCell="A13" workbookViewId="0">
      <selection activeCell="B54" sqref="B54"/>
    </sheetView>
  </sheetViews>
  <sheetFormatPr baseColWidth="10" defaultColWidth="12.6640625" defaultRowHeight="15.75" customHeight="1" x14ac:dyDescent="0.15"/>
  <cols>
    <col min="2" max="2" width="27.83203125" customWidth="1"/>
  </cols>
  <sheetData>
    <row r="1" spans="1:21" ht="15.75" customHeight="1" x14ac:dyDescent="0.15">
      <c r="A1" s="1" t="str">
        <f ca="1">IFERROR(__xludf.DUMMYFUNCTION("IMPORThtML(""https://kenpom.com/index.php?y=2002"",""table"",1)"),"")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2</v>
      </c>
      <c r="H2" s="1" t="str">
        <f ca="1">IFERROR(__xludf.DUMMYFUNCTION("""COMPUTED_VALUE"""),"AdjD")</f>
        <v>AdjD</v>
      </c>
      <c r="I2" s="1" t="s">
        <v>3</v>
      </c>
      <c r="J2" s="1" t="str">
        <f ca="1">IFERROR(__xludf.DUMMYFUNCTION("""COMPUTED_VALUE"""),"AdjT")</f>
        <v>AdjT</v>
      </c>
      <c r="K2" s="1" t="s">
        <v>4</v>
      </c>
      <c r="L2" s="1" t="str">
        <f ca="1">IFERROR(__xludf.DUMMYFUNCTION("""COMPUTED_VALUE"""),"Luck")</f>
        <v>Luck</v>
      </c>
      <c r="M2" s="1" t="s">
        <v>5</v>
      </c>
      <c r="N2" s="1" t="s">
        <v>0</v>
      </c>
      <c r="O2" s="1" t="s">
        <v>6</v>
      </c>
      <c r="P2" s="1" t="str">
        <f ca="1">IFERROR(__xludf.DUMMYFUNCTION("""COMPUTED_VALUE"""),"OppO")</f>
        <v>OppO</v>
      </c>
      <c r="Q2" s="1" t="s">
        <v>7</v>
      </c>
      <c r="R2" s="1" t="str">
        <f ca="1">IFERROR(__xludf.DUMMYFUNCTION("""COMPUTED_VALUE"""),"OppD")</f>
        <v>OppD</v>
      </c>
      <c r="S2" s="1" t="s">
        <v>8</v>
      </c>
      <c r="T2" s="1" t="s">
        <v>1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IFERROR(__xludf.DUMMYFUNCTION("""COMPUTED_VALUE"""),"Duke1")</f>
        <v>Duke1</v>
      </c>
      <c r="C3" s="1" t="str">
        <f ca="1">IFERROR(__xludf.DUMMYFUNCTION("""COMPUTED_VALUE"""),"ACC")</f>
        <v>ACC</v>
      </c>
      <c r="D3" s="1" t="str">
        <f ca="1">IFERROR(__xludf.DUMMYFUNCTION("""COMPUTED_VALUE"""),"31-4")</f>
        <v>31-4</v>
      </c>
      <c r="E3" s="1" t="str">
        <f ca="1">IFERROR(__xludf.DUMMYFUNCTION("""COMPUTED_VALUE"""),"+34.19")</f>
        <v>+34.19</v>
      </c>
      <c r="F3" s="1">
        <f ca="1">IFERROR(__xludf.DUMMYFUNCTION("""COMPUTED_VALUE"""),121)</f>
        <v>121</v>
      </c>
      <c r="G3" s="1">
        <f ca="1">IFERROR(__xludf.DUMMYFUNCTION("""COMPUTED_VALUE"""),1)</f>
        <v>1</v>
      </c>
      <c r="H3" s="1">
        <f ca="1">IFERROR(__xludf.DUMMYFUNCTION("""COMPUTED_VALUE"""),86.8)</f>
        <v>86.8</v>
      </c>
      <c r="I3" s="1">
        <f ca="1">IFERROR(__xludf.DUMMYFUNCTION("""COMPUTED_VALUE"""),1)</f>
        <v>1</v>
      </c>
      <c r="J3" s="1">
        <f ca="1">IFERROR(__xludf.DUMMYFUNCTION("""COMPUTED_VALUE"""),74.5)</f>
        <v>74.5</v>
      </c>
      <c r="K3" s="1">
        <f ca="1">IFERROR(__xludf.DUMMYFUNCTION("""COMPUTED_VALUE"""),8)</f>
        <v>8</v>
      </c>
      <c r="L3" s="1">
        <f ca="1">IFERROR(__xludf.DUMMYFUNCTION("""COMPUTED_VALUE"""),-0.027)</f>
        <v>-2.7E-2</v>
      </c>
      <c r="M3" s="1">
        <f ca="1">IFERROR(__xludf.DUMMYFUNCTION("""COMPUTED_VALUE"""),223)</f>
        <v>223</v>
      </c>
      <c r="N3" s="1" t="str">
        <f ca="1">IFERROR(__xludf.DUMMYFUNCTION("""COMPUTED_VALUE"""),"+9.87")</f>
        <v>+9.87</v>
      </c>
      <c r="O3" s="1">
        <f ca="1">IFERROR(__xludf.DUMMYFUNCTION("""COMPUTED_VALUE"""),18)</f>
        <v>18</v>
      </c>
      <c r="P3" s="1">
        <f ca="1">IFERROR(__xludf.DUMMYFUNCTION("""COMPUTED_VALUE"""),109.1)</f>
        <v>109.1</v>
      </c>
      <c r="Q3" s="1">
        <f ca="1">IFERROR(__xludf.DUMMYFUNCTION("""COMPUTED_VALUE"""),13)</f>
        <v>13</v>
      </c>
      <c r="R3" s="1">
        <f ca="1">IFERROR(__xludf.DUMMYFUNCTION("""COMPUTED_VALUE"""),99.2)</f>
        <v>99.2</v>
      </c>
      <c r="S3" s="1">
        <f ca="1">IFERROR(__xludf.DUMMYFUNCTION("""COMPUTED_VALUE"""),31)</f>
        <v>31</v>
      </c>
      <c r="T3" s="1" t="str">
        <f ca="1">IFERROR(__xludf.DUMMYFUNCTION("""COMPUTED_VALUE"""),"+6.66")</f>
        <v>+6.66</v>
      </c>
      <c r="U3" s="1">
        <f ca="1">IFERROR(__xludf.DUMMYFUNCTION("""COMPUTED_VALUE"""),34)</f>
        <v>34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IFERROR(__xludf.DUMMYFUNCTION("""COMPUTED_VALUE"""),"Cincinnati1")</f>
        <v>Cincinnati1</v>
      </c>
      <c r="C4" s="1" t="str">
        <f ca="1">IFERROR(__xludf.DUMMYFUNCTION("""COMPUTED_VALUE"""),"CUSA")</f>
        <v>CUSA</v>
      </c>
      <c r="D4" s="1" t="str">
        <f ca="1">IFERROR(__xludf.DUMMYFUNCTION("""COMPUTED_VALUE"""),"31-4")</f>
        <v>31-4</v>
      </c>
      <c r="E4" s="1" t="str">
        <f ca="1">IFERROR(__xludf.DUMMYFUNCTION("""COMPUTED_VALUE"""),"+30.19")</f>
        <v>+30.19</v>
      </c>
      <c r="F4" s="1">
        <f ca="1">IFERROR(__xludf.DUMMYFUNCTION("""COMPUTED_VALUE"""),118.1)</f>
        <v>118.1</v>
      </c>
      <c r="G4" s="1">
        <f ca="1">IFERROR(__xludf.DUMMYFUNCTION("""COMPUTED_VALUE"""),7)</f>
        <v>7</v>
      </c>
      <c r="H4" s="1">
        <f ca="1">IFERROR(__xludf.DUMMYFUNCTION("""COMPUTED_VALUE"""),87.9)</f>
        <v>87.9</v>
      </c>
      <c r="I4" s="1">
        <f ca="1">IFERROR(__xludf.DUMMYFUNCTION("""COMPUTED_VALUE"""),3)</f>
        <v>3</v>
      </c>
      <c r="J4" s="1">
        <f ca="1">IFERROR(__xludf.DUMMYFUNCTION("""COMPUTED_VALUE"""),67.4)</f>
        <v>67.400000000000006</v>
      </c>
      <c r="K4" s="1">
        <f ca="1">IFERROR(__xludf.DUMMYFUNCTION("""COMPUTED_VALUE"""),194)</f>
        <v>194</v>
      </c>
      <c r="L4" s="1" t="str">
        <f ca="1">IFERROR(__xludf.DUMMYFUNCTION("""COMPUTED_VALUE"""),"+.002")</f>
        <v>+.002</v>
      </c>
      <c r="M4" s="1">
        <f ca="1">IFERROR(__xludf.DUMMYFUNCTION("""COMPUTED_VALUE"""),165)</f>
        <v>165</v>
      </c>
      <c r="N4" s="1" t="str">
        <f ca="1">IFERROR(__xludf.DUMMYFUNCTION("""COMPUTED_VALUE"""),"+6.58")</f>
        <v>+6.58</v>
      </c>
      <c r="O4" s="1">
        <f ca="1">IFERROR(__xludf.DUMMYFUNCTION("""COMPUTED_VALUE"""),57)</f>
        <v>57</v>
      </c>
      <c r="P4" s="1">
        <f ca="1">IFERROR(__xludf.DUMMYFUNCTION("""COMPUTED_VALUE"""),106.3)</f>
        <v>106.3</v>
      </c>
      <c r="Q4" s="1">
        <f ca="1">IFERROR(__xludf.DUMMYFUNCTION("""COMPUTED_VALUE"""),66)</f>
        <v>66</v>
      </c>
      <c r="R4" s="1">
        <f ca="1">IFERROR(__xludf.DUMMYFUNCTION("""COMPUTED_VALUE"""),99.7)</f>
        <v>99.7</v>
      </c>
      <c r="S4" s="1">
        <f ca="1">IFERROR(__xludf.DUMMYFUNCTION("""COMPUTED_VALUE"""),42)</f>
        <v>42</v>
      </c>
      <c r="T4" s="1" t="str">
        <f ca="1">IFERROR(__xludf.DUMMYFUNCTION("""COMPUTED_VALUE"""),"+3.48")</f>
        <v>+3.48</v>
      </c>
      <c r="U4" s="1">
        <f ca="1">IFERROR(__xludf.DUMMYFUNCTION("""COMPUTED_VALUE"""),80)</f>
        <v>80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IFERROR(__xludf.DUMMYFUNCTION("""COMPUTED_VALUE"""),"Maryland1")</f>
        <v>Maryland1</v>
      </c>
      <c r="C5" s="1" t="str">
        <f ca="1">IFERROR(__xludf.DUMMYFUNCTION("""COMPUTED_VALUE"""),"ACC")</f>
        <v>ACC</v>
      </c>
      <c r="D5" s="1" t="str">
        <f ca="1">IFERROR(__xludf.DUMMYFUNCTION("""COMPUTED_VALUE"""),"32-4")</f>
        <v>32-4</v>
      </c>
      <c r="E5" s="1" t="str">
        <f ca="1">IFERROR(__xludf.DUMMYFUNCTION("""COMPUTED_VALUE"""),"+29.25")</f>
        <v>+29.25</v>
      </c>
      <c r="F5" s="1">
        <f ca="1">IFERROR(__xludf.DUMMYFUNCTION("""COMPUTED_VALUE"""),119.2)</f>
        <v>119.2</v>
      </c>
      <c r="G5" s="1">
        <f ca="1">IFERROR(__xludf.DUMMYFUNCTION("""COMPUTED_VALUE"""),4)</f>
        <v>4</v>
      </c>
      <c r="H5" s="1">
        <f ca="1">IFERROR(__xludf.DUMMYFUNCTION("""COMPUTED_VALUE"""),89.9)</f>
        <v>89.9</v>
      </c>
      <c r="I5" s="1">
        <f ca="1">IFERROR(__xludf.DUMMYFUNCTION("""COMPUTED_VALUE"""),7)</f>
        <v>7</v>
      </c>
      <c r="J5" s="1">
        <f ca="1">IFERROR(__xludf.DUMMYFUNCTION("""COMPUTED_VALUE"""),73.7)</f>
        <v>73.7</v>
      </c>
      <c r="K5" s="1">
        <f ca="1">IFERROR(__xludf.DUMMYFUNCTION("""COMPUTED_VALUE"""),15)</f>
        <v>15</v>
      </c>
      <c r="L5" s="1" t="str">
        <f ca="1">IFERROR(__xludf.DUMMYFUNCTION("""COMPUTED_VALUE"""),"+.025")</f>
        <v>+.025</v>
      </c>
      <c r="M5" s="1">
        <f ca="1">IFERROR(__xludf.DUMMYFUNCTION("""COMPUTED_VALUE"""),104)</f>
        <v>104</v>
      </c>
      <c r="N5" s="1" t="str">
        <f ca="1">IFERROR(__xludf.DUMMYFUNCTION("""COMPUTED_VALUE"""),"+9.88")</f>
        <v>+9.88</v>
      </c>
      <c r="O5" s="1">
        <f ca="1">IFERROR(__xludf.DUMMYFUNCTION("""COMPUTED_VALUE"""),16)</f>
        <v>16</v>
      </c>
      <c r="P5" s="1">
        <f ca="1">IFERROR(__xludf.DUMMYFUNCTION("""COMPUTED_VALUE"""),109.1)</f>
        <v>109.1</v>
      </c>
      <c r="Q5" s="1">
        <f ca="1">IFERROR(__xludf.DUMMYFUNCTION("""COMPUTED_VALUE"""),11)</f>
        <v>11</v>
      </c>
      <c r="R5" s="1">
        <f ca="1">IFERROR(__xludf.DUMMYFUNCTION("""COMPUTED_VALUE"""),99.3)</f>
        <v>99.3</v>
      </c>
      <c r="S5" s="1">
        <f ca="1">IFERROR(__xludf.DUMMYFUNCTION("""COMPUTED_VALUE"""),33)</f>
        <v>33</v>
      </c>
      <c r="T5" s="1" t="str">
        <f ca="1">IFERROR(__xludf.DUMMYFUNCTION("""COMPUTED_VALUE"""),"+1.62")</f>
        <v>+1.62</v>
      </c>
      <c r="U5" s="1">
        <f ca="1">IFERROR(__xludf.DUMMYFUNCTION("""COMPUTED_VALUE"""),120)</f>
        <v>120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IFERROR(__xludf.DUMMYFUNCTION("""COMPUTED_VALUE"""),"Kansas1")</f>
        <v>Kansas1</v>
      </c>
      <c r="C6" s="1" t="str">
        <f ca="1">IFERROR(__xludf.DUMMYFUNCTION("""COMPUTED_VALUE"""),"B12")</f>
        <v>B12</v>
      </c>
      <c r="D6" s="1" t="str">
        <f ca="1">IFERROR(__xludf.DUMMYFUNCTION("""COMPUTED_VALUE"""),"33-4")</f>
        <v>33-4</v>
      </c>
      <c r="E6" s="1" t="str">
        <f ca="1">IFERROR(__xludf.DUMMYFUNCTION("""COMPUTED_VALUE"""),"+28.99")</f>
        <v>+28.99</v>
      </c>
      <c r="F6" s="1">
        <f ca="1">IFERROR(__xludf.DUMMYFUNCTION("""COMPUTED_VALUE"""),118.7)</f>
        <v>118.7</v>
      </c>
      <c r="G6" s="1">
        <f ca="1">IFERROR(__xludf.DUMMYFUNCTION("""COMPUTED_VALUE"""),5)</f>
        <v>5</v>
      </c>
      <c r="H6" s="1">
        <f ca="1">IFERROR(__xludf.DUMMYFUNCTION("""COMPUTED_VALUE"""),89.7)</f>
        <v>89.7</v>
      </c>
      <c r="I6" s="1">
        <f ca="1">IFERROR(__xludf.DUMMYFUNCTION("""COMPUTED_VALUE"""),6)</f>
        <v>6</v>
      </c>
      <c r="J6" s="1">
        <f ca="1">IFERROR(__xludf.DUMMYFUNCTION("""COMPUTED_VALUE"""),77.3)</f>
        <v>77.3</v>
      </c>
      <c r="K6" s="1">
        <f ca="1">IFERROR(__xludf.DUMMYFUNCTION("""COMPUTED_VALUE"""),3)</f>
        <v>3</v>
      </c>
      <c r="L6" s="1" t="str">
        <f ca="1">IFERROR(__xludf.DUMMYFUNCTION("""COMPUTED_VALUE"""),"+.022")</f>
        <v>+.022</v>
      </c>
      <c r="M6" s="1">
        <f ca="1">IFERROR(__xludf.DUMMYFUNCTION("""COMPUTED_VALUE"""),109)</f>
        <v>109</v>
      </c>
      <c r="N6" s="1" t="str">
        <f ca="1">IFERROR(__xludf.DUMMYFUNCTION("""COMPUTED_VALUE"""),"+10.66")</f>
        <v>+10.66</v>
      </c>
      <c r="O6" s="1">
        <f ca="1">IFERROR(__xludf.DUMMYFUNCTION("""COMPUTED_VALUE"""),10)</f>
        <v>10</v>
      </c>
      <c r="P6" s="1">
        <f ca="1">IFERROR(__xludf.DUMMYFUNCTION("""COMPUTED_VALUE"""),110.3)</f>
        <v>110.3</v>
      </c>
      <c r="Q6" s="1">
        <f ca="1">IFERROR(__xludf.DUMMYFUNCTION("""COMPUTED_VALUE"""),4)</f>
        <v>4</v>
      </c>
      <c r="R6" s="1">
        <f ca="1">IFERROR(__xludf.DUMMYFUNCTION("""COMPUTED_VALUE"""),99.6)</f>
        <v>99.6</v>
      </c>
      <c r="S6" s="1">
        <f ca="1">IFERROR(__xludf.DUMMYFUNCTION("""COMPUTED_VALUE"""),40)</f>
        <v>40</v>
      </c>
      <c r="T6" s="1" t="str">
        <f ca="1">IFERROR(__xludf.DUMMYFUNCTION("""COMPUTED_VALUE"""),"+8.32")</f>
        <v>+8.32</v>
      </c>
      <c r="U6" s="1">
        <f ca="1">IFERROR(__xludf.DUMMYFUNCTION("""COMPUTED_VALUE"""),23)</f>
        <v>23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IFERROR(__xludf.DUMMYFUNCTION("""COMPUTED_VALUE"""),"Oklahoma2")</f>
        <v>Oklahoma2</v>
      </c>
      <c r="C7" s="1" t="str">
        <f ca="1">IFERROR(__xludf.DUMMYFUNCTION("""COMPUTED_VALUE"""),"B12")</f>
        <v>B12</v>
      </c>
      <c r="D7" s="1" t="str">
        <f ca="1">IFERROR(__xludf.DUMMYFUNCTION("""COMPUTED_VALUE"""),"31-5")</f>
        <v>31-5</v>
      </c>
      <c r="E7" s="1" t="str">
        <f ca="1">IFERROR(__xludf.DUMMYFUNCTION("""COMPUTED_VALUE"""),"+26.04")</f>
        <v>+26.04</v>
      </c>
      <c r="F7" s="1">
        <f ca="1">IFERROR(__xludf.DUMMYFUNCTION("""COMPUTED_VALUE"""),114.9)</f>
        <v>114.9</v>
      </c>
      <c r="G7" s="1">
        <f ca="1">IFERROR(__xludf.DUMMYFUNCTION("""COMPUTED_VALUE"""),20)</f>
        <v>20</v>
      </c>
      <c r="H7" s="1">
        <f ca="1">IFERROR(__xludf.DUMMYFUNCTION("""COMPUTED_VALUE"""),88.9)</f>
        <v>88.9</v>
      </c>
      <c r="I7" s="1">
        <f ca="1">IFERROR(__xludf.DUMMYFUNCTION("""COMPUTED_VALUE"""),4)</f>
        <v>4</v>
      </c>
      <c r="J7" s="1">
        <f ca="1">IFERROR(__xludf.DUMMYFUNCTION("""COMPUTED_VALUE"""),66.5)</f>
        <v>66.5</v>
      </c>
      <c r="K7" s="1">
        <f ca="1">IFERROR(__xludf.DUMMYFUNCTION("""COMPUTED_VALUE"""),228)</f>
        <v>228</v>
      </c>
      <c r="L7" s="1" t="str">
        <f ca="1">IFERROR(__xludf.DUMMYFUNCTION("""COMPUTED_VALUE"""),"+.043")</f>
        <v>+.043</v>
      </c>
      <c r="M7" s="1">
        <f ca="1">IFERROR(__xludf.DUMMYFUNCTION("""COMPUTED_VALUE"""),69)</f>
        <v>69</v>
      </c>
      <c r="N7" s="1" t="str">
        <f ca="1">IFERROR(__xludf.DUMMYFUNCTION("""COMPUTED_VALUE"""),"+8.77")</f>
        <v>+8.77</v>
      </c>
      <c r="O7" s="1">
        <f ca="1">IFERROR(__xludf.DUMMYFUNCTION("""COMPUTED_VALUE"""),26)</f>
        <v>26</v>
      </c>
      <c r="P7" s="1">
        <f ca="1">IFERROR(__xludf.DUMMYFUNCTION("""COMPUTED_VALUE"""),109)</f>
        <v>109</v>
      </c>
      <c r="Q7" s="1">
        <f ca="1">IFERROR(__xludf.DUMMYFUNCTION("""COMPUTED_VALUE"""),15)</f>
        <v>15</v>
      </c>
      <c r="R7" s="1">
        <f ca="1">IFERROR(__xludf.DUMMYFUNCTION("""COMPUTED_VALUE"""),100.2)</f>
        <v>100.2</v>
      </c>
      <c r="S7" s="1">
        <f ca="1">IFERROR(__xludf.DUMMYFUNCTION("""COMPUTED_VALUE"""),62)</f>
        <v>62</v>
      </c>
      <c r="T7" s="1">
        <f ca="1">IFERROR(__xludf.DUMMYFUNCTION("""COMPUTED_VALUE"""),-0.45)</f>
        <v>-0.45</v>
      </c>
      <c r="U7" s="1">
        <f ca="1">IFERROR(__xludf.DUMMYFUNCTION("""COMPUTED_VALUE"""),169)</f>
        <v>169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IFERROR(__xludf.DUMMYFUNCTION("""COMPUTED_VALUE"""),"Indiana5")</f>
        <v>Indiana5</v>
      </c>
      <c r="C8" s="1" t="str">
        <f ca="1">IFERROR(__xludf.DUMMYFUNCTION("""COMPUTED_VALUE"""),"B10")</f>
        <v>B10</v>
      </c>
      <c r="D8" s="1" t="str">
        <f ca="1">IFERROR(__xludf.DUMMYFUNCTION("""COMPUTED_VALUE"""),"25-12")</f>
        <v>25-12</v>
      </c>
      <c r="E8" s="1" t="str">
        <f ca="1">IFERROR(__xludf.DUMMYFUNCTION("""COMPUTED_VALUE"""),"+24.80")</f>
        <v>+24.80</v>
      </c>
      <c r="F8" s="1">
        <f ca="1">IFERROR(__xludf.DUMMYFUNCTION("""COMPUTED_VALUE"""),114)</f>
        <v>114</v>
      </c>
      <c r="G8" s="1">
        <f ca="1">IFERROR(__xludf.DUMMYFUNCTION("""COMPUTED_VALUE"""),26)</f>
        <v>26</v>
      </c>
      <c r="H8" s="1">
        <f ca="1">IFERROR(__xludf.DUMMYFUNCTION("""COMPUTED_VALUE"""),89.2)</f>
        <v>89.2</v>
      </c>
      <c r="I8" s="1">
        <f ca="1">IFERROR(__xludf.DUMMYFUNCTION("""COMPUTED_VALUE"""),5)</f>
        <v>5</v>
      </c>
      <c r="J8" s="1">
        <f ca="1">IFERROR(__xludf.DUMMYFUNCTION("""COMPUTED_VALUE"""),65.6)</f>
        <v>65.599999999999994</v>
      </c>
      <c r="K8" s="1">
        <f ca="1">IFERROR(__xludf.DUMMYFUNCTION("""COMPUTED_VALUE"""),255)</f>
        <v>255</v>
      </c>
      <c r="L8" s="1">
        <f ca="1">IFERROR(__xludf.DUMMYFUNCTION("""COMPUTED_VALUE"""),-0.049)</f>
        <v>-4.9000000000000002E-2</v>
      </c>
      <c r="M8" s="1">
        <f ca="1">IFERROR(__xludf.DUMMYFUNCTION("""COMPUTED_VALUE"""),270)</f>
        <v>270</v>
      </c>
      <c r="N8" s="1" t="str">
        <f ca="1">IFERROR(__xludf.DUMMYFUNCTION("""COMPUTED_VALUE"""),"+14.11")</f>
        <v>+14.11</v>
      </c>
      <c r="O8" s="1">
        <f ca="1">IFERROR(__xludf.DUMMYFUNCTION("""COMPUTED_VALUE"""),2)</f>
        <v>2</v>
      </c>
      <c r="P8" s="1">
        <f ca="1">IFERROR(__xludf.DUMMYFUNCTION("""COMPUTED_VALUE"""),110.8)</f>
        <v>110.8</v>
      </c>
      <c r="Q8" s="1">
        <f ca="1">IFERROR(__xludf.DUMMYFUNCTION("""COMPUTED_VALUE"""),2)</f>
        <v>2</v>
      </c>
      <c r="R8" s="1">
        <f ca="1">IFERROR(__xludf.DUMMYFUNCTION("""COMPUTED_VALUE"""),96.7)</f>
        <v>96.7</v>
      </c>
      <c r="S8" s="1">
        <f ca="1">IFERROR(__xludf.DUMMYFUNCTION("""COMPUTED_VALUE"""),2)</f>
        <v>2</v>
      </c>
      <c r="T8" s="1" t="str">
        <f ca="1">IFERROR(__xludf.DUMMYFUNCTION("""COMPUTED_VALUE"""),"+13.53")</f>
        <v>+13.53</v>
      </c>
      <c r="U8" s="1">
        <f ca="1">IFERROR(__xludf.DUMMYFUNCTION("""COMPUTED_VALUE"""),4)</f>
        <v>4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IFERROR(__xludf.DUMMYFUNCTION("""COMPUTED_VALUE"""),"Florida5")</f>
        <v>Florida5</v>
      </c>
      <c r="C9" s="1" t="str">
        <f ca="1">IFERROR(__xludf.DUMMYFUNCTION("""COMPUTED_VALUE"""),"SEC")</f>
        <v>SEC</v>
      </c>
      <c r="D9" s="1" t="str">
        <f ca="1">IFERROR(__xludf.DUMMYFUNCTION("""COMPUTED_VALUE"""),"22-9")</f>
        <v>22-9</v>
      </c>
      <c r="E9" s="1" t="str">
        <f ca="1">IFERROR(__xludf.DUMMYFUNCTION("""COMPUTED_VALUE"""),"+24.72")</f>
        <v>+24.72</v>
      </c>
      <c r="F9" s="1">
        <f ca="1">IFERROR(__xludf.DUMMYFUNCTION("""COMPUTED_VALUE"""),115.1)</f>
        <v>115.1</v>
      </c>
      <c r="G9" s="1">
        <f ca="1">IFERROR(__xludf.DUMMYFUNCTION("""COMPUTED_VALUE"""),19)</f>
        <v>19</v>
      </c>
      <c r="H9" s="1">
        <f ca="1">IFERROR(__xludf.DUMMYFUNCTION("""COMPUTED_VALUE"""),90.4)</f>
        <v>90.4</v>
      </c>
      <c r="I9" s="1">
        <f ca="1">IFERROR(__xludf.DUMMYFUNCTION("""COMPUTED_VALUE"""),8)</f>
        <v>8</v>
      </c>
      <c r="J9" s="1">
        <f ca="1">IFERROR(__xludf.DUMMYFUNCTION("""COMPUTED_VALUE"""),69.6)</f>
        <v>69.599999999999994</v>
      </c>
      <c r="K9" s="1">
        <f ca="1">IFERROR(__xludf.DUMMYFUNCTION("""COMPUTED_VALUE"""),103)</f>
        <v>103</v>
      </c>
      <c r="L9" s="1">
        <f ca="1">IFERROR(__xludf.DUMMYFUNCTION("""COMPUTED_VALUE"""),-0.073)</f>
        <v>-7.2999999999999995E-2</v>
      </c>
      <c r="M9" s="1">
        <f ca="1">IFERROR(__xludf.DUMMYFUNCTION("""COMPUTED_VALUE"""),300)</f>
        <v>300</v>
      </c>
      <c r="N9" s="1" t="str">
        <f ca="1">IFERROR(__xludf.DUMMYFUNCTION("""COMPUTED_VALUE"""),"+9.11")</f>
        <v>+9.11</v>
      </c>
      <c r="O9" s="1">
        <f ca="1">IFERROR(__xludf.DUMMYFUNCTION("""COMPUTED_VALUE"""),23)</f>
        <v>23</v>
      </c>
      <c r="P9" s="1">
        <f ca="1">IFERROR(__xludf.DUMMYFUNCTION("""COMPUTED_VALUE"""),108.1)</f>
        <v>108.1</v>
      </c>
      <c r="Q9" s="1">
        <f ca="1">IFERROR(__xludf.DUMMYFUNCTION("""COMPUTED_VALUE"""),29)</f>
        <v>29</v>
      </c>
      <c r="R9" s="1">
        <f ca="1">IFERROR(__xludf.DUMMYFUNCTION("""COMPUTED_VALUE"""),99)</f>
        <v>99</v>
      </c>
      <c r="S9" s="1">
        <f ca="1">IFERROR(__xludf.DUMMYFUNCTION("""COMPUTED_VALUE"""),25)</f>
        <v>25</v>
      </c>
      <c r="T9" s="1">
        <f ca="1">IFERROR(__xludf.DUMMYFUNCTION("""COMPUTED_VALUE"""),-0.56)</f>
        <v>-0.56000000000000005</v>
      </c>
      <c r="U9" s="1">
        <f ca="1">IFERROR(__xludf.DUMMYFUNCTION("""COMPUTED_VALUE"""),173)</f>
        <v>173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IFERROR(__xludf.DUMMYFUNCTION("""COMPUTED_VALUE"""),"Illinois4")</f>
        <v>Illinois4</v>
      </c>
      <c r="C10" s="1" t="str">
        <f ca="1">IFERROR(__xludf.DUMMYFUNCTION("""COMPUTED_VALUE"""),"B10")</f>
        <v>B10</v>
      </c>
      <c r="D10" s="1" t="str">
        <f ca="1">IFERROR(__xludf.DUMMYFUNCTION("""COMPUTED_VALUE"""),"26-9")</f>
        <v>26-9</v>
      </c>
      <c r="E10" s="1" t="str">
        <f ca="1">IFERROR(__xludf.DUMMYFUNCTION("""COMPUTED_VALUE"""),"+23.21")</f>
        <v>+23.21</v>
      </c>
      <c r="F10" s="1">
        <f ca="1">IFERROR(__xludf.DUMMYFUNCTION("""COMPUTED_VALUE"""),115.7)</f>
        <v>115.7</v>
      </c>
      <c r="G10" s="1">
        <f ca="1">IFERROR(__xludf.DUMMYFUNCTION("""COMPUTED_VALUE"""),17)</f>
        <v>17</v>
      </c>
      <c r="H10" s="1">
        <f ca="1">IFERROR(__xludf.DUMMYFUNCTION("""COMPUTED_VALUE"""),92.5)</f>
        <v>92.5</v>
      </c>
      <c r="I10" s="1">
        <f ca="1">IFERROR(__xludf.DUMMYFUNCTION("""COMPUTED_VALUE"""),16)</f>
        <v>16</v>
      </c>
      <c r="J10" s="1">
        <f ca="1">IFERROR(__xludf.DUMMYFUNCTION("""COMPUTED_VALUE"""),68.5)</f>
        <v>68.5</v>
      </c>
      <c r="K10" s="1">
        <f ca="1">IFERROR(__xludf.DUMMYFUNCTION("""COMPUTED_VALUE"""),153)</f>
        <v>153</v>
      </c>
      <c r="L10" s="1" t="str">
        <f ca="1">IFERROR(__xludf.DUMMYFUNCTION("""COMPUTED_VALUE"""),"+.016")</f>
        <v>+.016</v>
      </c>
      <c r="M10" s="1">
        <f ca="1">IFERROR(__xludf.DUMMYFUNCTION("""COMPUTED_VALUE"""),123)</f>
        <v>123</v>
      </c>
      <c r="N10" s="1" t="str">
        <f ca="1">IFERROR(__xludf.DUMMYFUNCTION("""COMPUTED_VALUE"""),"+10.60")</f>
        <v>+10.60</v>
      </c>
      <c r="O10" s="1">
        <f ca="1">IFERROR(__xludf.DUMMYFUNCTION("""COMPUTED_VALUE"""),11)</f>
        <v>11</v>
      </c>
      <c r="P10" s="1">
        <f ca="1">IFERROR(__xludf.DUMMYFUNCTION("""COMPUTED_VALUE"""),109.7)</f>
        <v>109.7</v>
      </c>
      <c r="Q10" s="1">
        <f ca="1">IFERROR(__xludf.DUMMYFUNCTION("""COMPUTED_VALUE"""),9)</f>
        <v>9</v>
      </c>
      <c r="R10" s="1">
        <f ca="1">IFERROR(__xludf.DUMMYFUNCTION("""COMPUTED_VALUE"""),99.1)</f>
        <v>99.1</v>
      </c>
      <c r="S10" s="1">
        <f ca="1">IFERROR(__xludf.DUMMYFUNCTION("""COMPUTED_VALUE"""),29)</f>
        <v>29</v>
      </c>
      <c r="T10" s="1" t="str">
        <f ca="1">IFERROR(__xludf.DUMMYFUNCTION("""COMPUTED_VALUE"""),"+6.78")</f>
        <v>+6.78</v>
      </c>
      <c r="U10" s="1">
        <f ca="1">IFERROR(__xludf.DUMMYFUNCTION("""COMPUTED_VALUE"""),32)</f>
        <v>32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IFERROR(__xludf.DUMMYFUNCTION("""COMPUTED_VALUE"""),"Oregon2")</f>
        <v>Oregon2</v>
      </c>
      <c r="C11" s="1" t="str">
        <f ca="1">IFERROR(__xludf.DUMMYFUNCTION("""COMPUTED_VALUE"""),"P10")</f>
        <v>P10</v>
      </c>
      <c r="D11" s="1" t="str">
        <f ca="1">IFERROR(__xludf.DUMMYFUNCTION("""COMPUTED_VALUE"""),"26-9")</f>
        <v>26-9</v>
      </c>
      <c r="E11" s="1" t="str">
        <f ca="1">IFERROR(__xludf.DUMMYFUNCTION("""COMPUTED_VALUE"""),"+22.97")</f>
        <v>+22.97</v>
      </c>
      <c r="F11" s="1">
        <f ca="1">IFERROR(__xludf.DUMMYFUNCTION("""COMPUTED_VALUE"""),119.2)</f>
        <v>119.2</v>
      </c>
      <c r="G11" s="1">
        <f ca="1">IFERROR(__xludf.DUMMYFUNCTION("""COMPUTED_VALUE"""),3)</f>
        <v>3</v>
      </c>
      <c r="H11" s="1">
        <f ca="1">IFERROR(__xludf.DUMMYFUNCTION("""COMPUTED_VALUE"""),96.3)</f>
        <v>96.3</v>
      </c>
      <c r="I11" s="1">
        <f ca="1">IFERROR(__xludf.DUMMYFUNCTION("""COMPUTED_VALUE"""),40)</f>
        <v>40</v>
      </c>
      <c r="J11" s="1">
        <f ca="1">IFERROR(__xludf.DUMMYFUNCTION("""COMPUTED_VALUE"""),71.1)</f>
        <v>71.099999999999994</v>
      </c>
      <c r="K11" s="1">
        <f ca="1">IFERROR(__xludf.DUMMYFUNCTION("""COMPUTED_VALUE"""),61)</f>
        <v>61</v>
      </c>
      <c r="L11" s="1">
        <f ca="1">IFERROR(__xludf.DUMMYFUNCTION("""COMPUTED_VALUE"""),-0.041)</f>
        <v>-4.1000000000000002E-2</v>
      </c>
      <c r="M11" s="1">
        <f ca="1">IFERROR(__xludf.DUMMYFUNCTION("""COMPUTED_VALUE"""),255)</f>
        <v>255</v>
      </c>
      <c r="N11" s="1" t="str">
        <f ca="1">IFERROR(__xludf.DUMMYFUNCTION("""COMPUTED_VALUE"""),"+8.15")</f>
        <v>+8.15</v>
      </c>
      <c r="O11" s="1">
        <f ca="1">IFERROR(__xludf.DUMMYFUNCTION("""COMPUTED_VALUE"""),36)</f>
        <v>36</v>
      </c>
      <c r="P11" s="1">
        <f ca="1">IFERROR(__xludf.DUMMYFUNCTION("""COMPUTED_VALUE"""),108.1)</f>
        <v>108.1</v>
      </c>
      <c r="Q11" s="1">
        <f ca="1">IFERROR(__xludf.DUMMYFUNCTION("""COMPUTED_VALUE"""),31)</f>
        <v>31</v>
      </c>
      <c r="R11" s="1">
        <f ca="1">IFERROR(__xludf.DUMMYFUNCTION("""COMPUTED_VALUE"""),99.9)</f>
        <v>99.9</v>
      </c>
      <c r="S11" s="1">
        <f ca="1">IFERROR(__xludf.DUMMYFUNCTION("""COMPUTED_VALUE"""),50)</f>
        <v>50</v>
      </c>
      <c r="T11" s="1">
        <f ca="1">IFERROR(__xludf.DUMMYFUNCTION("""COMPUTED_VALUE"""),-3.3)</f>
        <v>-3.3</v>
      </c>
      <c r="U11" s="1">
        <f ca="1">IFERROR(__xludf.DUMMYFUNCTION("""COMPUTED_VALUE"""),245)</f>
        <v>245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IFERROR(__xludf.DUMMYFUNCTION("""COMPUTED_VALUE"""),"Kentucky4")</f>
        <v>Kentucky4</v>
      </c>
      <c r="C12" s="1" t="str">
        <f ca="1">IFERROR(__xludf.DUMMYFUNCTION("""COMPUTED_VALUE"""),"SEC")</f>
        <v>SEC</v>
      </c>
      <c r="D12" s="1" t="str">
        <f ca="1">IFERROR(__xludf.DUMMYFUNCTION("""COMPUTED_VALUE"""),"22-10")</f>
        <v>22-10</v>
      </c>
      <c r="E12" s="1" t="str">
        <f ca="1">IFERROR(__xludf.DUMMYFUNCTION("""COMPUTED_VALUE"""),"+22.21")</f>
        <v>+22.21</v>
      </c>
      <c r="F12" s="1">
        <f ca="1">IFERROR(__xludf.DUMMYFUNCTION("""COMPUTED_VALUE"""),113.4)</f>
        <v>113.4</v>
      </c>
      <c r="G12" s="1">
        <f ca="1">IFERROR(__xludf.DUMMYFUNCTION("""COMPUTED_VALUE"""),29)</f>
        <v>29</v>
      </c>
      <c r="H12" s="1">
        <f ca="1">IFERROR(__xludf.DUMMYFUNCTION("""COMPUTED_VALUE"""),91.2)</f>
        <v>91.2</v>
      </c>
      <c r="I12" s="1">
        <f ca="1">IFERROR(__xludf.DUMMYFUNCTION("""COMPUTED_VALUE"""),9)</f>
        <v>9</v>
      </c>
      <c r="J12" s="1">
        <f ca="1">IFERROR(__xludf.DUMMYFUNCTION("""COMPUTED_VALUE"""),68)</f>
        <v>68</v>
      </c>
      <c r="K12" s="1">
        <f ca="1">IFERROR(__xludf.DUMMYFUNCTION("""COMPUTED_VALUE"""),169)</f>
        <v>169</v>
      </c>
      <c r="L12" s="1">
        <f ca="1">IFERROR(__xludf.DUMMYFUNCTION("""COMPUTED_VALUE"""),-0.029)</f>
        <v>-2.9000000000000001E-2</v>
      </c>
      <c r="M12" s="1">
        <f ca="1">IFERROR(__xludf.DUMMYFUNCTION("""COMPUTED_VALUE"""),230)</f>
        <v>230</v>
      </c>
      <c r="N12" s="1" t="str">
        <f ca="1">IFERROR(__xludf.DUMMYFUNCTION("""COMPUTED_VALUE"""),"+12.97")</f>
        <v>+12.97</v>
      </c>
      <c r="O12" s="1">
        <f ca="1">IFERROR(__xludf.DUMMYFUNCTION("""COMPUTED_VALUE"""),3)</f>
        <v>3</v>
      </c>
      <c r="P12" s="1">
        <f ca="1">IFERROR(__xludf.DUMMYFUNCTION("""COMPUTED_VALUE"""),110.1)</f>
        <v>110.1</v>
      </c>
      <c r="Q12" s="1">
        <f ca="1">IFERROR(__xludf.DUMMYFUNCTION("""COMPUTED_VALUE"""),6)</f>
        <v>6</v>
      </c>
      <c r="R12" s="1">
        <f ca="1">IFERROR(__xludf.DUMMYFUNCTION("""COMPUTED_VALUE"""),97.1)</f>
        <v>97.1</v>
      </c>
      <c r="S12" s="1">
        <f ca="1">IFERROR(__xludf.DUMMYFUNCTION("""COMPUTED_VALUE"""),5)</f>
        <v>5</v>
      </c>
      <c r="T12" s="1" t="str">
        <f ca="1">IFERROR(__xludf.DUMMYFUNCTION("""COMPUTED_VALUE"""),"+6.75")</f>
        <v>+6.75</v>
      </c>
      <c r="U12" s="1">
        <f ca="1">IFERROR(__xludf.DUMMYFUNCTION("""COMPUTED_VALUE"""),33)</f>
        <v>33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IFERROR(__xludf.DUMMYFUNCTION("""COMPUTED_VALUE"""),"Marquette5")</f>
        <v>Marquette5</v>
      </c>
      <c r="C13" s="1" t="str">
        <f ca="1">IFERROR(__xludf.DUMMYFUNCTION("""COMPUTED_VALUE"""),"CUSA")</f>
        <v>CUSA</v>
      </c>
      <c r="D13" s="1" t="str">
        <f ca="1">IFERROR(__xludf.DUMMYFUNCTION("""COMPUTED_VALUE"""),"26-7")</f>
        <v>26-7</v>
      </c>
      <c r="E13" s="1" t="str">
        <f ca="1">IFERROR(__xludf.DUMMYFUNCTION("""COMPUTED_VALUE"""),"+21.47")</f>
        <v>+21.47</v>
      </c>
      <c r="F13" s="1">
        <f ca="1">IFERROR(__xludf.DUMMYFUNCTION("""COMPUTED_VALUE"""),113.4)</f>
        <v>113.4</v>
      </c>
      <c r="G13" s="1">
        <f ca="1">IFERROR(__xludf.DUMMYFUNCTION("""COMPUTED_VALUE"""),30)</f>
        <v>30</v>
      </c>
      <c r="H13" s="1">
        <f ca="1">IFERROR(__xludf.DUMMYFUNCTION("""COMPUTED_VALUE"""),91.9)</f>
        <v>91.9</v>
      </c>
      <c r="I13" s="1">
        <f ca="1">IFERROR(__xludf.DUMMYFUNCTION("""COMPUTED_VALUE"""),11)</f>
        <v>11</v>
      </c>
      <c r="J13" s="1">
        <f ca="1">IFERROR(__xludf.DUMMYFUNCTION("""COMPUTED_VALUE"""),64.6)</f>
        <v>64.599999999999994</v>
      </c>
      <c r="K13" s="1">
        <f ca="1">IFERROR(__xludf.DUMMYFUNCTION("""COMPUTED_VALUE"""),281)</f>
        <v>281</v>
      </c>
      <c r="L13" s="1" t="str">
        <f ca="1">IFERROR(__xludf.DUMMYFUNCTION("""COMPUTED_VALUE"""),"+.006")</f>
        <v>+.006</v>
      </c>
      <c r="M13" s="1">
        <f ca="1">IFERROR(__xludf.DUMMYFUNCTION("""COMPUTED_VALUE"""),155)</f>
        <v>155</v>
      </c>
      <c r="N13" s="1" t="str">
        <f ca="1">IFERROR(__xludf.DUMMYFUNCTION("""COMPUTED_VALUE"""),"+5.41")</f>
        <v>+5.41</v>
      </c>
      <c r="O13" s="1">
        <f ca="1">IFERROR(__xludf.DUMMYFUNCTION("""COMPUTED_VALUE"""),72)</f>
        <v>72</v>
      </c>
      <c r="P13" s="1">
        <f ca="1">IFERROR(__xludf.DUMMYFUNCTION("""COMPUTED_VALUE"""),105.5)</f>
        <v>105.5</v>
      </c>
      <c r="Q13" s="1">
        <f ca="1">IFERROR(__xludf.DUMMYFUNCTION("""COMPUTED_VALUE"""),92)</f>
        <v>92</v>
      </c>
      <c r="R13" s="1">
        <f ca="1">IFERROR(__xludf.DUMMYFUNCTION("""COMPUTED_VALUE"""),100.1)</f>
        <v>100.1</v>
      </c>
      <c r="S13" s="1">
        <f ca="1">IFERROR(__xludf.DUMMYFUNCTION("""COMPUTED_VALUE"""),60)</f>
        <v>60</v>
      </c>
      <c r="T13" s="1">
        <f ca="1">IFERROR(__xludf.DUMMYFUNCTION("""COMPUTED_VALUE"""),-2.87)</f>
        <v>-2.87</v>
      </c>
      <c r="U13" s="1">
        <f ca="1">IFERROR(__xludf.DUMMYFUNCTION("""COMPUTED_VALUE"""),233)</f>
        <v>233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IFERROR(__xludf.DUMMYFUNCTION("""COMPUTED_VALUE"""),"USC4")</f>
        <v>USC4</v>
      </c>
      <c r="C14" s="1" t="str">
        <f ca="1">IFERROR(__xludf.DUMMYFUNCTION("""COMPUTED_VALUE"""),"P10")</f>
        <v>P10</v>
      </c>
      <c r="D14" s="1" t="str">
        <f ca="1">IFERROR(__xludf.DUMMYFUNCTION("""COMPUTED_VALUE"""),"22-10")</f>
        <v>22-10</v>
      </c>
      <c r="E14" s="1" t="str">
        <f ca="1">IFERROR(__xludf.DUMMYFUNCTION("""COMPUTED_VALUE"""),"+20.67")</f>
        <v>+20.67</v>
      </c>
      <c r="F14" s="1">
        <f ca="1">IFERROR(__xludf.DUMMYFUNCTION("""COMPUTED_VALUE"""),112.8)</f>
        <v>112.8</v>
      </c>
      <c r="G14" s="1">
        <f ca="1">IFERROR(__xludf.DUMMYFUNCTION("""COMPUTED_VALUE"""),36)</f>
        <v>36</v>
      </c>
      <c r="H14" s="1">
        <f ca="1">IFERROR(__xludf.DUMMYFUNCTION("""COMPUTED_VALUE"""),92.1)</f>
        <v>92.1</v>
      </c>
      <c r="I14" s="1">
        <f ca="1">IFERROR(__xludf.DUMMYFUNCTION("""COMPUTED_VALUE"""),14)</f>
        <v>14</v>
      </c>
      <c r="J14" s="1">
        <f ca="1">IFERROR(__xludf.DUMMYFUNCTION("""COMPUTED_VALUE"""),70.1)</f>
        <v>70.099999999999994</v>
      </c>
      <c r="K14" s="1">
        <f ca="1">IFERROR(__xludf.DUMMYFUNCTION("""COMPUTED_VALUE"""),88)</f>
        <v>88</v>
      </c>
      <c r="L14" s="1">
        <f ca="1">IFERROR(__xludf.DUMMYFUNCTION("""COMPUTED_VALUE"""),-0.051)</f>
        <v>-5.0999999999999997E-2</v>
      </c>
      <c r="M14" s="1">
        <f ca="1">IFERROR(__xludf.DUMMYFUNCTION("""COMPUTED_VALUE"""),275)</f>
        <v>275</v>
      </c>
      <c r="N14" s="1" t="str">
        <f ca="1">IFERROR(__xludf.DUMMYFUNCTION("""COMPUTED_VALUE"""),"+9.30")</f>
        <v>+9.30</v>
      </c>
      <c r="O14" s="1">
        <f ca="1">IFERROR(__xludf.DUMMYFUNCTION("""COMPUTED_VALUE"""),21)</f>
        <v>21</v>
      </c>
      <c r="P14" s="1">
        <f ca="1">IFERROR(__xludf.DUMMYFUNCTION("""COMPUTED_VALUE"""),109.2)</f>
        <v>109.2</v>
      </c>
      <c r="Q14" s="1">
        <f ca="1">IFERROR(__xludf.DUMMYFUNCTION("""COMPUTED_VALUE"""),10)</f>
        <v>10</v>
      </c>
      <c r="R14" s="1">
        <f ca="1">IFERROR(__xludf.DUMMYFUNCTION("""COMPUTED_VALUE"""),99.9)</f>
        <v>99.9</v>
      </c>
      <c r="S14" s="1">
        <f ca="1">IFERROR(__xludf.DUMMYFUNCTION("""COMPUTED_VALUE"""),51)</f>
        <v>51</v>
      </c>
      <c r="T14" s="1" t="str">
        <f ca="1">IFERROR(__xludf.DUMMYFUNCTION("""COMPUTED_VALUE"""),"+1.89")</f>
        <v>+1.89</v>
      </c>
      <c r="U14" s="1">
        <f ca="1">IFERROR(__xludf.DUMMYFUNCTION("""COMPUTED_VALUE"""),113)</f>
        <v>113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IFERROR(__xludf.DUMMYFUNCTION("""COMPUTED_VALUE"""),"Arizona3")</f>
        <v>Arizona3</v>
      </c>
      <c r="C15" s="1" t="str">
        <f ca="1">IFERROR(__xludf.DUMMYFUNCTION("""COMPUTED_VALUE"""),"P10")</f>
        <v>P10</v>
      </c>
      <c r="D15" s="1" t="str">
        <f ca="1">IFERROR(__xludf.DUMMYFUNCTION("""COMPUTED_VALUE"""),"24-10")</f>
        <v>24-10</v>
      </c>
      <c r="E15" s="1" t="str">
        <f ca="1">IFERROR(__xludf.DUMMYFUNCTION("""COMPUTED_VALUE"""),"+20.54")</f>
        <v>+20.54</v>
      </c>
      <c r="F15" s="1">
        <f ca="1">IFERROR(__xludf.DUMMYFUNCTION("""COMPUTED_VALUE"""),119.3)</f>
        <v>119.3</v>
      </c>
      <c r="G15" s="1">
        <f ca="1">IFERROR(__xludf.DUMMYFUNCTION("""COMPUTED_VALUE"""),2)</f>
        <v>2</v>
      </c>
      <c r="H15" s="1">
        <f ca="1">IFERROR(__xludf.DUMMYFUNCTION("""COMPUTED_VALUE"""),98.8)</f>
        <v>98.8</v>
      </c>
      <c r="I15" s="1">
        <f ca="1">IFERROR(__xludf.DUMMYFUNCTION("""COMPUTED_VALUE"""),82)</f>
        <v>82</v>
      </c>
      <c r="J15" s="1">
        <f ca="1">IFERROR(__xludf.DUMMYFUNCTION("""COMPUTED_VALUE"""),71.1)</f>
        <v>71.099999999999994</v>
      </c>
      <c r="K15" s="1">
        <f ca="1">IFERROR(__xludf.DUMMYFUNCTION("""COMPUTED_VALUE"""),59)</f>
        <v>59</v>
      </c>
      <c r="L15" s="1" t="str">
        <f ca="1">IFERROR(__xludf.DUMMYFUNCTION("""COMPUTED_VALUE"""),"+.079")</f>
        <v>+.079</v>
      </c>
      <c r="M15" s="1">
        <f ca="1">IFERROR(__xludf.DUMMYFUNCTION("""COMPUTED_VALUE"""),15)</f>
        <v>15</v>
      </c>
      <c r="N15" s="1" t="str">
        <f ca="1">IFERROR(__xludf.DUMMYFUNCTION("""COMPUTED_VALUE"""),"+14.22")</f>
        <v>+14.22</v>
      </c>
      <c r="O15" s="1">
        <f ca="1">IFERROR(__xludf.DUMMYFUNCTION("""COMPUTED_VALUE"""),1)</f>
        <v>1</v>
      </c>
      <c r="P15" s="1">
        <f ca="1">IFERROR(__xludf.DUMMYFUNCTION("""COMPUTED_VALUE"""),111.3)</f>
        <v>111.3</v>
      </c>
      <c r="Q15" s="1">
        <f ca="1">IFERROR(__xludf.DUMMYFUNCTION("""COMPUTED_VALUE"""),1)</f>
        <v>1</v>
      </c>
      <c r="R15" s="1">
        <f ca="1">IFERROR(__xludf.DUMMYFUNCTION("""COMPUTED_VALUE"""),97.1)</f>
        <v>97.1</v>
      </c>
      <c r="S15" s="1">
        <f ca="1">IFERROR(__xludf.DUMMYFUNCTION("""COMPUTED_VALUE"""),3)</f>
        <v>3</v>
      </c>
      <c r="T15" s="1" t="str">
        <f ca="1">IFERROR(__xludf.DUMMYFUNCTION("""COMPUTED_VALUE"""),"+17.56")</f>
        <v>+17.56</v>
      </c>
      <c r="U15" s="1">
        <f ca="1">IFERROR(__xludf.DUMMYFUNCTION("""COMPUTED_VALUE"""),1)</f>
        <v>1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IFERROR(__xludf.DUMMYFUNCTION("""COMPUTED_VALUE"""),"Kent St.10")</f>
        <v>Kent St.10</v>
      </c>
      <c r="C16" s="1" t="str">
        <f ca="1">IFERROR(__xludf.DUMMYFUNCTION("""COMPUTED_VALUE"""),"MAC")</f>
        <v>MAC</v>
      </c>
      <c r="D16" s="1" t="str">
        <f ca="1">IFERROR(__xludf.DUMMYFUNCTION("""COMPUTED_VALUE"""),"29-6")</f>
        <v>29-6</v>
      </c>
      <c r="E16" s="1" t="str">
        <f ca="1">IFERROR(__xludf.DUMMYFUNCTION("""COMPUTED_VALUE"""),"+20.39")</f>
        <v>+20.39</v>
      </c>
      <c r="F16" s="1">
        <f ca="1">IFERROR(__xludf.DUMMYFUNCTION("""COMPUTED_VALUE"""),116.7)</f>
        <v>116.7</v>
      </c>
      <c r="G16" s="1">
        <f ca="1">IFERROR(__xludf.DUMMYFUNCTION("""COMPUTED_VALUE"""),8)</f>
        <v>8</v>
      </c>
      <c r="H16" s="1">
        <f ca="1">IFERROR(__xludf.DUMMYFUNCTION("""COMPUTED_VALUE"""),96.4)</f>
        <v>96.4</v>
      </c>
      <c r="I16" s="1">
        <f ca="1">IFERROR(__xludf.DUMMYFUNCTION("""COMPUTED_VALUE"""),42)</f>
        <v>42</v>
      </c>
      <c r="J16" s="1">
        <f ca="1">IFERROR(__xludf.DUMMYFUNCTION("""COMPUTED_VALUE"""),64.7)</f>
        <v>64.7</v>
      </c>
      <c r="K16" s="1">
        <f ca="1">IFERROR(__xludf.DUMMYFUNCTION("""COMPUTED_VALUE"""),278)</f>
        <v>278</v>
      </c>
      <c r="L16" s="1" t="str">
        <f ca="1">IFERROR(__xludf.DUMMYFUNCTION("""COMPUTED_VALUE"""),"+.008")</f>
        <v>+.008</v>
      </c>
      <c r="M16" s="1">
        <f ca="1">IFERROR(__xludf.DUMMYFUNCTION("""COMPUTED_VALUE"""),150)</f>
        <v>150</v>
      </c>
      <c r="N16" s="1" t="str">
        <f ca="1">IFERROR(__xludf.DUMMYFUNCTION("""COMPUTED_VALUE"""),"+3.11")</f>
        <v>+3.11</v>
      </c>
      <c r="O16" s="1">
        <f ca="1">IFERROR(__xludf.DUMMYFUNCTION("""COMPUTED_VALUE"""),104)</f>
        <v>104</v>
      </c>
      <c r="P16" s="1">
        <f ca="1">IFERROR(__xludf.DUMMYFUNCTION("""COMPUTED_VALUE"""),106)</f>
        <v>106</v>
      </c>
      <c r="Q16" s="1">
        <f ca="1">IFERROR(__xludf.DUMMYFUNCTION("""COMPUTED_VALUE"""),77)</f>
        <v>77</v>
      </c>
      <c r="R16" s="1">
        <f ca="1">IFERROR(__xludf.DUMMYFUNCTION("""COMPUTED_VALUE"""),102.9)</f>
        <v>102.9</v>
      </c>
      <c r="S16" s="1">
        <f ca="1">IFERROR(__xludf.DUMMYFUNCTION("""COMPUTED_VALUE"""),141)</f>
        <v>141</v>
      </c>
      <c r="T16" s="1" t="str">
        <f ca="1">IFERROR(__xludf.DUMMYFUNCTION("""COMPUTED_VALUE"""),"+2.99")</f>
        <v>+2.99</v>
      </c>
      <c r="U16" s="1">
        <f ca="1">IFERROR(__xludf.DUMMYFUNCTION("""COMPUTED_VALUE"""),90)</f>
        <v>90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IFERROR(__xludf.DUMMYFUNCTION("""COMPUTED_VALUE"""),"Stanford8")</f>
        <v>Stanford8</v>
      </c>
      <c r="C17" s="1" t="str">
        <f ca="1">IFERROR(__xludf.DUMMYFUNCTION("""COMPUTED_VALUE"""),"P10")</f>
        <v>P10</v>
      </c>
      <c r="D17" s="1" t="str">
        <f ca="1">IFERROR(__xludf.DUMMYFUNCTION("""COMPUTED_VALUE"""),"20-10")</f>
        <v>20-10</v>
      </c>
      <c r="E17" s="1" t="str">
        <f ca="1">IFERROR(__xludf.DUMMYFUNCTION("""COMPUTED_VALUE"""),"+20.32")</f>
        <v>+20.32</v>
      </c>
      <c r="F17" s="1">
        <f ca="1">IFERROR(__xludf.DUMMYFUNCTION("""COMPUTED_VALUE"""),116.6)</f>
        <v>116.6</v>
      </c>
      <c r="G17" s="1">
        <f ca="1">IFERROR(__xludf.DUMMYFUNCTION("""COMPUTED_VALUE"""),10)</f>
        <v>10</v>
      </c>
      <c r="H17" s="1">
        <f ca="1">IFERROR(__xludf.DUMMYFUNCTION("""COMPUTED_VALUE"""),96.3)</f>
        <v>96.3</v>
      </c>
      <c r="I17" s="1">
        <f ca="1">IFERROR(__xludf.DUMMYFUNCTION("""COMPUTED_VALUE"""),41)</f>
        <v>41</v>
      </c>
      <c r="J17" s="1">
        <f ca="1">IFERROR(__xludf.DUMMYFUNCTION("""COMPUTED_VALUE"""),69.5)</f>
        <v>69.5</v>
      </c>
      <c r="K17" s="1">
        <f ca="1">IFERROR(__xludf.DUMMYFUNCTION("""COMPUTED_VALUE"""),106)</f>
        <v>106</v>
      </c>
      <c r="L17" s="1">
        <f ca="1">IFERROR(__xludf.DUMMYFUNCTION("""COMPUTED_VALUE"""),-0.02)</f>
        <v>-0.02</v>
      </c>
      <c r="M17" s="1">
        <f ca="1">IFERROR(__xludf.DUMMYFUNCTION("""COMPUTED_VALUE"""),205)</f>
        <v>205</v>
      </c>
      <c r="N17" s="1" t="str">
        <f ca="1">IFERROR(__xludf.DUMMYFUNCTION("""COMPUTED_VALUE"""),"+10.33")</f>
        <v>+10.33</v>
      </c>
      <c r="O17" s="1">
        <f ca="1">IFERROR(__xludf.DUMMYFUNCTION("""COMPUTED_VALUE"""),13)</f>
        <v>13</v>
      </c>
      <c r="P17" s="1">
        <f ca="1">IFERROR(__xludf.DUMMYFUNCTION("""COMPUTED_VALUE"""),110.2)</f>
        <v>110.2</v>
      </c>
      <c r="Q17" s="1">
        <f ca="1">IFERROR(__xludf.DUMMYFUNCTION("""COMPUTED_VALUE"""),5)</f>
        <v>5</v>
      </c>
      <c r="R17" s="1">
        <f ca="1">IFERROR(__xludf.DUMMYFUNCTION("""COMPUTED_VALUE"""),99.8)</f>
        <v>99.8</v>
      </c>
      <c r="S17" s="1">
        <f ca="1">IFERROR(__xludf.DUMMYFUNCTION("""COMPUTED_VALUE"""),48)</f>
        <v>48</v>
      </c>
      <c r="T17" s="1" t="str">
        <f ca="1">IFERROR(__xludf.DUMMYFUNCTION("""COMPUTED_VALUE"""),"+2.11")</f>
        <v>+2.11</v>
      </c>
      <c r="U17" s="1">
        <f ca="1">IFERROR(__xludf.DUMMYFUNCTION("""COMPUTED_VALUE"""),107)</f>
        <v>107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IFERROR(__xludf.DUMMYFUNCTION("""COMPUTED_VALUE"""),"Pittsburgh3")</f>
        <v>Pittsburgh3</v>
      </c>
      <c r="C18" s="1" t="str">
        <f ca="1">IFERROR(__xludf.DUMMYFUNCTION("""COMPUTED_VALUE"""),"BE")</f>
        <v>BE</v>
      </c>
      <c r="D18" s="1" t="str">
        <f ca="1">IFERROR(__xludf.DUMMYFUNCTION("""COMPUTED_VALUE"""),"29-6")</f>
        <v>29-6</v>
      </c>
      <c r="E18" s="1" t="str">
        <f ca="1">IFERROR(__xludf.DUMMYFUNCTION("""COMPUTED_VALUE"""),"+19.94")</f>
        <v>+19.94</v>
      </c>
      <c r="F18" s="1">
        <f ca="1">IFERROR(__xludf.DUMMYFUNCTION("""COMPUTED_VALUE"""),112.1)</f>
        <v>112.1</v>
      </c>
      <c r="G18" s="1">
        <f ca="1">IFERROR(__xludf.DUMMYFUNCTION("""COMPUTED_VALUE"""),39)</f>
        <v>39</v>
      </c>
      <c r="H18" s="1">
        <f ca="1">IFERROR(__xludf.DUMMYFUNCTION("""COMPUTED_VALUE"""),92.2)</f>
        <v>92.2</v>
      </c>
      <c r="I18" s="1">
        <f ca="1">IFERROR(__xludf.DUMMYFUNCTION("""COMPUTED_VALUE"""),15)</f>
        <v>15</v>
      </c>
      <c r="J18" s="1">
        <f ca="1">IFERROR(__xludf.DUMMYFUNCTION("""COMPUTED_VALUE"""),63.8)</f>
        <v>63.8</v>
      </c>
      <c r="K18" s="1">
        <f ca="1">IFERROR(__xludf.DUMMYFUNCTION("""COMPUTED_VALUE"""),293)</f>
        <v>293</v>
      </c>
      <c r="L18" s="1" t="str">
        <f ca="1">IFERROR(__xludf.DUMMYFUNCTION("""COMPUTED_VALUE"""),"+.000")</f>
        <v>+.000</v>
      </c>
      <c r="M18" s="1">
        <f ca="1">IFERROR(__xludf.DUMMYFUNCTION("""COMPUTED_VALUE"""),172)</f>
        <v>172</v>
      </c>
      <c r="N18" s="1" t="str">
        <f ca="1">IFERROR(__xludf.DUMMYFUNCTION("""COMPUTED_VALUE"""),"+3.12")</f>
        <v>+3.12</v>
      </c>
      <c r="O18" s="1">
        <f ca="1">IFERROR(__xludf.DUMMYFUNCTION("""COMPUTED_VALUE"""),103)</f>
        <v>103</v>
      </c>
      <c r="P18" s="1">
        <f ca="1">IFERROR(__xludf.DUMMYFUNCTION("""COMPUTED_VALUE"""),103.7)</f>
        <v>103.7</v>
      </c>
      <c r="Q18" s="1">
        <f ca="1">IFERROR(__xludf.DUMMYFUNCTION("""COMPUTED_VALUE"""),150)</f>
        <v>150</v>
      </c>
      <c r="R18" s="1">
        <f ca="1">IFERROR(__xludf.DUMMYFUNCTION("""COMPUTED_VALUE"""),100.6)</f>
        <v>100.6</v>
      </c>
      <c r="S18" s="1">
        <f ca="1">IFERROR(__xludf.DUMMYFUNCTION("""COMPUTED_VALUE"""),71)</f>
        <v>71</v>
      </c>
      <c r="T18" s="1">
        <f ca="1">IFERROR(__xludf.DUMMYFUNCTION("""COMPUTED_VALUE"""),-12.06)</f>
        <v>-12.06</v>
      </c>
      <c r="U18" s="1">
        <f ca="1">IFERROR(__xludf.DUMMYFUNCTION("""COMPUTED_VALUE"""),325)</f>
        <v>325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IFERROR(__xludf.DUMMYFUNCTION("""COMPUTED_VALUE"""),"Ohio St.4")</f>
        <v>Ohio St.4</v>
      </c>
      <c r="C19" s="1" t="str">
        <f ca="1">IFERROR(__xludf.DUMMYFUNCTION("""COMPUTED_VALUE"""),"B10")</f>
        <v>B10</v>
      </c>
      <c r="D19" s="1" t="str">
        <f ca="1">IFERROR(__xludf.DUMMYFUNCTION("""COMPUTED_VALUE"""),"24-8")</f>
        <v>24-8</v>
      </c>
      <c r="E19" s="1" t="str">
        <f ca="1">IFERROR(__xludf.DUMMYFUNCTION("""COMPUTED_VALUE"""),"+19.76")</f>
        <v>+19.76</v>
      </c>
      <c r="F19" s="1">
        <f ca="1">IFERROR(__xludf.DUMMYFUNCTION("""COMPUTED_VALUE"""),116.4)</f>
        <v>116.4</v>
      </c>
      <c r="G19" s="1">
        <f ca="1">IFERROR(__xludf.DUMMYFUNCTION("""COMPUTED_VALUE"""),11)</f>
        <v>11</v>
      </c>
      <c r="H19" s="1">
        <f ca="1">IFERROR(__xludf.DUMMYFUNCTION("""COMPUTED_VALUE"""),96.6)</f>
        <v>96.6</v>
      </c>
      <c r="I19" s="1">
        <f ca="1">IFERROR(__xludf.DUMMYFUNCTION("""COMPUTED_VALUE"""),47)</f>
        <v>47</v>
      </c>
      <c r="J19" s="1">
        <f ca="1">IFERROR(__xludf.DUMMYFUNCTION("""COMPUTED_VALUE"""),66.8)</f>
        <v>66.8</v>
      </c>
      <c r="K19" s="1">
        <f ca="1">IFERROR(__xludf.DUMMYFUNCTION("""COMPUTED_VALUE"""),215)</f>
        <v>215</v>
      </c>
      <c r="L19" s="1" t="str">
        <f ca="1">IFERROR(__xludf.DUMMYFUNCTION("""COMPUTED_VALUE"""),"+.005")</f>
        <v>+.005</v>
      </c>
      <c r="M19" s="1">
        <f ca="1">IFERROR(__xludf.DUMMYFUNCTION("""COMPUTED_VALUE"""),159)</f>
        <v>159</v>
      </c>
      <c r="N19" s="1" t="str">
        <f ca="1">IFERROR(__xludf.DUMMYFUNCTION("""COMPUTED_VALUE"""),"+7.51")</f>
        <v>+7.51</v>
      </c>
      <c r="O19" s="1">
        <f ca="1">IFERROR(__xludf.DUMMYFUNCTION("""COMPUTED_VALUE"""),46)</f>
        <v>46</v>
      </c>
      <c r="P19" s="1">
        <f ca="1">IFERROR(__xludf.DUMMYFUNCTION("""COMPUTED_VALUE"""),106.6)</f>
        <v>106.6</v>
      </c>
      <c r="Q19" s="1">
        <f ca="1">IFERROR(__xludf.DUMMYFUNCTION("""COMPUTED_VALUE"""),58)</f>
        <v>58</v>
      </c>
      <c r="R19" s="1">
        <f ca="1">IFERROR(__xludf.DUMMYFUNCTION("""COMPUTED_VALUE"""),99.1)</f>
        <v>99.1</v>
      </c>
      <c r="S19" s="1">
        <f ca="1">IFERROR(__xludf.DUMMYFUNCTION("""COMPUTED_VALUE"""),27)</f>
        <v>27</v>
      </c>
      <c r="T19" s="1">
        <f ca="1">IFERROR(__xludf.DUMMYFUNCTION("""COMPUTED_VALUE"""),-1.26)</f>
        <v>-1.26</v>
      </c>
      <c r="U19" s="1">
        <f ca="1">IFERROR(__xludf.DUMMYFUNCTION("""COMPUTED_VALUE"""),196)</f>
        <v>196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IFERROR(__xludf.DUMMYFUNCTION("""COMPUTED_VALUE"""),"Connecticut2")</f>
        <v>Connecticut2</v>
      </c>
      <c r="C20" s="1" t="str">
        <f ca="1">IFERROR(__xludf.DUMMYFUNCTION("""COMPUTED_VALUE"""),"BE")</f>
        <v>BE</v>
      </c>
      <c r="D20" s="1" t="str">
        <f ca="1">IFERROR(__xludf.DUMMYFUNCTION("""COMPUTED_VALUE"""),"27-7")</f>
        <v>27-7</v>
      </c>
      <c r="E20" s="1" t="str">
        <f ca="1">IFERROR(__xludf.DUMMYFUNCTION("""COMPUTED_VALUE"""),"+19.36")</f>
        <v>+19.36</v>
      </c>
      <c r="F20" s="1">
        <f ca="1">IFERROR(__xludf.DUMMYFUNCTION("""COMPUTED_VALUE"""),112.2)</f>
        <v>112.2</v>
      </c>
      <c r="G20" s="1">
        <f ca="1">IFERROR(__xludf.DUMMYFUNCTION("""COMPUTED_VALUE"""),38)</f>
        <v>38</v>
      </c>
      <c r="H20" s="1">
        <f ca="1">IFERROR(__xludf.DUMMYFUNCTION("""COMPUTED_VALUE"""),92.8)</f>
        <v>92.8</v>
      </c>
      <c r="I20" s="1">
        <f ca="1">IFERROR(__xludf.DUMMYFUNCTION("""COMPUTED_VALUE"""),18)</f>
        <v>18</v>
      </c>
      <c r="J20" s="1">
        <f ca="1">IFERROR(__xludf.DUMMYFUNCTION("""COMPUTED_VALUE"""),68.7)</f>
        <v>68.7</v>
      </c>
      <c r="K20" s="1">
        <f ca="1">IFERROR(__xludf.DUMMYFUNCTION("""COMPUTED_VALUE"""),143)</f>
        <v>143</v>
      </c>
      <c r="L20" s="1" t="str">
        <f ca="1">IFERROR(__xludf.DUMMYFUNCTION("""COMPUTED_VALUE"""),"+.063")</f>
        <v>+.063</v>
      </c>
      <c r="M20" s="1">
        <f ca="1">IFERROR(__xludf.DUMMYFUNCTION("""COMPUTED_VALUE"""),31)</f>
        <v>31</v>
      </c>
      <c r="N20" s="1" t="str">
        <f ca="1">IFERROR(__xludf.DUMMYFUNCTION("""COMPUTED_VALUE"""),"+8.18")</f>
        <v>+8.18</v>
      </c>
      <c r="O20" s="1">
        <f ca="1">IFERROR(__xludf.DUMMYFUNCTION("""COMPUTED_VALUE"""),34)</f>
        <v>34</v>
      </c>
      <c r="P20" s="1">
        <f ca="1">IFERROR(__xludf.DUMMYFUNCTION("""COMPUTED_VALUE"""),107.3)</f>
        <v>107.3</v>
      </c>
      <c r="Q20" s="1">
        <f ca="1">IFERROR(__xludf.DUMMYFUNCTION("""COMPUTED_VALUE"""),44)</f>
        <v>44</v>
      </c>
      <c r="R20" s="1">
        <f ca="1">IFERROR(__xludf.DUMMYFUNCTION("""COMPUTED_VALUE"""),99.1)</f>
        <v>99.1</v>
      </c>
      <c r="S20" s="1">
        <f ca="1">IFERROR(__xludf.DUMMYFUNCTION("""COMPUTED_VALUE"""),26)</f>
        <v>26</v>
      </c>
      <c r="T20" s="1" t="str">
        <f ca="1">IFERROR(__xludf.DUMMYFUNCTION("""COMPUTED_VALUE"""),"+1.72")</f>
        <v>+1.72</v>
      </c>
      <c r="U20" s="1">
        <f ca="1">IFERROR(__xludf.DUMMYFUNCTION("""COMPUTED_VALUE"""),118)</f>
        <v>118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IFERROR(__xludf.DUMMYFUNCTION("""COMPUTED_VALUE"""),"Notre Dame8")</f>
        <v>Notre Dame8</v>
      </c>
      <c r="C21" s="1" t="str">
        <f ca="1">IFERROR(__xludf.DUMMYFUNCTION("""COMPUTED_VALUE"""),"BE")</f>
        <v>BE</v>
      </c>
      <c r="D21" s="1" t="str">
        <f ca="1">IFERROR(__xludf.DUMMYFUNCTION("""COMPUTED_VALUE"""),"21-11")</f>
        <v>21-11</v>
      </c>
      <c r="E21" s="1" t="str">
        <f ca="1">IFERROR(__xludf.DUMMYFUNCTION("""COMPUTED_VALUE"""),"+19.27")</f>
        <v>+19.27</v>
      </c>
      <c r="F21" s="1">
        <f ca="1">IFERROR(__xludf.DUMMYFUNCTION("""COMPUTED_VALUE"""),116.1)</f>
        <v>116.1</v>
      </c>
      <c r="G21" s="1">
        <f ca="1">IFERROR(__xludf.DUMMYFUNCTION("""COMPUTED_VALUE"""),14)</f>
        <v>14</v>
      </c>
      <c r="H21" s="1">
        <f ca="1">IFERROR(__xludf.DUMMYFUNCTION("""COMPUTED_VALUE"""),96.8)</f>
        <v>96.8</v>
      </c>
      <c r="I21" s="1">
        <f ca="1">IFERROR(__xludf.DUMMYFUNCTION("""COMPUTED_VALUE"""),52)</f>
        <v>52</v>
      </c>
      <c r="J21" s="1">
        <f ca="1">IFERROR(__xludf.DUMMYFUNCTION("""COMPUTED_VALUE"""),68.6)</f>
        <v>68.599999999999994</v>
      </c>
      <c r="K21" s="1">
        <f ca="1">IFERROR(__xludf.DUMMYFUNCTION("""COMPUTED_VALUE"""),149)</f>
        <v>149</v>
      </c>
      <c r="L21" s="1">
        <f ca="1">IFERROR(__xludf.DUMMYFUNCTION("""COMPUTED_VALUE"""),-0.087)</f>
        <v>-8.6999999999999994E-2</v>
      </c>
      <c r="M21" s="1">
        <f ca="1">IFERROR(__xludf.DUMMYFUNCTION("""COMPUTED_VALUE"""),307)</f>
        <v>307</v>
      </c>
      <c r="N21" s="1" t="str">
        <f ca="1">IFERROR(__xludf.DUMMYFUNCTION("""COMPUTED_VALUE"""),"+7.33")</f>
        <v>+7.33</v>
      </c>
      <c r="O21" s="1">
        <f ca="1">IFERROR(__xludf.DUMMYFUNCTION("""COMPUTED_VALUE"""),47)</f>
        <v>47</v>
      </c>
      <c r="P21" s="1">
        <f ca="1">IFERROR(__xludf.DUMMYFUNCTION("""COMPUTED_VALUE"""),105.4)</f>
        <v>105.4</v>
      </c>
      <c r="Q21" s="1">
        <f ca="1">IFERROR(__xludf.DUMMYFUNCTION("""COMPUTED_VALUE"""),98)</f>
        <v>98</v>
      </c>
      <c r="R21" s="1">
        <f ca="1">IFERROR(__xludf.DUMMYFUNCTION("""COMPUTED_VALUE"""),98.1)</f>
        <v>98.1</v>
      </c>
      <c r="S21" s="1">
        <f ca="1">IFERROR(__xludf.DUMMYFUNCTION("""COMPUTED_VALUE"""),8)</f>
        <v>8</v>
      </c>
      <c r="T21" s="1">
        <f ca="1">IFERROR(__xludf.DUMMYFUNCTION("""COMPUTED_VALUE"""),-1.55)</f>
        <v>-1.55</v>
      </c>
      <c r="U21" s="1">
        <f ca="1">IFERROR(__xludf.DUMMYFUNCTION("""COMPUTED_VALUE"""),205)</f>
        <v>205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IFERROR(__xludf.DUMMYFUNCTION("""COMPUTED_VALUE"""),"South Carolina")</f>
        <v>South Carolina</v>
      </c>
      <c r="C22" s="1" t="str">
        <f ca="1">IFERROR(__xludf.DUMMYFUNCTION("""COMPUTED_VALUE"""),"SEC")</f>
        <v>SEC</v>
      </c>
      <c r="D22" s="1" t="str">
        <f ca="1">IFERROR(__xludf.DUMMYFUNCTION("""COMPUTED_VALUE"""),"21-15")</f>
        <v>21-15</v>
      </c>
      <c r="E22" s="1" t="str">
        <f ca="1">IFERROR(__xludf.DUMMYFUNCTION("""COMPUTED_VALUE"""),"+19.18")</f>
        <v>+19.18</v>
      </c>
      <c r="F22" s="1">
        <f ca="1">IFERROR(__xludf.DUMMYFUNCTION("""COMPUTED_VALUE"""),107)</f>
        <v>107</v>
      </c>
      <c r="G22" s="1">
        <f ca="1">IFERROR(__xludf.DUMMYFUNCTION("""COMPUTED_VALUE"""),102)</f>
        <v>102</v>
      </c>
      <c r="H22" s="1">
        <f ca="1">IFERROR(__xludf.DUMMYFUNCTION("""COMPUTED_VALUE"""),87.9)</f>
        <v>87.9</v>
      </c>
      <c r="I22" s="1">
        <f ca="1">IFERROR(__xludf.DUMMYFUNCTION("""COMPUTED_VALUE"""),2)</f>
        <v>2</v>
      </c>
      <c r="J22" s="1">
        <f ca="1">IFERROR(__xludf.DUMMYFUNCTION("""COMPUTED_VALUE"""),65.3)</f>
        <v>65.3</v>
      </c>
      <c r="K22" s="1">
        <f ca="1">IFERROR(__xludf.DUMMYFUNCTION("""COMPUTED_VALUE"""),263)</f>
        <v>263</v>
      </c>
      <c r="L22" s="1">
        <f ca="1">IFERROR(__xludf.DUMMYFUNCTION("""COMPUTED_VALUE"""),-0.074)</f>
        <v>-7.3999999999999996E-2</v>
      </c>
      <c r="M22" s="1">
        <f ca="1">IFERROR(__xludf.DUMMYFUNCTION("""COMPUTED_VALUE"""),301)</f>
        <v>301</v>
      </c>
      <c r="N22" s="1" t="str">
        <f ca="1">IFERROR(__xludf.DUMMYFUNCTION("""COMPUTED_VALUE"""),"+10.28")</f>
        <v>+10.28</v>
      </c>
      <c r="O22" s="1">
        <f ca="1">IFERROR(__xludf.DUMMYFUNCTION("""COMPUTED_VALUE"""),14)</f>
        <v>14</v>
      </c>
      <c r="P22" s="1">
        <f ca="1">IFERROR(__xludf.DUMMYFUNCTION("""COMPUTED_VALUE"""),108.5)</f>
        <v>108.5</v>
      </c>
      <c r="Q22" s="1">
        <f ca="1">IFERROR(__xludf.DUMMYFUNCTION("""COMPUTED_VALUE"""),22)</f>
        <v>22</v>
      </c>
      <c r="R22" s="1">
        <f ca="1">IFERROR(__xludf.DUMMYFUNCTION("""COMPUTED_VALUE"""),98.2)</f>
        <v>98.2</v>
      </c>
      <c r="S22" s="1">
        <f ca="1">IFERROR(__xludf.DUMMYFUNCTION("""COMPUTED_VALUE"""),11)</f>
        <v>11</v>
      </c>
      <c r="T22" s="1">
        <f ca="1">IFERROR(__xludf.DUMMYFUNCTION("""COMPUTED_VALUE"""),-0.78)</f>
        <v>-0.78</v>
      </c>
      <c r="U22" s="1">
        <f ca="1">IFERROR(__xludf.DUMMYFUNCTION("""COMPUTED_VALUE"""),179)</f>
        <v>179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IFERROR(__xludf.DUMMYFUNCTION("""COMPUTED_VALUE"""),"N.C. State7")</f>
        <v>N.C. State7</v>
      </c>
      <c r="C23" s="1" t="str">
        <f ca="1">IFERROR(__xludf.DUMMYFUNCTION("""COMPUTED_VALUE"""),"ACC")</f>
        <v>ACC</v>
      </c>
      <c r="D23" s="1" t="str">
        <f ca="1">IFERROR(__xludf.DUMMYFUNCTION("""COMPUTED_VALUE"""),"23-11")</f>
        <v>23-11</v>
      </c>
      <c r="E23" s="1" t="str">
        <f ca="1">IFERROR(__xludf.DUMMYFUNCTION("""COMPUTED_VALUE"""),"+19.15")</f>
        <v>+19.15</v>
      </c>
      <c r="F23" s="1">
        <f ca="1">IFERROR(__xludf.DUMMYFUNCTION("""COMPUTED_VALUE"""),113.2)</f>
        <v>113.2</v>
      </c>
      <c r="G23" s="1">
        <f ca="1">IFERROR(__xludf.DUMMYFUNCTION("""COMPUTED_VALUE"""),33)</f>
        <v>33</v>
      </c>
      <c r="H23" s="1">
        <f ca="1">IFERROR(__xludf.DUMMYFUNCTION("""COMPUTED_VALUE"""),94)</f>
        <v>94</v>
      </c>
      <c r="I23" s="1">
        <f ca="1">IFERROR(__xludf.DUMMYFUNCTION("""COMPUTED_VALUE"""),26)</f>
        <v>26</v>
      </c>
      <c r="J23" s="1">
        <f ca="1">IFERROR(__xludf.DUMMYFUNCTION("""COMPUTED_VALUE"""),67.5)</f>
        <v>67.5</v>
      </c>
      <c r="K23" s="1">
        <f ca="1">IFERROR(__xludf.DUMMYFUNCTION("""COMPUTED_VALUE"""),193)</f>
        <v>193</v>
      </c>
      <c r="L23" s="1" t="str">
        <f ca="1">IFERROR(__xludf.DUMMYFUNCTION("""COMPUTED_VALUE"""),"+.012")</f>
        <v>+.012</v>
      </c>
      <c r="M23" s="1">
        <f ca="1">IFERROR(__xludf.DUMMYFUNCTION("""COMPUTED_VALUE"""),136)</f>
        <v>136</v>
      </c>
      <c r="N23" s="1" t="str">
        <f ca="1">IFERROR(__xludf.DUMMYFUNCTION("""COMPUTED_VALUE"""),"+8.27")</f>
        <v>+8.27</v>
      </c>
      <c r="O23" s="1">
        <f ca="1">IFERROR(__xludf.DUMMYFUNCTION("""COMPUTED_VALUE"""),31)</f>
        <v>31</v>
      </c>
      <c r="P23" s="1">
        <f ca="1">IFERROR(__xludf.DUMMYFUNCTION("""COMPUTED_VALUE"""),108.6)</f>
        <v>108.6</v>
      </c>
      <c r="Q23" s="1">
        <f ca="1">IFERROR(__xludf.DUMMYFUNCTION("""COMPUTED_VALUE"""),20)</f>
        <v>20</v>
      </c>
      <c r="R23" s="1">
        <f ca="1">IFERROR(__xludf.DUMMYFUNCTION("""COMPUTED_VALUE"""),100.4)</f>
        <v>100.4</v>
      </c>
      <c r="S23" s="1">
        <f ca="1">IFERROR(__xludf.DUMMYFUNCTION("""COMPUTED_VALUE"""),65)</f>
        <v>65</v>
      </c>
      <c r="T23" s="1">
        <f ca="1">IFERROR(__xludf.DUMMYFUNCTION("""COMPUTED_VALUE"""),-5.56)</f>
        <v>-5.56</v>
      </c>
      <c r="U23" s="1">
        <f ca="1">IFERROR(__xludf.DUMMYFUNCTION("""COMPUTED_VALUE"""),283)</f>
        <v>283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IFERROR(__xludf.DUMMYFUNCTION("""COMPUTED_VALUE"""),"Alabama2")</f>
        <v>Alabama2</v>
      </c>
      <c r="C24" s="1" t="str">
        <f ca="1">IFERROR(__xludf.DUMMYFUNCTION("""COMPUTED_VALUE"""),"SEC")</f>
        <v>SEC</v>
      </c>
      <c r="D24" s="1" t="str">
        <f ca="1">IFERROR(__xludf.DUMMYFUNCTION("""COMPUTED_VALUE"""),"27-8")</f>
        <v>27-8</v>
      </c>
      <c r="E24" s="1" t="str">
        <f ca="1">IFERROR(__xludf.DUMMYFUNCTION("""COMPUTED_VALUE"""),"+18.73")</f>
        <v>+18.73</v>
      </c>
      <c r="F24" s="1">
        <f ca="1">IFERROR(__xludf.DUMMYFUNCTION("""COMPUTED_VALUE"""),114)</f>
        <v>114</v>
      </c>
      <c r="G24" s="1">
        <f ca="1">IFERROR(__xludf.DUMMYFUNCTION("""COMPUTED_VALUE"""),24)</f>
        <v>24</v>
      </c>
      <c r="H24" s="1">
        <f ca="1">IFERROR(__xludf.DUMMYFUNCTION("""COMPUTED_VALUE"""),95.3)</f>
        <v>95.3</v>
      </c>
      <c r="I24" s="1">
        <f ca="1">IFERROR(__xludf.DUMMYFUNCTION("""COMPUTED_VALUE"""),32)</f>
        <v>32</v>
      </c>
      <c r="J24" s="1">
        <f ca="1">IFERROR(__xludf.DUMMYFUNCTION("""COMPUTED_VALUE"""),68)</f>
        <v>68</v>
      </c>
      <c r="K24" s="1">
        <f ca="1">IFERROR(__xludf.DUMMYFUNCTION("""COMPUTED_VALUE"""),170)</f>
        <v>170</v>
      </c>
      <c r="L24" s="1" t="str">
        <f ca="1">IFERROR(__xludf.DUMMYFUNCTION("""COMPUTED_VALUE"""),"+.076")</f>
        <v>+.076</v>
      </c>
      <c r="M24" s="1">
        <f ca="1">IFERROR(__xludf.DUMMYFUNCTION("""COMPUTED_VALUE"""),21)</f>
        <v>21</v>
      </c>
      <c r="N24" s="1" t="str">
        <f ca="1">IFERROR(__xludf.DUMMYFUNCTION("""COMPUTED_VALUE"""),"+8.59")</f>
        <v>+8.59</v>
      </c>
      <c r="O24" s="1">
        <f ca="1">IFERROR(__xludf.DUMMYFUNCTION("""COMPUTED_VALUE"""),29)</f>
        <v>29</v>
      </c>
      <c r="P24" s="1">
        <f ca="1">IFERROR(__xludf.DUMMYFUNCTION("""COMPUTED_VALUE"""),107.1)</f>
        <v>107.1</v>
      </c>
      <c r="Q24" s="1">
        <f ca="1">IFERROR(__xludf.DUMMYFUNCTION("""COMPUTED_VALUE"""),46)</f>
        <v>46</v>
      </c>
      <c r="R24" s="1">
        <f ca="1">IFERROR(__xludf.DUMMYFUNCTION("""COMPUTED_VALUE"""),98.5)</f>
        <v>98.5</v>
      </c>
      <c r="S24" s="1">
        <f ca="1">IFERROR(__xludf.DUMMYFUNCTION("""COMPUTED_VALUE"""),15)</f>
        <v>15</v>
      </c>
      <c r="T24" s="1">
        <f ca="1">IFERROR(__xludf.DUMMYFUNCTION("""COMPUTED_VALUE"""),-1.56)</f>
        <v>-1.56</v>
      </c>
      <c r="U24" s="1">
        <f ca="1">IFERROR(__xludf.DUMMYFUNCTION("""COMPUTED_VALUE"""),206)</f>
        <v>206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IFERROR(__xludf.DUMMYFUNCTION("""COMPUTED_VALUE"""),"Xavier7")</f>
        <v>Xavier7</v>
      </c>
      <c r="C25" s="1" t="str">
        <f ca="1">IFERROR(__xludf.DUMMYFUNCTION("""COMPUTED_VALUE"""),"A10")</f>
        <v>A10</v>
      </c>
      <c r="D25" s="1" t="str">
        <f ca="1">IFERROR(__xludf.DUMMYFUNCTION("""COMPUTED_VALUE"""),"26-6")</f>
        <v>26-6</v>
      </c>
      <c r="E25" s="1" t="str">
        <f ca="1">IFERROR(__xludf.DUMMYFUNCTION("""COMPUTED_VALUE"""),"+18.60")</f>
        <v>+18.60</v>
      </c>
      <c r="F25" s="1">
        <f ca="1">IFERROR(__xludf.DUMMYFUNCTION("""COMPUTED_VALUE"""),111.2)</f>
        <v>111.2</v>
      </c>
      <c r="G25" s="1">
        <f ca="1">IFERROR(__xludf.DUMMYFUNCTION("""COMPUTED_VALUE"""),48)</f>
        <v>48</v>
      </c>
      <c r="H25" s="1">
        <f ca="1">IFERROR(__xludf.DUMMYFUNCTION("""COMPUTED_VALUE"""),92.6)</f>
        <v>92.6</v>
      </c>
      <c r="I25" s="1">
        <f ca="1">IFERROR(__xludf.DUMMYFUNCTION("""COMPUTED_VALUE"""),17)</f>
        <v>17</v>
      </c>
      <c r="J25" s="1">
        <f ca="1">IFERROR(__xludf.DUMMYFUNCTION("""COMPUTED_VALUE"""),67)</f>
        <v>67</v>
      </c>
      <c r="K25" s="1">
        <f ca="1">IFERROR(__xludf.DUMMYFUNCTION("""COMPUTED_VALUE"""),206)</f>
        <v>206</v>
      </c>
      <c r="L25" s="1" t="str">
        <f ca="1">IFERROR(__xludf.DUMMYFUNCTION("""COMPUTED_VALUE"""),"+.051")</f>
        <v>+.051</v>
      </c>
      <c r="M25" s="1">
        <f ca="1">IFERROR(__xludf.DUMMYFUNCTION("""COMPUTED_VALUE"""),54)</f>
        <v>54</v>
      </c>
      <c r="N25" s="1" t="str">
        <f ca="1">IFERROR(__xludf.DUMMYFUNCTION("""COMPUTED_VALUE"""),"+5.09")</f>
        <v>+5.09</v>
      </c>
      <c r="O25" s="1">
        <f ca="1">IFERROR(__xludf.DUMMYFUNCTION("""COMPUTED_VALUE"""),76)</f>
        <v>76</v>
      </c>
      <c r="P25" s="1">
        <f ca="1">IFERROR(__xludf.DUMMYFUNCTION("""COMPUTED_VALUE"""),106.7)</f>
        <v>106.7</v>
      </c>
      <c r="Q25" s="1">
        <f ca="1">IFERROR(__xludf.DUMMYFUNCTION("""COMPUTED_VALUE"""),55)</f>
        <v>55</v>
      </c>
      <c r="R25" s="1">
        <f ca="1">IFERROR(__xludf.DUMMYFUNCTION("""COMPUTED_VALUE"""),101.6)</f>
        <v>101.6</v>
      </c>
      <c r="S25" s="1">
        <f ca="1">IFERROR(__xludf.DUMMYFUNCTION("""COMPUTED_VALUE"""),95)</f>
        <v>95</v>
      </c>
      <c r="T25" s="1" t="str">
        <f ca="1">IFERROR(__xludf.DUMMYFUNCTION("""COMPUTED_VALUE"""),"+5.37")</f>
        <v>+5.37</v>
      </c>
      <c r="U25" s="1">
        <f ca="1">IFERROR(__xludf.DUMMYFUNCTION("""COMPUTED_VALUE"""),47)</f>
        <v>47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IFERROR(__xludf.DUMMYFUNCTION("""COMPUTED_VALUE"""),"Gonzaga6")</f>
        <v>Gonzaga6</v>
      </c>
      <c r="C26" s="1" t="str">
        <f ca="1">IFERROR(__xludf.DUMMYFUNCTION("""COMPUTED_VALUE"""),"WCC")</f>
        <v>WCC</v>
      </c>
      <c r="D26" s="1" t="str">
        <f ca="1">IFERROR(__xludf.DUMMYFUNCTION("""COMPUTED_VALUE"""),"28-4")</f>
        <v>28-4</v>
      </c>
      <c r="E26" s="1" t="str">
        <f ca="1">IFERROR(__xludf.DUMMYFUNCTION("""COMPUTED_VALUE"""),"+18.51")</f>
        <v>+18.51</v>
      </c>
      <c r="F26" s="1">
        <f ca="1">IFERROR(__xludf.DUMMYFUNCTION("""COMPUTED_VALUE"""),115.6)</f>
        <v>115.6</v>
      </c>
      <c r="G26" s="1">
        <f ca="1">IFERROR(__xludf.DUMMYFUNCTION("""COMPUTED_VALUE"""),18)</f>
        <v>18</v>
      </c>
      <c r="H26" s="1">
        <f ca="1">IFERROR(__xludf.DUMMYFUNCTION("""COMPUTED_VALUE"""),97.1)</f>
        <v>97.1</v>
      </c>
      <c r="I26" s="1">
        <f ca="1">IFERROR(__xludf.DUMMYFUNCTION("""COMPUTED_VALUE"""),53)</f>
        <v>53</v>
      </c>
      <c r="J26" s="1">
        <f ca="1">IFERROR(__xludf.DUMMYFUNCTION("""COMPUTED_VALUE"""),68.5)</f>
        <v>68.5</v>
      </c>
      <c r="K26" s="1">
        <f ca="1">IFERROR(__xludf.DUMMYFUNCTION("""COMPUTED_VALUE"""),155)</f>
        <v>155</v>
      </c>
      <c r="L26" s="1" t="str">
        <f ca="1">IFERROR(__xludf.DUMMYFUNCTION("""COMPUTED_VALUE"""),"+.049")</f>
        <v>+.049</v>
      </c>
      <c r="M26" s="1">
        <f ca="1">IFERROR(__xludf.DUMMYFUNCTION("""COMPUTED_VALUE"""),61)</f>
        <v>61</v>
      </c>
      <c r="N26" s="1" t="str">
        <f ca="1">IFERROR(__xludf.DUMMYFUNCTION("""COMPUTED_VALUE"""),"+1.12")</f>
        <v>+1.12</v>
      </c>
      <c r="O26" s="1">
        <f ca="1">IFERROR(__xludf.DUMMYFUNCTION("""COMPUTED_VALUE"""),133)</f>
        <v>133</v>
      </c>
      <c r="P26" s="1">
        <f ca="1">IFERROR(__xludf.DUMMYFUNCTION("""COMPUTED_VALUE"""),103.7)</f>
        <v>103.7</v>
      </c>
      <c r="Q26" s="1">
        <f ca="1">IFERROR(__xludf.DUMMYFUNCTION("""COMPUTED_VALUE"""),147)</f>
        <v>147</v>
      </c>
      <c r="R26" s="1">
        <f ca="1">IFERROR(__xludf.DUMMYFUNCTION("""COMPUTED_VALUE"""),102.6)</f>
        <v>102.6</v>
      </c>
      <c r="S26" s="1">
        <f ca="1">IFERROR(__xludf.DUMMYFUNCTION("""COMPUTED_VALUE"""),130)</f>
        <v>130</v>
      </c>
      <c r="T26" s="1" t="str">
        <f ca="1">IFERROR(__xludf.DUMMYFUNCTION("""COMPUTED_VALUE"""),"+4.04")</f>
        <v>+4.04</v>
      </c>
      <c r="U26" s="1">
        <f ca="1">IFERROR(__xludf.DUMMYFUNCTION("""COMPUTED_VALUE"""),75)</f>
        <v>75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IFERROR(__xludf.DUMMYFUNCTION("""COMPUTED_VALUE"""),"Georgia3")</f>
        <v>Georgia3</v>
      </c>
      <c r="C27" s="1" t="str">
        <f ca="1">IFERROR(__xludf.DUMMYFUNCTION("""COMPUTED_VALUE"""),"SEC")</f>
        <v>SEC</v>
      </c>
      <c r="D27" s="1" t="str">
        <f ca="1">IFERROR(__xludf.DUMMYFUNCTION("""COMPUTED_VALUE"""),"22-9")</f>
        <v>22-9</v>
      </c>
      <c r="E27" s="1" t="str">
        <f ca="1">IFERROR(__xludf.DUMMYFUNCTION("""COMPUTED_VALUE"""),"+18.44")</f>
        <v>+18.44</v>
      </c>
      <c r="F27" s="1">
        <f ca="1">IFERROR(__xludf.DUMMYFUNCTION("""COMPUTED_VALUE"""),116.7)</f>
        <v>116.7</v>
      </c>
      <c r="G27" s="1">
        <f ca="1">IFERROR(__xludf.DUMMYFUNCTION("""COMPUTED_VALUE"""),9)</f>
        <v>9</v>
      </c>
      <c r="H27" s="1">
        <f ca="1">IFERROR(__xludf.DUMMYFUNCTION("""COMPUTED_VALUE"""),98.3)</f>
        <v>98.3</v>
      </c>
      <c r="I27" s="1">
        <f ca="1">IFERROR(__xludf.DUMMYFUNCTION("""COMPUTED_VALUE"""),73)</f>
        <v>73</v>
      </c>
      <c r="J27" s="1">
        <f ca="1">IFERROR(__xludf.DUMMYFUNCTION("""COMPUTED_VALUE"""),69.2)</f>
        <v>69.2</v>
      </c>
      <c r="K27" s="1">
        <f ca="1">IFERROR(__xludf.DUMMYFUNCTION("""COMPUTED_VALUE"""),121)</f>
        <v>121</v>
      </c>
      <c r="L27" s="1">
        <f ca="1">IFERROR(__xludf.DUMMYFUNCTION("""COMPUTED_VALUE"""),-0.021)</f>
        <v>-2.1000000000000001E-2</v>
      </c>
      <c r="M27" s="1">
        <f ca="1">IFERROR(__xludf.DUMMYFUNCTION("""COMPUTED_VALUE"""),206)</f>
        <v>206</v>
      </c>
      <c r="N27" s="1" t="str">
        <f ca="1">IFERROR(__xludf.DUMMYFUNCTION("""COMPUTED_VALUE"""),"+9.87")</f>
        <v>+9.87</v>
      </c>
      <c r="O27" s="1">
        <f ca="1">IFERROR(__xludf.DUMMYFUNCTION("""COMPUTED_VALUE"""),17)</f>
        <v>17</v>
      </c>
      <c r="P27" s="1">
        <f ca="1">IFERROR(__xludf.DUMMYFUNCTION("""COMPUTED_VALUE"""),108.1)</f>
        <v>108.1</v>
      </c>
      <c r="Q27" s="1">
        <f ca="1">IFERROR(__xludf.DUMMYFUNCTION("""COMPUTED_VALUE"""),30)</f>
        <v>30</v>
      </c>
      <c r="R27" s="1">
        <f ca="1">IFERROR(__xludf.DUMMYFUNCTION("""COMPUTED_VALUE"""),98.2)</f>
        <v>98.2</v>
      </c>
      <c r="S27" s="1">
        <f ca="1">IFERROR(__xludf.DUMMYFUNCTION("""COMPUTED_VALUE"""),12)</f>
        <v>12</v>
      </c>
      <c r="T27" s="1" t="str">
        <f ca="1">IFERROR(__xludf.DUMMYFUNCTION("""COMPUTED_VALUE"""),"+3.30")</f>
        <v>+3.30</v>
      </c>
      <c r="U27" s="1">
        <f ca="1">IFERROR(__xludf.DUMMYFUNCTION("""COMPUTED_VALUE"""),83)</f>
        <v>83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IFERROR(__xludf.DUMMYFUNCTION("""COMPUTED_VALUE"""),"Mississippi St.3")</f>
        <v>Mississippi St.3</v>
      </c>
      <c r="C28" s="1" t="str">
        <f ca="1">IFERROR(__xludf.DUMMYFUNCTION("""COMPUTED_VALUE"""),"SEC")</f>
        <v>SEC</v>
      </c>
      <c r="D28" s="1" t="str">
        <f ca="1">IFERROR(__xludf.DUMMYFUNCTION("""COMPUTED_VALUE"""),"27-8")</f>
        <v>27-8</v>
      </c>
      <c r="E28" s="1" t="str">
        <f ca="1">IFERROR(__xludf.DUMMYFUNCTION("""COMPUTED_VALUE"""),"+18.25")</f>
        <v>+18.25</v>
      </c>
      <c r="F28" s="1">
        <f ca="1">IFERROR(__xludf.DUMMYFUNCTION("""COMPUTED_VALUE"""),111.4)</f>
        <v>111.4</v>
      </c>
      <c r="G28" s="1">
        <f ca="1">IFERROR(__xludf.DUMMYFUNCTION("""COMPUTED_VALUE"""),43)</f>
        <v>43</v>
      </c>
      <c r="H28" s="1">
        <f ca="1">IFERROR(__xludf.DUMMYFUNCTION("""COMPUTED_VALUE"""),93.1)</f>
        <v>93.1</v>
      </c>
      <c r="I28" s="1">
        <f ca="1">IFERROR(__xludf.DUMMYFUNCTION("""COMPUTED_VALUE"""),20)</f>
        <v>20</v>
      </c>
      <c r="J28" s="1">
        <f ca="1">IFERROR(__xludf.DUMMYFUNCTION("""COMPUTED_VALUE"""),67.9)</f>
        <v>67.900000000000006</v>
      </c>
      <c r="K28" s="1">
        <f ca="1">IFERROR(__xludf.DUMMYFUNCTION("""COMPUTED_VALUE"""),174)</f>
        <v>174</v>
      </c>
      <c r="L28" s="1" t="str">
        <f ca="1">IFERROR(__xludf.DUMMYFUNCTION("""COMPUTED_VALUE"""),"+.107")</f>
        <v>+.107</v>
      </c>
      <c r="M28" s="1">
        <f ca="1">IFERROR(__xludf.DUMMYFUNCTION("""COMPUTED_VALUE"""),6)</f>
        <v>6</v>
      </c>
      <c r="N28" s="1" t="str">
        <f ca="1">IFERROR(__xludf.DUMMYFUNCTION("""COMPUTED_VALUE"""),"+8.93")</f>
        <v>+8.93</v>
      </c>
      <c r="O28" s="1">
        <f ca="1">IFERROR(__xludf.DUMMYFUNCTION("""COMPUTED_VALUE"""),25)</f>
        <v>25</v>
      </c>
      <c r="P28" s="1">
        <f ca="1">IFERROR(__xludf.DUMMYFUNCTION("""COMPUTED_VALUE"""),106.7)</f>
        <v>106.7</v>
      </c>
      <c r="Q28" s="1">
        <f ca="1">IFERROR(__xludf.DUMMYFUNCTION("""COMPUTED_VALUE"""),56)</f>
        <v>56</v>
      </c>
      <c r="R28" s="1">
        <f ca="1">IFERROR(__xludf.DUMMYFUNCTION("""COMPUTED_VALUE"""),97.7)</f>
        <v>97.7</v>
      </c>
      <c r="S28" s="1">
        <f ca="1">IFERROR(__xludf.DUMMYFUNCTION("""COMPUTED_VALUE"""),6)</f>
        <v>6</v>
      </c>
      <c r="T28" s="1">
        <f ca="1">IFERROR(__xludf.DUMMYFUNCTION("""COMPUTED_VALUE"""),-0.96)</f>
        <v>-0.96</v>
      </c>
      <c r="U28" s="1">
        <f ca="1">IFERROR(__xludf.DUMMYFUNCTION("""COMPUTED_VALUE"""),187)</f>
        <v>187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IFERROR(__xludf.DUMMYFUNCTION("""COMPUTED_VALUE"""),"Texas6")</f>
        <v>Texas6</v>
      </c>
      <c r="C29" s="1" t="str">
        <f ca="1">IFERROR(__xludf.DUMMYFUNCTION("""COMPUTED_VALUE"""),"B12")</f>
        <v>B12</v>
      </c>
      <c r="D29" s="1" t="str">
        <f ca="1">IFERROR(__xludf.DUMMYFUNCTION("""COMPUTED_VALUE"""),"22-12")</f>
        <v>22-12</v>
      </c>
      <c r="E29" s="1" t="str">
        <f ca="1">IFERROR(__xludf.DUMMYFUNCTION("""COMPUTED_VALUE"""),"+17.69")</f>
        <v>+17.69</v>
      </c>
      <c r="F29" s="1">
        <f ca="1">IFERROR(__xludf.DUMMYFUNCTION("""COMPUTED_VALUE"""),116)</f>
        <v>116</v>
      </c>
      <c r="G29" s="1">
        <f ca="1">IFERROR(__xludf.DUMMYFUNCTION("""COMPUTED_VALUE"""),15)</f>
        <v>15</v>
      </c>
      <c r="H29" s="1">
        <f ca="1">IFERROR(__xludf.DUMMYFUNCTION("""COMPUTED_VALUE"""),98.3)</f>
        <v>98.3</v>
      </c>
      <c r="I29" s="1">
        <f ca="1">IFERROR(__xludf.DUMMYFUNCTION("""COMPUTED_VALUE"""),74)</f>
        <v>74</v>
      </c>
      <c r="J29" s="1">
        <f ca="1">IFERROR(__xludf.DUMMYFUNCTION("""COMPUTED_VALUE"""),68.5)</f>
        <v>68.5</v>
      </c>
      <c r="K29" s="1">
        <f ca="1">IFERROR(__xludf.DUMMYFUNCTION("""COMPUTED_VALUE"""),150)</f>
        <v>150</v>
      </c>
      <c r="L29" s="1">
        <f ca="1">IFERROR(__xludf.DUMMYFUNCTION("""COMPUTED_VALUE"""),-0.021)</f>
        <v>-2.1000000000000001E-2</v>
      </c>
      <c r="M29" s="1">
        <f ca="1">IFERROR(__xludf.DUMMYFUNCTION("""COMPUTED_VALUE"""),208)</f>
        <v>208</v>
      </c>
      <c r="N29" s="1" t="str">
        <f ca="1">IFERROR(__xludf.DUMMYFUNCTION("""COMPUTED_VALUE"""),"+10.18")</f>
        <v>+10.18</v>
      </c>
      <c r="O29" s="1">
        <f ca="1">IFERROR(__xludf.DUMMYFUNCTION("""COMPUTED_VALUE"""),15)</f>
        <v>15</v>
      </c>
      <c r="P29" s="1">
        <f ca="1">IFERROR(__xludf.DUMMYFUNCTION("""COMPUTED_VALUE"""),109.1)</f>
        <v>109.1</v>
      </c>
      <c r="Q29" s="1">
        <f ca="1">IFERROR(__xludf.DUMMYFUNCTION("""COMPUTED_VALUE"""),14)</f>
        <v>14</v>
      </c>
      <c r="R29" s="1">
        <f ca="1">IFERROR(__xludf.DUMMYFUNCTION("""COMPUTED_VALUE"""),98.9)</f>
        <v>98.9</v>
      </c>
      <c r="S29" s="1">
        <f ca="1">IFERROR(__xludf.DUMMYFUNCTION("""COMPUTED_VALUE"""),23)</f>
        <v>23</v>
      </c>
      <c r="T29" s="1" t="str">
        <f ca="1">IFERROR(__xludf.DUMMYFUNCTION("""COMPUTED_VALUE"""),"+5.30")</f>
        <v>+5.30</v>
      </c>
      <c r="U29" s="1">
        <f ca="1">IFERROR(__xludf.DUMMYFUNCTION("""COMPUTED_VALUE"""),50)</f>
        <v>50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IFERROR(__xludf.DUMMYFUNCTION("""COMPUTED_VALUE"""),"Butler")</f>
        <v>Butler</v>
      </c>
      <c r="C30" s="1" t="str">
        <f ca="1">IFERROR(__xludf.DUMMYFUNCTION("""COMPUTED_VALUE"""),"Horz")</f>
        <v>Horz</v>
      </c>
      <c r="D30" s="1" t="str">
        <f ca="1">IFERROR(__xludf.DUMMYFUNCTION("""COMPUTED_VALUE"""),"26-6")</f>
        <v>26-6</v>
      </c>
      <c r="E30" s="1" t="str">
        <f ca="1">IFERROR(__xludf.DUMMYFUNCTION("""COMPUTED_VALUE"""),"+17.63")</f>
        <v>+17.63</v>
      </c>
      <c r="F30" s="1">
        <f ca="1">IFERROR(__xludf.DUMMYFUNCTION("""COMPUTED_VALUE"""),111.9)</f>
        <v>111.9</v>
      </c>
      <c r="G30" s="1">
        <f ca="1">IFERROR(__xludf.DUMMYFUNCTION("""COMPUTED_VALUE"""),41)</f>
        <v>41</v>
      </c>
      <c r="H30" s="1">
        <f ca="1">IFERROR(__xludf.DUMMYFUNCTION("""COMPUTED_VALUE"""),94.3)</f>
        <v>94.3</v>
      </c>
      <c r="I30" s="1">
        <f ca="1">IFERROR(__xludf.DUMMYFUNCTION("""COMPUTED_VALUE"""),27)</f>
        <v>27</v>
      </c>
      <c r="J30" s="1">
        <f ca="1">IFERROR(__xludf.DUMMYFUNCTION("""COMPUTED_VALUE"""),62.1)</f>
        <v>62.1</v>
      </c>
      <c r="K30" s="1">
        <f ca="1">IFERROR(__xludf.DUMMYFUNCTION("""COMPUTED_VALUE"""),316)</f>
        <v>316</v>
      </c>
      <c r="L30" s="1">
        <f ca="1">IFERROR(__xludf.DUMMYFUNCTION("""COMPUTED_VALUE"""),-0.051)</f>
        <v>-5.0999999999999997E-2</v>
      </c>
      <c r="M30" s="1">
        <f ca="1">IFERROR(__xludf.DUMMYFUNCTION("""COMPUTED_VALUE"""),276)</f>
        <v>276</v>
      </c>
      <c r="N30" s="1">
        <f ca="1">IFERROR(__xludf.DUMMYFUNCTION("""COMPUTED_VALUE"""),-1.43)</f>
        <v>-1.43</v>
      </c>
      <c r="O30" s="1">
        <f ca="1">IFERROR(__xludf.DUMMYFUNCTION("""COMPUTED_VALUE"""),192)</f>
        <v>192</v>
      </c>
      <c r="P30" s="1">
        <f ca="1">IFERROR(__xludf.DUMMYFUNCTION("""COMPUTED_VALUE"""),103)</f>
        <v>103</v>
      </c>
      <c r="Q30" s="1">
        <f ca="1">IFERROR(__xludf.DUMMYFUNCTION("""COMPUTED_VALUE"""),179)</f>
        <v>179</v>
      </c>
      <c r="R30" s="1">
        <f ca="1">IFERROR(__xludf.DUMMYFUNCTION("""COMPUTED_VALUE"""),104.5)</f>
        <v>104.5</v>
      </c>
      <c r="S30" s="1">
        <f ca="1">IFERROR(__xludf.DUMMYFUNCTION("""COMPUTED_VALUE"""),212)</f>
        <v>212</v>
      </c>
      <c r="T30" s="1">
        <f ca="1">IFERROR(__xludf.DUMMYFUNCTION("""COMPUTED_VALUE"""),-4.63)</f>
        <v>-4.63</v>
      </c>
      <c r="U30" s="1">
        <f ca="1">IFERROR(__xludf.DUMMYFUNCTION("""COMPUTED_VALUE"""),268)</f>
        <v>268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IFERROR(__xludf.DUMMYFUNCTION("""COMPUTED_VALUE"""),"Missouri12")</f>
        <v>Missouri12</v>
      </c>
      <c r="C31" s="1" t="str">
        <f ca="1">IFERROR(__xludf.DUMMYFUNCTION("""COMPUTED_VALUE"""),"B12")</f>
        <v>B12</v>
      </c>
      <c r="D31" s="1" t="str">
        <f ca="1">IFERROR(__xludf.DUMMYFUNCTION("""COMPUTED_VALUE"""),"24-12")</f>
        <v>24-12</v>
      </c>
      <c r="E31" s="1" t="str">
        <f ca="1">IFERROR(__xludf.DUMMYFUNCTION("""COMPUTED_VALUE"""),"+17.49")</f>
        <v>+17.49</v>
      </c>
      <c r="F31" s="1">
        <f ca="1">IFERROR(__xludf.DUMMYFUNCTION("""COMPUTED_VALUE"""),116.2)</f>
        <v>116.2</v>
      </c>
      <c r="G31" s="1">
        <f ca="1">IFERROR(__xludf.DUMMYFUNCTION("""COMPUTED_VALUE"""),12)</f>
        <v>12</v>
      </c>
      <c r="H31" s="1">
        <f ca="1">IFERROR(__xludf.DUMMYFUNCTION("""COMPUTED_VALUE"""),98.7)</f>
        <v>98.7</v>
      </c>
      <c r="I31" s="1">
        <f ca="1">IFERROR(__xludf.DUMMYFUNCTION("""COMPUTED_VALUE"""),81)</f>
        <v>81</v>
      </c>
      <c r="J31" s="1">
        <f ca="1">IFERROR(__xludf.DUMMYFUNCTION("""COMPUTED_VALUE"""),70.1)</f>
        <v>70.099999999999994</v>
      </c>
      <c r="K31" s="1">
        <f ca="1">IFERROR(__xludf.DUMMYFUNCTION("""COMPUTED_VALUE"""),89)</f>
        <v>89</v>
      </c>
      <c r="L31" s="1">
        <f ca="1">IFERROR(__xludf.DUMMYFUNCTION("""COMPUTED_VALUE"""),-0.01)</f>
        <v>-0.01</v>
      </c>
      <c r="M31" s="1">
        <f ca="1">IFERROR(__xludf.DUMMYFUNCTION("""COMPUTED_VALUE"""),189)</f>
        <v>189</v>
      </c>
      <c r="N31" s="1" t="str">
        <f ca="1">IFERROR(__xludf.DUMMYFUNCTION("""COMPUTED_VALUE"""),"+7.92")</f>
        <v>+7.92</v>
      </c>
      <c r="O31" s="1">
        <f ca="1">IFERROR(__xludf.DUMMYFUNCTION("""COMPUTED_VALUE"""),41)</f>
        <v>41</v>
      </c>
      <c r="P31" s="1">
        <f ca="1">IFERROR(__xludf.DUMMYFUNCTION("""COMPUTED_VALUE"""),108)</f>
        <v>108</v>
      </c>
      <c r="Q31" s="1">
        <f ca="1">IFERROR(__xludf.DUMMYFUNCTION("""COMPUTED_VALUE"""),34)</f>
        <v>34</v>
      </c>
      <c r="R31" s="1">
        <f ca="1">IFERROR(__xludf.DUMMYFUNCTION("""COMPUTED_VALUE"""),100)</f>
        <v>100</v>
      </c>
      <c r="S31" s="1">
        <f ca="1">IFERROR(__xludf.DUMMYFUNCTION("""COMPUTED_VALUE"""),54)</f>
        <v>54</v>
      </c>
      <c r="T31" s="1">
        <f ca="1">IFERROR(__xludf.DUMMYFUNCTION("""COMPUTED_VALUE"""),-0.39)</f>
        <v>-0.39</v>
      </c>
      <c r="U31" s="1">
        <f ca="1">IFERROR(__xludf.DUMMYFUNCTION("""COMPUTED_VALUE"""),166)</f>
        <v>166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IFERROR(__xludf.DUMMYFUNCTION("""COMPUTED_VALUE"""),"Wake Forest7")</f>
        <v>Wake Forest7</v>
      </c>
      <c r="C32" s="1" t="str">
        <f ca="1">IFERROR(__xludf.DUMMYFUNCTION("""COMPUTED_VALUE"""),"ACC")</f>
        <v>ACC</v>
      </c>
      <c r="D32" s="1" t="str">
        <f ca="1">IFERROR(__xludf.DUMMYFUNCTION("""COMPUTED_VALUE"""),"21-13")</f>
        <v>21-13</v>
      </c>
      <c r="E32" s="1" t="str">
        <f ca="1">IFERROR(__xludf.DUMMYFUNCTION("""COMPUTED_VALUE"""),"+17.35")</f>
        <v>+17.35</v>
      </c>
      <c r="F32" s="1">
        <f ca="1">IFERROR(__xludf.DUMMYFUNCTION("""COMPUTED_VALUE"""),118.6)</f>
        <v>118.6</v>
      </c>
      <c r="G32" s="1">
        <f ca="1">IFERROR(__xludf.DUMMYFUNCTION("""COMPUTED_VALUE"""),6)</f>
        <v>6</v>
      </c>
      <c r="H32" s="1">
        <f ca="1">IFERROR(__xludf.DUMMYFUNCTION("""COMPUTED_VALUE"""),101.3)</f>
        <v>101.3</v>
      </c>
      <c r="I32" s="1">
        <f ca="1">IFERROR(__xludf.DUMMYFUNCTION("""COMPUTED_VALUE"""),126)</f>
        <v>126</v>
      </c>
      <c r="J32" s="1">
        <f ca="1">IFERROR(__xludf.DUMMYFUNCTION("""COMPUTED_VALUE"""),69.5)</f>
        <v>69.5</v>
      </c>
      <c r="K32" s="1">
        <f ca="1">IFERROR(__xludf.DUMMYFUNCTION("""COMPUTED_VALUE"""),108)</f>
        <v>108</v>
      </c>
      <c r="L32" s="1" t="str">
        <f ca="1">IFERROR(__xludf.DUMMYFUNCTION("""COMPUTED_VALUE"""),"+.006")</f>
        <v>+.006</v>
      </c>
      <c r="M32" s="1">
        <f ca="1">IFERROR(__xludf.DUMMYFUNCTION("""COMPUTED_VALUE"""),156)</f>
        <v>156</v>
      </c>
      <c r="N32" s="1" t="str">
        <f ca="1">IFERROR(__xludf.DUMMYFUNCTION("""COMPUTED_VALUE"""),"+11.24")</f>
        <v>+11.24</v>
      </c>
      <c r="O32" s="1">
        <f ca="1">IFERROR(__xludf.DUMMYFUNCTION("""COMPUTED_VALUE"""),9)</f>
        <v>9</v>
      </c>
      <c r="P32" s="1">
        <f ca="1">IFERROR(__xludf.DUMMYFUNCTION("""COMPUTED_VALUE"""),109.1)</f>
        <v>109.1</v>
      </c>
      <c r="Q32" s="1">
        <f ca="1">IFERROR(__xludf.DUMMYFUNCTION("""COMPUTED_VALUE"""),12)</f>
        <v>12</v>
      </c>
      <c r="R32" s="1">
        <f ca="1">IFERROR(__xludf.DUMMYFUNCTION("""COMPUTED_VALUE"""),97.9)</f>
        <v>97.9</v>
      </c>
      <c r="S32" s="1">
        <f ca="1">IFERROR(__xludf.DUMMYFUNCTION("""COMPUTED_VALUE"""),7)</f>
        <v>7</v>
      </c>
      <c r="T32" s="1" t="str">
        <f ca="1">IFERROR(__xludf.DUMMYFUNCTION("""COMPUTED_VALUE"""),"+5.85")</f>
        <v>+5.85</v>
      </c>
      <c r="U32" s="1">
        <f ca="1">IFERROR(__xludf.DUMMYFUNCTION("""COMPUTED_VALUE"""),44)</f>
        <v>44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IFERROR(__xludf.DUMMYFUNCTION("""COMPUTED_VALUE"""),"Texas Tech6")</f>
        <v>Texas Tech6</v>
      </c>
      <c r="C33" s="1" t="str">
        <f ca="1">IFERROR(__xludf.DUMMYFUNCTION("""COMPUTED_VALUE"""),"B12")</f>
        <v>B12</v>
      </c>
      <c r="D33" s="1" t="str">
        <f ca="1">IFERROR(__xludf.DUMMYFUNCTION("""COMPUTED_VALUE"""),"23-9")</f>
        <v>23-9</v>
      </c>
      <c r="E33" s="1" t="str">
        <f ca="1">IFERROR(__xludf.DUMMYFUNCTION("""COMPUTED_VALUE"""),"+17.24")</f>
        <v>+17.24</v>
      </c>
      <c r="F33" s="1">
        <f ca="1">IFERROR(__xludf.DUMMYFUNCTION("""COMPUTED_VALUE"""),114.6)</f>
        <v>114.6</v>
      </c>
      <c r="G33" s="1">
        <f ca="1">IFERROR(__xludf.DUMMYFUNCTION("""COMPUTED_VALUE"""),21)</f>
        <v>21</v>
      </c>
      <c r="H33" s="1">
        <f ca="1">IFERROR(__xludf.DUMMYFUNCTION("""COMPUTED_VALUE"""),97.4)</f>
        <v>97.4</v>
      </c>
      <c r="I33" s="1">
        <f ca="1">IFERROR(__xludf.DUMMYFUNCTION("""COMPUTED_VALUE"""),59)</f>
        <v>59</v>
      </c>
      <c r="J33" s="1">
        <f ca="1">IFERROR(__xludf.DUMMYFUNCTION("""COMPUTED_VALUE"""),69.8)</f>
        <v>69.8</v>
      </c>
      <c r="K33" s="1">
        <f ca="1">IFERROR(__xludf.DUMMYFUNCTION("""COMPUTED_VALUE"""),96)</f>
        <v>96</v>
      </c>
      <c r="L33" s="1" t="str">
        <f ca="1">IFERROR(__xludf.DUMMYFUNCTION("""COMPUTED_VALUE"""),"+.061")</f>
        <v>+.061</v>
      </c>
      <c r="M33" s="1">
        <f ca="1">IFERROR(__xludf.DUMMYFUNCTION("""COMPUTED_VALUE"""),36)</f>
        <v>36</v>
      </c>
      <c r="N33" s="1" t="str">
        <f ca="1">IFERROR(__xludf.DUMMYFUNCTION("""COMPUTED_VALUE"""),"+6.69")</f>
        <v>+6.69</v>
      </c>
      <c r="O33" s="1">
        <f ca="1">IFERROR(__xludf.DUMMYFUNCTION("""COMPUTED_VALUE"""),55)</f>
        <v>55</v>
      </c>
      <c r="P33" s="1">
        <f ca="1">IFERROR(__xludf.DUMMYFUNCTION("""COMPUTED_VALUE"""),106.8)</f>
        <v>106.8</v>
      </c>
      <c r="Q33" s="1">
        <f ca="1">IFERROR(__xludf.DUMMYFUNCTION("""COMPUTED_VALUE"""),50)</f>
        <v>50</v>
      </c>
      <c r="R33" s="1">
        <f ca="1">IFERROR(__xludf.DUMMYFUNCTION("""COMPUTED_VALUE"""),100.2)</f>
        <v>100.2</v>
      </c>
      <c r="S33" s="1">
        <f ca="1">IFERROR(__xludf.DUMMYFUNCTION("""COMPUTED_VALUE"""),61)</f>
        <v>61</v>
      </c>
      <c r="T33" s="1">
        <f ca="1">IFERROR(__xludf.DUMMYFUNCTION("""COMPUTED_VALUE"""),-0.13)</f>
        <v>-0.13</v>
      </c>
      <c r="U33" s="1">
        <f ca="1">IFERROR(__xludf.DUMMYFUNCTION("""COMPUTED_VALUE"""),159)</f>
        <v>159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IFERROR(__xludf.DUMMYFUNCTION("""COMPUTED_VALUE"""),"Michigan St.10")</f>
        <v>Michigan St.10</v>
      </c>
      <c r="C34" s="1" t="str">
        <f ca="1">IFERROR(__xludf.DUMMYFUNCTION("""COMPUTED_VALUE"""),"B10")</f>
        <v>B10</v>
      </c>
      <c r="D34" s="1" t="str">
        <f ca="1">IFERROR(__xludf.DUMMYFUNCTION("""COMPUTED_VALUE"""),"19-12")</f>
        <v>19-12</v>
      </c>
      <c r="E34" s="1" t="str">
        <f ca="1">IFERROR(__xludf.DUMMYFUNCTION("""COMPUTED_VALUE"""),"+16.86")</f>
        <v>+16.86</v>
      </c>
      <c r="F34" s="1">
        <f ca="1">IFERROR(__xludf.DUMMYFUNCTION("""COMPUTED_VALUE"""),113)</f>
        <v>113</v>
      </c>
      <c r="G34" s="1">
        <f ca="1">IFERROR(__xludf.DUMMYFUNCTION("""COMPUTED_VALUE"""),34)</f>
        <v>34</v>
      </c>
      <c r="H34" s="1">
        <f ca="1">IFERROR(__xludf.DUMMYFUNCTION("""COMPUTED_VALUE"""),96.2)</f>
        <v>96.2</v>
      </c>
      <c r="I34" s="1">
        <f ca="1">IFERROR(__xludf.DUMMYFUNCTION("""COMPUTED_VALUE"""),38)</f>
        <v>38</v>
      </c>
      <c r="J34" s="1">
        <f ca="1">IFERROR(__xludf.DUMMYFUNCTION("""COMPUTED_VALUE"""),63.3)</f>
        <v>63.3</v>
      </c>
      <c r="K34" s="1">
        <f ca="1">IFERROR(__xludf.DUMMYFUNCTION("""COMPUTED_VALUE"""),297)</f>
        <v>297</v>
      </c>
      <c r="L34" s="1">
        <f ca="1">IFERROR(__xludf.DUMMYFUNCTION("""COMPUTED_VALUE"""),-0.026)</f>
        <v>-2.5999999999999999E-2</v>
      </c>
      <c r="M34" s="1">
        <f ca="1">IFERROR(__xludf.DUMMYFUNCTION("""COMPUTED_VALUE"""),219)</f>
        <v>219</v>
      </c>
      <c r="N34" s="1" t="str">
        <f ca="1">IFERROR(__xludf.DUMMYFUNCTION("""COMPUTED_VALUE"""),"+9.76")</f>
        <v>+9.76</v>
      </c>
      <c r="O34" s="1">
        <f ca="1">IFERROR(__xludf.DUMMYFUNCTION("""COMPUTED_VALUE"""),19)</f>
        <v>19</v>
      </c>
      <c r="P34" s="1">
        <f ca="1">IFERROR(__xludf.DUMMYFUNCTION("""COMPUTED_VALUE"""),108.5)</f>
        <v>108.5</v>
      </c>
      <c r="Q34" s="1">
        <f ca="1">IFERROR(__xludf.DUMMYFUNCTION("""COMPUTED_VALUE"""),21)</f>
        <v>21</v>
      </c>
      <c r="R34" s="1">
        <f ca="1">IFERROR(__xludf.DUMMYFUNCTION("""COMPUTED_VALUE"""),98.7)</f>
        <v>98.7</v>
      </c>
      <c r="S34" s="1">
        <f ca="1">IFERROR(__xludf.DUMMYFUNCTION("""COMPUTED_VALUE"""),19)</f>
        <v>19</v>
      </c>
      <c r="T34" s="1" t="str">
        <f ca="1">IFERROR(__xludf.DUMMYFUNCTION("""COMPUTED_VALUE"""),"+1.51")</f>
        <v>+1.51</v>
      </c>
      <c r="U34" s="1">
        <f ca="1">IFERROR(__xludf.DUMMYFUNCTION("""COMPUTED_VALUE"""),126)</f>
        <v>126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IFERROR(__xludf.DUMMYFUNCTION("""COMPUTED_VALUE"""),"Memphis")</f>
        <v>Memphis</v>
      </c>
      <c r="C35" s="1" t="str">
        <f ca="1">IFERROR(__xludf.DUMMYFUNCTION("""COMPUTED_VALUE"""),"CUSA")</f>
        <v>CUSA</v>
      </c>
      <c r="D35" s="1" t="str">
        <f ca="1">IFERROR(__xludf.DUMMYFUNCTION("""COMPUTED_VALUE"""),"27-9")</f>
        <v>27-9</v>
      </c>
      <c r="E35" s="1" t="str">
        <f ca="1">IFERROR(__xludf.DUMMYFUNCTION("""COMPUTED_VALUE"""),"+16.69")</f>
        <v>+16.69</v>
      </c>
      <c r="F35" s="1">
        <f ca="1">IFERROR(__xludf.DUMMYFUNCTION("""COMPUTED_VALUE"""),112.5)</f>
        <v>112.5</v>
      </c>
      <c r="G35" s="1">
        <f ca="1">IFERROR(__xludf.DUMMYFUNCTION("""COMPUTED_VALUE"""),37)</f>
        <v>37</v>
      </c>
      <c r="H35" s="1">
        <f ca="1">IFERROR(__xludf.DUMMYFUNCTION("""COMPUTED_VALUE"""),95.8)</f>
        <v>95.8</v>
      </c>
      <c r="I35" s="1">
        <f ca="1">IFERROR(__xludf.DUMMYFUNCTION("""COMPUTED_VALUE"""),35)</f>
        <v>35</v>
      </c>
      <c r="J35" s="1">
        <f ca="1">IFERROR(__xludf.DUMMYFUNCTION("""COMPUTED_VALUE"""),70.8)</f>
        <v>70.8</v>
      </c>
      <c r="K35" s="1">
        <f ca="1">IFERROR(__xludf.DUMMYFUNCTION("""COMPUTED_VALUE"""),65)</f>
        <v>65</v>
      </c>
      <c r="L35" s="1">
        <f ca="1">IFERROR(__xludf.DUMMYFUNCTION("""COMPUTED_VALUE"""),-0.008)</f>
        <v>-8.0000000000000002E-3</v>
      </c>
      <c r="M35" s="1">
        <f ca="1">IFERROR(__xludf.DUMMYFUNCTION("""COMPUTED_VALUE"""),186)</f>
        <v>186</v>
      </c>
      <c r="N35" s="1" t="str">
        <f ca="1">IFERROR(__xludf.DUMMYFUNCTION("""COMPUTED_VALUE"""),"+3.63")</f>
        <v>+3.63</v>
      </c>
      <c r="O35" s="1">
        <f ca="1">IFERROR(__xludf.DUMMYFUNCTION("""COMPUTED_VALUE"""),99)</f>
        <v>99</v>
      </c>
      <c r="P35" s="1">
        <f ca="1">IFERROR(__xludf.DUMMYFUNCTION("""COMPUTED_VALUE"""),104.9)</f>
        <v>104.9</v>
      </c>
      <c r="Q35" s="1">
        <f ca="1">IFERROR(__xludf.DUMMYFUNCTION("""COMPUTED_VALUE"""),111)</f>
        <v>111</v>
      </c>
      <c r="R35" s="1">
        <f ca="1">IFERROR(__xludf.DUMMYFUNCTION("""COMPUTED_VALUE"""),101.3)</f>
        <v>101.3</v>
      </c>
      <c r="S35" s="1">
        <f ca="1">IFERROR(__xludf.DUMMYFUNCTION("""COMPUTED_VALUE"""),86)</f>
        <v>86</v>
      </c>
      <c r="T35" s="1">
        <f ca="1">IFERROR(__xludf.DUMMYFUNCTION("""COMPUTED_VALUE"""),-1.69)</f>
        <v>-1.69</v>
      </c>
      <c r="U35" s="1">
        <f ca="1">IFERROR(__xludf.DUMMYFUNCTION("""COMPUTED_VALUE"""),208)</f>
        <v>208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IFERROR(__xludf.DUMMYFUNCTION("""COMPUTED_VALUE"""),"Mississippi9")</f>
        <v>Mississippi9</v>
      </c>
      <c r="C36" s="1" t="str">
        <f ca="1">IFERROR(__xludf.DUMMYFUNCTION("""COMPUTED_VALUE"""),"SEC")</f>
        <v>SEC</v>
      </c>
      <c r="D36" s="1" t="str">
        <f ca="1">IFERROR(__xludf.DUMMYFUNCTION("""COMPUTED_VALUE"""),"19-11")</f>
        <v>19-11</v>
      </c>
      <c r="E36" s="1" t="str">
        <f ca="1">IFERROR(__xludf.DUMMYFUNCTION("""COMPUTED_VALUE"""),"+16.68")</f>
        <v>+16.68</v>
      </c>
      <c r="F36" s="1">
        <f ca="1">IFERROR(__xludf.DUMMYFUNCTION("""COMPUTED_VALUE"""),113.3)</f>
        <v>113.3</v>
      </c>
      <c r="G36" s="1">
        <f ca="1">IFERROR(__xludf.DUMMYFUNCTION("""COMPUTED_VALUE"""),31)</f>
        <v>31</v>
      </c>
      <c r="H36" s="1">
        <f ca="1">IFERROR(__xludf.DUMMYFUNCTION("""COMPUTED_VALUE"""),96.7)</f>
        <v>96.7</v>
      </c>
      <c r="I36" s="1">
        <f ca="1">IFERROR(__xludf.DUMMYFUNCTION("""COMPUTED_VALUE"""),48)</f>
        <v>48</v>
      </c>
      <c r="J36" s="1">
        <f ca="1">IFERROR(__xludf.DUMMYFUNCTION("""COMPUTED_VALUE"""),64.7)</f>
        <v>64.7</v>
      </c>
      <c r="K36" s="1">
        <f ca="1">IFERROR(__xludf.DUMMYFUNCTION("""COMPUTED_VALUE"""),279)</f>
        <v>279</v>
      </c>
      <c r="L36" s="1">
        <f ca="1">IFERROR(__xludf.DUMMYFUNCTION("""COMPUTED_VALUE"""),-0.04)</f>
        <v>-0.04</v>
      </c>
      <c r="M36" s="1">
        <f ca="1">IFERROR(__xludf.DUMMYFUNCTION("""COMPUTED_VALUE"""),253)</f>
        <v>253</v>
      </c>
      <c r="N36" s="1" t="str">
        <f ca="1">IFERROR(__xludf.DUMMYFUNCTION("""COMPUTED_VALUE"""),"+7.32")</f>
        <v>+7.32</v>
      </c>
      <c r="O36" s="1">
        <f ca="1">IFERROR(__xludf.DUMMYFUNCTION("""COMPUTED_VALUE"""),48)</f>
        <v>48</v>
      </c>
      <c r="P36" s="1">
        <f ca="1">IFERROR(__xludf.DUMMYFUNCTION("""COMPUTED_VALUE"""),105.9)</f>
        <v>105.9</v>
      </c>
      <c r="Q36" s="1">
        <f ca="1">IFERROR(__xludf.DUMMYFUNCTION("""COMPUTED_VALUE"""),80)</f>
        <v>80</v>
      </c>
      <c r="R36" s="1">
        <f ca="1">IFERROR(__xludf.DUMMYFUNCTION("""COMPUTED_VALUE"""),98.6)</f>
        <v>98.6</v>
      </c>
      <c r="S36" s="1">
        <f ca="1">IFERROR(__xludf.DUMMYFUNCTION("""COMPUTED_VALUE"""),16)</f>
        <v>16</v>
      </c>
      <c r="T36" s="1">
        <f ca="1">IFERROR(__xludf.DUMMYFUNCTION("""COMPUTED_VALUE"""),-6.23)</f>
        <v>-6.23</v>
      </c>
      <c r="U36" s="1">
        <f ca="1">IFERROR(__xludf.DUMMYFUNCTION("""COMPUTED_VALUE"""),292)</f>
        <v>292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IFERROR(__xludf.DUMMYFUNCTION("""COMPUTED_VALUE"""),"UCLA8")</f>
        <v>UCLA8</v>
      </c>
      <c r="C37" s="1" t="str">
        <f ca="1">IFERROR(__xludf.DUMMYFUNCTION("""COMPUTED_VALUE"""),"P10")</f>
        <v>P10</v>
      </c>
      <c r="D37" s="1" t="str">
        <f ca="1">IFERROR(__xludf.DUMMYFUNCTION("""COMPUTED_VALUE"""),"21-12")</f>
        <v>21-12</v>
      </c>
      <c r="E37" s="1" t="str">
        <f ca="1">IFERROR(__xludf.DUMMYFUNCTION("""COMPUTED_VALUE"""),"+16.34")</f>
        <v>+16.34</v>
      </c>
      <c r="F37" s="1">
        <f ca="1">IFERROR(__xludf.DUMMYFUNCTION("""COMPUTED_VALUE"""),113.7)</f>
        <v>113.7</v>
      </c>
      <c r="G37" s="1">
        <f ca="1">IFERROR(__xludf.DUMMYFUNCTION("""COMPUTED_VALUE"""),27)</f>
        <v>27</v>
      </c>
      <c r="H37" s="1">
        <f ca="1">IFERROR(__xludf.DUMMYFUNCTION("""COMPUTED_VALUE"""),97.3)</f>
        <v>97.3</v>
      </c>
      <c r="I37" s="1">
        <f ca="1">IFERROR(__xludf.DUMMYFUNCTION("""COMPUTED_VALUE"""),58)</f>
        <v>58</v>
      </c>
      <c r="J37" s="1">
        <f ca="1">IFERROR(__xludf.DUMMYFUNCTION("""COMPUTED_VALUE"""),68.1)</f>
        <v>68.099999999999994</v>
      </c>
      <c r="K37" s="1">
        <f ca="1">IFERROR(__xludf.DUMMYFUNCTION("""COMPUTED_VALUE"""),167)</f>
        <v>167</v>
      </c>
      <c r="L37" s="1" t="str">
        <f ca="1">IFERROR(__xludf.DUMMYFUNCTION("""COMPUTED_VALUE"""),"+.048")</f>
        <v>+.048</v>
      </c>
      <c r="M37" s="1">
        <f ca="1">IFERROR(__xludf.DUMMYFUNCTION("""COMPUTED_VALUE"""),62)</f>
        <v>62</v>
      </c>
      <c r="N37" s="1" t="str">
        <f ca="1">IFERROR(__xludf.DUMMYFUNCTION("""COMPUTED_VALUE"""),"+12.00")</f>
        <v>+12.00</v>
      </c>
      <c r="O37" s="1">
        <f ca="1">IFERROR(__xludf.DUMMYFUNCTION("""COMPUTED_VALUE"""),6)</f>
        <v>6</v>
      </c>
      <c r="P37" s="1">
        <f ca="1">IFERROR(__xludf.DUMMYFUNCTION("""COMPUTED_VALUE"""),110.1)</f>
        <v>110.1</v>
      </c>
      <c r="Q37" s="1">
        <f ca="1">IFERROR(__xludf.DUMMYFUNCTION("""COMPUTED_VALUE"""),7)</f>
        <v>7</v>
      </c>
      <c r="R37" s="1">
        <f ca="1">IFERROR(__xludf.DUMMYFUNCTION("""COMPUTED_VALUE"""),98.1)</f>
        <v>98.1</v>
      </c>
      <c r="S37" s="1">
        <f ca="1">IFERROR(__xludf.DUMMYFUNCTION("""COMPUTED_VALUE"""),10)</f>
        <v>10</v>
      </c>
      <c r="T37" s="1" t="str">
        <f ca="1">IFERROR(__xludf.DUMMYFUNCTION("""COMPUTED_VALUE"""),"+8.58")</f>
        <v>+8.58</v>
      </c>
      <c r="U37" s="1">
        <f ca="1">IFERROR(__xludf.DUMMYFUNCTION("""COMPUTED_VALUE"""),20)</f>
        <v>20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IFERROR(__xludf.DUMMYFUNCTION("""COMPUTED_VALUE"""),"Georgetown")</f>
        <v>Georgetown</v>
      </c>
      <c r="C38" s="1" t="str">
        <f ca="1">IFERROR(__xludf.DUMMYFUNCTION("""COMPUTED_VALUE"""),"BE")</f>
        <v>BE</v>
      </c>
      <c r="D38" s="1" t="str">
        <f ca="1">IFERROR(__xludf.DUMMYFUNCTION("""COMPUTED_VALUE"""),"18-11")</f>
        <v>18-11</v>
      </c>
      <c r="E38" s="1" t="str">
        <f ca="1">IFERROR(__xludf.DUMMYFUNCTION("""COMPUTED_VALUE"""),"+16.13")</f>
        <v>+16.13</v>
      </c>
      <c r="F38" s="1">
        <f ca="1">IFERROR(__xludf.DUMMYFUNCTION("""COMPUTED_VALUE"""),110.6)</f>
        <v>110.6</v>
      </c>
      <c r="G38" s="1">
        <f ca="1">IFERROR(__xludf.DUMMYFUNCTION("""COMPUTED_VALUE"""),54)</f>
        <v>54</v>
      </c>
      <c r="H38" s="1">
        <f ca="1">IFERROR(__xludf.DUMMYFUNCTION("""COMPUTED_VALUE"""),94.5)</f>
        <v>94.5</v>
      </c>
      <c r="I38" s="1">
        <f ca="1">IFERROR(__xludf.DUMMYFUNCTION("""COMPUTED_VALUE"""),29)</f>
        <v>29</v>
      </c>
      <c r="J38" s="1">
        <f ca="1">IFERROR(__xludf.DUMMYFUNCTION("""COMPUTED_VALUE"""),71.1)</f>
        <v>71.099999999999994</v>
      </c>
      <c r="K38" s="1">
        <f ca="1">IFERROR(__xludf.DUMMYFUNCTION("""COMPUTED_VALUE"""),60)</f>
        <v>60</v>
      </c>
      <c r="L38" s="1">
        <f ca="1">IFERROR(__xludf.DUMMYFUNCTION("""COMPUTED_VALUE"""),-0.094)</f>
        <v>-9.4E-2</v>
      </c>
      <c r="M38" s="1">
        <f ca="1">IFERROR(__xludf.DUMMYFUNCTION("""COMPUTED_VALUE"""),314)</f>
        <v>314</v>
      </c>
      <c r="N38" s="1" t="str">
        <f ca="1">IFERROR(__xludf.DUMMYFUNCTION("""COMPUTED_VALUE"""),"+5.32")</f>
        <v>+5.32</v>
      </c>
      <c r="O38" s="1">
        <f ca="1">IFERROR(__xludf.DUMMYFUNCTION("""COMPUTED_VALUE"""),74)</f>
        <v>74</v>
      </c>
      <c r="P38" s="1">
        <f ca="1">IFERROR(__xludf.DUMMYFUNCTION("""COMPUTED_VALUE"""),105)</f>
        <v>105</v>
      </c>
      <c r="Q38" s="1">
        <f ca="1">IFERROR(__xludf.DUMMYFUNCTION("""COMPUTED_VALUE"""),107)</f>
        <v>107</v>
      </c>
      <c r="R38" s="1">
        <f ca="1">IFERROR(__xludf.DUMMYFUNCTION("""COMPUTED_VALUE"""),99.7)</f>
        <v>99.7</v>
      </c>
      <c r="S38" s="1">
        <f ca="1">IFERROR(__xludf.DUMMYFUNCTION("""COMPUTED_VALUE"""),44)</f>
        <v>44</v>
      </c>
      <c r="T38" s="1">
        <f ca="1">IFERROR(__xludf.DUMMYFUNCTION("""COMPUTED_VALUE"""),-10.2)</f>
        <v>-10.199999999999999</v>
      </c>
      <c r="U38" s="1">
        <f ca="1">IFERROR(__xludf.DUMMYFUNCTION("""COMPUTED_VALUE"""),323)</f>
        <v>323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IFERROR(__xludf.DUMMYFUNCTION("""COMPUTED_VALUE"""),"California6")</f>
        <v>California6</v>
      </c>
      <c r="C39" s="1" t="str">
        <f ca="1">IFERROR(__xludf.DUMMYFUNCTION("""COMPUTED_VALUE"""),"P10")</f>
        <v>P10</v>
      </c>
      <c r="D39" s="1" t="str">
        <f ca="1">IFERROR(__xludf.DUMMYFUNCTION("""COMPUTED_VALUE"""),"23-9")</f>
        <v>23-9</v>
      </c>
      <c r="E39" s="1" t="str">
        <f ca="1">IFERROR(__xludf.DUMMYFUNCTION("""COMPUTED_VALUE"""),"+16.03")</f>
        <v>+16.03</v>
      </c>
      <c r="F39" s="1">
        <f ca="1">IFERROR(__xludf.DUMMYFUNCTION("""COMPUTED_VALUE"""),109.8)</f>
        <v>109.8</v>
      </c>
      <c r="G39" s="1">
        <f ca="1">IFERROR(__xludf.DUMMYFUNCTION("""COMPUTED_VALUE"""),66)</f>
        <v>66</v>
      </c>
      <c r="H39" s="1">
        <f ca="1">IFERROR(__xludf.DUMMYFUNCTION("""COMPUTED_VALUE"""),93.7)</f>
        <v>93.7</v>
      </c>
      <c r="I39" s="1">
        <f ca="1">IFERROR(__xludf.DUMMYFUNCTION("""COMPUTED_VALUE"""),25)</f>
        <v>25</v>
      </c>
      <c r="J39" s="1">
        <f ca="1">IFERROR(__xludf.DUMMYFUNCTION("""COMPUTED_VALUE"""),66.6)</f>
        <v>66.599999999999994</v>
      </c>
      <c r="K39" s="1">
        <f ca="1">IFERROR(__xludf.DUMMYFUNCTION("""COMPUTED_VALUE"""),220)</f>
        <v>220</v>
      </c>
      <c r="L39" s="1" t="str">
        <f ca="1">IFERROR(__xludf.DUMMYFUNCTION("""COMPUTED_VALUE"""),"+.088")</f>
        <v>+.088</v>
      </c>
      <c r="M39" s="1">
        <f ca="1">IFERROR(__xludf.DUMMYFUNCTION("""COMPUTED_VALUE"""),12)</f>
        <v>12</v>
      </c>
      <c r="N39" s="1" t="str">
        <f ca="1">IFERROR(__xludf.DUMMYFUNCTION("""COMPUTED_VALUE"""),"+7.89")</f>
        <v>+7.89</v>
      </c>
      <c r="O39" s="1">
        <f ca="1">IFERROR(__xludf.DUMMYFUNCTION("""COMPUTED_VALUE"""),42)</f>
        <v>42</v>
      </c>
      <c r="P39" s="1">
        <f ca="1">IFERROR(__xludf.DUMMYFUNCTION("""COMPUTED_VALUE"""),107.9)</f>
        <v>107.9</v>
      </c>
      <c r="Q39" s="1">
        <f ca="1">IFERROR(__xludf.DUMMYFUNCTION("""COMPUTED_VALUE"""),36)</f>
        <v>36</v>
      </c>
      <c r="R39" s="1">
        <f ca="1">IFERROR(__xludf.DUMMYFUNCTION("""COMPUTED_VALUE"""),100)</f>
        <v>100</v>
      </c>
      <c r="S39" s="1">
        <f ca="1">IFERROR(__xludf.DUMMYFUNCTION("""COMPUTED_VALUE"""),53)</f>
        <v>53</v>
      </c>
      <c r="T39" s="1">
        <f ca="1">IFERROR(__xludf.DUMMYFUNCTION("""COMPUTED_VALUE"""),-5.85)</f>
        <v>-5.85</v>
      </c>
      <c r="U39" s="1">
        <f ca="1">IFERROR(__xludf.DUMMYFUNCTION("""COMPUTED_VALUE"""),285)</f>
        <v>285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IFERROR(__xludf.DUMMYFUNCTION("""COMPUTED_VALUE"""),"Oklahoma St.7")</f>
        <v>Oklahoma St.7</v>
      </c>
      <c r="C40" s="1" t="str">
        <f ca="1">IFERROR(__xludf.DUMMYFUNCTION("""COMPUTED_VALUE"""),"B12")</f>
        <v>B12</v>
      </c>
      <c r="D40" s="1" t="str">
        <f ca="1">IFERROR(__xludf.DUMMYFUNCTION("""COMPUTED_VALUE"""),"23-9")</f>
        <v>23-9</v>
      </c>
      <c r="E40" s="1" t="str">
        <f ca="1">IFERROR(__xludf.DUMMYFUNCTION("""COMPUTED_VALUE"""),"+15.80")</f>
        <v>+15.80</v>
      </c>
      <c r="F40" s="1">
        <f ca="1">IFERROR(__xludf.DUMMYFUNCTION("""COMPUTED_VALUE"""),107.9)</f>
        <v>107.9</v>
      </c>
      <c r="G40" s="1">
        <f ca="1">IFERROR(__xludf.DUMMYFUNCTION("""COMPUTED_VALUE"""),88)</f>
        <v>88</v>
      </c>
      <c r="H40" s="1">
        <f ca="1">IFERROR(__xludf.DUMMYFUNCTION("""COMPUTED_VALUE"""),92.1)</f>
        <v>92.1</v>
      </c>
      <c r="I40" s="1">
        <f ca="1">IFERROR(__xludf.DUMMYFUNCTION("""COMPUTED_VALUE"""),13)</f>
        <v>13</v>
      </c>
      <c r="J40" s="1">
        <f ca="1">IFERROR(__xludf.DUMMYFUNCTION("""COMPUTED_VALUE"""),66)</f>
        <v>66</v>
      </c>
      <c r="K40" s="1">
        <f ca="1">IFERROR(__xludf.DUMMYFUNCTION("""COMPUTED_VALUE"""),241)</f>
        <v>241</v>
      </c>
      <c r="L40" s="1" t="str">
        <f ca="1">IFERROR(__xludf.DUMMYFUNCTION("""COMPUTED_VALUE"""),"+.047")</f>
        <v>+.047</v>
      </c>
      <c r="M40" s="1">
        <f ca="1">IFERROR(__xludf.DUMMYFUNCTION("""COMPUTED_VALUE"""),64)</f>
        <v>64</v>
      </c>
      <c r="N40" s="1" t="str">
        <f ca="1">IFERROR(__xludf.DUMMYFUNCTION("""COMPUTED_VALUE"""),"+7.11")</f>
        <v>+7.11</v>
      </c>
      <c r="O40" s="1">
        <f ca="1">IFERROR(__xludf.DUMMYFUNCTION("""COMPUTED_VALUE"""),51)</f>
        <v>51</v>
      </c>
      <c r="P40" s="1">
        <f ca="1">IFERROR(__xludf.DUMMYFUNCTION("""COMPUTED_VALUE"""),107.8)</f>
        <v>107.8</v>
      </c>
      <c r="Q40" s="1">
        <f ca="1">IFERROR(__xludf.DUMMYFUNCTION("""COMPUTED_VALUE"""),38)</f>
        <v>38</v>
      </c>
      <c r="R40" s="1">
        <f ca="1">IFERROR(__xludf.DUMMYFUNCTION("""COMPUTED_VALUE"""),100.7)</f>
        <v>100.7</v>
      </c>
      <c r="S40" s="1">
        <f ca="1">IFERROR(__xludf.DUMMYFUNCTION("""COMPUTED_VALUE"""),73)</f>
        <v>73</v>
      </c>
      <c r="T40" s="1" t="str">
        <f ca="1">IFERROR(__xludf.DUMMYFUNCTION("""COMPUTED_VALUE"""),"+0.53")</f>
        <v>+0.53</v>
      </c>
      <c r="U40" s="1">
        <f ca="1">IFERROR(__xludf.DUMMYFUNCTION("""COMPUTED_VALUE"""),149)</f>
        <v>149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IFERROR(__xludf.DUMMYFUNCTION("""COMPUTED_VALUE"""),"Miami FL5")</f>
        <v>Miami FL5</v>
      </c>
      <c r="C41" s="1" t="str">
        <f ca="1">IFERROR(__xludf.DUMMYFUNCTION("""COMPUTED_VALUE"""),"BE")</f>
        <v>BE</v>
      </c>
      <c r="D41" s="1" t="str">
        <f ca="1">IFERROR(__xludf.DUMMYFUNCTION("""COMPUTED_VALUE"""),"24-8")</f>
        <v>24-8</v>
      </c>
      <c r="E41" s="1" t="str">
        <f ca="1">IFERROR(__xludf.DUMMYFUNCTION("""COMPUTED_VALUE"""),"+15.77")</f>
        <v>+15.77</v>
      </c>
      <c r="F41" s="1">
        <f ca="1">IFERROR(__xludf.DUMMYFUNCTION("""COMPUTED_VALUE"""),110.5)</f>
        <v>110.5</v>
      </c>
      <c r="G41" s="1">
        <f ca="1">IFERROR(__xludf.DUMMYFUNCTION("""COMPUTED_VALUE"""),56)</f>
        <v>56</v>
      </c>
      <c r="H41" s="1">
        <f ca="1">IFERROR(__xludf.DUMMYFUNCTION("""COMPUTED_VALUE"""),94.7)</f>
        <v>94.7</v>
      </c>
      <c r="I41" s="1">
        <f ca="1">IFERROR(__xludf.DUMMYFUNCTION("""COMPUTED_VALUE"""),30)</f>
        <v>30</v>
      </c>
      <c r="J41" s="1">
        <f ca="1">IFERROR(__xludf.DUMMYFUNCTION("""COMPUTED_VALUE"""),69.1)</f>
        <v>69.099999999999994</v>
      </c>
      <c r="K41" s="1">
        <f ca="1">IFERROR(__xludf.DUMMYFUNCTION("""COMPUTED_VALUE"""),129)</f>
        <v>129</v>
      </c>
      <c r="L41" s="1" t="str">
        <f ca="1">IFERROR(__xludf.DUMMYFUNCTION("""COMPUTED_VALUE"""),"+.017")</f>
        <v>+.017</v>
      </c>
      <c r="M41" s="1">
        <f ca="1">IFERROR(__xludf.DUMMYFUNCTION("""COMPUTED_VALUE"""),118)</f>
        <v>118</v>
      </c>
      <c r="N41" s="1" t="str">
        <f ca="1">IFERROR(__xludf.DUMMYFUNCTION("""COMPUTED_VALUE"""),"+5.75")</f>
        <v>+5.75</v>
      </c>
      <c r="O41" s="1">
        <f ca="1">IFERROR(__xludf.DUMMYFUNCTION("""COMPUTED_VALUE"""),67)</f>
        <v>67</v>
      </c>
      <c r="P41" s="1">
        <f ca="1">IFERROR(__xludf.DUMMYFUNCTION("""COMPUTED_VALUE"""),105)</f>
        <v>105</v>
      </c>
      <c r="Q41" s="1">
        <f ca="1">IFERROR(__xludf.DUMMYFUNCTION("""COMPUTED_VALUE"""),109)</f>
        <v>109</v>
      </c>
      <c r="R41" s="1">
        <f ca="1">IFERROR(__xludf.DUMMYFUNCTION("""COMPUTED_VALUE"""),99.3)</f>
        <v>99.3</v>
      </c>
      <c r="S41" s="1">
        <f ca="1">IFERROR(__xludf.DUMMYFUNCTION("""COMPUTED_VALUE"""),32)</f>
        <v>32</v>
      </c>
      <c r="T41" s="1">
        <f ca="1">IFERROR(__xludf.DUMMYFUNCTION("""COMPUTED_VALUE"""),-5.03)</f>
        <v>-5.03</v>
      </c>
      <c r="U41" s="1">
        <f ca="1">IFERROR(__xludf.DUMMYFUNCTION("""COMPUTED_VALUE"""),273)</f>
        <v>273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IFERROR(__xludf.DUMMYFUNCTION("""COMPUTED_VALUE"""),"Charlotte9")</f>
        <v>Charlotte9</v>
      </c>
      <c r="C42" s="1" t="str">
        <f ca="1">IFERROR(__xludf.DUMMYFUNCTION("""COMPUTED_VALUE"""),"CUSA")</f>
        <v>CUSA</v>
      </c>
      <c r="D42" s="1" t="str">
        <f ca="1">IFERROR(__xludf.DUMMYFUNCTION("""COMPUTED_VALUE"""),"18-12")</f>
        <v>18-12</v>
      </c>
      <c r="E42" s="1" t="str">
        <f ca="1">IFERROR(__xludf.DUMMYFUNCTION("""COMPUTED_VALUE"""),"+15.73")</f>
        <v>+15.73</v>
      </c>
      <c r="F42" s="1">
        <f ca="1">IFERROR(__xludf.DUMMYFUNCTION("""COMPUTED_VALUE"""),114.2)</f>
        <v>114.2</v>
      </c>
      <c r="G42" s="1">
        <f ca="1">IFERROR(__xludf.DUMMYFUNCTION("""COMPUTED_VALUE"""),23)</f>
        <v>23</v>
      </c>
      <c r="H42" s="1">
        <f ca="1">IFERROR(__xludf.DUMMYFUNCTION("""COMPUTED_VALUE"""),98.5)</f>
        <v>98.5</v>
      </c>
      <c r="I42" s="1">
        <f ca="1">IFERROR(__xludf.DUMMYFUNCTION("""COMPUTED_VALUE"""),77)</f>
        <v>77</v>
      </c>
      <c r="J42" s="1">
        <f ca="1">IFERROR(__xludf.DUMMYFUNCTION("""COMPUTED_VALUE"""),66.8)</f>
        <v>66.8</v>
      </c>
      <c r="K42" s="1">
        <f ca="1">IFERROR(__xludf.DUMMYFUNCTION("""COMPUTED_VALUE"""),214)</f>
        <v>214</v>
      </c>
      <c r="L42" s="1">
        <f ca="1">IFERROR(__xludf.DUMMYFUNCTION("""COMPUTED_VALUE"""),-0.008)</f>
        <v>-8.0000000000000002E-3</v>
      </c>
      <c r="M42" s="1">
        <f ca="1">IFERROR(__xludf.DUMMYFUNCTION("""COMPUTED_VALUE"""),185)</f>
        <v>185</v>
      </c>
      <c r="N42" s="1" t="str">
        <f ca="1">IFERROR(__xludf.DUMMYFUNCTION("""COMPUTED_VALUE"""),"+9.23")</f>
        <v>+9.23</v>
      </c>
      <c r="O42" s="1">
        <f ca="1">IFERROR(__xludf.DUMMYFUNCTION("""COMPUTED_VALUE"""),22)</f>
        <v>22</v>
      </c>
      <c r="P42" s="1">
        <f ca="1">IFERROR(__xludf.DUMMYFUNCTION("""COMPUTED_VALUE"""),107.3)</f>
        <v>107.3</v>
      </c>
      <c r="Q42" s="1">
        <f ca="1">IFERROR(__xludf.DUMMYFUNCTION("""COMPUTED_VALUE"""),43)</f>
        <v>43</v>
      </c>
      <c r="R42" s="1">
        <f ca="1">IFERROR(__xludf.DUMMYFUNCTION("""COMPUTED_VALUE"""),98.1)</f>
        <v>98.1</v>
      </c>
      <c r="S42" s="1">
        <f ca="1">IFERROR(__xludf.DUMMYFUNCTION("""COMPUTED_VALUE"""),9)</f>
        <v>9</v>
      </c>
      <c r="T42" s="1" t="str">
        <f ca="1">IFERROR(__xludf.DUMMYFUNCTION("""COMPUTED_VALUE"""),"+6.48")</f>
        <v>+6.48</v>
      </c>
      <c r="U42" s="1">
        <f ca="1">IFERROR(__xludf.DUMMYFUNCTION("""COMPUTED_VALUE"""),36)</f>
        <v>36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IFERROR(__xludf.DUMMYFUNCTION("""COMPUTED_VALUE"""),"Tulsa12")</f>
        <v>Tulsa12</v>
      </c>
      <c r="C45" s="1" t="str">
        <f ca="1">IFERROR(__xludf.DUMMYFUNCTION("""COMPUTED_VALUE"""),"WAC")</f>
        <v>WAC</v>
      </c>
      <c r="D45" s="1" t="str">
        <f ca="1">IFERROR(__xludf.DUMMYFUNCTION("""COMPUTED_VALUE"""),"26-7")</f>
        <v>26-7</v>
      </c>
      <c r="E45" s="1" t="str">
        <f ca="1">IFERROR(__xludf.DUMMYFUNCTION("""COMPUTED_VALUE"""),"+15.59")</f>
        <v>+15.59</v>
      </c>
      <c r="F45" s="1">
        <f ca="1">IFERROR(__xludf.DUMMYFUNCTION("""COMPUTED_VALUE"""),116)</f>
        <v>116</v>
      </c>
      <c r="G45" s="1">
        <f ca="1">IFERROR(__xludf.DUMMYFUNCTION("""COMPUTED_VALUE"""),16)</f>
        <v>16</v>
      </c>
      <c r="H45" s="1">
        <f ca="1">IFERROR(__xludf.DUMMYFUNCTION("""COMPUTED_VALUE"""),100.4)</f>
        <v>100.4</v>
      </c>
      <c r="I45" s="1">
        <f ca="1">IFERROR(__xludf.DUMMYFUNCTION("""COMPUTED_VALUE"""),107)</f>
        <v>107</v>
      </c>
      <c r="J45" s="1">
        <f ca="1">IFERROR(__xludf.DUMMYFUNCTION("""COMPUTED_VALUE"""),69.5)</f>
        <v>69.5</v>
      </c>
      <c r="K45" s="1">
        <f ca="1">IFERROR(__xludf.DUMMYFUNCTION("""COMPUTED_VALUE"""),110)</f>
        <v>110</v>
      </c>
      <c r="L45" s="1" t="str">
        <f ca="1">IFERROR(__xludf.DUMMYFUNCTION("""COMPUTED_VALUE"""),"+.001")</f>
        <v>+.001</v>
      </c>
      <c r="M45" s="1">
        <f ca="1">IFERROR(__xludf.DUMMYFUNCTION("""COMPUTED_VALUE"""),169)</f>
        <v>169</v>
      </c>
      <c r="N45" s="1" t="str">
        <f ca="1">IFERROR(__xludf.DUMMYFUNCTION("""COMPUTED_VALUE"""),"+2.03")</f>
        <v>+2.03</v>
      </c>
      <c r="O45" s="1">
        <f ca="1">IFERROR(__xludf.DUMMYFUNCTION("""COMPUTED_VALUE"""),122)</f>
        <v>122</v>
      </c>
      <c r="P45" s="1">
        <f ca="1">IFERROR(__xludf.DUMMYFUNCTION("""COMPUTED_VALUE"""),103.7)</f>
        <v>103.7</v>
      </c>
      <c r="Q45" s="1">
        <f ca="1">IFERROR(__xludf.DUMMYFUNCTION("""COMPUTED_VALUE"""),151)</f>
        <v>151</v>
      </c>
      <c r="R45" s="1">
        <f ca="1">IFERROR(__xludf.DUMMYFUNCTION("""COMPUTED_VALUE"""),101.7)</f>
        <v>101.7</v>
      </c>
      <c r="S45" s="1">
        <f ca="1">IFERROR(__xludf.DUMMYFUNCTION("""COMPUTED_VALUE"""),100)</f>
        <v>100</v>
      </c>
      <c r="T45" s="1">
        <f ca="1">IFERROR(__xludf.DUMMYFUNCTION("""COMPUTED_VALUE"""),-1.44)</f>
        <v>-1.44</v>
      </c>
      <c r="U45" s="1">
        <f ca="1">IFERROR(__xludf.DUMMYFUNCTION("""COMPUTED_VALUE"""),202)</f>
        <v>202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IFERROR(__xludf.DUMMYFUNCTION("""COMPUTED_VALUE"""),"Dayton")</f>
        <v>Dayton</v>
      </c>
      <c r="C46" s="1" t="str">
        <f ca="1">IFERROR(__xludf.DUMMYFUNCTION("""COMPUTED_VALUE"""),"A10")</f>
        <v>A10</v>
      </c>
      <c r="D46" s="1" t="str">
        <f ca="1">IFERROR(__xludf.DUMMYFUNCTION("""COMPUTED_VALUE"""),"21-11")</f>
        <v>21-11</v>
      </c>
      <c r="E46" s="1" t="str">
        <f ca="1">IFERROR(__xludf.DUMMYFUNCTION("""COMPUTED_VALUE"""),"+15.53")</f>
        <v>+15.53</v>
      </c>
      <c r="F46" s="1">
        <f ca="1">IFERROR(__xludf.DUMMYFUNCTION("""COMPUTED_VALUE"""),112.9)</f>
        <v>112.9</v>
      </c>
      <c r="G46" s="1">
        <f ca="1">IFERROR(__xludf.DUMMYFUNCTION("""COMPUTED_VALUE"""),35)</f>
        <v>35</v>
      </c>
      <c r="H46" s="1">
        <f ca="1">IFERROR(__xludf.DUMMYFUNCTION("""COMPUTED_VALUE"""),97.4)</f>
        <v>97.4</v>
      </c>
      <c r="I46" s="1">
        <f ca="1">IFERROR(__xludf.DUMMYFUNCTION("""COMPUTED_VALUE"""),60)</f>
        <v>60</v>
      </c>
      <c r="J46" s="1">
        <f ca="1">IFERROR(__xludf.DUMMYFUNCTION("""COMPUTED_VALUE"""),66.6)</f>
        <v>66.599999999999994</v>
      </c>
      <c r="K46" s="1">
        <f ca="1">IFERROR(__xludf.DUMMYFUNCTION("""COMPUTED_VALUE"""),222)</f>
        <v>222</v>
      </c>
      <c r="L46" s="1">
        <f ca="1">IFERROR(__xludf.DUMMYFUNCTION("""COMPUTED_VALUE"""),-0.042)</f>
        <v>-4.2000000000000003E-2</v>
      </c>
      <c r="M46" s="1">
        <f ca="1">IFERROR(__xludf.DUMMYFUNCTION("""COMPUTED_VALUE"""),259)</f>
        <v>259</v>
      </c>
      <c r="N46" s="1" t="str">
        <f ca="1">IFERROR(__xludf.DUMMYFUNCTION("""COMPUTED_VALUE"""),"+2.83")</f>
        <v>+2.83</v>
      </c>
      <c r="O46" s="1">
        <f ca="1">IFERROR(__xludf.DUMMYFUNCTION("""COMPUTED_VALUE"""),107)</f>
        <v>107</v>
      </c>
      <c r="P46" s="1">
        <f ca="1">IFERROR(__xludf.DUMMYFUNCTION("""COMPUTED_VALUE"""),104.5)</f>
        <v>104.5</v>
      </c>
      <c r="Q46" s="1">
        <f ca="1">IFERROR(__xludf.DUMMYFUNCTION("""COMPUTED_VALUE"""),122)</f>
        <v>122</v>
      </c>
      <c r="R46" s="1">
        <f ca="1">IFERROR(__xludf.DUMMYFUNCTION("""COMPUTED_VALUE"""),101.7)</f>
        <v>101.7</v>
      </c>
      <c r="S46" s="1">
        <f ca="1">IFERROR(__xludf.DUMMYFUNCTION("""COMPUTED_VALUE"""),99)</f>
        <v>99</v>
      </c>
      <c r="T46" s="1" t="str">
        <f ca="1">IFERROR(__xludf.DUMMYFUNCTION("""COMPUTED_VALUE"""),"+1.32")</f>
        <v>+1.32</v>
      </c>
      <c r="U46" s="1">
        <f ca="1">IFERROR(__xludf.DUMMYFUNCTION("""COMPUTED_VALUE"""),130)</f>
        <v>130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IFERROR(__xludf.DUMMYFUNCTION("""COMPUTED_VALUE"""),"Minnesota")</f>
        <v>Minnesota</v>
      </c>
      <c r="C47" s="1" t="str">
        <f ca="1">IFERROR(__xludf.DUMMYFUNCTION("""COMPUTED_VALUE"""),"B10")</f>
        <v>B10</v>
      </c>
      <c r="D47" s="1" t="str">
        <f ca="1">IFERROR(__xludf.DUMMYFUNCTION("""COMPUTED_VALUE"""),"18-13")</f>
        <v>18-13</v>
      </c>
      <c r="E47" s="1" t="str">
        <f ca="1">IFERROR(__xludf.DUMMYFUNCTION("""COMPUTED_VALUE"""),"+14.54")</f>
        <v>+14.54</v>
      </c>
      <c r="F47" s="1">
        <f ca="1">IFERROR(__xludf.DUMMYFUNCTION("""COMPUTED_VALUE"""),113.5)</f>
        <v>113.5</v>
      </c>
      <c r="G47" s="1">
        <f ca="1">IFERROR(__xludf.DUMMYFUNCTION("""COMPUTED_VALUE"""),28)</f>
        <v>28</v>
      </c>
      <c r="H47" s="1">
        <f ca="1">IFERROR(__xludf.DUMMYFUNCTION("""COMPUTED_VALUE"""),99)</f>
        <v>99</v>
      </c>
      <c r="I47" s="1">
        <f ca="1">IFERROR(__xludf.DUMMYFUNCTION("""COMPUTED_VALUE"""),85)</f>
        <v>85</v>
      </c>
      <c r="J47" s="1">
        <f ca="1">IFERROR(__xludf.DUMMYFUNCTION("""COMPUTED_VALUE"""),68.9)</f>
        <v>68.900000000000006</v>
      </c>
      <c r="K47" s="1">
        <f ca="1">IFERROR(__xludf.DUMMYFUNCTION("""COMPUTED_VALUE"""),137)</f>
        <v>137</v>
      </c>
      <c r="L47" s="1">
        <f ca="1">IFERROR(__xludf.DUMMYFUNCTION("""COMPUTED_VALUE"""),-0.045)</f>
        <v>-4.4999999999999998E-2</v>
      </c>
      <c r="M47" s="1">
        <f ca="1">IFERROR(__xludf.DUMMYFUNCTION("""COMPUTED_VALUE"""),264)</f>
        <v>264</v>
      </c>
      <c r="N47" s="1" t="str">
        <f ca="1">IFERROR(__xludf.DUMMYFUNCTION("""COMPUTED_VALUE"""),"+7.29")</f>
        <v>+7.29</v>
      </c>
      <c r="O47" s="1">
        <f ca="1">IFERROR(__xludf.DUMMYFUNCTION("""COMPUTED_VALUE"""),49)</f>
        <v>49</v>
      </c>
      <c r="P47" s="1">
        <f ca="1">IFERROR(__xludf.DUMMYFUNCTION("""COMPUTED_VALUE"""),107.4)</f>
        <v>107.4</v>
      </c>
      <c r="Q47" s="1">
        <f ca="1">IFERROR(__xludf.DUMMYFUNCTION("""COMPUTED_VALUE"""),42)</f>
        <v>42</v>
      </c>
      <c r="R47" s="1">
        <f ca="1">IFERROR(__xludf.DUMMYFUNCTION("""COMPUTED_VALUE"""),100.1)</f>
        <v>100.1</v>
      </c>
      <c r="S47" s="1">
        <f ca="1">IFERROR(__xludf.DUMMYFUNCTION("""COMPUTED_VALUE"""),55)</f>
        <v>55</v>
      </c>
      <c r="T47" s="1" t="str">
        <f ca="1">IFERROR(__xludf.DUMMYFUNCTION("""COMPUTED_VALUE"""),"+1.34")</f>
        <v>+1.34</v>
      </c>
      <c r="U47" s="1">
        <f ca="1">IFERROR(__xludf.DUMMYFUNCTION("""COMPUTED_VALUE"""),129)</f>
        <v>129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IFERROR(__xludf.DUMMYFUNCTION("""COMPUTED_VALUE"""),"Western Kentucky9")</f>
        <v>Western Kentucky9</v>
      </c>
      <c r="C48" s="1" t="str">
        <f ca="1">IFERROR(__xludf.DUMMYFUNCTION("""COMPUTED_VALUE"""),"SB")</f>
        <v>SB</v>
      </c>
      <c r="D48" s="1" t="str">
        <f ca="1">IFERROR(__xludf.DUMMYFUNCTION("""COMPUTED_VALUE"""),"26-4")</f>
        <v>26-4</v>
      </c>
      <c r="E48" s="1" t="str">
        <f ca="1">IFERROR(__xludf.DUMMYFUNCTION("""COMPUTED_VALUE"""),"+14.51")</f>
        <v>+14.51</v>
      </c>
      <c r="F48" s="1">
        <f ca="1">IFERROR(__xludf.DUMMYFUNCTION("""COMPUTED_VALUE"""),110.5)</f>
        <v>110.5</v>
      </c>
      <c r="G48" s="1">
        <f ca="1">IFERROR(__xludf.DUMMYFUNCTION("""COMPUTED_VALUE"""),55)</f>
        <v>55</v>
      </c>
      <c r="H48" s="1">
        <f ca="1">IFERROR(__xludf.DUMMYFUNCTION("""COMPUTED_VALUE"""),96)</f>
        <v>96</v>
      </c>
      <c r="I48" s="1">
        <f ca="1">IFERROR(__xludf.DUMMYFUNCTION("""COMPUTED_VALUE"""),36)</f>
        <v>36</v>
      </c>
      <c r="J48" s="1">
        <f ca="1">IFERROR(__xludf.DUMMYFUNCTION("""COMPUTED_VALUE"""),67.5)</f>
        <v>67.5</v>
      </c>
      <c r="K48" s="1">
        <f ca="1">IFERROR(__xludf.DUMMYFUNCTION("""COMPUTED_VALUE"""),192)</f>
        <v>192</v>
      </c>
      <c r="L48" s="1" t="str">
        <f ca="1">IFERROR(__xludf.DUMMYFUNCTION("""COMPUTED_VALUE"""),"+.060")</f>
        <v>+.060</v>
      </c>
      <c r="M48" s="1">
        <f ca="1">IFERROR(__xludf.DUMMYFUNCTION("""COMPUTED_VALUE"""),40)</f>
        <v>40</v>
      </c>
      <c r="N48" s="1" t="str">
        <f ca="1">IFERROR(__xludf.DUMMYFUNCTION("""COMPUTED_VALUE"""),"+0.23")</f>
        <v>+0.23</v>
      </c>
      <c r="O48" s="1">
        <f ca="1">IFERROR(__xludf.DUMMYFUNCTION("""COMPUTED_VALUE"""),150)</f>
        <v>150</v>
      </c>
      <c r="P48" s="1">
        <f ca="1">IFERROR(__xludf.DUMMYFUNCTION("""COMPUTED_VALUE"""),103.1)</f>
        <v>103.1</v>
      </c>
      <c r="Q48" s="1">
        <f ca="1">IFERROR(__xludf.DUMMYFUNCTION("""COMPUTED_VALUE"""),177)</f>
        <v>177</v>
      </c>
      <c r="R48" s="1">
        <f ca="1">IFERROR(__xludf.DUMMYFUNCTION("""COMPUTED_VALUE"""),102.8)</f>
        <v>102.8</v>
      </c>
      <c r="S48" s="1">
        <f ca="1">IFERROR(__xludf.DUMMYFUNCTION("""COMPUTED_VALUE"""),138)</f>
        <v>138</v>
      </c>
      <c r="T48" s="1" t="str">
        <f ca="1">IFERROR(__xludf.DUMMYFUNCTION("""COMPUTED_VALUE"""),"+0.29")</f>
        <v>+0.29</v>
      </c>
      <c r="U48" s="1">
        <f ca="1">IFERROR(__xludf.DUMMYFUNCTION("""COMPUTED_VALUE"""),153)</f>
        <v>153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IFERROR(__xludf.DUMMYFUNCTION("""COMPUTED_VALUE"""),"Utah12")</f>
        <v>Utah12</v>
      </c>
      <c r="C49" s="1" t="str">
        <f ca="1">IFERROR(__xludf.DUMMYFUNCTION("""COMPUTED_VALUE"""),"MWC")</f>
        <v>MWC</v>
      </c>
      <c r="D49" s="1" t="str">
        <f ca="1">IFERROR(__xludf.DUMMYFUNCTION("""COMPUTED_VALUE"""),"19-9")</f>
        <v>19-9</v>
      </c>
      <c r="E49" s="1" t="str">
        <f ca="1">IFERROR(__xludf.DUMMYFUNCTION("""COMPUTED_VALUE"""),"+14.08")</f>
        <v>+14.08</v>
      </c>
      <c r="F49" s="1">
        <f ca="1">IFERROR(__xludf.DUMMYFUNCTION("""COMPUTED_VALUE"""),111.4)</f>
        <v>111.4</v>
      </c>
      <c r="G49" s="1">
        <f ca="1">IFERROR(__xludf.DUMMYFUNCTION("""COMPUTED_VALUE"""),44)</f>
        <v>44</v>
      </c>
      <c r="H49" s="1">
        <f ca="1">IFERROR(__xludf.DUMMYFUNCTION("""COMPUTED_VALUE"""),97.3)</f>
        <v>97.3</v>
      </c>
      <c r="I49" s="1">
        <f ca="1">IFERROR(__xludf.DUMMYFUNCTION("""COMPUTED_VALUE"""),57)</f>
        <v>57</v>
      </c>
      <c r="J49" s="1">
        <f ca="1">IFERROR(__xludf.DUMMYFUNCTION("""COMPUTED_VALUE"""),62.1)</f>
        <v>62.1</v>
      </c>
      <c r="K49" s="1">
        <f ca="1">IFERROR(__xludf.DUMMYFUNCTION("""COMPUTED_VALUE"""),314)</f>
        <v>314</v>
      </c>
      <c r="L49" s="1" t="str">
        <f ca="1">IFERROR(__xludf.DUMMYFUNCTION("""COMPUTED_VALUE"""),"+.010")</f>
        <v>+.010</v>
      </c>
      <c r="M49" s="1">
        <f ca="1">IFERROR(__xludf.DUMMYFUNCTION("""COMPUTED_VALUE"""),140)</f>
        <v>140</v>
      </c>
      <c r="N49" s="1" t="str">
        <f ca="1">IFERROR(__xludf.DUMMYFUNCTION("""COMPUTED_VALUE"""),"+5.38")</f>
        <v>+5.38</v>
      </c>
      <c r="O49" s="1">
        <f ca="1">IFERROR(__xludf.DUMMYFUNCTION("""COMPUTED_VALUE"""),73)</f>
        <v>73</v>
      </c>
      <c r="P49" s="1">
        <f ca="1">IFERROR(__xludf.DUMMYFUNCTION("""COMPUTED_VALUE"""),106.2)</f>
        <v>106.2</v>
      </c>
      <c r="Q49" s="1">
        <f ca="1">IFERROR(__xludf.DUMMYFUNCTION("""COMPUTED_VALUE"""),74)</f>
        <v>74</v>
      </c>
      <c r="R49" s="1">
        <f ca="1">IFERROR(__xludf.DUMMYFUNCTION("""COMPUTED_VALUE"""),100.8)</f>
        <v>100.8</v>
      </c>
      <c r="S49" s="1">
        <f ca="1">IFERROR(__xludf.DUMMYFUNCTION("""COMPUTED_VALUE"""),75)</f>
        <v>75</v>
      </c>
      <c r="T49" s="1" t="str">
        <f ca="1">IFERROR(__xludf.DUMMYFUNCTION("""COMPUTED_VALUE"""),"+1.57")</f>
        <v>+1.57</v>
      </c>
      <c r="U49" s="1">
        <f ca="1">IFERROR(__xludf.DUMMYFUNCTION("""COMPUTED_VALUE"""),123)</f>
        <v>123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IFERROR(__xludf.DUMMYFUNCTION("""COMPUTED_VALUE"""),"Iowa")</f>
        <v>Iowa</v>
      </c>
      <c r="C50" s="1" t="str">
        <f ca="1">IFERROR(__xludf.DUMMYFUNCTION("""COMPUTED_VALUE"""),"B10")</f>
        <v>B10</v>
      </c>
      <c r="D50" s="1" t="str">
        <f ca="1">IFERROR(__xludf.DUMMYFUNCTION("""COMPUTED_VALUE"""),"19-16")</f>
        <v>19-16</v>
      </c>
      <c r="E50" s="1" t="str">
        <f ca="1">IFERROR(__xludf.DUMMYFUNCTION("""COMPUTED_VALUE"""),"+13.66")</f>
        <v>+13.66</v>
      </c>
      <c r="F50" s="1">
        <f ca="1">IFERROR(__xludf.DUMMYFUNCTION("""COMPUTED_VALUE"""),110.4)</f>
        <v>110.4</v>
      </c>
      <c r="G50" s="1">
        <f ca="1">IFERROR(__xludf.DUMMYFUNCTION("""COMPUTED_VALUE"""),57)</f>
        <v>57</v>
      </c>
      <c r="H50" s="1">
        <f ca="1">IFERROR(__xludf.DUMMYFUNCTION("""COMPUTED_VALUE"""),96.8)</f>
        <v>96.8</v>
      </c>
      <c r="I50" s="1">
        <f ca="1">IFERROR(__xludf.DUMMYFUNCTION("""COMPUTED_VALUE"""),51)</f>
        <v>51</v>
      </c>
      <c r="J50" s="1">
        <f ca="1">IFERROR(__xludf.DUMMYFUNCTION("""COMPUTED_VALUE"""),69)</f>
        <v>69</v>
      </c>
      <c r="K50" s="1">
        <f ca="1">IFERROR(__xludf.DUMMYFUNCTION("""COMPUTED_VALUE"""),134)</f>
        <v>134</v>
      </c>
      <c r="L50" s="1">
        <f ca="1">IFERROR(__xludf.DUMMYFUNCTION("""COMPUTED_VALUE"""),-0.06)</f>
        <v>-0.06</v>
      </c>
      <c r="M50" s="1">
        <f ca="1">IFERROR(__xludf.DUMMYFUNCTION("""COMPUTED_VALUE"""),288)</f>
        <v>288</v>
      </c>
      <c r="N50" s="1" t="str">
        <f ca="1">IFERROR(__xludf.DUMMYFUNCTION("""COMPUTED_VALUE"""),"+8.62")</f>
        <v>+8.62</v>
      </c>
      <c r="O50" s="1">
        <f ca="1">IFERROR(__xludf.DUMMYFUNCTION("""COMPUTED_VALUE"""),28)</f>
        <v>28</v>
      </c>
      <c r="P50" s="1">
        <f ca="1">IFERROR(__xludf.DUMMYFUNCTION("""COMPUTED_VALUE"""),108.3)</f>
        <v>108.3</v>
      </c>
      <c r="Q50" s="1">
        <f ca="1">IFERROR(__xludf.DUMMYFUNCTION("""COMPUTED_VALUE"""),25)</f>
        <v>25</v>
      </c>
      <c r="R50" s="1">
        <f ca="1">IFERROR(__xludf.DUMMYFUNCTION("""COMPUTED_VALUE"""),99.7)</f>
        <v>99.7</v>
      </c>
      <c r="S50" s="1">
        <f ca="1">IFERROR(__xludf.DUMMYFUNCTION("""COMPUTED_VALUE"""),41)</f>
        <v>41</v>
      </c>
      <c r="T50" s="1" t="str">
        <f ca="1">IFERROR(__xludf.DUMMYFUNCTION("""COMPUTED_VALUE"""),"+1.48")</f>
        <v>+1.48</v>
      </c>
      <c r="U50" s="1">
        <f ca="1">IFERROR(__xludf.DUMMYFUNCTION("""COMPUTED_VALUE"""),127)</f>
        <v>127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IFERROR(__xludf.DUMMYFUNCTION("""COMPUTED_VALUE"""),"Valparaiso13")</f>
        <v>Valparaiso13</v>
      </c>
      <c r="C51" s="1" t="str">
        <f ca="1">IFERROR(__xludf.DUMMYFUNCTION("""COMPUTED_VALUE"""),"MCon")</f>
        <v>MCon</v>
      </c>
      <c r="D51" s="1" t="str">
        <f ca="1">IFERROR(__xludf.DUMMYFUNCTION("""COMPUTED_VALUE"""),"24-8")</f>
        <v>24-8</v>
      </c>
      <c r="E51" s="1" t="str">
        <f ca="1">IFERROR(__xludf.DUMMYFUNCTION("""COMPUTED_VALUE"""),"+13.63")</f>
        <v>+13.63</v>
      </c>
      <c r="F51" s="1">
        <f ca="1">IFERROR(__xludf.DUMMYFUNCTION("""COMPUTED_VALUE"""),111.5)</f>
        <v>111.5</v>
      </c>
      <c r="G51" s="1">
        <f ca="1">IFERROR(__xludf.DUMMYFUNCTION("""COMPUTED_VALUE"""),42)</f>
        <v>42</v>
      </c>
      <c r="H51" s="1">
        <f ca="1">IFERROR(__xludf.DUMMYFUNCTION("""COMPUTED_VALUE"""),97.8)</f>
        <v>97.8</v>
      </c>
      <c r="I51" s="1">
        <f ca="1">IFERROR(__xludf.DUMMYFUNCTION("""COMPUTED_VALUE"""),65)</f>
        <v>65</v>
      </c>
      <c r="J51" s="1">
        <f ca="1">IFERROR(__xludf.DUMMYFUNCTION("""COMPUTED_VALUE"""),68.7)</f>
        <v>68.7</v>
      </c>
      <c r="K51" s="1">
        <f ca="1">IFERROR(__xludf.DUMMYFUNCTION("""COMPUTED_VALUE"""),144)</f>
        <v>144</v>
      </c>
      <c r="L51" s="1">
        <f ca="1">IFERROR(__xludf.DUMMYFUNCTION("""COMPUTED_VALUE"""),-0.032)</f>
        <v>-3.2000000000000001E-2</v>
      </c>
      <c r="M51" s="1">
        <f ca="1">IFERROR(__xludf.DUMMYFUNCTION("""COMPUTED_VALUE"""),239)</f>
        <v>239</v>
      </c>
      <c r="N51" s="1">
        <f ca="1">IFERROR(__xludf.DUMMYFUNCTION("""COMPUTED_VALUE"""),-1.66)</f>
        <v>-1.66</v>
      </c>
      <c r="O51" s="1">
        <f ca="1">IFERROR(__xludf.DUMMYFUNCTION("""COMPUTED_VALUE"""),196)</f>
        <v>196</v>
      </c>
      <c r="P51" s="1">
        <f ca="1">IFERROR(__xludf.DUMMYFUNCTION("""COMPUTED_VALUE"""),102.9)</f>
        <v>102.9</v>
      </c>
      <c r="Q51" s="1">
        <f ca="1">IFERROR(__xludf.DUMMYFUNCTION("""COMPUTED_VALUE"""),183)</f>
        <v>183</v>
      </c>
      <c r="R51" s="1">
        <f ca="1">IFERROR(__xludf.DUMMYFUNCTION("""COMPUTED_VALUE"""),104.6)</f>
        <v>104.6</v>
      </c>
      <c r="S51" s="1">
        <f ca="1">IFERROR(__xludf.DUMMYFUNCTION("""COMPUTED_VALUE"""),216)</f>
        <v>216</v>
      </c>
      <c r="T51" s="1" t="str">
        <f ca="1">IFERROR(__xludf.DUMMYFUNCTION("""COMPUTED_VALUE"""),"+2.05")</f>
        <v>+2.05</v>
      </c>
      <c r="U51" s="1">
        <f ca="1">IFERROR(__xludf.DUMMYFUNCTION("""COMPUTED_VALUE"""),110)</f>
        <v>110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IFERROR(__xludf.DUMMYFUNCTION("""COMPUTED_VALUE"""),"Temple")</f>
        <v>Temple</v>
      </c>
      <c r="C52" s="1" t="str">
        <f ca="1">IFERROR(__xludf.DUMMYFUNCTION("""COMPUTED_VALUE"""),"A10")</f>
        <v>A10</v>
      </c>
      <c r="D52" s="1" t="str">
        <f ca="1">IFERROR(__xludf.DUMMYFUNCTION("""COMPUTED_VALUE"""),"19-15")</f>
        <v>19-15</v>
      </c>
      <c r="E52" s="1" t="str">
        <f ca="1">IFERROR(__xludf.DUMMYFUNCTION("""COMPUTED_VALUE"""),"+13.57")</f>
        <v>+13.57</v>
      </c>
      <c r="F52" s="1">
        <f ca="1">IFERROR(__xludf.DUMMYFUNCTION("""COMPUTED_VALUE"""),114)</f>
        <v>114</v>
      </c>
      <c r="G52" s="1">
        <f ca="1">IFERROR(__xludf.DUMMYFUNCTION("""COMPUTED_VALUE"""),25)</f>
        <v>25</v>
      </c>
      <c r="H52" s="1">
        <f ca="1">IFERROR(__xludf.DUMMYFUNCTION("""COMPUTED_VALUE"""),100.4)</f>
        <v>100.4</v>
      </c>
      <c r="I52" s="1">
        <f ca="1">IFERROR(__xludf.DUMMYFUNCTION("""COMPUTED_VALUE"""),112)</f>
        <v>112</v>
      </c>
      <c r="J52" s="1">
        <f ca="1">IFERROR(__xludf.DUMMYFUNCTION("""COMPUTED_VALUE"""),62.2)</f>
        <v>62.2</v>
      </c>
      <c r="K52" s="1">
        <f ca="1">IFERROR(__xludf.DUMMYFUNCTION("""COMPUTED_VALUE"""),312)</f>
        <v>312</v>
      </c>
      <c r="L52" s="1">
        <f ca="1">IFERROR(__xludf.DUMMYFUNCTION("""COMPUTED_VALUE"""),-0.038)</f>
        <v>-3.7999999999999999E-2</v>
      </c>
      <c r="M52" s="1">
        <f ca="1">IFERROR(__xludf.DUMMYFUNCTION("""COMPUTED_VALUE"""),250)</f>
        <v>250</v>
      </c>
      <c r="N52" s="1" t="str">
        <f ca="1">IFERROR(__xludf.DUMMYFUNCTION("""COMPUTED_VALUE"""),"+8.04")</f>
        <v>+8.04</v>
      </c>
      <c r="O52" s="1">
        <f ca="1">IFERROR(__xludf.DUMMYFUNCTION("""COMPUTED_VALUE"""),37)</f>
        <v>37</v>
      </c>
      <c r="P52" s="1">
        <f ca="1">IFERROR(__xludf.DUMMYFUNCTION("""COMPUTED_VALUE"""),107.5)</f>
        <v>107.5</v>
      </c>
      <c r="Q52" s="1">
        <f ca="1">IFERROR(__xludf.DUMMYFUNCTION("""COMPUTED_VALUE"""),41)</f>
        <v>41</v>
      </c>
      <c r="R52" s="1">
        <f ca="1">IFERROR(__xludf.DUMMYFUNCTION("""COMPUTED_VALUE"""),99.5)</f>
        <v>99.5</v>
      </c>
      <c r="S52" s="1">
        <f ca="1">IFERROR(__xludf.DUMMYFUNCTION("""COMPUTED_VALUE"""),39)</f>
        <v>39</v>
      </c>
      <c r="T52" s="1" t="str">
        <f ca="1">IFERROR(__xludf.DUMMYFUNCTION("""COMPUTED_VALUE"""),"+14.74")</f>
        <v>+14.74</v>
      </c>
      <c r="U52" s="1">
        <f ca="1">IFERROR(__xludf.DUMMYFUNCTION("""COMPUTED_VALUE"""),2)</f>
        <v>2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IFERROR(__xludf.DUMMYFUNCTION("""COMPUTED_VALUE"""),"Southern Illinois11")</f>
        <v>Southern Illinois11</v>
      </c>
      <c r="C53" s="1" t="str">
        <f ca="1">IFERROR(__xludf.DUMMYFUNCTION("""COMPUTED_VALUE"""),"MVC")</f>
        <v>MVC</v>
      </c>
      <c r="D53" s="1" t="str">
        <f ca="1">IFERROR(__xludf.DUMMYFUNCTION("""COMPUTED_VALUE"""),"28-8")</f>
        <v>28-8</v>
      </c>
      <c r="E53" s="1" t="str">
        <f ca="1">IFERROR(__xludf.DUMMYFUNCTION("""COMPUTED_VALUE"""),"+13.45")</f>
        <v>+13.45</v>
      </c>
      <c r="F53" s="1">
        <f ca="1">IFERROR(__xludf.DUMMYFUNCTION("""COMPUTED_VALUE"""),109.2)</f>
        <v>109.2</v>
      </c>
      <c r="G53" s="1">
        <f ca="1">IFERROR(__xludf.DUMMYFUNCTION("""COMPUTED_VALUE"""),73)</f>
        <v>73</v>
      </c>
      <c r="H53" s="1">
        <f ca="1">IFERROR(__xludf.DUMMYFUNCTION("""COMPUTED_VALUE"""),95.7)</f>
        <v>95.7</v>
      </c>
      <c r="I53" s="1">
        <f ca="1">IFERROR(__xludf.DUMMYFUNCTION("""COMPUTED_VALUE"""),33)</f>
        <v>33</v>
      </c>
      <c r="J53" s="1">
        <f ca="1">IFERROR(__xludf.DUMMYFUNCTION("""COMPUTED_VALUE"""),70.6)</f>
        <v>70.599999999999994</v>
      </c>
      <c r="K53" s="1">
        <f ca="1">IFERROR(__xludf.DUMMYFUNCTION("""COMPUTED_VALUE"""),71)</f>
        <v>71</v>
      </c>
      <c r="L53" s="1" t="str">
        <f ca="1">IFERROR(__xludf.DUMMYFUNCTION("""COMPUTED_VALUE"""),"+.034")</f>
        <v>+.034</v>
      </c>
      <c r="M53" s="1">
        <f ca="1">IFERROR(__xludf.DUMMYFUNCTION("""COMPUTED_VALUE"""),86)</f>
        <v>86</v>
      </c>
      <c r="N53" s="1" t="str">
        <f ca="1">IFERROR(__xludf.DUMMYFUNCTION("""COMPUTED_VALUE"""),"+2.11")</f>
        <v>+2.11</v>
      </c>
      <c r="O53" s="1">
        <f ca="1">IFERROR(__xludf.DUMMYFUNCTION("""COMPUTED_VALUE"""),119)</f>
        <v>119</v>
      </c>
      <c r="P53" s="1">
        <f ca="1">IFERROR(__xludf.DUMMYFUNCTION("""COMPUTED_VALUE"""),105.2)</f>
        <v>105.2</v>
      </c>
      <c r="Q53" s="1">
        <f ca="1">IFERROR(__xludf.DUMMYFUNCTION("""COMPUTED_VALUE"""),105)</f>
        <v>105</v>
      </c>
      <c r="R53" s="1">
        <f ca="1">IFERROR(__xludf.DUMMYFUNCTION("""COMPUTED_VALUE"""),103.1)</f>
        <v>103.1</v>
      </c>
      <c r="S53" s="1">
        <f ca="1">IFERROR(__xludf.DUMMYFUNCTION("""COMPUTED_VALUE"""),148)</f>
        <v>148</v>
      </c>
      <c r="T53" s="1" t="str">
        <f ca="1">IFERROR(__xludf.DUMMYFUNCTION("""COMPUTED_VALUE"""),"+3.16")</f>
        <v>+3.16</v>
      </c>
      <c r="U53" s="1">
        <f ca="1">IFERROR(__xludf.DUMMYFUNCTION("""COMPUTED_VALUE"""),86)</f>
        <v>86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IFERROR(__xludf.DUMMYFUNCTION("""COMPUTED_VALUE"""),"Wisconsin8")</f>
        <v>Wisconsin8</v>
      </c>
      <c r="C54" s="1" t="str">
        <f ca="1">IFERROR(__xludf.DUMMYFUNCTION("""COMPUTED_VALUE"""),"B10")</f>
        <v>B10</v>
      </c>
      <c r="D54" s="1" t="str">
        <f ca="1">IFERROR(__xludf.DUMMYFUNCTION("""COMPUTED_VALUE"""),"18-13")</f>
        <v>18-13</v>
      </c>
      <c r="E54" s="1" t="str">
        <f ca="1">IFERROR(__xludf.DUMMYFUNCTION("""COMPUTED_VALUE"""),"+13.22")</f>
        <v>+13.22</v>
      </c>
      <c r="F54" s="1">
        <f ca="1">IFERROR(__xludf.DUMMYFUNCTION("""COMPUTED_VALUE"""),110.7)</f>
        <v>110.7</v>
      </c>
      <c r="G54" s="1">
        <f ca="1">IFERROR(__xludf.DUMMYFUNCTION("""COMPUTED_VALUE"""),53)</f>
        <v>53</v>
      </c>
      <c r="H54" s="1">
        <f ca="1">IFERROR(__xludf.DUMMYFUNCTION("""COMPUTED_VALUE"""),97.5)</f>
        <v>97.5</v>
      </c>
      <c r="I54" s="1">
        <f ca="1">IFERROR(__xludf.DUMMYFUNCTION("""COMPUTED_VALUE"""),61)</f>
        <v>61</v>
      </c>
      <c r="J54" s="1">
        <f ca="1">IFERROR(__xludf.DUMMYFUNCTION("""COMPUTED_VALUE"""),63.3)</f>
        <v>63.3</v>
      </c>
      <c r="K54" s="1">
        <f ca="1">IFERROR(__xludf.DUMMYFUNCTION("""COMPUTED_VALUE"""),299)</f>
        <v>299</v>
      </c>
      <c r="L54" s="1" t="str">
        <f ca="1">IFERROR(__xludf.DUMMYFUNCTION("""COMPUTED_VALUE"""),"+.049")</f>
        <v>+.049</v>
      </c>
      <c r="M54" s="1">
        <f ca="1">IFERROR(__xludf.DUMMYFUNCTION("""COMPUTED_VALUE"""),60)</f>
        <v>60</v>
      </c>
      <c r="N54" s="1" t="str">
        <f ca="1">IFERROR(__xludf.DUMMYFUNCTION("""COMPUTED_VALUE"""),"+10.57")</f>
        <v>+10.57</v>
      </c>
      <c r="O54" s="1">
        <f ca="1">IFERROR(__xludf.DUMMYFUNCTION("""COMPUTED_VALUE"""),12)</f>
        <v>12</v>
      </c>
      <c r="P54" s="1">
        <f ca="1">IFERROR(__xludf.DUMMYFUNCTION("""COMPUTED_VALUE"""),108.9)</f>
        <v>108.9</v>
      </c>
      <c r="Q54" s="1">
        <f ca="1">IFERROR(__xludf.DUMMYFUNCTION("""COMPUTED_VALUE"""),16)</f>
        <v>16</v>
      </c>
      <c r="R54" s="1">
        <f ca="1">IFERROR(__xludf.DUMMYFUNCTION("""COMPUTED_VALUE"""),98.3)</f>
        <v>98.3</v>
      </c>
      <c r="S54" s="1">
        <f ca="1">IFERROR(__xludf.DUMMYFUNCTION("""COMPUTED_VALUE"""),14)</f>
        <v>14</v>
      </c>
      <c r="T54" s="1" t="str">
        <f ca="1">IFERROR(__xludf.DUMMYFUNCTION("""COMPUTED_VALUE"""),"+8.49")</f>
        <v>+8.49</v>
      </c>
      <c r="U54" s="1">
        <f ca="1">IFERROR(__xludf.DUMMYFUNCTION("""COMPUTED_VALUE"""),22)</f>
        <v>22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IFERROR(__xludf.DUMMYFUNCTION("""COMPUTED_VALUE"""),"Hawaii10")</f>
        <v>Hawaii10</v>
      </c>
      <c r="C55" s="1" t="str">
        <f ca="1">IFERROR(__xludf.DUMMYFUNCTION("""COMPUTED_VALUE"""),"WAC")</f>
        <v>WAC</v>
      </c>
      <c r="D55" s="1" t="str">
        <f ca="1">IFERROR(__xludf.DUMMYFUNCTION("""COMPUTED_VALUE"""),"26-6")</f>
        <v>26-6</v>
      </c>
      <c r="E55" s="1" t="str">
        <f ca="1">IFERROR(__xludf.DUMMYFUNCTION("""COMPUTED_VALUE"""),"+13.15")</f>
        <v>+13.15</v>
      </c>
      <c r="F55" s="1">
        <f ca="1">IFERROR(__xludf.DUMMYFUNCTION("""COMPUTED_VALUE"""),110.3)</f>
        <v>110.3</v>
      </c>
      <c r="G55" s="1">
        <f ca="1">IFERROR(__xludf.DUMMYFUNCTION("""COMPUTED_VALUE"""),58)</f>
        <v>58</v>
      </c>
      <c r="H55" s="1">
        <f ca="1">IFERROR(__xludf.DUMMYFUNCTION("""COMPUTED_VALUE"""),97.2)</f>
        <v>97.2</v>
      </c>
      <c r="I55" s="1">
        <f ca="1">IFERROR(__xludf.DUMMYFUNCTION("""COMPUTED_VALUE"""),55)</f>
        <v>55</v>
      </c>
      <c r="J55" s="1">
        <f ca="1">IFERROR(__xludf.DUMMYFUNCTION("""COMPUTED_VALUE"""),65.6)</f>
        <v>65.599999999999994</v>
      </c>
      <c r="K55" s="1">
        <f ca="1">IFERROR(__xludf.DUMMYFUNCTION("""COMPUTED_VALUE"""),253)</f>
        <v>253</v>
      </c>
      <c r="L55" s="1" t="str">
        <f ca="1">IFERROR(__xludf.DUMMYFUNCTION("""COMPUTED_VALUE"""),"+.007")</f>
        <v>+.007</v>
      </c>
      <c r="M55" s="1">
        <f ca="1">IFERROR(__xludf.DUMMYFUNCTION("""COMPUTED_VALUE"""),154)</f>
        <v>154</v>
      </c>
      <c r="N55" s="1">
        <f ca="1">IFERROR(__xludf.DUMMYFUNCTION("""COMPUTED_VALUE"""),-0.72)</f>
        <v>-0.72</v>
      </c>
      <c r="O55" s="1">
        <f ca="1">IFERROR(__xludf.DUMMYFUNCTION("""COMPUTED_VALUE"""),178)</f>
        <v>178</v>
      </c>
      <c r="P55" s="1">
        <f ca="1">IFERROR(__xludf.DUMMYFUNCTION("""COMPUTED_VALUE"""),102.8)</f>
        <v>102.8</v>
      </c>
      <c r="Q55" s="1">
        <f ca="1">IFERROR(__xludf.DUMMYFUNCTION("""COMPUTED_VALUE"""),188)</f>
        <v>188</v>
      </c>
      <c r="R55" s="1">
        <f ca="1">IFERROR(__xludf.DUMMYFUNCTION("""COMPUTED_VALUE"""),103.5)</f>
        <v>103.5</v>
      </c>
      <c r="S55" s="1">
        <f ca="1">IFERROR(__xludf.DUMMYFUNCTION("""COMPUTED_VALUE"""),173)</f>
        <v>173</v>
      </c>
      <c r="T55" s="1">
        <f ca="1">IFERROR(__xludf.DUMMYFUNCTION("""COMPUTED_VALUE"""),-9.7)</f>
        <v>-9.6999999999999993</v>
      </c>
      <c r="U55" s="1">
        <f ca="1">IFERROR(__xludf.DUMMYFUNCTION("""COMPUTED_VALUE"""),319)</f>
        <v>319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IFERROR(__xludf.DUMMYFUNCTION("""COMPUTED_VALUE"""),"Villanova")</f>
        <v>Villanova</v>
      </c>
      <c r="C56" s="1" t="str">
        <f ca="1">IFERROR(__xludf.DUMMYFUNCTION("""COMPUTED_VALUE"""),"BE")</f>
        <v>BE</v>
      </c>
      <c r="D56" s="1" t="str">
        <f ca="1">IFERROR(__xludf.DUMMYFUNCTION("""COMPUTED_VALUE"""),"19-13")</f>
        <v>19-13</v>
      </c>
      <c r="E56" s="1" t="str">
        <f ca="1">IFERROR(__xludf.DUMMYFUNCTION("""COMPUTED_VALUE"""),"+13.14")</f>
        <v>+13.14</v>
      </c>
      <c r="F56" s="1">
        <f ca="1">IFERROR(__xludf.DUMMYFUNCTION("""COMPUTED_VALUE"""),106.7)</f>
        <v>106.7</v>
      </c>
      <c r="G56" s="1">
        <f ca="1">IFERROR(__xludf.DUMMYFUNCTION("""COMPUTED_VALUE"""),108)</f>
        <v>108</v>
      </c>
      <c r="H56" s="1">
        <f ca="1">IFERROR(__xludf.DUMMYFUNCTION("""COMPUTED_VALUE"""),93.5)</f>
        <v>93.5</v>
      </c>
      <c r="I56" s="1">
        <f ca="1">IFERROR(__xludf.DUMMYFUNCTION("""COMPUTED_VALUE"""),23)</f>
        <v>23</v>
      </c>
      <c r="J56" s="1">
        <f ca="1">IFERROR(__xludf.DUMMYFUNCTION("""COMPUTED_VALUE"""),67.3)</f>
        <v>67.3</v>
      </c>
      <c r="K56" s="1">
        <f ca="1">IFERROR(__xludf.DUMMYFUNCTION("""COMPUTED_VALUE"""),201)</f>
        <v>201</v>
      </c>
      <c r="L56" s="1">
        <f ca="1">IFERROR(__xludf.DUMMYFUNCTION("""COMPUTED_VALUE"""),-0.055)</f>
        <v>-5.5E-2</v>
      </c>
      <c r="M56" s="1">
        <f ca="1">IFERROR(__xludf.DUMMYFUNCTION("""COMPUTED_VALUE"""),281)</f>
        <v>281</v>
      </c>
      <c r="N56" s="1" t="str">
        <f ca="1">IFERROR(__xludf.DUMMYFUNCTION("""COMPUTED_VALUE"""),"+6.67")</f>
        <v>+6.67</v>
      </c>
      <c r="O56" s="1">
        <f ca="1">IFERROR(__xludf.DUMMYFUNCTION("""COMPUTED_VALUE"""),56)</f>
        <v>56</v>
      </c>
      <c r="P56" s="1">
        <f ca="1">IFERROR(__xludf.DUMMYFUNCTION("""COMPUTED_VALUE"""),106.5)</f>
        <v>106.5</v>
      </c>
      <c r="Q56" s="1">
        <f ca="1">IFERROR(__xludf.DUMMYFUNCTION("""COMPUTED_VALUE"""),60)</f>
        <v>60</v>
      </c>
      <c r="R56" s="1">
        <f ca="1">IFERROR(__xludf.DUMMYFUNCTION("""COMPUTED_VALUE"""),99.8)</f>
        <v>99.8</v>
      </c>
      <c r="S56" s="1">
        <f ca="1">IFERROR(__xludf.DUMMYFUNCTION("""COMPUTED_VALUE"""),47)</f>
        <v>47</v>
      </c>
      <c r="T56" s="1">
        <f ca="1">IFERROR(__xludf.DUMMYFUNCTION("""COMPUTED_VALUE"""),-4.5)</f>
        <v>-4.5</v>
      </c>
      <c r="U56" s="1">
        <f ca="1">IFERROR(__xludf.DUMMYFUNCTION("""COMPUTED_VALUE"""),266)</f>
        <v>266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IFERROR(__xludf.DUMMYFUNCTION("""COMPUTED_VALUE"""),"Virginia")</f>
        <v>Virginia</v>
      </c>
      <c r="C57" s="1" t="str">
        <f ca="1">IFERROR(__xludf.DUMMYFUNCTION("""COMPUTED_VALUE"""),"ACC")</f>
        <v>ACC</v>
      </c>
      <c r="D57" s="1" t="str">
        <f ca="1">IFERROR(__xludf.DUMMYFUNCTION("""COMPUTED_VALUE"""),"17-12")</f>
        <v>17-12</v>
      </c>
      <c r="E57" s="1" t="str">
        <f ca="1">IFERROR(__xludf.DUMMYFUNCTION("""COMPUTED_VALUE"""),"+12.92")</f>
        <v>+12.92</v>
      </c>
      <c r="F57" s="1">
        <f ca="1">IFERROR(__xludf.DUMMYFUNCTION("""COMPUTED_VALUE"""),112)</f>
        <v>112</v>
      </c>
      <c r="G57" s="1">
        <f ca="1">IFERROR(__xludf.DUMMYFUNCTION("""COMPUTED_VALUE"""),40)</f>
        <v>40</v>
      </c>
      <c r="H57" s="1">
        <f ca="1">IFERROR(__xludf.DUMMYFUNCTION("""COMPUTED_VALUE"""),99.1)</f>
        <v>99.1</v>
      </c>
      <c r="I57" s="1">
        <f ca="1">IFERROR(__xludf.DUMMYFUNCTION("""COMPUTED_VALUE"""),87)</f>
        <v>87</v>
      </c>
      <c r="J57" s="1">
        <f ca="1">IFERROR(__xludf.DUMMYFUNCTION("""COMPUTED_VALUE"""),69.4)</f>
        <v>69.400000000000006</v>
      </c>
      <c r="K57" s="1">
        <f ca="1">IFERROR(__xludf.DUMMYFUNCTION("""COMPUTED_VALUE"""),113)</f>
        <v>113</v>
      </c>
      <c r="L57" s="1">
        <f ca="1">IFERROR(__xludf.DUMMYFUNCTION("""COMPUTED_VALUE"""),-0.017)</f>
        <v>-1.7000000000000001E-2</v>
      </c>
      <c r="M57" s="1">
        <f ca="1">IFERROR(__xludf.DUMMYFUNCTION("""COMPUTED_VALUE"""),197)</f>
        <v>197</v>
      </c>
      <c r="N57" s="1" t="str">
        <f ca="1">IFERROR(__xludf.DUMMYFUNCTION("""COMPUTED_VALUE"""),"+7.99")</f>
        <v>+7.99</v>
      </c>
      <c r="O57" s="1">
        <f ca="1">IFERROR(__xludf.DUMMYFUNCTION("""COMPUTED_VALUE"""),39)</f>
        <v>39</v>
      </c>
      <c r="P57" s="1">
        <f ca="1">IFERROR(__xludf.DUMMYFUNCTION("""COMPUTED_VALUE"""),107.9)</f>
        <v>107.9</v>
      </c>
      <c r="Q57" s="1">
        <f ca="1">IFERROR(__xludf.DUMMYFUNCTION("""COMPUTED_VALUE"""),37)</f>
        <v>37</v>
      </c>
      <c r="R57" s="1">
        <f ca="1">IFERROR(__xludf.DUMMYFUNCTION("""COMPUTED_VALUE"""),99.9)</f>
        <v>99.9</v>
      </c>
      <c r="S57" s="1">
        <f ca="1">IFERROR(__xludf.DUMMYFUNCTION("""COMPUTED_VALUE"""),49)</f>
        <v>49</v>
      </c>
      <c r="T57" s="1">
        <f ca="1">IFERROR(__xludf.DUMMYFUNCTION("""COMPUTED_VALUE"""),-3.62)</f>
        <v>-3.62</v>
      </c>
      <c r="U57" s="1">
        <f ca="1">IFERROR(__xludf.DUMMYFUNCTION("""COMPUTED_VALUE"""),251)</f>
        <v>251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IFERROR(__xludf.DUMMYFUNCTION("""COMPUTED_VALUE"""),"Tennessee")</f>
        <v>Tennessee</v>
      </c>
      <c r="C58" s="1" t="str">
        <f ca="1">IFERROR(__xludf.DUMMYFUNCTION("""COMPUTED_VALUE"""),"SEC")</f>
        <v>SEC</v>
      </c>
      <c r="D58" s="1" t="str">
        <f ca="1">IFERROR(__xludf.DUMMYFUNCTION("""COMPUTED_VALUE"""),"15-16")</f>
        <v>15-16</v>
      </c>
      <c r="E58" s="1" t="str">
        <f ca="1">IFERROR(__xludf.DUMMYFUNCTION("""COMPUTED_VALUE"""),"+12.67")</f>
        <v>+12.67</v>
      </c>
      <c r="F58" s="1">
        <f ca="1">IFERROR(__xludf.DUMMYFUNCTION("""COMPUTED_VALUE"""),110.9)</f>
        <v>110.9</v>
      </c>
      <c r="G58" s="1">
        <f ca="1">IFERROR(__xludf.DUMMYFUNCTION("""COMPUTED_VALUE"""),52)</f>
        <v>52</v>
      </c>
      <c r="H58" s="1">
        <f ca="1">IFERROR(__xludf.DUMMYFUNCTION("""COMPUTED_VALUE"""),98.2)</f>
        <v>98.2</v>
      </c>
      <c r="I58" s="1">
        <f ca="1">IFERROR(__xludf.DUMMYFUNCTION("""COMPUTED_VALUE"""),72)</f>
        <v>72</v>
      </c>
      <c r="J58" s="1">
        <f ca="1">IFERROR(__xludf.DUMMYFUNCTION("""COMPUTED_VALUE"""),66.7)</f>
        <v>66.7</v>
      </c>
      <c r="K58" s="1">
        <f ca="1">IFERROR(__xludf.DUMMYFUNCTION("""COMPUTED_VALUE"""),219)</f>
        <v>219</v>
      </c>
      <c r="L58" s="1">
        <f ca="1">IFERROR(__xludf.DUMMYFUNCTION("""COMPUTED_VALUE"""),-0.044)</f>
        <v>-4.3999999999999997E-2</v>
      </c>
      <c r="M58" s="1">
        <f ca="1">IFERROR(__xludf.DUMMYFUNCTION("""COMPUTED_VALUE"""),262)</f>
        <v>262</v>
      </c>
      <c r="N58" s="1" t="str">
        <f ca="1">IFERROR(__xludf.DUMMYFUNCTION("""COMPUTED_VALUE"""),"+12.03")</f>
        <v>+12.03</v>
      </c>
      <c r="O58" s="1">
        <f ca="1">IFERROR(__xludf.DUMMYFUNCTION("""COMPUTED_VALUE"""),5)</f>
        <v>5</v>
      </c>
      <c r="P58" s="1">
        <f ca="1">IFERROR(__xludf.DUMMYFUNCTION("""COMPUTED_VALUE"""),108.6)</f>
        <v>108.6</v>
      </c>
      <c r="Q58" s="1">
        <f ca="1">IFERROR(__xludf.DUMMYFUNCTION("""COMPUTED_VALUE"""),18)</f>
        <v>18</v>
      </c>
      <c r="R58" s="1">
        <f ca="1">IFERROR(__xludf.DUMMYFUNCTION("""COMPUTED_VALUE"""),96.6)</f>
        <v>96.6</v>
      </c>
      <c r="S58" s="1">
        <f ca="1">IFERROR(__xludf.DUMMYFUNCTION("""COMPUTED_VALUE"""),1)</f>
        <v>1</v>
      </c>
      <c r="T58" s="1" t="str">
        <f ca="1">IFERROR(__xludf.DUMMYFUNCTION("""COMPUTED_VALUE"""),"+5.36")</f>
        <v>+5.36</v>
      </c>
      <c r="U58" s="1">
        <f ca="1">IFERROR(__xludf.DUMMYFUNCTION("""COMPUTED_VALUE"""),48)</f>
        <v>48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IFERROR(__xludf.DUMMYFUNCTION("""COMPUTED_VALUE"""),"Ball St.")</f>
        <v>Ball St.</v>
      </c>
      <c r="C59" s="1" t="str">
        <f ca="1">IFERROR(__xludf.DUMMYFUNCTION("""COMPUTED_VALUE"""),"MAC")</f>
        <v>MAC</v>
      </c>
      <c r="D59" s="1" t="str">
        <f ca="1">IFERROR(__xludf.DUMMYFUNCTION("""COMPUTED_VALUE"""),"23-12")</f>
        <v>23-12</v>
      </c>
      <c r="E59" s="1" t="str">
        <f ca="1">IFERROR(__xludf.DUMMYFUNCTION("""COMPUTED_VALUE"""),"+12.66")</f>
        <v>+12.66</v>
      </c>
      <c r="F59" s="1">
        <f ca="1">IFERROR(__xludf.DUMMYFUNCTION("""COMPUTED_VALUE"""),113.3)</f>
        <v>113.3</v>
      </c>
      <c r="G59" s="1">
        <f ca="1">IFERROR(__xludf.DUMMYFUNCTION("""COMPUTED_VALUE"""),32)</f>
        <v>32</v>
      </c>
      <c r="H59" s="1">
        <f ca="1">IFERROR(__xludf.DUMMYFUNCTION("""COMPUTED_VALUE"""),100.6)</f>
        <v>100.6</v>
      </c>
      <c r="I59" s="1">
        <f ca="1">IFERROR(__xludf.DUMMYFUNCTION("""COMPUTED_VALUE"""),117)</f>
        <v>117</v>
      </c>
      <c r="J59" s="1">
        <f ca="1">IFERROR(__xludf.DUMMYFUNCTION("""COMPUTED_VALUE"""),69.1)</f>
        <v>69.099999999999994</v>
      </c>
      <c r="K59" s="1">
        <f ca="1">IFERROR(__xludf.DUMMYFUNCTION("""COMPUTED_VALUE"""),130)</f>
        <v>130</v>
      </c>
      <c r="L59" s="1" t="str">
        <f ca="1">IFERROR(__xludf.DUMMYFUNCTION("""COMPUTED_VALUE"""),"+.012")</f>
        <v>+.012</v>
      </c>
      <c r="M59" s="1">
        <f ca="1">IFERROR(__xludf.DUMMYFUNCTION("""COMPUTED_VALUE"""),135)</f>
        <v>135</v>
      </c>
      <c r="N59" s="1" t="str">
        <f ca="1">IFERROR(__xludf.DUMMYFUNCTION("""COMPUTED_VALUE"""),"+3.72")</f>
        <v>+3.72</v>
      </c>
      <c r="O59" s="1">
        <f ca="1">IFERROR(__xludf.DUMMYFUNCTION("""COMPUTED_VALUE"""),98)</f>
        <v>98</v>
      </c>
      <c r="P59" s="1">
        <f ca="1">IFERROR(__xludf.DUMMYFUNCTION("""COMPUTED_VALUE"""),105.8)</f>
        <v>105.8</v>
      </c>
      <c r="Q59" s="1">
        <f ca="1">IFERROR(__xludf.DUMMYFUNCTION("""COMPUTED_VALUE"""),83)</f>
        <v>83</v>
      </c>
      <c r="R59" s="1">
        <f ca="1">IFERROR(__xludf.DUMMYFUNCTION("""COMPUTED_VALUE"""),102.1)</f>
        <v>102.1</v>
      </c>
      <c r="S59" s="1">
        <f ca="1">IFERROR(__xludf.DUMMYFUNCTION("""COMPUTED_VALUE"""),112)</f>
        <v>112</v>
      </c>
      <c r="T59" s="1" t="str">
        <f ca="1">IFERROR(__xludf.DUMMYFUNCTION("""COMPUTED_VALUE"""),"+8.95")</f>
        <v>+8.95</v>
      </c>
      <c r="U59" s="1">
        <f ca="1">IFERROR(__xludf.DUMMYFUNCTION("""COMPUTED_VALUE"""),15)</f>
        <v>15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IFERROR(__xludf.DUMMYFUNCTION("""COMPUTED_VALUE"""),"Syracuse")</f>
        <v>Syracuse</v>
      </c>
      <c r="C60" s="1" t="str">
        <f ca="1">IFERROR(__xludf.DUMMYFUNCTION("""COMPUTED_VALUE"""),"BE")</f>
        <v>BE</v>
      </c>
      <c r="D60" s="1" t="str">
        <f ca="1">IFERROR(__xludf.DUMMYFUNCTION("""COMPUTED_VALUE"""),"23-13")</f>
        <v>23-13</v>
      </c>
      <c r="E60" s="1" t="str">
        <f ca="1">IFERROR(__xludf.DUMMYFUNCTION("""COMPUTED_VALUE"""),"+12.61")</f>
        <v>+12.61</v>
      </c>
      <c r="F60" s="1">
        <f ca="1">IFERROR(__xludf.DUMMYFUNCTION("""COMPUTED_VALUE"""),106.1)</f>
        <v>106.1</v>
      </c>
      <c r="G60" s="1">
        <f ca="1">IFERROR(__xludf.DUMMYFUNCTION("""COMPUTED_VALUE"""),114)</f>
        <v>114</v>
      </c>
      <c r="H60" s="1">
        <f ca="1">IFERROR(__xludf.DUMMYFUNCTION("""COMPUTED_VALUE"""),93.5)</f>
        <v>93.5</v>
      </c>
      <c r="I60" s="1">
        <f ca="1">IFERROR(__xludf.DUMMYFUNCTION("""COMPUTED_VALUE"""),22)</f>
        <v>22</v>
      </c>
      <c r="J60" s="1">
        <f ca="1">IFERROR(__xludf.DUMMYFUNCTION("""COMPUTED_VALUE"""),69.4)</f>
        <v>69.400000000000006</v>
      </c>
      <c r="K60" s="1">
        <f ca="1">IFERROR(__xludf.DUMMYFUNCTION("""COMPUTED_VALUE"""),114)</f>
        <v>114</v>
      </c>
      <c r="L60" s="1">
        <f ca="1">IFERROR(__xludf.DUMMYFUNCTION("""COMPUTED_VALUE"""),-0.005)</f>
        <v>-5.0000000000000001E-3</v>
      </c>
      <c r="M60" s="1">
        <f ca="1">IFERROR(__xludf.DUMMYFUNCTION("""COMPUTED_VALUE"""),178)</f>
        <v>178</v>
      </c>
      <c r="N60" s="1" t="str">
        <f ca="1">IFERROR(__xludf.DUMMYFUNCTION("""COMPUTED_VALUE"""),"+6.13")</f>
        <v>+6.13</v>
      </c>
      <c r="O60" s="1">
        <f ca="1">IFERROR(__xludf.DUMMYFUNCTION("""COMPUTED_VALUE"""),62)</f>
        <v>62</v>
      </c>
      <c r="P60" s="1">
        <f ca="1">IFERROR(__xludf.DUMMYFUNCTION("""COMPUTED_VALUE"""),105.6)</f>
        <v>105.6</v>
      </c>
      <c r="Q60" s="1">
        <f ca="1">IFERROR(__xludf.DUMMYFUNCTION("""COMPUTED_VALUE"""),91)</f>
        <v>91</v>
      </c>
      <c r="R60" s="1">
        <f ca="1">IFERROR(__xludf.DUMMYFUNCTION("""COMPUTED_VALUE"""),99.5)</f>
        <v>99.5</v>
      </c>
      <c r="S60" s="1">
        <f ca="1">IFERROR(__xludf.DUMMYFUNCTION("""COMPUTED_VALUE"""),36)</f>
        <v>36</v>
      </c>
      <c r="T60" s="1">
        <f ca="1">IFERROR(__xludf.DUMMYFUNCTION("""COMPUTED_VALUE"""),-1.37)</f>
        <v>-1.37</v>
      </c>
      <c r="U60" s="1">
        <f ca="1">IFERROR(__xludf.DUMMYFUNCTION("""COMPUTED_VALUE"""),199)</f>
        <v>199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IFERROR(__xludf.DUMMYFUNCTION("""COMPUTED_VALUE"""),"Arkansas")</f>
        <v>Arkansas</v>
      </c>
      <c r="C61" s="1" t="str">
        <f ca="1">IFERROR(__xludf.DUMMYFUNCTION("""COMPUTED_VALUE"""),"SEC")</f>
        <v>SEC</v>
      </c>
      <c r="D61" s="1" t="str">
        <f ca="1">IFERROR(__xludf.DUMMYFUNCTION("""COMPUTED_VALUE"""),"14-15")</f>
        <v>14-15</v>
      </c>
      <c r="E61" s="1" t="str">
        <f ca="1">IFERROR(__xludf.DUMMYFUNCTION("""COMPUTED_VALUE"""),"+12.56")</f>
        <v>+12.56</v>
      </c>
      <c r="F61" s="1">
        <f ca="1">IFERROR(__xludf.DUMMYFUNCTION("""COMPUTED_VALUE"""),108.8)</f>
        <v>108.8</v>
      </c>
      <c r="G61" s="1">
        <f ca="1">IFERROR(__xludf.DUMMYFUNCTION("""COMPUTED_VALUE"""),76)</f>
        <v>76</v>
      </c>
      <c r="H61" s="1">
        <f ca="1">IFERROR(__xludf.DUMMYFUNCTION("""COMPUTED_VALUE"""),96.2)</f>
        <v>96.2</v>
      </c>
      <c r="I61" s="1">
        <f ca="1">IFERROR(__xludf.DUMMYFUNCTION("""COMPUTED_VALUE"""),39)</f>
        <v>39</v>
      </c>
      <c r="J61" s="1">
        <f ca="1">IFERROR(__xludf.DUMMYFUNCTION("""COMPUTED_VALUE"""),71.9)</f>
        <v>71.900000000000006</v>
      </c>
      <c r="K61" s="1">
        <f ca="1">IFERROR(__xludf.DUMMYFUNCTION("""COMPUTED_VALUE"""),44)</f>
        <v>44</v>
      </c>
      <c r="L61" s="1">
        <f ca="1">IFERROR(__xludf.DUMMYFUNCTION("""COMPUTED_VALUE"""),-0.062)</f>
        <v>-6.2E-2</v>
      </c>
      <c r="M61" s="1">
        <f ca="1">IFERROR(__xludf.DUMMYFUNCTION("""COMPUTED_VALUE"""),290)</f>
        <v>290</v>
      </c>
      <c r="N61" s="1" t="str">
        <f ca="1">IFERROR(__xludf.DUMMYFUNCTION("""COMPUTED_VALUE"""),"+11.25")</f>
        <v>+11.25</v>
      </c>
      <c r="O61" s="1">
        <f ca="1">IFERROR(__xludf.DUMMYFUNCTION("""COMPUTED_VALUE"""),8)</f>
        <v>8</v>
      </c>
      <c r="P61" s="1">
        <f ca="1">IFERROR(__xludf.DUMMYFUNCTION("""COMPUTED_VALUE"""),108.3)</f>
        <v>108.3</v>
      </c>
      <c r="Q61" s="1">
        <f ca="1">IFERROR(__xludf.DUMMYFUNCTION("""COMPUTED_VALUE"""),24)</f>
        <v>24</v>
      </c>
      <c r="R61" s="1">
        <f ca="1">IFERROR(__xludf.DUMMYFUNCTION("""COMPUTED_VALUE"""),97.1)</f>
        <v>97.1</v>
      </c>
      <c r="S61" s="1">
        <f ca="1">IFERROR(__xludf.DUMMYFUNCTION("""COMPUTED_VALUE"""),4)</f>
        <v>4</v>
      </c>
      <c r="T61" s="1" t="str">
        <f ca="1">IFERROR(__xludf.DUMMYFUNCTION("""COMPUTED_VALUE"""),"+4.83")</f>
        <v>+4.83</v>
      </c>
      <c r="U61" s="1">
        <f ca="1">IFERROR(__xludf.DUMMYFUNCTION("""COMPUTED_VALUE"""),60)</f>
        <v>60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IFERROR(__xludf.DUMMYFUNCTION("""COMPUTED_VALUE"""),"Penn11")</f>
        <v>Penn11</v>
      </c>
      <c r="C62" s="1" t="str">
        <f ca="1">IFERROR(__xludf.DUMMYFUNCTION("""COMPUTED_VALUE"""),"Ivy")</f>
        <v>Ivy</v>
      </c>
      <c r="D62" s="1" t="str">
        <f ca="1">IFERROR(__xludf.DUMMYFUNCTION("""COMPUTED_VALUE"""),"25-7")</f>
        <v>25-7</v>
      </c>
      <c r="E62" s="1" t="str">
        <f ca="1">IFERROR(__xludf.DUMMYFUNCTION("""COMPUTED_VALUE"""),"+12.23")</f>
        <v>+12.23</v>
      </c>
      <c r="F62" s="1">
        <f ca="1">IFERROR(__xludf.DUMMYFUNCTION("""COMPUTED_VALUE"""),110.2)</f>
        <v>110.2</v>
      </c>
      <c r="G62" s="1">
        <f ca="1">IFERROR(__xludf.DUMMYFUNCTION("""COMPUTED_VALUE"""),60)</f>
        <v>60</v>
      </c>
      <c r="H62" s="1">
        <f ca="1">IFERROR(__xludf.DUMMYFUNCTION("""COMPUTED_VALUE"""),98)</f>
        <v>98</v>
      </c>
      <c r="I62" s="1">
        <f ca="1">IFERROR(__xludf.DUMMYFUNCTION("""COMPUTED_VALUE"""),68)</f>
        <v>68</v>
      </c>
      <c r="J62" s="1">
        <f ca="1">IFERROR(__xludf.DUMMYFUNCTION("""COMPUTED_VALUE"""),65.6)</f>
        <v>65.599999999999994</v>
      </c>
      <c r="K62" s="1">
        <f ca="1">IFERROR(__xludf.DUMMYFUNCTION("""COMPUTED_VALUE"""),252)</f>
        <v>252</v>
      </c>
      <c r="L62" s="1">
        <f ca="1">IFERROR(__xludf.DUMMYFUNCTION("""COMPUTED_VALUE"""),-0.019)</f>
        <v>-1.9E-2</v>
      </c>
      <c r="M62" s="1">
        <f ca="1">IFERROR(__xludf.DUMMYFUNCTION("""COMPUTED_VALUE"""),200)</f>
        <v>200</v>
      </c>
      <c r="N62" s="1">
        <f ca="1">IFERROR(__xludf.DUMMYFUNCTION("""COMPUTED_VALUE"""),-2.38)</f>
        <v>-2.38</v>
      </c>
      <c r="O62" s="1">
        <f ca="1">IFERROR(__xludf.DUMMYFUNCTION("""COMPUTED_VALUE"""),210)</f>
        <v>210</v>
      </c>
      <c r="P62" s="1">
        <f ca="1">IFERROR(__xludf.DUMMYFUNCTION("""COMPUTED_VALUE"""),101.9)</f>
        <v>101.9</v>
      </c>
      <c r="Q62" s="1">
        <f ca="1">IFERROR(__xludf.DUMMYFUNCTION("""COMPUTED_VALUE"""),212)</f>
        <v>212</v>
      </c>
      <c r="R62" s="1">
        <f ca="1">IFERROR(__xludf.DUMMYFUNCTION("""COMPUTED_VALUE"""),104.3)</f>
        <v>104.3</v>
      </c>
      <c r="S62" s="1">
        <f ca="1">IFERROR(__xludf.DUMMYFUNCTION("""COMPUTED_VALUE"""),202)</f>
        <v>202</v>
      </c>
      <c r="T62" s="1" t="str">
        <f ca="1">IFERROR(__xludf.DUMMYFUNCTION("""COMPUTED_VALUE"""),"+0.99")</f>
        <v>+0.99</v>
      </c>
      <c r="U62" s="1">
        <f ca="1">IFERROR(__xludf.DUMMYFUNCTION("""COMPUTED_VALUE"""),136)</f>
        <v>136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IFERROR(__xludf.DUMMYFUNCTION("""COMPUTED_VALUE"""),"Creighton12")</f>
        <v>Creighton12</v>
      </c>
      <c r="C63" s="1" t="str">
        <f ca="1">IFERROR(__xludf.DUMMYFUNCTION("""COMPUTED_VALUE"""),"MVC")</f>
        <v>MVC</v>
      </c>
      <c r="D63" s="1" t="str">
        <f ca="1">IFERROR(__xludf.DUMMYFUNCTION("""COMPUTED_VALUE"""),"23-9")</f>
        <v>23-9</v>
      </c>
      <c r="E63" s="1" t="str">
        <f ca="1">IFERROR(__xludf.DUMMYFUNCTION("""COMPUTED_VALUE"""),"+11.82")</f>
        <v>+11.82</v>
      </c>
      <c r="F63" s="1">
        <f ca="1">IFERROR(__xludf.DUMMYFUNCTION("""COMPUTED_VALUE"""),111.3)</f>
        <v>111.3</v>
      </c>
      <c r="G63" s="1">
        <f ca="1">IFERROR(__xludf.DUMMYFUNCTION("""COMPUTED_VALUE"""),47)</f>
        <v>47</v>
      </c>
      <c r="H63" s="1">
        <f ca="1">IFERROR(__xludf.DUMMYFUNCTION("""COMPUTED_VALUE"""),99.5)</f>
        <v>99.5</v>
      </c>
      <c r="I63" s="1">
        <f ca="1">IFERROR(__xludf.DUMMYFUNCTION("""COMPUTED_VALUE"""),92)</f>
        <v>92</v>
      </c>
      <c r="J63" s="1">
        <f ca="1">IFERROR(__xludf.DUMMYFUNCTION("""COMPUTED_VALUE"""),66.9)</f>
        <v>66.900000000000006</v>
      </c>
      <c r="K63" s="1">
        <f ca="1">IFERROR(__xludf.DUMMYFUNCTION("""COMPUTED_VALUE"""),213)</f>
        <v>213</v>
      </c>
      <c r="L63" s="1" t="str">
        <f ca="1">IFERROR(__xludf.DUMMYFUNCTION("""COMPUTED_VALUE"""),"+.029")</f>
        <v>+.029</v>
      </c>
      <c r="M63" s="1">
        <f ca="1">IFERROR(__xludf.DUMMYFUNCTION("""COMPUTED_VALUE"""),99)</f>
        <v>99</v>
      </c>
      <c r="N63" s="1" t="str">
        <f ca="1">IFERROR(__xludf.DUMMYFUNCTION("""COMPUTED_VALUE"""),"+1.39")</f>
        <v>+1.39</v>
      </c>
      <c r="O63" s="1">
        <f ca="1">IFERROR(__xludf.DUMMYFUNCTION("""COMPUTED_VALUE"""),129)</f>
        <v>129</v>
      </c>
      <c r="P63" s="1">
        <f ca="1">IFERROR(__xludf.DUMMYFUNCTION("""COMPUTED_VALUE"""),104.8)</f>
        <v>104.8</v>
      </c>
      <c r="Q63" s="1">
        <f ca="1">IFERROR(__xludf.DUMMYFUNCTION("""COMPUTED_VALUE"""),113)</f>
        <v>113</v>
      </c>
      <c r="R63" s="1">
        <f ca="1">IFERROR(__xludf.DUMMYFUNCTION("""COMPUTED_VALUE"""),103.4)</f>
        <v>103.4</v>
      </c>
      <c r="S63" s="1">
        <f ca="1">IFERROR(__xludf.DUMMYFUNCTION("""COMPUTED_VALUE"""),167)</f>
        <v>167</v>
      </c>
      <c r="T63" s="1" t="str">
        <f ca="1">IFERROR(__xludf.DUMMYFUNCTION("""COMPUTED_VALUE"""),"+0.94")</f>
        <v>+0.94</v>
      </c>
      <c r="U63" s="1">
        <f ca="1">IFERROR(__xludf.DUMMYFUNCTION("""COMPUTED_VALUE"""),138)</f>
        <v>138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IFERROR(__xludf.DUMMYFUNCTION("""COMPUTED_VALUE"""),"Bowling Green")</f>
        <v>Bowling Green</v>
      </c>
      <c r="C64" s="1" t="str">
        <f ca="1">IFERROR(__xludf.DUMMYFUNCTION("""COMPUTED_VALUE"""),"MAC")</f>
        <v>MAC</v>
      </c>
      <c r="D64" s="1" t="str">
        <f ca="1">IFERROR(__xludf.DUMMYFUNCTION("""COMPUTED_VALUE"""),"23-9")</f>
        <v>23-9</v>
      </c>
      <c r="E64" s="1" t="str">
        <f ca="1">IFERROR(__xludf.DUMMYFUNCTION("""COMPUTED_VALUE"""),"+11.76")</f>
        <v>+11.76</v>
      </c>
      <c r="F64" s="1">
        <f ca="1">IFERROR(__xludf.DUMMYFUNCTION("""COMPUTED_VALUE"""),111.3)</f>
        <v>111.3</v>
      </c>
      <c r="G64" s="1">
        <f ca="1">IFERROR(__xludf.DUMMYFUNCTION("""COMPUTED_VALUE"""),46)</f>
        <v>46</v>
      </c>
      <c r="H64" s="1">
        <f ca="1">IFERROR(__xludf.DUMMYFUNCTION("""COMPUTED_VALUE"""),99.6)</f>
        <v>99.6</v>
      </c>
      <c r="I64" s="1">
        <f ca="1">IFERROR(__xludf.DUMMYFUNCTION("""COMPUTED_VALUE"""),94)</f>
        <v>94</v>
      </c>
      <c r="J64" s="1">
        <f ca="1">IFERROR(__xludf.DUMMYFUNCTION("""COMPUTED_VALUE"""),66.6)</f>
        <v>66.599999999999994</v>
      </c>
      <c r="K64" s="1">
        <f ca="1">IFERROR(__xludf.DUMMYFUNCTION("""COMPUTED_VALUE"""),221)</f>
        <v>221</v>
      </c>
      <c r="L64" s="1" t="str">
        <f ca="1">IFERROR(__xludf.DUMMYFUNCTION("""COMPUTED_VALUE"""),"+.021")</f>
        <v>+.021</v>
      </c>
      <c r="M64" s="1">
        <f ca="1">IFERROR(__xludf.DUMMYFUNCTION("""COMPUTED_VALUE"""),111)</f>
        <v>111</v>
      </c>
      <c r="N64" s="1" t="str">
        <f ca="1">IFERROR(__xludf.DUMMYFUNCTION("""COMPUTED_VALUE"""),"+2.13")</f>
        <v>+2.13</v>
      </c>
      <c r="O64" s="1">
        <f ca="1">IFERROR(__xludf.DUMMYFUNCTION("""COMPUTED_VALUE"""),118)</f>
        <v>118</v>
      </c>
      <c r="P64" s="1">
        <f ca="1">IFERROR(__xludf.DUMMYFUNCTION("""COMPUTED_VALUE"""),105.6)</f>
        <v>105.6</v>
      </c>
      <c r="Q64" s="1">
        <f ca="1">IFERROR(__xludf.DUMMYFUNCTION("""COMPUTED_VALUE"""),90)</f>
        <v>90</v>
      </c>
      <c r="R64" s="1">
        <f ca="1">IFERROR(__xludf.DUMMYFUNCTION("""COMPUTED_VALUE"""),103.5)</f>
        <v>103.5</v>
      </c>
      <c r="S64" s="1">
        <f ca="1">IFERROR(__xludf.DUMMYFUNCTION("""COMPUTED_VALUE"""),170)</f>
        <v>170</v>
      </c>
      <c r="T64" s="1" t="str">
        <f ca="1">IFERROR(__xludf.DUMMYFUNCTION("""COMPUTED_VALUE"""),"+0.85")</f>
        <v>+0.85</v>
      </c>
      <c r="U64" s="1">
        <f ca="1">IFERROR(__xludf.DUMMYFUNCTION("""COMPUTED_VALUE"""),142)</f>
        <v>142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IFERROR(__xludf.DUMMYFUNCTION("""COMPUTED_VALUE"""),"Louisville")</f>
        <v>Louisville</v>
      </c>
      <c r="C65" s="1" t="str">
        <f ca="1">IFERROR(__xludf.DUMMYFUNCTION("""COMPUTED_VALUE"""),"CUSA")</f>
        <v>CUSA</v>
      </c>
      <c r="D65" s="1" t="str">
        <f ca="1">IFERROR(__xludf.DUMMYFUNCTION("""COMPUTED_VALUE"""),"19-13")</f>
        <v>19-13</v>
      </c>
      <c r="E65" s="1" t="str">
        <f ca="1">IFERROR(__xludf.DUMMYFUNCTION("""COMPUTED_VALUE"""),"+11.74")</f>
        <v>+11.74</v>
      </c>
      <c r="F65" s="1">
        <f ca="1">IFERROR(__xludf.DUMMYFUNCTION("""COMPUTED_VALUE"""),108.1)</f>
        <v>108.1</v>
      </c>
      <c r="G65" s="1">
        <f ca="1">IFERROR(__xludf.DUMMYFUNCTION("""COMPUTED_VALUE"""),84)</f>
        <v>84</v>
      </c>
      <c r="H65" s="1">
        <f ca="1">IFERROR(__xludf.DUMMYFUNCTION("""COMPUTED_VALUE"""),96.4)</f>
        <v>96.4</v>
      </c>
      <c r="I65" s="1">
        <f ca="1">IFERROR(__xludf.DUMMYFUNCTION("""COMPUTED_VALUE"""),44)</f>
        <v>44</v>
      </c>
      <c r="J65" s="1">
        <f ca="1">IFERROR(__xludf.DUMMYFUNCTION("""COMPUTED_VALUE"""),72.6)</f>
        <v>72.599999999999994</v>
      </c>
      <c r="K65" s="1">
        <f ca="1">IFERROR(__xludf.DUMMYFUNCTION("""COMPUTED_VALUE"""),29)</f>
        <v>29</v>
      </c>
      <c r="L65" s="1" t="str">
        <f ca="1">IFERROR(__xludf.DUMMYFUNCTION("""COMPUTED_VALUE"""),"+.008")</f>
        <v>+.008</v>
      </c>
      <c r="M65" s="1">
        <f ca="1">IFERROR(__xludf.DUMMYFUNCTION("""COMPUTED_VALUE"""),149)</f>
        <v>149</v>
      </c>
      <c r="N65" s="1" t="str">
        <f ca="1">IFERROR(__xludf.DUMMYFUNCTION("""COMPUTED_VALUE"""),"+6.99")</f>
        <v>+6.99</v>
      </c>
      <c r="O65" s="1">
        <f ca="1">IFERROR(__xludf.DUMMYFUNCTION("""COMPUTED_VALUE"""),52)</f>
        <v>52</v>
      </c>
      <c r="P65" s="1">
        <f ca="1">IFERROR(__xludf.DUMMYFUNCTION("""COMPUTED_VALUE"""),106.7)</f>
        <v>106.7</v>
      </c>
      <c r="Q65" s="1">
        <f ca="1">IFERROR(__xludf.DUMMYFUNCTION("""COMPUTED_VALUE"""),51)</f>
        <v>51</v>
      </c>
      <c r="R65" s="1">
        <f ca="1">IFERROR(__xludf.DUMMYFUNCTION("""COMPUTED_VALUE"""),99.7)</f>
        <v>99.7</v>
      </c>
      <c r="S65" s="1">
        <f ca="1">IFERROR(__xludf.DUMMYFUNCTION("""COMPUTED_VALUE"""),45)</f>
        <v>45</v>
      </c>
      <c r="T65" s="1" t="str">
        <f ca="1">IFERROR(__xludf.DUMMYFUNCTION("""COMPUTED_VALUE"""),"+1.75")</f>
        <v>+1.75</v>
      </c>
      <c r="U65" s="1">
        <f ca="1">IFERROR(__xludf.DUMMYFUNCTION("""COMPUTED_VALUE"""),117)</f>
        <v>117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IFERROR(__xludf.DUMMYFUNCTION("""COMPUTED_VALUE"""),"Pepperdine10")</f>
        <v>Pepperdine10</v>
      </c>
      <c r="C66" s="1" t="str">
        <f ca="1">IFERROR(__xludf.DUMMYFUNCTION("""COMPUTED_VALUE"""),"WCC")</f>
        <v>WCC</v>
      </c>
      <c r="D66" s="1" t="str">
        <f ca="1">IFERROR(__xludf.DUMMYFUNCTION("""COMPUTED_VALUE"""),"21-9")</f>
        <v>21-9</v>
      </c>
      <c r="E66" s="1" t="str">
        <f ca="1">IFERROR(__xludf.DUMMYFUNCTION("""COMPUTED_VALUE"""),"+11.72")</f>
        <v>+11.72</v>
      </c>
      <c r="F66" s="1">
        <f ca="1">IFERROR(__xludf.DUMMYFUNCTION("""COMPUTED_VALUE"""),111.1)</f>
        <v>111.1</v>
      </c>
      <c r="G66" s="1">
        <f ca="1">IFERROR(__xludf.DUMMYFUNCTION("""COMPUTED_VALUE"""),49)</f>
        <v>49</v>
      </c>
      <c r="H66" s="1">
        <f ca="1">IFERROR(__xludf.DUMMYFUNCTION("""COMPUTED_VALUE"""),99.3)</f>
        <v>99.3</v>
      </c>
      <c r="I66" s="1">
        <f ca="1">IFERROR(__xludf.DUMMYFUNCTION("""COMPUTED_VALUE"""),89)</f>
        <v>89</v>
      </c>
      <c r="J66" s="1">
        <f ca="1">IFERROR(__xludf.DUMMYFUNCTION("""COMPUTED_VALUE"""),72.4)</f>
        <v>72.400000000000006</v>
      </c>
      <c r="K66" s="1">
        <f ca="1">IFERROR(__xludf.DUMMYFUNCTION("""COMPUTED_VALUE"""),33)</f>
        <v>33</v>
      </c>
      <c r="L66" s="1" t="str">
        <f ca="1">IFERROR(__xludf.DUMMYFUNCTION("""COMPUTED_VALUE"""),"+.061")</f>
        <v>+.061</v>
      </c>
      <c r="M66" s="1">
        <f ca="1">IFERROR(__xludf.DUMMYFUNCTION("""COMPUTED_VALUE"""),35)</f>
        <v>35</v>
      </c>
      <c r="N66" s="1" t="str">
        <f ca="1">IFERROR(__xludf.DUMMYFUNCTION("""COMPUTED_VALUE"""),"+3.96")</f>
        <v>+3.96</v>
      </c>
      <c r="O66" s="1">
        <f ca="1">IFERROR(__xludf.DUMMYFUNCTION("""COMPUTED_VALUE"""),95)</f>
        <v>95</v>
      </c>
      <c r="P66" s="1">
        <f ca="1">IFERROR(__xludf.DUMMYFUNCTION("""COMPUTED_VALUE"""),105.7)</f>
        <v>105.7</v>
      </c>
      <c r="Q66" s="1">
        <f ca="1">IFERROR(__xludf.DUMMYFUNCTION("""COMPUTED_VALUE"""),87)</f>
        <v>87</v>
      </c>
      <c r="R66" s="1">
        <f ca="1">IFERROR(__xludf.DUMMYFUNCTION("""COMPUTED_VALUE"""),101.7)</f>
        <v>101.7</v>
      </c>
      <c r="S66" s="1">
        <f ca="1">IFERROR(__xludf.DUMMYFUNCTION("""COMPUTED_VALUE"""),102)</f>
        <v>102</v>
      </c>
      <c r="T66" s="1" t="str">
        <f ca="1">IFERROR(__xludf.DUMMYFUNCTION("""COMPUTED_VALUE"""),"+11.94")</f>
        <v>+11.94</v>
      </c>
      <c r="U66" s="1">
        <f ca="1">IFERROR(__xludf.DUMMYFUNCTION("""COMPUTED_VALUE"""),8)</f>
        <v>8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IFERROR(__xludf.DUMMYFUNCTION("""COMPUTED_VALUE"""),"BYU")</f>
        <v>BYU</v>
      </c>
      <c r="C67" s="1" t="str">
        <f ca="1">IFERROR(__xludf.DUMMYFUNCTION("""COMPUTED_VALUE"""),"MWC")</f>
        <v>MWC</v>
      </c>
      <c r="D67" s="1" t="str">
        <f ca="1">IFERROR(__xludf.DUMMYFUNCTION("""COMPUTED_VALUE"""),"17-12")</f>
        <v>17-12</v>
      </c>
      <c r="E67" s="1" t="str">
        <f ca="1">IFERROR(__xludf.DUMMYFUNCTION("""COMPUTED_VALUE"""),"+11.55")</f>
        <v>+11.55</v>
      </c>
      <c r="F67" s="1">
        <f ca="1">IFERROR(__xludf.DUMMYFUNCTION("""COMPUTED_VALUE"""),109.2)</f>
        <v>109.2</v>
      </c>
      <c r="G67" s="1">
        <f ca="1">IFERROR(__xludf.DUMMYFUNCTION("""COMPUTED_VALUE"""),72)</f>
        <v>72</v>
      </c>
      <c r="H67" s="1">
        <f ca="1">IFERROR(__xludf.DUMMYFUNCTION("""COMPUTED_VALUE"""),97.7)</f>
        <v>97.7</v>
      </c>
      <c r="I67" s="1">
        <f ca="1">IFERROR(__xludf.DUMMYFUNCTION("""COMPUTED_VALUE"""),63)</f>
        <v>63</v>
      </c>
      <c r="J67" s="1">
        <f ca="1">IFERROR(__xludf.DUMMYFUNCTION("""COMPUTED_VALUE"""),65.4)</f>
        <v>65.400000000000006</v>
      </c>
      <c r="K67" s="1">
        <f ca="1">IFERROR(__xludf.DUMMYFUNCTION("""COMPUTED_VALUE"""),261)</f>
        <v>261</v>
      </c>
      <c r="L67" s="1">
        <f ca="1">IFERROR(__xludf.DUMMYFUNCTION("""COMPUTED_VALUE"""),-0.045)</f>
        <v>-4.4999999999999998E-2</v>
      </c>
      <c r="M67" s="1">
        <f ca="1">IFERROR(__xludf.DUMMYFUNCTION("""COMPUTED_VALUE"""),263)</f>
        <v>263</v>
      </c>
      <c r="N67" s="1" t="str">
        <f ca="1">IFERROR(__xludf.DUMMYFUNCTION("""COMPUTED_VALUE"""),"+5.74")</f>
        <v>+5.74</v>
      </c>
      <c r="O67" s="1">
        <f ca="1">IFERROR(__xludf.DUMMYFUNCTION("""COMPUTED_VALUE"""),68)</f>
        <v>68</v>
      </c>
      <c r="P67" s="1">
        <f ca="1">IFERROR(__xludf.DUMMYFUNCTION("""COMPUTED_VALUE"""),106.7)</f>
        <v>106.7</v>
      </c>
      <c r="Q67" s="1">
        <f ca="1">IFERROR(__xludf.DUMMYFUNCTION("""COMPUTED_VALUE"""),52)</f>
        <v>52</v>
      </c>
      <c r="R67" s="1">
        <f ca="1">IFERROR(__xludf.DUMMYFUNCTION("""COMPUTED_VALUE"""),101)</f>
        <v>101</v>
      </c>
      <c r="S67" s="1">
        <f ca="1">IFERROR(__xludf.DUMMYFUNCTION("""COMPUTED_VALUE"""),79)</f>
        <v>79</v>
      </c>
      <c r="T67" s="1" t="str">
        <f ca="1">IFERROR(__xludf.DUMMYFUNCTION("""COMPUTED_VALUE"""),"+3.23")</f>
        <v>+3.23</v>
      </c>
      <c r="U67" s="1">
        <f ca="1">IFERROR(__xludf.DUMMYFUNCTION("""COMPUTED_VALUE"""),84)</f>
        <v>84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IFERROR(__xludf.DUMMYFUNCTION("""COMPUTED_VALUE"""),"Louisiana Tech")</f>
        <v>Louisiana Tech</v>
      </c>
      <c r="C68" s="1" t="str">
        <f ca="1">IFERROR(__xludf.DUMMYFUNCTION("""COMPUTED_VALUE"""),"WAC")</f>
        <v>WAC</v>
      </c>
      <c r="D68" s="1" t="str">
        <f ca="1">IFERROR(__xludf.DUMMYFUNCTION("""COMPUTED_VALUE"""),"20-10")</f>
        <v>20-10</v>
      </c>
      <c r="E68" s="1" t="str">
        <f ca="1">IFERROR(__xludf.DUMMYFUNCTION("""COMPUTED_VALUE"""),"+11.43")</f>
        <v>+11.43</v>
      </c>
      <c r="F68" s="1">
        <f ca="1">IFERROR(__xludf.DUMMYFUNCTION("""COMPUTED_VALUE"""),110)</f>
        <v>110</v>
      </c>
      <c r="G68" s="1">
        <f ca="1">IFERROR(__xludf.DUMMYFUNCTION("""COMPUTED_VALUE"""),61)</f>
        <v>61</v>
      </c>
      <c r="H68" s="1">
        <f ca="1">IFERROR(__xludf.DUMMYFUNCTION("""COMPUTED_VALUE"""),98.6)</f>
        <v>98.6</v>
      </c>
      <c r="I68" s="1">
        <f ca="1">IFERROR(__xludf.DUMMYFUNCTION("""COMPUTED_VALUE"""),79)</f>
        <v>79</v>
      </c>
      <c r="J68" s="1">
        <f ca="1">IFERROR(__xludf.DUMMYFUNCTION("""COMPUTED_VALUE"""),66.3)</f>
        <v>66.3</v>
      </c>
      <c r="K68" s="1">
        <f ca="1">IFERROR(__xludf.DUMMYFUNCTION("""COMPUTED_VALUE"""),231)</f>
        <v>231</v>
      </c>
      <c r="L68" s="1" t="str">
        <f ca="1">IFERROR(__xludf.DUMMYFUNCTION("""COMPUTED_VALUE"""),"+.002")</f>
        <v>+.002</v>
      </c>
      <c r="M68" s="1">
        <f ca="1">IFERROR(__xludf.DUMMYFUNCTION("""COMPUTED_VALUE"""),167)</f>
        <v>167</v>
      </c>
      <c r="N68" s="1" t="str">
        <f ca="1">IFERROR(__xludf.DUMMYFUNCTION("""COMPUTED_VALUE"""),"+3.23")</f>
        <v>+3.23</v>
      </c>
      <c r="O68" s="1">
        <f ca="1">IFERROR(__xludf.DUMMYFUNCTION("""COMPUTED_VALUE"""),102)</f>
        <v>102</v>
      </c>
      <c r="P68" s="1">
        <f ca="1">IFERROR(__xludf.DUMMYFUNCTION("""COMPUTED_VALUE"""),104)</f>
        <v>104</v>
      </c>
      <c r="Q68" s="1">
        <f ca="1">IFERROR(__xludf.DUMMYFUNCTION("""COMPUTED_VALUE"""),139)</f>
        <v>139</v>
      </c>
      <c r="R68" s="1">
        <f ca="1">IFERROR(__xludf.DUMMYFUNCTION("""COMPUTED_VALUE"""),100.8)</f>
        <v>100.8</v>
      </c>
      <c r="S68" s="1">
        <f ca="1">IFERROR(__xludf.DUMMYFUNCTION("""COMPUTED_VALUE"""),74)</f>
        <v>74</v>
      </c>
      <c r="T68" s="1" t="str">
        <f ca="1">IFERROR(__xludf.DUMMYFUNCTION("""COMPUTED_VALUE"""),"+3.66")</f>
        <v>+3.66</v>
      </c>
      <c r="U68" s="1">
        <f ca="1">IFERROR(__xludf.DUMMYFUNCTION("""COMPUTED_VALUE"""),77)</f>
        <v>77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IFERROR(__xludf.DUMMYFUNCTION("""COMPUTED_VALUE"""),"UNC Wilmington13")</f>
        <v>UNC Wilmington13</v>
      </c>
      <c r="C69" s="1" t="str">
        <f ca="1">IFERROR(__xludf.DUMMYFUNCTION("""COMPUTED_VALUE"""),"CAA")</f>
        <v>CAA</v>
      </c>
      <c r="D69" s="1" t="str">
        <f ca="1">IFERROR(__xludf.DUMMYFUNCTION("""COMPUTED_VALUE"""),"23-10")</f>
        <v>23-10</v>
      </c>
      <c r="E69" s="1" t="str">
        <f ca="1">IFERROR(__xludf.DUMMYFUNCTION("""COMPUTED_VALUE"""),"+11.32")</f>
        <v>+11.32</v>
      </c>
      <c r="F69" s="1">
        <f ca="1">IFERROR(__xludf.DUMMYFUNCTION("""COMPUTED_VALUE"""),107.4)</f>
        <v>107.4</v>
      </c>
      <c r="G69" s="1">
        <f ca="1">IFERROR(__xludf.DUMMYFUNCTION("""COMPUTED_VALUE"""),98)</f>
        <v>98</v>
      </c>
      <c r="H69" s="1">
        <f ca="1">IFERROR(__xludf.DUMMYFUNCTION("""COMPUTED_VALUE"""),96.1)</f>
        <v>96.1</v>
      </c>
      <c r="I69" s="1">
        <f ca="1">IFERROR(__xludf.DUMMYFUNCTION("""COMPUTED_VALUE"""),37)</f>
        <v>37</v>
      </c>
      <c r="J69" s="1">
        <f ca="1">IFERROR(__xludf.DUMMYFUNCTION("""COMPUTED_VALUE"""),63.9)</f>
        <v>63.9</v>
      </c>
      <c r="K69" s="1">
        <f ca="1">IFERROR(__xludf.DUMMYFUNCTION("""COMPUTED_VALUE"""),292)</f>
        <v>292</v>
      </c>
      <c r="L69" s="1">
        <f ca="1">IFERROR(__xludf.DUMMYFUNCTION("""COMPUTED_VALUE"""),-0.003)</f>
        <v>-3.0000000000000001E-3</v>
      </c>
      <c r="M69" s="1">
        <f ca="1">IFERROR(__xludf.DUMMYFUNCTION("""COMPUTED_VALUE"""),173)</f>
        <v>173</v>
      </c>
      <c r="N69" s="1" t="str">
        <f ca="1">IFERROR(__xludf.DUMMYFUNCTION("""COMPUTED_VALUE"""),"+0.83")</f>
        <v>+0.83</v>
      </c>
      <c r="O69" s="1">
        <f ca="1">IFERROR(__xludf.DUMMYFUNCTION("""COMPUTED_VALUE"""),141)</f>
        <v>141</v>
      </c>
      <c r="P69" s="1">
        <f ca="1">IFERROR(__xludf.DUMMYFUNCTION("""COMPUTED_VALUE"""),103.2)</f>
        <v>103.2</v>
      </c>
      <c r="Q69" s="1">
        <f ca="1">IFERROR(__xludf.DUMMYFUNCTION("""COMPUTED_VALUE"""),169)</f>
        <v>169</v>
      </c>
      <c r="R69" s="1">
        <f ca="1">IFERROR(__xludf.DUMMYFUNCTION("""COMPUTED_VALUE"""),102.4)</f>
        <v>102.4</v>
      </c>
      <c r="S69" s="1">
        <f ca="1">IFERROR(__xludf.DUMMYFUNCTION("""COMPUTED_VALUE"""),119)</f>
        <v>119</v>
      </c>
      <c r="T69" s="1" t="str">
        <f ca="1">IFERROR(__xludf.DUMMYFUNCTION("""COMPUTED_VALUE"""),"+4.56")</f>
        <v>+4.56</v>
      </c>
      <c r="U69" s="1">
        <f ca="1">IFERROR(__xludf.DUMMYFUNCTION("""COMPUTED_VALUE"""),65)</f>
        <v>65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IFERROR(__xludf.DUMMYFUNCTION("""COMPUTED_VALUE"""),"LSU")</f>
        <v>LSU</v>
      </c>
      <c r="C70" s="1" t="str">
        <f ca="1">IFERROR(__xludf.DUMMYFUNCTION("""COMPUTED_VALUE"""),"SEC")</f>
        <v>SEC</v>
      </c>
      <c r="D70" s="1" t="str">
        <f ca="1">IFERROR(__xludf.DUMMYFUNCTION("""COMPUTED_VALUE"""),"18-15")</f>
        <v>18-15</v>
      </c>
      <c r="E70" s="1" t="str">
        <f ca="1">IFERROR(__xludf.DUMMYFUNCTION("""COMPUTED_VALUE"""),"+11.10")</f>
        <v>+11.10</v>
      </c>
      <c r="F70" s="1">
        <f ca="1">IFERROR(__xludf.DUMMYFUNCTION("""COMPUTED_VALUE"""),105.4)</f>
        <v>105.4</v>
      </c>
      <c r="G70" s="1">
        <f ca="1">IFERROR(__xludf.DUMMYFUNCTION("""COMPUTED_VALUE"""),123)</f>
        <v>123</v>
      </c>
      <c r="H70" s="1">
        <f ca="1">IFERROR(__xludf.DUMMYFUNCTION("""COMPUTED_VALUE"""),94.3)</f>
        <v>94.3</v>
      </c>
      <c r="I70" s="1">
        <f ca="1">IFERROR(__xludf.DUMMYFUNCTION("""COMPUTED_VALUE"""),28)</f>
        <v>28</v>
      </c>
      <c r="J70" s="1">
        <f ca="1">IFERROR(__xludf.DUMMYFUNCTION("""COMPUTED_VALUE"""),64.9)</f>
        <v>64.900000000000006</v>
      </c>
      <c r="K70" s="1">
        <f ca="1">IFERROR(__xludf.DUMMYFUNCTION("""COMPUTED_VALUE"""),275)</f>
        <v>275</v>
      </c>
      <c r="L70" s="1">
        <f ca="1">IFERROR(__xludf.DUMMYFUNCTION("""COMPUTED_VALUE"""),-0.048)</f>
        <v>-4.8000000000000001E-2</v>
      </c>
      <c r="M70" s="1">
        <f ca="1">IFERROR(__xludf.DUMMYFUNCTION("""COMPUTED_VALUE"""),267)</f>
        <v>267</v>
      </c>
      <c r="N70" s="1" t="str">
        <f ca="1">IFERROR(__xludf.DUMMYFUNCTION("""COMPUTED_VALUE"""),"+6.88")</f>
        <v>+6.88</v>
      </c>
      <c r="O70" s="1">
        <f ca="1">IFERROR(__xludf.DUMMYFUNCTION("""COMPUTED_VALUE"""),54)</f>
        <v>54</v>
      </c>
      <c r="P70" s="1">
        <f ca="1">IFERROR(__xludf.DUMMYFUNCTION("""COMPUTED_VALUE"""),106.4)</f>
        <v>106.4</v>
      </c>
      <c r="Q70" s="1">
        <f ca="1">IFERROR(__xludf.DUMMYFUNCTION("""COMPUTED_VALUE"""),65)</f>
        <v>65</v>
      </c>
      <c r="R70" s="1">
        <f ca="1">IFERROR(__xludf.DUMMYFUNCTION("""COMPUTED_VALUE"""),99.5)</f>
        <v>99.5</v>
      </c>
      <c r="S70" s="1">
        <f ca="1">IFERROR(__xludf.DUMMYFUNCTION("""COMPUTED_VALUE"""),38)</f>
        <v>38</v>
      </c>
      <c r="T70" s="1">
        <f ca="1">IFERROR(__xludf.DUMMYFUNCTION("""COMPUTED_VALUE"""),-9.97)</f>
        <v>-9.9700000000000006</v>
      </c>
      <c r="U70" s="1">
        <f ca="1">IFERROR(__xludf.DUMMYFUNCTION("""COMPUTED_VALUE"""),321)</f>
        <v>321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IFERROR(__xludf.DUMMYFUNCTION("""COMPUTED_VALUE"""),"Wyoming11")</f>
        <v>Wyoming11</v>
      </c>
      <c r="C71" s="1" t="str">
        <f ca="1">IFERROR(__xludf.DUMMYFUNCTION("""COMPUTED_VALUE"""),"MWC")</f>
        <v>MWC</v>
      </c>
      <c r="D71" s="1" t="str">
        <f ca="1">IFERROR(__xludf.DUMMYFUNCTION("""COMPUTED_VALUE"""),"22-9")</f>
        <v>22-9</v>
      </c>
      <c r="E71" s="1" t="str">
        <f ca="1">IFERROR(__xludf.DUMMYFUNCTION("""COMPUTED_VALUE"""),"+11.01")</f>
        <v>+11.01</v>
      </c>
      <c r="F71" s="1">
        <f ca="1">IFERROR(__xludf.DUMMYFUNCTION("""COMPUTED_VALUE"""),107.8)</f>
        <v>107.8</v>
      </c>
      <c r="G71" s="1">
        <f ca="1">IFERROR(__xludf.DUMMYFUNCTION("""COMPUTED_VALUE"""),91)</f>
        <v>91</v>
      </c>
      <c r="H71" s="1">
        <f ca="1">IFERROR(__xludf.DUMMYFUNCTION("""COMPUTED_VALUE"""),96.7)</f>
        <v>96.7</v>
      </c>
      <c r="I71" s="1">
        <f ca="1">IFERROR(__xludf.DUMMYFUNCTION("""COMPUTED_VALUE"""),50)</f>
        <v>50</v>
      </c>
      <c r="J71" s="1">
        <f ca="1">IFERROR(__xludf.DUMMYFUNCTION("""COMPUTED_VALUE"""),69)</f>
        <v>69</v>
      </c>
      <c r="K71" s="1">
        <f ca="1">IFERROR(__xludf.DUMMYFUNCTION("""COMPUTED_VALUE"""),136)</f>
        <v>136</v>
      </c>
      <c r="L71" s="1" t="str">
        <f ca="1">IFERROR(__xludf.DUMMYFUNCTION("""COMPUTED_VALUE"""),"+.032")</f>
        <v>+.032</v>
      </c>
      <c r="M71" s="1">
        <f ca="1">IFERROR(__xludf.DUMMYFUNCTION("""COMPUTED_VALUE"""),92)</f>
        <v>92</v>
      </c>
      <c r="N71" s="1" t="str">
        <f ca="1">IFERROR(__xludf.DUMMYFUNCTION("""COMPUTED_VALUE"""),"+3.51")</f>
        <v>+3.51</v>
      </c>
      <c r="O71" s="1">
        <f ca="1">IFERROR(__xludf.DUMMYFUNCTION("""COMPUTED_VALUE"""),100)</f>
        <v>100</v>
      </c>
      <c r="P71" s="1">
        <f ca="1">IFERROR(__xludf.DUMMYFUNCTION("""COMPUTED_VALUE"""),105.5)</f>
        <v>105.5</v>
      </c>
      <c r="Q71" s="1">
        <f ca="1">IFERROR(__xludf.DUMMYFUNCTION("""COMPUTED_VALUE"""),94)</f>
        <v>94</v>
      </c>
      <c r="R71" s="1">
        <f ca="1">IFERROR(__xludf.DUMMYFUNCTION("""COMPUTED_VALUE"""),102)</f>
        <v>102</v>
      </c>
      <c r="S71" s="1">
        <f ca="1">IFERROR(__xludf.DUMMYFUNCTION("""COMPUTED_VALUE"""),109)</f>
        <v>109</v>
      </c>
      <c r="T71" s="1">
        <f ca="1">IFERROR(__xludf.DUMMYFUNCTION("""COMPUTED_VALUE"""),-5.47)</f>
        <v>-5.47</v>
      </c>
      <c r="U71" s="1">
        <f ca="1">IFERROR(__xludf.DUMMYFUNCTION("""COMPUTED_VALUE"""),282)</f>
        <v>282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IFERROR(__xludf.DUMMYFUNCTION("""COMPUTED_VALUE"""),"Saint Joseph's")</f>
        <v>Saint Joseph's</v>
      </c>
      <c r="C72" s="1" t="str">
        <f ca="1">IFERROR(__xludf.DUMMYFUNCTION("""COMPUTED_VALUE"""),"A10")</f>
        <v>A10</v>
      </c>
      <c r="D72" s="1" t="str">
        <f ca="1">IFERROR(__xludf.DUMMYFUNCTION("""COMPUTED_VALUE"""),"19-12")</f>
        <v>19-12</v>
      </c>
      <c r="E72" s="1" t="str">
        <f ca="1">IFERROR(__xludf.DUMMYFUNCTION("""COMPUTED_VALUE"""),"+10.81")</f>
        <v>+10.81</v>
      </c>
      <c r="F72" s="1">
        <f ca="1">IFERROR(__xludf.DUMMYFUNCTION("""COMPUTED_VALUE"""),114.4)</f>
        <v>114.4</v>
      </c>
      <c r="G72" s="1">
        <f ca="1">IFERROR(__xludf.DUMMYFUNCTION("""COMPUTED_VALUE"""),22)</f>
        <v>22</v>
      </c>
      <c r="H72" s="1">
        <f ca="1">IFERROR(__xludf.DUMMYFUNCTION("""COMPUTED_VALUE"""),103.6)</f>
        <v>103.6</v>
      </c>
      <c r="I72" s="1">
        <f ca="1">IFERROR(__xludf.DUMMYFUNCTION("""COMPUTED_VALUE"""),180)</f>
        <v>180</v>
      </c>
      <c r="J72" s="1">
        <f ca="1">IFERROR(__xludf.DUMMYFUNCTION("""COMPUTED_VALUE"""),67.7)</f>
        <v>67.7</v>
      </c>
      <c r="K72" s="1">
        <f ca="1">IFERROR(__xludf.DUMMYFUNCTION("""COMPUTED_VALUE"""),184)</f>
        <v>184</v>
      </c>
      <c r="L72" s="1">
        <f ca="1">IFERROR(__xludf.DUMMYFUNCTION("""COMPUTED_VALUE"""),-0.009)</f>
        <v>-8.9999999999999993E-3</v>
      </c>
      <c r="M72" s="1">
        <f ca="1">IFERROR(__xludf.DUMMYFUNCTION("""COMPUTED_VALUE"""),187)</f>
        <v>187</v>
      </c>
      <c r="N72" s="1" t="str">
        <f ca="1">IFERROR(__xludf.DUMMYFUNCTION("""COMPUTED_VALUE"""),"+4.73")</f>
        <v>+4.73</v>
      </c>
      <c r="O72" s="1">
        <f ca="1">IFERROR(__xludf.DUMMYFUNCTION("""COMPUTED_VALUE"""),84)</f>
        <v>84</v>
      </c>
      <c r="P72" s="1">
        <f ca="1">IFERROR(__xludf.DUMMYFUNCTION("""COMPUTED_VALUE"""),106.4)</f>
        <v>106.4</v>
      </c>
      <c r="Q72" s="1">
        <f ca="1">IFERROR(__xludf.DUMMYFUNCTION("""COMPUTED_VALUE"""),63)</f>
        <v>63</v>
      </c>
      <c r="R72" s="1">
        <f ca="1">IFERROR(__xludf.DUMMYFUNCTION("""COMPUTED_VALUE"""),101.7)</f>
        <v>101.7</v>
      </c>
      <c r="S72" s="1">
        <f ca="1">IFERROR(__xludf.DUMMYFUNCTION("""COMPUTED_VALUE"""),101)</f>
        <v>101</v>
      </c>
      <c r="T72" s="1" t="str">
        <f ca="1">IFERROR(__xludf.DUMMYFUNCTION("""COMPUTED_VALUE"""),"+5.02")</f>
        <v>+5.02</v>
      </c>
      <c r="U72" s="1">
        <f ca="1">IFERROR(__xludf.DUMMYFUNCTION("""COMPUTED_VALUE"""),56)</f>
        <v>56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IFERROR(__xludf.DUMMYFUNCTION("""COMPUTED_VALUE"""),"Arizona St.")</f>
        <v>Arizona St.</v>
      </c>
      <c r="C73" s="1" t="str">
        <f ca="1">IFERROR(__xludf.DUMMYFUNCTION("""COMPUTED_VALUE"""),"P10")</f>
        <v>P10</v>
      </c>
      <c r="D73" s="1" t="str">
        <f ca="1">IFERROR(__xludf.DUMMYFUNCTION("""COMPUTED_VALUE"""),"14-15")</f>
        <v>14-15</v>
      </c>
      <c r="E73" s="1" t="str">
        <f ca="1">IFERROR(__xludf.DUMMYFUNCTION("""COMPUTED_VALUE"""),"+10.54")</f>
        <v>+10.54</v>
      </c>
      <c r="F73" s="1">
        <f ca="1">IFERROR(__xludf.DUMMYFUNCTION("""COMPUTED_VALUE"""),108.6)</f>
        <v>108.6</v>
      </c>
      <c r="G73" s="1">
        <f ca="1">IFERROR(__xludf.DUMMYFUNCTION("""COMPUTED_VALUE"""),78)</f>
        <v>78</v>
      </c>
      <c r="H73" s="1">
        <f ca="1">IFERROR(__xludf.DUMMYFUNCTION("""COMPUTED_VALUE"""),98.1)</f>
        <v>98.1</v>
      </c>
      <c r="I73" s="1">
        <f ca="1">IFERROR(__xludf.DUMMYFUNCTION("""COMPUTED_VALUE"""),69)</f>
        <v>69</v>
      </c>
      <c r="J73" s="1">
        <f ca="1">IFERROR(__xludf.DUMMYFUNCTION("""COMPUTED_VALUE"""),71.7)</f>
        <v>71.7</v>
      </c>
      <c r="K73" s="1">
        <f ca="1">IFERROR(__xludf.DUMMYFUNCTION("""COMPUTED_VALUE"""),47)</f>
        <v>47</v>
      </c>
      <c r="L73" s="1">
        <f ca="1">IFERROR(__xludf.DUMMYFUNCTION("""COMPUTED_VALUE"""),-0.09)</f>
        <v>-0.09</v>
      </c>
      <c r="M73" s="1">
        <f ca="1">IFERROR(__xludf.DUMMYFUNCTION("""COMPUTED_VALUE"""),312)</f>
        <v>312</v>
      </c>
      <c r="N73" s="1" t="str">
        <f ca="1">IFERROR(__xludf.DUMMYFUNCTION("""COMPUTED_VALUE"""),"+7.95")</f>
        <v>+7.95</v>
      </c>
      <c r="O73" s="1">
        <f ca="1">IFERROR(__xludf.DUMMYFUNCTION("""COMPUTED_VALUE"""),40)</f>
        <v>40</v>
      </c>
      <c r="P73" s="1">
        <f ca="1">IFERROR(__xludf.DUMMYFUNCTION("""COMPUTED_VALUE"""),108.5)</f>
        <v>108.5</v>
      </c>
      <c r="Q73" s="1">
        <f ca="1">IFERROR(__xludf.DUMMYFUNCTION("""COMPUTED_VALUE"""),23)</f>
        <v>23</v>
      </c>
      <c r="R73" s="1">
        <f ca="1">IFERROR(__xludf.DUMMYFUNCTION("""COMPUTED_VALUE"""),100.5)</f>
        <v>100.5</v>
      </c>
      <c r="S73" s="1">
        <f ca="1">IFERROR(__xludf.DUMMYFUNCTION("""COMPUTED_VALUE"""),68)</f>
        <v>68</v>
      </c>
      <c r="T73" s="1">
        <f ca="1">IFERROR(__xludf.DUMMYFUNCTION("""COMPUTED_VALUE"""),-8.11)</f>
        <v>-8.11</v>
      </c>
      <c r="U73" s="1">
        <f ca="1">IFERROR(__xludf.DUMMYFUNCTION("""COMPUTED_VALUE"""),308)</f>
        <v>308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IFERROR(__xludf.DUMMYFUNCTION("""COMPUTED_VALUE"""),"Georgia Tech")</f>
        <v>Georgia Tech</v>
      </c>
      <c r="C74" s="1" t="str">
        <f ca="1">IFERROR(__xludf.DUMMYFUNCTION("""COMPUTED_VALUE"""),"ACC")</f>
        <v>ACC</v>
      </c>
      <c r="D74" s="1" t="str">
        <f ca="1">IFERROR(__xludf.DUMMYFUNCTION("""COMPUTED_VALUE"""),"15-16")</f>
        <v>15-16</v>
      </c>
      <c r="E74" s="1" t="str">
        <f ca="1">IFERROR(__xludf.DUMMYFUNCTION("""COMPUTED_VALUE"""),"+10.50")</f>
        <v>+10.50</v>
      </c>
      <c r="F74" s="1">
        <f ca="1">IFERROR(__xludf.DUMMYFUNCTION("""COMPUTED_VALUE"""),111.1)</f>
        <v>111.1</v>
      </c>
      <c r="G74" s="1">
        <f ca="1">IFERROR(__xludf.DUMMYFUNCTION("""COMPUTED_VALUE"""),50)</f>
        <v>50</v>
      </c>
      <c r="H74" s="1">
        <f ca="1">IFERROR(__xludf.DUMMYFUNCTION("""COMPUTED_VALUE"""),100.6)</f>
        <v>100.6</v>
      </c>
      <c r="I74" s="1">
        <f ca="1">IFERROR(__xludf.DUMMYFUNCTION("""COMPUTED_VALUE"""),116)</f>
        <v>116</v>
      </c>
      <c r="J74" s="1">
        <f ca="1">IFERROR(__xludf.DUMMYFUNCTION("""COMPUTED_VALUE"""),70.5)</f>
        <v>70.5</v>
      </c>
      <c r="K74" s="1">
        <f ca="1">IFERROR(__xludf.DUMMYFUNCTION("""COMPUTED_VALUE"""),74)</f>
        <v>74</v>
      </c>
      <c r="L74" s="1">
        <f ca="1">IFERROR(__xludf.DUMMYFUNCTION("""COMPUTED_VALUE"""),-0.022)</f>
        <v>-2.1999999999999999E-2</v>
      </c>
      <c r="M74" s="1">
        <f ca="1">IFERROR(__xludf.DUMMYFUNCTION("""COMPUTED_VALUE"""),212)</f>
        <v>212</v>
      </c>
      <c r="N74" s="1" t="str">
        <f ca="1">IFERROR(__xludf.DUMMYFUNCTION("""COMPUTED_VALUE"""),"+8.63")</f>
        <v>+8.63</v>
      </c>
      <c r="O74" s="1">
        <f ca="1">IFERROR(__xludf.DUMMYFUNCTION("""COMPUTED_VALUE"""),27)</f>
        <v>27</v>
      </c>
      <c r="P74" s="1">
        <f ca="1">IFERROR(__xludf.DUMMYFUNCTION("""COMPUTED_VALUE"""),108)</f>
        <v>108</v>
      </c>
      <c r="Q74" s="1">
        <f ca="1">IFERROR(__xludf.DUMMYFUNCTION("""COMPUTED_VALUE"""),33)</f>
        <v>33</v>
      </c>
      <c r="R74" s="1">
        <f ca="1">IFERROR(__xludf.DUMMYFUNCTION("""COMPUTED_VALUE"""),99.4)</f>
        <v>99.4</v>
      </c>
      <c r="S74" s="1">
        <f ca="1">IFERROR(__xludf.DUMMYFUNCTION("""COMPUTED_VALUE"""),35)</f>
        <v>35</v>
      </c>
      <c r="T74" s="1" t="str">
        <f ca="1">IFERROR(__xludf.DUMMYFUNCTION("""COMPUTED_VALUE"""),"+0.93")</f>
        <v>+0.93</v>
      </c>
      <c r="U74" s="1">
        <f ca="1">IFERROR(__xludf.DUMMYFUNCTION("""COMPUTED_VALUE"""),139)</f>
        <v>139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IFERROR(__xludf.DUMMYFUNCTION("""COMPUTED_VALUE"""),"Boston College11")</f>
        <v>Boston College11</v>
      </c>
      <c r="C75" s="1" t="str">
        <f ca="1">IFERROR(__xludf.DUMMYFUNCTION("""COMPUTED_VALUE"""),"BE")</f>
        <v>BE</v>
      </c>
      <c r="D75" s="1" t="str">
        <f ca="1">IFERROR(__xludf.DUMMYFUNCTION("""COMPUTED_VALUE"""),"20-12")</f>
        <v>20-12</v>
      </c>
      <c r="E75" s="1" t="str">
        <f ca="1">IFERROR(__xludf.DUMMYFUNCTION("""COMPUTED_VALUE"""),"+9.97")</f>
        <v>+9.97</v>
      </c>
      <c r="F75" s="1">
        <f ca="1">IFERROR(__xludf.DUMMYFUNCTION("""COMPUTED_VALUE"""),109.4)</f>
        <v>109.4</v>
      </c>
      <c r="G75" s="1">
        <f ca="1">IFERROR(__xludf.DUMMYFUNCTION("""COMPUTED_VALUE"""),70)</f>
        <v>70</v>
      </c>
      <c r="H75" s="1">
        <f ca="1">IFERROR(__xludf.DUMMYFUNCTION("""COMPUTED_VALUE"""),99.4)</f>
        <v>99.4</v>
      </c>
      <c r="I75" s="1">
        <f ca="1">IFERROR(__xludf.DUMMYFUNCTION("""COMPUTED_VALUE"""),91)</f>
        <v>91</v>
      </c>
      <c r="J75" s="1">
        <f ca="1">IFERROR(__xludf.DUMMYFUNCTION("""COMPUTED_VALUE"""),69.1)</f>
        <v>69.099999999999994</v>
      </c>
      <c r="K75" s="1">
        <f ca="1">IFERROR(__xludf.DUMMYFUNCTION("""COMPUTED_VALUE"""),128)</f>
        <v>128</v>
      </c>
      <c r="L75" s="1" t="str">
        <f ca="1">IFERROR(__xludf.DUMMYFUNCTION("""COMPUTED_VALUE"""),"+.040")</f>
        <v>+.040</v>
      </c>
      <c r="M75" s="1">
        <f ca="1">IFERROR(__xludf.DUMMYFUNCTION("""COMPUTED_VALUE"""),75)</f>
        <v>75</v>
      </c>
      <c r="N75" s="1" t="str">
        <f ca="1">IFERROR(__xludf.DUMMYFUNCTION("""COMPUTED_VALUE"""),"+6.41")</f>
        <v>+6.41</v>
      </c>
      <c r="O75" s="1">
        <f ca="1">IFERROR(__xludf.DUMMYFUNCTION("""COMPUTED_VALUE"""),58)</f>
        <v>58</v>
      </c>
      <c r="P75" s="1">
        <f ca="1">IFERROR(__xludf.DUMMYFUNCTION("""COMPUTED_VALUE"""),105.3)</f>
        <v>105.3</v>
      </c>
      <c r="Q75" s="1">
        <f ca="1">IFERROR(__xludf.DUMMYFUNCTION("""COMPUTED_VALUE"""),102)</f>
        <v>102</v>
      </c>
      <c r="R75" s="1">
        <f ca="1">IFERROR(__xludf.DUMMYFUNCTION("""COMPUTED_VALUE"""),98.9)</f>
        <v>98.9</v>
      </c>
      <c r="S75" s="1">
        <f ca="1">IFERROR(__xludf.DUMMYFUNCTION("""COMPUTED_VALUE"""),22)</f>
        <v>22</v>
      </c>
      <c r="T75" s="1">
        <f ca="1">IFERROR(__xludf.DUMMYFUNCTION("""COMPUTED_VALUE"""),-2.77)</f>
        <v>-2.77</v>
      </c>
      <c r="U75" s="1">
        <f ca="1">IFERROR(__xludf.DUMMYFUNCTION("""COMPUTED_VALUE"""),230)</f>
        <v>230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IFERROR(__xludf.DUMMYFUNCTION("""COMPUTED_VALUE"""),"Tennessee Tech")</f>
        <v>Tennessee Tech</v>
      </c>
      <c r="C76" s="1" t="str">
        <f ca="1">IFERROR(__xludf.DUMMYFUNCTION("""COMPUTED_VALUE"""),"OVC")</f>
        <v>OVC</v>
      </c>
      <c r="D76" s="1" t="str">
        <f ca="1">IFERROR(__xludf.DUMMYFUNCTION("""COMPUTED_VALUE"""),"24-7")</f>
        <v>24-7</v>
      </c>
      <c r="E76" s="1" t="str">
        <f ca="1">IFERROR(__xludf.DUMMYFUNCTION("""COMPUTED_VALUE"""),"+9.44")</f>
        <v>+9.44</v>
      </c>
      <c r="F76" s="1">
        <f ca="1">IFERROR(__xludf.DUMMYFUNCTION("""COMPUTED_VALUE"""),109.9)</f>
        <v>109.9</v>
      </c>
      <c r="G76" s="1">
        <f ca="1">IFERROR(__xludf.DUMMYFUNCTION("""COMPUTED_VALUE"""),65)</f>
        <v>65</v>
      </c>
      <c r="H76" s="1">
        <f ca="1">IFERROR(__xludf.DUMMYFUNCTION("""COMPUTED_VALUE"""),100.4)</f>
        <v>100.4</v>
      </c>
      <c r="I76" s="1">
        <f ca="1">IFERROR(__xludf.DUMMYFUNCTION("""COMPUTED_VALUE"""),109)</f>
        <v>109</v>
      </c>
      <c r="J76" s="1">
        <f ca="1">IFERROR(__xludf.DUMMYFUNCTION("""COMPUTED_VALUE"""),67.2)</f>
        <v>67.2</v>
      </c>
      <c r="K76" s="1">
        <f ca="1">IFERROR(__xludf.DUMMYFUNCTION("""COMPUTED_VALUE"""),204)</f>
        <v>204</v>
      </c>
      <c r="L76" s="1" t="str">
        <f ca="1">IFERROR(__xludf.DUMMYFUNCTION("""COMPUTED_VALUE"""),"+.003")</f>
        <v>+.003</v>
      </c>
      <c r="M76" s="1">
        <f ca="1">IFERROR(__xludf.DUMMYFUNCTION("""COMPUTED_VALUE"""),162)</f>
        <v>162</v>
      </c>
      <c r="N76" s="1">
        <f ca="1">IFERROR(__xludf.DUMMYFUNCTION("""COMPUTED_VALUE"""),-2.73)</f>
        <v>-2.73</v>
      </c>
      <c r="O76" s="1">
        <f ca="1">IFERROR(__xludf.DUMMYFUNCTION("""COMPUTED_VALUE"""),216)</f>
        <v>216</v>
      </c>
      <c r="P76" s="1">
        <f ca="1">IFERROR(__xludf.DUMMYFUNCTION("""COMPUTED_VALUE"""),103.4)</f>
        <v>103.4</v>
      </c>
      <c r="Q76" s="1">
        <f ca="1">IFERROR(__xludf.DUMMYFUNCTION("""COMPUTED_VALUE"""),164)</f>
        <v>164</v>
      </c>
      <c r="R76" s="1">
        <f ca="1">IFERROR(__xludf.DUMMYFUNCTION("""COMPUTED_VALUE"""),106.1)</f>
        <v>106.1</v>
      </c>
      <c r="S76" s="1">
        <f ca="1">IFERROR(__xludf.DUMMYFUNCTION("""COMPUTED_VALUE"""),270)</f>
        <v>270</v>
      </c>
      <c r="T76" s="1" t="str">
        <f ca="1">IFERROR(__xludf.DUMMYFUNCTION("""COMPUTED_VALUE"""),"+3.00")</f>
        <v>+3.00</v>
      </c>
      <c r="U76" s="1">
        <f ca="1">IFERROR(__xludf.DUMMYFUNCTION("""COMPUTED_VALUE"""),89)</f>
        <v>89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IFERROR(__xludf.DUMMYFUNCTION("""COMPUTED_VALUE"""),"South Florida")</f>
        <v>South Florida</v>
      </c>
      <c r="C77" s="1" t="str">
        <f ca="1">IFERROR(__xludf.DUMMYFUNCTION("""COMPUTED_VALUE"""),"CUSA")</f>
        <v>CUSA</v>
      </c>
      <c r="D77" s="1" t="str">
        <f ca="1">IFERROR(__xludf.DUMMYFUNCTION("""COMPUTED_VALUE"""),"19-13")</f>
        <v>19-13</v>
      </c>
      <c r="E77" s="1" t="str">
        <f ca="1">IFERROR(__xludf.DUMMYFUNCTION("""COMPUTED_VALUE"""),"+9.43")</f>
        <v>+9.43</v>
      </c>
      <c r="F77" s="1">
        <f ca="1">IFERROR(__xludf.DUMMYFUNCTION("""COMPUTED_VALUE"""),107.9)</f>
        <v>107.9</v>
      </c>
      <c r="G77" s="1">
        <f ca="1">IFERROR(__xludf.DUMMYFUNCTION("""COMPUTED_VALUE"""),87)</f>
        <v>87</v>
      </c>
      <c r="H77" s="1">
        <f ca="1">IFERROR(__xludf.DUMMYFUNCTION("""COMPUTED_VALUE"""),98.4)</f>
        <v>98.4</v>
      </c>
      <c r="I77" s="1">
        <f ca="1">IFERROR(__xludf.DUMMYFUNCTION("""COMPUTED_VALUE"""),76)</f>
        <v>76</v>
      </c>
      <c r="J77" s="1">
        <f ca="1">IFERROR(__xludf.DUMMYFUNCTION("""COMPUTED_VALUE"""),71.8)</f>
        <v>71.8</v>
      </c>
      <c r="K77" s="1">
        <f ca="1">IFERROR(__xludf.DUMMYFUNCTION("""COMPUTED_VALUE"""),46)</f>
        <v>46</v>
      </c>
      <c r="L77" s="1" t="str">
        <f ca="1">IFERROR(__xludf.DUMMYFUNCTION("""COMPUTED_VALUE"""),"+.018")</f>
        <v>+.018</v>
      </c>
      <c r="M77" s="1">
        <f ca="1">IFERROR(__xludf.DUMMYFUNCTION("""COMPUTED_VALUE"""),114)</f>
        <v>114</v>
      </c>
      <c r="N77" s="1" t="str">
        <f ca="1">IFERROR(__xludf.DUMMYFUNCTION("""COMPUTED_VALUE"""),"+5.41")</f>
        <v>+5.41</v>
      </c>
      <c r="O77" s="1">
        <f ca="1">IFERROR(__xludf.DUMMYFUNCTION("""COMPUTED_VALUE"""),71)</f>
        <v>71</v>
      </c>
      <c r="P77" s="1">
        <f ca="1">IFERROR(__xludf.DUMMYFUNCTION("""COMPUTED_VALUE"""),105.8)</f>
        <v>105.8</v>
      </c>
      <c r="Q77" s="1">
        <f ca="1">IFERROR(__xludf.DUMMYFUNCTION("""COMPUTED_VALUE"""),82)</f>
        <v>82</v>
      </c>
      <c r="R77" s="1">
        <f ca="1">IFERROR(__xludf.DUMMYFUNCTION("""COMPUTED_VALUE"""),100.4)</f>
        <v>100.4</v>
      </c>
      <c r="S77" s="1">
        <f ca="1">IFERROR(__xludf.DUMMYFUNCTION("""COMPUTED_VALUE"""),67)</f>
        <v>67</v>
      </c>
      <c r="T77" s="1">
        <f ca="1">IFERROR(__xludf.DUMMYFUNCTION("""COMPUTED_VALUE"""),-0.1)</f>
        <v>-0.1</v>
      </c>
      <c r="U77" s="1">
        <f ca="1">IFERROR(__xludf.DUMMYFUNCTION("""COMPUTED_VALUE"""),157)</f>
        <v>157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IFERROR(__xludf.DUMMYFUNCTION("""COMPUTED_VALUE"""),"San Diego St.13")</f>
        <v>San Diego St.13</v>
      </c>
      <c r="C78" s="1" t="str">
        <f ca="1">IFERROR(__xludf.DUMMYFUNCTION("""COMPUTED_VALUE"""),"MWC")</f>
        <v>MWC</v>
      </c>
      <c r="D78" s="1" t="str">
        <f ca="1">IFERROR(__xludf.DUMMYFUNCTION("""COMPUTED_VALUE"""),"21-12")</f>
        <v>21-12</v>
      </c>
      <c r="E78" s="1" t="str">
        <f ca="1">IFERROR(__xludf.DUMMYFUNCTION("""COMPUTED_VALUE"""),"+9.29")</f>
        <v>+9.29</v>
      </c>
      <c r="F78" s="1">
        <f ca="1">IFERROR(__xludf.DUMMYFUNCTION("""COMPUTED_VALUE"""),106.9)</f>
        <v>106.9</v>
      </c>
      <c r="G78" s="1">
        <f ca="1">IFERROR(__xludf.DUMMYFUNCTION("""COMPUTED_VALUE"""),104)</f>
        <v>104</v>
      </c>
      <c r="H78" s="1">
        <f ca="1">IFERROR(__xludf.DUMMYFUNCTION("""COMPUTED_VALUE"""),97.6)</f>
        <v>97.6</v>
      </c>
      <c r="I78" s="1">
        <f ca="1">IFERROR(__xludf.DUMMYFUNCTION("""COMPUTED_VALUE"""),62)</f>
        <v>62</v>
      </c>
      <c r="J78" s="1">
        <f ca="1">IFERROR(__xludf.DUMMYFUNCTION("""COMPUTED_VALUE"""),70)</f>
        <v>70</v>
      </c>
      <c r="K78" s="1">
        <f ca="1">IFERROR(__xludf.DUMMYFUNCTION("""COMPUTED_VALUE"""),93)</f>
        <v>93</v>
      </c>
      <c r="L78" s="1" t="str">
        <f ca="1">IFERROR(__xludf.DUMMYFUNCTION("""COMPUTED_VALUE"""),"+.055")</f>
        <v>+.055</v>
      </c>
      <c r="M78" s="1">
        <f ca="1">IFERROR(__xludf.DUMMYFUNCTION("""COMPUTED_VALUE"""),46)</f>
        <v>46</v>
      </c>
      <c r="N78" s="1" t="str">
        <f ca="1">IFERROR(__xludf.DUMMYFUNCTION("""COMPUTED_VALUE"""),"+5.64")</f>
        <v>+5.64</v>
      </c>
      <c r="O78" s="1">
        <f ca="1">IFERROR(__xludf.DUMMYFUNCTION("""COMPUTED_VALUE"""),70)</f>
        <v>70</v>
      </c>
      <c r="P78" s="1">
        <f ca="1">IFERROR(__xludf.DUMMYFUNCTION("""COMPUTED_VALUE"""),106.7)</f>
        <v>106.7</v>
      </c>
      <c r="Q78" s="1">
        <f ca="1">IFERROR(__xludf.DUMMYFUNCTION("""COMPUTED_VALUE"""),53)</f>
        <v>53</v>
      </c>
      <c r="R78" s="1">
        <f ca="1">IFERROR(__xludf.DUMMYFUNCTION("""COMPUTED_VALUE"""),101.1)</f>
        <v>101.1</v>
      </c>
      <c r="S78" s="1">
        <f ca="1">IFERROR(__xludf.DUMMYFUNCTION("""COMPUTED_VALUE"""),82)</f>
        <v>82</v>
      </c>
      <c r="T78" s="1" t="str">
        <f ca="1">IFERROR(__xludf.DUMMYFUNCTION("""COMPUTED_VALUE"""),"+0.67")</f>
        <v>+0.67</v>
      </c>
      <c r="U78" s="1">
        <f ca="1">IFERROR(__xludf.DUMMYFUNCTION("""COMPUTED_VALUE"""),144)</f>
        <v>144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IFERROR(__xludf.DUMMYFUNCTION("""COMPUTED_VALUE"""),"Utah St.")</f>
        <v>Utah St.</v>
      </c>
      <c r="C79" s="1" t="str">
        <f ca="1">IFERROR(__xludf.DUMMYFUNCTION("""COMPUTED_VALUE"""),"BW")</f>
        <v>BW</v>
      </c>
      <c r="D79" s="1" t="str">
        <f ca="1">IFERROR(__xludf.DUMMYFUNCTION("""COMPUTED_VALUE"""),"22-8")</f>
        <v>22-8</v>
      </c>
      <c r="E79" s="1" t="str">
        <f ca="1">IFERROR(__xludf.DUMMYFUNCTION("""COMPUTED_VALUE"""),"+9.17")</f>
        <v>+9.17</v>
      </c>
      <c r="F79" s="1">
        <f ca="1">IFERROR(__xludf.DUMMYFUNCTION("""COMPUTED_VALUE"""),106.3)</f>
        <v>106.3</v>
      </c>
      <c r="G79" s="1">
        <f ca="1">IFERROR(__xludf.DUMMYFUNCTION("""COMPUTED_VALUE"""),111)</f>
        <v>111</v>
      </c>
      <c r="H79" s="1">
        <f ca="1">IFERROR(__xludf.DUMMYFUNCTION("""COMPUTED_VALUE"""),97.2)</f>
        <v>97.2</v>
      </c>
      <c r="I79" s="1">
        <f ca="1">IFERROR(__xludf.DUMMYFUNCTION("""COMPUTED_VALUE"""),56)</f>
        <v>56</v>
      </c>
      <c r="J79" s="1">
        <f ca="1">IFERROR(__xludf.DUMMYFUNCTION("""COMPUTED_VALUE"""),63.3)</f>
        <v>63.3</v>
      </c>
      <c r="K79" s="1">
        <f ca="1">IFERROR(__xludf.DUMMYFUNCTION("""COMPUTED_VALUE"""),301)</f>
        <v>301</v>
      </c>
      <c r="L79" s="1">
        <f ca="1">IFERROR(__xludf.DUMMYFUNCTION("""COMPUTED_VALUE"""),-0.025)</f>
        <v>-2.5000000000000001E-2</v>
      </c>
      <c r="M79" s="1">
        <f ca="1">IFERROR(__xludf.DUMMYFUNCTION("""COMPUTED_VALUE"""),215)</f>
        <v>215</v>
      </c>
      <c r="N79" s="1">
        <f ca="1">IFERROR(__xludf.DUMMYFUNCTION("""COMPUTED_VALUE"""),-2.19)</f>
        <v>-2.19</v>
      </c>
      <c r="O79" s="1">
        <f ca="1">IFERROR(__xludf.DUMMYFUNCTION("""COMPUTED_VALUE"""),207)</f>
        <v>207</v>
      </c>
      <c r="P79" s="1">
        <f ca="1">IFERROR(__xludf.DUMMYFUNCTION("""COMPUTED_VALUE"""),102.3)</f>
        <v>102.3</v>
      </c>
      <c r="Q79" s="1">
        <f ca="1">IFERROR(__xludf.DUMMYFUNCTION("""COMPUTED_VALUE"""),203)</f>
        <v>203</v>
      </c>
      <c r="R79" s="1">
        <f ca="1">IFERROR(__xludf.DUMMYFUNCTION("""COMPUTED_VALUE"""),104.5)</f>
        <v>104.5</v>
      </c>
      <c r="S79" s="1">
        <f ca="1">IFERROR(__xludf.DUMMYFUNCTION("""COMPUTED_VALUE"""),213)</f>
        <v>213</v>
      </c>
      <c r="T79" s="1">
        <f ca="1">IFERROR(__xludf.DUMMYFUNCTION("""COMPUTED_VALUE"""),-1.62)</f>
        <v>-1.62</v>
      </c>
      <c r="U79" s="1">
        <f ca="1">IFERROR(__xludf.DUMMYFUNCTION("""COMPUTED_VALUE"""),207)</f>
        <v>207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IFERROR(__xludf.DUMMYFUNCTION("""COMPUTED_VALUE"""),"St. John's9")</f>
        <v>St. John's9</v>
      </c>
      <c r="C80" s="1" t="str">
        <f ca="1">IFERROR(__xludf.DUMMYFUNCTION("""COMPUTED_VALUE"""),"BE")</f>
        <v>BE</v>
      </c>
      <c r="D80" s="1" t="str">
        <f ca="1">IFERROR(__xludf.DUMMYFUNCTION("""COMPUTED_VALUE"""),"20-12")</f>
        <v>20-12</v>
      </c>
      <c r="E80" s="1" t="str">
        <f ca="1">IFERROR(__xludf.DUMMYFUNCTION("""COMPUTED_VALUE"""),"+9.06")</f>
        <v>+9.06</v>
      </c>
      <c r="F80" s="1">
        <f ca="1">IFERROR(__xludf.DUMMYFUNCTION("""COMPUTED_VALUE"""),102.7)</f>
        <v>102.7</v>
      </c>
      <c r="G80" s="1">
        <f ca="1">IFERROR(__xludf.DUMMYFUNCTION("""COMPUTED_VALUE"""),170)</f>
        <v>170</v>
      </c>
      <c r="H80" s="1">
        <f ca="1">IFERROR(__xludf.DUMMYFUNCTION("""COMPUTED_VALUE"""),93.6)</f>
        <v>93.6</v>
      </c>
      <c r="I80" s="1">
        <f ca="1">IFERROR(__xludf.DUMMYFUNCTION("""COMPUTED_VALUE"""),24)</f>
        <v>24</v>
      </c>
      <c r="J80" s="1">
        <f ca="1">IFERROR(__xludf.DUMMYFUNCTION("""COMPUTED_VALUE"""),69.1)</f>
        <v>69.099999999999994</v>
      </c>
      <c r="K80" s="1">
        <f ca="1">IFERROR(__xludf.DUMMYFUNCTION("""COMPUTED_VALUE"""),125)</f>
        <v>125</v>
      </c>
      <c r="L80" s="1" t="str">
        <f ca="1">IFERROR(__xludf.DUMMYFUNCTION("""COMPUTED_VALUE"""),"+.089")</f>
        <v>+.089</v>
      </c>
      <c r="M80" s="1">
        <f ca="1">IFERROR(__xludf.DUMMYFUNCTION("""COMPUTED_VALUE"""),11)</f>
        <v>11</v>
      </c>
      <c r="N80" s="1" t="str">
        <f ca="1">IFERROR(__xludf.DUMMYFUNCTION("""COMPUTED_VALUE"""),"+6.40")</f>
        <v>+6.40</v>
      </c>
      <c r="O80" s="1">
        <f ca="1">IFERROR(__xludf.DUMMYFUNCTION("""COMPUTED_VALUE"""),59)</f>
        <v>59</v>
      </c>
      <c r="P80" s="1">
        <f ca="1">IFERROR(__xludf.DUMMYFUNCTION("""COMPUTED_VALUE"""),106.5)</f>
        <v>106.5</v>
      </c>
      <c r="Q80" s="1">
        <f ca="1">IFERROR(__xludf.DUMMYFUNCTION("""COMPUTED_VALUE"""),61)</f>
        <v>61</v>
      </c>
      <c r="R80" s="1">
        <f ca="1">IFERROR(__xludf.DUMMYFUNCTION("""COMPUTED_VALUE"""),100.1)</f>
        <v>100.1</v>
      </c>
      <c r="S80" s="1">
        <f ca="1">IFERROR(__xludf.DUMMYFUNCTION("""COMPUTED_VALUE"""),57)</f>
        <v>57</v>
      </c>
      <c r="T80" s="1">
        <f ca="1">IFERROR(__xludf.DUMMYFUNCTION("""COMPUTED_VALUE"""),-0.79)</f>
        <v>-0.79</v>
      </c>
      <c r="U80" s="1">
        <f ca="1">IFERROR(__xludf.DUMMYFUNCTION("""COMPUTED_VALUE"""),181)</f>
        <v>181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IFERROR(__xludf.DUMMYFUNCTION("""COMPUTED_VALUE"""),"UC Santa Barbara14")</f>
        <v>UC Santa Barbara14</v>
      </c>
      <c r="C81" s="1" t="str">
        <f ca="1">IFERROR(__xludf.DUMMYFUNCTION("""COMPUTED_VALUE"""),"BW")</f>
        <v>BW</v>
      </c>
      <c r="D81" s="1" t="str">
        <f ca="1">IFERROR(__xludf.DUMMYFUNCTION("""COMPUTED_VALUE"""),"19-11")</f>
        <v>19-11</v>
      </c>
      <c r="E81" s="1" t="str">
        <f ca="1">IFERROR(__xludf.DUMMYFUNCTION("""COMPUTED_VALUE"""),"+8.87")</f>
        <v>+8.87</v>
      </c>
      <c r="F81" s="1">
        <f ca="1">IFERROR(__xludf.DUMMYFUNCTION("""COMPUTED_VALUE"""),108.2)</f>
        <v>108.2</v>
      </c>
      <c r="G81" s="1">
        <f ca="1">IFERROR(__xludf.DUMMYFUNCTION("""COMPUTED_VALUE"""),81)</f>
        <v>81</v>
      </c>
      <c r="H81" s="1">
        <f ca="1">IFERROR(__xludf.DUMMYFUNCTION("""COMPUTED_VALUE"""),99.3)</f>
        <v>99.3</v>
      </c>
      <c r="I81" s="1">
        <f ca="1">IFERROR(__xludf.DUMMYFUNCTION("""COMPUTED_VALUE"""),90)</f>
        <v>90</v>
      </c>
      <c r="J81" s="1">
        <f ca="1">IFERROR(__xludf.DUMMYFUNCTION("""COMPUTED_VALUE"""),63.4)</f>
        <v>63.4</v>
      </c>
      <c r="K81" s="1">
        <f ca="1">IFERROR(__xludf.DUMMYFUNCTION("""COMPUTED_VALUE"""),296)</f>
        <v>296</v>
      </c>
      <c r="L81" s="1">
        <f ca="1">IFERROR(__xludf.DUMMYFUNCTION("""COMPUTED_VALUE"""),-0.058)</f>
        <v>-5.8000000000000003E-2</v>
      </c>
      <c r="M81" s="1">
        <f ca="1">IFERROR(__xludf.DUMMYFUNCTION("""COMPUTED_VALUE"""),284)</f>
        <v>284</v>
      </c>
      <c r="N81" s="1" t="str">
        <f ca="1">IFERROR(__xludf.DUMMYFUNCTION("""COMPUTED_VALUE"""),"+0.45")</f>
        <v>+0.45</v>
      </c>
      <c r="O81" s="1">
        <f ca="1">IFERROR(__xludf.DUMMYFUNCTION("""COMPUTED_VALUE"""),146)</f>
        <v>146</v>
      </c>
      <c r="P81" s="1">
        <f ca="1">IFERROR(__xludf.DUMMYFUNCTION("""COMPUTED_VALUE"""),103.1)</f>
        <v>103.1</v>
      </c>
      <c r="Q81" s="1">
        <f ca="1">IFERROR(__xludf.DUMMYFUNCTION("""COMPUTED_VALUE"""),175)</f>
        <v>175</v>
      </c>
      <c r="R81" s="1">
        <f ca="1">IFERROR(__xludf.DUMMYFUNCTION("""COMPUTED_VALUE"""),102.6)</f>
        <v>102.6</v>
      </c>
      <c r="S81" s="1">
        <f ca="1">IFERROR(__xludf.DUMMYFUNCTION("""COMPUTED_VALUE"""),134)</f>
        <v>134</v>
      </c>
      <c r="T81" s="1" t="str">
        <f ca="1">IFERROR(__xludf.DUMMYFUNCTION("""COMPUTED_VALUE"""),"+3.37")</f>
        <v>+3.37</v>
      </c>
      <c r="U81" s="1">
        <f ca="1">IFERROR(__xludf.DUMMYFUNCTION("""COMPUTED_VALUE"""),82)</f>
        <v>82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IFERROR(__xludf.DUMMYFUNCTION("""COMPUTED_VALUE"""),"St. Bonaventure")</f>
        <v>St. Bonaventure</v>
      </c>
      <c r="C82" s="1" t="str">
        <f ca="1">IFERROR(__xludf.DUMMYFUNCTION("""COMPUTED_VALUE"""),"A10")</f>
        <v>A10</v>
      </c>
      <c r="D82" s="1" t="str">
        <f ca="1">IFERROR(__xludf.DUMMYFUNCTION("""COMPUTED_VALUE"""),"17-13")</f>
        <v>17-13</v>
      </c>
      <c r="E82" s="1" t="str">
        <f ca="1">IFERROR(__xludf.DUMMYFUNCTION("""COMPUTED_VALUE"""),"+8.59")</f>
        <v>+8.59</v>
      </c>
      <c r="F82" s="1">
        <f ca="1">IFERROR(__xludf.DUMMYFUNCTION("""COMPUTED_VALUE"""),116.1)</f>
        <v>116.1</v>
      </c>
      <c r="G82" s="1">
        <f ca="1">IFERROR(__xludf.DUMMYFUNCTION("""COMPUTED_VALUE"""),13)</f>
        <v>13</v>
      </c>
      <c r="H82" s="1">
        <f ca="1">IFERROR(__xludf.DUMMYFUNCTION("""COMPUTED_VALUE"""),107.5)</f>
        <v>107.5</v>
      </c>
      <c r="I82" s="1">
        <f ca="1">IFERROR(__xludf.DUMMYFUNCTION("""COMPUTED_VALUE"""),249)</f>
        <v>249</v>
      </c>
      <c r="J82" s="1">
        <f ca="1">IFERROR(__xludf.DUMMYFUNCTION("""COMPUTED_VALUE"""),71.5)</f>
        <v>71.5</v>
      </c>
      <c r="K82" s="1">
        <f ca="1">IFERROR(__xludf.DUMMYFUNCTION("""COMPUTED_VALUE"""),53)</f>
        <v>53</v>
      </c>
      <c r="L82" s="1">
        <f ca="1">IFERROR(__xludf.DUMMYFUNCTION("""COMPUTED_VALUE"""),-0.03)</f>
        <v>-0.03</v>
      </c>
      <c r="M82" s="1">
        <f ca="1">IFERROR(__xludf.DUMMYFUNCTION("""COMPUTED_VALUE"""),235)</f>
        <v>235</v>
      </c>
      <c r="N82" s="1" t="str">
        <f ca="1">IFERROR(__xludf.DUMMYFUNCTION("""COMPUTED_VALUE"""),"+4.46")</f>
        <v>+4.46</v>
      </c>
      <c r="O82" s="1">
        <f ca="1">IFERROR(__xludf.DUMMYFUNCTION("""COMPUTED_VALUE"""),87)</f>
        <v>87</v>
      </c>
      <c r="P82" s="1">
        <f ca="1">IFERROR(__xludf.DUMMYFUNCTION("""COMPUTED_VALUE"""),105.5)</f>
        <v>105.5</v>
      </c>
      <c r="Q82" s="1">
        <f ca="1">IFERROR(__xludf.DUMMYFUNCTION("""COMPUTED_VALUE"""),97)</f>
        <v>97</v>
      </c>
      <c r="R82" s="1">
        <f ca="1">IFERROR(__xludf.DUMMYFUNCTION("""COMPUTED_VALUE"""),101)</f>
        <v>101</v>
      </c>
      <c r="S82" s="1">
        <f ca="1">IFERROR(__xludf.DUMMYFUNCTION("""COMPUTED_VALUE"""),80)</f>
        <v>80</v>
      </c>
      <c r="T82" s="1" t="str">
        <f ca="1">IFERROR(__xludf.DUMMYFUNCTION("""COMPUTED_VALUE"""),"+5.85")</f>
        <v>+5.85</v>
      </c>
      <c r="U82" s="1">
        <f ca="1">IFERROR(__xludf.DUMMYFUNCTION("""COMPUTED_VALUE"""),43)</f>
        <v>43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IFERROR(__xludf.DUMMYFUNCTION("""COMPUTED_VALUE"""),"College of Charleston")</f>
        <v>College of Charleston</v>
      </c>
      <c r="C83" s="1" t="str">
        <f ca="1">IFERROR(__xludf.DUMMYFUNCTION("""COMPUTED_VALUE"""),"SC")</f>
        <v>SC</v>
      </c>
      <c r="D83" s="1" t="str">
        <f ca="1">IFERROR(__xludf.DUMMYFUNCTION("""COMPUTED_VALUE"""),"20-8")</f>
        <v>20-8</v>
      </c>
      <c r="E83" s="1" t="str">
        <f ca="1">IFERROR(__xludf.DUMMYFUNCTION("""COMPUTED_VALUE"""),"+8.41")</f>
        <v>+8.41</v>
      </c>
      <c r="F83" s="1">
        <f ca="1">IFERROR(__xludf.DUMMYFUNCTION("""COMPUTED_VALUE"""),105)</f>
        <v>105</v>
      </c>
      <c r="G83" s="1">
        <f ca="1">IFERROR(__xludf.DUMMYFUNCTION("""COMPUTED_VALUE"""),132)</f>
        <v>132</v>
      </c>
      <c r="H83" s="1">
        <f ca="1">IFERROR(__xludf.DUMMYFUNCTION("""COMPUTED_VALUE"""),96.6)</f>
        <v>96.6</v>
      </c>
      <c r="I83" s="1">
        <f ca="1">IFERROR(__xludf.DUMMYFUNCTION("""COMPUTED_VALUE"""),46)</f>
        <v>46</v>
      </c>
      <c r="J83" s="1">
        <f ca="1">IFERROR(__xludf.DUMMYFUNCTION("""COMPUTED_VALUE"""),62.1)</f>
        <v>62.1</v>
      </c>
      <c r="K83" s="1">
        <f ca="1">IFERROR(__xludf.DUMMYFUNCTION("""COMPUTED_VALUE"""),315)</f>
        <v>315</v>
      </c>
      <c r="L83" s="1">
        <f ca="1">IFERROR(__xludf.DUMMYFUNCTION("""COMPUTED_VALUE"""),-0.041)</f>
        <v>-4.1000000000000002E-2</v>
      </c>
      <c r="M83" s="1">
        <f ca="1">IFERROR(__xludf.DUMMYFUNCTION("""COMPUTED_VALUE"""),256)</f>
        <v>256</v>
      </c>
      <c r="N83" s="1">
        <f ca="1">IFERROR(__xludf.DUMMYFUNCTION("""COMPUTED_VALUE"""),-3.2)</f>
        <v>-3.2</v>
      </c>
      <c r="O83" s="1">
        <f ca="1">IFERROR(__xludf.DUMMYFUNCTION("""COMPUTED_VALUE"""),224)</f>
        <v>224</v>
      </c>
      <c r="P83" s="1">
        <f ca="1">IFERROR(__xludf.DUMMYFUNCTION("""COMPUTED_VALUE"""),101)</f>
        <v>101</v>
      </c>
      <c r="Q83" s="1">
        <f ca="1">IFERROR(__xludf.DUMMYFUNCTION("""COMPUTED_VALUE"""),231)</f>
        <v>231</v>
      </c>
      <c r="R83" s="1">
        <f ca="1">IFERROR(__xludf.DUMMYFUNCTION("""COMPUTED_VALUE"""),104.2)</f>
        <v>104.2</v>
      </c>
      <c r="S83" s="1">
        <f ca="1">IFERROR(__xludf.DUMMYFUNCTION("""COMPUTED_VALUE"""),200)</f>
        <v>200</v>
      </c>
      <c r="T83" s="1">
        <f ca="1">IFERROR(__xludf.DUMMYFUNCTION("""COMPUTED_VALUE"""),-6.6)</f>
        <v>-6.6</v>
      </c>
      <c r="U83" s="1">
        <f ca="1">IFERROR(__xludf.DUMMYFUNCTION("""COMPUTED_VALUE"""),296)</f>
        <v>296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IFERROR(__xludf.DUMMYFUNCTION("""COMPUTED_VALUE"""),"Richmond")</f>
        <v>Richmond</v>
      </c>
      <c r="C84" s="1" t="str">
        <f ca="1">IFERROR(__xludf.DUMMYFUNCTION("""COMPUTED_VALUE"""),"A10")</f>
        <v>A10</v>
      </c>
      <c r="D84" s="1" t="str">
        <f ca="1">IFERROR(__xludf.DUMMYFUNCTION("""COMPUTED_VALUE"""),"22-14")</f>
        <v>22-14</v>
      </c>
      <c r="E84" s="1" t="str">
        <f ca="1">IFERROR(__xludf.DUMMYFUNCTION("""COMPUTED_VALUE"""),"+8.31")</f>
        <v>+8.31</v>
      </c>
      <c r="F84" s="1">
        <f ca="1">IFERROR(__xludf.DUMMYFUNCTION("""COMPUTED_VALUE"""),104.1)</f>
        <v>104.1</v>
      </c>
      <c r="G84" s="1">
        <f ca="1">IFERROR(__xludf.DUMMYFUNCTION("""COMPUTED_VALUE"""),144)</f>
        <v>144</v>
      </c>
      <c r="H84" s="1">
        <f ca="1">IFERROR(__xludf.DUMMYFUNCTION("""COMPUTED_VALUE"""),95.8)</f>
        <v>95.8</v>
      </c>
      <c r="I84" s="1">
        <f ca="1">IFERROR(__xludf.DUMMYFUNCTION("""COMPUTED_VALUE"""),34)</f>
        <v>34</v>
      </c>
      <c r="J84" s="1">
        <f ca="1">IFERROR(__xludf.DUMMYFUNCTION("""COMPUTED_VALUE"""),60.8)</f>
        <v>60.8</v>
      </c>
      <c r="K84" s="1">
        <f ca="1">IFERROR(__xludf.DUMMYFUNCTION("""COMPUTED_VALUE"""),319)</f>
        <v>319</v>
      </c>
      <c r="L84" s="1" t="str">
        <f ca="1">IFERROR(__xludf.DUMMYFUNCTION("""COMPUTED_VALUE"""),"+.069")</f>
        <v>+.069</v>
      </c>
      <c r="M84" s="1">
        <f ca="1">IFERROR(__xludf.DUMMYFUNCTION("""COMPUTED_VALUE"""),24)</f>
        <v>24</v>
      </c>
      <c r="N84" s="1" t="str">
        <f ca="1">IFERROR(__xludf.DUMMYFUNCTION("""COMPUTED_VALUE"""),"+4.71")</f>
        <v>+4.71</v>
      </c>
      <c r="O84" s="1">
        <f ca="1">IFERROR(__xludf.DUMMYFUNCTION("""COMPUTED_VALUE"""),86)</f>
        <v>86</v>
      </c>
      <c r="P84" s="1">
        <f ca="1">IFERROR(__xludf.DUMMYFUNCTION("""COMPUTED_VALUE"""),106.2)</f>
        <v>106.2</v>
      </c>
      <c r="Q84" s="1">
        <f ca="1">IFERROR(__xludf.DUMMYFUNCTION("""COMPUTED_VALUE"""),70)</f>
        <v>70</v>
      </c>
      <c r="R84" s="1">
        <f ca="1">IFERROR(__xludf.DUMMYFUNCTION("""COMPUTED_VALUE"""),101.5)</f>
        <v>101.5</v>
      </c>
      <c r="S84" s="1">
        <f ca="1">IFERROR(__xludf.DUMMYFUNCTION("""COMPUTED_VALUE"""),92)</f>
        <v>92</v>
      </c>
      <c r="T84" s="1" t="str">
        <f ca="1">IFERROR(__xludf.DUMMYFUNCTION("""COMPUTED_VALUE"""),"+5.10")</f>
        <v>+5.10</v>
      </c>
      <c r="U84" s="1">
        <f ca="1">IFERROR(__xludf.DUMMYFUNCTION("""COMPUTED_VALUE"""),53)</f>
        <v>53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IFERROR(__xludf.DUMMYFUNCTION("""COMPUTED_VALUE"""),"UNLV")</f>
        <v>UNLV</v>
      </c>
      <c r="C87" s="1" t="str">
        <f ca="1">IFERROR(__xludf.DUMMYFUNCTION("""COMPUTED_VALUE"""),"MWC")</f>
        <v>MWC</v>
      </c>
      <c r="D87" s="1" t="str">
        <f ca="1">IFERROR(__xludf.DUMMYFUNCTION("""COMPUTED_VALUE"""),"21-11")</f>
        <v>21-11</v>
      </c>
      <c r="E87" s="1" t="str">
        <f ca="1">IFERROR(__xludf.DUMMYFUNCTION("""COMPUTED_VALUE"""),"+8.26")</f>
        <v>+8.26</v>
      </c>
      <c r="F87" s="1">
        <f ca="1">IFERROR(__xludf.DUMMYFUNCTION("""COMPUTED_VALUE"""),109.7)</f>
        <v>109.7</v>
      </c>
      <c r="G87" s="1">
        <f ca="1">IFERROR(__xludf.DUMMYFUNCTION("""COMPUTED_VALUE"""),68)</f>
        <v>68</v>
      </c>
      <c r="H87" s="1">
        <f ca="1">IFERROR(__xludf.DUMMYFUNCTION("""COMPUTED_VALUE"""),101.5)</f>
        <v>101.5</v>
      </c>
      <c r="I87" s="1">
        <f ca="1">IFERROR(__xludf.DUMMYFUNCTION("""COMPUTED_VALUE"""),131)</f>
        <v>131</v>
      </c>
      <c r="J87" s="1">
        <f ca="1">IFERROR(__xludf.DUMMYFUNCTION("""COMPUTED_VALUE"""),72.4)</f>
        <v>72.400000000000006</v>
      </c>
      <c r="K87" s="1">
        <f ca="1">IFERROR(__xludf.DUMMYFUNCTION("""COMPUTED_VALUE"""),31)</f>
        <v>31</v>
      </c>
      <c r="L87" s="1" t="str">
        <f ca="1">IFERROR(__xludf.DUMMYFUNCTION("""COMPUTED_VALUE"""),"+.068")</f>
        <v>+.068</v>
      </c>
      <c r="M87" s="1">
        <f ca="1">IFERROR(__xludf.DUMMYFUNCTION("""COMPUTED_VALUE"""),27)</f>
        <v>27</v>
      </c>
      <c r="N87" s="1" t="str">
        <f ca="1">IFERROR(__xludf.DUMMYFUNCTION("""COMPUTED_VALUE"""),"+4.23")</f>
        <v>+4.23</v>
      </c>
      <c r="O87" s="1">
        <f ca="1">IFERROR(__xludf.DUMMYFUNCTION("""COMPUTED_VALUE"""),92)</f>
        <v>92</v>
      </c>
      <c r="P87" s="1">
        <f ca="1">IFERROR(__xludf.DUMMYFUNCTION("""COMPUTED_VALUE"""),105.5)</f>
        <v>105.5</v>
      </c>
      <c r="Q87" s="1">
        <f ca="1">IFERROR(__xludf.DUMMYFUNCTION("""COMPUTED_VALUE"""),95)</f>
        <v>95</v>
      </c>
      <c r="R87" s="1">
        <f ca="1">IFERROR(__xludf.DUMMYFUNCTION("""COMPUTED_VALUE"""),101.3)</f>
        <v>101.3</v>
      </c>
      <c r="S87" s="1">
        <f ca="1">IFERROR(__xludf.DUMMYFUNCTION("""COMPUTED_VALUE"""),87)</f>
        <v>87</v>
      </c>
      <c r="T87" s="1">
        <f ca="1">IFERROR(__xludf.DUMMYFUNCTION("""COMPUTED_VALUE"""),-1.04)</f>
        <v>-1.04</v>
      </c>
      <c r="U87" s="1">
        <f ca="1">IFERROR(__xludf.DUMMYFUNCTION("""COMPUTED_VALUE"""),191)</f>
        <v>191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IFERROR(__xludf.DUMMYFUNCTION("""COMPUTED_VALUE"""),"Fresno St.")</f>
        <v>Fresno St.</v>
      </c>
      <c r="C88" s="1" t="str">
        <f ca="1">IFERROR(__xludf.DUMMYFUNCTION("""COMPUTED_VALUE"""),"WAC")</f>
        <v>WAC</v>
      </c>
      <c r="D88" s="1" t="str">
        <f ca="1">IFERROR(__xludf.DUMMYFUNCTION("""COMPUTED_VALUE"""),"19-15")</f>
        <v>19-15</v>
      </c>
      <c r="E88" s="1" t="str">
        <f ca="1">IFERROR(__xludf.DUMMYFUNCTION("""COMPUTED_VALUE"""),"+7.82")</f>
        <v>+7.82</v>
      </c>
      <c r="F88" s="1">
        <f ca="1">IFERROR(__xludf.DUMMYFUNCTION("""COMPUTED_VALUE"""),104.4)</f>
        <v>104.4</v>
      </c>
      <c r="G88" s="1">
        <f ca="1">IFERROR(__xludf.DUMMYFUNCTION("""COMPUTED_VALUE"""),140)</f>
        <v>140</v>
      </c>
      <c r="H88" s="1">
        <f ca="1">IFERROR(__xludf.DUMMYFUNCTION("""COMPUTED_VALUE"""),96.5)</f>
        <v>96.5</v>
      </c>
      <c r="I88" s="1">
        <f ca="1">IFERROR(__xludf.DUMMYFUNCTION("""COMPUTED_VALUE"""),45)</f>
        <v>45</v>
      </c>
      <c r="J88" s="1">
        <f ca="1">IFERROR(__xludf.DUMMYFUNCTION("""COMPUTED_VALUE"""),72.4)</f>
        <v>72.400000000000006</v>
      </c>
      <c r="K88" s="1">
        <f ca="1">IFERROR(__xludf.DUMMYFUNCTION("""COMPUTED_VALUE"""),32)</f>
        <v>32</v>
      </c>
      <c r="L88" s="1">
        <f ca="1">IFERROR(__xludf.DUMMYFUNCTION("""COMPUTED_VALUE"""),-0.025)</f>
        <v>-2.5000000000000001E-2</v>
      </c>
      <c r="M88" s="1">
        <f ca="1">IFERROR(__xludf.DUMMYFUNCTION("""COMPUTED_VALUE"""),218)</f>
        <v>218</v>
      </c>
      <c r="N88" s="1" t="str">
        <f ca="1">IFERROR(__xludf.DUMMYFUNCTION("""COMPUTED_VALUE"""),"+4.84")</f>
        <v>+4.84</v>
      </c>
      <c r="O88" s="1">
        <f ca="1">IFERROR(__xludf.DUMMYFUNCTION("""COMPUTED_VALUE"""),80)</f>
        <v>80</v>
      </c>
      <c r="P88" s="1">
        <f ca="1">IFERROR(__xludf.DUMMYFUNCTION("""COMPUTED_VALUE"""),106.1)</f>
        <v>106.1</v>
      </c>
      <c r="Q88" s="1">
        <f ca="1">IFERROR(__xludf.DUMMYFUNCTION("""COMPUTED_VALUE"""),76)</f>
        <v>76</v>
      </c>
      <c r="R88" s="1">
        <f ca="1">IFERROR(__xludf.DUMMYFUNCTION("""COMPUTED_VALUE"""),101.3)</f>
        <v>101.3</v>
      </c>
      <c r="S88" s="1">
        <f ca="1">IFERROR(__xludf.DUMMYFUNCTION("""COMPUTED_VALUE"""),85)</f>
        <v>85</v>
      </c>
      <c r="T88" s="1" t="str">
        <f ca="1">IFERROR(__xludf.DUMMYFUNCTION("""COMPUTED_VALUE"""),"+5.93")</f>
        <v>+5.93</v>
      </c>
      <c r="U88" s="1">
        <f ca="1">IFERROR(__xludf.DUMMYFUNCTION("""COMPUTED_VALUE"""),40)</f>
        <v>40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IFERROR(__xludf.DUMMYFUNCTION("""COMPUTED_VALUE"""),"Purdue")</f>
        <v>Purdue</v>
      </c>
      <c r="C89" s="1" t="str">
        <f ca="1">IFERROR(__xludf.DUMMYFUNCTION("""COMPUTED_VALUE"""),"B10")</f>
        <v>B10</v>
      </c>
      <c r="D89" s="1" t="str">
        <f ca="1">IFERROR(__xludf.DUMMYFUNCTION("""COMPUTED_VALUE"""),"13-18")</f>
        <v>13-18</v>
      </c>
      <c r="E89" s="1" t="str">
        <f ca="1">IFERROR(__xludf.DUMMYFUNCTION("""COMPUTED_VALUE"""),"+7.60")</f>
        <v>+7.60</v>
      </c>
      <c r="F89" s="1">
        <f ca="1">IFERROR(__xludf.DUMMYFUNCTION("""COMPUTED_VALUE"""),109.8)</f>
        <v>109.8</v>
      </c>
      <c r="G89" s="1">
        <f ca="1">IFERROR(__xludf.DUMMYFUNCTION("""COMPUTED_VALUE"""),67)</f>
        <v>67</v>
      </c>
      <c r="H89" s="1">
        <f ca="1">IFERROR(__xludf.DUMMYFUNCTION("""COMPUTED_VALUE"""),102.2)</f>
        <v>102.2</v>
      </c>
      <c r="I89" s="1">
        <f ca="1">IFERROR(__xludf.DUMMYFUNCTION("""COMPUTED_VALUE"""),144)</f>
        <v>144</v>
      </c>
      <c r="J89" s="1">
        <f ca="1">IFERROR(__xludf.DUMMYFUNCTION("""COMPUTED_VALUE"""),68)</f>
        <v>68</v>
      </c>
      <c r="K89" s="1">
        <f ca="1">IFERROR(__xludf.DUMMYFUNCTION("""COMPUTED_VALUE"""),171)</f>
        <v>171</v>
      </c>
      <c r="L89" s="1">
        <f ca="1">IFERROR(__xludf.DUMMYFUNCTION("""COMPUTED_VALUE"""),-0.059)</f>
        <v>-5.8999999999999997E-2</v>
      </c>
      <c r="M89" s="1">
        <f ca="1">IFERROR(__xludf.DUMMYFUNCTION("""COMPUTED_VALUE"""),287)</f>
        <v>287</v>
      </c>
      <c r="N89" s="1" t="str">
        <f ca="1">IFERROR(__xludf.DUMMYFUNCTION("""COMPUTED_VALUE"""),"+8.98")</f>
        <v>+8.98</v>
      </c>
      <c r="O89" s="1">
        <f ca="1">IFERROR(__xludf.DUMMYFUNCTION("""COMPUTED_VALUE"""),24)</f>
        <v>24</v>
      </c>
      <c r="P89" s="1">
        <f ca="1">IFERROR(__xludf.DUMMYFUNCTION("""COMPUTED_VALUE"""),108.2)</f>
        <v>108.2</v>
      </c>
      <c r="Q89" s="1">
        <f ca="1">IFERROR(__xludf.DUMMYFUNCTION("""COMPUTED_VALUE"""),28)</f>
        <v>28</v>
      </c>
      <c r="R89" s="1">
        <f ca="1">IFERROR(__xludf.DUMMYFUNCTION("""COMPUTED_VALUE"""),99.2)</f>
        <v>99.2</v>
      </c>
      <c r="S89" s="1">
        <f ca="1">IFERROR(__xludf.DUMMYFUNCTION("""COMPUTED_VALUE"""),30)</f>
        <v>30</v>
      </c>
      <c r="T89" s="1" t="str">
        <f ca="1">IFERROR(__xludf.DUMMYFUNCTION("""COMPUTED_VALUE"""),"+5.07")</f>
        <v>+5.07</v>
      </c>
      <c r="U89" s="1">
        <f ca="1">IFERROR(__xludf.DUMMYFUNCTION("""COMPUTED_VALUE"""),54)</f>
        <v>54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IFERROR(__xludf.DUMMYFUNCTION("""COMPUTED_VALUE"""),"Seton Hall")</f>
        <v>Seton Hall</v>
      </c>
      <c r="C90" s="1" t="str">
        <f ca="1">IFERROR(__xludf.DUMMYFUNCTION("""COMPUTED_VALUE"""),"BE")</f>
        <v>BE</v>
      </c>
      <c r="D90" s="2">
        <f ca="1">IFERROR(__xludf.DUMMYFUNCTION("""COMPUTED_VALUE"""),44883)</f>
        <v>44883</v>
      </c>
      <c r="E90" s="1" t="str">
        <f ca="1">IFERROR(__xludf.DUMMYFUNCTION("""COMPUTED_VALUE"""),"+7.18")</f>
        <v>+7.18</v>
      </c>
      <c r="F90" s="1">
        <f ca="1">IFERROR(__xludf.DUMMYFUNCTION("""COMPUTED_VALUE"""),105)</f>
        <v>105</v>
      </c>
      <c r="G90" s="1">
        <f ca="1">IFERROR(__xludf.DUMMYFUNCTION("""COMPUTED_VALUE"""),131)</f>
        <v>131</v>
      </c>
      <c r="H90" s="1">
        <f ca="1">IFERROR(__xludf.DUMMYFUNCTION("""COMPUTED_VALUE"""),97.9)</f>
        <v>97.9</v>
      </c>
      <c r="I90" s="1">
        <f ca="1">IFERROR(__xludf.DUMMYFUNCTION("""COMPUTED_VALUE"""),67)</f>
        <v>67</v>
      </c>
      <c r="J90" s="1">
        <f ca="1">IFERROR(__xludf.DUMMYFUNCTION("""COMPUTED_VALUE"""),68.6)</f>
        <v>68.599999999999994</v>
      </c>
      <c r="K90" s="1">
        <f ca="1">IFERROR(__xludf.DUMMYFUNCTION("""COMPUTED_VALUE"""),148)</f>
        <v>148</v>
      </c>
      <c r="L90" s="1">
        <f ca="1">IFERROR(__xludf.DUMMYFUNCTION("""COMPUTED_VALUE"""),-0.1)</f>
        <v>-0.1</v>
      </c>
      <c r="M90" s="1">
        <f ca="1">IFERROR(__xludf.DUMMYFUNCTION("""COMPUTED_VALUE"""),316)</f>
        <v>316</v>
      </c>
      <c r="N90" s="1" t="str">
        <f ca="1">IFERROR(__xludf.DUMMYFUNCTION("""COMPUTED_VALUE"""),"+7.88")</f>
        <v>+7.88</v>
      </c>
      <c r="O90" s="1">
        <f ca="1">IFERROR(__xludf.DUMMYFUNCTION("""COMPUTED_VALUE"""),43)</f>
        <v>43</v>
      </c>
      <c r="P90" s="1">
        <f ca="1">IFERROR(__xludf.DUMMYFUNCTION("""COMPUTED_VALUE"""),106.2)</f>
        <v>106.2</v>
      </c>
      <c r="Q90" s="1">
        <f ca="1">IFERROR(__xludf.DUMMYFUNCTION("""COMPUTED_VALUE"""),72)</f>
        <v>72</v>
      </c>
      <c r="R90" s="1">
        <f ca="1">IFERROR(__xludf.DUMMYFUNCTION("""COMPUTED_VALUE"""),98.3)</f>
        <v>98.3</v>
      </c>
      <c r="S90" s="1">
        <f ca="1">IFERROR(__xludf.DUMMYFUNCTION("""COMPUTED_VALUE"""),13)</f>
        <v>13</v>
      </c>
      <c r="T90" s="1" t="str">
        <f ca="1">IFERROR(__xludf.DUMMYFUNCTION("""COMPUTED_VALUE"""),"+2.02")</f>
        <v>+2.02</v>
      </c>
      <c r="U90" s="1">
        <f ca="1">IFERROR(__xludf.DUMMYFUNCTION("""COMPUTED_VALUE"""),111)</f>
        <v>111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IFERROR(__xludf.DUMMYFUNCTION("""COMPUTED_VALUE"""),"Vanderbilt")</f>
        <v>Vanderbilt</v>
      </c>
      <c r="C91" s="1" t="str">
        <f ca="1">IFERROR(__xludf.DUMMYFUNCTION("""COMPUTED_VALUE"""),"SEC")</f>
        <v>SEC</v>
      </c>
      <c r="D91" s="1" t="str">
        <f ca="1">IFERROR(__xludf.DUMMYFUNCTION("""COMPUTED_VALUE"""),"17-15")</f>
        <v>17-15</v>
      </c>
      <c r="E91" s="1" t="str">
        <f ca="1">IFERROR(__xludf.DUMMYFUNCTION("""COMPUTED_VALUE"""),"+7.14")</f>
        <v>+7.14</v>
      </c>
      <c r="F91" s="1">
        <f ca="1">IFERROR(__xludf.DUMMYFUNCTION("""COMPUTED_VALUE"""),107.6)</f>
        <v>107.6</v>
      </c>
      <c r="G91" s="1">
        <f ca="1">IFERROR(__xludf.DUMMYFUNCTION("""COMPUTED_VALUE"""),93)</f>
        <v>93</v>
      </c>
      <c r="H91" s="1">
        <f ca="1">IFERROR(__xludf.DUMMYFUNCTION("""COMPUTED_VALUE"""),100.5)</f>
        <v>100.5</v>
      </c>
      <c r="I91" s="1">
        <f ca="1">IFERROR(__xludf.DUMMYFUNCTION("""COMPUTED_VALUE"""),114)</f>
        <v>114</v>
      </c>
      <c r="J91" s="1">
        <f ca="1">IFERROR(__xludf.DUMMYFUNCTION("""COMPUTED_VALUE"""),69.1)</f>
        <v>69.099999999999994</v>
      </c>
      <c r="K91" s="1">
        <f ca="1">IFERROR(__xludf.DUMMYFUNCTION("""COMPUTED_VALUE"""),132)</f>
        <v>132</v>
      </c>
      <c r="L91" s="1" t="str">
        <f ca="1">IFERROR(__xludf.DUMMYFUNCTION("""COMPUTED_VALUE"""),"+.060")</f>
        <v>+.060</v>
      </c>
      <c r="M91" s="1">
        <f ca="1">IFERROR(__xludf.DUMMYFUNCTION("""COMPUTED_VALUE"""),37)</f>
        <v>37</v>
      </c>
      <c r="N91" s="1" t="str">
        <f ca="1">IFERROR(__xludf.DUMMYFUNCTION("""COMPUTED_VALUE"""),"+8.44")</f>
        <v>+8.44</v>
      </c>
      <c r="O91" s="1">
        <f ca="1">IFERROR(__xludf.DUMMYFUNCTION("""COMPUTED_VALUE"""),30)</f>
        <v>30</v>
      </c>
      <c r="P91" s="1">
        <f ca="1">IFERROR(__xludf.DUMMYFUNCTION("""COMPUTED_VALUE"""),107.2)</f>
        <v>107.2</v>
      </c>
      <c r="Q91" s="1">
        <f ca="1">IFERROR(__xludf.DUMMYFUNCTION("""COMPUTED_VALUE"""),45)</f>
        <v>45</v>
      </c>
      <c r="R91" s="1">
        <f ca="1">IFERROR(__xludf.DUMMYFUNCTION("""COMPUTED_VALUE"""),98.8)</f>
        <v>98.8</v>
      </c>
      <c r="S91" s="1">
        <f ca="1">IFERROR(__xludf.DUMMYFUNCTION("""COMPUTED_VALUE"""),20)</f>
        <v>20</v>
      </c>
      <c r="T91" s="1">
        <f ca="1">IFERROR(__xludf.DUMMYFUNCTION("""COMPUTED_VALUE"""),-3.4)</f>
        <v>-3.4</v>
      </c>
      <c r="U91" s="1">
        <f ca="1">IFERROR(__xludf.DUMMYFUNCTION("""COMPUTED_VALUE"""),247)</f>
        <v>247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IFERROR(__xludf.DUMMYFUNCTION("""COMPUTED_VALUE"""),"Saint Louis")</f>
        <v>Saint Louis</v>
      </c>
      <c r="C92" s="1" t="str">
        <f ca="1">IFERROR(__xludf.DUMMYFUNCTION("""COMPUTED_VALUE"""),"CUSA")</f>
        <v>CUSA</v>
      </c>
      <c r="D92" s="1" t="str">
        <f ca="1">IFERROR(__xludf.DUMMYFUNCTION("""COMPUTED_VALUE"""),"15-16")</f>
        <v>15-16</v>
      </c>
      <c r="E92" s="1" t="str">
        <f ca="1">IFERROR(__xludf.DUMMYFUNCTION("""COMPUTED_VALUE"""),"+6.91")</f>
        <v>+6.91</v>
      </c>
      <c r="F92" s="1">
        <f ca="1">IFERROR(__xludf.DUMMYFUNCTION("""COMPUTED_VALUE"""),98.1)</f>
        <v>98.1</v>
      </c>
      <c r="G92" s="1">
        <f ca="1">IFERROR(__xludf.DUMMYFUNCTION("""COMPUTED_VALUE"""),244)</f>
        <v>244</v>
      </c>
      <c r="H92" s="1">
        <f ca="1">IFERROR(__xludf.DUMMYFUNCTION("""COMPUTED_VALUE"""),91.2)</f>
        <v>91.2</v>
      </c>
      <c r="I92" s="1">
        <f ca="1">IFERROR(__xludf.DUMMYFUNCTION("""COMPUTED_VALUE"""),10)</f>
        <v>10</v>
      </c>
      <c r="J92" s="1">
        <f ca="1">IFERROR(__xludf.DUMMYFUNCTION("""COMPUTED_VALUE"""),65.3)</f>
        <v>65.3</v>
      </c>
      <c r="K92" s="1">
        <f ca="1">IFERROR(__xludf.DUMMYFUNCTION("""COMPUTED_VALUE"""),262)</f>
        <v>262</v>
      </c>
      <c r="L92" s="1">
        <f ca="1">IFERROR(__xludf.DUMMYFUNCTION("""COMPUTED_VALUE"""),-0.023)</f>
        <v>-2.3E-2</v>
      </c>
      <c r="M92" s="1">
        <f ca="1">IFERROR(__xludf.DUMMYFUNCTION("""COMPUTED_VALUE"""),214)</f>
        <v>214</v>
      </c>
      <c r="N92" s="1" t="str">
        <f ca="1">IFERROR(__xludf.DUMMYFUNCTION("""COMPUTED_VALUE"""),"+5.90")</f>
        <v>+5.90</v>
      </c>
      <c r="O92" s="1">
        <f ca="1">IFERROR(__xludf.DUMMYFUNCTION("""COMPUTED_VALUE"""),65)</f>
        <v>65</v>
      </c>
      <c r="P92" s="1">
        <f ca="1">IFERROR(__xludf.DUMMYFUNCTION("""COMPUTED_VALUE"""),106.4)</f>
        <v>106.4</v>
      </c>
      <c r="Q92" s="1">
        <f ca="1">IFERROR(__xludf.DUMMYFUNCTION("""COMPUTED_VALUE"""),64)</f>
        <v>64</v>
      </c>
      <c r="R92" s="1">
        <f ca="1">IFERROR(__xludf.DUMMYFUNCTION("""COMPUTED_VALUE"""),100.5)</f>
        <v>100.5</v>
      </c>
      <c r="S92" s="1">
        <f ca="1">IFERROR(__xludf.DUMMYFUNCTION("""COMPUTED_VALUE"""),69)</f>
        <v>69</v>
      </c>
      <c r="T92" s="1" t="str">
        <f ca="1">IFERROR(__xludf.DUMMYFUNCTION("""COMPUTED_VALUE"""),"+2.38")</f>
        <v>+2.38</v>
      </c>
      <c r="U92" s="1">
        <f ca="1">IFERROR(__xludf.DUMMYFUNCTION("""COMPUTED_VALUE"""),105)</f>
        <v>105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IFERROR(__xludf.DUMMYFUNCTION("""COMPUTED_VALUE"""),"Colorado")</f>
        <v>Colorado</v>
      </c>
      <c r="C93" s="1" t="str">
        <f ca="1">IFERROR(__xludf.DUMMYFUNCTION("""COMPUTED_VALUE"""),"B12")</f>
        <v>B12</v>
      </c>
      <c r="D93" s="1" t="str">
        <f ca="1">IFERROR(__xludf.DUMMYFUNCTION("""COMPUTED_VALUE"""),"14-14")</f>
        <v>14-14</v>
      </c>
      <c r="E93" s="1" t="str">
        <f ca="1">IFERROR(__xludf.DUMMYFUNCTION("""COMPUTED_VALUE"""),"+6.78")</f>
        <v>+6.78</v>
      </c>
      <c r="F93" s="1">
        <f ca="1">IFERROR(__xludf.DUMMYFUNCTION("""COMPUTED_VALUE"""),111.3)</f>
        <v>111.3</v>
      </c>
      <c r="G93" s="1">
        <f ca="1">IFERROR(__xludf.DUMMYFUNCTION("""COMPUTED_VALUE"""),45)</f>
        <v>45</v>
      </c>
      <c r="H93" s="1">
        <f ca="1">IFERROR(__xludf.DUMMYFUNCTION("""COMPUTED_VALUE"""),104.6)</f>
        <v>104.6</v>
      </c>
      <c r="I93" s="1">
        <f ca="1">IFERROR(__xludf.DUMMYFUNCTION("""COMPUTED_VALUE"""),201)</f>
        <v>201</v>
      </c>
      <c r="J93" s="1">
        <f ca="1">IFERROR(__xludf.DUMMYFUNCTION("""COMPUTED_VALUE"""),71.9)</f>
        <v>71.900000000000006</v>
      </c>
      <c r="K93" s="1">
        <f ca="1">IFERROR(__xludf.DUMMYFUNCTION("""COMPUTED_VALUE"""),43)</f>
        <v>43</v>
      </c>
      <c r="L93" s="1">
        <f ca="1">IFERROR(__xludf.DUMMYFUNCTION("""COMPUTED_VALUE"""),-0.027)</f>
        <v>-2.7E-2</v>
      </c>
      <c r="M93" s="1">
        <f ca="1">IFERROR(__xludf.DUMMYFUNCTION("""COMPUTED_VALUE"""),226)</f>
        <v>226</v>
      </c>
      <c r="N93" s="1" t="str">
        <f ca="1">IFERROR(__xludf.DUMMYFUNCTION("""COMPUTED_VALUE"""),"+6.35")</f>
        <v>+6.35</v>
      </c>
      <c r="O93" s="1">
        <f ca="1">IFERROR(__xludf.DUMMYFUNCTION("""COMPUTED_VALUE"""),60)</f>
        <v>60</v>
      </c>
      <c r="P93" s="1">
        <f ca="1">IFERROR(__xludf.DUMMYFUNCTION("""COMPUTED_VALUE"""),106.7)</f>
        <v>106.7</v>
      </c>
      <c r="Q93" s="1">
        <f ca="1">IFERROR(__xludf.DUMMYFUNCTION("""COMPUTED_VALUE"""),54)</f>
        <v>54</v>
      </c>
      <c r="R93" s="1">
        <f ca="1">IFERROR(__xludf.DUMMYFUNCTION("""COMPUTED_VALUE"""),100.3)</f>
        <v>100.3</v>
      </c>
      <c r="S93" s="1">
        <f ca="1">IFERROR(__xludf.DUMMYFUNCTION("""COMPUTED_VALUE"""),64)</f>
        <v>64</v>
      </c>
      <c r="T93" s="1">
        <f ca="1">IFERROR(__xludf.DUMMYFUNCTION("""COMPUTED_VALUE"""),-8.44)</f>
        <v>-8.44</v>
      </c>
      <c r="U93" s="1">
        <f ca="1">IFERROR(__xludf.DUMMYFUNCTION("""COMPUTED_VALUE"""),310)</f>
        <v>310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IFERROR(__xludf.DUMMYFUNCTION("""COMPUTED_VALUE"""),"Auburn")</f>
        <v>Auburn</v>
      </c>
      <c r="C94" s="1" t="str">
        <f ca="1">IFERROR(__xludf.DUMMYFUNCTION("""COMPUTED_VALUE"""),"SEC")</f>
        <v>SEC</v>
      </c>
      <c r="D94" s="2">
        <f ca="1">IFERROR(__xludf.DUMMYFUNCTION("""COMPUTED_VALUE"""),44911)</f>
        <v>44911</v>
      </c>
      <c r="E94" s="1" t="str">
        <f ca="1">IFERROR(__xludf.DUMMYFUNCTION("""COMPUTED_VALUE"""),"+6.61")</f>
        <v>+6.61</v>
      </c>
      <c r="F94" s="1">
        <f ca="1">IFERROR(__xludf.DUMMYFUNCTION("""COMPUTED_VALUE"""),98.6)</f>
        <v>98.6</v>
      </c>
      <c r="G94" s="1">
        <f ca="1">IFERROR(__xludf.DUMMYFUNCTION("""COMPUTED_VALUE"""),238)</f>
        <v>238</v>
      </c>
      <c r="H94" s="1">
        <f ca="1">IFERROR(__xludf.DUMMYFUNCTION("""COMPUTED_VALUE"""),92)</f>
        <v>92</v>
      </c>
      <c r="I94" s="1">
        <f ca="1">IFERROR(__xludf.DUMMYFUNCTION("""COMPUTED_VALUE"""),12)</f>
        <v>12</v>
      </c>
      <c r="J94" s="1">
        <f ca="1">IFERROR(__xludf.DUMMYFUNCTION("""COMPUTED_VALUE"""),70.1)</f>
        <v>70.099999999999994</v>
      </c>
      <c r="K94" s="1">
        <f ca="1">IFERROR(__xludf.DUMMYFUNCTION("""COMPUTED_VALUE"""),90)</f>
        <v>90</v>
      </c>
      <c r="L94" s="1">
        <f ca="1">IFERROR(__xludf.DUMMYFUNCTION("""COMPUTED_VALUE"""),-0.049)</f>
        <v>-4.9000000000000002E-2</v>
      </c>
      <c r="M94" s="1">
        <f ca="1">IFERROR(__xludf.DUMMYFUNCTION("""COMPUTED_VALUE"""),269)</f>
        <v>269</v>
      </c>
      <c r="N94" s="1" t="str">
        <f ca="1">IFERROR(__xludf.DUMMYFUNCTION("""COMPUTED_VALUE"""),"+8.17")</f>
        <v>+8.17</v>
      </c>
      <c r="O94" s="1">
        <f ca="1">IFERROR(__xludf.DUMMYFUNCTION("""COMPUTED_VALUE"""),35)</f>
        <v>35</v>
      </c>
      <c r="P94" s="1">
        <f ca="1">IFERROR(__xludf.DUMMYFUNCTION("""COMPUTED_VALUE"""),107)</f>
        <v>107</v>
      </c>
      <c r="Q94" s="1">
        <f ca="1">IFERROR(__xludf.DUMMYFUNCTION("""COMPUTED_VALUE"""),49)</f>
        <v>49</v>
      </c>
      <c r="R94" s="1">
        <f ca="1">IFERROR(__xludf.DUMMYFUNCTION("""COMPUTED_VALUE"""),98.9)</f>
        <v>98.9</v>
      </c>
      <c r="S94" s="1">
        <f ca="1">IFERROR(__xludf.DUMMYFUNCTION("""COMPUTED_VALUE"""),21)</f>
        <v>21</v>
      </c>
      <c r="T94" s="1">
        <f ca="1">IFERROR(__xludf.DUMMYFUNCTION("""COMPUTED_VALUE"""),-6.31)</f>
        <v>-6.31</v>
      </c>
      <c r="U94" s="1">
        <f ca="1">IFERROR(__xludf.DUMMYFUNCTION("""COMPUTED_VALUE"""),293)</f>
        <v>293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IFERROR(__xludf.DUMMYFUNCTION("""COMPUTED_VALUE"""),"East Tennessee St.")</f>
        <v>East Tennessee St.</v>
      </c>
      <c r="C95" s="1" t="str">
        <f ca="1">IFERROR(__xludf.DUMMYFUNCTION("""COMPUTED_VALUE"""),"SC")</f>
        <v>SC</v>
      </c>
      <c r="D95" s="1" t="str">
        <f ca="1">IFERROR(__xludf.DUMMYFUNCTION("""COMPUTED_VALUE"""),"15-10")</f>
        <v>15-10</v>
      </c>
      <c r="E95" s="1" t="str">
        <f ca="1">IFERROR(__xludf.DUMMYFUNCTION("""COMPUTED_VALUE"""),"+6.60")</f>
        <v>+6.60</v>
      </c>
      <c r="F95" s="1">
        <f ca="1">IFERROR(__xludf.DUMMYFUNCTION("""COMPUTED_VALUE"""),106.2)</f>
        <v>106.2</v>
      </c>
      <c r="G95" s="1">
        <f ca="1">IFERROR(__xludf.DUMMYFUNCTION("""COMPUTED_VALUE"""),112)</f>
        <v>112</v>
      </c>
      <c r="H95" s="1">
        <f ca="1">IFERROR(__xludf.DUMMYFUNCTION("""COMPUTED_VALUE"""),99.6)</f>
        <v>99.6</v>
      </c>
      <c r="I95" s="1">
        <f ca="1">IFERROR(__xludf.DUMMYFUNCTION("""COMPUTED_VALUE"""),95)</f>
        <v>95</v>
      </c>
      <c r="J95" s="1">
        <f ca="1">IFERROR(__xludf.DUMMYFUNCTION("""COMPUTED_VALUE"""),73.7)</f>
        <v>73.7</v>
      </c>
      <c r="K95" s="1">
        <f ca="1">IFERROR(__xludf.DUMMYFUNCTION("""COMPUTED_VALUE"""),14)</f>
        <v>14</v>
      </c>
      <c r="L95" s="1">
        <f ca="1">IFERROR(__xludf.DUMMYFUNCTION("""COMPUTED_VALUE"""),-0.022)</f>
        <v>-2.1999999999999999E-2</v>
      </c>
      <c r="M95" s="1">
        <f ca="1">IFERROR(__xludf.DUMMYFUNCTION("""COMPUTED_VALUE"""),211)</f>
        <v>211</v>
      </c>
      <c r="N95" s="1">
        <f ca="1">IFERROR(__xludf.DUMMYFUNCTION("""COMPUTED_VALUE"""),-0.28)</f>
        <v>-0.28000000000000003</v>
      </c>
      <c r="O95" s="1">
        <f ca="1">IFERROR(__xludf.DUMMYFUNCTION("""COMPUTED_VALUE"""),169)</f>
        <v>169</v>
      </c>
      <c r="P95" s="1">
        <f ca="1">IFERROR(__xludf.DUMMYFUNCTION("""COMPUTED_VALUE"""),102.4)</f>
        <v>102.4</v>
      </c>
      <c r="Q95" s="1">
        <f ca="1">IFERROR(__xludf.DUMMYFUNCTION("""COMPUTED_VALUE"""),198)</f>
        <v>198</v>
      </c>
      <c r="R95" s="1">
        <f ca="1">IFERROR(__xludf.DUMMYFUNCTION("""COMPUTED_VALUE"""),102.7)</f>
        <v>102.7</v>
      </c>
      <c r="S95" s="1">
        <f ca="1">IFERROR(__xludf.DUMMYFUNCTION("""COMPUTED_VALUE"""),137)</f>
        <v>137</v>
      </c>
      <c r="T95" s="1" t="str">
        <f ca="1">IFERROR(__xludf.DUMMYFUNCTION("""COMPUTED_VALUE"""),"+2.71")</f>
        <v>+2.71</v>
      </c>
      <c r="U95" s="1">
        <f ca="1">IFERROR(__xludf.DUMMYFUNCTION("""COMPUTED_VALUE"""),96)</f>
        <v>96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IFERROR(__xludf.DUMMYFUNCTION("""COMPUTED_VALUE"""),"Northwestern")</f>
        <v>Northwestern</v>
      </c>
      <c r="C96" s="1" t="str">
        <f ca="1">IFERROR(__xludf.DUMMYFUNCTION("""COMPUTED_VALUE"""),"B10")</f>
        <v>B10</v>
      </c>
      <c r="D96" s="1" t="str">
        <f ca="1">IFERROR(__xludf.DUMMYFUNCTION("""COMPUTED_VALUE"""),"16-13")</f>
        <v>16-13</v>
      </c>
      <c r="E96" s="1" t="str">
        <f ca="1">IFERROR(__xludf.DUMMYFUNCTION("""COMPUTED_VALUE"""),"+6.55")</f>
        <v>+6.55</v>
      </c>
      <c r="F96" s="1">
        <f ca="1">IFERROR(__xludf.DUMMYFUNCTION("""COMPUTED_VALUE"""),99.9)</f>
        <v>99.9</v>
      </c>
      <c r="G96" s="1">
        <f ca="1">IFERROR(__xludf.DUMMYFUNCTION("""COMPUTED_VALUE"""),215)</f>
        <v>215</v>
      </c>
      <c r="H96" s="1">
        <f ca="1">IFERROR(__xludf.DUMMYFUNCTION("""COMPUTED_VALUE"""),93.4)</f>
        <v>93.4</v>
      </c>
      <c r="I96" s="1">
        <f ca="1">IFERROR(__xludf.DUMMYFUNCTION("""COMPUTED_VALUE"""),21)</f>
        <v>21</v>
      </c>
      <c r="J96" s="1">
        <f ca="1">IFERROR(__xludf.DUMMYFUNCTION("""COMPUTED_VALUE"""),61.6)</f>
        <v>61.6</v>
      </c>
      <c r="K96" s="1">
        <f ca="1">IFERROR(__xludf.DUMMYFUNCTION("""COMPUTED_VALUE"""),317)</f>
        <v>317</v>
      </c>
      <c r="L96" s="1" t="str">
        <f ca="1">IFERROR(__xludf.DUMMYFUNCTION("""COMPUTED_VALUE"""),"+.036")</f>
        <v>+.036</v>
      </c>
      <c r="M96" s="1">
        <f ca="1">IFERROR(__xludf.DUMMYFUNCTION("""COMPUTED_VALUE"""),85)</f>
        <v>85</v>
      </c>
      <c r="N96" s="1" t="str">
        <f ca="1">IFERROR(__xludf.DUMMYFUNCTION("""COMPUTED_VALUE"""),"+5.74")</f>
        <v>+5.74</v>
      </c>
      <c r="O96" s="1">
        <f ca="1">IFERROR(__xludf.DUMMYFUNCTION("""COMPUTED_VALUE"""),69)</f>
        <v>69</v>
      </c>
      <c r="P96" s="1">
        <f ca="1">IFERROR(__xludf.DUMMYFUNCTION("""COMPUTED_VALUE"""),106.1)</f>
        <v>106.1</v>
      </c>
      <c r="Q96" s="1">
        <f ca="1">IFERROR(__xludf.DUMMYFUNCTION("""COMPUTED_VALUE"""),75)</f>
        <v>75</v>
      </c>
      <c r="R96" s="1">
        <f ca="1">IFERROR(__xludf.DUMMYFUNCTION("""COMPUTED_VALUE"""),100.4)</f>
        <v>100.4</v>
      </c>
      <c r="S96" s="1">
        <f ca="1">IFERROR(__xludf.DUMMYFUNCTION("""COMPUTED_VALUE"""),66)</f>
        <v>66</v>
      </c>
      <c r="T96" s="1">
        <f ca="1">IFERROR(__xludf.DUMMYFUNCTION("""COMPUTED_VALUE"""),-5.39)</f>
        <v>-5.39</v>
      </c>
      <c r="U96" s="1">
        <f ca="1">IFERROR(__xludf.DUMMYFUNCTION("""COMPUTED_VALUE"""),280)</f>
        <v>280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IFERROR(__xludf.DUMMYFUNCTION("""COMPUTED_VALUE"""),"UC Irvine")</f>
        <v>UC Irvine</v>
      </c>
      <c r="C97" s="1" t="str">
        <f ca="1">IFERROR(__xludf.DUMMYFUNCTION("""COMPUTED_VALUE"""),"BW")</f>
        <v>BW</v>
      </c>
      <c r="D97" s="1" t="str">
        <f ca="1">IFERROR(__xludf.DUMMYFUNCTION("""COMPUTED_VALUE"""),"20-11")</f>
        <v>20-11</v>
      </c>
      <c r="E97" s="1" t="str">
        <f ca="1">IFERROR(__xludf.DUMMYFUNCTION("""COMPUTED_VALUE"""),"+6.47")</f>
        <v>+6.47</v>
      </c>
      <c r="F97" s="1">
        <f ca="1">IFERROR(__xludf.DUMMYFUNCTION("""COMPUTED_VALUE"""),108)</f>
        <v>108</v>
      </c>
      <c r="G97" s="1">
        <f ca="1">IFERROR(__xludf.DUMMYFUNCTION("""COMPUTED_VALUE"""),86)</f>
        <v>86</v>
      </c>
      <c r="H97" s="1">
        <f ca="1">IFERROR(__xludf.DUMMYFUNCTION("""COMPUTED_VALUE"""),101.5)</f>
        <v>101.5</v>
      </c>
      <c r="I97" s="1">
        <f ca="1">IFERROR(__xludf.DUMMYFUNCTION("""COMPUTED_VALUE"""),133)</f>
        <v>133</v>
      </c>
      <c r="J97" s="1">
        <f ca="1">IFERROR(__xludf.DUMMYFUNCTION("""COMPUTED_VALUE"""),64.9)</f>
        <v>64.900000000000006</v>
      </c>
      <c r="K97" s="1">
        <f ca="1">IFERROR(__xludf.DUMMYFUNCTION("""COMPUTED_VALUE"""),276)</f>
        <v>276</v>
      </c>
      <c r="L97" s="1" t="str">
        <f ca="1">IFERROR(__xludf.DUMMYFUNCTION("""COMPUTED_VALUE"""),"+.015")</f>
        <v>+.015</v>
      </c>
      <c r="M97" s="1">
        <f ca="1">IFERROR(__xludf.DUMMYFUNCTION("""COMPUTED_VALUE"""),131)</f>
        <v>131</v>
      </c>
      <c r="N97" s="1">
        <f ca="1">IFERROR(__xludf.DUMMYFUNCTION("""COMPUTED_VALUE"""),-0.11)</f>
        <v>-0.11</v>
      </c>
      <c r="O97" s="1">
        <f ca="1">IFERROR(__xludf.DUMMYFUNCTION("""COMPUTED_VALUE"""),161)</f>
        <v>161</v>
      </c>
      <c r="P97" s="1">
        <f ca="1">IFERROR(__xludf.DUMMYFUNCTION("""COMPUTED_VALUE"""),103)</f>
        <v>103</v>
      </c>
      <c r="Q97" s="1">
        <f ca="1">IFERROR(__xludf.DUMMYFUNCTION("""COMPUTED_VALUE"""),181)</f>
        <v>181</v>
      </c>
      <c r="R97" s="1">
        <f ca="1">IFERROR(__xludf.DUMMYFUNCTION("""COMPUTED_VALUE"""),103.1)</f>
        <v>103.1</v>
      </c>
      <c r="S97" s="1">
        <f ca="1">IFERROR(__xludf.DUMMYFUNCTION("""COMPUTED_VALUE"""),152)</f>
        <v>152</v>
      </c>
      <c r="T97" s="1" t="str">
        <f ca="1">IFERROR(__xludf.DUMMYFUNCTION("""COMPUTED_VALUE"""),"+1.85")</f>
        <v>+1.85</v>
      </c>
      <c r="U97" s="1">
        <f ca="1">IFERROR(__xludf.DUMMYFUNCTION("""COMPUTED_VALUE"""),114)</f>
        <v>114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IFERROR(__xludf.DUMMYFUNCTION("""COMPUTED_VALUE"""),"New Mexico")</f>
        <v>New Mexico</v>
      </c>
      <c r="C98" s="1" t="str">
        <f ca="1">IFERROR(__xludf.DUMMYFUNCTION("""COMPUTED_VALUE"""),"MWC")</f>
        <v>MWC</v>
      </c>
      <c r="D98" s="1" t="str">
        <f ca="1">IFERROR(__xludf.DUMMYFUNCTION("""COMPUTED_VALUE"""),"16-14")</f>
        <v>16-14</v>
      </c>
      <c r="E98" s="1" t="str">
        <f ca="1">IFERROR(__xludf.DUMMYFUNCTION("""COMPUTED_VALUE"""),"+6.36")</f>
        <v>+6.36</v>
      </c>
      <c r="F98" s="1">
        <f ca="1">IFERROR(__xludf.DUMMYFUNCTION("""COMPUTED_VALUE"""),110.3)</f>
        <v>110.3</v>
      </c>
      <c r="G98" s="1">
        <f ca="1">IFERROR(__xludf.DUMMYFUNCTION("""COMPUTED_VALUE"""),59)</f>
        <v>59</v>
      </c>
      <c r="H98" s="1">
        <f ca="1">IFERROR(__xludf.DUMMYFUNCTION("""COMPUTED_VALUE"""),103.9)</f>
        <v>103.9</v>
      </c>
      <c r="I98" s="1">
        <f ca="1">IFERROR(__xludf.DUMMYFUNCTION("""COMPUTED_VALUE"""),184)</f>
        <v>184</v>
      </c>
      <c r="J98" s="1">
        <f ca="1">IFERROR(__xludf.DUMMYFUNCTION("""COMPUTED_VALUE"""),66.5)</f>
        <v>66.5</v>
      </c>
      <c r="K98" s="1">
        <f ca="1">IFERROR(__xludf.DUMMYFUNCTION("""COMPUTED_VALUE"""),226)</f>
        <v>226</v>
      </c>
      <c r="L98" s="1">
        <f ca="1">IFERROR(__xludf.DUMMYFUNCTION("""COMPUTED_VALUE"""),-0.023)</f>
        <v>-2.3E-2</v>
      </c>
      <c r="M98" s="1">
        <f ca="1">IFERROR(__xludf.DUMMYFUNCTION("""COMPUTED_VALUE"""),213)</f>
        <v>213</v>
      </c>
      <c r="N98" s="1" t="str">
        <f ca="1">IFERROR(__xludf.DUMMYFUNCTION("""COMPUTED_VALUE"""),"+3.77")</f>
        <v>+3.77</v>
      </c>
      <c r="O98" s="1">
        <f ca="1">IFERROR(__xludf.DUMMYFUNCTION("""COMPUTED_VALUE"""),97)</f>
        <v>97</v>
      </c>
      <c r="P98" s="1">
        <f ca="1">IFERROR(__xludf.DUMMYFUNCTION("""COMPUTED_VALUE"""),105.9)</f>
        <v>105.9</v>
      </c>
      <c r="Q98" s="1">
        <f ca="1">IFERROR(__xludf.DUMMYFUNCTION("""COMPUTED_VALUE"""),79)</f>
        <v>79</v>
      </c>
      <c r="R98" s="1">
        <f ca="1">IFERROR(__xludf.DUMMYFUNCTION("""COMPUTED_VALUE"""),102.1)</f>
        <v>102.1</v>
      </c>
      <c r="S98" s="1">
        <f ca="1">IFERROR(__xludf.DUMMYFUNCTION("""COMPUTED_VALUE"""),114)</f>
        <v>114</v>
      </c>
      <c r="T98" s="1">
        <f ca="1">IFERROR(__xludf.DUMMYFUNCTION("""COMPUTED_VALUE"""),-2.86)</f>
        <v>-2.86</v>
      </c>
      <c r="U98" s="1">
        <f ca="1">IFERROR(__xludf.DUMMYFUNCTION("""COMPUTED_VALUE"""),232)</f>
        <v>232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IFERROR(__xludf.DUMMYFUNCTION("""COMPUTED_VALUE"""),"Milwaukee")</f>
        <v>Milwaukee</v>
      </c>
      <c r="C99" s="1" t="str">
        <f ca="1">IFERROR(__xludf.DUMMYFUNCTION("""COMPUTED_VALUE"""),"Horz")</f>
        <v>Horz</v>
      </c>
      <c r="D99" s="1" t="str">
        <f ca="1">IFERROR(__xludf.DUMMYFUNCTION("""COMPUTED_VALUE"""),"13-13")</f>
        <v>13-13</v>
      </c>
      <c r="E99" s="1" t="str">
        <f ca="1">IFERROR(__xludf.DUMMYFUNCTION("""COMPUTED_VALUE"""),"+6.28")</f>
        <v>+6.28</v>
      </c>
      <c r="F99" s="1">
        <f ca="1">IFERROR(__xludf.DUMMYFUNCTION("""COMPUTED_VALUE"""),104.8)</f>
        <v>104.8</v>
      </c>
      <c r="G99" s="1">
        <f ca="1">IFERROR(__xludf.DUMMYFUNCTION("""COMPUTED_VALUE"""),133)</f>
        <v>133</v>
      </c>
      <c r="H99" s="1">
        <f ca="1">IFERROR(__xludf.DUMMYFUNCTION("""COMPUTED_VALUE"""),98.5)</f>
        <v>98.5</v>
      </c>
      <c r="I99" s="1">
        <f ca="1">IFERROR(__xludf.DUMMYFUNCTION("""COMPUTED_VALUE"""),78)</f>
        <v>78</v>
      </c>
      <c r="J99" s="1">
        <f ca="1">IFERROR(__xludf.DUMMYFUNCTION("""COMPUTED_VALUE"""),71.5)</f>
        <v>71.5</v>
      </c>
      <c r="K99" s="1">
        <f ca="1">IFERROR(__xludf.DUMMYFUNCTION("""COMPUTED_VALUE"""),52)</f>
        <v>52</v>
      </c>
      <c r="L99" s="1">
        <f ca="1">IFERROR(__xludf.DUMMYFUNCTION("""COMPUTED_VALUE"""),-0.088)</f>
        <v>-8.7999999999999995E-2</v>
      </c>
      <c r="M99" s="1">
        <f ca="1">IFERROR(__xludf.DUMMYFUNCTION("""COMPUTED_VALUE"""),309)</f>
        <v>309</v>
      </c>
      <c r="N99" s="1" t="str">
        <f ca="1">IFERROR(__xludf.DUMMYFUNCTION("""COMPUTED_VALUE"""),"+1.98")</f>
        <v>+1.98</v>
      </c>
      <c r="O99" s="1">
        <f ca="1">IFERROR(__xludf.DUMMYFUNCTION("""COMPUTED_VALUE"""),123)</f>
        <v>123</v>
      </c>
      <c r="P99" s="1">
        <f ca="1">IFERROR(__xludf.DUMMYFUNCTION("""COMPUTED_VALUE"""),105.5)</f>
        <v>105.5</v>
      </c>
      <c r="Q99" s="1">
        <f ca="1">IFERROR(__xludf.DUMMYFUNCTION("""COMPUTED_VALUE"""),96)</f>
        <v>96</v>
      </c>
      <c r="R99" s="1">
        <f ca="1">IFERROR(__xludf.DUMMYFUNCTION("""COMPUTED_VALUE"""),103.5)</f>
        <v>103.5</v>
      </c>
      <c r="S99" s="1">
        <f ca="1">IFERROR(__xludf.DUMMYFUNCTION("""COMPUTED_VALUE"""),171)</f>
        <v>171</v>
      </c>
      <c r="T99" s="1" t="str">
        <f ca="1">IFERROR(__xludf.DUMMYFUNCTION("""COMPUTED_VALUE"""),"+5.89")</f>
        <v>+5.89</v>
      </c>
      <c r="U99" s="1">
        <f ca="1">IFERROR(__xludf.DUMMYFUNCTION("""COMPUTED_VALUE"""),41)</f>
        <v>41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IFERROR(__xludf.DUMMYFUNCTION("""COMPUTED_VALUE"""),"Providence")</f>
        <v>Providence</v>
      </c>
      <c r="C100" s="1" t="str">
        <f ca="1">IFERROR(__xludf.DUMMYFUNCTION("""COMPUTED_VALUE"""),"BE")</f>
        <v>BE</v>
      </c>
      <c r="D100" s="1" t="str">
        <f ca="1">IFERROR(__xludf.DUMMYFUNCTION("""COMPUTED_VALUE"""),"15-16")</f>
        <v>15-16</v>
      </c>
      <c r="E100" s="1" t="str">
        <f ca="1">IFERROR(__xludf.DUMMYFUNCTION("""COMPUTED_VALUE"""),"+6.19")</f>
        <v>+6.19</v>
      </c>
      <c r="F100" s="1">
        <f ca="1">IFERROR(__xludf.DUMMYFUNCTION("""COMPUTED_VALUE"""),102.9)</f>
        <v>102.9</v>
      </c>
      <c r="G100" s="1">
        <f ca="1">IFERROR(__xludf.DUMMYFUNCTION("""COMPUTED_VALUE"""),165)</f>
        <v>165</v>
      </c>
      <c r="H100" s="1">
        <f ca="1">IFERROR(__xludf.DUMMYFUNCTION("""COMPUTED_VALUE"""),96.7)</f>
        <v>96.7</v>
      </c>
      <c r="I100" s="1">
        <f ca="1">IFERROR(__xludf.DUMMYFUNCTION("""COMPUTED_VALUE"""),49)</f>
        <v>49</v>
      </c>
      <c r="J100" s="1">
        <f ca="1">IFERROR(__xludf.DUMMYFUNCTION("""COMPUTED_VALUE"""),71.1)</f>
        <v>71.099999999999994</v>
      </c>
      <c r="K100" s="1">
        <f ca="1">IFERROR(__xludf.DUMMYFUNCTION("""COMPUTED_VALUE"""),58)</f>
        <v>58</v>
      </c>
      <c r="L100" s="1">
        <f ca="1">IFERROR(__xludf.DUMMYFUNCTION("""COMPUTED_VALUE"""),-0.05)</f>
        <v>-0.05</v>
      </c>
      <c r="M100" s="1">
        <f ca="1">IFERROR(__xludf.DUMMYFUNCTION("""COMPUTED_VALUE"""),271)</f>
        <v>271</v>
      </c>
      <c r="N100" s="1" t="str">
        <f ca="1">IFERROR(__xludf.DUMMYFUNCTION("""COMPUTED_VALUE"""),"+4.43")</f>
        <v>+4.43</v>
      </c>
      <c r="O100" s="1">
        <f ca="1">IFERROR(__xludf.DUMMYFUNCTION("""COMPUTED_VALUE"""),88)</f>
        <v>88</v>
      </c>
      <c r="P100" s="1">
        <f ca="1">IFERROR(__xludf.DUMMYFUNCTION("""COMPUTED_VALUE"""),104.2)</f>
        <v>104.2</v>
      </c>
      <c r="Q100" s="1">
        <f ca="1">IFERROR(__xludf.DUMMYFUNCTION("""COMPUTED_VALUE"""),133)</f>
        <v>133</v>
      </c>
      <c r="R100" s="1">
        <f ca="1">IFERROR(__xludf.DUMMYFUNCTION("""COMPUTED_VALUE"""),99.7)</f>
        <v>99.7</v>
      </c>
      <c r="S100" s="1">
        <f ca="1">IFERROR(__xludf.DUMMYFUNCTION("""COMPUTED_VALUE"""),43)</f>
        <v>43</v>
      </c>
      <c r="T100" s="1">
        <f ca="1">IFERROR(__xludf.DUMMYFUNCTION("""COMPUTED_VALUE"""),-4.68)</f>
        <v>-4.68</v>
      </c>
      <c r="U100" s="1">
        <f ca="1">IFERROR(__xludf.DUMMYFUNCTION("""COMPUTED_VALUE"""),269)</f>
        <v>269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IFERROR(__xludf.DUMMYFUNCTION("""COMPUTED_VALUE"""),"UAB")</f>
        <v>UAB</v>
      </c>
      <c r="C101" s="1" t="str">
        <f ca="1">IFERROR(__xludf.DUMMYFUNCTION("""COMPUTED_VALUE"""),"CUSA")</f>
        <v>CUSA</v>
      </c>
      <c r="D101" s="1" t="str">
        <f ca="1">IFERROR(__xludf.DUMMYFUNCTION("""COMPUTED_VALUE"""),"13-17")</f>
        <v>13-17</v>
      </c>
      <c r="E101" s="1" t="str">
        <f ca="1">IFERROR(__xludf.DUMMYFUNCTION("""COMPUTED_VALUE"""),"+6.18")</f>
        <v>+6.18</v>
      </c>
      <c r="F101" s="1">
        <f ca="1">IFERROR(__xludf.DUMMYFUNCTION("""COMPUTED_VALUE"""),102.5)</f>
        <v>102.5</v>
      </c>
      <c r="G101" s="1">
        <f ca="1">IFERROR(__xludf.DUMMYFUNCTION("""COMPUTED_VALUE"""),171)</f>
        <v>171</v>
      </c>
      <c r="H101" s="1">
        <f ca="1">IFERROR(__xludf.DUMMYFUNCTION("""COMPUTED_VALUE"""),96.4)</f>
        <v>96.4</v>
      </c>
      <c r="I101" s="1">
        <f ca="1">IFERROR(__xludf.DUMMYFUNCTION("""COMPUTED_VALUE"""),43)</f>
        <v>43</v>
      </c>
      <c r="J101" s="1">
        <f ca="1">IFERROR(__xludf.DUMMYFUNCTION("""COMPUTED_VALUE"""),67.7)</f>
        <v>67.7</v>
      </c>
      <c r="K101" s="1">
        <f ca="1">IFERROR(__xludf.DUMMYFUNCTION("""COMPUTED_VALUE"""),185)</f>
        <v>185</v>
      </c>
      <c r="L101" s="1">
        <f ca="1">IFERROR(__xludf.DUMMYFUNCTION("""COMPUTED_VALUE"""),-0.143)</f>
        <v>-0.14299999999999999</v>
      </c>
      <c r="M101" s="1">
        <f ca="1">IFERROR(__xludf.DUMMYFUNCTION("""COMPUTED_VALUE"""),327)</f>
        <v>327</v>
      </c>
      <c r="N101" s="1" t="str">
        <f ca="1">IFERROR(__xludf.DUMMYFUNCTION("""COMPUTED_VALUE"""),"+2.74")</f>
        <v>+2.74</v>
      </c>
      <c r="O101" s="1">
        <f ca="1">IFERROR(__xludf.DUMMYFUNCTION("""COMPUTED_VALUE"""),110)</f>
        <v>110</v>
      </c>
      <c r="P101" s="1">
        <f ca="1">IFERROR(__xludf.DUMMYFUNCTION("""COMPUTED_VALUE"""),104.5)</f>
        <v>104.5</v>
      </c>
      <c r="Q101" s="1">
        <f ca="1">IFERROR(__xludf.DUMMYFUNCTION("""COMPUTED_VALUE"""),119)</f>
        <v>119</v>
      </c>
      <c r="R101" s="1">
        <f ca="1">IFERROR(__xludf.DUMMYFUNCTION("""COMPUTED_VALUE"""),101.8)</f>
        <v>101.8</v>
      </c>
      <c r="S101" s="1">
        <f ca="1">IFERROR(__xludf.DUMMYFUNCTION("""COMPUTED_VALUE"""),104)</f>
        <v>104</v>
      </c>
      <c r="T101" s="1">
        <f ca="1">IFERROR(__xludf.DUMMYFUNCTION("""COMPUTED_VALUE"""),-2.9)</f>
        <v>-2.9</v>
      </c>
      <c r="U101" s="1">
        <f ca="1">IFERROR(__xludf.DUMMYFUNCTION("""COMPUTED_VALUE"""),234)</f>
        <v>234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IFERROR(__xludf.DUMMYFUNCTION("""COMPUTED_VALUE"""),"New Mexico St.")</f>
        <v>New Mexico St.</v>
      </c>
      <c r="C102" s="1" t="str">
        <f ca="1">IFERROR(__xludf.DUMMYFUNCTION("""COMPUTED_VALUE"""),"SB")</f>
        <v>SB</v>
      </c>
      <c r="D102" s="1" t="str">
        <f ca="1">IFERROR(__xludf.DUMMYFUNCTION("""COMPUTED_VALUE"""),"18-11")</f>
        <v>18-11</v>
      </c>
      <c r="E102" s="1" t="str">
        <f ca="1">IFERROR(__xludf.DUMMYFUNCTION("""COMPUTED_VALUE"""),"+5.87")</f>
        <v>+5.87</v>
      </c>
      <c r="F102" s="1">
        <f ca="1">IFERROR(__xludf.DUMMYFUNCTION("""COMPUTED_VALUE"""),109.3)</f>
        <v>109.3</v>
      </c>
      <c r="G102" s="1">
        <f ca="1">IFERROR(__xludf.DUMMYFUNCTION("""COMPUTED_VALUE"""),71)</f>
        <v>71</v>
      </c>
      <c r="H102" s="1">
        <f ca="1">IFERROR(__xludf.DUMMYFUNCTION("""COMPUTED_VALUE"""),103.4)</f>
        <v>103.4</v>
      </c>
      <c r="I102" s="1">
        <f ca="1">IFERROR(__xludf.DUMMYFUNCTION("""COMPUTED_VALUE"""),176)</f>
        <v>176</v>
      </c>
      <c r="J102" s="1">
        <f ca="1">IFERROR(__xludf.DUMMYFUNCTION("""COMPUTED_VALUE"""),68.3)</f>
        <v>68.3</v>
      </c>
      <c r="K102" s="1">
        <f ca="1">IFERROR(__xludf.DUMMYFUNCTION("""COMPUTED_VALUE"""),159)</f>
        <v>159</v>
      </c>
      <c r="L102" s="1">
        <f ca="1">IFERROR(__xludf.DUMMYFUNCTION("""COMPUTED_VALUE"""),-0.029)</f>
        <v>-2.9000000000000001E-2</v>
      </c>
      <c r="M102" s="1">
        <f ca="1">IFERROR(__xludf.DUMMYFUNCTION("""COMPUTED_VALUE"""),231)</f>
        <v>231</v>
      </c>
      <c r="N102" s="1">
        <f ca="1">IFERROR(__xludf.DUMMYFUNCTION("""COMPUTED_VALUE"""),-0.48)</f>
        <v>-0.48</v>
      </c>
      <c r="O102" s="1">
        <f ca="1">IFERROR(__xludf.DUMMYFUNCTION("""COMPUTED_VALUE"""),175)</f>
        <v>175</v>
      </c>
      <c r="P102" s="1">
        <f ca="1">IFERROR(__xludf.DUMMYFUNCTION("""COMPUTED_VALUE"""),102.6)</f>
        <v>102.6</v>
      </c>
      <c r="Q102" s="1">
        <f ca="1">IFERROR(__xludf.DUMMYFUNCTION("""COMPUTED_VALUE"""),192)</f>
        <v>192</v>
      </c>
      <c r="R102" s="1">
        <f ca="1">IFERROR(__xludf.DUMMYFUNCTION("""COMPUTED_VALUE"""),103.1)</f>
        <v>103.1</v>
      </c>
      <c r="S102" s="1">
        <f ca="1">IFERROR(__xludf.DUMMYFUNCTION("""COMPUTED_VALUE"""),153)</f>
        <v>153</v>
      </c>
      <c r="T102" s="1" t="str">
        <f ca="1">IFERROR(__xludf.DUMMYFUNCTION("""COMPUTED_VALUE"""),"+0.97")</f>
        <v>+0.97</v>
      </c>
      <c r="U102" s="1">
        <f ca="1">IFERROR(__xludf.DUMMYFUNCTION("""COMPUTED_VALUE"""),137)</f>
        <v>137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IFERROR(__xludf.DUMMYFUNCTION("""COMPUTED_VALUE"""),"Arkansas Little Rock")</f>
        <v>Arkansas Little Rock</v>
      </c>
      <c r="C103" s="1" t="str">
        <f ca="1">IFERROR(__xludf.DUMMYFUNCTION("""COMPUTED_VALUE"""),"SB")</f>
        <v>SB</v>
      </c>
      <c r="D103" s="1" t="str">
        <f ca="1">IFERROR(__xludf.DUMMYFUNCTION("""COMPUTED_VALUE"""),"16-11")</f>
        <v>16-11</v>
      </c>
      <c r="E103" s="1" t="str">
        <f ca="1">IFERROR(__xludf.DUMMYFUNCTION("""COMPUTED_VALUE"""),"+5.75")</f>
        <v>+5.75</v>
      </c>
      <c r="F103" s="1">
        <f ca="1">IFERROR(__xludf.DUMMYFUNCTION("""COMPUTED_VALUE"""),106.8)</f>
        <v>106.8</v>
      </c>
      <c r="G103" s="1">
        <f ca="1">IFERROR(__xludf.DUMMYFUNCTION("""COMPUTED_VALUE"""),105)</f>
        <v>105</v>
      </c>
      <c r="H103" s="1">
        <f ca="1">IFERROR(__xludf.DUMMYFUNCTION("""COMPUTED_VALUE"""),101.1)</f>
        <v>101.1</v>
      </c>
      <c r="I103" s="1">
        <f ca="1">IFERROR(__xludf.DUMMYFUNCTION("""COMPUTED_VALUE"""),124)</f>
        <v>124</v>
      </c>
      <c r="J103" s="1">
        <f ca="1">IFERROR(__xludf.DUMMYFUNCTION("""COMPUTED_VALUE"""),69.1)</f>
        <v>69.099999999999994</v>
      </c>
      <c r="K103" s="1">
        <f ca="1">IFERROR(__xludf.DUMMYFUNCTION("""COMPUTED_VALUE"""),126)</f>
        <v>126</v>
      </c>
      <c r="L103" s="1">
        <f ca="1">IFERROR(__xludf.DUMMYFUNCTION("""COMPUTED_VALUE"""),-0.063)</f>
        <v>-6.3E-2</v>
      </c>
      <c r="M103" s="1">
        <f ca="1">IFERROR(__xludf.DUMMYFUNCTION("""COMPUTED_VALUE"""),292)</f>
        <v>292</v>
      </c>
      <c r="N103" s="1">
        <f ca="1">IFERROR(__xludf.DUMMYFUNCTION("""COMPUTED_VALUE"""),-1.3)</f>
        <v>-1.3</v>
      </c>
      <c r="O103" s="1">
        <f ca="1">IFERROR(__xludf.DUMMYFUNCTION("""COMPUTED_VALUE"""),190)</f>
        <v>190</v>
      </c>
      <c r="P103" s="1">
        <f ca="1">IFERROR(__xludf.DUMMYFUNCTION("""COMPUTED_VALUE"""),100.7)</f>
        <v>100.7</v>
      </c>
      <c r="Q103" s="1">
        <f ca="1">IFERROR(__xludf.DUMMYFUNCTION("""COMPUTED_VALUE"""),236)</f>
        <v>236</v>
      </c>
      <c r="R103" s="1">
        <f ca="1">IFERROR(__xludf.DUMMYFUNCTION("""COMPUTED_VALUE"""),102)</f>
        <v>102</v>
      </c>
      <c r="S103" s="1">
        <f ca="1">IFERROR(__xludf.DUMMYFUNCTION("""COMPUTED_VALUE"""),108)</f>
        <v>108</v>
      </c>
      <c r="T103" s="1">
        <f ca="1">IFERROR(__xludf.DUMMYFUNCTION("""COMPUTED_VALUE"""),-4.07)</f>
        <v>-4.07</v>
      </c>
      <c r="U103" s="1">
        <f ca="1">IFERROR(__xludf.DUMMYFUNCTION("""COMPUTED_VALUE"""),256)</f>
        <v>256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IFERROR(__xludf.DUMMYFUNCTION("""COMPUTED_VALUE"""),"Pacific")</f>
        <v>Pacific</v>
      </c>
      <c r="C104" s="1" t="str">
        <f ca="1">IFERROR(__xludf.DUMMYFUNCTION("""COMPUTED_VALUE"""),"BW")</f>
        <v>BW</v>
      </c>
      <c r="D104" s="1" t="str">
        <f ca="1">IFERROR(__xludf.DUMMYFUNCTION("""COMPUTED_VALUE"""),"18-10")</f>
        <v>18-10</v>
      </c>
      <c r="E104" s="1" t="str">
        <f ca="1">IFERROR(__xludf.DUMMYFUNCTION("""COMPUTED_VALUE"""),"+5.74")</f>
        <v>+5.74</v>
      </c>
      <c r="F104" s="1">
        <f ca="1">IFERROR(__xludf.DUMMYFUNCTION("""COMPUTED_VALUE"""),109.6)</f>
        <v>109.6</v>
      </c>
      <c r="G104" s="1">
        <f ca="1">IFERROR(__xludf.DUMMYFUNCTION("""COMPUTED_VALUE"""),69)</f>
        <v>69</v>
      </c>
      <c r="H104" s="1">
        <f ca="1">IFERROR(__xludf.DUMMYFUNCTION("""COMPUTED_VALUE"""),103.8)</f>
        <v>103.8</v>
      </c>
      <c r="I104" s="1">
        <f ca="1">IFERROR(__xludf.DUMMYFUNCTION("""COMPUTED_VALUE"""),183)</f>
        <v>183</v>
      </c>
      <c r="J104" s="1">
        <f ca="1">IFERROR(__xludf.DUMMYFUNCTION("""COMPUTED_VALUE"""),65.2)</f>
        <v>65.2</v>
      </c>
      <c r="K104" s="1">
        <f ca="1">IFERROR(__xludf.DUMMYFUNCTION("""COMPUTED_VALUE"""),265)</f>
        <v>265</v>
      </c>
      <c r="L104" s="1" t="str">
        <f ca="1">IFERROR(__xludf.DUMMYFUNCTION("""COMPUTED_VALUE"""),"+.002")</f>
        <v>+.002</v>
      </c>
      <c r="M104" s="1">
        <f ca="1">IFERROR(__xludf.DUMMYFUNCTION("""COMPUTED_VALUE"""),163)</f>
        <v>163</v>
      </c>
      <c r="N104" s="1">
        <f ca="1">IFERROR(__xludf.DUMMYFUNCTION("""COMPUTED_VALUE"""),-1.13)</f>
        <v>-1.1299999999999999</v>
      </c>
      <c r="O104" s="1">
        <f ca="1">IFERROR(__xludf.DUMMYFUNCTION("""COMPUTED_VALUE"""),185)</f>
        <v>185</v>
      </c>
      <c r="P104" s="1">
        <f ca="1">IFERROR(__xludf.DUMMYFUNCTION("""COMPUTED_VALUE"""),101.9)</f>
        <v>101.9</v>
      </c>
      <c r="Q104" s="1">
        <f ca="1">IFERROR(__xludf.DUMMYFUNCTION("""COMPUTED_VALUE"""),214)</f>
        <v>214</v>
      </c>
      <c r="R104" s="1">
        <f ca="1">IFERROR(__xludf.DUMMYFUNCTION("""COMPUTED_VALUE"""),103)</f>
        <v>103</v>
      </c>
      <c r="S104" s="1">
        <f ca="1">IFERROR(__xludf.DUMMYFUNCTION("""COMPUTED_VALUE"""),144)</f>
        <v>144</v>
      </c>
      <c r="T104" s="1" t="str">
        <f ca="1">IFERROR(__xludf.DUMMYFUNCTION("""COMPUTED_VALUE"""),"+0.42")</f>
        <v>+0.42</v>
      </c>
      <c r="U104" s="1">
        <f ca="1">IFERROR(__xludf.DUMMYFUNCTION("""COMPUTED_VALUE"""),151)</f>
        <v>151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IFERROR(__xludf.DUMMYFUNCTION("""COMPUTED_VALUE"""),"Washington")</f>
        <v>Washington</v>
      </c>
      <c r="C105" s="1" t="str">
        <f ca="1">IFERROR(__xludf.DUMMYFUNCTION("""COMPUTED_VALUE"""),"P10")</f>
        <v>P10</v>
      </c>
      <c r="D105" s="2">
        <f ca="1">IFERROR(__xludf.DUMMYFUNCTION("""COMPUTED_VALUE"""),44852)</f>
        <v>44852</v>
      </c>
      <c r="E105" s="1" t="str">
        <f ca="1">IFERROR(__xludf.DUMMYFUNCTION("""COMPUTED_VALUE"""),"+5.44")</f>
        <v>+5.44</v>
      </c>
      <c r="F105" s="1">
        <f ca="1">IFERROR(__xludf.DUMMYFUNCTION("""COMPUTED_VALUE"""),105.3)</f>
        <v>105.3</v>
      </c>
      <c r="G105" s="1">
        <f ca="1">IFERROR(__xludf.DUMMYFUNCTION("""COMPUTED_VALUE"""),128)</f>
        <v>128</v>
      </c>
      <c r="H105" s="1">
        <f ca="1">IFERROR(__xludf.DUMMYFUNCTION("""COMPUTED_VALUE"""),99.8)</f>
        <v>99.8</v>
      </c>
      <c r="I105" s="1">
        <f ca="1">IFERROR(__xludf.DUMMYFUNCTION("""COMPUTED_VALUE"""),97)</f>
        <v>97</v>
      </c>
      <c r="J105" s="1">
        <f ca="1">IFERROR(__xludf.DUMMYFUNCTION("""COMPUTED_VALUE"""),71.3)</f>
        <v>71.3</v>
      </c>
      <c r="K105" s="1">
        <f ca="1">IFERROR(__xludf.DUMMYFUNCTION("""COMPUTED_VALUE"""),56)</f>
        <v>56</v>
      </c>
      <c r="L105" s="1" t="str">
        <f ca="1">IFERROR(__xludf.DUMMYFUNCTION("""COMPUTED_VALUE"""),"+.010")</f>
        <v>+.010</v>
      </c>
      <c r="M105" s="1">
        <f ca="1">IFERROR(__xludf.DUMMYFUNCTION("""COMPUTED_VALUE"""),141)</f>
        <v>141</v>
      </c>
      <c r="N105" s="1" t="str">
        <f ca="1">IFERROR(__xludf.DUMMYFUNCTION("""COMPUTED_VALUE"""),"+12.07")</f>
        <v>+12.07</v>
      </c>
      <c r="O105" s="1">
        <f ca="1">IFERROR(__xludf.DUMMYFUNCTION("""COMPUTED_VALUE"""),4)</f>
        <v>4</v>
      </c>
      <c r="P105" s="1">
        <f ca="1">IFERROR(__xludf.DUMMYFUNCTION("""COMPUTED_VALUE"""),110.8)</f>
        <v>110.8</v>
      </c>
      <c r="Q105" s="1">
        <f ca="1">IFERROR(__xludf.DUMMYFUNCTION("""COMPUTED_VALUE"""),3)</f>
        <v>3</v>
      </c>
      <c r="R105" s="1">
        <f ca="1">IFERROR(__xludf.DUMMYFUNCTION("""COMPUTED_VALUE"""),98.7)</f>
        <v>98.7</v>
      </c>
      <c r="S105" s="1">
        <f ca="1">IFERROR(__xludf.DUMMYFUNCTION("""COMPUTED_VALUE"""),18)</f>
        <v>18</v>
      </c>
      <c r="T105" s="1" t="str">
        <f ca="1">IFERROR(__xludf.DUMMYFUNCTION("""COMPUTED_VALUE"""),"+7.59")</f>
        <v>+7.59</v>
      </c>
      <c r="U105" s="1">
        <f ca="1">IFERROR(__xludf.DUMMYFUNCTION("""COMPUTED_VALUE"""),25)</f>
        <v>25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IFERROR(__xludf.DUMMYFUNCTION("""COMPUTED_VALUE"""),"McNeese St.14")</f>
        <v>McNeese St.14</v>
      </c>
      <c r="C106" s="1" t="str">
        <f ca="1">IFERROR(__xludf.DUMMYFUNCTION("""COMPUTED_VALUE"""),"Slnd")</f>
        <v>Slnd</v>
      </c>
      <c r="D106" s="1" t="str">
        <f ca="1">IFERROR(__xludf.DUMMYFUNCTION("""COMPUTED_VALUE"""),"20-9")</f>
        <v>20-9</v>
      </c>
      <c r="E106" s="1" t="str">
        <f ca="1">IFERROR(__xludf.DUMMYFUNCTION("""COMPUTED_VALUE"""),"+5.39")</f>
        <v>+5.39</v>
      </c>
      <c r="F106" s="1">
        <f ca="1">IFERROR(__xludf.DUMMYFUNCTION("""COMPUTED_VALUE"""),103.2)</f>
        <v>103.2</v>
      </c>
      <c r="G106" s="1">
        <f ca="1">IFERROR(__xludf.DUMMYFUNCTION("""COMPUTED_VALUE"""),157)</f>
        <v>157</v>
      </c>
      <c r="H106" s="1">
        <f ca="1">IFERROR(__xludf.DUMMYFUNCTION("""COMPUTED_VALUE"""),97.8)</f>
        <v>97.8</v>
      </c>
      <c r="I106" s="1">
        <f ca="1">IFERROR(__xludf.DUMMYFUNCTION("""COMPUTED_VALUE"""),66)</f>
        <v>66</v>
      </c>
      <c r="J106" s="1">
        <f ca="1">IFERROR(__xludf.DUMMYFUNCTION("""COMPUTED_VALUE"""),66.2)</f>
        <v>66.2</v>
      </c>
      <c r="K106" s="1">
        <f ca="1">IFERROR(__xludf.DUMMYFUNCTION("""COMPUTED_VALUE"""),235)</f>
        <v>235</v>
      </c>
      <c r="L106" s="1" t="str">
        <f ca="1">IFERROR(__xludf.DUMMYFUNCTION("""COMPUTED_VALUE"""),"+.023")</f>
        <v>+.023</v>
      </c>
      <c r="M106" s="1">
        <f ca="1">IFERROR(__xludf.DUMMYFUNCTION("""COMPUTED_VALUE"""),108)</f>
        <v>108</v>
      </c>
      <c r="N106" s="1">
        <f ca="1">IFERROR(__xludf.DUMMYFUNCTION("""COMPUTED_VALUE"""),-4.6)</f>
        <v>-4.5999999999999996</v>
      </c>
      <c r="O106" s="1">
        <f ca="1">IFERROR(__xludf.DUMMYFUNCTION("""COMPUTED_VALUE"""),244)</f>
        <v>244</v>
      </c>
      <c r="P106" s="1">
        <f ca="1">IFERROR(__xludf.DUMMYFUNCTION("""COMPUTED_VALUE"""),99.6)</f>
        <v>99.6</v>
      </c>
      <c r="Q106" s="1">
        <f ca="1">IFERROR(__xludf.DUMMYFUNCTION("""COMPUTED_VALUE"""),258)</f>
        <v>258</v>
      </c>
      <c r="R106" s="1">
        <f ca="1">IFERROR(__xludf.DUMMYFUNCTION("""COMPUTED_VALUE"""),104.2)</f>
        <v>104.2</v>
      </c>
      <c r="S106" s="1">
        <f ca="1">IFERROR(__xludf.DUMMYFUNCTION("""COMPUTED_VALUE"""),197)</f>
        <v>197</v>
      </c>
      <c r="T106" s="1" t="str">
        <f ca="1">IFERROR(__xludf.DUMMYFUNCTION("""COMPUTED_VALUE"""),"+12.81")</f>
        <v>+12.81</v>
      </c>
      <c r="U106" s="1">
        <f ca="1">IFERROR(__xludf.DUMMYFUNCTION("""COMPUTED_VALUE"""),5)</f>
        <v>5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IFERROR(__xludf.DUMMYFUNCTION("""COMPUTED_VALUE"""),"San Diego")</f>
        <v>San Diego</v>
      </c>
      <c r="C107" s="1" t="str">
        <f ca="1">IFERROR(__xludf.DUMMYFUNCTION("""COMPUTED_VALUE"""),"WCC")</f>
        <v>WCC</v>
      </c>
      <c r="D107" s="1" t="str">
        <f ca="1">IFERROR(__xludf.DUMMYFUNCTION("""COMPUTED_VALUE"""),"14-13")</f>
        <v>14-13</v>
      </c>
      <c r="E107" s="1" t="str">
        <f ca="1">IFERROR(__xludf.DUMMYFUNCTION("""COMPUTED_VALUE"""),"+5.21")</f>
        <v>+5.21</v>
      </c>
      <c r="F107" s="1">
        <f ca="1">IFERROR(__xludf.DUMMYFUNCTION("""COMPUTED_VALUE"""),107.7)</f>
        <v>107.7</v>
      </c>
      <c r="G107" s="1">
        <f ca="1">IFERROR(__xludf.DUMMYFUNCTION("""COMPUTED_VALUE"""),92)</f>
        <v>92</v>
      </c>
      <c r="H107" s="1">
        <f ca="1">IFERROR(__xludf.DUMMYFUNCTION("""COMPUTED_VALUE"""),102.5)</f>
        <v>102.5</v>
      </c>
      <c r="I107" s="1">
        <f ca="1">IFERROR(__xludf.DUMMYFUNCTION("""COMPUTED_VALUE"""),154)</f>
        <v>154</v>
      </c>
      <c r="J107" s="1">
        <f ca="1">IFERROR(__xludf.DUMMYFUNCTION("""COMPUTED_VALUE"""),68.9)</f>
        <v>68.900000000000006</v>
      </c>
      <c r="K107" s="1">
        <f ca="1">IFERROR(__xludf.DUMMYFUNCTION("""COMPUTED_VALUE"""),140)</f>
        <v>140</v>
      </c>
      <c r="L107" s="1">
        <f ca="1">IFERROR(__xludf.DUMMYFUNCTION("""COMPUTED_VALUE"""),-0.071)</f>
        <v>-7.0999999999999994E-2</v>
      </c>
      <c r="M107" s="1">
        <f ca="1">IFERROR(__xludf.DUMMYFUNCTION("""COMPUTED_VALUE"""),297)</f>
        <v>297</v>
      </c>
      <c r="N107" s="1" t="str">
        <f ca="1">IFERROR(__xludf.DUMMYFUNCTION("""COMPUTED_VALUE"""),"+0.90")</f>
        <v>+0.90</v>
      </c>
      <c r="O107" s="1">
        <f ca="1">IFERROR(__xludf.DUMMYFUNCTION("""COMPUTED_VALUE"""),137)</f>
        <v>137</v>
      </c>
      <c r="P107" s="1">
        <f ca="1">IFERROR(__xludf.DUMMYFUNCTION("""COMPUTED_VALUE"""),103.5)</f>
        <v>103.5</v>
      </c>
      <c r="Q107" s="1">
        <f ca="1">IFERROR(__xludf.DUMMYFUNCTION("""COMPUTED_VALUE"""),160)</f>
        <v>160</v>
      </c>
      <c r="R107" s="1">
        <f ca="1">IFERROR(__xludf.DUMMYFUNCTION("""COMPUTED_VALUE"""),102.6)</f>
        <v>102.6</v>
      </c>
      <c r="S107" s="1">
        <f ca="1">IFERROR(__xludf.DUMMYFUNCTION("""COMPUTED_VALUE"""),131)</f>
        <v>131</v>
      </c>
      <c r="T107" s="1" t="str">
        <f ca="1">IFERROR(__xludf.DUMMYFUNCTION("""COMPUTED_VALUE"""),"+2.61")</f>
        <v>+2.61</v>
      </c>
      <c r="U107" s="1">
        <f ca="1">IFERROR(__xludf.DUMMYFUNCTION("""COMPUTED_VALUE"""),98)</f>
        <v>98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IFERROR(__xludf.DUMMYFUNCTION("""COMPUTED_VALUE"""),"Detroit")</f>
        <v>Detroit</v>
      </c>
      <c r="C108" s="1" t="str">
        <f ca="1">IFERROR(__xludf.DUMMYFUNCTION("""COMPUTED_VALUE"""),"Horz")</f>
        <v>Horz</v>
      </c>
      <c r="D108" s="1" t="str">
        <f ca="1">IFERROR(__xludf.DUMMYFUNCTION("""COMPUTED_VALUE"""),"18-13")</f>
        <v>18-13</v>
      </c>
      <c r="E108" s="1" t="str">
        <f ca="1">IFERROR(__xludf.DUMMYFUNCTION("""COMPUTED_VALUE"""),"+5.01")</f>
        <v>+5.01</v>
      </c>
      <c r="F108" s="1">
        <f ca="1">IFERROR(__xludf.DUMMYFUNCTION("""COMPUTED_VALUE"""),104)</f>
        <v>104</v>
      </c>
      <c r="G108" s="1">
        <f ca="1">IFERROR(__xludf.DUMMYFUNCTION("""COMPUTED_VALUE"""),145)</f>
        <v>145</v>
      </c>
      <c r="H108" s="1">
        <f ca="1">IFERROR(__xludf.DUMMYFUNCTION("""COMPUTED_VALUE"""),99)</f>
        <v>99</v>
      </c>
      <c r="I108" s="1">
        <f ca="1">IFERROR(__xludf.DUMMYFUNCTION("""COMPUTED_VALUE"""),86)</f>
        <v>86</v>
      </c>
      <c r="J108" s="1">
        <f ca="1">IFERROR(__xludf.DUMMYFUNCTION("""COMPUTED_VALUE"""),63.3)</f>
        <v>63.3</v>
      </c>
      <c r="K108" s="1">
        <f ca="1">IFERROR(__xludf.DUMMYFUNCTION("""COMPUTED_VALUE"""),300)</f>
        <v>300</v>
      </c>
      <c r="L108" s="1" t="str">
        <f ca="1">IFERROR(__xludf.DUMMYFUNCTION("""COMPUTED_VALUE"""),"+.051")</f>
        <v>+.051</v>
      </c>
      <c r="M108" s="1">
        <f ca="1">IFERROR(__xludf.DUMMYFUNCTION("""COMPUTED_VALUE"""),56)</f>
        <v>56</v>
      </c>
      <c r="N108" s="1" t="str">
        <f ca="1">IFERROR(__xludf.DUMMYFUNCTION("""COMPUTED_VALUE"""),"+2.37")</f>
        <v>+2.37</v>
      </c>
      <c r="O108" s="1">
        <f ca="1">IFERROR(__xludf.DUMMYFUNCTION("""COMPUTED_VALUE"""),114)</f>
        <v>114</v>
      </c>
      <c r="P108" s="1">
        <f ca="1">IFERROR(__xludf.DUMMYFUNCTION("""COMPUTED_VALUE"""),105)</f>
        <v>105</v>
      </c>
      <c r="Q108" s="1">
        <f ca="1">IFERROR(__xludf.DUMMYFUNCTION("""COMPUTED_VALUE"""),108)</f>
        <v>108</v>
      </c>
      <c r="R108" s="1">
        <f ca="1">IFERROR(__xludf.DUMMYFUNCTION("""COMPUTED_VALUE"""),102.6)</f>
        <v>102.6</v>
      </c>
      <c r="S108" s="1">
        <f ca="1">IFERROR(__xludf.DUMMYFUNCTION("""COMPUTED_VALUE"""),135)</f>
        <v>135</v>
      </c>
      <c r="T108" s="1" t="str">
        <f ca="1">IFERROR(__xludf.DUMMYFUNCTION("""COMPUTED_VALUE"""),"+3.02")</f>
        <v>+3.02</v>
      </c>
      <c r="U108" s="1">
        <f ca="1">IFERROR(__xludf.DUMMYFUNCTION("""COMPUTED_VALUE"""),88)</f>
        <v>88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IFERROR(__xludf.DUMMYFUNCTION("""COMPUTED_VALUE"""),"Nebraska")</f>
        <v>Nebraska</v>
      </c>
      <c r="C109" s="1" t="str">
        <f ca="1">IFERROR(__xludf.DUMMYFUNCTION("""COMPUTED_VALUE"""),"B12")</f>
        <v>B12</v>
      </c>
      <c r="D109" s="1" t="str">
        <f ca="1">IFERROR(__xludf.DUMMYFUNCTION("""COMPUTED_VALUE"""),"13-15")</f>
        <v>13-15</v>
      </c>
      <c r="E109" s="1" t="str">
        <f ca="1">IFERROR(__xludf.DUMMYFUNCTION("""COMPUTED_VALUE"""),"+5.00")</f>
        <v>+5.00</v>
      </c>
      <c r="F109" s="1">
        <f ca="1">IFERROR(__xludf.DUMMYFUNCTION("""COMPUTED_VALUE"""),105.8)</f>
        <v>105.8</v>
      </c>
      <c r="G109" s="1">
        <f ca="1">IFERROR(__xludf.DUMMYFUNCTION("""COMPUTED_VALUE"""),118)</f>
        <v>118</v>
      </c>
      <c r="H109" s="1">
        <f ca="1">IFERROR(__xludf.DUMMYFUNCTION("""COMPUTED_VALUE"""),100.8)</f>
        <v>100.8</v>
      </c>
      <c r="I109" s="1">
        <f ca="1">IFERROR(__xludf.DUMMYFUNCTION("""COMPUTED_VALUE"""),119)</f>
        <v>119</v>
      </c>
      <c r="J109" s="1">
        <f ca="1">IFERROR(__xludf.DUMMYFUNCTION("""COMPUTED_VALUE"""),66.5)</f>
        <v>66.5</v>
      </c>
      <c r="K109" s="1">
        <f ca="1">IFERROR(__xludf.DUMMYFUNCTION("""COMPUTED_VALUE"""),225)</f>
        <v>225</v>
      </c>
      <c r="L109" s="1">
        <f ca="1">IFERROR(__xludf.DUMMYFUNCTION("""COMPUTED_VALUE"""),-0.019)</f>
        <v>-1.9E-2</v>
      </c>
      <c r="M109" s="1">
        <f ca="1">IFERROR(__xludf.DUMMYFUNCTION("""COMPUTED_VALUE"""),201)</f>
        <v>201</v>
      </c>
      <c r="N109" s="1" t="str">
        <f ca="1">IFERROR(__xludf.DUMMYFUNCTION("""COMPUTED_VALUE"""),"+5.16")</f>
        <v>+5.16</v>
      </c>
      <c r="O109" s="1">
        <f ca="1">IFERROR(__xludf.DUMMYFUNCTION("""COMPUTED_VALUE"""),75)</f>
        <v>75</v>
      </c>
      <c r="P109" s="1">
        <f ca="1">IFERROR(__xludf.DUMMYFUNCTION("""COMPUTED_VALUE"""),106.6)</f>
        <v>106.6</v>
      </c>
      <c r="Q109" s="1">
        <f ca="1">IFERROR(__xludf.DUMMYFUNCTION("""COMPUTED_VALUE"""),59)</f>
        <v>59</v>
      </c>
      <c r="R109" s="1">
        <f ca="1">IFERROR(__xludf.DUMMYFUNCTION("""COMPUTED_VALUE"""),101.4)</f>
        <v>101.4</v>
      </c>
      <c r="S109" s="1">
        <f ca="1">IFERROR(__xludf.DUMMYFUNCTION("""COMPUTED_VALUE"""),90)</f>
        <v>90</v>
      </c>
      <c r="T109" s="1">
        <f ca="1">IFERROR(__xludf.DUMMYFUNCTION("""COMPUTED_VALUE"""),-6.47)</f>
        <v>-6.47</v>
      </c>
      <c r="U109" s="1">
        <f ca="1">IFERROR(__xludf.DUMMYFUNCTION("""COMPUTED_VALUE"""),295)</f>
        <v>295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IFERROR(__xludf.DUMMYFUNCTION("""COMPUTED_VALUE"""),"Houston")</f>
        <v>Houston</v>
      </c>
      <c r="C110" s="1" t="str">
        <f ca="1">IFERROR(__xludf.DUMMYFUNCTION("""COMPUTED_VALUE"""),"CUSA")</f>
        <v>CUSA</v>
      </c>
      <c r="D110" s="1" t="str">
        <f ca="1">IFERROR(__xludf.DUMMYFUNCTION("""COMPUTED_VALUE"""),"17-15")</f>
        <v>17-15</v>
      </c>
      <c r="E110" s="1" t="str">
        <f ca="1">IFERROR(__xludf.DUMMYFUNCTION("""COMPUTED_VALUE"""),"+4.99")</f>
        <v>+4.99</v>
      </c>
      <c r="F110" s="1">
        <f ca="1">IFERROR(__xludf.DUMMYFUNCTION("""COMPUTED_VALUE"""),108.7)</f>
        <v>108.7</v>
      </c>
      <c r="G110" s="1">
        <f ca="1">IFERROR(__xludf.DUMMYFUNCTION("""COMPUTED_VALUE"""),77)</f>
        <v>77</v>
      </c>
      <c r="H110" s="1">
        <f ca="1">IFERROR(__xludf.DUMMYFUNCTION("""COMPUTED_VALUE"""),103.7)</f>
        <v>103.7</v>
      </c>
      <c r="I110" s="1">
        <f ca="1">IFERROR(__xludf.DUMMYFUNCTION("""COMPUTED_VALUE"""),182)</f>
        <v>182</v>
      </c>
      <c r="J110" s="1">
        <f ca="1">IFERROR(__xludf.DUMMYFUNCTION("""COMPUTED_VALUE"""),66)</f>
        <v>66</v>
      </c>
      <c r="K110" s="1">
        <f ca="1">IFERROR(__xludf.DUMMYFUNCTION("""COMPUTED_VALUE"""),239)</f>
        <v>239</v>
      </c>
      <c r="L110" s="1" t="str">
        <f ca="1">IFERROR(__xludf.DUMMYFUNCTION("""COMPUTED_VALUE"""),"+.064")</f>
        <v>+.064</v>
      </c>
      <c r="M110" s="1">
        <f ca="1">IFERROR(__xludf.DUMMYFUNCTION("""COMPUTED_VALUE"""),28)</f>
        <v>28</v>
      </c>
      <c r="N110" s="1" t="str">
        <f ca="1">IFERROR(__xludf.DUMMYFUNCTION("""COMPUTED_VALUE"""),"+6.12")</f>
        <v>+6.12</v>
      </c>
      <c r="O110" s="1">
        <f ca="1">IFERROR(__xludf.DUMMYFUNCTION("""COMPUTED_VALUE"""),63)</f>
        <v>63</v>
      </c>
      <c r="P110" s="1">
        <f ca="1">IFERROR(__xludf.DUMMYFUNCTION("""COMPUTED_VALUE"""),106.2)</f>
        <v>106.2</v>
      </c>
      <c r="Q110" s="1">
        <f ca="1">IFERROR(__xludf.DUMMYFUNCTION("""COMPUTED_VALUE"""),68)</f>
        <v>68</v>
      </c>
      <c r="R110" s="1">
        <f ca="1">IFERROR(__xludf.DUMMYFUNCTION("""COMPUTED_VALUE"""),100.1)</f>
        <v>100.1</v>
      </c>
      <c r="S110" s="1">
        <f ca="1">IFERROR(__xludf.DUMMYFUNCTION("""COMPUTED_VALUE"""),59)</f>
        <v>59</v>
      </c>
      <c r="T110" s="1" t="str">
        <f ca="1">IFERROR(__xludf.DUMMYFUNCTION("""COMPUTED_VALUE"""),"+1.53")</f>
        <v>+1.53</v>
      </c>
      <c r="U110" s="1">
        <f ca="1">IFERROR(__xludf.DUMMYFUNCTION("""COMPUTED_VALUE"""),125)</f>
        <v>125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IFERROR(__xludf.DUMMYFUNCTION("""COMPUTED_VALUE"""),"Rutgers")</f>
        <v>Rutgers</v>
      </c>
      <c r="C111" s="1" t="str">
        <f ca="1">IFERROR(__xludf.DUMMYFUNCTION("""COMPUTED_VALUE"""),"BE")</f>
        <v>BE</v>
      </c>
      <c r="D111" s="1" t="str">
        <f ca="1">IFERROR(__xludf.DUMMYFUNCTION("""COMPUTED_VALUE"""),"18-13")</f>
        <v>18-13</v>
      </c>
      <c r="E111" s="1" t="str">
        <f ca="1">IFERROR(__xludf.DUMMYFUNCTION("""COMPUTED_VALUE"""),"+4.87")</f>
        <v>+4.87</v>
      </c>
      <c r="F111" s="1">
        <f ca="1">IFERROR(__xludf.DUMMYFUNCTION("""COMPUTED_VALUE"""),98)</f>
        <v>98</v>
      </c>
      <c r="G111" s="1">
        <f ca="1">IFERROR(__xludf.DUMMYFUNCTION("""COMPUTED_VALUE"""),251)</f>
        <v>251</v>
      </c>
      <c r="H111" s="1">
        <f ca="1">IFERROR(__xludf.DUMMYFUNCTION("""COMPUTED_VALUE"""),93.1)</f>
        <v>93.1</v>
      </c>
      <c r="I111" s="1">
        <f ca="1">IFERROR(__xludf.DUMMYFUNCTION("""COMPUTED_VALUE"""),19)</f>
        <v>19</v>
      </c>
      <c r="J111" s="1">
        <f ca="1">IFERROR(__xludf.DUMMYFUNCTION("""COMPUTED_VALUE"""),69.6)</f>
        <v>69.599999999999994</v>
      </c>
      <c r="K111" s="1">
        <f ca="1">IFERROR(__xludf.DUMMYFUNCTION("""COMPUTED_VALUE"""),101)</f>
        <v>101</v>
      </c>
      <c r="L111" s="1" t="str">
        <f ca="1">IFERROR(__xludf.DUMMYFUNCTION("""COMPUTED_VALUE"""),"+.038")</f>
        <v>+.038</v>
      </c>
      <c r="M111" s="1">
        <f ca="1">IFERROR(__xludf.DUMMYFUNCTION("""COMPUTED_VALUE"""),80)</f>
        <v>80</v>
      </c>
      <c r="N111" s="1" t="str">
        <f ca="1">IFERROR(__xludf.DUMMYFUNCTION("""COMPUTED_VALUE"""),"+2.78")</f>
        <v>+2.78</v>
      </c>
      <c r="O111" s="1">
        <f ca="1">IFERROR(__xludf.DUMMYFUNCTION("""COMPUTED_VALUE"""),108)</f>
        <v>108</v>
      </c>
      <c r="P111" s="1">
        <f ca="1">IFERROR(__xludf.DUMMYFUNCTION("""COMPUTED_VALUE"""),103.7)</f>
        <v>103.7</v>
      </c>
      <c r="Q111" s="1">
        <f ca="1">IFERROR(__xludf.DUMMYFUNCTION("""COMPUTED_VALUE"""),146)</f>
        <v>146</v>
      </c>
      <c r="R111" s="1">
        <f ca="1">IFERROR(__xludf.DUMMYFUNCTION("""COMPUTED_VALUE"""),101)</f>
        <v>101</v>
      </c>
      <c r="S111" s="1">
        <f ca="1">IFERROR(__xludf.DUMMYFUNCTION("""COMPUTED_VALUE"""),78)</f>
        <v>78</v>
      </c>
      <c r="T111" s="1">
        <f ca="1">IFERROR(__xludf.DUMMYFUNCTION("""COMPUTED_VALUE"""),-9.89)</f>
        <v>-9.89</v>
      </c>
      <c r="U111" s="1">
        <f ca="1">IFERROR(__xludf.DUMMYFUNCTION("""COMPUTED_VALUE"""),320)</f>
        <v>320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IFERROR(__xludf.DUMMYFUNCTION("""COMPUTED_VALUE"""),"Baylor")</f>
        <v>Baylor</v>
      </c>
      <c r="C112" s="1" t="str">
        <f ca="1">IFERROR(__xludf.DUMMYFUNCTION("""COMPUTED_VALUE"""),"B12")</f>
        <v>B12</v>
      </c>
      <c r="D112" s="2">
        <f ca="1">IFERROR(__xludf.DUMMYFUNCTION("""COMPUTED_VALUE"""),44911)</f>
        <v>44911</v>
      </c>
      <c r="E112" s="1" t="str">
        <f ca="1">IFERROR(__xludf.DUMMYFUNCTION("""COMPUTED_VALUE"""),"+4.69")</f>
        <v>+4.69</v>
      </c>
      <c r="F112" s="1">
        <f ca="1">IFERROR(__xludf.DUMMYFUNCTION("""COMPUTED_VALUE"""),108.2)</f>
        <v>108.2</v>
      </c>
      <c r="G112" s="1">
        <f ca="1">IFERROR(__xludf.DUMMYFUNCTION("""COMPUTED_VALUE"""),80)</f>
        <v>80</v>
      </c>
      <c r="H112" s="1">
        <f ca="1">IFERROR(__xludf.DUMMYFUNCTION("""COMPUTED_VALUE"""),103.5)</f>
        <v>103.5</v>
      </c>
      <c r="I112" s="1">
        <f ca="1">IFERROR(__xludf.DUMMYFUNCTION("""COMPUTED_VALUE"""),178)</f>
        <v>178</v>
      </c>
      <c r="J112" s="1">
        <f ca="1">IFERROR(__xludf.DUMMYFUNCTION("""COMPUTED_VALUE"""),68.3)</f>
        <v>68.3</v>
      </c>
      <c r="K112" s="1">
        <f ca="1">IFERROR(__xludf.DUMMYFUNCTION("""COMPUTED_VALUE"""),160)</f>
        <v>160</v>
      </c>
      <c r="L112" s="1">
        <f ca="1">IFERROR(__xludf.DUMMYFUNCTION("""COMPUTED_VALUE"""),-0.09)</f>
        <v>-0.09</v>
      </c>
      <c r="M112" s="1">
        <f ca="1">IFERROR(__xludf.DUMMYFUNCTION("""COMPUTED_VALUE"""),313)</f>
        <v>313</v>
      </c>
      <c r="N112" s="1" t="str">
        <f ca="1">IFERROR(__xludf.DUMMYFUNCTION("""COMPUTED_VALUE"""),"+4.22")</f>
        <v>+4.22</v>
      </c>
      <c r="O112" s="1">
        <f ca="1">IFERROR(__xludf.DUMMYFUNCTION("""COMPUTED_VALUE"""),93)</f>
        <v>93</v>
      </c>
      <c r="P112" s="1">
        <f ca="1">IFERROR(__xludf.DUMMYFUNCTION("""COMPUTED_VALUE"""),106)</f>
        <v>106</v>
      </c>
      <c r="Q112" s="1">
        <f ca="1">IFERROR(__xludf.DUMMYFUNCTION("""COMPUTED_VALUE"""),78)</f>
        <v>78</v>
      </c>
      <c r="R112" s="1">
        <f ca="1">IFERROR(__xludf.DUMMYFUNCTION("""COMPUTED_VALUE"""),101.7)</f>
        <v>101.7</v>
      </c>
      <c r="S112" s="1">
        <f ca="1">IFERROR(__xludf.DUMMYFUNCTION("""COMPUTED_VALUE"""),103)</f>
        <v>103</v>
      </c>
      <c r="T112" s="1">
        <f ca="1">IFERROR(__xludf.DUMMYFUNCTION("""COMPUTED_VALUE"""),-6.92)</f>
        <v>-6.92</v>
      </c>
      <c r="U112" s="1">
        <f ca="1">IFERROR(__xludf.DUMMYFUNCTION("""COMPUTED_VALUE"""),297)</f>
        <v>297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IFERROR(__xludf.DUMMYFUNCTION("""COMPUTED_VALUE"""),"Louisiana Lafayette")</f>
        <v>Louisiana Lafayette</v>
      </c>
      <c r="C113" s="1" t="str">
        <f ca="1">IFERROR(__xludf.DUMMYFUNCTION("""COMPUTED_VALUE"""),"SB")</f>
        <v>SB</v>
      </c>
      <c r="D113" s="1" t="str">
        <f ca="1">IFERROR(__xludf.DUMMYFUNCTION("""COMPUTED_VALUE"""),"19-11")</f>
        <v>19-11</v>
      </c>
      <c r="E113" s="1" t="str">
        <f ca="1">IFERROR(__xludf.DUMMYFUNCTION("""COMPUTED_VALUE"""),"+4.63")</f>
        <v>+4.63</v>
      </c>
      <c r="F113" s="1">
        <f ca="1">IFERROR(__xludf.DUMMYFUNCTION("""COMPUTED_VALUE"""),99.7)</f>
        <v>99.7</v>
      </c>
      <c r="G113" s="1">
        <f ca="1">IFERROR(__xludf.DUMMYFUNCTION("""COMPUTED_VALUE"""),217)</f>
        <v>217</v>
      </c>
      <c r="H113" s="1">
        <f ca="1">IFERROR(__xludf.DUMMYFUNCTION("""COMPUTED_VALUE"""),95)</f>
        <v>95</v>
      </c>
      <c r="I113" s="1">
        <f ca="1">IFERROR(__xludf.DUMMYFUNCTION("""COMPUTED_VALUE"""),31)</f>
        <v>31</v>
      </c>
      <c r="J113" s="1">
        <f ca="1">IFERROR(__xludf.DUMMYFUNCTION("""COMPUTED_VALUE"""),70.6)</f>
        <v>70.599999999999994</v>
      </c>
      <c r="K113" s="1">
        <f ca="1">IFERROR(__xludf.DUMMYFUNCTION("""COMPUTED_VALUE"""),69)</f>
        <v>69</v>
      </c>
      <c r="L113" s="1" t="str">
        <f ca="1">IFERROR(__xludf.DUMMYFUNCTION("""COMPUTED_VALUE"""),"+.054")</f>
        <v>+.054</v>
      </c>
      <c r="M113" s="1">
        <f ca="1">IFERROR(__xludf.DUMMYFUNCTION("""COMPUTED_VALUE"""),48)</f>
        <v>48</v>
      </c>
      <c r="N113" s="1" t="str">
        <f ca="1">IFERROR(__xludf.DUMMYFUNCTION("""COMPUTED_VALUE"""),"+0.17")</f>
        <v>+0.17</v>
      </c>
      <c r="O113" s="1">
        <f ca="1">IFERROR(__xludf.DUMMYFUNCTION("""COMPUTED_VALUE"""),151)</f>
        <v>151</v>
      </c>
      <c r="P113" s="1">
        <f ca="1">IFERROR(__xludf.DUMMYFUNCTION("""COMPUTED_VALUE"""),102.6)</f>
        <v>102.6</v>
      </c>
      <c r="Q113" s="1">
        <f ca="1">IFERROR(__xludf.DUMMYFUNCTION("""COMPUTED_VALUE"""),195)</f>
        <v>195</v>
      </c>
      <c r="R113" s="1">
        <f ca="1">IFERROR(__xludf.DUMMYFUNCTION("""COMPUTED_VALUE"""),102.4)</f>
        <v>102.4</v>
      </c>
      <c r="S113" s="1">
        <f ca="1">IFERROR(__xludf.DUMMYFUNCTION("""COMPUTED_VALUE"""),122)</f>
        <v>122</v>
      </c>
      <c r="T113" s="1">
        <f ca="1">IFERROR(__xludf.DUMMYFUNCTION("""COMPUTED_VALUE"""),-1.04)</f>
        <v>-1.04</v>
      </c>
      <c r="U113" s="1">
        <f ca="1">IFERROR(__xludf.DUMMYFUNCTION("""COMPUTED_VALUE"""),193)</f>
        <v>193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IFERROR(__xludf.DUMMYFUNCTION("""COMPUTED_VALUE"""),"SMU")</f>
        <v>SMU</v>
      </c>
      <c r="C114" s="1" t="str">
        <f ca="1">IFERROR(__xludf.DUMMYFUNCTION("""COMPUTED_VALUE"""),"WAC")</f>
        <v>WAC</v>
      </c>
      <c r="D114" s="1" t="str">
        <f ca="1">IFERROR(__xludf.DUMMYFUNCTION("""COMPUTED_VALUE"""),"15-14")</f>
        <v>15-14</v>
      </c>
      <c r="E114" s="1" t="str">
        <f ca="1">IFERROR(__xludf.DUMMYFUNCTION("""COMPUTED_VALUE"""),"+4.44")</f>
        <v>+4.44</v>
      </c>
      <c r="F114" s="1">
        <f ca="1">IFERROR(__xludf.DUMMYFUNCTION("""COMPUTED_VALUE"""),107.6)</f>
        <v>107.6</v>
      </c>
      <c r="G114" s="1">
        <f ca="1">IFERROR(__xludf.DUMMYFUNCTION("""COMPUTED_VALUE"""),94)</f>
        <v>94</v>
      </c>
      <c r="H114" s="1">
        <f ca="1">IFERROR(__xludf.DUMMYFUNCTION("""COMPUTED_VALUE"""),103.2)</f>
        <v>103.2</v>
      </c>
      <c r="I114" s="1">
        <f ca="1">IFERROR(__xludf.DUMMYFUNCTION("""COMPUTED_VALUE"""),167)</f>
        <v>167</v>
      </c>
      <c r="J114" s="1">
        <f ca="1">IFERROR(__xludf.DUMMYFUNCTION("""COMPUTED_VALUE"""),67.7)</f>
        <v>67.7</v>
      </c>
      <c r="K114" s="1">
        <f ca="1">IFERROR(__xludf.DUMMYFUNCTION("""COMPUTED_VALUE"""),182)</f>
        <v>182</v>
      </c>
      <c r="L114" s="1">
        <f ca="1">IFERROR(__xludf.DUMMYFUNCTION("""COMPUTED_VALUE"""),-0.025)</f>
        <v>-2.5000000000000001E-2</v>
      </c>
      <c r="M114" s="1">
        <f ca="1">IFERROR(__xludf.DUMMYFUNCTION("""COMPUTED_VALUE"""),217)</f>
        <v>217</v>
      </c>
      <c r="N114" s="1" t="str">
        <f ca="1">IFERROR(__xludf.DUMMYFUNCTION("""COMPUTED_VALUE"""),"+2.91")</f>
        <v>+2.91</v>
      </c>
      <c r="O114" s="1">
        <f ca="1">IFERROR(__xludf.DUMMYFUNCTION("""COMPUTED_VALUE"""),105)</f>
        <v>105</v>
      </c>
      <c r="P114" s="1">
        <f ca="1">IFERROR(__xludf.DUMMYFUNCTION("""COMPUTED_VALUE"""),104.5)</f>
        <v>104.5</v>
      </c>
      <c r="Q114" s="1">
        <f ca="1">IFERROR(__xludf.DUMMYFUNCTION("""COMPUTED_VALUE"""),118)</f>
        <v>118</v>
      </c>
      <c r="R114" s="1">
        <f ca="1">IFERROR(__xludf.DUMMYFUNCTION("""COMPUTED_VALUE"""),101.6)</f>
        <v>101.6</v>
      </c>
      <c r="S114" s="1">
        <f ca="1">IFERROR(__xludf.DUMMYFUNCTION("""COMPUTED_VALUE"""),96)</f>
        <v>96</v>
      </c>
      <c r="T114" s="1" t="str">
        <f ca="1">IFERROR(__xludf.DUMMYFUNCTION("""COMPUTED_VALUE"""),"+2.29")</f>
        <v>+2.29</v>
      </c>
      <c r="U114" s="1">
        <f ca="1">IFERROR(__xludf.DUMMYFUNCTION("""COMPUTED_VALUE"""),106)</f>
        <v>106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IFERROR(__xludf.DUMMYFUNCTION("""COMPUTED_VALUE"""),"Oral Roberts")</f>
        <v>Oral Roberts</v>
      </c>
      <c r="C115" s="1" t="str">
        <f ca="1">IFERROR(__xludf.DUMMYFUNCTION("""COMPUTED_VALUE"""),"MCon")</f>
        <v>MCon</v>
      </c>
      <c r="D115" s="1" t="str">
        <f ca="1">IFERROR(__xludf.DUMMYFUNCTION("""COMPUTED_VALUE"""),"17-13")</f>
        <v>17-13</v>
      </c>
      <c r="E115" s="1" t="str">
        <f ca="1">IFERROR(__xludf.DUMMYFUNCTION("""COMPUTED_VALUE"""),"+4.33")</f>
        <v>+4.33</v>
      </c>
      <c r="F115" s="1">
        <f ca="1">IFERROR(__xludf.DUMMYFUNCTION("""COMPUTED_VALUE"""),105.4)</f>
        <v>105.4</v>
      </c>
      <c r="G115" s="1">
        <f ca="1">IFERROR(__xludf.DUMMYFUNCTION("""COMPUTED_VALUE"""),125)</f>
        <v>125</v>
      </c>
      <c r="H115" s="1">
        <f ca="1">IFERROR(__xludf.DUMMYFUNCTION("""COMPUTED_VALUE"""),101)</f>
        <v>101</v>
      </c>
      <c r="I115" s="1">
        <f ca="1">IFERROR(__xludf.DUMMYFUNCTION("""COMPUTED_VALUE"""),122)</f>
        <v>122</v>
      </c>
      <c r="J115" s="1">
        <f ca="1">IFERROR(__xludf.DUMMYFUNCTION("""COMPUTED_VALUE"""),69.4)</f>
        <v>69.400000000000006</v>
      </c>
      <c r="K115" s="1">
        <f ca="1">IFERROR(__xludf.DUMMYFUNCTION("""COMPUTED_VALUE"""),111)</f>
        <v>111</v>
      </c>
      <c r="L115" s="1">
        <f ca="1">IFERROR(__xludf.DUMMYFUNCTION("""COMPUTED_VALUE"""),-0.076)</f>
        <v>-7.5999999999999998E-2</v>
      </c>
      <c r="M115" s="1">
        <f ca="1">IFERROR(__xludf.DUMMYFUNCTION("""COMPUTED_VALUE"""),304)</f>
        <v>304</v>
      </c>
      <c r="N115" s="1">
        <f ca="1">IFERROR(__xludf.DUMMYFUNCTION("""COMPUTED_VALUE"""),-3.4)</f>
        <v>-3.4</v>
      </c>
      <c r="O115" s="1">
        <f ca="1">IFERROR(__xludf.DUMMYFUNCTION("""COMPUTED_VALUE"""),228)</f>
        <v>228</v>
      </c>
      <c r="P115" s="1">
        <f ca="1">IFERROR(__xludf.DUMMYFUNCTION("""COMPUTED_VALUE"""),102.3)</f>
        <v>102.3</v>
      </c>
      <c r="Q115" s="1">
        <f ca="1">IFERROR(__xludf.DUMMYFUNCTION("""COMPUTED_VALUE"""),204)</f>
        <v>204</v>
      </c>
      <c r="R115" s="1">
        <f ca="1">IFERROR(__xludf.DUMMYFUNCTION("""COMPUTED_VALUE"""),105.7)</f>
        <v>105.7</v>
      </c>
      <c r="S115" s="1">
        <f ca="1">IFERROR(__xludf.DUMMYFUNCTION("""COMPUTED_VALUE"""),253)</f>
        <v>253</v>
      </c>
      <c r="T115" s="1">
        <f ca="1">IFERROR(__xludf.DUMMYFUNCTION("""COMPUTED_VALUE"""),-2.5)</f>
        <v>-2.5</v>
      </c>
      <c r="U115" s="1">
        <f ca="1">IFERROR(__xludf.DUMMYFUNCTION("""COMPUTED_VALUE"""),223)</f>
        <v>223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IFERROR(__xludf.DUMMYFUNCTION("""COMPUTED_VALUE"""),"TCU")</f>
        <v>TCU</v>
      </c>
      <c r="C116" s="1" t="str">
        <f ca="1">IFERROR(__xludf.DUMMYFUNCTION("""COMPUTED_VALUE"""),"CUSA")</f>
        <v>CUSA</v>
      </c>
      <c r="D116" s="1" t="str">
        <f ca="1">IFERROR(__xludf.DUMMYFUNCTION("""COMPUTED_VALUE"""),"14-15")</f>
        <v>14-15</v>
      </c>
      <c r="E116" s="1" t="str">
        <f ca="1">IFERROR(__xludf.DUMMYFUNCTION("""COMPUTED_VALUE"""),"+4.23")</f>
        <v>+4.23</v>
      </c>
      <c r="F116" s="1">
        <f ca="1">IFERROR(__xludf.DUMMYFUNCTION("""COMPUTED_VALUE"""),110)</f>
        <v>110</v>
      </c>
      <c r="G116" s="1">
        <f ca="1">IFERROR(__xludf.DUMMYFUNCTION("""COMPUTED_VALUE"""),62)</f>
        <v>62</v>
      </c>
      <c r="H116" s="1">
        <f ca="1">IFERROR(__xludf.DUMMYFUNCTION("""COMPUTED_VALUE"""),105.8)</f>
        <v>105.8</v>
      </c>
      <c r="I116" s="1">
        <f ca="1">IFERROR(__xludf.DUMMYFUNCTION("""COMPUTED_VALUE"""),222)</f>
        <v>222</v>
      </c>
      <c r="J116" s="1">
        <f ca="1">IFERROR(__xludf.DUMMYFUNCTION("""COMPUTED_VALUE"""),76.5)</f>
        <v>76.5</v>
      </c>
      <c r="K116" s="1">
        <f ca="1">IFERROR(__xludf.DUMMYFUNCTION("""COMPUTED_VALUE"""),4)</f>
        <v>4</v>
      </c>
      <c r="L116" s="1">
        <f ca="1">IFERROR(__xludf.DUMMYFUNCTION("""COMPUTED_VALUE"""),-0.029)</f>
        <v>-2.9000000000000001E-2</v>
      </c>
      <c r="M116" s="1">
        <f ca="1">IFERROR(__xludf.DUMMYFUNCTION("""COMPUTED_VALUE"""),232)</f>
        <v>232</v>
      </c>
      <c r="N116" s="1" t="str">
        <f ca="1">IFERROR(__xludf.DUMMYFUNCTION("""COMPUTED_VALUE"""),"+2.85")</f>
        <v>+2.85</v>
      </c>
      <c r="O116" s="1">
        <f ca="1">IFERROR(__xludf.DUMMYFUNCTION("""COMPUTED_VALUE"""),106)</f>
        <v>106</v>
      </c>
      <c r="P116" s="1">
        <f ca="1">IFERROR(__xludf.DUMMYFUNCTION("""COMPUTED_VALUE"""),104.6)</f>
        <v>104.6</v>
      </c>
      <c r="Q116" s="1">
        <f ca="1">IFERROR(__xludf.DUMMYFUNCTION("""COMPUTED_VALUE"""),116)</f>
        <v>116</v>
      </c>
      <c r="R116" s="1">
        <f ca="1">IFERROR(__xludf.DUMMYFUNCTION("""COMPUTED_VALUE"""),101.8)</f>
        <v>101.8</v>
      </c>
      <c r="S116" s="1">
        <f ca="1">IFERROR(__xludf.DUMMYFUNCTION("""COMPUTED_VALUE"""),105)</f>
        <v>105</v>
      </c>
      <c r="T116" s="1">
        <f ca="1">IFERROR(__xludf.DUMMYFUNCTION("""COMPUTED_VALUE"""),-2.37)</f>
        <v>-2.37</v>
      </c>
      <c r="U116" s="1">
        <f ca="1">IFERROR(__xludf.DUMMYFUNCTION("""COMPUTED_VALUE"""),221)</f>
        <v>221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IFERROR(__xludf.DUMMYFUNCTION("""COMPUTED_VALUE"""),"UNC Greensboro")</f>
        <v>UNC Greensboro</v>
      </c>
      <c r="C117" s="1" t="str">
        <f ca="1">IFERROR(__xludf.DUMMYFUNCTION("""COMPUTED_VALUE"""),"SC")</f>
        <v>SC</v>
      </c>
      <c r="D117" s="1" t="str">
        <f ca="1">IFERROR(__xludf.DUMMYFUNCTION("""COMPUTED_VALUE"""),"20-11")</f>
        <v>20-11</v>
      </c>
      <c r="E117" s="1" t="str">
        <f ca="1">IFERROR(__xludf.DUMMYFUNCTION("""COMPUTED_VALUE"""),"+4.21")</f>
        <v>+4.21</v>
      </c>
      <c r="F117" s="1">
        <f ca="1">IFERROR(__xludf.DUMMYFUNCTION("""COMPUTED_VALUE"""),103.1)</f>
        <v>103.1</v>
      </c>
      <c r="G117" s="1">
        <f ca="1">IFERROR(__xludf.DUMMYFUNCTION("""COMPUTED_VALUE"""),160)</f>
        <v>160</v>
      </c>
      <c r="H117" s="1">
        <f ca="1">IFERROR(__xludf.DUMMYFUNCTION("""COMPUTED_VALUE"""),98.8)</f>
        <v>98.8</v>
      </c>
      <c r="I117" s="1">
        <f ca="1">IFERROR(__xludf.DUMMYFUNCTION("""COMPUTED_VALUE"""),84)</f>
        <v>84</v>
      </c>
      <c r="J117" s="1">
        <f ca="1">IFERROR(__xludf.DUMMYFUNCTION("""COMPUTED_VALUE"""),68.6)</f>
        <v>68.599999999999994</v>
      </c>
      <c r="K117" s="1">
        <f ca="1">IFERROR(__xludf.DUMMYFUNCTION("""COMPUTED_VALUE"""),147)</f>
        <v>147</v>
      </c>
      <c r="L117" s="1" t="str">
        <f ca="1">IFERROR(__xludf.DUMMYFUNCTION("""COMPUTED_VALUE"""),"+.054")</f>
        <v>+.054</v>
      </c>
      <c r="M117" s="1">
        <f ca="1">IFERROR(__xludf.DUMMYFUNCTION("""COMPUTED_VALUE"""),49)</f>
        <v>49</v>
      </c>
      <c r="N117" s="1">
        <f ca="1">IFERROR(__xludf.DUMMYFUNCTION("""COMPUTED_VALUE"""),-1.66)</f>
        <v>-1.66</v>
      </c>
      <c r="O117" s="1">
        <f ca="1">IFERROR(__xludf.DUMMYFUNCTION("""COMPUTED_VALUE"""),195)</f>
        <v>195</v>
      </c>
      <c r="P117" s="1">
        <f ca="1">IFERROR(__xludf.DUMMYFUNCTION("""COMPUTED_VALUE"""),101.5)</f>
        <v>101.5</v>
      </c>
      <c r="Q117" s="1">
        <f ca="1">IFERROR(__xludf.DUMMYFUNCTION("""COMPUTED_VALUE"""),223)</f>
        <v>223</v>
      </c>
      <c r="R117" s="1">
        <f ca="1">IFERROR(__xludf.DUMMYFUNCTION("""COMPUTED_VALUE"""),103.2)</f>
        <v>103.2</v>
      </c>
      <c r="S117" s="1">
        <f ca="1">IFERROR(__xludf.DUMMYFUNCTION("""COMPUTED_VALUE"""),155)</f>
        <v>155</v>
      </c>
      <c r="T117" s="1">
        <f ca="1">IFERROR(__xludf.DUMMYFUNCTION("""COMPUTED_VALUE"""),-3.8)</f>
        <v>-3.8</v>
      </c>
      <c r="U117" s="1">
        <f ca="1">IFERROR(__xludf.DUMMYFUNCTION("""COMPUTED_VALUE"""),253)</f>
        <v>253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IFERROR(__xludf.DUMMYFUNCTION("""COMPUTED_VALUE"""),"Manhattan")</f>
        <v>Manhattan</v>
      </c>
      <c r="C118" s="1" t="str">
        <f ca="1">IFERROR(__xludf.DUMMYFUNCTION("""COMPUTED_VALUE"""),"MAAC")</f>
        <v>MAAC</v>
      </c>
      <c r="D118" s="1" t="str">
        <f ca="1">IFERROR(__xludf.DUMMYFUNCTION("""COMPUTED_VALUE"""),"20-9")</f>
        <v>20-9</v>
      </c>
      <c r="E118" s="1" t="str">
        <f ca="1">IFERROR(__xludf.DUMMYFUNCTION("""COMPUTED_VALUE"""),"+4.18")</f>
        <v>+4.18</v>
      </c>
      <c r="F118" s="1">
        <f ca="1">IFERROR(__xludf.DUMMYFUNCTION("""COMPUTED_VALUE"""),104.6)</f>
        <v>104.6</v>
      </c>
      <c r="G118" s="1">
        <f ca="1">IFERROR(__xludf.DUMMYFUNCTION("""COMPUTED_VALUE"""),137)</f>
        <v>137</v>
      </c>
      <c r="H118" s="1">
        <f ca="1">IFERROR(__xludf.DUMMYFUNCTION("""COMPUTED_VALUE"""),100.4)</f>
        <v>100.4</v>
      </c>
      <c r="I118" s="1">
        <f ca="1">IFERROR(__xludf.DUMMYFUNCTION("""COMPUTED_VALUE"""),111)</f>
        <v>111</v>
      </c>
      <c r="J118" s="1">
        <f ca="1">IFERROR(__xludf.DUMMYFUNCTION("""COMPUTED_VALUE"""),68.9)</f>
        <v>68.900000000000006</v>
      </c>
      <c r="K118" s="1">
        <f ca="1">IFERROR(__xludf.DUMMYFUNCTION("""COMPUTED_VALUE"""),141)</f>
        <v>141</v>
      </c>
      <c r="L118" s="1">
        <f ca="1">IFERROR(__xludf.DUMMYFUNCTION("""COMPUTED_VALUE"""),-0.018)</f>
        <v>-1.7999999999999999E-2</v>
      </c>
      <c r="M118" s="1">
        <f ca="1">IFERROR(__xludf.DUMMYFUNCTION("""COMPUTED_VALUE"""),198)</f>
        <v>198</v>
      </c>
      <c r="N118" s="1">
        <f ca="1">IFERROR(__xludf.DUMMYFUNCTION("""COMPUTED_VALUE"""),-6.27)</f>
        <v>-6.27</v>
      </c>
      <c r="O118" s="1">
        <f ca="1">IFERROR(__xludf.DUMMYFUNCTION("""COMPUTED_VALUE"""),260)</f>
        <v>260</v>
      </c>
      <c r="P118" s="1">
        <f ca="1">IFERROR(__xludf.DUMMYFUNCTION("""COMPUTED_VALUE"""),98.4)</f>
        <v>98.4</v>
      </c>
      <c r="Q118" s="1">
        <f ca="1">IFERROR(__xludf.DUMMYFUNCTION("""COMPUTED_VALUE"""),280)</f>
        <v>280</v>
      </c>
      <c r="R118" s="1">
        <f ca="1">IFERROR(__xludf.DUMMYFUNCTION("""COMPUTED_VALUE"""),104.7)</f>
        <v>104.7</v>
      </c>
      <c r="S118" s="1">
        <f ca="1">IFERROR(__xludf.DUMMYFUNCTION("""COMPUTED_VALUE"""),219)</f>
        <v>219</v>
      </c>
      <c r="T118" s="1">
        <f ca="1">IFERROR(__xludf.DUMMYFUNCTION("""COMPUTED_VALUE"""),-7.83)</f>
        <v>-7.83</v>
      </c>
      <c r="U118" s="1">
        <f ca="1">IFERROR(__xludf.DUMMYFUNCTION("""COMPUTED_VALUE"""),306)</f>
        <v>306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IFERROR(__xludf.DUMMYFUNCTION("""COMPUTED_VALUE"""),"Iowa St.")</f>
        <v>Iowa St.</v>
      </c>
      <c r="C119" s="1" t="str">
        <f ca="1">IFERROR(__xludf.DUMMYFUNCTION("""COMPUTED_VALUE"""),"B12")</f>
        <v>B12</v>
      </c>
      <c r="D119" s="2">
        <f ca="1">IFERROR(__xludf.DUMMYFUNCTION("""COMPUTED_VALUE"""),44914)</f>
        <v>44914</v>
      </c>
      <c r="E119" s="1" t="str">
        <f ca="1">IFERROR(__xludf.DUMMYFUNCTION("""COMPUTED_VALUE"""),"+4.16")</f>
        <v>+4.16</v>
      </c>
      <c r="F119" s="1">
        <f ca="1">IFERROR(__xludf.DUMMYFUNCTION("""COMPUTED_VALUE"""),108.1)</f>
        <v>108.1</v>
      </c>
      <c r="G119" s="1">
        <f ca="1">IFERROR(__xludf.DUMMYFUNCTION("""COMPUTED_VALUE"""),85)</f>
        <v>85</v>
      </c>
      <c r="H119" s="1">
        <f ca="1">IFERROR(__xludf.DUMMYFUNCTION("""COMPUTED_VALUE"""),103.9)</f>
        <v>103.9</v>
      </c>
      <c r="I119" s="1">
        <f ca="1">IFERROR(__xludf.DUMMYFUNCTION("""COMPUTED_VALUE"""),185)</f>
        <v>185</v>
      </c>
      <c r="J119" s="1">
        <f ca="1">IFERROR(__xludf.DUMMYFUNCTION("""COMPUTED_VALUE"""),65.2)</f>
        <v>65.2</v>
      </c>
      <c r="K119" s="1">
        <f ca="1">IFERROR(__xludf.DUMMYFUNCTION("""COMPUTED_VALUE"""),267)</f>
        <v>267</v>
      </c>
      <c r="L119" s="1">
        <f ca="1">IFERROR(__xludf.DUMMYFUNCTION("""COMPUTED_VALUE"""),-0.115)</f>
        <v>-0.115</v>
      </c>
      <c r="M119" s="1">
        <f ca="1">IFERROR(__xludf.DUMMYFUNCTION("""COMPUTED_VALUE"""),321)</f>
        <v>321</v>
      </c>
      <c r="N119" s="1" t="str">
        <f ca="1">IFERROR(__xludf.DUMMYFUNCTION("""COMPUTED_VALUE"""),"+4.72")</f>
        <v>+4.72</v>
      </c>
      <c r="O119" s="1">
        <f ca="1">IFERROR(__xludf.DUMMYFUNCTION("""COMPUTED_VALUE"""),85)</f>
        <v>85</v>
      </c>
      <c r="P119" s="1">
        <f ca="1">IFERROR(__xludf.DUMMYFUNCTION("""COMPUTED_VALUE"""),105.9)</f>
        <v>105.9</v>
      </c>
      <c r="Q119" s="1">
        <f ca="1">IFERROR(__xludf.DUMMYFUNCTION("""COMPUTED_VALUE"""),81)</f>
        <v>81</v>
      </c>
      <c r="R119" s="1">
        <f ca="1">IFERROR(__xludf.DUMMYFUNCTION("""COMPUTED_VALUE"""),101.1)</f>
        <v>101.1</v>
      </c>
      <c r="S119" s="1">
        <f ca="1">IFERROR(__xludf.DUMMYFUNCTION("""COMPUTED_VALUE"""),83)</f>
        <v>83</v>
      </c>
      <c r="T119" s="1">
        <f ca="1">IFERROR(__xludf.DUMMYFUNCTION("""COMPUTED_VALUE"""),-7.22)</f>
        <v>-7.22</v>
      </c>
      <c r="U119" s="1">
        <f ca="1">IFERROR(__xludf.DUMMYFUNCTION("""COMPUTED_VALUE"""),302)</f>
        <v>302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IFERROR(__xludf.DUMMYFUNCTION("""COMPUTED_VALUE"""),"Southwest Missouri St.")</f>
        <v>Southwest Missouri St.</v>
      </c>
      <c r="C120" s="1" t="str">
        <f ca="1">IFERROR(__xludf.DUMMYFUNCTION("""COMPUTED_VALUE"""),"MVC")</f>
        <v>MVC</v>
      </c>
      <c r="D120" s="1" t="str">
        <f ca="1">IFERROR(__xludf.DUMMYFUNCTION("""COMPUTED_VALUE"""),"17-15")</f>
        <v>17-15</v>
      </c>
      <c r="E120" s="1" t="str">
        <f ca="1">IFERROR(__xludf.DUMMYFUNCTION("""COMPUTED_VALUE"""),"+4.15")</f>
        <v>+4.15</v>
      </c>
      <c r="F120" s="1">
        <f ca="1">IFERROR(__xludf.DUMMYFUNCTION("""COMPUTED_VALUE"""),107.2)</f>
        <v>107.2</v>
      </c>
      <c r="G120" s="1">
        <f ca="1">IFERROR(__xludf.DUMMYFUNCTION("""COMPUTED_VALUE"""),100)</f>
        <v>100</v>
      </c>
      <c r="H120" s="1">
        <f ca="1">IFERROR(__xludf.DUMMYFUNCTION("""COMPUTED_VALUE"""),103)</f>
        <v>103</v>
      </c>
      <c r="I120" s="1">
        <f ca="1">IFERROR(__xludf.DUMMYFUNCTION("""COMPUTED_VALUE"""),164)</f>
        <v>164</v>
      </c>
      <c r="J120" s="1">
        <f ca="1">IFERROR(__xludf.DUMMYFUNCTION("""COMPUTED_VALUE"""),65.1)</f>
        <v>65.099999999999994</v>
      </c>
      <c r="K120" s="1">
        <f ca="1">IFERROR(__xludf.DUMMYFUNCTION("""COMPUTED_VALUE"""),272)</f>
        <v>272</v>
      </c>
      <c r="L120" s="1">
        <f ca="1">IFERROR(__xludf.DUMMYFUNCTION("""COMPUTED_VALUE"""),-0.064)</f>
        <v>-6.4000000000000001E-2</v>
      </c>
      <c r="M120" s="1">
        <f ca="1">IFERROR(__xludf.DUMMYFUNCTION("""COMPUTED_VALUE"""),293)</f>
        <v>293</v>
      </c>
      <c r="N120" s="1">
        <f ca="1">IFERROR(__xludf.DUMMYFUNCTION("""COMPUTED_VALUE"""),-0.34)</f>
        <v>-0.34</v>
      </c>
      <c r="O120" s="1">
        <f ca="1">IFERROR(__xludf.DUMMYFUNCTION("""COMPUTED_VALUE"""),172)</f>
        <v>172</v>
      </c>
      <c r="P120" s="1">
        <f ca="1">IFERROR(__xludf.DUMMYFUNCTION("""COMPUTED_VALUE"""),103.8)</f>
        <v>103.8</v>
      </c>
      <c r="Q120" s="1">
        <f ca="1">IFERROR(__xludf.DUMMYFUNCTION("""COMPUTED_VALUE"""),145)</f>
        <v>145</v>
      </c>
      <c r="R120" s="1">
        <f ca="1">IFERROR(__xludf.DUMMYFUNCTION("""COMPUTED_VALUE"""),104.1)</f>
        <v>104.1</v>
      </c>
      <c r="S120" s="1">
        <f ca="1">IFERROR(__xludf.DUMMYFUNCTION("""COMPUTED_VALUE"""),194)</f>
        <v>194</v>
      </c>
      <c r="T120" s="1">
        <f ca="1">IFERROR(__xludf.DUMMYFUNCTION("""COMPUTED_VALUE"""),-1.81)</f>
        <v>-1.81</v>
      </c>
      <c r="U120" s="1">
        <f ca="1">IFERROR(__xludf.DUMMYFUNCTION("""COMPUTED_VALUE"""),210)</f>
        <v>210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IFERROR(__xludf.DUMMYFUNCTION("""COMPUTED_VALUE"""),"Ohio")</f>
        <v>Ohio</v>
      </c>
      <c r="C121" s="1" t="str">
        <f ca="1">IFERROR(__xludf.DUMMYFUNCTION("""COMPUTED_VALUE"""),"MAC")</f>
        <v>MAC</v>
      </c>
      <c r="D121" s="1" t="str">
        <f ca="1">IFERROR(__xludf.DUMMYFUNCTION("""COMPUTED_VALUE"""),"17-11")</f>
        <v>17-11</v>
      </c>
      <c r="E121" s="1" t="str">
        <f ca="1">IFERROR(__xludf.DUMMYFUNCTION("""COMPUTED_VALUE"""),"+4.09")</f>
        <v>+4.09</v>
      </c>
      <c r="F121" s="1">
        <f ca="1">IFERROR(__xludf.DUMMYFUNCTION("""COMPUTED_VALUE"""),108.2)</f>
        <v>108.2</v>
      </c>
      <c r="G121" s="1">
        <f ca="1">IFERROR(__xludf.DUMMYFUNCTION("""COMPUTED_VALUE"""),79)</f>
        <v>79</v>
      </c>
      <c r="H121" s="1">
        <f ca="1">IFERROR(__xludf.DUMMYFUNCTION("""COMPUTED_VALUE"""),104.2)</f>
        <v>104.2</v>
      </c>
      <c r="I121" s="1">
        <f ca="1">IFERROR(__xludf.DUMMYFUNCTION("""COMPUTED_VALUE"""),192)</f>
        <v>192</v>
      </c>
      <c r="J121" s="1">
        <f ca="1">IFERROR(__xludf.DUMMYFUNCTION("""COMPUTED_VALUE"""),67.8)</f>
        <v>67.8</v>
      </c>
      <c r="K121" s="1">
        <f ca="1">IFERROR(__xludf.DUMMYFUNCTION("""COMPUTED_VALUE"""),176)</f>
        <v>176</v>
      </c>
      <c r="L121" s="1" t="str">
        <f ca="1">IFERROR(__xludf.DUMMYFUNCTION("""COMPUTED_VALUE"""),"+.033")</f>
        <v>+.033</v>
      </c>
      <c r="M121" s="1">
        <f ca="1">IFERROR(__xludf.DUMMYFUNCTION("""COMPUTED_VALUE"""),89)</f>
        <v>89</v>
      </c>
      <c r="N121" s="1" t="str">
        <f ca="1">IFERROR(__xludf.DUMMYFUNCTION("""COMPUTED_VALUE"""),"+0.07")</f>
        <v>+0.07</v>
      </c>
      <c r="O121" s="1">
        <f ca="1">IFERROR(__xludf.DUMMYFUNCTION("""COMPUTED_VALUE"""),153)</f>
        <v>153</v>
      </c>
      <c r="P121" s="1">
        <f ca="1">IFERROR(__xludf.DUMMYFUNCTION("""COMPUTED_VALUE"""),105.7)</f>
        <v>105.7</v>
      </c>
      <c r="Q121" s="1">
        <f ca="1">IFERROR(__xludf.DUMMYFUNCTION("""COMPUTED_VALUE"""),85)</f>
        <v>85</v>
      </c>
      <c r="R121" s="1">
        <f ca="1">IFERROR(__xludf.DUMMYFUNCTION("""COMPUTED_VALUE"""),105.6)</f>
        <v>105.6</v>
      </c>
      <c r="S121" s="1">
        <f ca="1">IFERROR(__xludf.DUMMYFUNCTION("""COMPUTED_VALUE"""),251)</f>
        <v>251</v>
      </c>
      <c r="T121" s="1">
        <f ca="1">IFERROR(__xludf.DUMMYFUNCTION("""COMPUTED_VALUE"""),-2)</f>
        <v>-2</v>
      </c>
      <c r="U121" s="1">
        <f ca="1">IFERROR(__xludf.DUMMYFUNCTION("""COMPUTED_VALUE"""),216)</f>
        <v>216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IFERROR(__xludf.DUMMYFUNCTION("""COMPUTED_VALUE"""),"Hampton15")</f>
        <v>Hampton15</v>
      </c>
      <c r="C122" s="1" t="str">
        <f ca="1">IFERROR(__xludf.DUMMYFUNCTION("""COMPUTED_VALUE"""),"MEAC")</f>
        <v>MEAC</v>
      </c>
      <c r="D122" s="1" t="str">
        <f ca="1">IFERROR(__xludf.DUMMYFUNCTION("""COMPUTED_VALUE"""),"25-7")</f>
        <v>25-7</v>
      </c>
      <c r="E122" s="1" t="str">
        <f ca="1">IFERROR(__xludf.DUMMYFUNCTION("""COMPUTED_VALUE"""),"+3.99")</f>
        <v>+3.99</v>
      </c>
      <c r="F122" s="1">
        <f ca="1">IFERROR(__xludf.DUMMYFUNCTION("""COMPUTED_VALUE"""),109.9)</f>
        <v>109.9</v>
      </c>
      <c r="G122" s="1">
        <f ca="1">IFERROR(__xludf.DUMMYFUNCTION("""COMPUTED_VALUE"""),64)</f>
        <v>64</v>
      </c>
      <c r="H122" s="1">
        <f ca="1">IFERROR(__xludf.DUMMYFUNCTION("""COMPUTED_VALUE"""),105.9)</f>
        <v>105.9</v>
      </c>
      <c r="I122" s="1">
        <f ca="1">IFERROR(__xludf.DUMMYFUNCTION("""COMPUTED_VALUE"""),227)</f>
        <v>227</v>
      </c>
      <c r="J122" s="1">
        <f ca="1">IFERROR(__xludf.DUMMYFUNCTION("""COMPUTED_VALUE"""),69.1)</f>
        <v>69.099999999999994</v>
      </c>
      <c r="K122" s="1">
        <f ca="1">IFERROR(__xludf.DUMMYFUNCTION("""COMPUTED_VALUE"""),127)</f>
        <v>127</v>
      </c>
      <c r="L122" s="1" t="str">
        <f ca="1">IFERROR(__xludf.DUMMYFUNCTION("""COMPUTED_VALUE"""),"+.013")</f>
        <v>+.013</v>
      </c>
      <c r="M122" s="1">
        <f ca="1">IFERROR(__xludf.DUMMYFUNCTION("""COMPUTED_VALUE"""),133)</f>
        <v>133</v>
      </c>
      <c r="N122" s="1">
        <f ca="1">IFERROR(__xludf.DUMMYFUNCTION("""COMPUTED_VALUE"""),-8.67)</f>
        <v>-8.67</v>
      </c>
      <c r="O122" s="1">
        <f ca="1">IFERROR(__xludf.DUMMYFUNCTION("""COMPUTED_VALUE"""),291)</f>
        <v>291</v>
      </c>
      <c r="P122" s="1">
        <f ca="1">IFERROR(__xludf.DUMMYFUNCTION("""COMPUTED_VALUE"""),98.3)</f>
        <v>98.3</v>
      </c>
      <c r="Q122" s="1">
        <f ca="1">IFERROR(__xludf.DUMMYFUNCTION("""COMPUTED_VALUE"""),285)</f>
        <v>285</v>
      </c>
      <c r="R122" s="1">
        <f ca="1">IFERROR(__xludf.DUMMYFUNCTION("""COMPUTED_VALUE"""),107)</f>
        <v>107</v>
      </c>
      <c r="S122" s="1">
        <f ca="1">IFERROR(__xludf.DUMMYFUNCTION("""COMPUTED_VALUE"""),292)</f>
        <v>292</v>
      </c>
      <c r="T122" s="1" t="str">
        <f ca="1">IFERROR(__xludf.DUMMYFUNCTION("""COMPUTED_VALUE"""),"+0.87")</f>
        <v>+0.87</v>
      </c>
      <c r="U122" s="1">
        <f ca="1">IFERROR(__xludf.DUMMYFUNCTION("""COMPUTED_VALUE"""),141)</f>
        <v>141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IFERROR(__xludf.DUMMYFUNCTION("""COMPUTED_VALUE"""),"Marist")</f>
        <v>Marist</v>
      </c>
      <c r="C123" s="1" t="str">
        <f ca="1">IFERROR(__xludf.DUMMYFUNCTION("""COMPUTED_VALUE"""),"MAAC")</f>
        <v>MAAC</v>
      </c>
      <c r="D123" s="1" t="str">
        <f ca="1">IFERROR(__xludf.DUMMYFUNCTION("""COMPUTED_VALUE"""),"19-9")</f>
        <v>19-9</v>
      </c>
      <c r="E123" s="1" t="str">
        <f ca="1">IFERROR(__xludf.DUMMYFUNCTION("""COMPUTED_VALUE"""),"+3.98")</f>
        <v>+3.98</v>
      </c>
      <c r="F123" s="1">
        <f ca="1">IFERROR(__xludf.DUMMYFUNCTION("""COMPUTED_VALUE"""),106.7)</f>
        <v>106.7</v>
      </c>
      <c r="G123" s="1">
        <f ca="1">IFERROR(__xludf.DUMMYFUNCTION("""COMPUTED_VALUE"""),107)</f>
        <v>107</v>
      </c>
      <c r="H123" s="1">
        <f ca="1">IFERROR(__xludf.DUMMYFUNCTION("""COMPUTED_VALUE"""),102.8)</f>
        <v>102.8</v>
      </c>
      <c r="I123" s="1">
        <f ca="1">IFERROR(__xludf.DUMMYFUNCTION("""COMPUTED_VALUE"""),160)</f>
        <v>160</v>
      </c>
      <c r="J123" s="1">
        <f ca="1">IFERROR(__xludf.DUMMYFUNCTION("""COMPUTED_VALUE"""),68.4)</f>
        <v>68.400000000000006</v>
      </c>
      <c r="K123" s="1">
        <f ca="1">IFERROR(__xludf.DUMMYFUNCTION("""COMPUTED_VALUE"""),157)</f>
        <v>157</v>
      </c>
      <c r="L123" s="1">
        <f ca="1">IFERROR(__xludf.DUMMYFUNCTION("""COMPUTED_VALUE"""),-0.059)</f>
        <v>-5.8999999999999997E-2</v>
      </c>
      <c r="M123" s="1">
        <f ca="1">IFERROR(__xludf.DUMMYFUNCTION("""COMPUTED_VALUE"""),285)</f>
        <v>285</v>
      </c>
      <c r="N123" s="1">
        <f ca="1">IFERROR(__xludf.DUMMYFUNCTION("""COMPUTED_VALUE"""),-5.53)</f>
        <v>-5.53</v>
      </c>
      <c r="O123" s="1">
        <f ca="1">IFERROR(__xludf.DUMMYFUNCTION("""COMPUTED_VALUE"""),253)</f>
        <v>253</v>
      </c>
      <c r="P123" s="1">
        <f ca="1">IFERROR(__xludf.DUMMYFUNCTION("""COMPUTED_VALUE"""),99.2)</f>
        <v>99.2</v>
      </c>
      <c r="Q123" s="1">
        <f ca="1">IFERROR(__xludf.DUMMYFUNCTION("""COMPUTED_VALUE"""),268)</f>
        <v>268</v>
      </c>
      <c r="R123" s="1">
        <f ca="1">IFERROR(__xludf.DUMMYFUNCTION("""COMPUTED_VALUE"""),104.7)</f>
        <v>104.7</v>
      </c>
      <c r="S123" s="1">
        <f ca="1">IFERROR(__xludf.DUMMYFUNCTION("""COMPUTED_VALUE"""),221)</f>
        <v>221</v>
      </c>
      <c r="T123" s="1">
        <f ca="1">IFERROR(__xludf.DUMMYFUNCTION("""COMPUTED_VALUE"""),-4.28)</f>
        <v>-4.28</v>
      </c>
      <c r="U123" s="1">
        <f ca="1">IFERROR(__xludf.DUMMYFUNCTION("""COMPUTED_VALUE"""),261)</f>
        <v>261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IFERROR(__xludf.DUMMYFUNCTION("""COMPUTED_VALUE"""),"Illinois Chicago15")</f>
        <v>Illinois Chicago15</v>
      </c>
      <c r="C124" s="1" t="str">
        <f ca="1">IFERROR(__xludf.DUMMYFUNCTION("""COMPUTED_VALUE"""),"Horz")</f>
        <v>Horz</v>
      </c>
      <c r="D124" s="1" t="str">
        <f ca="1">IFERROR(__xludf.DUMMYFUNCTION("""COMPUTED_VALUE"""),"18-14")</f>
        <v>18-14</v>
      </c>
      <c r="E124" s="1" t="str">
        <f ca="1">IFERROR(__xludf.DUMMYFUNCTION("""COMPUTED_VALUE"""),"+3.85")</f>
        <v>+3.85</v>
      </c>
      <c r="F124" s="1">
        <f ca="1">IFERROR(__xludf.DUMMYFUNCTION("""COMPUTED_VALUE"""),108.9)</f>
        <v>108.9</v>
      </c>
      <c r="G124" s="1">
        <f ca="1">IFERROR(__xludf.DUMMYFUNCTION("""COMPUTED_VALUE"""),74)</f>
        <v>74</v>
      </c>
      <c r="H124" s="1">
        <f ca="1">IFERROR(__xludf.DUMMYFUNCTION("""COMPUTED_VALUE"""),105)</f>
        <v>105</v>
      </c>
      <c r="I124" s="1">
        <f ca="1">IFERROR(__xludf.DUMMYFUNCTION("""COMPUTED_VALUE"""),208)</f>
        <v>208</v>
      </c>
      <c r="J124" s="1">
        <f ca="1">IFERROR(__xludf.DUMMYFUNCTION("""COMPUTED_VALUE"""),67.5)</f>
        <v>67.5</v>
      </c>
      <c r="K124" s="1">
        <f ca="1">IFERROR(__xludf.DUMMYFUNCTION("""COMPUTED_VALUE"""),191)</f>
        <v>191</v>
      </c>
      <c r="L124" s="1" t="str">
        <f ca="1">IFERROR(__xludf.DUMMYFUNCTION("""COMPUTED_VALUE"""),"+.040")</f>
        <v>+.040</v>
      </c>
      <c r="M124" s="1">
        <f ca="1">IFERROR(__xludf.DUMMYFUNCTION("""COMPUTED_VALUE"""),74)</f>
        <v>74</v>
      </c>
      <c r="N124" s="1" t="str">
        <f ca="1">IFERROR(__xludf.DUMMYFUNCTION("""COMPUTED_VALUE"""),"+1.84")</f>
        <v>+1.84</v>
      </c>
      <c r="O124" s="1">
        <f ca="1">IFERROR(__xludf.DUMMYFUNCTION("""COMPUTED_VALUE"""),124)</f>
        <v>124</v>
      </c>
      <c r="P124" s="1">
        <f ca="1">IFERROR(__xludf.DUMMYFUNCTION("""COMPUTED_VALUE"""),104.1)</f>
        <v>104.1</v>
      </c>
      <c r="Q124" s="1">
        <f ca="1">IFERROR(__xludf.DUMMYFUNCTION("""COMPUTED_VALUE"""),136)</f>
        <v>136</v>
      </c>
      <c r="R124" s="1">
        <f ca="1">IFERROR(__xludf.DUMMYFUNCTION("""COMPUTED_VALUE"""),102.2)</f>
        <v>102.2</v>
      </c>
      <c r="S124" s="1">
        <f ca="1">IFERROR(__xludf.DUMMYFUNCTION("""COMPUTED_VALUE"""),118)</f>
        <v>118</v>
      </c>
      <c r="T124" s="1" t="str">
        <f ca="1">IFERROR(__xludf.DUMMYFUNCTION("""COMPUTED_VALUE"""),"+0.66")</f>
        <v>+0.66</v>
      </c>
      <c r="U124" s="1">
        <f ca="1">IFERROR(__xludf.DUMMYFUNCTION("""COMPUTED_VALUE"""),145)</f>
        <v>145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IFERROR(__xludf.DUMMYFUNCTION("""COMPUTED_VALUE"""),"Davidson13")</f>
        <v>Davidson13</v>
      </c>
      <c r="C125" s="1" t="str">
        <f ca="1">IFERROR(__xludf.DUMMYFUNCTION("""COMPUTED_VALUE"""),"SC")</f>
        <v>SC</v>
      </c>
      <c r="D125" s="1" t="str">
        <f ca="1">IFERROR(__xludf.DUMMYFUNCTION("""COMPUTED_VALUE"""),"18-10")</f>
        <v>18-10</v>
      </c>
      <c r="E125" s="1" t="str">
        <f ca="1">IFERROR(__xludf.DUMMYFUNCTION("""COMPUTED_VALUE"""),"+3.70")</f>
        <v>+3.70</v>
      </c>
      <c r="F125" s="1">
        <f ca="1">IFERROR(__xludf.DUMMYFUNCTION("""COMPUTED_VALUE"""),101.5)</f>
        <v>101.5</v>
      </c>
      <c r="G125" s="1">
        <f ca="1">IFERROR(__xludf.DUMMYFUNCTION("""COMPUTED_VALUE"""),187)</f>
        <v>187</v>
      </c>
      <c r="H125" s="1">
        <f ca="1">IFERROR(__xludf.DUMMYFUNCTION("""COMPUTED_VALUE"""),97.8)</f>
        <v>97.8</v>
      </c>
      <c r="I125" s="1">
        <f ca="1">IFERROR(__xludf.DUMMYFUNCTION("""COMPUTED_VALUE"""),64)</f>
        <v>64</v>
      </c>
      <c r="J125" s="1">
        <f ca="1">IFERROR(__xludf.DUMMYFUNCTION("""COMPUTED_VALUE"""),65.1)</f>
        <v>65.099999999999994</v>
      </c>
      <c r="K125" s="1">
        <f ca="1">IFERROR(__xludf.DUMMYFUNCTION("""COMPUTED_VALUE"""),271)</f>
        <v>271</v>
      </c>
      <c r="L125" s="1" t="str">
        <f ca="1">IFERROR(__xludf.DUMMYFUNCTION("""COMPUTED_VALUE"""),"+.142")</f>
        <v>+.142</v>
      </c>
      <c r="M125" s="1">
        <f ca="1">IFERROR(__xludf.DUMMYFUNCTION("""COMPUTED_VALUE"""),1)</f>
        <v>1</v>
      </c>
      <c r="N125" s="1" t="str">
        <f ca="1">IFERROR(__xludf.DUMMYFUNCTION("""COMPUTED_VALUE"""),"+1.80")</f>
        <v>+1.80</v>
      </c>
      <c r="O125" s="1">
        <f ca="1">IFERROR(__xludf.DUMMYFUNCTION("""COMPUTED_VALUE"""),125)</f>
        <v>125</v>
      </c>
      <c r="P125" s="1">
        <f ca="1">IFERROR(__xludf.DUMMYFUNCTION("""COMPUTED_VALUE"""),104.2)</f>
        <v>104.2</v>
      </c>
      <c r="Q125" s="1">
        <f ca="1">IFERROR(__xludf.DUMMYFUNCTION("""COMPUTED_VALUE"""),131)</f>
        <v>131</v>
      </c>
      <c r="R125" s="1">
        <f ca="1">IFERROR(__xludf.DUMMYFUNCTION("""COMPUTED_VALUE"""),102.4)</f>
        <v>102.4</v>
      </c>
      <c r="S125" s="1">
        <f ca="1">IFERROR(__xludf.DUMMYFUNCTION("""COMPUTED_VALUE"""),124)</f>
        <v>124</v>
      </c>
      <c r="T125" s="1" t="str">
        <f ca="1">IFERROR(__xludf.DUMMYFUNCTION("""COMPUTED_VALUE"""),"+9.42")</f>
        <v>+9.42</v>
      </c>
      <c r="U125" s="1">
        <f ca="1">IFERROR(__xludf.DUMMYFUNCTION("""COMPUTED_VALUE"""),13)</f>
        <v>13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IFERROR(__xludf.DUMMYFUNCTION("""COMPUTED_VALUE"""),"Kansas St.")</f>
        <v>Kansas St.</v>
      </c>
      <c r="C126" s="1" t="str">
        <f ca="1">IFERROR(__xludf.DUMMYFUNCTION("""COMPUTED_VALUE"""),"B12")</f>
        <v>B12</v>
      </c>
      <c r="D126" s="1" t="str">
        <f ca="1">IFERROR(__xludf.DUMMYFUNCTION("""COMPUTED_VALUE"""),"13-16")</f>
        <v>13-16</v>
      </c>
      <c r="E126" s="1" t="str">
        <f ca="1">IFERROR(__xludf.DUMMYFUNCTION("""COMPUTED_VALUE"""),"+3.67")</f>
        <v>+3.67</v>
      </c>
      <c r="F126" s="1">
        <f ca="1">IFERROR(__xludf.DUMMYFUNCTION("""COMPUTED_VALUE"""),104)</f>
        <v>104</v>
      </c>
      <c r="G126" s="1">
        <f ca="1">IFERROR(__xludf.DUMMYFUNCTION("""COMPUTED_VALUE"""),146)</f>
        <v>146</v>
      </c>
      <c r="H126" s="1">
        <f ca="1">IFERROR(__xludf.DUMMYFUNCTION("""COMPUTED_VALUE"""),100.3)</f>
        <v>100.3</v>
      </c>
      <c r="I126" s="1">
        <f ca="1">IFERROR(__xludf.DUMMYFUNCTION("""COMPUTED_VALUE"""),105)</f>
        <v>105</v>
      </c>
      <c r="J126" s="1">
        <f ca="1">IFERROR(__xludf.DUMMYFUNCTION("""COMPUTED_VALUE"""),65.9)</f>
        <v>65.900000000000006</v>
      </c>
      <c r="K126" s="1">
        <f ca="1">IFERROR(__xludf.DUMMYFUNCTION("""COMPUTED_VALUE"""),244)</f>
        <v>244</v>
      </c>
      <c r="L126" s="1">
        <f ca="1">IFERROR(__xludf.DUMMYFUNCTION("""COMPUTED_VALUE"""),-0.005)</f>
        <v>-5.0000000000000001E-3</v>
      </c>
      <c r="M126" s="1">
        <f ca="1">IFERROR(__xludf.DUMMYFUNCTION("""COMPUTED_VALUE"""),179)</f>
        <v>179</v>
      </c>
      <c r="N126" s="1" t="str">
        <f ca="1">IFERROR(__xludf.DUMMYFUNCTION("""COMPUTED_VALUE"""),"+5.86")</f>
        <v>+5.86</v>
      </c>
      <c r="O126" s="1">
        <f ca="1">IFERROR(__xludf.DUMMYFUNCTION("""COMPUTED_VALUE"""),66)</f>
        <v>66</v>
      </c>
      <c r="P126" s="1">
        <f ca="1">IFERROR(__xludf.DUMMYFUNCTION("""COMPUTED_VALUE"""),107.8)</f>
        <v>107.8</v>
      </c>
      <c r="Q126" s="1">
        <f ca="1">IFERROR(__xludf.DUMMYFUNCTION("""COMPUTED_VALUE"""),39)</f>
        <v>39</v>
      </c>
      <c r="R126" s="1">
        <f ca="1">IFERROR(__xludf.DUMMYFUNCTION("""COMPUTED_VALUE"""),101.9)</f>
        <v>101.9</v>
      </c>
      <c r="S126" s="1">
        <f ca="1">IFERROR(__xludf.DUMMYFUNCTION("""COMPUTED_VALUE"""),107)</f>
        <v>107</v>
      </c>
      <c r="T126" s="1">
        <f ca="1">IFERROR(__xludf.DUMMYFUNCTION("""COMPUTED_VALUE"""),-5.37)</f>
        <v>-5.37</v>
      </c>
      <c r="U126" s="1">
        <f ca="1">IFERROR(__xludf.DUMMYFUNCTION("""COMPUTED_VALUE"""),279)</f>
        <v>279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IFERROR(__xludf.DUMMYFUNCTION("""COMPUTED_VALUE"""),"Florida St.")</f>
        <v>Florida St.</v>
      </c>
      <c r="C129" s="1" t="str">
        <f ca="1">IFERROR(__xludf.DUMMYFUNCTION("""COMPUTED_VALUE"""),"ACC")</f>
        <v>ACC</v>
      </c>
      <c r="D129" s="2">
        <f ca="1">IFERROR(__xludf.DUMMYFUNCTION("""COMPUTED_VALUE"""),44912)</f>
        <v>44912</v>
      </c>
      <c r="E129" s="1" t="str">
        <f ca="1">IFERROR(__xludf.DUMMYFUNCTION("""COMPUTED_VALUE"""),"+3.54")</f>
        <v>+3.54</v>
      </c>
      <c r="F129" s="1">
        <f ca="1">IFERROR(__xludf.DUMMYFUNCTION("""COMPUTED_VALUE"""),105.8)</f>
        <v>105.8</v>
      </c>
      <c r="G129" s="1">
        <f ca="1">IFERROR(__xludf.DUMMYFUNCTION("""COMPUTED_VALUE"""),116)</f>
        <v>116</v>
      </c>
      <c r="H129" s="1">
        <f ca="1">IFERROR(__xludf.DUMMYFUNCTION("""COMPUTED_VALUE"""),102.3)</f>
        <v>102.3</v>
      </c>
      <c r="I129" s="1">
        <f ca="1">IFERROR(__xludf.DUMMYFUNCTION("""COMPUTED_VALUE"""),149)</f>
        <v>149</v>
      </c>
      <c r="J129" s="1">
        <f ca="1">IFERROR(__xludf.DUMMYFUNCTION("""COMPUTED_VALUE"""),68.3)</f>
        <v>68.3</v>
      </c>
      <c r="K129" s="1">
        <f ca="1">IFERROR(__xludf.DUMMYFUNCTION("""COMPUTED_VALUE"""),162)</f>
        <v>162</v>
      </c>
      <c r="L129" s="1">
        <f ca="1">IFERROR(__xludf.DUMMYFUNCTION("""COMPUTED_VALUE"""),-0.054)</f>
        <v>-5.3999999999999999E-2</v>
      </c>
      <c r="M129" s="1">
        <f ca="1">IFERROR(__xludf.DUMMYFUNCTION("""COMPUTED_VALUE"""),279)</f>
        <v>279</v>
      </c>
      <c r="N129" s="1" t="str">
        <f ca="1">IFERROR(__xludf.DUMMYFUNCTION("""COMPUTED_VALUE"""),"+7.79")</f>
        <v>+7.79</v>
      </c>
      <c r="O129" s="1">
        <f ca="1">IFERROR(__xludf.DUMMYFUNCTION("""COMPUTED_VALUE"""),44)</f>
        <v>44</v>
      </c>
      <c r="P129" s="1">
        <f ca="1">IFERROR(__xludf.DUMMYFUNCTION("""COMPUTED_VALUE"""),107.9)</f>
        <v>107.9</v>
      </c>
      <c r="Q129" s="1">
        <f ca="1">IFERROR(__xludf.DUMMYFUNCTION("""COMPUTED_VALUE"""),35)</f>
        <v>35</v>
      </c>
      <c r="R129" s="1">
        <f ca="1">IFERROR(__xludf.DUMMYFUNCTION("""COMPUTED_VALUE"""),100.1)</f>
        <v>100.1</v>
      </c>
      <c r="S129" s="1">
        <f ca="1">IFERROR(__xludf.DUMMYFUNCTION("""COMPUTED_VALUE"""),58)</f>
        <v>58</v>
      </c>
      <c r="T129" s="1">
        <f ca="1">IFERROR(__xludf.DUMMYFUNCTION("""COMPUTED_VALUE"""),-9.04)</f>
        <v>-9.0399999999999991</v>
      </c>
      <c r="U129" s="1">
        <f ca="1">IFERROR(__xludf.DUMMYFUNCTION("""COMPUTED_VALUE"""),314)</f>
        <v>314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IFERROR(__xludf.DUMMYFUNCTION("""COMPUTED_VALUE"""),"VCU")</f>
        <v>VCU</v>
      </c>
      <c r="C130" s="1" t="str">
        <f ca="1">IFERROR(__xludf.DUMMYFUNCTION("""COMPUTED_VALUE"""),"CAA")</f>
        <v>CAA</v>
      </c>
      <c r="D130" s="1" t="str">
        <f ca="1">IFERROR(__xludf.DUMMYFUNCTION("""COMPUTED_VALUE"""),"21-11")</f>
        <v>21-11</v>
      </c>
      <c r="E130" s="1" t="str">
        <f ca="1">IFERROR(__xludf.DUMMYFUNCTION("""COMPUTED_VALUE"""),"+3.53")</f>
        <v>+3.53</v>
      </c>
      <c r="F130" s="1">
        <f ca="1">IFERROR(__xludf.DUMMYFUNCTION("""COMPUTED_VALUE"""),102.9)</f>
        <v>102.9</v>
      </c>
      <c r="G130" s="1">
        <f ca="1">IFERROR(__xludf.DUMMYFUNCTION("""COMPUTED_VALUE"""),166)</f>
        <v>166</v>
      </c>
      <c r="H130" s="1">
        <f ca="1">IFERROR(__xludf.DUMMYFUNCTION("""COMPUTED_VALUE"""),99.3)</f>
        <v>99.3</v>
      </c>
      <c r="I130" s="1">
        <f ca="1">IFERROR(__xludf.DUMMYFUNCTION("""COMPUTED_VALUE"""),88)</f>
        <v>88</v>
      </c>
      <c r="J130" s="1">
        <f ca="1">IFERROR(__xludf.DUMMYFUNCTION("""COMPUTED_VALUE"""),70.9)</f>
        <v>70.900000000000006</v>
      </c>
      <c r="K130" s="1">
        <f ca="1">IFERROR(__xludf.DUMMYFUNCTION("""COMPUTED_VALUE"""),62)</f>
        <v>62</v>
      </c>
      <c r="L130" s="1" t="str">
        <f ca="1">IFERROR(__xludf.DUMMYFUNCTION("""COMPUTED_VALUE"""),"+.010")</f>
        <v>+.010</v>
      </c>
      <c r="M130" s="1">
        <f ca="1">IFERROR(__xludf.DUMMYFUNCTION("""COMPUTED_VALUE"""),143)</f>
        <v>143</v>
      </c>
      <c r="N130" s="1">
        <f ca="1">IFERROR(__xludf.DUMMYFUNCTION("""COMPUTED_VALUE"""),-2.17)</f>
        <v>-2.17</v>
      </c>
      <c r="O130" s="1">
        <f ca="1">IFERROR(__xludf.DUMMYFUNCTION("""COMPUTED_VALUE"""),205)</f>
        <v>205</v>
      </c>
      <c r="P130" s="1">
        <f ca="1">IFERROR(__xludf.DUMMYFUNCTION("""COMPUTED_VALUE"""),100.3)</f>
        <v>100.3</v>
      </c>
      <c r="Q130" s="1">
        <f ca="1">IFERROR(__xludf.DUMMYFUNCTION("""COMPUTED_VALUE"""),243)</f>
        <v>243</v>
      </c>
      <c r="R130" s="1">
        <f ca="1">IFERROR(__xludf.DUMMYFUNCTION("""COMPUTED_VALUE"""),102.5)</f>
        <v>102.5</v>
      </c>
      <c r="S130" s="1">
        <f ca="1">IFERROR(__xludf.DUMMYFUNCTION("""COMPUTED_VALUE"""),125)</f>
        <v>125</v>
      </c>
      <c r="T130" s="1">
        <f ca="1">IFERROR(__xludf.DUMMYFUNCTION("""COMPUTED_VALUE"""),-2.09)</f>
        <v>-2.09</v>
      </c>
      <c r="U130" s="1">
        <f ca="1">IFERROR(__xludf.DUMMYFUNCTION("""COMPUTED_VALUE"""),218)</f>
        <v>218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IFERROR(__xludf.DUMMYFUNCTION("""COMPUTED_VALUE"""),"Nevada")</f>
        <v>Nevada</v>
      </c>
      <c r="C131" s="1" t="str">
        <f ca="1">IFERROR(__xludf.DUMMYFUNCTION("""COMPUTED_VALUE"""),"WAC")</f>
        <v>WAC</v>
      </c>
      <c r="D131" s="1" t="str">
        <f ca="1">IFERROR(__xludf.DUMMYFUNCTION("""COMPUTED_VALUE"""),"16-13")</f>
        <v>16-13</v>
      </c>
      <c r="E131" s="1" t="str">
        <f ca="1">IFERROR(__xludf.DUMMYFUNCTION("""COMPUTED_VALUE"""),"+3.41")</f>
        <v>+3.41</v>
      </c>
      <c r="F131" s="1">
        <f ca="1">IFERROR(__xludf.DUMMYFUNCTION("""COMPUTED_VALUE"""),103.9)</f>
        <v>103.9</v>
      </c>
      <c r="G131" s="1">
        <f ca="1">IFERROR(__xludf.DUMMYFUNCTION("""COMPUTED_VALUE"""),148)</f>
        <v>148</v>
      </c>
      <c r="H131" s="1">
        <f ca="1">IFERROR(__xludf.DUMMYFUNCTION("""COMPUTED_VALUE"""),100.5)</f>
        <v>100.5</v>
      </c>
      <c r="I131" s="1">
        <f ca="1">IFERROR(__xludf.DUMMYFUNCTION("""COMPUTED_VALUE"""),115)</f>
        <v>115</v>
      </c>
      <c r="J131" s="1">
        <f ca="1">IFERROR(__xludf.DUMMYFUNCTION("""COMPUTED_VALUE"""),71.6)</f>
        <v>71.599999999999994</v>
      </c>
      <c r="K131" s="1">
        <f ca="1">IFERROR(__xludf.DUMMYFUNCTION("""COMPUTED_VALUE"""),50)</f>
        <v>50</v>
      </c>
      <c r="L131" s="1" t="str">
        <f ca="1">IFERROR(__xludf.DUMMYFUNCTION("""COMPUTED_VALUE"""),"+.034")</f>
        <v>+.034</v>
      </c>
      <c r="M131" s="1">
        <f ca="1">IFERROR(__xludf.DUMMYFUNCTION("""COMPUTED_VALUE"""),88)</f>
        <v>88</v>
      </c>
      <c r="N131" s="1" t="str">
        <f ca="1">IFERROR(__xludf.DUMMYFUNCTION("""COMPUTED_VALUE"""),"+2.04")</f>
        <v>+2.04</v>
      </c>
      <c r="O131" s="1">
        <f ca="1">IFERROR(__xludf.DUMMYFUNCTION("""COMPUTED_VALUE"""),120)</f>
        <v>120</v>
      </c>
      <c r="P131" s="1">
        <f ca="1">IFERROR(__xludf.DUMMYFUNCTION("""COMPUTED_VALUE"""),104.1)</f>
        <v>104.1</v>
      </c>
      <c r="Q131" s="1">
        <f ca="1">IFERROR(__xludf.DUMMYFUNCTION("""COMPUTED_VALUE"""),137)</f>
        <v>137</v>
      </c>
      <c r="R131" s="1">
        <f ca="1">IFERROR(__xludf.DUMMYFUNCTION("""COMPUTED_VALUE"""),102)</f>
        <v>102</v>
      </c>
      <c r="S131" s="1">
        <f ca="1">IFERROR(__xludf.DUMMYFUNCTION("""COMPUTED_VALUE"""),111)</f>
        <v>111</v>
      </c>
      <c r="T131" s="1">
        <f ca="1">IFERROR(__xludf.DUMMYFUNCTION("""COMPUTED_VALUE"""),-1.95)</f>
        <v>-1.95</v>
      </c>
      <c r="U131" s="1">
        <f ca="1">IFERROR(__xludf.DUMMYFUNCTION("""COMPUTED_VALUE"""),215)</f>
        <v>215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IFERROR(__xludf.DUMMYFUNCTION("""COMPUTED_VALUE"""),"Oregon St.")</f>
        <v>Oregon St.</v>
      </c>
      <c r="C132" s="1" t="str">
        <f ca="1">IFERROR(__xludf.DUMMYFUNCTION("""COMPUTED_VALUE"""),"P10")</f>
        <v>P10</v>
      </c>
      <c r="D132" s="2">
        <f ca="1">IFERROR(__xludf.DUMMYFUNCTION("""COMPUTED_VALUE"""),44851)</f>
        <v>44851</v>
      </c>
      <c r="E132" s="1" t="str">
        <f ca="1">IFERROR(__xludf.DUMMYFUNCTION("""COMPUTED_VALUE"""),"+3.36")</f>
        <v>+3.36</v>
      </c>
      <c r="F132" s="1">
        <f ca="1">IFERROR(__xludf.DUMMYFUNCTION("""COMPUTED_VALUE"""),103.4)</f>
        <v>103.4</v>
      </c>
      <c r="G132" s="1">
        <f ca="1">IFERROR(__xludf.DUMMYFUNCTION("""COMPUTED_VALUE"""),155)</f>
        <v>155</v>
      </c>
      <c r="H132" s="1">
        <f ca="1">IFERROR(__xludf.DUMMYFUNCTION("""COMPUTED_VALUE"""),100)</f>
        <v>100</v>
      </c>
      <c r="I132" s="1">
        <f ca="1">IFERROR(__xludf.DUMMYFUNCTION("""COMPUTED_VALUE"""),100)</f>
        <v>100</v>
      </c>
      <c r="J132" s="1">
        <f ca="1">IFERROR(__xludf.DUMMYFUNCTION("""COMPUTED_VALUE"""),61.3)</f>
        <v>61.3</v>
      </c>
      <c r="K132" s="1">
        <f ca="1">IFERROR(__xludf.DUMMYFUNCTION("""COMPUTED_VALUE"""),318)</f>
        <v>318</v>
      </c>
      <c r="L132" s="1">
        <f ca="1">IFERROR(__xludf.DUMMYFUNCTION("""COMPUTED_VALUE"""),-0.05)</f>
        <v>-0.05</v>
      </c>
      <c r="M132" s="1">
        <f ca="1">IFERROR(__xludf.DUMMYFUNCTION("""COMPUTED_VALUE"""),273)</f>
        <v>273</v>
      </c>
      <c r="N132" s="1" t="str">
        <f ca="1">IFERROR(__xludf.DUMMYFUNCTION("""COMPUTED_VALUE"""),"+8.00")</f>
        <v>+8.00</v>
      </c>
      <c r="O132" s="1">
        <f ca="1">IFERROR(__xludf.DUMMYFUNCTION("""COMPUTED_VALUE"""),38)</f>
        <v>38</v>
      </c>
      <c r="P132" s="1">
        <f ca="1">IFERROR(__xludf.DUMMYFUNCTION("""COMPUTED_VALUE"""),108.7)</f>
        <v>108.7</v>
      </c>
      <c r="Q132" s="1">
        <f ca="1">IFERROR(__xludf.DUMMYFUNCTION("""COMPUTED_VALUE"""),17)</f>
        <v>17</v>
      </c>
      <c r="R132" s="1">
        <f ca="1">IFERROR(__xludf.DUMMYFUNCTION("""COMPUTED_VALUE"""),100.7)</f>
        <v>100.7</v>
      </c>
      <c r="S132" s="1">
        <f ca="1">IFERROR(__xludf.DUMMYFUNCTION("""COMPUTED_VALUE"""),72)</f>
        <v>72</v>
      </c>
      <c r="T132" s="1">
        <f ca="1">IFERROR(__xludf.DUMMYFUNCTION("""COMPUTED_VALUE"""),-5.42)</f>
        <v>-5.42</v>
      </c>
      <c r="U132" s="1">
        <f ca="1">IFERROR(__xludf.DUMMYFUNCTION("""COMPUTED_VALUE"""),281)</f>
        <v>281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IFERROR(__xludf.DUMMYFUNCTION("""COMPUTED_VALUE"""),"Colorado St.")</f>
        <v>Colorado St.</v>
      </c>
      <c r="C133" s="1" t="str">
        <f ca="1">IFERROR(__xludf.DUMMYFUNCTION("""COMPUTED_VALUE"""),"MWC")</f>
        <v>MWC</v>
      </c>
      <c r="D133" s="2">
        <f ca="1">IFERROR(__xludf.DUMMYFUNCTION("""COMPUTED_VALUE"""),44883)</f>
        <v>44883</v>
      </c>
      <c r="E133" s="1" t="str">
        <f ca="1">IFERROR(__xludf.DUMMYFUNCTION("""COMPUTED_VALUE"""),"+3.34")</f>
        <v>+3.34</v>
      </c>
      <c r="F133" s="1">
        <f ca="1">IFERROR(__xludf.DUMMYFUNCTION("""COMPUTED_VALUE"""),103.8)</f>
        <v>103.8</v>
      </c>
      <c r="G133" s="1">
        <f ca="1">IFERROR(__xludf.DUMMYFUNCTION("""COMPUTED_VALUE"""),150)</f>
        <v>150</v>
      </c>
      <c r="H133" s="1">
        <f ca="1">IFERROR(__xludf.DUMMYFUNCTION("""COMPUTED_VALUE"""),100.5)</f>
        <v>100.5</v>
      </c>
      <c r="I133" s="1">
        <f ca="1">IFERROR(__xludf.DUMMYFUNCTION("""COMPUTED_VALUE"""),113)</f>
        <v>113</v>
      </c>
      <c r="J133" s="1">
        <f ca="1">IFERROR(__xludf.DUMMYFUNCTION("""COMPUTED_VALUE"""),66.5)</f>
        <v>66.5</v>
      </c>
      <c r="K133" s="1">
        <f ca="1">IFERROR(__xludf.DUMMYFUNCTION("""COMPUTED_VALUE"""),224)</f>
        <v>224</v>
      </c>
      <c r="L133" s="1">
        <f ca="1">IFERROR(__xludf.DUMMYFUNCTION("""COMPUTED_VALUE"""),-0.11)</f>
        <v>-0.11</v>
      </c>
      <c r="M133" s="1">
        <f ca="1">IFERROR(__xludf.DUMMYFUNCTION("""COMPUTED_VALUE"""),319)</f>
        <v>319</v>
      </c>
      <c r="N133" s="1" t="str">
        <f ca="1">IFERROR(__xludf.DUMMYFUNCTION("""COMPUTED_VALUE"""),"+4.28")</f>
        <v>+4.28</v>
      </c>
      <c r="O133" s="1">
        <f ca="1">IFERROR(__xludf.DUMMYFUNCTION("""COMPUTED_VALUE"""),91)</f>
        <v>91</v>
      </c>
      <c r="P133" s="1">
        <f ca="1">IFERROR(__xludf.DUMMYFUNCTION("""COMPUTED_VALUE"""),106.2)</f>
        <v>106.2</v>
      </c>
      <c r="Q133" s="1">
        <f ca="1">IFERROR(__xludf.DUMMYFUNCTION("""COMPUTED_VALUE"""),73)</f>
        <v>73</v>
      </c>
      <c r="R133" s="1">
        <f ca="1">IFERROR(__xludf.DUMMYFUNCTION("""COMPUTED_VALUE"""),101.9)</f>
        <v>101.9</v>
      </c>
      <c r="S133" s="1">
        <f ca="1">IFERROR(__xludf.DUMMYFUNCTION("""COMPUTED_VALUE"""),106)</f>
        <v>106</v>
      </c>
      <c r="T133" s="1">
        <f ca="1">IFERROR(__xludf.DUMMYFUNCTION("""COMPUTED_VALUE"""),-0.49)</f>
        <v>-0.49</v>
      </c>
      <c r="U133" s="1">
        <f ca="1">IFERROR(__xludf.DUMMYFUNCTION("""COMPUTED_VALUE"""),172)</f>
        <v>172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IFERROR(__xludf.DUMMYFUNCTION("""COMPUTED_VALUE"""),"Loyola Chicago")</f>
        <v>Loyola Chicago</v>
      </c>
      <c r="C134" s="1" t="str">
        <f ca="1">IFERROR(__xludf.DUMMYFUNCTION("""COMPUTED_VALUE"""),"Horz")</f>
        <v>Horz</v>
      </c>
      <c r="D134" s="1" t="str">
        <f ca="1">IFERROR(__xludf.DUMMYFUNCTION("""COMPUTED_VALUE"""),"17-13")</f>
        <v>17-13</v>
      </c>
      <c r="E134" s="1" t="str">
        <f ca="1">IFERROR(__xludf.DUMMYFUNCTION("""COMPUTED_VALUE"""),"+3.20")</f>
        <v>+3.20</v>
      </c>
      <c r="F134" s="1">
        <f ca="1">IFERROR(__xludf.DUMMYFUNCTION("""COMPUTED_VALUE"""),103.5)</f>
        <v>103.5</v>
      </c>
      <c r="G134" s="1">
        <f ca="1">IFERROR(__xludf.DUMMYFUNCTION("""COMPUTED_VALUE"""),153)</f>
        <v>153</v>
      </c>
      <c r="H134" s="1">
        <f ca="1">IFERROR(__xludf.DUMMYFUNCTION("""COMPUTED_VALUE"""),100.3)</f>
        <v>100.3</v>
      </c>
      <c r="I134" s="1">
        <f ca="1">IFERROR(__xludf.DUMMYFUNCTION("""COMPUTED_VALUE"""),106)</f>
        <v>106</v>
      </c>
      <c r="J134" s="1">
        <f ca="1">IFERROR(__xludf.DUMMYFUNCTION("""COMPUTED_VALUE"""),69.5)</f>
        <v>69.5</v>
      </c>
      <c r="K134" s="1">
        <f ca="1">IFERROR(__xludf.DUMMYFUNCTION("""COMPUTED_VALUE"""),107)</f>
        <v>107</v>
      </c>
      <c r="L134" s="1" t="str">
        <f ca="1">IFERROR(__xludf.DUMMYFUNCTION("""COMPUTED_VALUE"""),"+.010")</f>
        <v>+.010</v>
      </c>
      <c r="M134" s="1">
        <f ca="1">IFERROR(__xludf.DUMMYFUNCTION("""COMPUTED_VALUE"""),146)</f>
        <v>146</v>
      </c>
      <c r="N134" s="1">
        <f ca="1">IFERROR(__xludf.DUMMYFUNCTION("""COMPUTED_VALUE"""),-0.59)</f>
        <v>-0.59</v>
      </c>
      <c r="O134" s="1">
        <f ca="1">IFERROR(__xludf.DUMMYFUNCTION("""COMPUTED_VALUE"""),176)</f>
        <v>176</v>
      </c>
      <c r="P134" s="1">
        <f ca="1">IFERROR(__xludf.DUMMYFUNCTION("""COMPUTED_VALUE"""),104.1)</f>
        <v>104.1</v>
      </c>
      <c r="Q134" s="1">
        <f ca="1">IFERROR(__xludf.DUMMYFUNCTION("""COMPUTED_VALUE"""),134)</f>
        <v>134</v>
      </c>
      <c r="R134" s="1">
        <f ca="1">IFERROR(__xludf.DUMMYFUNCTION("""COMPUTED_VALUE"""),104.7)</f>
        <v>104.7</v>
      </c>
      <c r="S134" s="1">
        <f ca="1">IFERROR(__xludf.DUMMYFUNCTION("""COMPUTED_VALUE"""),220)</f>
        <v>220</v>
      </c>
      <c r="T134" s="1">
        <f ca="1">IFERROR(__xludf.DUMMYFUNCTION("""COMPUTED_VALUE"""),-3.88)</f>
        <v>-3.88</v>
      </c>
      <c r="U134" s="1">
        <f ca="1">IFERROR(__xludf.DUMMYFUNCTION("""COMPUTED_VALUE"""),254)</f>
        <v>254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IFERROR(__xludf.DUMMYFUNCTION("""COMPUTED_VALUE"""),"Massachusetts")</f>
        <v>Massachusetts</v>
      </c>
      <c r="C135" s="1" t="str">
        <f ca="1">IFERROR(__xludf.DUMMYFUNCTION("""COMPUTED_VALUE"""),"A10")</f>
        <v>A10</v>
      </c>
      <c r="D135" s="1" t="str">
        <f ca="1">IFERROR(__xludf.DUMMYFUNCTION("""COMPUTED_VALUE"""),"13-16")</f>
        <v>13-16</v>
      </c>
      <c r="E135" s="1" t="str">
        <f ca="1">IFERROR(__xludf.DUMMYFUNCTION("""COMPUTED_VALUE"""),"+3.17")</f>
        <v>+3.17</v>
      </c>
      <c r="F135" s="1">
        <f ca="1">IFERROR(__xludf.DUMMYFUNCTION("""COMPUTED_VALUE"""),102)</f>
        <v>102</v>
      </c>
      <c r="G135" s="1">
        <f ca="1">IFERROR(__xludf.DUMMYFUNCTION("""COMPUTED_VALUE"""),182)</f>
        <v>182</v>
      </c>
      <c r="H135" s="1">
        <f ca="1">IFERROR(__xludf.DUMMYFUNCTION("""COMPUTED_VALUE"""),98.8)</f>
        <v>98.8</v>
      </c>
      <c r="I135" s="1">
        <f ca="1">IFERROR(__xludf.DUMMYFUNCTION("""COMPUTED_VALUE"""),83)</f>
        <v>83</v>
      </c>
      <c r="J135" s="1">
        <f ca="1">IFERROR(__xludf.DUMMYFUNCTION("""COMPUTED_VALUE"""),64.3)</f>
        <v>64.3</v>
      </c>
      <c r="K135" s="1">
        <f ca="1">IFERROR(__xludf.DUMMYFUNCTION("""COMPUTED_VALUE"""),288)</f>
        <v>288</v>
      </c>
      <c r="L135" s="1" t="str">
        <f ca="1">IFERROR(__xludf.DUMMYFUNCTION("""COMPUTED_VALUE"""),"+.002")</f>
        <v>+.002</v>
      </c>
      <c r="M135" s="1">
        <f ca="1">IFERROR(__xludf.DUMMYFUNCTION("""COMPUTED_VALUE"""),164)</f>
        <v>164</v>
      </c>
      <c r="N135" s="1" t="str">
        <f ca="1">IFERROR(__xludf.DUMMYFUNCTION("""COMPUTED_VALUE"""),"+5.05")</f>
        <v>+5.05</v>
      </c>
      <c r="O135" s="1">
        <f ca="1">IFERROR(__xludf.DUMMYFUNCTION("""COMPUTED_VALUE"""),77)</f>
        <v>77</v>
      </c>
      <c r="P135" s="1">
        <f ca="1">IFERROR(__xludf.DUMMYFUNCTION("""COMPUTED_VALUE"""),107.1)</f>
        <v>107.1</v>
      </c>
      <c r="Q135" s="1">
        <f ca="1">IFERROR(__xludf.DUMMYFUNCTION("""COMPUTED_VALUE"""),48)</f>
        <v>48</v>
      </c>
      <c r="R135" s="1">
        <f ca="1">IFERROR(__xludf.DUMMYFUNCTION("""COMPUTED_VALUE"""),102)</f>
        <v>102</v>
      </c>
      <c r="S135" s="1">
        <f ca="1">IFERROR(__xludf.DUMMYFUNCTION("""COMPUTED_VALUE"""),110)</f>
        <v>110</v>
      </c>
      <c r="T135" s="1" t="str">
        <f ca="1">IFERROR(__xludf.DUMMYFUNCTION("""COMPUTED_VALUE"""),"+6.49")</f>
        <v>+6.49</v>
      </c>
      <c r="U135" s="1">
        <f ca="1">IFERROR(__xludf.DUMMYFUNCTION("""COMPUTED_VALUE"""),35)</f>
        <v>35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IFERROR(__xludf.DUMMYFUNCTION("""COMPUTED_VALUE"""),"Michigan")</f>
        <v>Michigan</v>
      </c>
      <c r="C136" s="1" t="str">
        <f ca="1">IFERROR(__xludf.DUMMYFUNCTION("""COMPUTED_VALUE"""),"B10")</f>
        <v>B10</v>
      </c>
      <c r="D136" s="2">
        <f ca="1">IFERROR(__xludf.DUMMYFUNCTION("""COMPUTED_VALUE"""),44883)</f>
        <v>44883</v>
      </c>
      <c r="E136" s="1" t="str">
        <f ca="1">IFERROR(__xludf.DUMMYFUNCTION("""COMPUTED_VALUE"""),"+3.15")</f>
        <v>+3.15</v>
      </c>
      <c r="F136" s="1">
        <f ca="1">IFERROR(__xludf.DUMMYFUNCTION("""COMPUTED_VALUE"""),105.4)</f>
        <v>105.4</v>
      </c>
      <c r="G136" s="1">
        <f ca="1">IFERROR(__xludf.DUMMYFUNCTION("""COMPUTED_VALUE"""),122)</f>
        <v>122</v>
      </c>
      <c r="H136" s="1">
        <f ca="1">IFERROR(__xludf.DUMMYFUNCTION("""COMPUTED_VALUE"""),102.3)</f>
        <v>102.3</v>
      </c>
      <c r="I136" s="1">
        <f ca="1">IFERROR(__xludf.DUMMYFUNCTION("""COMPUTED_VALUE"""),150)</f>
        <v>150</v>
      </c>
      <c r="J136" s="1">
        <f ca="1">IFERROR(__xludf.DUMMYFUNCTION("""COMPUTED_VALUE"""),65.6)</f>
        <v>65.599999999999994</v>
      </c>
      <c r="K136" s="1">
        <f ca="1">IFERROR(__xludf.DUMMYFUNCTION("""COMPUTED_VALUE"""),256)</f>
        <v>256</v>
      </c>
      <c r="L136" s="1">
        <f ca="1">IFERROR(__xludf.DUMMYFUNCTION("""COMPUTED_VALUE"""),-0.038)</f>
        <v>-3.7999999999999999E-2</v>
      </c>
      <c r="M136" s="1">
        <f ca="1">IFERROR(__xludf.DUMMYFUNCTION("""COMPUTED_VALUE"""),249)</f>
        <v>249</v>
      </c>
      <c r="N136" s="1" t="str">
        <f ca="1">IFERROR(__xludf.DUMMYFUNCTION("""COMPUTED_VALUE"""),"+8.26")</f>
        <v>+8.26</v>
      </c>
      <c r="O136" s="1">
        <f ca="1">IFERROR(__xludf.DUMMYFUNCTION("""COMPUTED_VALUE"""),32)</f>
        <v>32</v>
      </c>
      <c r="P136" s="1">
        <f ca="1">IFERROR(__xludf.DUMMYFUNCTION("""COMPUTED_VALUE"""),108.2)</f>
        <v>108.2</v>
      </c>
      <c r="Q136" s="1">
        <f ca="1">IFERROR(__xludf.DUMMYFUNCTION("""COMPUTED_VALUE"""),27)</f>
        <v>27</v>
      </c>
      <c r="R136" s="1">
        <f ca="1">IFERROR(__xludf.DUMMYFUNCTION("""COMPUTED_VALUE"""),100)</f>
        <v>100</v>
      </c>
      <c r="S136" s="1">
        <f ca="1">IFERROR(__xludf.DUMMYFUNCTION("""COMPUTED_VALUE"""),52)</f>
        <v>52</v>
      </c>
      <c r="T136" s="1">
        <f ca="1">IFERROR(__xludf.DUMMYFUNCTION("""COMPUTED_VALUE"""),-0.43)</f>
        <v>-0.43</v>
      </c>
      <c r="U136" s="1">
        <f ca="1">IFERROR(__xludf.DUMMYFUNCTION("""COMPUTED_VALUE"""),168)</f>
        <v>168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IFERROR(__xludf.DUMMYFUNCTION("""COMPUTED_VALUE"""),"Tulane")</f>
        <v>Tulane</v>
      </c>
      <c r="C137" s="1" t="str">
        <f ca="1">IFERROR(__xludf.DUMMYFUNCTION("""COMPUTED_VALUE"""),"CUSA")</f>
        <v>CUSA</v>
      </c>
      <c r="D137" s="1" t="str">
        <f ca="1">IFERROR(__xludf.DUMMYFUNCTION("""COMPUTED_VALUE"""),"13-15")</f>
        <v>13-15</v>
      </c>
      <c r="E137" s="1" t="str">
        <f ca="1">IFERROR(__xludf.DUMMYFUNCTION("""COMPUTED_VALUE"""),"+3.07")</f>
        <v>+3.07</v>
      </c>
      <c r="F137" s="1">
        <f ca="1">IFERROR(__xludf.DUMMYFUNCTION("""COMPUTED_VALUE"""),104.8)</f>
        <v>104.8</v>
      </c>
      <c r="G137" s="1">
        <f ca="1">IFERROR(__xludf.DUMMYFUNCTION("""COMPUTED_VALUE"""),134)</f>
        <v>134</v>
      </c>
      <c r="H137" s="1">
        <f ca="1">IFERROR(__xludf.DUMMYFUNCTION("""COMPUTED_VALUE"""),101.7)</f>
        <v>101.7</v>
      </c>
      <c r="I137" s="1">
        <f ca="1">IFERROR(__xludf.DUMMYFUNCTION("""COMPUTED_VALUE"""),134)</f>
        <v>134</v>
      </c>
      <c r="J137" s="1">
        <f ca="1">IFERROR(__xludf.DUMMYFUNCTION("""COMPUTED_VALUE"""),69.2)</f>
        <v>69.2</v>
      </c>
      <c r="K137" s="1">
        <f ca="1">IFERROR(__xludf.DUMMYFUNCTION("""COMPUTED_VALUE"""),120)</f>
        <v>120</v>
      </c>
      <c r="L137" s="1" t="str">
        <f ca="1">IFERROR(__xludf.DUMMYFUNCTION("""COMPUTED_VALUE"""),"+.041")</f>
        <v>+.041</v>
      </c>
      <c r="M137" s="1">
        <f ca="1">IFERROR(__xludf.DUMMYFUNCTION("""COMPUTED_VALUE"""),72)</f>
        <v>72</v>
      </c>
      <c r="N137" s="1" t="str">
        <f ca="1">IFERROR(__xludf.DUMMYFUNCTION("""COMPUTED_VALUE"""),"+6.18")</f>
        <v>+6.18</v>
      </c>
      <c r="O137" s="1">
        <f ca="1">IFERROR(__xludf.DUMMYFUNCTION("""COMPUTED_VALUE"""),61)</f>
        <v>61</v>
      </c>
      <c r="P137" s="1">
        <f ca="1">IFERROR(__xludf.DUMMYFUNCTION("""COMPUTED_VALUE"""),105.7)</f>
        <v>105.7</v>
      </c>
      <c r="Q137" s="1">
        <f ca="1">IFERROR(__xludf.DUMMYFUNCTION("""COMPUTED_VALUE"""),86)</f>
        <v>86</v>
      </c>
      <c r="R137" s="1">
        <f ca="1">IFERROR(__xludf.DUMMYFUNCTION("""COMPUTED_VALUE"""),99.5)</f>
        <v>99.5</v>
      </c>
      <c r="S137" s="1">
        <f ca="1">IFERROR(__xludf.DUMMYFUNCTION("""COMPUTED_VALUE"""),37)</f>
        <v>37</v>
      </c>
      <c r="T137" s="1" t="str">
        <f ca="1">IFERROR(__xludf.DUMMYFUNCTION("""COMPUTED_VALUE"""),"+2.96")</f>
        <v>+2.96</v>
      </c>
      <c r="U137" s="1">
        <f ca="1">IFERROR(__xludf.DUMMYFUNCTION("""COMPUTED_VALUE"""),91)</f>
        <v>91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IFERROR(__xludf.DUMMYFUNCTION("""COMPUTED_VALUE"""),"Western Michigan")</f>
        <v>Western Michigan</v>
      </c>
      <c r="C138" s="1" t="str">
        <f ca="1">IFERROR(__xludf.DUMMYFUNCTION("""COMPUTED_VALUE"""),"MAC")</f>
        <v>MAC</v>
      </c>
      <c r="D138" s="1" t="str">
        <f ca="1">IFERROR(__xludf.DUMMYFUNCTION("""COMPUTED_VALUE"""),"17-13")</f>
        <v>17-13</v>
      </c>
      <c r="E138" s="1" t="str">
        <f ca="1">IFERROR(__xludf.DUMMYFUNCTION("""COMPUTED_VALUE"""),"+3.00")</f>
        <v>+3.00</v>
      </c>
      <c r="F138" s="1">
        <f ca="1">IFERROR(__xludf.DUMMYFUNCTION("""COMPUTED_VALUE"""),107.6)</f>
        <v>107.6</v>
      </c>
      <c r="G138" s="1">
        <f ca="1">IFERROR(__xludf.DUMMYFUNCTION("""COMPUTED_VALUE"""),96)</f>
        <v>96</v>
      </c>
      <c r="H138" s="1">
        <f ca="1">IFERROR(__xludf.DUMMYFUNCTION("""COMPUTED_VALUE"""),104.6)</f>
        <v>104.6</v>
      </c>
      <c r="I138" s="1">
        <f ca="1">IFERROR(__xludf.DUMMYFUNCTION("""COMPUTED_VALUE"""),202)</f>
        <v>202</v>
      </c>
      <c r="J138" s="1">
        <f ca="1">IFERROR(__xludf.DUMMYFUNCTION("""COMPUTED_VALUE"""),66.9)</f>
        <v>66.900000000000006</v>
      </c>
      <c r="K138" s="1">
        <f ca="1">IFERROR(__xludf.DUMMYFUNCTION("""COMPUTED_VALUE"""),211)</f>
        <v>211</v>
      </c>
      <c r="L138" s="1" t="str">
        <f ca="1">IFERROR(__xludf.DUMMYFUNCTION("""COMPUTED_VALUE"""),"+.030")</f>
        <v>+.030</v>
      </c>
      <c r="M138" s="1">
        <f ca="1">IFERROR(__xludf.DUMMYFUNCTION("""COMPUTED_VALUE"""),95)</f>
        <v>95</v>
      </c>
      <c r="N138" s="1">
        <f ca="1">IFERROR(__xludf.DUMMYFUNCTION("""COMPUTED_VALUE"""),-0.17)</f>
        <v>-0.17</v>
      </c>
      <c r="O138" s="1">
        <f ca="1">IFERROR(__xludf.DUMMYFUNCTION("""COMPUTED_VALUE"""),163)</f>
        <v>163</v>
      </c>
      <c r="P138" s="1">
        <f ca="1">IFERROR(__xludf.DUMMYFUNCTION("""COMPUTED_VALUE"""),104.4)</f>
        <v>104.4</v>
      </c>
      <c r="Q138" s="1">
        <f ca="1">IFERROR(__xludf.DUMMYFUNCTION("""COMPUTED_VALUE"""),127)</f>
        <v>127</v>
      </c>
      <c r="R138" s="1">
        <f ca="1">IFERROR(__xludf.DUMMYFUNCTION("""COMPUTED_VALUE"""),104.5)</f>
        <v>104.5</v>
      </c>
      <c r="S138" s="1">
        <f ca="1">IFERROR(__xludf.DUMMYFUNCTION("""COMPUTED_VALUE"""),214)</f>
        <v>214</v>
      </c>
      <c r="T138" s="1" t="str">
        <f ca="1">IFERROR(__xludf.DUMMYFUNCTION("""COMPUTED_VALUE"""),"+1.10")</f>
        <v>+1.10</v>
      </c>
      <c r="U138" s="1">
        <f ca="1">IFERROR(__xludf.DUMMYFUNCTION("""COMPUTED_VALUE"""),132)</f>
        <v>132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IFERROR(__xludf.DUMMYFUNCTION("""COMPUTED_VALUE"""),"Montana St.")</f>
        <v>Montana St.</v>
      </c>
      <c r="C139" s="1" t="str">
        <f ca="1">IFERROR(__xludf.DUMMYFUNCTION("""COMPUTED_VALUE"""),"BSky")</f>
        <v>BSky</v>
      </c>
      <c r="D139" s="1" t="str">
        <f ca="1">IFERROR(__xludf.DUMMYFUNCTION("""COMPUTED_VALUE"""),"18-10")</f>
        <v>18-10</v>
      </c>
      <c r="E139" s="1" t="str">
        <f ca="1">IFERROR(__xludf.DUMMYFUNCTION("""COMPUTED_VALUE"""),"+2.97")</f>
        <v>+2.97</v>
      </c>
      <c r="F139" s="1">
        <f ca="1">IFERROR(__xludf.DUMMYFUNCTION("""COMPUTED_VALUE"""),107.4)</f>
        <v>107.4</v>
      </c>
      <c r="G139" s="1">
        <f ca="1">IFERROR(__xludf.DUMMYFUNCTION("""COMPUTED_VALUE"""),97)</f>
        <v>97</v>
      </c>
      <c r="H139" s="1">
        <f ca="1">IFERROR(__xludf.DUMMYFUNCTION("""COMPUTED_VALUE"""),104.4)</f>
        <v>104.4</v>
      </c>
      <c r="I139" s="1">
        <f ca="1">IFERROR(__xludf.DUMMYFUNCTION("""COMPUTED_VALUE"""),198)</f>
        <v>198</v>
      </c>
      <c r="J139" s="1">
        <f ca="1">IFERROR(__xludf.DUMMYFUNCTION("""COMPUTED_VALUE"""),63.5)</f>
        <v>63.5</v>
      </c>
      <c r="K139" s="1">
        <f ca="1">IFERROR(__xludf.DUMMYFUNCTION("""COMPUTED_VALUE"""),295)</f>
        <v>295</v>
      </c>
      <c r="L139" s="1" t="str">
        <f ca="1">IFERROR(__xludf.DUMMYFUNCTION("""COMPUTED_VALUE"""),"+.054")</f>
        <v>+.054</v>
      </c>
      <c r="M139" s="1">
        <f ca="1">IFERROR(__xludf.DUMMYFUNCTION("""COMPUTED_VALUE"""),50)</f>
        <v>50</v>
      </c>
      <c r="N139" s="1">
        <f ca="1">IFERROR(__xludf.DUMMYFUNCTION("""COMPUTED_VALUE"""),-2.3)</f>
        <v>-2.2999999999999998</v>
      </c>
      <c r="O139" s="1">
        <f ca="1">IFERROR(__xludf.DUMMYFUNCTION("""COMPUTED_VALUE"""),208)</f>
        <v>208</v>
      </c>
      <c r="P139" s="1">
        <f ca="1">IFERROR(__xludf.DUMMYFUNCTION("""COMPUTED_VALUE"""),102.2)</f>
        <v>102.2</v>
      </c>
      <c r="Q139" s="1">
        <f ca="1">IFERROR(__xludf.DUMMYFUNCTION("""COMPUTED_VALUE"""),207)</f>
        <v>207</v>
      </c>
      <c r="R139" s="1">
        <f ca="1">IFERROR(__xludf.DUMMYFUNCTION("""COMPUTED_VALUE"""),104.5)</f>
        <v>104.5</v>
      </c>
      <c r="S139" s="1">
        <f ca="1">IFERROR(__xludf.DUMMYFUNCTION("""COMPUTED_VALUE"""),211)</f>
        <v>211</v>
      </c>
      <c r="T139" s="1" t="str">
        <f ca="1">IFERROR(__xludf.DUMMYFUNCTION("""COMPUTED_VALUE"""),"+1.71")</f>
        <v>+1.71</v>
      </c>
      <c r="U139" s="1">
        <f ca="1">IFERROR(__xludf.DUMMYFUNCTION("""COMPUTED_VALUE"""),119)</f>
        <v>119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IFERROR(__xludf.DUMMYFUNCTION("""COMPUTED_VALUE"""),"Clemson")</f>
        <v>Clemson</v>
      </c>
      <c r="C140" s="1" t="str">
        <f ca="1">IFERROR(__xludf.DUMMYFUNCTION("""COMPUTED_VALUE"""),"ACC")</f>
        <v>ACC</v>
      </c>
      <c r="D140" s="1" t="str">
        <f ca="1">IFERROR(__xludf.DUMMYFUNCTION("""COMPUTED_VALUE"""),"13-17")</f>
        <v>13-17</v>
      </c>
      <c r="E140" s="1" t="str">
        <f ca="1">IFERROR(__xludf.DUMMYFUNCTION("""COMPUTED_VALUE"""),"+2.94")</f>
        <v>+2.94</v>
      </c>
      <c r="F140" s="1">
        <f ca="1">IFERROR(__xludf.DUMMYFUNCTION("""COMPUTED_VALUE"""),107.3)</f>
        <v>107.3</v>
      </c>
      <c r="G140" s="1">
        <f ca="1">IFERROR(__xludf.DUMMYFUNCTION("""COMPUTED_VALUE"""),99)</f>
        <v>99</v>
      </c>
      <c r="H140" s="1">
        <f ca="1">IFERROR(__xludf.DUMMYFUNCTION("""COMPUTED_VALUE"""),104.4)</f>
        <v>104.4</v>
      </c>
      <c r="I140" s="1">
        <f ca="1">IFERROR(__xludf.DUMMYFUNCTION("""COMPUTED_VALUE"""),196)</f>
        <v>196</v>
      </c>
      <c r="J140" s="1">
        <f ca="1">IFERROR(__xludf.DUMMYFUNCTION("""COMPUTED_VALUE"""),69.4)</f>
        <v>69.400000000000006</v>
      </c>
      <c r="K140" s="1">
        <f ca="1">IFERROR(__xludf.DUMMYFUNCTION("""COMPUTED_VALUE"""),115)</f>
        <v>115</v>
      </c>
      <c r="L140" s="1">
        <f ca="1">IFERROR(__xludf.DUMMYFUNCTION("""COMPUTED_VALUE"""),-0.038)</f>
        <v>-3.7999999999999999E-2</v>
      </c>
      <c r="M140" s="1">
        <f ca="1">IFERROR(__xludf.DUMMYFUNCTION("""COMPUTED_VALUE"""),251)</f>
        <v>251</v>
      </c>
      <c r="N140" s="1" t="str">
        <f ca="1">IFERROR(__xludf.DUMMYFUNCTION("""COMPUTED_VALUE"""),"+4.80")</f>
        <v>+4.80</v>
      </c>
      <c r="O140" s="1">
        <f ca="1">IFERROR(__xludf.DUMMYFUNCTION("""COMPUTED_VALUE"""),82)</f>
        <v>82</v>
      </c>
      <c r="P140" s="1">
        <f ca="1">IFERROR(__xludf.DUMMYFUNCTION("""COMPUTED_VALUE"""),105.7)</f>
        <v>105.7</v>
      </c>
      <c r="Q140" s="1">
        <f ca="1">IFERROR(__xludf.DUMMYFUNCTION("""COMPUTED_VALUE"""),84)</f>
        <v>84</v>
      </c>
      <c r="R140" s="1">
        <f ca="1">IFERROR(__xludf.DUMMYFUNCTION("""COMPUTED_VALUE"""),100.9)</f>
        <v>100.9</v>
      </c>
      <c r="S140" s="1">
        <f ca="1">IFERROR(__xludf.DUMMYFUNCTION("""COMPUTED_VALUE"""),77)</f>
        <v>77</v>
      </c>
      <c r="T140" s="1">
        <f ca="1">IFERROR(__xludf.DUMMYFUNCTION("""COMPUTED_VALUE"""),-9.3)</f>
        <v>-9.3000000000000007</v>
      </c>
      <c r="U140" s="1">
        <f ca="1">IFERROR(__xludf.DUMMYFUNCTION("""COMPUTED_VALUE"""),315)</f>
        <v>315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IFERROR(__xludf.DUMMYFUNCTION("""COMPUTED_VALUE"""),"George Mason")</f>
        <v>George Mason</v>
      </c>
      <c r="C141" s="1" t="str">
        <f ca="1">IFERROR(__xludf.DUMMYFUNCTION("""COMPUTED_VALUE"""),"CAA")</f>
        <v>CAA</v>
      </c>
      <c r="D141" s="1" t="str">
        <f ca="1">IFERROR(__xludf.DUMMYFUNCTION("""COMPUTED_VALUE"""),"19-10")</f>
        <v>19-10</v>
      </c>
      <c r="E141" s="1" t="str">
        <f ca="1">IFERROR(__xludf.DUMMYFUNCTION("""COMPUTED_VALUE"""),"+2.67")</f>
        <v>+2.67</v>
      </c>
      <c r="F141" s="1">
        <f ca="1">IFERROR(__xludf.DUMMYFUNCTION("""COMPUTED_VALUE"""),104.7)</f>
        <v>104.7</v>
      </c>
      <c r="G141" s="1">
        <f ca="1">IFERROR(__xludf.DUMMYFUNCTION("""COMPUTED_VALUE"""),135)</f>
        <v>135</v>
      </c>
      <c r="H141" s="1">
        <f ca="1">IFERROR(__xludf.DUMMYFUNCTION("""COMPUTED_VALUE"""),102.1)</f>
        <v>102.1</v>
      </c>
      <c r="I141" s="1">
        <f ca="1">IFERROR(__xludf.DUMMYFUNCTION("""COMPUTED_VALUE"""),143)</f>
        <v>143</v>
      </c>
      <c r="J141" s="1">
        <f ca="1">IFERROR(__xludf.DUMMYFUNCTION("""COMPUTED_VALUE"""),67.8)</f>
        <v>67.8</v>
      </c>
      <c r="K141" s="1">
        <f ca="1">IFERROR(__xludf.DUMMYFUNCTION("""COMPUTED_VALUE"""),178)</f>
        <v>178</v>
      </c>
      <c r="L141" s="1" t="str">
        <f ca="1">IFERROR(__xludf.DUMMYFUNCTION("""COMPUTED_VALUE"""),"+.078")</f>
        <v>+.078</v>
      </c>
      <c r="M141" s="1">
        <f ca="1">IFERROR(__xludf.DUMMYFUNCTION("""COMPUTED_VALUE"""),17)</f>
        <v>17</v>
      </c>
      <c r="N141" s="1">
        <f ca="1">IFERROR(__xludf.DUMMYFUNCTION("""COMPUTED_VALUE"""),-1.69)</f>
        <v>-1.69</v>
      </c>
      <c r="O141" s="1">
        <f ca="1">IFERROR(__xludf.DUMMYFUNCTION("""COMPUTED_VALUE"""),197)</f>
        <v>197</v>
      </c>
      <c r="P141" s="1">
        <f ca="1">IFERROR(__xludf.DUMMYFUNCTION("""COMPUTED_VALUE"""),101.2)</f>
        <v>101.2</v>
      </c>
      <c r="Q141" s="1">
        <f ca="1">IFERROR(__xludf.DUMMYFUNCTION("""COMPUTED_VALUE"""),228)</f>
        <v>228</v>
      </c>
      <c r="R141" s="1">
        <f ca="1">IFERROR(__xludf.DUMMYFUNCTION("""COMPUTED_VALUE"""),102.9)</f>
        <v>102.9</v>
      </c>
      <c r="S141" s="1">
        <f ca="1">IFERROR(__xludf.DUMMYFUNCTION("""COMPUTED_VALUE"""),142)</f>
        <v>142</v>
      </c>
      <c r="T141" s="1">
        <f ca="1">IFERROR(__xludf.DUMMYFUNCTION("""COMPUTED_VALUE"""),-0.92)</f>
        <v>-0.92</v>
      </c>
      <c r="U141" s="1">
        <f ca="1">IFERROR(__xludf.DUMMYFUNCTION("""COMPUTED_VALUE"""),186)</f>
        <v>186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IFERROR(__xludf.DUMMYFUNCTION("""COMPUTED_VALUE"""),"Wright St.")</f>
        <v>Wright St.</v>
      </c>
      <c r="C142" s="1" t="str">
        <f ca="1">IFERROR(__xludf.DUMMYFUNCTION("""COMPUTED_VALUE"""),"Horz")</f>
        <v>Horz</v>
      </c>
      <c r="D142" s="1" t="str">
        <f ca="1">IFERROR(__xludf.DUMMYFUNCTION("""COMPUTED_VALUE"""),"17-11")</f>
        <v>17-11</v>
      </c>
      <c r="E142" s="1" t="str">
        <f ca="1">IFERROR(__xludf.DUMMYFUNCTION("""COMPUTED_VALUE"""),"+2.67")</f>
        <v>+2.67</v>
      </c>
      <c r="F142" s="1">
        <f ca="1">IFERROR(__xludf.DUMMYFUNCTION("""COMPUTED_VALUE"""),110.9)</f>
        <v>110.9</v>
      </c>
      <c r="G142" s="1">
        <f ca="1">IFERROR(__xludf.DUMMYFUNCTION("""COMPUTED_VALUE"""),51)</f>
        <v>51</v>
      </c>
      <c r="H142" s="1">
        <f ca="1">IFERROR(__xludf.DUMMYFUNCTION("""COMPUTED_VALUE"""),108.3)</f>
        <v>108.3</v>
      </c>
      <c r="I142" s="1">
        <f ca="1">IFERROR(__xludf.DUMMYFUNCTION("""COMPUTED_VALUE"""),261)</f>
        <v>261</v>
      </c>
      <c r="J142" s="1">
        <f ca="1">IFERROR(__xludf.DUMMYFUNCTION("""COMPUTED_VALUE"""),65.2)</f>
        <v>65.2</v>
      </c>
      <c r="K142" s="1">
        <f ca="1">IFERROR(__xludf.DUMMYFUNCTION("""COMPUTED_VALUE"""),266)</f>
        <v>266</v>
      </c>
      <c r="L142" s="1" t="str">
        <f ca="1">IFERROR(__xludf.DUMMYFUNCTION("""COMPUTED_VALUE"""),"+.033")</f>
        <v>+.033</v>
      </c>
      <c r="M142" s="1">
        <f ca="1">IFERROR(__xludf.DUMMYFUNCTION("""COMPUTED_VALUE"""),90)</f>
        <v>90</v>
      </c>
      <c r="N142" s="1">
        <f ca="1">IFERROR(__xludf.DUMMYFUNCTION("""COMPUTED_VALUE"""),-2.09)</f>
        <v>-2.09</v>
      </c>
      <c r="O142" s="1">
        <f ca="1">IFERROR(__xludf.DUMMYFUNCTION("""COMPUTED_VALUE"""),203)</f>
        <v>203</v>
      </c>
      <c r="P142" s="1">
        <f ca="1">IFERROR(__xludf.DUMMYFUNCTION("""COMPUTED_VALUE"""),102.4)</f>
        <v>102.4</v>
      </c>
      <c r="Q142" s="1">
        <f ca="1">IFERROR(__xludf.DUMMYFUNCTION("""COMPUTED_VALUE"""),199)</f>
        <v>199</v>
      </c>
      <c r="R142" s="1">
        <f ca="1">IFERROR(__xludf.DUMMYFUNCTION("""COMPUTED_VALUE"""),104.5)</f>
        <v>104.5</v>
      </c>
      <c r="S142" s="1">
        <f ca="1">IFERROR(__xludf.DUMMYFUNCTION("""COMPUTED_VALUE"""),210)</f>
        <v>210</v>
      </c>
      <c r="T142" s="1">
        <f ca="1">IFERROR(__xludf.DUMMYFUNCTION("""COMPUTED_VALUE"""),-7.7)</f>
        <v>-7.7</v>
      </c>
      <c r="U142" s="1">
        <f ca="1">IFERROR(__xludf.DUMMYFUNCTION("""COMPUTED_VALUE"""),305)</f>
        <v>305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IFERROR(__xludf.DUMMYFUNCTION("""COMPUTED_VALUE"""),"Georgia St.")</f>
        <v>Georgia St.</v>
      </c>
      <c r="C143" s="1" t="str">
        <f ca="1">IFERROR(__xludf.DUMMYFUNCTION("""COMPUTED_VALUE"""),"ASun")</f>
        <v>ASun</v>
      </c>
      <c r="D143" s="1" t="str">
        <f ca="1">IFERROR(__xludf.DUMMYFUNCTION("""COMPUTED_VALUE"""),"19-11")</f>
        <v>19-11</v>
      </c>
      <c r="E143" s="1" t="str">
        <f ca="1">IFERROR(__xludf.DUMMYFUNCTION("""COMPUTED_VALUE"""),"+2.60")</f>
        <v>+2.60</v>
      </c>
      <c r="F143" s="1">
        <f ca="1">IFERROR(__xludf.DUMMYFUNCTION("""COMPUTED_VALUE"""),107.8)</f>
        <v>107.8</v>
      </c>
      <c r="G143" s="1">
        <f ca="1">IFERROR(__xludf.DUMMYFUNCTION("""COMPUTED_VALUE"""),90)</f>
        <v>90</v>
      </c>
      <c r="H143" s="1">
        <f ca="1">IFERROR(__xludf.DUMMYFUNCTION("""COMPUTED_VALUE"""),105.2)</f>
        <v>105.2</v>
      </c>
      <c r="I143" s="1">
        <f ca="1">IFERROR(__xludf.DUMMYFUNCTION("""COMPUTED_VALUE"""),212)</f>
        <v>212</v>
      </c>
      <c r="J143" s="1">
        <f ca="1">IFERROR(__xludf.DUMMYFUNCTION("""COMPUTED_VALUE"""),69.6)</f>
        <v>69.599999999999994</v>
      </c>
      <c r="K143" s="1">
        <f ca="1">IFERROR(__xludf.DUMMYFUNCTION("""COMPUTED_VALUE"""),100)</f>
        <v>100</v>
      </c>
      <c r="L143" s="1" t="str">
        <f ca="1">IFERROR(__xludf.DUMMYFUNCTION("""COMPUTED_VALUE"""),"+.009")</f>
        <v>+.009</v>
      </c>
      <c r="M143" s="1">
        <f ca="1">IFERROR(__xludf.DUMMYFUNCTION("""COMPUTED_VALUE"""),147)</f>
        <v>147</v>
      </c>
      <c r="N143" s="1">
        <f ca="1">IFERROR(__xludf.DUMMYFUNCTION("""COMPUTED_VALUE"""),-3.4)</f>
        <v>-3.4</v>
      </c>
      <c r="O143" s="1">
        <f ca="1">IFERROR(__xludf.DUMMYFUNCTION("""COMPUTED_VALUE"""),227)</f>
        <v>227</v>
      </c>
      <c r="P143" s="1">
        <f ca="1">IFERROR(__xludf.DUMMYFUNCTION("""COMPUTED_VALUE"""),102.8)</f>
        <v>102.8</v>
      </c>
      <c r="Q143" s="1">
        <f ca="1">IFERROR(__xludf.DUMMYFUNCTION("""COMPUTED_VALUE"""),187)</f>
        <v>187</v>
      </c>
      <c r="R143" s="1">
        <f ca="1">IFERROR(__xludf.DUMMYFUNCTION("""COMPUTED_VALUE"""),106.2)</f>
        <v>106.2</v>
      </c>
      <c r="S143" s="1">
        <f ca="1">IFERROR(__xludf.DUMMYFUNCTION("""COMPUTED_VALUE"""),275)</f>
        <v>275</v>
      </c>
      <c r="T143" s="1" t="str">
        <f ca="1">IFERROR(__xludf.DUMMYFUNCTION("""COMPUTED_VALUE"""),"+5.05")</f>
        <v>+5.05</v>
      </c>
      <c r="U143" s="1">
        <f ca="1">IFERROR(__xludf.DUMMYFUNCTION("""COMPUTED_VALUE"""),55)</f>
        <v>55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IFERROR(__xludf.DUMMYFUNCTION("""COMPUTED_VALUE"""),"Georgia Southern")</f>
        <v>Georgia Southern</v>
      </c>
      <c r="C144" s="1" t="str">
        <f ca="1">IFERROR(__xludf.DUMMYFUNCTION("""COMPUTED_VALUE"""),"SC")</f>
        <v>SC</v>
      </c>
      <c r="D144" s="1" t="str">
        <f ca="1">IFERROR(__xludf.DUMMYFUNCTION("""COMPUTED_VALUE"""),"14-12")</f>
        <v>14-12</v>
      </c>
      <c r="E144" s="1" t="str">
        <f ca="1">IFERROR(__xludf.DUMMYFUNCTION("""COMPUTED_VALUE"""),"+2.55")</f>
        <v>+2.55</v>
      </c>
      <c r="F144" s="1">
        <f ca="1">IFERROR(__xludf.DUMMYFUNCTION("""COMPUTED_VALUE"""),107)</f>
        <v>107</v>
      </c>
      <c r="G144" s="1">
        <f ca="1">IFERROR(__xludf.DUMMYFUNCTION("""COMPUTED_VALUE"""),103)</f>
        <v>103</v>
      </c>
      <c r="H144" s="1">
        <f ca="1">IFERROR(__xludf.DUMMYFUNCTION("""COMPUTED_VALUE"""),104.5)</f>
        <v>104.5</v>
      </c>
      <c r="I144" s="1">
        <f ca="1">IFERROR(__xludf.DUMMYFUNCTION("""COMPUTED_VALUE"""),199)</f>
        <v>199</v>
      </c>
      <c r="J144" s="1">
        <f ca="1">IFERROR(__xludf.DUMMYFUNCTION("""COMPUTED_VALUE"""),74.4)</f>
        <v>74.400000000000006</v>
      </c>
      <c r="K144" s="1">
        <f ca="1">IFERROR(__xludf.DUMMYFUNCTION("""COMPUTED_VALUE"""),9)</f>
        <v>9</v>
      </c>
      <c r="L144" s="1">
        <f ca="1">IFERROR(__xludf.DUMMYFUNCTION("""COMPUTED_VALUE"""),-0.051)</f>
        <v>-5.0999999999999997E-2</v>
      </c>
      <c r="M144" s="1">
        <f ca="1">IFERROR(__xludf.DUMMYFUNCTION("""COMPUTED_VALUE"""),274)</f>
        <v>274</v>
      </c>
      <c r="N144" s="1">
        <f ca="1">IFERROR(__xludf.DUMMYFUNCTION("""COMPUTED_VALUE"""),-2.18)</f>
        <v>-2.1800000000000002</v>
      </c>
      <c r="O144" s="1">
        <f ca="1">IFERROR(__xludf.DUMMYFUNCTION("""COMPUTED_VALUE"""),206)</f>
        <v>206</v>
      </c>
      <c r="P144" s="1">
        <f ca="1">IFERROR(__xludf.DUMMYFUNCTION("""COMPUTED_VALUE"""),100.9)</f>
        <v>100.9</v>
      </c>
      <c r="Q144" s="1">
        <f ca="1">IFERROR(__xludf.DUMMYFUNCTION("""COMPUTED_VALUE"""),232)</f>
        <v>232</v>
      </c>
      <c r="R144" s="1">
        <f ca="1">IFERROR(__xludf.DUMMYFUNCTION("""COMPUTED_VALUE"""),103.1)</f>
        <v>103.1</v>
      </c>
      <c r="S144" s="1">
        <f ca="1">IFERROR(__xludf.DUMMYFUNCTION("""COMPUTED_VALUE"""),150)</f>
        <v>150</v>
      </c>
      <c r="T144" s="1">
        <f ca="1">IFERROR(__xludf.DUMMYFUNCTION("""COMPUTED_VALUE"""),-5.57)</f>
        <v>-5.57</v>
      </c>
      <c r="U144" s="1">
        <f ca="1">IFERROR(__xludf.DUMMYFUNCTION("""COMPUTED_VALUE"""),284)</f>
        <v>284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IFERROR(__xludf.DUMMYFUNCTION("""COMPUTED_VALUE"""),"North Carolina")</f>
        <v>North Carolina</v>
      </c>
      <c r="C145" s="1" t="str">
        <f ca="1">IFERROR(__xludf.DUMMYFUNCTION("""COMPUTED_VALUE"""),"ACC")</f>
        <v>ACC</v>
      </c>
      <c r="D145" s="2">
        <f ca="1">IFERROR(__xludf.DUMMYFUNCTION("""COMPUTED_VALUE"""),44793)</f>
        <v>44793</v>
      </c>
      <c r="E145" s="1" t="str">
        <f ca="1">IFERROR(__xludf.DUMMYFUNCTION("""COMPUTED_VALUE"""),"+2.53")</f>
        <v>+2.53</v>
      </c>
      <c r="F145" s="1">
        <f ca="1">IFERROR(__xludf.DUMMYFUNCTION("""COMPUTED_VALUE"""),105.8)</f>
        <v>105.8</v>
      </c>
      <c r="G145" s="1">
        <f ca="1">IFERROR(__xludf.DUMMYFUNCTION("""COMPUTED_VALUE"""),119)</f>
        <v>119</v>
      </c>
      <c r="H145" s="1">
        <f ca="1">IFERROR(__xludf.DUMMYFUNCTION("""COMPUTED_VALUE"""),103.2)</f>
        <v>103.2</v>
      </c>
      <c r="I145" s="1">
        <f ca="1">IFERROR(__xludf.DUMMYFUNCTION("""COMPUTED_VALUE"""),168)</f>
        <v>168</v>
      </c>
      <c r="J145" s="1">
        <f ca="1">IFERROR(__xludf.DUMMYFUNCTION("""COMPUTED_VALUE"""),70)</f>
        <v>70</v>
      </c>
      <c r="K145" s="1">
        <f ca="1">IFERROR(__xludf.DUMMYFUNCTION("""COMPUTED_VALUE"""),92)</f>
        <v>92</v>
      </c>
      <c r="L145" s="1">
        <f ca="1">IFERROR(__xludf.DUMMYFUNCTION("""COMPUTED_VALUE"""),-0.065)</f>
        <v>-6.5000000000000002E-2</v>
      </c>
      <c r="M145" s="1">
        <f ca="1">IFERROR(__xludf.DUMMYFUNCTION("""COMPUTED_VALUE"""),294)</f>
        <v>294</v>
      </c>
      <c r="N145" s="1" t="str">
        <f ca="1">IFERROR(__xludf.DUMMYFUNCTION("""COMPUTED_VALUE"""),"+11.37")</f>
        <v>+11.37</v>
      </c>
      <c r="O145" s="1">
        <f ca="1">IFERROR(__xludf.DUMMYFUNCTION("""COMPUTED_VALUE"""),7)</f>
        <v>7</v>
      </c>
      <c r="P145" s="1">
        <f ca="1">IFERROR(__xludf.DUMMYFUNCTION("""COMPUTED_VALUE"""),110.1)</f>
        <v>110.1</v>
      </c>
      <c r="Q145" s="1">
        <f ca="1">IFERROR(__xludf.DUMMYFUNCTION("""COMPUTED_VALUE"""),8)</f>
        <v>8</v>
      </c>
      <c r="R145" s="1">
        <f ca="1">IFERROR(__xludf.DUMMYFUNCTION("""COMPUTED_VALUE"""),98.7)</f>
        <v>98.7</v>
      </c>
      <c r="S145" s="1">
        <f ca="1">IFERROR(__xludf.DUMMYFUNCTION("""COMPUTED_VALUE"""),17)</f>
        <v>17</v>
      </c>
      <c r="T145" s="1" t="str">
        <f ca="1">IFERROR(__xludf.DUMMYFUNCTION("""COMPUTED_VALUE"""),"+1.79")</f>
        <v>+1.79</v>
      </c>
      <c r="U145" s="1">
        <f ca="1">IFERROR(__xludf.DUMMYFUNCTION("""COMPUTED_VALUE"""),116)</f>
        <v>116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IFERROR(__xludf.DUMMYFUNCTION("""COMPUTED_VALUE"""),"Chattanooga")</f>
        <v>Chattanooga</v>
      </c>
      <c r="C146" s="1" t="str">
        <f ca="1">IFERROR(__xludf.DUMMYFUNCTION("""COMPUTED_VALUE"""),"SC")</f>
        <v>SC</v>
      </c>
      <c r="D146" s="1" t="str">
        <f ca="1">IFERROR(__xludf.DUMMYFUNCTION("""COMPUTED_VALUE"""),"14-14")</f>
        <v>14-14</v>
      </c>
      <c r="E146" s="1" t="str">
        <f ca="1">IFERROR(__xludf.DUMMYFUNCTION("""COMPUTED_VALUE"""),"+2.36")</f>
        <v>+2.36</v>
      </c>
      <c r="F146" s="1">
        <f ca="1">IFERROR(__xludf.DUMMYFUNCTION("""COMPUTED_VALUE"""),103.7)</f>
        <v>103.7</v>
      </c>
      <c r="G146" s="1">
        <f ca="1">IFERROR(__xludf.DUMMYFUNCTION("""COMPUTED_VALUE"""),151)</f>
        <v>151</v>
      </c>
      <c r="H146" s="1">
        <f ca="1">IFERROR(__xludf.DUMMYFUNCTION("""COMPUTED_VALUE"""),101.3)</f>
        <v>101.3</v>
      </c>
      <c r="I146" s="1">
        <f ca="1">IFERROR(__xludf.DUMMYFUNCTION("""COMPUTED_VALUE"""),127)</f>
        <v>127</v>
      </c>
      <c r="J146" s="1">
        <f ca="1">IFERROR(__xludf.DUMMYFUNCTION("""COMPUTED_VALUE"""),69.2)</f>
        <v>69.2</v>
      </c>
      <c r="K146" s="1">
        <f ca="1">IFERROR(__xludf.DUMMYFUNCTION("""COMPUTED_VALUE"""),119)</f>
        <v>119</v>
      </c>
      <c r="L146" s="1">
        <f ca="1">IFERROR(__xludf.DUMMYFUNCTION("""COMPUTED_VALUE"""),-0.012)</f>
        <v>-1.2E-2</v>
      </c>
      <c r="M146" s="1">
        <f ca="1">IFERROR(__xludf.DUMMYFUNCTION("""COMPUTED_VALUE"""),193)</f>
        <v>193</v>
      </c>
      <c r="N146" s="1" t="str">
        <f ca="1">IFERROR(__xludf.DUMMYFUNCTION("""COMPUTED_VALUE"""),"+1.23")</f>
        <v>+1.23</v>
      </c>
      <c r="O146" s="1">
        <f ca="1">IFERROR(__xludf.DUMMYFUNCTION("""COMPUTED_VALUE"""),131)</f>
        <v>131</v>
      </c>
      <c r="P146" s="1">
        <f ca="1">IFERROR(__xludf.DUMMYFUNCTION("""COMPUTED_VALUE"""),103.6)</f>
        <v>103.6</v>
      </c>
      <c r="Q146" s="1">
        <f ca="1">IFERROR(__xludf.DUMMYFUNCTION("""COMPUTED_VALUE"""),155)</f>
        <v>155</v>
      </c>
      <c r="R146" s="1">
        <f ca="1">IFERROR(__xludf.DUMMYFUNCTION("""COMPUTED_VALUE"""),102.4)</f>
        <v>102.4</v>
      </c>
      <c r="S146" s="1">
        <f ca="1">IFERROR(__xludf.DUMMYFUNCTION("""COMPUTED_VALUE"""),120)</f>
        <v>120</v>
      </c>
      <c r="T146" s="1" t="str">
        <f ca="1">IFERROR(__xludf.DUMMYFUNCTION("""COMPUTED_VALUE"""),"+4.69")</f>
        <v>+4.69</v>
      </c>
      <c r="U146" s="1">
        <f ca="1">IFERROR(__xludf.DUMMYFUNCTION("""COMPUTED_VALUE"""),63)</f>
        <v>63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IFERROR(__xludf.DUMMYFUNCTION("""COMPUTED_VALUE"""),"Miami OH")</f>
        <v>Miami OH</v>
      </c>
      <c r="C147" s="1" t="str">
        <f ca="1">IFERROR(__xludf.DUMMYFUNCTION("""COMPUTED_VALUE"""),"MAC")</f>
        <v>MAC</v>
      </c>
      <c r="D147" s="1" t="str">
        <f ca="1">IFERROR(__xludf.DUMMYFUNCTION("""COMPUTED_VALUE"""),"13-18")</f>
        <v>13-18</v>
      </c>
      <c r="E147" s="1" t="str">
        <f ca="1">IFERROR(__xludf.DUMMYFUNCTION("""COMPUTED_VALUE"""),"+2.15")</f>
        <v>+2.15</v>
      </c>
      <c r="F147" s="1">
        <f ca="1">IFERROR(__xludf.DUMMYFUNCTION("""COMPUTED_VALUE"""),105.4)</f>
        <v>105.4</v>
      </c>
      <c r="G147" s="1">
        <f ca="1">IFERROR(__xludf.DUMMYFUNCTION("""COMPUTED_VALUE"""),124)</f>
        <v>124</v>
      </c>
      <c r="H147" s="1">
        <f ca="1">IFERROR(__xludf.DUMMYFUNCTION("""COMPUTED_VALUE"""),103.3)</f>
        <v>103.3</v>
      </c>
      <c r="I147" s="1">
        <f ca="1">IFERROR(__xludf.DUMMYFUNCTION("""COMPUTED_VALUE"""),169)</f>
        <v>169</v>
      </c>
      <c r="J147" s="1">
        <f ca="1">IFERROR(__xludf.DUMMYFUNCTION("""COMPUTED_VALUE"""),60.5)</f>
        <v>60.5</v>
      </c>
      <c r="K147" s="1">
        <f ca="1">IFERROR(__xludf.DUMMYFUNCTION("""COMPUTED_VALUE"""),321)</f>
        <v>321</v>
      </c>
      <c r="L147" s="1">
        <f ca="1">IFERROR(__xludf.DUMMYFUNCTION("""COMPUTED_VALUE"""),-0.004)</f>
        <v>-4.0000000000000001E-3</v>
      </c>
      <c r="M147" s="1">
        <f ca="1">IFERROR(__xludf.DUMMYFUNCTION("""COMPUTED_VALUE"""),176)</f>
        <v>176</v>
      </c>
      <c r="N147" s="1" t="str">
        <f ca="1">IFERROR(__xludf.DUMMYFUNCTION("""COMPUTED_VALUE"""),"+4.99")</f>
        <v>+4.99</v>
      </c>
      <c r="O147" s="1">
        <f ca="1">IFERROR(__xludf.DUMMYFUNCTION("""COMPUTED_VALUE"""),79)</f>
        <v>79</v>
      </c>
      <c r="P147" s="1">
        <f ca="1">IFERROR(__xludf.DUMMYFUNCTION("""COMPUTED_VALUE"""),107.6)</f>
        <v>107.6</v>
      </c>
      <c r="Q147" s="1">
        <f ca="1">IFERROR(__xludf.DUMMYFUNCTION("""COMPUTED_VALUE"""),40)</f>
        <v>40</v>
      </c>
      <c r="R147" s="1">
        <f ca="1">IFERROR(__xludf.DUMMYFUNCTION("""COMPUTED_VALUE"""),102.6)</f>
        <v>102.6</v>
      </c>
      <c r="S147" s="1">
        <f ca="1">IFERROR(__xludf.DUMMYFUNCTION("""COMPUTED_VALUE"""),133)</f>
        <v>133</v>
      </c>
      <c r="T147" s="1" t="str">
        <f ca="1">IFERROR(__xludf.DUMMYFUNCTION("""COMPUTED_VALUE"""),"+8.76")</f>
        <v>+8.76</v>
      </c>
      <c r="U147" s="1">
        <f ca="1">IFERROR(__xludf.DUMMYFUNCTION("""COMPUTED_VALUE"""),16)</f>
        <v>16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IFERROR(__xludf.DUMMYFUNCTION("""COMPUTED_VALUE"""),"Illinois St.")</f>
        <v>Illinois St.</v>
      </c>
      <c r="C148" s="1" t="str">
        <f ca="1">IFERROR(__xludf.DUMMYFUNCTION("""COMPUTED_VALUE"""),"MVC")</f>
        <v>MVC</v>
      </c>
      <c r="D148" s="1" t="str">
        <f ca="1">IFERROR(__xludf.DUMMYFUNCTION("""COMPUTED_VALUE"""),"17-14")</f>
        <v>17-14</v>
      </c>
      <c r="E148" s="1" t="str">
        <f ca="1">IFERROR(__xludf.DUMMYFUNCTION("""COMPUTED_VALUE"""),"+2.14")</f>
        <v>+2.14</v>
      </c>
      <c r="F148" s="1">
        <f ca="1">IFERROR(__xludf.DUMMYFUNCTION("""COMPUTED_VALUE"""),103.1)</f>
        <v>103.1</v>
      </c>
      <c r="G148" s="1">
        <f ca="1">IFERROR(__xludf.DUMMYFUNCTION("""COMPUTED_VALUE"""),159)</f>
        <v>159</v>
      </c>
      <c r="H148" s="1">
        <f ca="1">IFERROR(__xludf.DUMMYFUNCTION("""COMPUTED_VALUE"""),100.9)</f>
        <v>100.9</v>
      </c>
      <c r="I148" s="1">
        <f ca="1">IFERROR(__xludf.DUMMYFUNCTION("""COMPUTED_VALUE"""),121)</f>
        <v>121</v>
      </c>
      <c r="J148" s="1">
        <f ca="1">IFERROR(__xludf.DUMMYFUNCTION("""COMPUTED_VALUE"""),66.1)</f>
        <v>66.099999999999994</v>
      </c>
      <c r="K148" s="1">
        <f ca="1">IFERROR(__xludf.DUMMYFUNCTION("""COMPUTED_VALUE"""),237)</f>
        <v>237</v>
      </c>
      <c r="L148" s="1" t="str">
        <f ca="1">IFERROR(__xludf.DUMMYFUNCTION("""COMPUTED_VALUE"""),"+.072")</f>
        <v>+.072</v>
      </c>
      <c r="M148" s="1">
        <f ca="1">IFERROR(__xludf.DUMMYFUNCTION("""COMPUTED_VALUE"""),22)</f>
        <v>22</v>
      </c>
      <c r="N148" s="1" t="str">
        <f ca="1">IFERROR(__xludf.DUMMYFUNCTION("""COMPUTED_VALUE"""),"+2.03")</f>
        <v>+2.03</v>
      </c>
      <c r="O148" s="1">
        <f ca="1">IFERROR(__xludf.DUMMYFUNCTION("""COMPUTED_VALUE"""),121)</f>
        <v>121</v>
      </c>
      <c r="P148" s="1">
        <f ca="1">IFERROR(__xludf.DUMMYFUNCTION("""COMPUTED_VALUE"""),105.3)</f>
        <v>105.3</v>
      </c>
      <c r="Q148" s="1">
        <f ca="1">IFERROR(__xludf.DUMMYFUNCTION("""COMPUTED_VALUE"""),100)</f>
        <v>100</v>
      </c>
      <c r="R148" s="1">
        <f ca="1">IFERROR(__xludf.DUMMYFUNCTION("""COMPUTED_VALUE"""),103.3)</f>
        <v>103.3</v>
      </c>
      <c r="S148" s="1">
        <f ca="1">IFERROR(__xludf.DUMMYFUNCTION("""COMPUTED_VALUE"""),160)</f>
        <v>160</v>
      </c>
      <c r="T148" s="1" t="str">
        <f ca="1">IFERROR(__xludf.DUMMYFUNCTION("""COMPUTED_VALUE"""),"+5.00")</f>
        <v>+5.00</v>
      </c>
      <c r="U148" s="1">
        <f ca="1">IFERROR(__xludf.DUMMYFUNCTION("""COMPUTED_VALUE"""),58)</f>
        <v>58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IFERROR(__xludf.DUMMYFUNCTION("""COMPUTED_VALUE"""),"Arkansas St.")</f>
        <v>Arkansas St.</v>
      </c>
      <c r="C149" s="1" t="str">
        <f ca="1">IFERROR(__xludf.DUMMYFUNCTION("""COMPUTED_VALUE"""),"SB")</f>
        <v>SB</v>
      </c>
      <c r="D149" s="1" t="str">
        <f ca="1">IFERROR(__xludf.DUMMYFUNCTION("""COMPUTED_VALUE"""),"13-16")</f>
        <v>13-16</v>
      </c>
      <c r="E149" s="1" t="str">
        <f ca="1">IFERROR(__xludf.DUMMYFUNCTION("""COMPUTED_VALUE"""),"+2.13")</f>
        <v>+2.13</v>
      </c>
      <c r="F149" s="1">
        <f ca="1">IFERROR(__xludf.DUMMYFUNCTION("""COMPUTED_VALUE"""),105.2)</f>
        <v>105.2</v>
      </c>
      <c r="G149" s="1">
        <f ca="1">IFERROR(__xludf.DUMMYFUNCTION("""COMPUTED_VALUE"""),129)</f>
        <v>129</v>
      </c>
      <c r="H149" s="1">
        <f ca="1">IFERROR(__xludf.DUMMYFUNCTION("""COMPUTED_VALUE"""),103.1)</f>
        <v>103.1</v>
      </c>
      <c r="I149" s="1">
        <f ca="1">IFERROR(__xludf.DUMMYFUNCTION("""COMPUTED_VALUE"""),165)</f>
        <v>165</v>
      </c>
      <c r="J149" s="1">
        <f ca="1">IFERROR(__xludf.DUMMYFUNCTION("""COMPUTED_VALUE"""),64.2)</f>
        <v>64.2</v>
      </c>
      <c r="K149" s="1">
        <f ca="1">IFERROR(__xludf.DUMMYFUNCTION("""COMPUTED_VALUE"""),289)</f>
        <v>289</v>
      </c>
      <c r="L149" s="1">
        <f ca="1">IFERROR(__xludf.DUMMYFUNCTION("""COMPUTED_VALUE"""),-0.135)</f>
        <v>-0.13500000000000001</v>
      </c>
      <c r="M149" s="1">
        <f ca="1">IFERROR(__xludf.DUMMYFUNCTION("""COMPUTED_VALUE"""),326)</f>
        <v>326</v>
      </c>
      <c r="N149" s="1">
        <f ca="1">IFERROR(__xludf.DUMMYFUNCTION("""COMPUTED_VALUE"""),-1.64)</f>
        <v>-1.64</v>
      </c>
      <c r="O149" s="1">
        <f ca="1">IFERROR(__xludf.DUMMYFUNCTION("""COMPUTED_VALUE"""),194)</f>
        <v>194</v>
      </c>
      <c r="P149" s="1">
        <f ca="1">IFERROR(__xludf.DUMMYFUNCTION("""COMPUTED_VALUE"""),101.8)</f>
        <v>101.8</v>
      </c>
      <c r="Q149" s="1">
        <f ca="1">IFERROR(__xludf.DUMMYFUNCTION("""COMPUTED_VALUE"""),217)</f>
        <v>217</v>
      </c>
      <c r="R149" s="1">
        <f ca="1">IFERROR(__xludf.DUMMYFUNCTION("""COMPUTED_VALUE"""),103.4)</f>
        <v>103.4</v>
      </c>
      <c r="S149" s="1">
        <f ca="1">IFERROR(__xludf.DUMMYFUNCTION("""COMPUTED_VALUE"""),165)</f>
        <v>165</v>
      </c>
      <c r="T149" s="1">
        <f ca="1">IFERROR(__xludf.DUMMYFUNCTION("""COMPUTED_VALUE"""),-3.55)</f>
        <v>-3.55</v>
      </c>
      <c r="U149" s="1">
        <f ca="1">IFERROR(__xludf.DUMMYFUNCTION("""COMPUTED_VALUE"""),249)</f>
        <v>249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IFERROR(__xludf.DUMMYFUNCTION("""COMPUTED_VALUE"""),"Virginia Tech")</f>
        <v>Virginia Tech</v>
      </c>
      <c r="C150" s="1" t="str">
        <f ca="1">IFERROR(__xludf.DUMMYFUNCTION("""COMPUTED_VALUE"""),"BE")</f>
        <v>BE</v>
      </c>
      <c r="D150" s="2">
        <f ca="1">IFERROR(__xludf.DUMMYFUNCTION("""COMPUTED_VALUE"""),44852)</f>
        <v>44852</v>
      </c>
      <c r="E150" s="1" t="str">
        <f ca="1">IFERROR(__xludf.DUMMYFUNCTION("""COMPUTED_VALUE"""),"+2.10")</f>
        <v>+2.10</v>
      </c>
      <c r="F150" s="1">
        <f ca="1">IFERROR(__xludf.DUMMYFUNCTION("""COMPUTED_VALUE"""),104.3)</f>
        <v>104.3</v>
      </c>
      <c r="G150" s="1">
        <f ca="1">IFERROR(__xludf.DUMMYFUNCTION("""COMPUTED_VALUE"""),142)</f>
        <v>142</v>
      </c>
      <c r="H150" s="1">
        <f ca="1">IFERROR(__xludf.DUMMYFUNCTION("""COMPUTED_VALUE"""),102.2)</f>
        <v>102.2</v>
      </c>
      <c r="I150" s="1">
        <f ca="1">IFERROR(__xludf.DUMMYFUNCTION("""COMPUTED_VALUE"""),146)</f>
        <v>146</v>
      </c>
      <c r="J150" s="1">
        <f ca="1">IFERROR(__xludf.DUMMYFUNCTION("""COMPUTED_VALUE"""),67.3)</f>
        <v>67.3</v>
      </c>
      <c r="K150" s="1">
        <f ca="1">IFERROR(__xludf.DUMMYFUNCTION("""COMPUTED_VALUE"""),202)</f>
        <v>202</v>
      </c>
      <c r="L150" s="1">
        <f ca="1">IFERROR(__xludf.DUMMYFUNCTION("""COMPUTED_VALUE"""),-0.098)</f>
        <v>-9.8000000000000004E-2</v>
      </c>
      <c r="M150" s="1">
        <f ca="1">IFERROR(__xludf.DUMMYFUNCTION("""COMPUTED_VALUE"""),315)</f>
        <v>315</v>
      </c>
      <c r="N150" s="1" t="str">
        <f ca="1">IFERROR(__xludf.DUMMYFUNCTION("""COMPUTED_VALUE"""),"+4.00")</f>
        <v>+4.00</v>
      </c>
      <c r="O150" s="1">
        <f ca="1">IFERROR(__xludf.DUMMYFUNCTION("""COMPUTED_VALUE"""),94)</f>
        <v>94</v>
      </c>
      <c r="P150" s="1">
        <f ca="1">IFERROR(__xludf.DUMMYFUNCTION("""COMPUTED_VALUE"""),104.1)</f>
        <v>104.1</v>
      </c>
      <c r="Q150" s="1">
        <f ca="1">IFERROR(__xludf.DUMMYFUNCTION("""COMPUTED_VALUE"""),138)</f>
        <v>138</v>
      </c>
      <c r="R150" s="1">
        <f ca="1">IFERROR(__xludf.DUMMYFUNCTION("""COMPUTED_VALUE"""),100.1)</f>
        <v>100.1</v>
      </c>
      <c r="S150" s="1">
        <f ca="1">IFERROR(__xludf.DUMMYFUNCTION("""COMPUTED_VALUE"""),56)</f>
        <v>56</v>
      </c>
      <c r="T150" s="1">
        <f ca="1">IFERROR(__xludf.DUMMYFUNCTION("""COMPUTED_VALUE"""),-5.08)</f>
        <v>-5.08</v>
      </c>
      <c r="U150" s="1">
        <f ca="1">IFERROR(__xludf.DUMMYFUNCTION("""COMPUTED_VALUE"""),275)</f>
        <v>275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IFERROR(__xludf.DUMMYFUNCTION("""COMPUTED_VALUE"""),"Oakland")</f>
        <v>Oakland</v>
      </c>
      <c r="C151" s="1" t="str">
        <f ca="1">IFERROR(__xludf.DUMMYFUNCTION("""COMPUTED_VALUE"""),"MCon")</f>
        <v>MCon</v>
      </c>
      <c r="D151" s="1" t="str">
        <f ca="1">IFERROR(__xludf.DUMMYFUNCTION("""COMPUTED_VALUE"""),"16-13")</f>
        <v>16-13</v>
      </c>
      <c r="E151" s="1" t="str">
        <f ca="1">IFERROR(__xludf.DUMMYFUNCTION("""COMPUTED_VALUE"""),"+1.91")</f>
        <v>+1.91</v>
      </c>
      <c r="F151" s="1">
        <f ca="1">IFERROR(__xludf.DUMMYFUNCTION("""COMPUTED_VALUE"""),107.6)</f>
        <v>107.6</v>
      </c>
      <c r="G151" s="1">
        <f ca="1">IFERROR(__xludf.DUMMYFUNCTION("""COMPUTED_VALUE"""),95)</f>
        <v>95</v>
      </c>
      <c r="H151" s="1">
        <f ca="1">IFERROR(__xludf.DUMMYFUNCTION("""COMPUTED_VALUE"""),105.7)</f>
        <v>105.7</v>
      </c>
      <c r="I151" s="1">
        <f ca="1">IFERROR(__xludf.DUMMYFUNCTION("""COMPUTED_VALUE"""),219)</f>
        <v>219</v>
      </c>
      <c r="J151" s="1">
        <f ca="1">IFERROR(__xludf.DUMMYFUNCTION("""COMPUTED_VALUE"""),70.3)</f>
        <v>70.3</v>
      </c>
      <c r="K151" s="1">
        <f ca="1">IFERROR(__xludf.DUMMYFUNCTION("""COMPUTED_VALUE"""),80)</f>
        <v>80</v>
      </c>
      <c r="L151" s="1" t="str">
        <f ca="1">IFERROR(__xludf.DUMMYFUNCTION("""COMPUTED_VALUE"""),"+.033")</f>
        <v>+.033</v>
      </c>
      <c r="M151" s="1">
        <f ca="1">IFERROR(__xludf.DUMMYFUNCTION("""COMPUTED_VALUE"""),91)</f>
        <v>91</v>
      </c>
      <c r="N151" s="1">
        <f ca="1">IFERROR(__xludf.DUMMYFUNCTION("""COMPUTED_VALUE"""),-0.1)</f>
        <v>-0.1</v>
      </c>
      <c r="O151" s="1">
        <f ca="1">IFERROR(__xludf.DUMMYFUNCTION("""COMPUTED_VALUE"""),160)</f>
        <v>160</v>
      </c>
      <c r="P151" s="1">
        <f ca="1">IFERROR(__xludf.DUMMYFUNCTION("""COMPUTED_VALUE"""),104.2)</f>
        <v>104.2</v>
      </c>
      <c r="Q151" s="1">
        <f ca="1">IFERROR(__xludf.DUMMYFUNCTION("""COMPUTED_VALUE"""),132)</f>
        <v>132</v>
      </c>
      <c r="R151" s="1">
        <f ca="1">IFERROR(__xludf.DUMMYFUNCTION("""COMPUTED_VALUE"""),104.3)</f>
        <v>104.3</v>
      </c>
      <c r="S151" s="1">
        <f ca="1">IFERROR(__xludf.DUMMYFUNCTION("""COMPUTED_VALUE"""),201)</f>
        <v>201</v>
      </c>
      <c r="T151" s="1" t="str">
        <f ca="1">IFERROR(__xludf.DUMMYFUNCTION("""COMPUTED_VALUE"""),"+3.38")</f>
        <v>+3.38</v>
      </c>
      <c r="U151" s="1">
        <f ca="1">IFERROR(__xludf.DUMMYFUNCTION("""COMPUTED_VALUE"""),81)</f>
        <v>81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IFERROR(__xludf.DUMMYFUNCTION("""COMPUTED_VALUE"""),"Weber St.")</f>
        <v>Weber St.</v>
      </c>
      <c r="C152" s="1" t="str">
        <f ca="1">IFERROR(__xludf.DUMMYFUNCTION("""COMPUTED_VALUE"""),"BSky")</f>
        <v>BSky</v>
      </c>
      <c r="D152" s="1" t="str">
        <f ca="1">IFERROR(__xludf.DUMMYFUNCTION("""COMPUTED_VALUE"""),"16-11")</f>
        <v>16-11</v>
      </c>
      <c r="E152" s="1" t="str">
        <f ca="1">IFERROR(__xludf.DUMMYFUNCTION("""COMPUTED_VALUE"""),"+1.76")</f>
        <v>+1.76</v>
      </c>
      <c r="F152" s="1">
        <f ca="1">IFERROR(__xludf.DUMMYFUNCTION("""COMPUTED_VALUE"""),106.1)</f>
        <v>106.1</v>
      </c>
      <c r="G152" s="1">
        <f ca="1">IFERROR(__xludf.DUMMYFUNCTION("""COMPUTED_VALUE"""),113)</f>
        <v>113</v>
      </c>
      <c r="H152" s="1">
        <f ca="1">IFERROR(__xludf.DUMMYFUNCTION("""COMPUTED_VALUE"""),104.4)</f>
        <v>104.4</v>
      </c>
      <c r="I152" s="1">
        <f ca="1">IFERROR(__xludf.DUMMYFUNCTION("""COMPUTED_VALUE"""),195)</f>
        <v>195</v>
      </c>
      <c r="J152" s="1">
        <f ca="1">IFERROR(__xludf.DUMMYFUNCTION("""COMPUTED_VALUE"""),68.1)</f>
        <v>68.099999999999994</v>
      </c>
      <c r="K152" s="1">
        <f ca="1">IFERROR(__xludf.DUMMYFUNCTION("""COMPUTED_VALUE"""),164)</f>
        <v>164</v>
      </c>
      <c r="L152" s="1">
        <f ca="1">IFERROR(__xludf.DUMMYFUNCTION("""COMPUTED_VALUE"""),-0.011)</f>
        <v>-1.0999999999999999E-2</v>
      </c>
      <c r="M152" s="1">
        <f ca="1">IFERROR(__xludf.DUMMYFUNCTION("""COMPUTED_VALUE"""),192)</f>
        <v>192</v>
      </c>
      <c r="N152" s="1">
        <f ca="1">IFERROR(__xludf.DUMMYFUNCTION("""COMPUTED_VALUE"""),-2.94)</f>
        <v>-2.94</v>
      </c>
      <c r="O152" s="1">
        <f ca="1">IFERROR(__xludf.DUMMYFUNCTION("""COMPUTED_VALUE"""),223)</f>
        <v>223</v>
      </c>
      <c r="P152" s="1">
        <f ca="1">IFERROR(__xludf.DUMMYFUNCTION("""COMPUTED_VALUE"""),101.2)</f>
        <v>101.2</v>
      </c>
      <c r="Q152" s="1">
        <f ca="1">IFERROR(__xludf.DUMMYFUNCTION("""COMPUTED_VALUE"""),227)</f>
        <v>227</v>
      </c>
      <c r="R152" s="1">
        <f ca="1">IFERROR(__xludf.DUMMYFUNCTION("""COMPUTED_VALUE"""),104.2)</f>
        <v>104.2</v>
      </c>
      <c r="S152" s="1">
        <f ca="1">IFERROR(__xludf.DUMMYFUNCTION("""COMPUTED_VALUE"""),198)</f>
        <v>198</v>
      </c>
      <c r="T152" s="1" t="str">
        <f ca="1">IFERROR(__xludf.DUMMYFUNCTION("""COMPUTED_VALUE"""),"+2.81")</f>
        <v>+2.81</v>
      </c>
      <c r="U152" s="1">
        <f ca="1">IFERROR(__xludf.DUMMYFUNCTION("""COMPUTED_VALUE"""),93)</f>
        <v>93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IFERROR(__xludf.DUMMYFUNCTION("""COMPUTED_VALUE"""),"Princeton")</f>
        <v>Princeton</v>
      </c>
      <c r="C153" s="1" t="str">
        <f ca="1">IFERROR(__xludf.DUMMYFUNCTION("""COMPUTED_VALUE"""),"Ivy")</f>
        <v>Ivy</v>
      </c>
      <c r="D153" s="1" t="str">
        <f ca="1">IFERROR(__xludf.DUMMYFUNCTION("""COMPUTED_VALUE"""),"15-12")</f>
        <v>15-12</v>
      </c>
      <c r="E153" s="1" t="str">
        <f ca="1">IFERROR(__xludf.DUMMYFUNCTION("""COMPUTED_VALUE"""),"+1.47")</f>
        <v>+1.47</v>
      </c>
      <c r="F153" s="1">
        <f ca="1">IFERROR(__xludf.DUMMYFUNCTION("""COMPUTED_VALUE"""),103.7)</f>
        <v>103.7</v>
      </c>
      <c r="G153" s="1">
        <f ca="1">IFERROR(__xludf.DUMMYFUNCTION("""COMPUTED_VALUE"""),152)</f>
        <v>152</v>
      </c>
      <c r="H153" s="1">
        <f ca="1">IFERROR(__xludf.DUMMYFUNCTION("""COMPUTED_VALUE"""),102.2)</f>
        <v>102.2</v>
      </c>
      <c r="I153" s="1">
        <f ca="1">IFERROR(__xludf.DUMMYFUNCTION("""COMPUTED_VALUE"""),147)</f>
        <v>147</v>
      </c>
      <c r="J153" s="1">
        <f ca="1">IFERROR(__xludf.DUMMYFUNCTION("""COMPUTED_VALUE"""),57.7)</f>
        <v>57.7</v>
      </c>
      <c r="K153" s="1">
        <f ca="1">IFERROR(__xludf.DUMMYFUNCTION("""COMPUTED_VALUE"""),325)</f>
        <v>325</v>
      </c>
      <c r="L153" s="1" t="str">
        <f ca="1">IFERROR(__xludf.DUMMYFUNCTION("""COMPUTED_VALUE"""),"+.023")</f>
        <v>+.023</v>
      </c>
      <c r="M153" s="1">
        <f ca="1">IFERROR(__xludf.DUMMYFUNCTION("""COMPUTED_VALUE"""),107)</f>
        <v>107</v>
      </c>
      <c r="N153" s="1">
        <f ca="1">IFERROR(__xludf.DUMMYFUNCTION("""COMPUTED_VALUE"""),-0.75)</f>
        <v>-0.75</v>
      </c>
      <c r="O153" s="1">
        <f ca="1">IFERROR(__xludf.DUMMYFUNCTION("""COMPUTED_VALUE"""),179)</f>
        <v>179</v>
      </c>
      <c r="P153" s="1">
        <f ca="1">IFERROR(__xludf.DUMMYFUNCTION("""COMPUTED_VALUE"""),101.8)</f>
        <v>101.8</v>
      </c>
      <c r="Q153" s="1">
        <f ca="1">IFERROR(__xludf.DUMMYFUNCTION("""COMPUTED_VALUE"""),216)</f>
        <v>216</v>
      </c>
      <c r="R153" s="1">
        <f ca="1">IFERROR(__xludf.DUMMYFUNCTION("""COMPUTED_VALUE"""),102.5)</f>
        <v>102.5</v>
      </c>
      <c r="S153" s="1">
        <f ca="1">IFERROR(__xludf.DUMMYFUNCTION("""COMPUTED_VALUE"""),126)</f>
        <v>126</v>
      </c>
      <c r="T153" s="1" t="str">
        <f ca="1">IFERROR(__xludf.DUMMYFUNCTION("""COMPUTED_VALUE"""),"+4.72")</f>
        <v>+4.72</v>
      </c>
      <c r="U153" s="1">
        <f ca="1">IFERROR(__xludf.DUMMYFUNCTION("""COMPUTED_VALUE"""),62)</f>
        <v>62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IFERROR(__xludf.DUMMYFUNCTION("""COMPUTED_VALUE"""),"Murray St.14")</f>
        <v>Murray St.14</v>
      </c>
      <c r="C154" s="1" t="str">
        <f ca="1">IFERROR(__xludf.DUMMYFUNCTION("""COMPUTED_VALUE"""),"OVC")</f>
        <v>OVC</v>
      </c>
      <c r="D154" s="1" t="str">
        <f ca="1">IFERROR(__xludf.DUMMYFUNCTION("""COMPUTED_VALUE"""),"17-13")</f>
        <v>17-13</v>
      </c>
      <c r="E154" s="1" t="str">
        <f ca="1">IFERROR(__xludf.DUMMYFUNCTION("""COMPUTED_VALUE"""),"+1.35")</f>
        <v>+1.35</v>
      </c>
      <c r="F154" s="1">
        <f ca="1">IFERROR(__xludf.DUMMYFUNCTION("""COMPUTED_VALUE"""),106.8)</f>
        <v>106.8</v>
      </c>
      <c r="G154" s="1">
        <f ca="1">IFERROR(__xludf.DUMMYFUNCTION("""COMPUTED_VALUE"""),106)</f>
        <v>106</v>
      </c>
      <c r="H154" s="1">
        <f ca="1">IFERROR(__xludf.DUMMYFUNCTION("""COMPUTED_VALUE"""),105.5)</f>
        <v>105.5</v>
      </c>
      <c r="I154" s="1">
        <f ca="1">IFERROR(__xludf.DUMMYFUNCTION("""COMPUTED_VALUE"""),215)</f>
        <v>215</v>
      </c>
      <c r="J154" s="1">
        <f ca="1">IFERROR(__xludf.DUMMYFUNCTION("""COMPUTED_VALUE"""),69.2)</f>
        <v>69.2</v>
      </c>
      <c r="K154" s="1">
        <f ca="1">IFERROR(__xludf.DUMMYFUNCTION("""COMPUTED_VALUE"""),122)</f>
        <v>122</v>
      </c>
      <c r="L154" s="1" t="str">
        <f ca="1">IFERROR(__xludf.DUMMYFUNCTION("""COMPUTED_VALUE"""),"+.017")</f>
        <v>+.017</v>
      </c>
      <c r="M154" s="1">
        <f ca="1">IFERROR(__xludf.DUMMYFUNCTION("""COMPUTED_VALUE"""),115)</f>
        <v>115</v>
      </c>
      <c r="N154" s="1">
        <f ca="1">IFERROR(__xludf.DUMMYFUNCTION("""COMPUTED_VALUE"""),-1.74)</f>
        <v>-1.74</v>
      </c>
      <c r="O154" s="1">
        <f ca="1">IFERROR(__xludf.DUMMYFUNCTION("""COMPUTED_VALUE"""),198)</f>
        <v>198</v>
      </c>
      <c r="P154" s="1">
        <f ca="1">IFERROR(__xludf.DUMMYFUNCTION("""COMPUTED_VALUE"""),103.2)</f>
        <v>103.2</v>
      </c>
      <c r="Q154" s="1">
        <f ca="1">IFERROR(__xludf.DUMMYFUNCTION("""COMPUTED_VALUE"""),170)</f>
        <v>170</v>
      </c>
      <c r="R154" s="1">
        <f ca="1">IFERROR(__xludf.DUMMYFUNCTION("""COMPUTED_VALUE"""),104.9)</f>
        <v>104.9</v>
      </c>
      <c r="S154" s="1">
        <f ca="1">IFERROR(__xludf.DUMMYFUNCTION("""COMPUTED_VALUE"""),228)</f>
        <v>228</v>
      </c>
      <c r="T154" s="1" t="str">
        <f ca="1">IFERROR(__xludf.DUMMYFUNCTION("""COMPUTED_VALUE"""),"+3.98")</f>
        <v>+3.98</v>
      </c>
      <c r="U154" s="1">
        <f ca="1">IFERROR(__xludf.DUMMYFUNCTION("""COMPUTED_VALUE"""),76)</f>
        <v>76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IFERROR(__xludf.DUMMYFUNCTION("""COMPUTED_VALUE"""),"La Salle")</f>
        <v>La Salle</v>
      </c>
      <c r="C155" s="1" t="str">
        <f ca="1">IFERROR(__xludf.DUMMYFUNCTION("""COMPUTED_VALUE"""),"A10")</f>
        <v>A10</v>
      </c>
      <c r="D155" s="1" t="str">
        <f ca="1">IFERROR(__xludf.DUMMYFUNCTION("""COMPUTED_VALUE"""),"15-17")</f>
        <v>15-17</v>
      </c>
      <c r="E155" s="1" t="str">
        <f ca="1">IFERROR(__xludf.DUMMYFUNCTION("""COMPUTED_VALUE"""),"+1.32")</f>
        <v>+1.32</v>
      </c>
      <c r="F155" s="1">
        <f ca="1">IFERROR(__xludf.DUMMYFUNCTION("""COMPUTED_VALUE"""),103.9)</f>
        <v>103.9</v>
      </c>
      <c r="G155" s="1">
        <f ca="1">IFERROR(__xludf.DUMMYFUNCTION("""COMPUTED_VALUE"""),147)</f>
        <v>147</v>
      </c>
      <c r="H155" s="1">
        <f ca="1">IFERROR(__xludf.DUMMYFUNCTION("""COMPUTED_VALUE"""),102.6)</f>
        <v>102.6</v>
      </c>
      <c r="I155" s="1">
        <f ca="1">IFERROR(__xludf.DUMMYFUNCTION("""COMPUTED_VALUE"""),157)</f>
        <v>157</v>
      </c>
      <c r="J155" s="1">
        <f ca="1">IFERROR(__xludf.DUMMYFUNCTION("""COMPUTED_VALUE"""),66)</f>
        <v>66</v>
      </c>
      <c r="K155" s="1">
        <f ca="1">IFERROR(__xludf.DUMMYFUNCTION("""COMPUTED_VALUE"""),242)</f>
        <v>242</v>
      </c>
      <c r="L155" s="1" t="str">
        <f ca="1">IFERROR(__xludf.DUMMYFUNCTION("""COMPUTED_VALUE"""),"+.034")</f>
        <v>+.034</v>
      </c>
      <c r="M155" s="1">
        <f ca="1">IFERROR(__xludf.DUMMYFUNCTION("""COMPUTED_VALUE"""),87)</f>
        <v>87</v>
      </c>
      <c r="N155" s="1" t="str">
        <f ca="1">IFERROR(__xludf.DUMMYFUNCTION("""COMPUTED_VALUE"""),"+3.26")</f>
        <v>+3.26</v>
      </c>
      <c r="O155" s="1">
        <f ca="1">IFERROR(__xludf.DUMMYFUNCTION("""COMPUTED_VALUE"""),101)</f>
        <v>101</v>
      </c>
      <c r="P155" s="1">
        <f ca="1">IFERROR(__xludf.DUMMYFUNCTION("""COMPUTED_VALUE"""),104.5)</f>
        <v>104.5</v>
      </c>
      <c r="Q155" s="1">
        <f ca="1">IFERROR(__xludf.DUMMYFUNCTION("""COMPUTED_VALUE"""),121)</f>
        <v>121</v>
      </c>
      <c r="R155" s="1">
        <f ca="1">IFERROR(__xludf.DUMMYFUNCTION("""COMPUTED_VALUE"""),101.2)</f>
        <v>101.2</v>
      </c>
      <c r="S155" s="1">
        <f ca="1">IFERROR(__xludf.DUMMYFUNCTION("""COMPUTED_VALUE"""),84)</f>
        <v>84</v>
      </c>
      <c r="T155" s="1" t="str">
        <f ca="1">IFERROR(__xludf.DUMMYFUNCTION("""COMPUTED_VALUE"""),"+1.97")</f>
        <v>+1.97</v>
      </c>
      <c r="U155" s="1">
        <f ca="1">IFERROR(__xludf.DUMMYFUNCTION("""COMPUTED_VALUE"""),112)</f>
        <v>112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IFERROR(__xludf.DUMMYFUNCTION("""COMPUTED_VALUE"""),"Yale")</f>
        <v>Yale</v>
      </c>
      <c r="C156" s="1" t="str">
        <f ca="1">IFERROR(__xludf.DUMMYFUNCTION("""COMPUTED_VALUE"""),"Ivy")</f>
        <v>Ivy</v>
      </c>
      <c r="D156" s="1" t="str">
        <f ca="1">IFERROR(__xludf.DUMMYFUNCTION("""COMPUTED_VALUE"""),"21-10")</f>
        <v>21-10</v>
      </c>
      <c r="E156" s="1" t="str">
        <f ca="1">IFERROR(__xludf.DUMMYFUNCTION("""COMPUTED_VALUE"""),"+1.09")</f>
        <v>+1.09</v>
      </c>
      <c r="F156" s="1">
        <f ca="1">IFERROR(__xludf.DUMMYFUNCTION("""COMPUTED_VALUE"""),102.9)</f>
        <v>102.9</v>
      </c>
      <c r="G156" s="1">
        <f ca="1">IFERROR(__xludf.DUMMYFUNCTION("""COMPUTED_VALUE"""),163)</f>
        <v>163</v>
      </c>
      <c r="H156" s="1">
        <f ca="1">IFERROR(__xludf.DUMMYFUNCTION("""COMPUTED_VALUE"""),101.8)</f>
        <v>101.8</v>
      </c>
      <c r="I156" s="1">
        <f ca="1">IFERROR(__xludf.DUMMYFUNCTION("""COMPUTED_VALUE"""),139)</f>
        <v>139</v>
      </c>
      <c r="J156" s="1">
        <f ca="1">IFERROR(__xludf.DUMMYFUNCTION("""COMPUTED_VALUE"""),73.1)</f>
        <v>73.099999999999994</v>
      </c>
      <c r="K156" s="1">
        <f ca="1">IFERROR(__xludf.DUMMYFUNCTION("""COMPUTED_VALUE"""),21)</f>
        <v>21</v>
      </c>
      <c r="L156" s="1" t="str">
        <f ca="1">IFERROR(__xludf.DUMMYFUNCTION("""COMPUTED_VALUE"""),"+.040")</f>
        <v>+.040</v>
      </c>
      <c r="M156" s="1">
        <f ca="1">IFERROR(__xludf.DUMMYFUNCTION("""COMPUTED_VALUE"""),76)</f>
        <v>76</v>
      </c>
      <c r="N156" s="1">
        <f ca="1">IFERROR(__xludf.DUMMYFUNCTION("""COMPUTED_VALUE"""),-6.19)</f>
        <v>-6.19</v>
      </c>
      <c r="O156" s="1">
        <f ca="1">IFERROR(__xludf.DUMMYFUNCTION("""COMPUTED_VALUE"""),259)</f>
        <v>259</v>
      </c>
      <c r="P156" s="1">
        <f ca="1">IFERROR(__xludf.DUMMYFUNCTION("""COMPUTED_VALUE"""),99.6)</f>
        <v>99.6</v>
      </c>
      <c r="Q156" s="1">
        <f ca="1">IFERROR(__xludf.DUMMYFUNCTION("""COMPUTED_VALUE"""),257)</f>
        <v>257</v>
      </c>
      <c r="R156" s="1">
        <f ca="1">IFERROR(__xludf.DUMMYFUNCTION("""COMPUTED_VALUE"""),105.8)</f>
        <v>105.8</v>
      </c>
      <c r="S156" s="1">
        <f ca="1">IFERROR(__xludf.DUMMYFUNCTION("""COMPUTED_VALUE"""),257)</f>
        <v>257</v>
      </c>
      <c r="T156" s="1">
        <f ca="1">IFERROR(__xludf.DUMMYFUNCTION("""COMPUTED_VALUE"""),-10.05)</f>
        <v>-10.050000000000001</v>
      </c>
      <c r="U156" s="1">
        <f ca="1">IFERROR(__xludf.DUMMYFUNCTION("""COMPUTED_VALUE"""),322)</f>
        <v>322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IFERROR(__xludf.DUMMYFUNCTION("""COMPUTED_VALUE"""),"UCF")</f>
        <v>UCF</v>
      </c>
      <c r="C157" s="1" t="str">
        <f ca="1">IFERROR(__xludf.DUMMYFUNCTION("""COMPUTED_VALUE"""),"ASun")</f>
        <v>ASun</v>
      </c>
      <c r="D157" s="1" t="str">
        <f ca="1">IFERROR(__xludf.DUMMYFUNCTION("""COMPUTED_VALUE"""),"16-12")</f>
        <v>16-12</v>
      </c>
      <c r="E157" s="1" t="str">
        <f ca="1">IFERROR(__xludf.DUMMYFUNCTION("""COMPUTED_VALUE"""),"+0.98")</f>
        <v>+0.98</v>
      </c>
      <c r="F157" s="1">
        <f ca="1">IFERROR(__xludf.DUMMYFUNCTION("""COMPUTED_VALUE"""),104.4)</f>
        <v>104.4</v>
      </c>
      <c r="G157" s="1">
        <f ca="1">IFERROR(__xludf.DUMMYFUNCTION("""COMPUTED_VALUE"""),139)</f>
        <v>139</v>
      </c>
      <c r="H157" s="1">
        <f ca="1">IFERROR(__xludf.DUMMYFUNCTION("""COMPUTED_VALUE"""),103.4)</f>
        <v>103.4</v>
      </c>
      <c r="I157" s="1">
        <f ca="1">IFERROR(__xludf.DUMMYFUNCTION("""COMPUTED_VALUE"""),174)</f>
        <v>174</v>
      </c>
      <c r="J157" s="1">
        <f ca="1">IFERROR(__xludf.DUMMYFUNCTION("""COMPUTED_VALUE"""),69.7)</f>
        <v>69.7</v>
      </c>
      <c r="K157" s="1">
        <f ca="1">IFERROR(__xludf.DUMMYFUNCTION("""COMPUTED_VALUE"""),99)</f>
        <v>99</v>
      </c>
      <c r="L157" s="1">
        <f ca="1">IFERROR(__xludf.DUMMYFUNCTION("""COMPUTED_VALUE"""),-0.08)</f>
        <v>-0.08</v>
      </c>
      <c r="M157" s="1">
        <f ca="1">IFERROR(__xludf.DUMMYFUNCTION("""COMPUTED_VALUE"""),305)</f>
        <v>305</v>
      </c>
      <c r="N157" s="1">
        <f ca="1">IFERROR(__xludf.DUMMYFUNCTION("""COMPUTED_VALUE"""),-5.92)</f>
        <v>-5.92</v>
      </c>
      <c r="O157" s="1">
        <f ca="1">IFERROR(__xludf.DUMMYFUNCTION("""COMPUTED_VALUE"""),256)</f>
        <v>256</v>
      </c>
      <c r="P157" s="1">
        <f ca="1">IFERROR(__xludf.DUMMYFUNCTION("""COMPUTED_VALUE"""),101.7)</f>
        <v>101.7</v>
      </c>
      <c r="Q157" s="1">
        <f ca="1">IFERROR(__xludf.DUMMYFUNCTION("""COMPUTED_VALUE"""),220)</f>
        <v>220</v>
      </c>
      <c r="R157" s="1">
        <f ca="1">IFERROR(__xludf.DUMMYFUNCTION("""COMPUTED_VALUE"""),107.6)</f>
        <v>107.6</v>
      </c>
      <c r="S157" s="1">
        <f ca="1">IFERROR(__xludf.DUMMYFUNCTION("""COMPUTED_VALUE"""),303)</f>
        <v>303</v>
      </c>
      <c r="T157" s="1">
        <f ca="1">IFERROR(__xludf.DUMMYFUNCTION("""COMPUTED_VALUE"""),-2.67)</f>
        <v>-2.67</v>
      </c>
      <c r="U157" s="1">
        <f ca="1">IFERROR(__xludf.DUMMYFUNCTION("""COMPUTED_VALUE"""),228)</f>
        <v>228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IFERROR(__xludf.DUMMYFUNCTION("""COMPUTED_VALUE"""),"Central Connecticut14")</f>
        <v>Central Connecticut14</v>
      </c>
      <c r="C158" s="1" t="str">
        <f ca="1">IFERROR(__xludf.DUMMYFUNCTION("""COMPUTED_VALUE"""),"NEC")</f>
        <v>NEC</v>
      </c>
      <c r="D158" s="1" t="str">
        <f ca="1">IFERROR(__xludf.DUMMYFUNCTION("""COMPUTED_VALUE"""),"27-5")</f>
        <v>27-5</v>
      </c>
      <c r="E158" s="1" t="str">
        <f ca="1">IFERROR(__xludf.DUMMYFUNCTION("""COMPUTED_VALUE"""),"+0.93")</f>
        <v>+0.93</v>
      </c>
      <c r="F158" s="1">
        <f ca="1">IFERROR(__xludf.DUMMYFUNCTION("""COMPUTED_VALUE"""),100.6)</f>
        <v>100.6</v>
      </c>
      <c r="G158" s="1">
        <f ca="1">IFERROR(__xludf.DUMMYFUNCTION("""COMPUTED_VALUE"""),202)</f>
        <v>202</v>
      </c>
      <c r="H158" s="1">
        <f ca="1">IFERROR(__xludf.DUMMYFUNCTION("""COMPUTED_VALUE"""),99.7)</f>
        <v>99.7</v>
      </c>
      <c r="I158" s="1">
        <f ca="1">IFERROR(__xludf.DUMMYFUNCTION("""COMPUTED_VALUE"""),96)</f>
        <v>96</v>
      </c>
      <c r="J158" s="1">
        <f ca="1">IFERROR(__xludf.DUMMYFUNCTION("""COMPUTED_VALUE"""),64)</f>
        <v>64</v>
      </c>
      <c r="K158" s="1">
        <f ca="1">IFERROR(__xludf.DUMMYFUNCTION("""COMPUTED_VALUE"""),291)</f>
        <v>291</v>
      </c>
      <c r="L158" s="1" t="str">
        <f ca="1">IFERROR(__xludf.DUMMYFUNCTION("""COMPUTED_VALUE"""),"+.137")</f>
        <v>+.137</v>
      </c>
      <c r="M158" s="1">
        <f ca="1">IFERROR(__xludf.DUMMYFUNCTION("""COMPUTED_VALUE"""),3)</f>
        <v>3</v>
      </c>
      <c r="N158" s="1">
        <f ca="1">IFERROR(__xludf.DUMMYFUNCTION("""COMPUTED_VALUE"""),-11.95)</f>
        <v>-11.95</v>
      </c>
      <c r="O158" s="1">
        <f ca="1">IFERROR(__xludf.DUMMYFUNCTION("""COMPUTED_VALUE"""),318)</f>
        <v>318</v>
      </c>
      <c r="P158" s="1">
        <f ca="1">IFERROR(__xludf.DUMMYFUNCTION("""COMPUTED_VALUE"""),97.4)</f>
        <v>97.4</v>
      </c>
      <c r="Q158" s="1">
        <f ca="1">IFERROR(__xludf.DUMMYFUNCTION("""COMPUTED_VALUE"""),307)</f>
        <v>307</v>
      </c>
      <c r="R158" s="1">
        <f ca="1">IFERROR(__xludf.DUMMYFUNCTION("""COMPUTED_VALUE"""),109.3)</f>
        <v>109.3</v>
      </c>
      <c r="S158" s="1">
        <f ca="1">IFERROR(__xludf.DUMMYFUNCTION("""COMPUTED_VALUE"""),323)</f>
        <v>323</v>
      </c>
      <c r="T158" s="1">
        <f ca="1">IFERROR(__xludf.DUMMYFUNCTION("""COMPUTED_VALUE"""),-4.99)</f>
        <v>-4.99</v>
      </c>
      <c r="U158" s="1">
        <f ca="1">IFERROR(__xludf.DUMMYFUNCTION("""COMPUTED_VALUE"""),271)</f>
        <v>271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IFERROR(__xludf.DUMMYFUNCTION("""COMPUTED_VALUE"""),"The Citadel")</f>
        <v>The Citadel</v>
      </c>
      <c r="C159" s="1" t="str">
        <f ca="1">IFERROR(__xludf.DUMMYFUNCTION("""COMPUTED_VALUE"""),"SC")</f>
        <v>SC</v>
      </c>
      <c r="D159" s="1" t="str">
        <f ca="1">IFERROR(__xludf.DUMMYFUNCTION("""COMPUTED_VALUE"""),"13-12")</f>
        <v>13-12</v>
      </c>
      <c r="E159" s="1" t="str">
        <f ca="1">IFERROR(__xludf.DUMMYFUNCTION("""COMPUTED_VALUE"""),"+0.66")</f>
        <v>+0.66</v>
      </c>
      <c r="F159" s="1">
        <f ca="1">IFERROR(__xludf.DUMMYFUNCTION("""COMPUTED_VALUE"""),105.3)</f>
        <v>105.3</v>
      </c>
      <c r="G159" s="1">
        <f ca="1">IFERROR(__xludf.DUMMYFUNCTION("""COMPUTED_VALUE"""),127)</f>
        <v>127</v>
      </c>
      <c r="H159" s="1">
        <f ca="1">IFERROR(__xludf.DUMMYFUNCTION("""COMPUTED_VALUE"""),104.6)</f>
        <v>104.6</v>
      </c>
      <c r="I159" s="1">
        <f ca="1">IFERROR(__xludf.DUMMYFUNCTION("""COMPUTED_VALUE"""),203)</f>
        <v>203</v>
      </c>
      <c r="J159" s="1">
        <f ca="1">IFERROR(__xludf.DUMMYFUNCTION("""COMPUTED_VALUE"""),67)</f>
        <v>67</v>
      </c>
      <c r="K159" s="1">
        <f ca="1">IFERROR(__xludf.DUMMYFUNCTION("""COMPUTED_VALUE"""),208)</f>
        <v>208</v>
      </c>
      <c r="L159" s="1">
        <f ca="1">IFERROR(__xludf.DUMMYFUNCTION("""COMPUTED_VALUE"""),-0.027)</f>
        <v>-2.7E-2</v>
      </c>
      <c r="M159" s="1">
        <f ca="1">IFERROR(__xludf.DUMMYFUNCTION("""COMPUTED_VALUE"""),224)</f>
        <v>224</v>
      </c>
      <c r="N159" s="1">
        <f ca="1">IFERROR(__xludf.DUMMYFUNCTION("""COMPUTED_VALUE"""),-2.03)</f>
        <v>-2.0299999999999998</v>
      </c>
      <c r="O159" s="1">
        <f ca="1">IFERROR(__xludf.DUMMYFUNCTION("""COMPUTED_VALUE"""),202)</f>
        <v>202</v>
      </c>
      <c r="P159" s="1">
        <f ca="1">IFERROR(__xludf.DUMMYFUNCTION("""COMPUTED_VALUE"""),100.6)</f>
        <v>100.6</v>
      </c>
      <c r="Q159" s="1">
        <f ca="1">IFERROR(__xludf.DUMMYFUNCTION("""COMPUTED_VALUE"""),238)</f>
        <v>238</v>
      </c>
      <c r="R159" s="1">
        <f ca="1">IFERROR(__xludf.DUMMYFUNCTION("""COMPUTED_VALUE"""),102.6)</f>
        <v>102.6</v>
      </c>
      <c r="S159" s="1">
        <f ca="1">IFERROR(__xludf.DUMMYFUNCTION("""COMPUTED_VALUE"""),132)</f>
        <v>132</v>
      </c>
      <c r="T159" s="1">
        <f ca="1">IFERROR(__xludf.DUMMYFUNCTION("""COMPUTED_VALUE"""),-6.4)</f>
        <v>-6.4</v>
      </c>
      <c r="U159" s="1">
        <f ca="1">IFERROR(__xludf.DUMMYFUNCTION("""COMPUTED_VALUE"""),294)</f>
        <v>294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IFERROR(__xludf.DUMMYFUNCTION("""COMPUTED_VALUE"""),"Wichita St.")</f>
        <v>Wichita St.</v>
      </c>
      <c r="C160" s="1" t="str">
        <f ca="1">IFERROR(__xludf.DUMMYFUNCTION("""COMPUTED_VALUE"""),"MVC")</f>
        <v>MVC</v>
      </c>
      <c r="D160" s="1" t="str">
        <f ca="1">IFERROR(__xludf.DUMMYFUNCTION("""COMPUTED_VALUE"""),"15-15")</f>
        <v>15-15</v>
      </c>
      <c r="E160" s="1" t="str">
        <f ca="1">IFERROR(__xludf.DUMMYFUNCTION("""COMPUTED_VALUE"""),"+0.61")</f>
        <v>+0.61</v>
      </c>
      <c r="F160" s="1">
        <f ca="1">IFERROR(__xludf.DUMMYFUNCTION("""COMPUTED_VALUE"""),107.8)</f>
        <v>107.8</v>
      </c>
      <c r="G160" s="1">
        <f ca="1">IFERROR(__xludf.DUMMYFUNCTION("""COMPUTED_VALUE"""),89)</f>
        <v>89</v>
      </c>
      <c r="H160" s="1">
        <f ca="1">IFERROR(__xludf.DUMMYFUNCTION("""COMPUTED_VALUE"""),107.2)</f>
        <v>107.2</v>
      </c>
      <c r="I160" s="1">
        <f ca="1">IFERROR(__xludf.DUMMYFUNCTION("""COMPUTED_VALUE"""),242)</f>
        <v>242</v>
      </c>
      <c r="J160" s="1">
        <f ca="1">IFERROR(__xludf.DUMMYFUNCTION("""COMPUTED_VALUE"""),66.9)</f>
        <v>66.900000000000006</v>
      </c>
      <c r="K160" s="1">
        <f ca="1">IFERROR(__xludf.DUMMYFUNCTION("""COMPUTED_VALUE"""),209)</f>
        <v>209</v>
      </c>
      <c r="L160" s="1">
        <f ca="1">IFERROR(__xludf.DUMMYFUNCTION("""COMPUTED_VALUE"""),-0.007)</f>
        <v>-7.0000000000000001E-3</v>
      </c>
      <c r="M160" s="1">
        <f ca="1">IFERROR(__xludf.DUMMYFUNCTION("""COMPUTED_VALUE"""),183)</f>
        <v>183</v>
      </c>
      <c r="N160" s="1">
        <f ca="1">IFERROR(__xludf.DUMMYFUNCTION("""COMPUTED_VALUE"""),-0.19)</f>
        <v>-0.19</v>
      </c>
      <c r="O160" s="1">
        <f ca="1">IFERROR(__xludf.DUMMYFUNCTION("""COMPUTED_VALUE"""),165)</f>
        <v>165</v>
      </c>
      <c r="P160" s="1">
        <f ca="1">IFERROR(__xludf.DUMMYFUNCTION("""COMPUTED_VALUE"""),103.6)</f>
        <v>103.6</v>
      </c>
      <c r="Q160" s="1">
        <f ca="1">IFERROR(__xludf.DUMMYFUNCTION("""COMPUTED_VALUE"""),157)</f>
        <v>157</v>
      </c>
      <c r="R160" s="1">
        <f ca="1">IFERROR(__xludf.DUMMYFUNCTION("""COMPUTED_VALUE"""),103.8)</f>
        <v>103.8</v>
      </c>
      <c r="S160" s="1">
        <f ca="1">IFERROR(__xludf.DUMMYFUNCTION("""COMPUTED_VALUE"""),187)</f>
        <v>187</v>
      </c>
      <c r="T160" s="1">
        <f ca="1">IFERROR(__xludf.DUMMYFUNCTION("""COMPUTED_VALUE"""),-1.21)</f>
        <v>-1.21</v>
      </c>
      <c r="U160" s="1">
        <f ca="1">IFERROR(__xludf.DUMMYFUNCTION("""COMPUTED_VALUE"""),195)</f>
        <v>195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IFERROR(__xludf.DUMMYFUNCTION("""COMPUTED_VALUE"""),"Toledo")</f>
        <v>Toledo</v>
      </c>
      <c r="C161" s="1" t="str">
        <f ca="1">IFERROR(__xludf.DUMMYFUNCTION("""COMPUTED_VALUE"""),"MAC")</f>
        <v>MAC</v>
      </c>
      <c r="D161" s="1" t="str">
        <f ca="1">IFERROR(__xludf.DUMMYFUNCTION("""COMPUTED_VALUE"""),"16-14")</f>
        <v>16-14</v>
      </c>
      <c r="E161" s="1" t="str">
        <f ca="1">IFERROR(__xludf.DUMMYFUNCTION("""COMPUTED_VALUE"""),"+0.40")</f>
        <v>+0.40</v>
      </c>
      <c r="F161" s="1">
        <f ca="1">IFERROR(__xludf.DUMMYFUNCTION("""COMPUTED_VALUE"""),99.1)</f>
        <v>99.1</v>
      </c>
      <c r="G161" s="1">
        <f ca="1">IFERROR(__xludf.DUMMYFUNCTION("""COMPUTED_VALUE"""),229)</f>
        <v>229</v>
      </c>
      <c r="H161" s="1">
        <f ca="1">IFERROR(__xludf.DUMMYFUNCTION("""COMPUTED_VALUE"""),98.7)</f>
        <v>98.7</v>
      </c>
      <c r="I161" s="1">
        <f ca="1">IFERROR(__xludf.DUMMYFUNCTION("""COMPUTED_VALUE"""),80)</f>
        <v>80</v>
      </c>
      <c r="J161" s="1">
        <f ca="1">IFERROR(__xludf.DUMMYFUNCTION("""COMPUTED_VALUE"""),66.2)</f>
        <v>66.2</v>
      </c>
      <c r="K161" s="1">
        <f ca="1">IFERROR(__xludf.DUMMYFUNCTION("""COMPUTED_VALUE"""),233)</f>
        <v>233</v>
      </c>
      <c r="L161" s="1" t="str">
        <f ca="1">IFERROR(__xludf.DUMMYFUNCTION("""COMPUTED_VALUE"""),"+.068")</f>
        <v>+.068</v>
      </c>
      <c r="M161" s="1">
        <f ca="1">IFERROR(__xludf.DUMMYFUNCTION("""COMPUTED_VALUE"""),26)</f>
        <v>26</v>
      </c>
      <c r="N161" s="1" t="str">
        <f ca="1">IFERROR(__xludf.DUMMYFUNCTION("""COMPUTED_VALUE"""),"+1.51")</f>
        <v>+1.51</v>
      </c>
      <c r="O161" s="1">
        <f ca="1">IFERROR(__xludf.DUMMYFUNCTION("""COMPUTED_VALUE"""),127)</f>
        <v>127</v>
      </c>
      <c r="P161" s="1">
        <f ca="1">IFERROR(__xludf.DUMMYFUNCTION("""COMPUTED_VALUE"""),106.3)</f>
        <v>106.3</v>
      </c>
      <c r="Q161" s="1">
        <f ca="1">IFERROR(__xludf.DUMMYFUNCTION("""COMPUTED_VALUE"""),67)</f>
        <v>67</v>
      </c>
      <c r="R161" s="1">
        <f ca="1">IFERROR(__xludf.DUMMYFUNCTION("""COMPUTED_VALUE"""),104.8)</f>
        <v>104.8</v>
      </c>
      <c r="S161" s="1">
        <f ca="1">IFERROR(__xludf.DUMMYFUNCTION("""COMPUTED_VALUE"""),222)</f>
        <v>222</v>
      </c>
      <c r="T161" s="1" t="str">
        <f ca="1">IFERROR(__xludf.DUMMYFUNCTION("""COMPUTED_VALUE"""),"+5.12")</f>
        <v>+5.12</v>
      </c>
      <c r="U161" s="1">
        <f ca="1">IFERROR(__xludf.DUMMYFUNCTION("""COMPUTED_VALUE"""),52)</f>
        <v>52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IFERROR(__xludf.DUMMYFUNCTION("""COMPUTED_VALUE"""),"Rider")</f>
        <v>Rider</v>
      </c>
      <c r="C162" s="1" t="str">
        <f ca="1">IFERROR(__xludf.DUMMYFUNCTION("""COMPUTED_VALUE"""),"MAAC")</f>
        <v>MAAC</v>
      </c>
      <c r="D162" s="1" t="str">
        <f ca="1">IFERROR(__xludf.DUMMYFUNCTION("""COMPUTED_VALUE"""),"17-11")</f>
        <v>17-11</v>
      </c>
      <c r="E162" s="1" t="str">
        <f ca="1">IFERROR(__xludf.DUMMYFUNCTION("""COMPUTED_VALUE"""),"+0.35")</f>
        <v>+0.35</v>
      </c>
      <c r="F162" s="1">
        <f ca="1">IFERROR(__xludf.DUMMYFUNCTION("""COMPUTED_VALUE"""),100.2)</f>
        <v>100.2</v>
      </c>
      <c r="G162" s="1">
        <f ca="1">IFERROR(__xludf.DUMMYFUNCTION("""COMPUTED_VALUE"""),207)</f>
        <v>207</v>
      </c>
      <c r="H162" s="1">
        <f ca="1">IFERROR(__xludf.DUMMYFUNCTION("""COMPUTED_VALUE"""),99.9)</f>
        <v>99.9</v>
      </c>
      <c r="I162" s="1">
        <f ca="1">IFERROR(__xludf.DUMMYFUNCTION("""COMPUTED_VALUE"""),98)</f>
        <v>98</v>
      </c>
      <c r="J162" s="1">
        <f ca="1">IFERROR(__xludf.DUMMYFUNCTION("""COMPUTED_VALUE"""),68.5)</f>
        <v>68.5</v>
      </c>
      <c r="K162" s="1">
        <f ca="1">IFERROR(__xludf.DUMMYFUNCTION("""COMPUTED_VALUE"""),154)</f>
        <v>154</v>
      </c>
      <c r="L162" s="1">
        <f ca="1">IFERROR(__xludf.DUMMYFUNCTION("""COMPUTED_VALUE"""),-0.033)</f>
        <v>-3.3000000000000002E-2</v>
      </c>
      <c r="M162" s="1">
        <f ca="1">IFERROR(__xludf.DUMMYFUNCTION("""COMPUTED_VALUE"""),241)</f>
        <v>241</v>
      </c>
      <c r="N162" s="1">
        <f ca="1">IFERROR(__xludf.DUMMYFUNCTION("""COMPUTED_VALUE"""),-6.01)</f>
        <v>-6.01</v>
      </c>
      <c r="O162" s="1">
        <f ca="1">IFERROR(__xludf.DUMMYFUNCTION("""COMPUTED_VALUE"""),257)</f>
        <v>257</v>
      </c>
      <c r="P162" s="1">
        <f ca="1">IFERROR(__xludf.DUMMYFUNCTION("""COMPUTED_VALUE"""),99.2)</f>
        <v>99.2</v>
      </c>
      <c r="Q162" s="1">
        <f ca="1">IFERROR(__xludf.DUMMYFUNCTION("""COMPUTED_VALUE"""),267)</f>
        <v>267</v>
      </c>
      <c r="R162" s="1">
        <f ca="1">IFERROR(__xludf.DUMMYFUNCTION("""COMPUTED_VALUE"""),105.2)</f>
        <v>105.2</v>
      </c>
      <c r="S162" s="1">
        <f ca="1">IFERROR(__xludf.DUMMYFUNCTION("""COMPUTED_VALUE"""),238)</f>
        <v>238</v>
      </c>
      <c r="T162" s="1">
        <f ca="1">IFERROR(__xludf.DUMMYFUNCTION("""COMPUTED_VALUE"""),-5.02)</f>
        <v>-5.0199999999999996</v>
      </c>
      <c r="U162" s="1">
        <f ca="1">IFERROR(__xludf.DUMMYFUNCTION("""COMPUTED_VALUE"""),272)</f>
        <v>272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IFERROR(__xludf.DUMMYFUNCTION("""COMPUTED_VALUE"""),"Delaware")</f>
        <v>Delaware</v>
      </c>
      <c r="C163" s="1" t="str">
        <f ca="1">IFERROR(__xludf.DUMMYFUNCTION("""COMPUTED_VALUE"""),"CAA")</f>
        <v>CAA</v>
      </c>
      <c r="D163" s="1" t="str">
        <f ca="1">IFERROR(__xludf.DUMMYFUNCTION("""COMPUTED_VALUE"""),"14-16")</f>
        <v>14-16</v>
      </c>
      <c r="E163" s="1" t="str">
        <f ca="1">IFERROR(__xludf.DUMMYFUNCTION("""COMPUTED_VALUE"""),"+0.32")</f>
        <v>+0.32</v>
      </c>
      <c r="F163" s="1">
        <f ca="1">IFERROR(__xludf.DUMMYFUNCTION("""COMPUTED_VALUE"""),102.7)</f>
        <v>102.7</v>
      </c>
      <c r="G163" s="1">
        <f ca="1">IFERROR(__xludf.DUMMYFUNCTION("""COMPUTED_VALUE"""),167)</f>
        <v>167</v>
      </c>
      <c r="H163" s="1">
        <f ca="1">IFERROR(__xludf.DUMMYFUNCTION("""COMPUTED_VALUE"""),102.4)</f>
        <v>102.4</v>
      </c>
      <c r="I163" s="1">
        <f ca="1">IFERROR(__xludf.DUMMYFUNCTION("""COMPUTED_VALUE"""),152)</f>
        <v>152</v>
      </c>
      <c r="J163" s="1">
        <f ca="1">IFERROR(__xludf.DUMMYFUNCTION("""COMPUTED_VALUE"""),66.4)</f>
        <v>66.400000000000006</v>
      </c>
      <c r="K163" s="1">
        <f ca="1">IFERROR(__xludf.DUMMYFUNCTION("""COMPUTED_VALUE"""),229)</f>
        <v>229</v>
      </c>
      <c r="L163" s="1">
        <f ca="1">IFERROR(__xludf.DUMMYFUNCTION("""COMPUTED_VALUE"""),-0.027)</f>
        <v>-2.7E-2</v>
      </c>
      <c r="M163" s="1">
        <f ca="1">IFERROR(__xludf.DUMMYFUNCTION("""COMPUTED_VALUE"""),222)</f>
        <v>222</v>
      </c>
      <c r="N163" s="1">
        <f ca="1">IFERROR(__xludf.DUMMYFUNCTION("""COMPUTED_VALUE"""),-0.02)</f>
        <v>-0.02</v>
      </c>
      <c r="O163" s="1">
        <f ca="1">IFERROR(__xludf.DUMMYFUNCTION("""COMPUTED_VALUE"""),156)</f>
        <v>156</v>
      </c>
      <c r="P163" s="1">
        <f ca="1">IFERROR(__xludf.DUMMYFUNCTION("""COMPUTED_VALUE"""),102.5)</f>
        <v>102.5</v>
      </c>
      <c r="Q163" s="1">
        <f ca="1">IFERROR(__xludf.DUMMYFUNCTION("""COMPUTED_VALUE"""),196)</f>
        <v>196</v>
      </c>
      <c r="R163" s="1">
        <f ca="1">IFERROR(__xludf.DUMMYFUNCTION("""COMPUTED_VALUE"""),102.5)</f>
        <v>102.5</v>
      </c>
      <c r="S163" s="1">
        <f ca="1">IFERROR(__xludf.DUMMYFUNCTION("""COMPUTED_VALUE"""),127)</f>
        <v>127</v>
      </c>
      <c r="T163" s="1" t="str">
        <f ca="1">IFERROR(__xludf.DUMMYFUNCTION("""COMPUTED_VALUE"""),"+2.76")</f>
        <v>+2.76</v>
      </c>
      <c r="U163" s="1">
        <f ca="1">IFERROR(__xludf.DUMMYFUNCTION("""COMPUTED_VALUE"""),95)</f>
        <v>95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IFERROR(__xludf.DUMMYFUNCTION("""COMPUTED_VALUE"""),"San Francisco")</f>
        <v>San Francisco</v>
      </c>
      <c r="C164" s="1" t="str">
        <f ca="1">IFERROR(__xludf.DUMMYFUNCTION("""COMPUTED_VALUE"""),"WCC")</f>
        <v>WCC</v>
      </c>
      <c r="D164" s="2">
        <f ca="1">IFERROR(__xludf.DUMMYFUNCTION("""COMPUTED_VALUE"""),44910)</f>
        <v>44910</v>
      </c>
      <c r="E164" s="1" t="str">
        <f ca="1">IFERROR(__xludf.DUMMYFUNCTION("""COMPUTED_VALUE"""),"+0.21")</f>
        <v>+0.21</v>
      </c>
      <c r="F164" s="1">
        <f ca="1">IFERROR(__xludf.DUMMYFUNCTION("""COMPUTED_VALUE"""),102.9)</f>
        <v>102.9</v>
      </c>
      <c r="G164" s="1">
        <f ca="1">IFERROR(__xludf.DUMMYFUNCTION("""COMPUTED_VALUE"""),164)</f>
        <v>164</v>
      </c>
      <c r="H164" s="1">
        <f ca="1">IFERROR(__xludf.DUMMYFUNCTION("""COMPUTED_VALUE"""),102.7)</f>
        <v>102.7</v>
      </c>
      <c r="I164" s="1">
        <f ca="1">IFERROR(__xludf.DUMMYFUNCTION("""COMPUTED_VALUE"""),158)</f>
        <v>158</v>
      </c>
      <c r="J164" s="1">
        <f ca="1">IFERROR(__xludf.DUMMYFUNCTION("""COMPUTED_VALUE"""),67.8)</f>
        <v>67.8</v>
      </c>
      <c r="K164" s="1">
        <f ca="1">IFERROR(__xludf.DUMMYFUNCTION("""COMPUTED_VALUE"""),179)</f>
        <v>179</v>
      </c>
      <c r="L164" s="1">
        <f ca="1">IFERROR(__xludf.DUMMYFUNCTION("""COMPUTED_VALUE"""),-0.027)</f>
        <v>-2.7E-2</v>
      </c>
      <c r="M164" s="1">
        <f ca="1">IFERROR(__xludf.DUMMYFUNCTION("""COMPUTED_VALUE"""),221)</f>
        <v>221</v>
      </c>
      <c r="N164" s="1" t="str">
        <f ca="1">IFERROR(__xludf.DUMMYFUNCTION("""COMPUTED_VALUE"""),"+0.61")</f>
        <v>+0.61</v>
      </c>
      <c r="O164" s="1">
        <f ca="1">IFERROR(__xludf.DUMMYFUNCTION("""COMPUTED_VALUE"""),145)</f>
        <v>145</v>
      </c>
      <c r="P164" s="1">
        <f ca="1">IFERROR(__xludf.DUMMYFUNCTION("""COMPUTED_VALUE"""),103.6)</f>
        <v>103.6</v>
      </c>
      <c r="Q164" s="1">
        <f ca="1">IFERROR(__xludf.DUMMYFUNCTION("""COMPUTED_VALUE"""),154)</f>
        <v>154</v>
      </c>
      <c r="R164" s="1">
        <f ca="1">IFERROR(__xludf.DUMMYFUNCTION("""COMPUTED_VALUE"""),103)</f>
        <v>103</v>
      </c>
      <c r="S164" s="1">
        <f ca="1">IFERROR(__xludf.DUMMYFUNCTION("""COMPUTED_VALUE"""),146)</f>
        <v>146</v>
      </c>
      <c r="T164" s="1" t="str">
        <f ca="1">IFERROR(__xludf.DUMMYFUNCTION("""COMPUTED_VALUE"""),"+0.56")</f>
        <v>+0.56</v>
      </c>
      <c r="U164" s="1">
        <f ca="1">IFERROR(__xludf.DUMMYFUNCTION("""COMPUTED_VALUE"""),148)</f>
        <v>148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IFERROR(__xludf.DUMMYFUNCTION("""COMPUTED_VALUE"""),"Troy St.")</f>
        <v>Troy St.</v>
      </c>
      <c r="C165" s="1" t="str">
        <f ca="1">IFERROR(__xludf.DUMMYFUNCTION("""COMPUTED_VALUE"""),"ASun")</f>
        <v>ASun</v>
      </c>
      <c r="D165" s="1" t="str">
        <f ca="1">IFERROR(__xludf.DUMMYFUNCTION("""COMPUTED_VALUE"""),"18-10")</f>
        <v>18-10</v>
      </c>
      <c r="E165" s="1" t="str">
        <f ca="1">IFERROR(__xludf.DUMMYFUNCTION("""COMPUTED_VALUE"""),"+0.15")</f>
        <v>+0.15</v>
      </c>
      <c r="F165" s="1">
        <f ca="1">IFERROR(__xludf.DUMMYFUNCTION("""COMPUTED_VALUE"""),104.2)</f>
        <v>104.2</v>
      </c>
      <c r="G165" s="1">
        <f ca="1">IFERROR(__xludf.DUMMYFUNCTION("""COMPUTED_VALUE"""),143)</f>
        <v>143</v>
      </c>
      <c r="H165" s="1">
        <f ca="1">IFERROR(__xludf.DUMMYFUNCTION("""COMPUTED_VALUE"""),104.1)</f>
        <v>104.1</v>
      </c>
      <c r="I165" s="1">
        <f ca="1">IFERROR(__xludf.DUMMYFUNCTION("""COMPUTED_VALUE"""),188)</f>
        <v>188</v>
      </c>
      <c r="J165" s="1">
        <f ca="1">IFERROR(__xludf.DUMMYFUNCTION("""COMPUTED_VALUE"""),69.1)</f>
        <v>69.099999999999994</v>
      </c>
      <c r="K165" s="1">
        <f ca="1">IFERROR(__xludf.DUMMYFUNCTION("""COMPUTED_VALUE"""),133)</f>
        <v>133</v>
      </c>
      <c r="L165" s="1" t="str">
        <f ca="1">IFERROR(__xludf.DUMMYFUNCTION("""COMPUTED_VALUE"""),"+.044")</f>
        <v>+.044</v>
      </c>
      <c r="M165" s="1">
        <f ca="1">IFERROR(__xludf.DUMMYFUNCTION("""COMPUTED_VALUE"""),66)</f>
        <v>66</v>
      </c>
      <c r="N165" s="1">
        <f ca="1">IFERROR(__xludf.DUMMYFUNCTION("""COMPUTED_VALUE"""),-4.96)</f>
        <v>-4.96</v>
      </c>
      <c r="O165" s="1">
        <f ca="1">IFERROR(__xludf.DUMMYFUNCTION("""COMPUTED_VALUE"""),248)</f>
        <v>248</v>
      </c>
      <c r="P165" s="1">
        <f ca="1">IFERROR(__xludf.DUMMYFUNCTION("""COMPUTED_VALUE"""),102.4)</f>
        <v>102.4</v>
      </c>
      <c r="Q165" s="1">
        <f ca="1">IFERROR(__xludf.DUMMYFUNCTION("""COMPUTED_VALUE"""),200)</f>
        <v>200</v>
      </c>
      <c r="R165" s="1">
        <f ca="1">IFERROR(__xludf.DUMMYFUNCTION("""COMPUTED_VALUE"""),107.3)</f>
        <v>107.3</v>
      </c>
      <c r="S165" s="1">
        <f ca="1">IFERROR(__xludf.DUMMYFUNCTION("""COMPUTED_VALUE"""),299)</f>
        <v>299</v>
      </c>
      <c r="T165" s="1" t="str">
        <f ca="1">IFERROR(__xludf.DUMMYFUNCTION("""COMPUTED_VALUE"""),"+1.39")</f>
        <v>+1.39</v>
      </c>
      <c r="U165" s="1">
        <f ca="1">IFERROR(__xludf.DUMMYFUNCTION("""COMPUTED_VALUE"""),128)</f>
        <v>128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IFERROR(__xludf.DUMMYFUNCTION("""COMPUTED_VALUE"""),"Eastern Washington")</f>
        <v>Eastern Washington</v>
      </c>
      <c r="C166" s="1" t="str">
        <f ca="1">IFERROR(__xludf.DUMMYFUNCTION("""COMPUTED_VALUE"""),"BSky")</f>
        <v>BSky</v>
      </c>
      <c r="D166" s="1" t="str">
        <f ca="1">IFERROR(__xludf.DUMMYFUNCTION("""COMPUTED_VALUE"""),"15-13")</f>
        <v>15-13</v>
      </c>
      <c r="E166" s="1">
        <f ca="1">IFERROR(__xludf.DUMMYFUNCTION("""COMPUTED_VALUE"""),-0.02)</f>
        <v>-0.02</v>
      </c>
      <c r="F166" s="1">
        <f ca="1">IFERROR(__xludf.DUMMYFUNCTION("""COMPUTED_VALUE"""),100.2)</f>
        <v>100.2</v>
      </c>
      <c r="G166" s="1">
        <f ca="1">IFERROR(__xludf.DUMMYFUNCTION("""COMPUTED_VALUE"""),209)</f>
        <v>209</v>
      </c>
      <c r="H166" s="1">
        <f ca="1">IFERROR(__xludf.DUMMYFUNCTION("""COMPUTED_VALUE"""),100.2)</f>
        <v>100.2</v>
      </c>
      <c r="I166" s="1">
        <f ca="1">IFERROR(__xludf.DUMMYFUNCTION("""COMPUTED_VALUE"""),102)</f>
        <v>102</v>
      </c>
      <c r="J166" s="1">
        <f ca="1">IFERROR(__xludf.DUMMYFUNCTION("""COMPUTED_VALUE"""),68.9)</f>
        <v>68.900000000000006</v>
      </c>
      <c r="K166" s="1">
        <f ca="1">IFERROR(__xludf.DUMMYFUNCTION("""COMPUTED_VALUE"""),139)</f>
        <v>139</v>
      </c>
      <c r="L166" s="1" t="str">
        <f ca="1">IFERROR(__xludf.DUMMYFUNCTION("""COMPUTED_VALUE"""),"+.053")</f>
        <v>+.053</v>
      </c>
      <c r="M166" s="1">
        <f ca="1">IFERROR(__xludf.DUMMYFUNCTION("""COMPUTED_VALUE"""),52)</f>
        <v>52</v>
      </c>
      <c r="N166" s="1">
        <f ca="1">IFERROR(__xludf.DUMMYFUNCTION("""COMPUTED_VALUE"""),-0.92)</f>
        <v>-0.92</v>
      </c>
      <c r="O166" s="1">
        <f ca="1">IFERROR(__xludf.DUMMYFUNCTION("""COMPUTED_VALUE"""),182)</f>
        <v>182</v>
      </c>
      <c r="P166" s="1">
        <f ca="1">IFERROR(__xludf.DUMMYFUNCTION("""COMPUTED_VALUE"""),103)</f>
        <v>103</v>
      </c>
      <c r="Q166" s="1">
        <f ca="1">IFERROR(__xludf.DUMMYFUNCTION("""COMPUTED_VALUE"""),178)</f>
        <v>178</v>
      </c>
      <c r="R166" s="1">
        <f ca="1">IFERROR(__xludf.DUMMYFUNCTION("""COMPUTED_VALUE"""),104)</f>
        <v>104</v>
      </c>
      <c r="S166" s="1">
        <f ca="1">IFERROR(__xludf.DUMMYFUNCTION("""COMPUTED_VALUE"""),192)</f>
        <v>192</v>
      </c>
      <c r="T166" s="1" t="str">
        <f ca="1">IFERROR(__xludf.DUMMYFUNCTION("""COMPUTED_VALUE"""),"+6.97")</f>
        <v>+6.97</v>
      </c>
      <c r="U166" s="1">
        <f ca="1">IFERROR(__xludf.DUMMYFUNCTION("""COMPUTED_VALUE"""),29)</f>
        <v>29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IFERROR(__xludf.DUMMYFUNCTION("""COMPUTED_VALUE"""),"Cal Poly")</f>
        <v>Cal Poly</v>
      </c>
      <c r="C167" s="1" t="str">
        <f ca="1">IFERROR(__xludf.DUMMYFUNCTION("""COMPUTED_VALUE"""),"BW")</f>
        <v>BW</v>
      </c>
      <c r="D167" s="1" t="str">
        <f ca="1">IFERROR(__xludf.DUMMYFUNCTION("""COMPUTED_VALUE"""),"14-12")</f>
        <v>14-12</v>
      </c>
      <c r="E167" s="1">
        <f ca="1">IFERROR(__xludf.DUMMYFUNCTION("""COMPUTED_VALUE"""),-0.06)</f>
        <v>-0.06</v>
      </c>
      <c r="F167" s="1">
        <f ca="1">IFERROR(__xludf.DUMMYFUNCTION("""COMPUTED_VALUE"""),102.5)</f>
        <v>102.5</v>
      </c>
      <c r="G167" s="1">
        <f ca="1">IFERROR(__xludf.DUMMYFUNCTION("""COMPUTED_VALUE"""),173)</f>
        <v>173</v>
      </c>
      <c r="H167" s="1">
        <f ca="1">IFERROR(__xludf.DUMMYFUNCTION("""COMPUTED_VALUE"""),102.6)</f>
        <v>102.6</v>
      </c>
      <c r="I167" s="1">
        <f ca="1">IFERROR(__xludf.DUMMYFUNCTION("""COMPUTED_VALUE"""),156)</f>
        <v>156</v>
      </c>
      <c r="J167" s="1">
        <f ca="1">IFERROR(__xludf.DUMMYFUNCTION("""COMPUTED_VALUE"""),68.3)</f>
        <v>68.3</v>
      </c>
      <c r="K167" s="1">
        <f ca="1">IFERROR(__xludf.DUMMYFUNCTION("""COMPUTED_VALUE"""),161)</f>
        <v>161</v>
      </c>
      <c r="L167" s="1" t="str">
        <f ca="1">IFERROR(__xludf.DUMMYFUNCTION("""COMPUTED_VALUE"""),"+.006")</f>
        <v>+.006</v>
      </c>
      <c r="M167" s="1">
        <f ca="1">IFERROR(__xludf.DUMMYFUNCTION("""COMPUTED_VALUE"""),158)</f>
        <v>158</v>
      </c>
      <c r="N167" s="1">
        <f ca="1">IFERROR(__xludf.DUMMYFUNCTION("""COMPUTED_VALUE"""),-1.98)</f>
        <v>-1.98</v>
      </c>
      <c r="O167" s="1">
        <f ca="1">IFERROR(__xludf.DUMMYFUNCTION("""COMPUTED_VALUE"""),200)</f>
        <v>200</v>
      </c>
      <c r="P167" s="1">
        <f ca="1">IFERROR(__xludf.DUMMYFUNCTION("""COMPUTED_VALUE"""),101.6)</f>
        <v>101.6</v>
      </c>
      <c r="Q167" s="1">
        <f ca="1">IFERROR(__xludf.DUMMYFUNCTION("""COMPUTED_VALUE"""),222)</f>
        <v>222</v>
      </c>
      <c r="R167" s="1">
        <f ca="1">IFERROR(__xludf.DUMMYFUNCTION("""COMPUTED_VALUE"""),103.6)</f>
        <v>103.6</v>
      </c>
      <c r="S167" s="1">
        <f ca="1">IFERROR(__xludf.DUMMYFUNCTION("""COMPUTED_VALUE"""),175)</f>
        <v>175</v>
      </c>
      <c r="T167" s="1">
        <f ca="1">IFERROR(__xludf.DUMMYFUNCTION("""COMPUTED_VALUE"""),-4.26)</f>
        <v>-4.26</v>
      </c>
      <c r="U167" s="1">
        <f ca="1">IFERROR(__xludf.DUMMYFUNCTION("""COMPUTED_VALUE"""),260)</f>
        <v>260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IFERROR(__xludf.DUMMYFUNCTION("""COMPUTED_VALUE"""),"UTSA")</f>
        <v>UTSA</v>
      </c>
      <c r="C168" s="1" t="str">
        <f ca="1">IFERROR(__xludf.DUMMYFUNCTION("""COMPUTED_VALUE"""),"Slnd")</f>
        <v>Slnd</v>
      </c>
      <c r="D168" s="1" t="str">
        <f ca="1">IFERROR(__xludf.DUMMYFUNCTION("""COMPUTED_VALUE"""),"19-10")</f>
        <v>19-10</v>
      </c>
      <c r="E168" s="1">
        <f ca="1">IFERROR(__xludf.DUMMYFUNCTION("""COMPUTED_VALUE"""),-0.18)</f>
        <v>-0.18</v>
      </c>
      <c r="F168" s="1">
        <f ca="1">IFERROR(__xludf.DUMMYFUNCTION("""COMPUTED_VALUE"""),103)</f>
        <v>103</v>
      </c>
      <c r="G168" s="1">
        <f ca="1">IFERROR(__xludf.DUMMYFUNCTION("""COMPUTED_VALUE"""),161)</f>
        <v>161</v>
      </c>
      <c r="H168" s="1">
        <f ca="1">IFERROR(__xludf.DUMMYFUNCTION("""COMPUTED_VALUE"""),103.2)</f>
        <v>103.2</v>
      </c>
      <c r="I168" s="1">
        <f ca="1">IFERROR(__xludf.DUMMYFUNCTION("""COMPUTED_VALUE"""),166)</f>
        <v>166</v>
      </c>
      <c r="J168" s="1">
        <f ca="1">IFERROR(__xludf.DUMMYFUNCTION("""COMPUTED_VALUE"""),72.2)</f>
        <v>72.2</v>
      </c>
      <c r="K168" s="1">
        <f ca="1">IFERROR(__xludf.DUMMYFUNCTION("""COMPUTED_VALUE"""),36)</f>
        <v>36</v>
      </c>
      <c r="L168" s="1" t="str">
        <f ca="1">IFERROR(__xludf.DUMMYFUNCTION("""COMPUTED_VALUE"""),"+.001")</f>
        <v>+.001</v>
      </c>
      <c r="M168" s="1">
        <f ca="1">IFERROR(__xludf.DUMMYFUNCTION("""COMPUTED_VALUE"""),171)</f>
        <v>171</v>
      </c>
      <c r="N168" s="1">
        <f ca="1">IFERROR(__xludf.DUMMYFUNCTION("""COMPUTED_VALUE"""),-6.45)</f>
        <v>-6.45</v>
      </c>
      <c r="O168" s="1">
        <f ca="1">IFERROR(__xludf.DUMMYFUNCTION("""COMPUTED_VALUE"""),265)</f>
        <v>265</v>
      </c>
      <c r="P168" s="1">
        <f ca="1">IFERROR(__xludf.DUMMYFUNCTION("""COMPUTED_VALUE"""),98.9)</f>
        <v>98.9</v>
      </c>
      <c r="Q168" s="1">
        <f ca="1">IFERROR(__xludf.DUMMYFUNCTION("""COMPUTED_VALUE"""),275)</f>
        <v>275</v>
      </c>
      <c r="R168" s="1">
        <f ca="1">IFERROR(__xludf.DUMMYFUNCTION("""COMPUTED_VALUE"""),105.3)</f>
        <v>105.3</v>
      </c>
      <c r="S168" s="1">
        <f ca="1">IFERROR(__xludf.DUMMYFUNCTION("""COMPUTED_VALUE"""),242)</f>
        <v>242</v>
      </c>
      <c r="T168" s="1">
        <f ca="1">IFERROR(__xludf.DUMMYFUNCTION("""COMPUTED_VALUE"""),-0.45)</f>
        <v>-0.45</v>
      </c>
      <c r="U168" s="1">
        <f ca="1">IFERROR(__xludf.DUMMYFUNCTION("""COMPUTED_VALUE"""),170)</f>
        <v>170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IFERROR(__xludf.DUMMYFUNCTION("""COMPUTED_VALUE"""),"North Texas")</f>
        <v>North Texas</v>
      </c>
      <c r="C171" s="1" t="str">
        <f ca="1">IFERROR(__xludf.DUMMYFUNCTION("""COMPUTED_VALUE"""),"SB")</f>
        <v>SB</v>
      </c>
      <c r="D171" s="1" t="str">
        <f ca="1">IFERROR(__xludf.DUMMYFUNCTION("""COMPUTED_VALUE"""),"13-14")</f>
        <v>13-14</v>
      </c>
      <c r="E171" s="1">
        <f ca="1">IFERROR(__xludf.DUMMYFUNCTION("""COMPUTED_VALUE"""),-0.21)</f>
        <v>-0.21</v>
      </c>
      <c r="F171" s="1">
        <f ca="1">IFERROR(__xludf.DUMMYFUNCTION("""COMPUTED_VALUE"""),108.1)</f>
        <v>108.1</v>
      </c>
      <c r="G171" s="1">
        <f ca="1">IFERROR(__xludf.DUMMYFUNCTION("""COMPUTED_VALUE"""),83)</f>
        <v>83</v>
      </c>
      <c r="H171" s="1">
        <f ca="1">IFERROR(__xludf.DUMMYFUNCTION("""COMPUTED_VALUE"""),108.3)</f>
        <v>108.3</v>
      </c>
      <c r="I171" s="1">
        <f ca="1">IFERROR(__xludf.DUMMYFUNCTION("""COMPUTED_VALUE"""),262)</f>
        <v>262</v>
      </c>
      <c r="J171" s="1">
        <f ca="1">IFERROR(__xludf.DUMMYFUNCTION("""COMPUTED_VALUE"""),72)</f>
        <v>72</v>
      </c>
      <c r="K171" s="1">
        <f ca="1">IFERROR(__xludf.DUMMYFUNCTION("""COMPUTED_VALUE"""),42)</f>
        <v>42</v>
      </c>
      <c r="L171" s="1" t="str">
        <f ca="1">IFERROR(__xludf.DUMMYFUNCTION("""COMPUTED_VALUE"""),"+.012")</f>
        <v>+.012</v>
      </c>
      <c r="M171" s="1">
        <f ca="1">IFERROR(__xludf.DUMMYFUNCTION("""COMPUTED_VALUE"""),134)</f>
        <v>134</v>
      </c>
      <c r="N171" s="1" t="str">
        <f ca="1">IFERROR(__xludf.DUMMYFUNCTION("""COMPUTED_VALUE"""),"+0.69")</f>
        <v>+0.69</v>
      </c>
      <c r="O171" s="1">
        <f ca="1">IFERROR(__xludf.DUMMYFUNCTION("""COMPUTED_VALUE"""),144)</f>
        <v>144</v>
      </c>
      <c r="P171" s="1">
        <f ca="1">IFERROR(__xludf.DUMMYFUNCTION("""COMPUTED_VALUE"""),103.1)</f>
        <v>103.1</v>
      </c>
      <c r="Q171" s="1">
        <f ca="1">IFERROR(__xludf.DUMMYFUNCTION("""COMPUTED_VALUE"""),176)</f>
        <v>176</v>
      </c>
      <c r="R171" s="1">
        <f ca="1">IFERROR(__xludf.DUMMYFUNCTION("""COMPUTED_VALUE"""),102.4)</f>
        <v>102.4</v>
      </c>
      <c r="S171" s="1">
        <f ca="1">IFERROR(__xludf.DUMMYFUNCTION("""COMPUTED_VALUE"""),121)</f>
        <v>121</v>
      </c>
      <c r="T171" s="1" t="str">
        <f ca="1">IFERROR(__xludf.DUMMYFUNCTION("""COMPUTED_VALUE"""),"+2.42")</f>
        <v>+2.42</v>
      </c>
      <c r="U171" s="1">
        <f ca="1">IFERROR(__xludf.DUMMYFUNCTION("""COMPUTED_VALUE"""),104)</f>
        <v>104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IFERROR(__xludf.DUMMYFUNCTION("""COMPUTED_VALUE"""),"Holy Cross16")</f>
        <v>Holy Cross16</v>
      </c>
      <c r="C172" s="1" t="str">
        <f ca="1">IFERROR(__xludf.DUMMYFUNCTION("""COMPUTED_VALUE"""),"Pat")</f>
        <v>Pat</v>
      </c>
      <c r="D172" s="1" t="str">
        <f ca="1">IFERROR(__xludf.DUMMYFUNCTION("""COMPUTED_VALUE"""),"18-15")</f>
        <v>18-15</v>
      </c>
      <c r="E172" s="1">
        <f ca="1">IFERROR(__xludf.DUMMYFUNCTION("""COMPUTED_VALUE"""),-0.24)</f>
        <v>-0.24</v>
      </c>
      <c r="F172" s="1">
        <f ca="1">IFERROR(__xludf.DUMMYFUNCTION("""COMPUTED_VALUE"""),98.1)</f>
        <v>98.1</v>
      </c>
      <c r="G172" s="1">
        <f ca="1">IFERROR(__xludf.DUMMYFUNCTION("""COMPUTED_VALUE"""),245)</f>
        <v>245</v>
      </c>
      <c r="H172" s="1">
        <f ca="1">IFERROR(__xludf.DUMMYFUNCTION("""COMPUTED_VALUE"""),98.4)</f>
        <v>98.4</v>
      </c>
      <c r="I172" s="1">
        <f ca="1">IFERROR(__xludf.DUMMYFUNCTION("""COMPUTED_VALUE"""),75)</f>
        <v>75</v>
      </c>
      <c r="J172" s="1">
        <f ca="1">IFERROR(__xludf.DUMMYFUNCTION("""COMPUTED_VALUE"""),62.2)</f>
        <v>62.2</v>
      </c>
      <c r="K172" s="1">
        <f ca="1">IFERROR(__xludf.DUMMYFUNCTION("""COMPUTED_VALUE"""),313)</f>
        <v>313</v>
      </c>
      <c r="L172" s="1">
        <f ca="1">IFERROR(__xludf.DUMMYFUNCTION("""COMPUTED_VALUE"""),-0.048)</f>
        <v>-4.8000000000000001E-2</v>
      </c>
      <c r="M172" s="1">
        <f ca="1">IFERROR(__xludf.DUMMYFUNCTION("""COMPUTED_VALUE"""),268)</f>
        <v>268</v>
      </c>
      <c r="N172" s="1">
        <f ca="1">IFERROR(__xludf.DUMMYFUNCTION("""COMPUTED_VALUE"""),-6.4)</f>
        <v>-6.4</v>
      </c>
      <c r="O172" s="1">
        <f ca="1">IFERROR(__xludf.DUMMYFUNCTION("""COMPUTED_VALUE"""),264)</f>
        <v>264</v>
      </c>
      <c r="P172" s="1">
        <f ca="1">IFERROR(__xludf.DUMMYFUNCTION("""COMPUTED_VALUE"""),99.5)</f>
        <v>99.5</v>
      </c>
      <c r="Q172" s="1">
        <f ca="1">IFERROR(__xludf.DUMMYFUNCTION("""COMPUTED_VALUE"""),261)</f>
        <v>261</v>
      </c>
      <c r="R172" s="1">
        <f ca="1">IFERROR(__xludf.DUMMYFUNCTION("""COMPUTED_VALUE"""),105.9)</f>
        <v>105.9</v>
      </c>
      <c r="S172" s="1">
        <f ca="1">IFERROR(__xludf.DUMMYFUNCTION("""COMPUTED_VALUE"""),262)</f>
        <v>262</v>
      </c>
      <c r="T172" s="1">
        <f ca="1">IFERROR(__xludf.DUMMYFUNCTION("""COMPUTED_VALUE"""),-3.38)</f>
        <v>-3.38</v>
      </c>
      <c r="U172" s="1">
        <f ca="1">IFERROR(__xludf.DUMMYFUNCTION("""COMPUTED_VALUE"""),246)</f>
        <v>246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IFERROR(__xludf.DUMMYFUNCTION("""COMPUTED_VALUE"""),"UMKC")</f>
        <v>UMKC</v>
      </c>
      <c r="C173" s="1" t="str">
        <f ca="1">IFERROR(__xludf.DUMMYFUNCTION("""COMPUTED_VALUE"""),"MCon")</f>
        <v>MCon</v>
      </c>
      <c r="D173" s="1" t="str">
        <f ca="1">IFERROR(__xludf.DUMMYFUNCTION("""COMPUTED_VALUE"""),"17-11")</f>
        <v>17-11</v>
      </c>
      <c r="E173" s="1">
        <f ca="1">IFERROR(__xludf.DUMMYFUNCTION("""COMPUTED_VALUE"""),-0.33)</f>
        <v>-0.33</v>
      </c>
      <c r="F173" s="1">
        <f ca="1">IFERROR(__xludf.DUMMYFUNCTION("""COMPUTED_VALUE"""),101.2)</f>
        <v>101.2</v>
      </c>
      <c r="G173" s="1">
        <f ca="1">IFERROR(__xludf.DUMMYFUNCTION("""COMPUTED_VALUE"""),194)</f>
        <v>194</v>
      </c>
      <c r="H173" s="1">
        <f ca="1">IFERROR(__xludf.DUMMYFUNCTION("""COMPUTED_VALUE"""),101.5)</f>
        <v>101.5</v>
      </c>
      <c r="I173" s="1">
        <f ca="1">IFERROR(__xludf.DUMMYFUNCTION("""COMPUTED_VALUE"""),132)</f>
        <v>132</v>
      </c>
      <c r="J173" s="1">
        <f ca="1">IFERROR(__xludf.DUMMYFUNCTION("""COMPUTED_VALUE"""),60.7)</f>
        <v>60.7</v>
      </c>
      <c r="K173" s="1">
        <f ca="1">IFERROR(__xludf.DUMMYFUNCTION("""COMPUTED_VALUE"""),320)</f>
        <v>320</v>
      </c>
      <c r="L173" s="1" t="str">
        <f ca="1">IFERROR(__xludf.DUMMYFUNCTION("""COMPUTED_VALUE"""),"+.040")</f>
        <v>+.040</v>
      </c>
      <c r="M173" s="1">
        <f ca="1">IFERROR(__xludf.DUMMYFUNCTION("""COMPUTED_VALUE"""),77)</f>
        <v>77</v>
      </c>
      <c r="N173" s="1">
        <f ca="1">IFERROR(__xludf.DUMMYFUNCTION("""COMPUTED_VALUE"""),-4.31)</f>
        <v>-4.3099999999999996</v>
      </c>
      <c r="O173" s="1">
        <f ca="1">IFERROR(__xludf.DUMMYFUNCTION("""COMPUTED_VALUE"""),241)</f>
        <v>241</v>
      </c>
      <c r="P173" s="1">
        <f ca="1">IFERROR(__xludf.DUMMYFUNCTION("""COMPUTED_VALUE"""),102.6)</f>
        <v>102.6</v>
      </c>
      <c r="Q173" s="1">
        <f ca="1">IFERROR(__xludf.DUMMYFUNCTION("""COMPUTED_VALUE"""),193)</f>
        <v>193</v>
      </c>
      <c r="R173" s="1">
        <f ca="1">IFERROR(__xludf.DUMMYFUNCTION("""COMPUTED_VALUE"""),106.9)</f>
        <v>106.9</v>
      </c>
      <c r="S173" s="1">
        <f ca="1">IFERROR(__xludf.DUMMYFUNCTION("""COMPUTED_VALUE"""),290)</f>
        <v>290</v>
      </c>
      <c r="T173" s="1">
        <f ca="1">IFERROR(__xludf.DUMMYFUNCTION("""COMPUTED_VALUE"""),-7.22)</f>
        <v>-7.22</v>
      </c>
      <c r="U173" s="1">
        <f ca="1">IFERROR(__xludf.DUMMYFUNCTION("""COMPUTED_VALUE"""),303)</f>
        <v>303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IFERROR(__xludf.DUMMYFUNCTION("""COMPUTED_VALUE"""),"Old Dominion")</f>
        <v>Old Dominion</v>
      </c>
      <c r="C174" s="1" t="str">
        <f ca="1">IFERROR(__xludf.DUMMYFUNCTION("""COMPUTED_VALUE"""),"CAA")</f>
        <v>CAA</v>
      </c>
      <c r="D174" s="1" t="str">
        <f ca="1">IFERROR(__xludf.DUMMYFUNCTION("""COMPUTED_VALUE"""),"13-16")</f>
        <v>13-16</v>
      </c>
      <c r="E174" s="1">
        <f ca="1">IFERROR(__xludf.DUMMYFUNCTION("""COMPUTED_VALUE"""),-0.43)</f>
        <v>-0.43</v>
      </c>
      <c r="F174" s="1">
        <f ca="1">IFERROR(__xludf.DUMMYFUNCTION("""COMPUTED_VALUE"""),102.5)</f>
        <v>102.5</v>
      </c>
      <c r="G174" s="1">
        <f ca="1">IFERROR(__xludf.DUMMYFUNCTION("""COMPUTED_VALUE"""),175)</f>
        <v>175</v>
      </c>
      <c r="H174" s="1">
        <f ca="1">IFERROR(__xludf.DUMMYFUNCTION("""COMPUTED_VALUE"""),102.9)</f>
        <v>102.9</v>
      </c>
      <c r="I174" s="1">
        <f ca="1">IFERROR(__xludf.DUMMYFUNCTION("""COMPUTED_VALUE"""),161)</f>
        <v>161</v>
      </c>
      <c r="J174" s="1">
        <f ca="1">IFERROR(__xludf.DUMMYFUNCTION("""COMPUTED_VALUE"""),64.8)</f>
        <v>64.8</v>
      </c>
      <c r="K174" s="1">
        <f ca="1">IFERROR(__xludf.DUMMYFUNCTION("""COMPUTED_VALUE"""),277)</f>
        <v>277</v>
      </c>
      <c r="L174" s="1">
        <f ca="1">IFERROR(__xludf.DUMMYFUNCTION("""COMPUTED_VALUE"""),-0.072)</f>
        <v>-7.1999999999999995E-2</v>
      </c>
      <c r="M174" s="1">
        <f ca="1">IFERROR(__xludf.DUMMYFUNCTION("""COMPUTED_VALUE"""),298)</f>
        <v>298</v>
      </c>
      <c r="N174" s="1">
        <f ca="1">IFERROR(__xludf.DUMMYFUNCTION("""COMPUTED_VALUE"""),-2.11)</f>
        <v>-2.11</v>
      </c>
      <c r="O174" s="1">
        <f ca="1">IFERROR(__xludf.DUMMYFUNCTION("""COMPUTED_VALUE"""),204)</f>
        <v>204</v>
      </c>
      <c r="P174" s="1">
        <f ca="1">IFERROR(__xludf.DUMMYFUNCTION("""COMPUTED_VALUE"""),101.7)</f>
        <v>101.7</v>
      </c>
      <c r="Q174" s="1">
        <f ca="1">IFERROR(__xludf.DUMMYFUNCTION("""COMPUTED_VALUE"""),218)</f>
        <v>218</v>
      </c>
      <c r="R174" s="1">
        <f ca="1">IFERROR(__xludf.DUMMYFUNCTION("""COMPUTED_VALUE"""),103.8)</f>
        <v>103.8</v>
      </c>
      <c r="S174" s="1">
        <f ca="1">IFERROR(__xludf.DUMMYFUNCTION("""COMPUTED_VALUE"""),189)</f>
        <v>189</v>
      </c>
      <c r="T174" s="1">
        <f ca="1">IFERROR(__xludf.DUMMYFUNCTION("""COMPUTED_VALUE"""),-3.79)</f>
        <v>-3.79</v>
      </c>
      <c r="U174" s="1">
        <f ca="1">IFERROR(__xludf.DUMMYFUNCTION("""COMPUTED_VALUE"""),252)</f>
        <v>252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IFERROR(__xludf.DUMMYFUNCTION("""COMPUTED_VALUE"""),"Southern Miss")</f>
        <v>Southern Miss</v>
      </c>
      <c r="C175" s="1" t="str">
        <f ca="1">IFERROR(__xludf.DUMMYFUNCTION("""COMPUTED_VALUE"""),"CUSA")</f>
        <v>CUSA</v>
      </c>
      <c r="D175" s="2">
        <f ca="1">IFERROR(__xludf.DUMMYFUNCTION("""COMPUTED_VALUE"""),44821)</f>
        <v>44821</v>
      </c>
      <c r="E175" s="1">
        <f ca="1">IFERROR(__xludf.DUMMYFUNCTION("""COMPUTED_VALUE"""),-0.45)</f>
        <v>-0.45</v>
      </c>
      <c r="F175" s="1">
        <f ca="1">IFERROR(__xludf.DUMMYFUNCTION("""COMPUTED_VALUE"""),97.7)</f>
        <v>97.7</v>
      </c>
      <c r="G175" s="1">
        <f ca="1">IFERROR(__xludf.DUMMYFUNCTION("""COMPUTED_VALUE"""),252)</f>
        <v>252</v>
      </c>
      <c r="H175" s="1">
        <f ca="1">IFERROR(__xludf.DUMMYFUNCTION("""COMPUTED_VALUE"""),98.1)</f>
        <v>98.1</v>
      </c>
      <c r="I175" s="1">
        <f ca="1">IFERROR(__xludf.DUMMYFUNCTION("""COMPUTED_VALUE"""),71)</f>
        <v>71</v>
      </c>
      <c r="J175" s="1">
        <f ca="1">IFERROR(__xludf.DUMMYFUNCTION("""COMPUTED_VALUE"""),64.3)</f>
        <v>64.3</v>
      </c>
      <c r="K175" s="1">
        <f ca="1">IFERROR(__xludf.DUMMYFUNCTION("""COMPUTED_VALUE"""),287)</f>
        <v>287</v>
      </c>
      <c r="L175" s="1">
        <f ca="1">IFERROR(__xludf.DUMMYFUNCTION("""COMPUTED_VALUE"""),-0.052)</f>
        <v>-5.1999999999999998E-2</v>
      </c>
      <c r="M175" s="1">
        <f ca="1">IFERROR(__xludf.DUMMYFUNCTION("""COMPUTED_VALUE"""),278)</f>
        <v>278</v>
      </c>
      <c r="N175" s="1" t="str">
        <f ca="1">IFERROR(__xludf.DUMMYFUNCTION("""COMPUTED_VALUE"""),"+4.29")</f>
        <v>+4.29</v>
      </c>
      <c r="O175" s="1">
        <f ca="1">IFERROR(__xludf.DUMMYFUNCTION("""COMPUTED_VALUE"""),90)</f>
        <v>90</v>
      </c>
      <c r="P175" s="1">
        <f ca="1">IFERROR(__xludf.DUMMYFUNCTION("""COMPUTED_VALUE"""),105.3)</f>
        <v>105.3</v>
      </c>
      <c r="Q175" s="1">
        <f ca="1">IFERROR(__xludf.DUMMYFUNCTION("""COMPUTED_VALUE"""),99)</f>
        <v>99</v>
      </c>
      <c r="R175" s="1">
        <f ca="1">IFERROR(__xludf.DUMMYFUNCTION("""COMPUTED_VALUE"""),101)</f>
        <v>101</v>
      </c>
      <c r="S175" s="1">
        <f ca="1">IFERROR(__xludf.DUMMYFUNCTION("""COMPUTED_VALUE"""),81)</f>
        <v>81</v>
      </c>
      <c r="T175" s="1">
        <f ca="1">IFERROR(__xludf.DUMMYFUNCTION("""COMPUTED_VALUE"""),-2.51)</f>
        <v>-2.5099999999999998</v>
      </c>
      <c r="U175" s="1">
        <f ca="1">IFERROR(__xludf.DUMMYFUNCTION("""COMPUTED_VALUE"""),224)</f>
        <v>224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IFERROR(__xludf.DUMMYFUNCTION("""COMPUTED_VALUE"""),"Marshall")</f>
        <v>Marshall</v>
      </c>
      <c r="C176" s="1" t="str">
        <f ca="1">IFERROR(__xludf.DUMMYFUNCTION("""COMPUTED_VALUE"""),"MAC")</f>
        <v>MAC</v>
      </c>
      <c r="D176" s="1" t="str">
        <f ca="1">IFERROR(__xludf.DUMMYFUNCTION("""COMPUTED_VALUE"""),"15-15")</f>
        <v>15-15</v>
      </c>
      <c r="E176" s="1">
        <f ca="1">IFERROR(__xludf.DUMMYFUNCTION("""COMPUTED_VALUE"""),-0.55)</f>
        <v>-0.55000000000000004</v>
      </c>
      <c r="F176" s="1">
        <f ca="1">IFERROR(__xludf.DUMMYFUNCTION("""COMPUTED_VALUE"""),110)</f>
        <v>110</v>
      </c>
      <c r="G176" s="1">
        <f ca="1">IFERROR(__xludf.DUMMYFUNCTION("""COMPUTED_VALUE"""),63)</f>
        <v>63</v>
      </c>
      <c r="H176" s="1">
        <f ca="1">IFERROR(__xludf.DUMMYFUNCTION("""COMPUTED_VALUE"""),110.5)</f>
        <v>110.5</v>
      </c>
      <c r="I176" s="1">
        <f ca="1">IFERROR(__xludf.DUMMYFUNCTION("""COMPUTED_VALUE"""),290)</f>
        <v>290</v>
      </c>
      <c r="J176" s="1">
        <f ca="1">IFERROR(__xludf.DUMMYFUNCTION("""COMPUTED_VALUE"""),69.6)</f>
        <v>69.599999999999994</v>
      </c>
      <c r="K176" s="1">
        <f ca="1">IFERROR(__xludf.DUMMYFUNCTION("""COMPUTED_VALUE"""),102)</f>
        <v>102</v>
      </c>
      <c r="L176" s="1" t="str">
        <f ca="1">IFERROR(__xludf.DUMMYFUNCTION("""COMPUTED_VALUE"""),"+.037")</f>
        <v>+.037</v>
      </c>
      <c r="M176" s="1">
        <f ca="1">IFERROR(__xludf.DUMMYFUNCTION("""COMPUTED_VALUE"""),84)</f>
        <v>84</v>
      </c>
      <c r="N176" s="1" t="str">
        <f ca="1">IFERROR(__xludf.DUMMYFUNCTION("""COMPUTED_VALUE"""),"+1.70")</f>
        <v>+1.70</v>
      </c>
      <c r="O176" s="1">
        <f ca="1">IFERROR(__xludf.DUMMYFUNCTION("""COMPUTED_VALUE"""),126)</f>
        <v>126</v>
      </c>
      <c r="P176" s="1">
        <f ca="1">IFERROR(__xludf.DUMMYFUNCTION("""COMPUTED_VALUE"""),105)</f>
        <v>105</v>
      </c>
      <c r="Q176" s="1">
        <f ca="1">IFERROR(__xludf.DUMMYFUNCTION("""COMPUTED_VALUE"""),110)</f>
        <v>110</v>
      </c>
      <c r="R176" s="1">
        <f ca="1">IFERROR(__xludf.DUMMYFUNCTION("""COMPUTED_VALUE"""),103.3)</f>
        <v>103.3</v>
      </c>
      <c r="S176" s="1">
        <f ca="1">IFERROR(__xludf.DUMMYFUNCTION("""COMPUTED_VALUE"""),159)</f>
        <v>159</v>
      </c>
      <c r="T176" s="1" t="str">
        <f ca="1">IFERROR(__xludf.DUMMYFUNCTION("""COMPUTED_VALUE"""),"+1.59")</f>
        <v>+1.59</v>
      </c>
      <c r="U176" s="1">
        <f ca="1">IFERROR(__xludf.DUMMYFUNCTION("""COMPUTED_VALUE"""),122)</f>
        <v>122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IFERROR(__xludf.DUMMYFUNCTION("""COMPUTED_VALUE"""),"Texas Pan American")</f>
        <v>Texas Pan American</v>
      </c>
      <c r="C177" s="1" t="str">
        <f ca="1">IFERROR(__xludf.DUMMYFUNCTION("""COMPUTED_VALUE"""),"ind")</f>
        <v>ind</v>
      </c>
      <c r="D177" s="1" t="str">
        <f ca="1">IFERROR(__xludf.DUMMYFUNCTION("""COMPUTED_VALUE"""),"16-10")</f>
        <v>16-10</v>
      </c>
      <c r="E177" s="1">
        <f ca="1">IFERROR(__xludf.DUMMYFUNCTION("""COMPUTED_VALUE"""),-0.62)</f>
        <v>-0.62</v>
      </c>
      <c r="F177" s="1">
        <f ca="1">IFERROR(__xludf.DUMMYFUNCTION("""COMPUTED_VALUE"""),101.1)</f>
        <v>101.1</v>
      </c>
      <c r="G177" s="1">
        <f ca="1">IFERROR(__xludf.DUMMYFUNCTION("""COMPUTED_VALUE"""),197)</f>
        <v>197</v>
      </c>
      <c r="H177" s="1">
        <f ca="1">IFERROR(__xludf.DUMMYFUNCTION("""COMPUTED_VALUE"""),101.7)</f>
        <v>101.7</v>
      </c>
      <c r="I177" s="1">
        <f ca="1">IFERROR(__xludf.DUMMYFUNCTION("""COMPUTED_VALUE"""),137)</f>
        <v>137</v>
      </c>
      <c r="J177" s="1">
        <f ca="1">IFERROR(__xludf.DUMMYFUNCTION("""COMPUTED_VALUE"""),71.7)</f>
        <v>71.7</v>
      </c>
      <c r="K177" s="1">
        <f ca="1">IFERROR(__xludf.DUMMYFUNCTION("""COMPUTED_VALUE"""),48)</f>
        <v>48</v>
      </c>
      <c r="L177" s="1" t="str">
        <f ca="1">IFERROR(__xludf.DUMMYFUNCTION("""COMPUTED_VALUE"""),"+.051")</f>
        <v>+.051</v>
      </c>
      <c r="M177" s="1">
        <f ca="1">IFERROR(__xludf.DUMMYFUNCTION("""COMPUTED_VALUE"""),57)</f>
        <v>57</v>
      </c>
      <c r="N177" s="1">
        <f ca="1">IFERROR(__xludf.DUMMYFUNCTION("""COMPUTED_VALUE"""),-3.7)</f>
        <v>-3.7</v>
      </c>
      <c r="O177" s="1">
        <f ca="1">IFERROR(__xludf.DUMMYFUNCTION("""COMPUTED_VALUE"""),232)</f>
        <v>232</v>
      </c>
      <c r="P177" s="1">
        <f ca="1">IFERROR(__xludf.DUMMYFUNCTION("""COMPUTED_VALUE"""),102.4)</f>
        <v>102.4</v>
      </c>
      <c r="Q177" s="1">
        <f ca="1">IFERROR(__xludf.DUMMYFUNCTION("""COMPUTED_VALUE"""),197)</f>
        <v>197</v>
      </c>
      <c r="R177" s="1">
        <f ca="1">IFERROR(__xludf.DUMMYFUNCTION("""COMPUTED_VALUE"""),106.1)</f>
        <v>106.1</v>
      </c>
      <c r="S177" s="1">
        <f ca="1">IFERROR(__xludf.DUMMYFUNCTION("""COMPUTED_VALUE"""),269)</f>
        <v>269</v>
      </c>
      <c r="T177" s="1">
        <f ca="1">IFERROR(__xludf.DUMMYFUNCTION("""COMPUTED_VALUE"""),-1.05)</f>
        <v>-1.05</v>
      </c>
      <c r="U177" s="1">
        <f ca="1">IFERROR(__xludf.DUMMYFUNCTION("""COMPUTED_VALUE"""),194)</f>
        <v>194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IFERROR(__xludf.DUMMYFUNCTION("""COMPUTED_VALUE"""),"Morehead St.")</f>
        <v>Morehead St.</v>
      </c>
      <c r="C178" s="1" t="str">
        <f ca="1">IFERROR(__xludf.DUMMYFUNCTION("""COMPUTED_VALUE"""),"OVC")</f>
        <v>OVC</v>
      </c>
      <c r="D178" s="1" t="str">
        <f ca="1">IFERROR(__xludf.DUMMYFUNCTION("""COMPUTED_VALUE"""),"15-11")</f>
        <v>15-11</v>
      </c>
      <c r="E178" s="1">
        <f ca="1">IFERROR(__xludf.DUMMYFUNCTION("""COMPUTED_VALUE"""),-0.91)</f>
        <v>-0.91</v>
      </c>
      <c r="F178" s="1">
        <f ca="1">IFERROR(__xludf.DUMMYFUNCTION("""COMPUTED_VALUE"""),105.5)</f>
        <v>105.5</v>
      </c>
      <c r="G178" s="1">
        <f ca="1">IFERROR(__xludf.DUMMYFUNCTION("""COMPUTED_VALUE"""),121)</f>
        <v>121</v>
      </c>
      <c r="H178" s="1">
        <f ca="1">IFERROR(__xludf.DUMMYFUNCTION("""COMPUTED_VALUE"""),106.4)</f>
        <v>106.4</v>
      </c>
      <c r="I178" s="1">
        <f ca="1">IFERROR(__xludf.DUMMYFUNCTION("""COMPUTED_VALUE"""),233)</f>
        <v>233</v>
      </c>
      <c r="J178" s="1">
        <f ca="1">IFERROR(__xludf.DUMMYFUNCTION("""COMPUTED_VALUE"""),68.1)</f>
        <v>68.099999999999994</v>
      </c>
      <c r="K178" s="1">
        <f ca="1">IFERROR(__xludf.DUMMYFUNCTION("""COMPUTED_VALUE"""),168)</f>
        <v>168</v>
      </c>
      <c r="L178" s="1" t="str">
        <f ca="1">IFERROR(__xludf.DUMMYFUNCTION("""COMPUTED_VALUE"""),"+.072")</f>
        <v>+.072</v>
      </c>
      <c r="M178" s="1">
        <f ca="1">IFERROR(__xludf.DUMMYFUNCTION("""COMPUTED_VALUE"""),23)</f>
        <v>23</v>
      </c>
      <c r="N178" s="1">
        <f ca="1">IFERROR(__xludf.DUMMYFUNCTION("""COMPUTED_VALUE"""),-3.35)</f>
        <v>-3.35</v>
      </c>
      <c r="O178" s="1">
        <f ca="1">IFERROR(__xludf.DUMMYFUNCTION("""COMPUTED_VALUE"""),226)</f>
        <v>226</v>
      </c>
      <c r="P178" s="1">
        <f ca="1">IFERROR(__xludf.DUMMYFUNCTION("""COMPUTED_VALUE"""),103.1)</f>
        <v>103.1</v>
      </c>
      <c r="Q178" s="1">
        <f ca="1">IFERROR(__xludf.DUMMYFUNCTION("""COMPUTED_VALUE"""),174)</f>
        <v>174</v>
      </c>
      <c r="R178" s="1">
        <f ca="1">IFERROR(__xludf.DUMMYFUNCTION("""COMPUTED_VALUE"""),106.4)</f>
        <v>106.4</v>
      </c>
      <c r="S178" s="1">
        <f ca="1">IFERROR(__xludf.DUMMYFUNCTION("""COMPUTED_VALUE"""),281)</f>
        <v>281</v>
      </c>
      <c r="T178" s="1" t="str">
        <f ca="1">IFERROR(__xludf.DUMMYFUNCTION("""COMPUTED_VALUE"""),"+4.35")</f>
        <v>+4.35</v>
      </c>
      <c r="U178" s="1">
        <f ca="1">IFERROR(__xludf.DUMMYFUNCTION("""COMPUTED_VALUE"""),72)</f>
        <v>72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IFERROR(__xludf.DUMMYFUNCTION("""COMPUTED_VALUE"""),"IUPUI")</f>
        <v>IUPUI</v>
      </c>
      <c r="C179" s="1" t="str">
        <f ca="1">IFERROR(__xludf.DUMMYFUNCTION("""COMPUTED_VALUE"""),"MCon")</f>
        <v>MCon</v>
      </c>
      <c r="D179" s="1" t="str">
        <f ca="1">IFERROR(__xludf.DUMMYFUNCTION("""COMPUTED_VALUE"""),"13-15")</f>
        <v>13-15</v>
      </c>
      <c r="E179" s="1">
        <f ca="1">IFERROR(__xludf.DUMMYFUNCTION("""COMPUTED_VALUE"""),-0.96)</f>
        <v>-0.96</v>
      </c>
      <c r="F179" s="1">
        <f ca="1">IFERROR(__xludf.DUMMYFUNCTION("""COMPUTED_VALUE"""),102.3)</f>
        <v>102.3</v>
      </c>
      <c r="G179" s="1">
        <f ca="1">IFERROR(__xludf.DUMMYFUNCTION("""COMPUTED_VALUE"""),177)</f>
        <v>177</v>
      </c>
      <c r="H179" s="1">
        <f ca="1">IFERROR(__xludf.DUMMYFUNCTION("""COMPUTED_VALUE"""),103.3)</f>
        <v>103.3</v>
      </c>
      <c r="I179" s="1">
        <f ca="1">IFERROR(__xludf.DUMMYFUNCTION("""COMPUTED_VALUE"""),171)</f>
        <v>171</v>
      </c>
      <c r="J179" s="1">
        <f ca="1">IFERROR(__xludf.DUMMYFUNCTION("""COMPUTED_VALUE"""),69.4)</f>
        <v>69.400000000000006</v>
      </c>
      <c r="K179" s="1">
        <f ca="1">IFERROR(__xludf.DUMMYFUNCTION("""COMPUTED_VALUE"""),117)</f>
        <v>117</v>
      </c>
      <c r="L179" s="1">
        <f ca="1">IFERROR(__xludf.DUMMYFUNCTION("""COMPUTED_VALUE"""),-0.014)</f>
        <v>-1.4E-2</v>
      </c>
      <c r="M179" s="1">
        <f ca="1">IFERROR(__xludf.DUMMYFUNCTION("""COMPUTED_VALUE"""),194)</f>
        <v>194</v>
      </c>
      <c r="N179" s="1">
        <f ca="1">IFERROR(__xludf.DUMMYFUNCTION("""COMPUTED_VALUE"""),-0.15)</f>
        <v>-0.15</v>
      </c>
      <c r="O179" s="1">
        <f ca="1">IFERROR(__xludf.DUMMYFUNCTION("""COMPUTED_VALUE"""),162)</f>
        <v>162</v>
      </c>
      <c r="P179" s="1">
        <f ca="1">IFERROR(__xludf.DUMMYFUNCTION("""COMPUTED_VALUE"""),104.2)</f>
        <v>104.2</v>
      </c>
      <c r="Q179" s="1">
        <f ca="1">IFERROR(__xludf.DUMMYFUNCTION("""COMPUTED_VALUE"""),130)</f>
        <v>130</v>
      </c>
      <c r="R179" s="1">
        <f ca="1">IFERROR(__xludf.DUMMYFUNCTION("""COMPUTED_VALUE"""),104.4)</f>
        <v>104.4</v>
      </c>
      <c r="S179" s="1">
        <f ca="1">IFERROR(__xludf.DUMMYFUNCTION("""COMPUTED_VALUE"""),206)</f>
        <v>206</v>
      </c>
      <c r="T179" s="1" t="str">
        <f ca="1">IFERROR(__xludf.DUMMYFUNCTION("""COMPUTED_VALUE"""),"+1.61")</f>
        <v>+1.61</v>
      </c>
      <c r="U179" s="1">
        <f ca="1">IFERROR(__xludf.DUMMYFUNCTION("""COMPUTED_VALUE"""),121)</f>
        <v>121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IFERROR(__xludf.DUMMYFUNCTION("""COMPUTED_VALUE"""),"DePaul")</f>
        <v>DePaul</v>
      </c>
      <c r="C180" s="1" t="str">
        <f ca="1">IFERROR(__xludf.DUMMYFUNCTION("""COMPUTED_VALUE"""),"CUSA")</f>
        <v>CUSA</v>
      </c>
      <c r="D180" s="2">
        <f ca="1">IFERROR(__xludf.DUMMYFUNCTION("""COMPUTED_VALUE"""),44823)</f>
        <v>44823</v>
      </c>
      <c r="E180" s="1">
        <f ca="1">IFERROR(__xludf.DUMMYFUNCTION("""COMPUTED_VALUE"""),-0.96)</f>
        <v>-0.96</v>
      </c>
      <c r="F180" s="1">
        <f ca="1">IFERROR(__xludf.DUMMYFUNCTION("""COMPUTED_VALUE"""),100.4)</f>
        <v>100.4</v>
      </c>
      <c r="G180" s="1">
        <f ca="1">IFERROR(__xludf.DUMMYFUNCTION("""COMPUTED_VALUE"""),206)</f>
        <v>206</v>
      </c>
      <c r="H180" s="1">
        <f ca="1">IFERROR(__xludf.DUMMYFUNCTION("""COMPUTED_VALUE"""),101.4)</f>
        <v>101.4</v>
      </c>
      <c r="I180" s="1">
        <f ca="1">IFERROR(__xludf.DUMMYFUNCTION("""COMPUTED_VALUE"""),128)</f>
        <v>128</v>
      </c>
      <c r="J180" s="1">
        <f ca="1">IFERROR(__xludf.DUMMYFUNCTION("""COMPUTED_VALUE"""),71.3)</f>
        <v>71.3</v>
      </c>
      <c r="K180" s="1">
        <f ca="1">IFERROR(__xludf.DUMMYFUNCTION("""COMPUTED_VALUE"""),54)</f>
        <v>54</v>
      </c>
      <c r="L180" s="1">
        <f ca="1">IFERROR(__xludf.DUMMYFUNCTION("""COMPUTED_VALUE"""),-0.043)</f>
        <v>-4.2999999999999997E-2</v>
      </c>
      <c r="M180" s="1">
        <f ca="1">IFERROR(__xludf.DUMMYFUNCTION("""COMPUTED_VALUE"""),260)</f>
        <v>260</v>
      </c>
      <c r="N180" s="1" t="str">
        <f ca="1">IFERROR(__xludf.DUMMYFUNCTION("""COMPUTED_VALUE"""),"+6.90")</f>
        <v>+6.90</v>
      </c>
      <c r="O180" s="1">
        <f ca="1">IFERROR(__xludf.DUMMYFUNCTION("""COMPUTED_VALUE"""),53)</f>
        <v>53</v>
      </c>
      <c r="P180" s="1">
        <f ca="1">IFERROR(__xludf.DUMMYFUNCTION("""COMPUTED_VALUE"""),107.1)</f>
        <v>107.1</v>
      </c>
      <c r="Q180" s="1">
        <f ca="1">IFERROR(__xludf.DUMMYFUNCTION("""COMPUTED_VALUE"""),47)</f>
        <v>47</v>
      </c>
      <c r="R180" s="1">
        <f ca="1">IFERROR(__xludf.DUMMYFUNCTION("""COMPUTED_VALUE"""),100.2)</f>
        <v>100.2</v>
      </c>
      <c r="S180" s="1">
        <f ca="1">IFERROR(__xludf.DUMMYFUNCTION("""COMPUTED_VALUE"""),63)</f>
        <v>63</v>
      </c>
      <c r="T180" s="1">
        <f ca="1">IFERROR(__xludf.DUMMYFUNCTION("""COMPUTED_VALUE"""),-0.92)</f>
        <v>-0.92</v>
      </c>
      <c r="U180" s="1">
        <f ca="1">IFERROR(__xludf.DUMMYFUNCTION("""COMPUTED_VALUE"""),185)</f>
        <v>185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IFERROR(__xludf.DUMMYFUNCTION("""COMPUTED_VALUE"""),"Furman")</f>
        <v>Furman</v>
      </c>
      <c r="C181" s="1" t="str">
        <f ca="1">IFERROR(__xludf.DUMMYFUNCTION("""COMPUTED_VALUE"""),"SC")</f>
        <v>SC</v>
      </c>
      <c r="D181" s="1" t="str">
        <f ca="1">IFERROR(__xludf.DUMMYFUNCTION("""COMPUTED_VALUE"""),"13-14")</f>
        <v>13-14</v>
      </c>
      <c r="E181" s="1">
        <f ca="1">IFERROR(__xludf.DUMMYFUNCTION("""COMPUTED_VALUE"""),-1.01)</f>
        <v>-1.01</v>
      </c>
      <c r="F181" s="1">
        <f ca="1">IFERROR(__xludf.DUMMYFUNCTION("""COMPUTED_VALUE"""),100.2)</f>
        <v>100.2</v>
      </c>
      <c r="G181" s="1">
        <f ca="1">IFERROR(__xludf.DUMMYFUNCTION("""COMPUTED_VALUE"""),211)</f>
        <v>211</v>
      </c>
      <c r="H181" s="1">
        <f ca="1">IFERROR(__xludf.DUMMYFUNCTION("""COMPUTED_VALUE"""),101.2)</f>
        <v>101.2</v>
      </c>
      <c r="I181" s="1">
        <f ca="1">IFERROR(__xludf.DUMMYFUNCTION("""COMPUTED_VALUE"""),125)</f>
        <v>125</v>
      </c>
      <c r="J181" s="1">
        <f ca="1">IFERROR(__xludf.DUMMYFUNCTION("""COMPUTED_VALUE"""),65.8)</f>
        <v>65.8</v>
      </c>
      <c r="K181" s="1">
        <f ca="1">IFERROR(__xludf.DUMMYFUNCTION("""COMPUTED_VALUE"""),247)</f>
        <v>247</v>
      </c>
      <c r="L181" s="1" t="str">
        <f ca="1">IFERROR(__xludf.DUMMYFUNCTION("""COMPUTED_VALUE"""),"+.021")</f>
        <v>+.021</v>
      </c>
      <c r="M181" s="1">
        <f ca="1">IFERROR(__xludf.DUMMYFUNCTION("""COMPUTED_VALUE"""),112)</f>
        <v>112</v>
      </c>
      <c r="N181" s="1">
        <f ca="1">IFERROR(__xludf.DUMMYFUNCTION("""COMPUTED_VALUE"""),-0.34)</f>
        <v>-0.34</v>
      </c>
      <c r="O181" s="1">
        <f ca="1">IFERROR(__xludf.DUMMYFUNCTION("""COMPUTED_VALUE"""),171)</f>
        <v>171</v>
      </c>
      <c r="P181" s="1">
        <f ca="1">IFERROR(__xludf.DUMMYFUNCTION("""COMPUTED_VALUE"""),102.9)</f>
        <v>102.9</v>
      </c>
      <c r="Q181" s="1">
        <f ca="1">IFERROR(__xludf.DUMMYFUNCTION("""COMPUTED_VALUE"""),184)</f>
        <v>184</v>
      </c>
      <c r="R181" s="1">
        <f ca="1">IFERROR(__xludf.DUMMYFUNCTION("""COMPUTED_VALUE"""),103.2)</f>
        <v>103.2</v>
      </c>
      <c r="S181" s="1">
        <f ca="1">IFERROR(__xludf.DUMMYFUNCTION("""COMPUTED_VALUE"""),157)</f>
        <v>157</v>
      </c>
      <c r="T181" s="1">
        <f ca="1">IFERROR(__xludf.DUMMYFUNCTION("""COMPUTED_VALUE"""),-1.9)</f>
        <v>-1.9</v>
      </c>
      <c r="U181" s="1">
        <f ca="1">IFERROR(__xludf.DUMMYFUNCTION("""COMPUTED_VALUE"""),213)</f>
        <v>213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IFERROR(__xludf.DUMMYFUNCTION("""COMPUTED_VALUE"""),"New Orleans")</f>
        <v>New Orleans</v>
      </c>
      <c r="C182" s="1" t="str">
        <f ca="1">IFERROR(__xludf.DUMMYFUNCTION("""COMPUTED_VALUE"""),"SB")</f>
        <v>SB</v>
      </c>
      <c r="D182" s="1" t="str">
        <f ca="1">IFERROR(__xludf.DUMMYFUNCTION("""COMPUTED_VALUE"""),"14-14")</f>
        <v>14-14</v>
      </c>
      <c r="E182" s="1">
        <f ca="1">IFERROR(__xludf.DUMMYFUNCTION("""COMPUTED_VALUE"""),-1.15)</f>
        <v>-1.1499999999999999</v>
      </c>
      <c r="F182" s="1">
        <f ca="1">IFERROR(__xludf.DUMMYFUNCTION("""COMPUTED_VALUE"""),98.4)</f>
        <v>98.4</v>
      </c>
      <c r="G182" s="1">
        <f ca="1">IFERROR(__xludf.DUMMYFUNCTION("""COMPUTED_VALUE"""),240)</f>
        <v>240</v>
      </c>
      <c r="H182" s="1">
        <f ca="1">IFERROR(__xludf.DUMMYFUNCTION("""COMPUTED_VALUE"""),99.5)</f>
        <v>99.5</v>
      </c>
      <c r="I182" s="1">
        <f ca="1">IFERROR(__xludf.DUMMYFUNCTION("""COMPUTED_VALUE"""),93)</f>
        <v>93</v>
      </c>
      <c r="J182" s="1">
        <f ca="1">IFERROR(__xludf.DUMMYFUNCTION("""COMPUTED_VALUE"""),68)</f>
        <v>68</v>
      </c>
      <c r="K182" s="1">
        <f ca="1">IFERROR(__xludf.DUMMYFUNCTION("""COMPUTED_VALUE"""),173)</f>
        <v>173</v>
      </c>
      <c r="L182" s="1" t="str">
        <f ca="1">IFERROR(__xludf.DUMMYFUNCTION("""COMPUTED_VALUE"""),"+.042")</f>
        <v>+.042</v>
      </c>
      <c r="M182" s="1">
        <f ca="1">IFERROR(__xludf.DUMMYFUNCTION("""COMPUTED_VALUE"""),71)</f>
        <v>71</v>
      </c>
      <c r="N182" s="1">
        <f ca="1">IFERROR(__xludf.DUMMYFUNCTION("""COMPUTED_VALUE"""),-0.93)</f>
        <v>-0.93</v>
      </c>
      <c r="O182" s="1">
        <f ca="1">IFERROR(__xludf.DUMMYFUNCTION("""COMPUTED_VALUE"""),183)</f>
        <v>183</v>
      </c>
      <c r="P182" s="1">
        <f ca="1">IFERROR(__xludf.DUMMYFUNCTION("""COMPUTED_VALUE"""),102.2)</f>
        <v>102.2</v>
      </c>
      <c r="Q182" s="1">
        <f ca="1">IFERROR(__xludf.DUMMYFUNCTION("""COMPUTED_VALUE"""),206)</f>
        <v>206</v>
      </c>
      <c r="R182" s="1">
        <f ca="1">IFERROR(__xludf.DUMMYFUNCTION("""COMPUTED_VALUE"""),103.1)</f>
        <v>103.1</v>
      </c>
      <c r="S182" s="1">
        <f ca="1">IFERROR(__xludf.DUMMYFUNCTION("""COMPUTED_VALUE"""),149)</f>
        <v>149</v>
      </c>
      <c r="T182" s="1">
        <f ca="1">IFERROR(__xludf.DUMMYFUNCTION("""COMPUTED_VALUE"""),-0.65)</f>
        <v>-0.65</v>
      </c>
      <c r="U182" s="1">
        <f ca="1">IFERROR(__xludf.DUMMYFUNCTION("""COMPUTED_VALUE"""),176)</f>
        <v>176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IFERROR(__xludf.DUMMYFUNCTION("""COMPUTED_VALUE"""),"James Madison")</f>
        <v>James Madison</v>
      </c>
      <c r="C183" s="1" t="str">
        <f ca="1">IFERROR(__xludf.DUMMYFUNCTION("""COMPUTED_VALUE"""),"CAA")</f>
        <v>CAA</v>
      </c>
      <c r="D183" s="1" t="str">
        <f ca="1">IFERROR(__xludf.DUMMYFUNCTION("""COMPUTED_VALUE"""),"14-15")</f>
        <v>14-15</v>
      </c>
      <c r="E183" s="1">
        <f ca="1">IFERROR(__xludf.DUMMYFUNCTION("""COMPUTED_VALUE"""),-1.21)</f>
        <v>-1.21</v>
      </c>
      <c r="F183" s="1">
        <f ca="1">IFERROR(__xludf.DUMMYFUNCTION("""COMPUTED_VALUE"""),106.4)</f>
        <v>106.4</v>
      </c>
      <c r="G183" s="1">
        <f ca="1">IFERROR(__xludf.DUMMYFUNCTION("""COMPUTED_VALUE"""),110)</f>
        <v>110</v>
      </c>
      <c r="H183" s="1">
        <f ca="1">IFERROR(__xludf.DUMMYFUNCTION("""COMPUTED_VALUE"""),107.6)</f>
        <v>107.6</v>
      </c>
      <c r="I183" s="1">
        <f ca="1">IFERROR(__xludf.DUMMYFUNCTION("""COMPUTED_VALUE"""),253)</f>
        <v>253</v>
      </c>
      <c r="J183" s="1">
        <f ca="1">IFERROR(__xludf.DUMMYFUNCTION("""COMPUTED_VALUE"""),65.8)</f>
        <v>65.8</v>
      </c>
      <c r="K183" s="1">
        <f ca="1">IFERROR(__xludf.DUMMYFUNCTION("""COMPUTED_VALUE"""),245)</f>
        <v>245</v>
      </c>
      <c r="L183" s="1">
        <f ca="1">IFERROR(__xludf.DUMMYFUNCTION("""COMPUTED_VALUE"""),-0.036)</f>
        <v>-3.5999999999999997E-2</v>
      </c>
      <c r="M183" s="1">
        <f ca="1">IFERROR(__xludf.DUMMYFUNCTION("""COMPUTED_VALUE"""),246)</f>
        <v>246</v>
      </c>
      <c r="N183" s="1">
        <f ca="1">IFERROR(__xludf.DUMMYFUNCTION("""COMPUTED_VALUE"""),-2.91)</f>
        <v>-2.91</v>
      </c>
      <c r="O183" s="1">
        <f ca="1">IFERROR(__xludf.DUMMYFUNCTION("""COMPUTED_VALUE"""),221)</f>
        <v>221</v>
      </c>
      <c r="P183" s="1">
        <f ca="1">IFERROR(__xludf.DUMMYFUNCTION("""COMPUTED_VALUE"""),99.9)</f>
        <v>99.9</v>
      </c>
      <c r="Q183" s="1">
        <f ca="1">IFERROR(__xludf.DUMMYFUNCTION("""COMPUTED_VALUE"""),248)</f>
        <v>248</v>
      </c>
      <c r="R183" s="1">
        <f ca="1">IFERROR(__xludf.DUMMYFUNCTION("""COMPUTED_VALUE"""),102.9)</f>
        <v>102.9</v>
      </c>
      <c r="S183" s="1">
        <f ca="1">IFERROR(__xludf.DUMMYFUNCTION("""COMPUTED_VALUE"""),139)</f>
        <v>139</v>
      </c>
      <c r="T183" s="1">
        <f ca="1">IFERROR(__xludf.DUMMYFUNCTION("""COMPUTED_VALUE"""),-7.07)</f>
        <v>-7.07</v>
      </c>
      <c r="U183" s="1">
        <f ca="1">IFERROR(__xludf.DUMMYFUNCTION("""COMPUTED_VALUE"""),300)</f>
        <v>300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IFERROR(__xludf.DUMMYFUNCTION("""COMPUTED_VALUE"""),"Siena16")</f>
        <v>Siena16</v>
      </c>
      <c r="C184" s="1" t="str">
        <f ca="1">IFERROR(__xludf.DUMMYFUNCTION("""COMPUTED_VALUE"""),"MAAC")</f>
        <v>MAAC</v>
      </c>
      <c r="D184" s="1" t="str">
        <f ca="1">IFERROR(__xludf.DUMMYFUNCTION("""COMPUTED_VALUE"""),"17-19")</f>
        <v>17-19</v>
      </c>
      <c r="E184" s="1">
        <f ca="1">IFERROR(__xludf.DUMMYFUNCTION("""COMPUTED_VALUE"""),-1.21)</f>
        <v>-1.21</v>
      </c>
      <c r="F184" s="1">
        <f ca="1">IFERROR(__xludf.DUMMYFUNCTION("""COMPUTED_VALUE"""),100.8)</f>
        <v>100.8</v>
      </c>
      <c r="G184" s="1">
        <f ca="1">IFERROR(__xludf.DUMMYFUNCTION("""COMPUTED_VALUE"""),201)</f>
        <v>201</v>
      </c>
      <c r="H184" s="1">
        <f ca="1">IFERROR(__xludf.DUMMYFUNCTION("""COMPUTED_VALUE"""),102)</f>
        <v>102</v>
      </c>
      <c r="I184" s="1">
        <f ca="1">IFERROR(__xludf.DUMMYFUNCTION("""COMPUTED_VALUE"""),141)</f>
        <v>141</v>
      </c>
      <c r="J184" s="1">
        <f ca="1">IFERROR(__xludf.DUMMYFUNCTION("""COMPUTED_VALUE"""),66.5)</f>
        <v>66.5</v>
      </c>
      <c r="K184" s="1">
        <f ca="1">IFERROR(__xludf.DUMMYFUNCTION("""COMPUTED_VALUE"""),223)</f>
        <v>223</v>
      </c>
      <c r="L184" s="1">
        <f ca="1">IFERROR(__xludf.DUMMYFUNCTION("""COMPUTED_VALUE"""),-0.07)</f>
        <v>-7.0000000000000007E-2</v>
      </c>
      <c r="M184" s="1">
        <f ca="1">IFERROR(__xludf.DUMMYFUNCTION("""COMPUTED_VALUE"""),296)</f>
        <v>296</v>
      </c>
      <c r="N184" s="1">
        <f ca="1">IFERROR(__xludf.DUMMYFUNCTION("""COMPUTED_VALUE"""),-4.14)</f>
        <v>-4.1399999999999997</v>
      </c>
      <c r="O184" s="1">
        <f ca="1">IFERROR(__xludf.DUMMYFUNCTION("""COMPUTED_VALUE"""),237)</f>
        <v>237</v>
      </c>
      <c r="P184" s="1">
        <f ca="1">IFERROR(__xludf.DUMMYFUNCTION("""COMPUTED_VALUE"""),100.1)</f>
        <v>100.1</v>
      </c>
      <c r="Q184" s="1">
        <f ca="1">IFERROR(__xludf.DUMMYFUNCTION("""COMPUTED_VALUE"""),246)</f>
        <v>246</v>
      </c>
      <c r="R184" s="1">
        <f ca="1">IFERROR(__xludf.DUMMYFUNCTION("""COMPUTED_VALUE"""),104.2)</f>
        <v>104.2</v>
      </c>
      <c r="S184" s="1">
        <f ca="1">IFERROR(__xludf.DUMMYFUNCTION("""COMPUTED_VALUE"""),199)</f>
        <v>199</v>
      </c>
      <c r="T184" s="1">
        <f ca="1">IFERROR(__xludf.DUMMYFUNCTION("""COMPUTED_VALUE"""),-0.42)</f>
        <v>-0.42</v>
      </c>
      <c r="U184" s="1">
        <f ca="1">IFERROR(__xludf.DUMMYFUNCTION("""COMPUTED_VALUE"""),167)</f>
        <v>167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IFERROR(__xludf.DUMMYFUNCTION("""COMPUTED_VALUE"""),"Drake")</f>
        <v>Drake</v>
      </c>
      <c r="C185" s="1" t="str">
        <f ca="1">IFERROR(__xludf.DUMMYFUNCTION("""COMPUTED_VALUE"""),"MVC")</f>
        <v>MVC</v>
      </c>
      <c r="D185" s="1" t="str">
        <f ca="1">IFERROR(__xludf.DUMMYFUNCTION("""COMPUTED_VALUE"""),"14-15")</f>
        <v>14-15</v>
      </c>
      <c r="E185" s="1">
        <f ca="1">IFERROR(__xludf.DUMMYFUNCTION("""COMPUTED_VALUE"""),-1.41)</f>
        <v>-1.41</v>
      </c>
      <c r="F185" s="1">
        <f ca="1">IFERROR(__xludf.DUMMYFUNCTION("""COMPUTED_VALUE"""),107.1)</f>
        <v>107.1</v>
      </c>
      <c r="G185" s="1">
        <f ca="1">IFERROR(__xludf.DUMMYFUNCTION("""COMPUTED_VALUE"""),101)</f>
        <v>101</v>
      </c>
      <c r="H185" s="1">
        <f ca="1">IFERROR(__xludf.DUMMYFUNCTION("""COMPUTED_VALUE"""),108.5)</f>
        <v>108.5</v>
      </c>
      <c r="I185" s="1">
        <f ca="1">IFERROR(__xludf.DUMMYFUNCTION("""COMPUTED_VALUE"""),264)</f>
        <v>264</v>
      </c>
      <c r="J185" s="1">
        <f ca="1">IFERROR(__xludf.DUMMYFUNCTION("""COMPUTED_VALUE"""),64.5)</f>
        <v>64.5</v>
      </c>
      <c r="K185" s="1">
        <f ca="1">IFERROR(__xludf.DUMMYFUNCTION("""COMPUTED_VALUE"""),283)</f>
        <v>283</v>
      </c>
      <c r="L185" s="1" t="str">
        <f ca="1">IFERROR(__xludf.DUMMYFUNCTION("""COMPUTED_VALUE"""),"+.030")</f>
        <v>+.030</v>
      </c>
      <c r="M185" s="1">
        <f ca="1">IFERROR(__xludf.DUMMYFUNCTION("""COMPUTED_VALUE"""),94)</f>
        <v>94</v>
      </c>
      <c r="N185" s="1">
        <f ca="1">IFERROR(__xludf.DUMMYFUNCTION("""COMPUTED_VALUE"""),-0.17)</f>
        <v>-0.17</v>
      </c>
      <c r="O185" s="1">
        <f ca="1">IFERROR(__xludf.DUMMYFUNCTION("""COMPUTED_VALUE"""),164)</f>
        <v>164</v>
      </c>
      <c r="P185" s="1">
        <f ca="1">IFERROR(__xludf.DUMMYFUNCTION("""COMPUTED_VALUE"""),103.5)</f>
        <v>103.5</v>
      </c>
      <c r="Q185" s="1">
        <f ca="1">IFERROR(__xludf.DUMMYFUNCTION("""COMPUTED_VALUE"""),158)</f>
        <v>158</v>
      </c>
      <c r="R185" s="1">
        <f ca="1">IFERROR(__xludf.DUMMYFUNCTION("""COMPUTED_VALUE"""),103.7)</f>
        <v>103.7</v>
      </c>
      <c r="S185" s="1">
        <f ca="1">IFERROR(__xludf.DUMMYFUNCTION("""COMPUTED_VALUE"""),183)</f>
        <v>183</v>
      </c>
      <c r="T185" s="1">
        <f ca="1">IFERROR(__xludf.DUMMYFUNCTION("""COMPUTED_VALUE"""),-1.52)</f>
        <v>-1.52</v>
      </c>
      <c r="U185" s="1">
        <f ca="1">IFERROR(__xludf.DUMMYFUNCTION("""COMPUTED_VALUE"""),204)</f>
        <v>204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IFERROR(__xludf.DUMMYFUNCTION("""COMPUTED_VALUE"""),"Drexel")</f>
        <v>Drexel</v>
      </c>
      <c r="C186" s="1" t="str">
        <f ca="1">IFERROR(__xludf.DUMMYFUNCTION("""COMPUTED_VALUE"""),"CAA")</f>
        <v>CAA</v>
      </c>
      <c r="D186" s="1" t="str">
        <f ca="1">IFERROR(__xludf.DUMMYFUNCTION("""COMPUTED_VALUE"""),"14-14")</f>
        <v>14-14</v>
      </c>
      <c r="E186" s="1">
        <f ca="1">IFERROR(__xludf.DUMMYFUNCTION("""COMPUTED_VALUE"""),-1.45)</f>
        <v>-1.45</v>
      </c>
      <c r="F186" s="1">
        <f ca="1">IFERROR(__xludf.DUMMYFUNCTION("""COMPUTED_VALUE"""),104.4)</f>
        <v>104.4</v>
      </c>
      <c r="G186" s="1">
        <f ca="1">IFERROR(__xludf.DUMMYFUNCTION("""COMPUTED_VALUE"""),138)</f>
        <v>138</v>
      </c>
      <c r="H186" s="1">
        <f ca="1">IFERROR(__xludf.DUMMYFUNCTION("""COMPUTED_VALUE"""),105.9)</f>
        <v>105.9</v>
      </c>
      <c r="I186" s="1">
        <f ca="1">IFERROR(__xludf.DUMMYFUNCTION("""COMPUTED_VALUE"""),224)</f>
        <v>224</v>
      </c>
      <c r="J186" s="1">
        <f ca="1">IFERROR(__xludf.DUMMYFUNCTION("""COMPUTED_VALUE"""),70.4)</f>
        <v>70.400000000000006</v>
      </c>
      <c r="K186" s="1">
        <f ca="1">IFERROR(__xludf.DUMMYFUNCTION("""COMPUTED_VALUE"""),78)</f>
        <v>78</v>
      </c>
      <c r="L186" s="1" t="str">
        <f ca="1">IFERROR(__xludf.DUMMYFUNCTION("""COMPUTED_VALUE"""),"+.016")</f>
        <v>+.016</v>
      </c>
      <c r="M186" s="1">
        <f ca="1">IFERROR(__xludf.DUMMYFUNCTION("""COMPUTED_VALUE"""),124)</f>
        <v>124</v>
      </c>
      <c r="N186" s="1">
        <f ca="1">IFERROR(__xludf.DUMMYFUNCTION("""COMPUTED_VALUE"""),-1.41)</f>
        <v>-1.41</v>
      </c>
      <c r="O186" s="1">
        <f ca="1">IFERROR(__xludf.DUMMYFUNCTION("""COMPUTED_VALUE"""),191)</f>
        <v>191</v>
      </c>
      <c r="P186" s="1">
        <f ca="1">IFERROR(__xludf.DUMMYFUNCTION("""COMPUTED_VALUE"""),102)</f>
        <v>102</v>
      </c>
      <c r="Q186" s="1">
        <f ca="1">IFERROR(__xludf.DUMMYFUNCTION("""COMPUTED_VALUE"""),211)</f>
        <v>211</v>
      </c>
      <c r="R186" s="1">
        <f ca="1">IFERROR(__xludf.DUMMYFUNCTION("""COMPUTED_VALUE"""),103.4)</f>
        <v>103.4</v>
      </c>
      <c r="S186" s="1">
        <f ca="1">IFERROR(__xludf.DUMMYFUNCTION("""COMPUTED_VALUE"""),164)</f>
        <v>164</v>
      </c>
      <c r="T186" s="1">
        <f ca="1">IFERROR(__xludf.DUMMYFUNCTION("""COMPUTED_VALUE"""),-1.04)</f>
        <v>-1.04</v>
      </c>
      <c r="U186" s="1">
        <f ca="1">IFERROR(__xludf.DUMMYFUNCTION("""COMPUTED_VALUE"""),192)</f>
        <v>192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IFERROR(__xludf.DUMMYFUNCTION("""COMPUTED_VALUE"""),"Long Beach St.")</f>
        <v>Long Beach St.</v>
      </c>
      <c r="C187" s="1" t="str">
        <f ca="1">IFERROR(__xludf.DUMMYFUNCTION("""COMPUTED_VALUE"""),"BW")</f>
        <v>BW</v>
      </c>
      <c r="D187" s="2">
        <f ca="1">IFERROR(__xludf.DUMMYFUNCTION("""COMPUTED_VALUE"""),44912)</f>
        <v>44912</v>
      </c>
      <c r="E187" s="1">
        <f ca="1">IFERROR(__xludf.DUMMYFUNCTION("""COMPUTED_VALUE"""),-1.48)</f>
        <v>-1.48</v>
      </c>
      <c r="F187" s="1">
        <f ca="1">IFERROR(__xludf.DUMMYFUNCTION("""COMPUTED_VALUE"""),102.9)</f>
        <v>102.9</v>
      </c>
      <c r="G187" s="1">
        <f ca="1">IFERROR(__xludf.DUMMYFUNCTION("""COMPUTED_VALUE"""),162)</f>
        <v>162</v>
      </c>
      <c r="H187" s="1">
        <f ca="1">IFERROR(__xludf.DUMMYFUNCTION("""COMPUTED_VALUE"""),104.4)</f>
        <v>104.4</v>
      </c>
      <c r="I187" s="1">
        <f ca="1">IFERROR(__xludf.DUMMYFUNCTION("""COMPUTED_VALUE"""),197)</f>
        <v>197</v>
      </c>
      <c r="J187" s="1">
        <f ca="1">IFERROR(__xludf.DUMMYFUNCTION("""COMPUTED_VALUE"""),70.2)</f>
        <v>70.2</v>
      </c>
      <c r="K187" s="1">
        <f ca="1">IFERROR(__xludf.DUMMYFUNCTION("""COMPUTED_VALUE"""),83)</f>
        <v>83</v>
      </c>
      <c r="L187" s="1">
        <f ca="1">IFERROR(__xludf.DUMMYFUNCTION("""COMPUTED_VALUE"""),-0.021)</f>
        <v>-2.1000000000000001E-2</v>
      </c>
      <c r="M187" s="1">
        <f ca="1">IFERROR(__xludf.DUMMYFUNCTION("""COMPUTED_VALUE"""),210)</f>
        <v>210</v>
      </c>
      <c r="N187" s="1" t="str">
        <f ca="1">IFERROR(__xludf.DUMMYFUNCTION("""COMPUTED_VALUE"""),"+0.75")</f>
        <v>+0.75</v>
      </c>
      <c r="O187" s="1">
        <f ca="1">IFERROR(__xludf.DUMMYFUNCTION("""COMPUTED_VALUE"""),142)</f>
        <v>142</v>
      </c>
      <c r="P187" s="1">
        <f ca="1">IFERROR(__xludf.DUMMYFUNCTION("""COMPUTED_VALUE"""),103.6)</f>
        <v>103.6</v>
      </c>
      <c r="Q187" s="1">
        <f ca="1">IFERROR(__xludf.DUMMYFUNCTION("""COMPUTED_VALUE"""),153)</f>
        <v>153</v>
      </c>
      <c r="R187" s="1">
        <f ca="1">IFERROR(__xludf.DUMMYFUNCTION("""COMPUTED_VALUE"""),102.9)</f>
        <v>102.9</v>
      </c>
      <c r="S187" s="1">
        <f ca="1">IFERROR(__xludf.DUMMYFUNCTION("""COMPUTED_VALUE"""),140)</f>
        <v>140</v>
      </c>
      <c r="T187" s="1" t="str">
        <f ca="1">IFERROR(__xludf.DUMMYFUNCTION("""COMPUTED_VALUE"""),"+5.14")</f>
        <v>+5.14</v>
      </c>
      <c r="U187" s="1">
        <f ca="1">IFERROR(__xludf.DUMMYFUNCTION("""COMPUTED_VALUE"""),51)</f>
        <v>51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IFERROR(__xludf.DUMMYFUNCTION("""COMPUTED_VALUE"""),"Northern Iowa")</f>
        <v>Northern Iowa</v>
      </c>
      <c r="C188" s="1" t="str">
        <f ca="1">IFERROR(__xludf.DUMMYFUNCTION("""COMPUTED_VALUE"""),"MVC")</f>
        <v>MVC</v>
      </c>
      <c r="D188" s="1" t="str">
        <f ca="1">IFERROR(__xludf.DUMMYFUNCTION("""COMPUTED_VALUE"""),"14-15")</f>
        <v>14-15</v>
      </c>
      <c r="E188" s="1">
        <f ca="1">IFERROR(__xludf.DUMMYFUNCTION("""COMPUTED_VALUE"""),-1.49)</f>
        <v>-1.49</v>
      </c>
      <c r="F188" s="1">
        <f ca="1">IFERROR(__xludf.DUMMYFUNCTION("""COMPUTED_VALUE"""),108.2)</f>
        <v>108.2</v>
      </c>
      <c r="G188" s="1">
        <f ca="1">IFERROR(__xludf.DUMMYFUNCTION("""COMPUTED_VALUE"""),82)</f>
        <v>82</v>
      </c>
      <c r="H188" s="1">
        <f ca="1">IFERROR(__xludf.DUMMYFUNCTION("""COMPUTED_VALUE"""),109.7)</f>
        <v>109.7</v>
      </c>
      <c r="I188" s="1">
        <f ca="1">IFERROR(__xludf.DUMMYFUNCTION("""COMPUTED_VALUE"""),285)</f>
        <v>285</v>
      </c>
      <c r="J188" s="1">
        <f ca="1">IFERROR(__xludf.DUMMYFUNCTION("""COMPUTED_VALUE"""),66.9)</f>
        <v>66.900000000000006</v>
      </c>
      <c r="K188" s="1">
        <f ca="1">IFERROR(__xludf.DUMMYFUNCTION("""COMPUTED_VALUE"""),212)</f>
        <v>212</v>
      </c>
      <c r="L188" s="1" t="str">
        <f ca="1">IFERROR(__xludf.DUMMYFUNCTION("""COMPUTED_VALUE"""),"+.055")</f>
        <v>+.055</v>
      </c>
      <c r="M188" s="1">
        <f ca="1">IFERROR(__xludf.DUMMYFUNCTION("""COMPUTED_VALUE"""),45)</f>
        <v>45</v>
      </c>
      <c r="N188" s="1" t="str">
        <f ca="1">IFERROR(__xludf.DUMMYFUNCTION("""COMPUTED_VALUE"""),"+1.22")</f>
        <v>+1.22</v>
      </c>
      <c r="O188" s="1">
        <f ca="1">IFERROR(__xludf.DUMMYFUNCTION("""COMPUTED_VALUE"""),132)</f>
        <v>132</v>
      </c>
      <c r="P188" s="1">
        <f ca="1">IFERROR(__xludf.DUMMYFUNCTION("""COMPUTED_VALUE"""),104.2)</f>
        <v>104.2</v>
      </c>
      <c r="Q188" s="1">
        <f ca="1">IFERROR(__xludf.DUMMYFUNCTION("""COMPUTED_VALUE"""),129)</f>
        <v>129</v>
      </c>
      <c r="R188" s="1">
        <f ca="1">IFERROR(__xludf.DUMMYFUNCTION("""COMPUTED_VALUE"""),103)</f>
        <v>103</v>
      </c>
      <c r="S188" s="1">
        <f ca="1">IFERROR(__xludf.DUMMYFUNCTION("""COMPUTED_VALUE"""),147)</f>
        <v>147</v>
      </c>
      <c r="T188" s="1" t="str">
        <f ca="1">IFERROR(__xludf.DUMMYFUNCTION("""COMPUTED_VALUE"""),"+3.10")</f>
        <v>+3.10</v>
      </c>
      <c r="U188" s="1">
        <f ca="1">IFERROR(__xludf.DUMMYFUNCTION("""COMPUTED_VALUE"""),87)</f>
        <v>87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IFERROR(__xludf.DUMMYFUNCTION("""COMPUTED_VALUE"""),"Samford")</f>
        <v>Samford</v>
      </c>
      <c r="C189" s="1" t="str">
        <f ca="1">IFERROR(__xludf.DUMMYFUNCTION("""COMPUTED_VALUE"""),"ASun")</f>
        <v>ASun</v>
      </c>
      <c r="D189" s="1" t="str">
        <f ca="1">IFERROR(__xludf.DUMMYFUNCTION("""COMPUTED_VALUE"""),"15-14")</f>
        <v>15-14</v>
      </c>
      <c r="E189" s="1">
        <f ca="1">IFERROR(__xludf.DUMMYFUNCTION("""COMPUTED_VALUE"""),-1.49)</f>
        <v>-1.49</v>
      </c>
      <c r="F189" s="1">
        <f ca="1">IFERROR(__xludf.DUMMYFUNCTION("""COMPUTED_VALUE"""),102.5)</f>
        <v>102.5</v>
      </c>
      <c r="G189" s="1">
        <f ca="1">IFERROR(__xludf.DUMMYFUNCTION("""COMPUTED_VALUE"""),172)</f>
        <v>172</v>
      </c>
      <c r="H189" s="1">
        <f ca="1">IFERROR(__xludf.DUMMYFUNCTION("""COMPUTED_VALUE"""),104)</f>
        <v>104</v>
      </c>
      <c r="I189" s="1">
        <f ca="1">IFERROR(__xludf.DUMMYFUNCTION("""COMPUTED_VALUE"""),186)</f>
        <v>186</v>
      </c>
      <c r="J189" s="1">
        <f ca="1">IFERROR(__xludf.DUMMYFUNCTION("""COMPUTED_VALUE"""),56.8)</f>
        <v>56.8</v>
      </c>
      <c r="K189" s="1">
        <f ca="1">IFERROR(__xludf.DUMMYFUNCTION("""COMPUTED_VALUE"""),326)</f>
        <v>326</v>
      </c>
      <c r="L189" s="1" t="str">
        <f ca="1">IFERROR(__xludf.DUMMYFUNCTION("""COMPUTED_VALUE"""),"+.011")</f>
        <v>+.011</v>
      </c>
      <c r="M189" s="1">
        <f ca="1">IFERROR(__xludf.DUMMYFUNCTION("""COMPUTED_VALUE"""),139)</f>
        <v>139</v>
      </c>
      <c r="N189" s="1">
        <f ca="1">IFERROR(__xludf.DUMMYFUNCTION("""COMPUTED_VALUE"""),-2.89)</f>
        <v>-2.89</v>
      </c>
      <c r="O189" s="1">
        <f ca="1">IFERROR(__xludf.DUMMYFUNCTION("""COMPUTED_VALUE"""),220)</f>
        <v>220</v>
      </c>
      <c r="P189" s="1">
        <f ca="1">IFERROR(__xludf.DUMMYFUNCTION("""COMPUTED_VALUE"""),103.1)</f>
        <v>103.1</v>
      </c>
      <c r="Q189" s="1">
        <f ca="1">IFERROR(__xludf.DUMMYFUNCTION("""COMPUTED_VALUE"""),171)</f>
        <v>171</v>
      </c>
      <c r="R189" s="1">
        <f ca="1">IFERROR(__xludf.DUMMYFUNCTION("""COMPUTED_VALUE"""),106)</f>
        <v>106</v>
      </c>
      <c r="S189" s="1">
        <f ca="1">IFERROR(__xludf.DUMMYFUNCTION("""COMPUTED_VALUE"""),266)</f>
        <v>266</v>
      </c>
      <c r="T189" s="1" t="str">
        <f ca="1">IFERROR(__xludf.DUMMYFUNCTION("""COMPUTED_VALUE"""),"+6.02")</f>
        <v>+6.02</v>
      </c>
      <c r="U189" s="1">
        <f ca="1">IFERROR(__xludf.DUMMYFUNCTION("""COMPUTED_VALUE"""),39)</f>
        <v>39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IFERROR(__xludf.DUMMYFUNCTION("""COMPUTED_VALUE"""),"Niagara")</f>
        <v>Niagara</v>
      </c>
      <c r="C190" s="1" t="str">
        <f ca="1">IFERROR(__xludf.DUMMYFUNCTION("""COMPUTED_VALUE"""),"MAAC")</f>
        <v>MAAC</v>
      </c>
      <c r="D190" s="1" t="str">
        <f ca="1">IFERROR(__xludf.DUMMYFUNCTION("""COMPUTED_VALUE"""),"18-14")</f>
        <v>18-14</v>
      </c>
      <c r="E190" s="1">
        <f ca="1">IFERROR(__xludf.DUMMYFUNCTION("""COMPUTED_VALUE"""),-1.64)</f>
        <v>-1.64</v>
      </c>
      <c r="F190" s="1">
        <f ca="1">IFERROR(__xludf.DUMMYFUNCTION("""COMPUTED_VALUE"""),106.6)</f>
        <v>106.6</v>
      </c>
      <c r="G190" s="1">
        <f ca="1">IFERROR(__xludf.DUMMYFUNCTION("""COMPUTED_VALUE"""),109)</f>
        <v>109</v>
      </c>
      <c r="H190" s="1">
        <f ca="1">IFERROR(__xludf.DUMMYFUNCTION("""COMPUTED_VALUE"""),108.2)</f>
        <v>108.2</v>
      </c>
      <c r="I190" s="1">
        <f ca="1">IFERROR(__xludf.DUMMYFUNCTION("""COMPUTED_VALUE"""),260)</f>
        <v>260</v>
      </c>
      <c r="J190" s="1">
        <f ca="1">IFERROR(__xludf.DUMMYFUNCTION("""COMPUTED_VALUE"""),69.5)</f>
        <v>69.5</v>
      </c>
      <c r="K190" s="1">
        <f ca="1">IFERROR(__xludf.DUMMYFUNCTION("""COMPUTED_VALUE"""),109)</f>
        <v>109</v>
      </c>
      <c r="L190" s="1" t="str">
        <f ca="1">IFERROR(__xludf.DUMMYFUNCTION("""COMPUTED_VALUE"""),"+.024")</f>
        <v>+.024</v>
      </c>
      <c r="M190" s="1">
        <f ca="1">IFERROR(__xludf.DUMMYFUNCTION("""COMPUTED_VALUE"""),106)</f>
        <v>106</v>
      </c>
      <c r="N190" s="1">
        <f ca="1">IFERROR(__xludf.DUMMYFUNCTION("""COMPUTED_VALUE"""),-4.34)</f>
        <v>-4.34</v>
      </c>
      <c r="O190" s="1">
        <f ca="1">IFERROR(__xludf.DUMMYFUNCTION("""COMPUTED_VALUE"""),242)</f>
        <v>242</v>
      </c>
      <c r="P190" s="1">
        <f ca="1">IFERROR(__xludf.DUMMYFUNCTION("""COMPUTED_VALUE"""),99.6)</f>
        <v>99.6</v>
      </c>
      <c r="Q190" s="1">
        <f ca="1">IFERROR(__xludf.DUMMYFUNCTION("""COMPUTED_VALUE"""),256)</f>
        <v>256</v>
      </c>
      <c r="R190" s="1">
        <f ca="1">IFERROR(__xludf.DUMMYFUNCTION("""COMPUTED_VALUE"""),103.9)</f>
        <v>103.9</v>
      </c>
      <c r="S190" s="1">
        <f ca="1">IFERROR(__xludf.DUMMYFUNCTION("""COMPUTED_VALUE"""),191)</f>
        <v>191</v>
      </c>
      <c r="T190" s="1">
        <f ca="1">IFERROR(__xludf.DUMMYFUNCTION("""COMPUTED_VALUE"""),-1.71)</f>
        <v>-1.71</v>
      </c>
      <c r="U190" s="1">
        <f ca="1">IFERROR(__xludf.DUMMYFUNCTION("""COMPUTED_VALUE"""),209)</f>
        <v>209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IFERROR(__xludf.DUMMYFUNCTION("""COMPUTED_VALUE"""),"Air Force")</f>
        <v>Air Force</v>
      </c>
      <c r="C191" s="1" t="str">
        <f ca="1">IFERROR(__xludf.DUMMYFUNCTION("""COMPUTED_VALUE"""),"MWC")</f>
        <v>MWC</v>
      </c>
      <c r="D191" s="2">
        <f ca="1">IFERROR(__xludf.DUMMYFUNCTION("""COMPUTED_VALUE"""),44823)</f>
        <v>44823</v>
      </c>
      <c r="E191" s="1">
        <f ca="1">IFERROR(__xludf.DUMMYFUNCTION("""COMPUTED_VALUE"""),-1.64)</f>
        <v>-1.64</v>
      </c>
      <c r="F191" s="1">
        <f ca="1">IFERROR(__xludf.DUMMYFUNCTION("""COMPUTED_VALUE"""),103.8)</f>
        <v>103.8</v>
      </c>
      <c r="G191" s="1">
        <f ca="1">IFERROR(__xludf.DUMMYFUNCTION("""COMPUTED_VALUE"""),149)</f>
        <v>149</v>
      </c>
      <c r="H191" s="1">
        <f ca="1">IFERROR(__xludf.DUMMYFUNCTION("""COMPUTED_VALUE"""),105.5)</f>
        <v>105.5</v>
      </c>
      <c r="I191" s="1">
        <f ca="1">IFERROR(__xludf.DUMMYFUNCTION("""COMPUTED_VALUE"""),214)</f>
        <v>214</v>
      </c>
      <c r="J191" s="1">
        <f ca="1">IFERROR(__xludf.DUMMYFUNCTION("""COMPUTED_VALUE"""),54.2)</f>
        <v>54.2</v>
      </c>
      <c r="K191" s="1">
        <f ca="1">IFERROR(__xludf.DUMMYFUNCTION("""COMPUTED_VALUE"""),327)</f>
        <v>327</v>
      </c>
      <c r="L191" s="1">
        <f ca="1">IFERROR(__xludf.DUMMYFUNCTION("""COMPUTED_VALUE"""),-0.015)</f>
        <v>-1.4999999999999999E-2</v>
      </c>
      <c r="M191" s="1">
        <f ca="1">IFERROR(__xludf.DUMMYFUNCTION("""COMPUTED_VALUE"""),196)</f>
        <v>196</v>
      </c>
      <c r="N191" s="1" t="str">
        <f ca="1">IFERROR(__xludf.DUMMYFUNCTION("""COMPUTED_VALUE"""),"+4.29")</f>
        <v>+4.29</v>
      </c>
      <c r="O191" s="1">
        <f ca="1">IFERROR(__xludf.DUMMYFUNCTION("""COMPUTED_VALUE"""),89)</f>
        <v>89</v>
      </c>
      <c r="P191" s="1">
        <f ca="1">IFERROR(__xludf.DUMMYFUNCTION("""COMPUTED_VALUE"""),105.6)</f>
        <v>105.6</v>
      </c>
      <c r="Q191" s="1">
        <f ca="1">IFERROR(__xludf.DUMMYFUNCTION("""COMPUTED_VALUE"""),89)</f>
        <v>89</v>
      </c>
      <c r="R191" s="1">
        <f ca="1">IFERROR(__xludf.DUMMYFUNCTION("""COMPUTED_VALUE"""),101.3)</f>
        <v>101.3</v>
      </c>
      <c r="S191" s="1">
        <f ca="1">IFERROR(__xludf.DUMMYFUNCTION("""COMPUTED_VALUE"""),88)</f>
        <v>88</v>
      </c>
      <c r="T191" s="1">
        <f ca="1">IFERROR(__xludf.DUMMYFUNCTION("""COMPUTED_VALUE"""),-0.76)</f>
        <v>-0.76</v>
      </c>
      <c r="U191" s="1">
        <f ca="1">IFERROR(__xludf.DUMMYFUNCTION("""COMPUTED_VALUE"""),178)</f>
        <v>178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IFERROR(__xludf.DUMMYFUNCTION("""COMPUTED_VALUE"""),"Cal St. Northridge")</f>
        <v>Cal St. Northridge</v>
      </c>
      <c r="C192" s="1" t="str">
        <f ca="1">IFERROR(__xludf.DUMMYFUNCTION("""COMPUTED_VALUE"""),"BW")</f>
        <v>BW</v>
      </c>
      <c r="D192" s="2">
        <f ca="1">IFERROR(__xludf.DUMMYFUNCTION("""COMPUTED_VALUE"""),44881)</f>
        <v>44881</v>
      </c>
      <c r="E192" s="1">
        <f ca="1">IFERROR(__xludf.DUMMYFUNCTION("""COMPUTED_VALUE"""),-1.66)</f>
        <v>-1.66</v>
      </c>
      <c r="F192" s="1">
        <f ca="1">IFERROR(__xludf.DUMMYFUNCTION("""COMPUTED_VALUE"""),98.7)</f>
        <v>98.7</v>
      </c>
      <c r="G192" s="1">
        <f ca="1">IFERROR(__xludf.DUMMYFUNCTION("""COMPUTED_VALUE"""),235)</f>
        <v>235</v>
      </c>
      <c r="H192" s="1">
        <f ca="1">IFERROR(__xludf.DUMMYFUNCTION("""COMPUTED_VALUE"""),100.4)</f>
        <v>100.4</v>
      </c>
      <c r="I192" s="1">
        <f ca="1">IFERROR(__xludf.DUMMYFUNCTION("""COMPUTED_VALUE"""),108)</f>
        <v>108</v>
      </c>
      <c r="J192" s="1">
        <f ca="1">IFERROR(__xludf.DUMMYFUNCTION("""COMPUTED_VALUE"""),69.8)</f>
        <v>69.8</v>
      </c>
      <c r="K192" s="1">
        <f ca="1">IFERROR(__xludf.DUMMYFUNCTION("""COMPUTED_VALUE"""),94)</f>
        <v>94</v>
      </c>
      <c r="L192" s="1">
        <f ca="1">IFERROR(__xludf.DUMMYFUNCTION("""COMPUTED_VALUE"""),-0.011)</f>
        <v>-1.0999999999999999E-2</v>
      </c>
      <c r="M192" s="1">
        <f ca="1">IFERROR(__xludf.DUMMYFUNCTION("""COMPUTED_VALUE"""),190)</f>
        <v>190</v>
      </c>
      <c r="N192" s="1" t="str">
        <f ca="1">IFERROR(__xludf.DUMMYFUNCTION("""COMPUTED_VALUE"""),"+1.50")</f>
        <v>+1.50</v>
      </c>
      <c r="O192" s="1">
        <f ca="1">IFERROR(__xludf.DUMMYFUNCTION("""COMPUTED_VALUE"""),128)</f>
        <v>128</v>
      </c>
      <c r="P192" s="1">
        <f ca="1">IFERROR(__xludf.DUMMYFUNCTION("""COMPUTED_VALUE"""),104.1)</f>
        <v>104.1</v>
      </c>
      <c r="Q192" s="1">
        <f ca="1">IFERROR(__xludf.DUMMYFUNCTION("""COMPUTED_VALUE"""),135)</f>
        <v>135</v>
      </c>
      <c r="R192" s="1">
        <f ca="1">IFERROR(__xludf.DUMMYFUNCTION("""COMPUTED_VALUE"""),102.6)</f>
        <v>102.6</v>
      </c>
      <c r="S192" s="1">
        <f ca="1">IFERROR(__xludf.DUMMYFUNCTION("""COMPUTED_VALUE"""),128)</f>
        <v>128</v>
      </c>
      <c r="T192" s="1" t="str">
        <f ca="1">IFERROR(__xludf.DUMMYFUNCTION("""COMPUTED_VALUE"""),"+7.00")</f>
        <v>+7.00</v>
      </c>
      <c r="U192" s="1">
        <f ca="1">IFERROR(__xludf.DUMMYFUNCTION("""COMPUTED_VALUE"""),27)</f>
        <v>27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IFERROR(__xludf.DUMMYFUNCTION("""COMPUTED_VALUE"""),"East Carolina")</f>
        <v>East Carolina</v>
      </c>
      <c r="C193" s="1" t="str">
        <f ca="1">IFERROR(__xludf.DUMMYFUNCTION("""COMPUTED_VALUE"""),"CUSA")</f>
        <v>CUSA</v>
      </c>
      <c r="D193" s="2">
        <f ca="1">IFERROR(__xludf.DUMMYFUNCTION("""COMPUTED_VALUE"""),44852)</f>
        <v>44852</v>
      </c>
      <c r="E193" s="1">
        <f ca="1">IFERROR(__xludf.DUMMYFUNCTION("""COMPUTED_VALUE"""),-1.78)</f>
        <v>-1.78</v>
      </c>
      <c r="F193" s="1">
        <f ca="1">IFERROR(__xludf.DUMMYFUNCTION("""COMPUTED_VALUE"""),102.3)</f>
        <v>102.3</v>
      </c>
      <c r="G193" s="1">
        <f ca="1">IFERROR(__xludf.DUMMYFUNCTION("""COMPUTED_VALUE"""),178)</f>
        <v>178</v>
      </c>
      <c r="H193" s="1">
        <f ca="1">IFERROR(__xludf.DUMMYFUNCTION("""COMPUTED_VALUE"""),104.1)</f>
        <v>104.1</v>
      </c>
      <c r="I193" s="1">
        <f ca="1">IFERROR(__xludf.DUMMYFUNCTION("""COMPUTED_VALUE"""),189)</f>
        <v>189</v>
      </c>
      <c r="J193" s="1">
        <f ca="1">IFERROR(__xludf.DUMMYFUNCTION("""COMPUTED_VALUE"""),65)</f>
        <v>65</v>
      </c>
      <c r="K193" s="1">
        <f ca="1">IFERROR(__xludf.DUMMYFUNCTION("""COMPUTED_VALUE"""),274)</f>
        <v>274</v>
      </c>
      <c r="L193" s="1" t="str">
        <f ca="1">IFERROR(__xludf.DUMMYFUNCTION("""COMPUTED_VALUE"""),"+.037")</f>
        <v>+.037</v>
      </c>
      <c r="M193" s="1">
        <f ca="1">IFERROR(__xludf.DUMMYFUNCTION("""COMPUTED_VALUE"""),82)</f>
        <v>82</v>
      </c>
      <c r="N193" s="1" t="str">
        <f ca="1">IFERROR(__xludf.DUMMYFUNCTION("""COMPUTED_VALUE"""),"+5.93")</f>
        <v>+5.93</v>
      </c>
      <c r="O193" s="1">
        <f ca="1">IFERROR(__xludf.DUMMYFUNCTION("""COMPUTED_VALUE"""),64)</f>
        <v>64</v>
      </c>
      <c r="P193" s="1">
        <f ca="1">IFERROR(__xludf.DUMMYFUNCTION("""COMPUTED_VALUE"""),104.9)</f>
        <v>104.9</v>
      </c>
      <c r="Q193" s="1">
        <f ca="1">IFERROR(__xludf.DUMMYFUNCTION("""COMPUTED_VALUE"""),112)</f>
        <v>112</v>
      </c>
      <c r="R193" s="1">
        <f ca="1">IFERROR(__xludf.DUMMYFUNCTION("""COMPUTED_VALUE"""),98.9)</f>
        <v>98.9</v>
      </c>
      <c r="S193" s="1">
        <f ca="1">IFERROR(__xludf.DUMMYFUNCTION("""COMPUTED_VALUE"""),24)</f>
        <v>24</v>
      </c>
      <c r="T193" s="1">
        <f ca="1">IFERROR(__xludf.DUMMYFUNCTION("""COMPUTED_VALUE"""),-0.65)</f>
        <v>-0.65</v>
      </c>
      <c r="U193" s="1">
        <f ca="1">IFERROR(__xludf.DUMMYFUNCTION("""COMPUTED_VALUE"""),177)</f>
        <v>177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IFERROR(__xludf.DUMMYFUNCTION("""COMPUTED_VALUE"""),"Buffalo")</f>
        <v>Buffalo</v>
      </c>
      <c r="C194" s="1" t="str">
        <f ca="1">IFERROR(__xludf.DUMMYFUNCTION("""COMPUTED_VALUE"""),"MAC")</f>
        <v>MAC</v>
      </c>
      <c r="D194" s="2">
        <f ca="1">IFERROR(__xludf.DUMMYFUNCTION("""COMPUTED_VALUE"""),44913)</f>
        <v>44913</v>
      </c>
      <c r="E194" s="1">
        <f ca="1">IFERROR(__xludf.DUMMYFUNCTION("""COMPUTED_VALUE"""),-1.84)</f>
        <v>-1.84</v>
      </c>
      <c r="F194" s="1">
        <f ca="1">IFERROR(__xludf.DUMMYFUNCTION("""COMPUTED_VALUE"""),99.6)</f>
        <v>99.6</v>
      </c>
      <c r="G194" s="1">
        <f ca="1">IFERROR(__xludf.DUMMYFUNCTION("""COMPUTED_VALUE"""),219)</f>
        <v>219</v>
      </c>
      <c r="H194" s="1">
        <f ca="1">IFERROR(__xludf.DUMMYFUNCTION("""COMPUTED_VALUE"""),101.4)</f>
        <v>101.4</v>
      </c>
      <c r="I194" s="1">
        <f ca="1">IFERROR(__xludf.DUMMYFUNCTION("""COMPUTED_VALUE"""),129)</f>
        <v>129</v>
      </c>
      <c r="J194" s="1">
        <f ca="1">IFERROR(__xludf.DUMMYFUNCTION("""COMPUTED_VALUE"""),67.7)</f>
        <v>67.7</v>
      </c>
      <c r="K194" s="1">
        <f ca="1">IFERROR(__xludf.DUMMYFUNCTION("""COMPUTED_VALUE"""),187)</f>
        <v>187</v>
      </c>
      <c r="L194" s="1">
        <f ca="1">IFERROR(__xludf.DUMMYFUNCTION("""COMPUTED_VALUE"""),-0.034)</f>
        <v>-3.4000000000000002E-2</v>
      </c>
      <c r="M194" s="1">
        <f ca="1">IFERROR(__xludf.DUMMYFUNCTION("""COMPUTED_VALUE"""),243)</f>
        <v>243</v>
      </c>
      <c r="N194" s="1" t="str">
        <f ca="1">IFERROR(__xludf.DUMMYFUNCTION("""COMPUTED_VALUE"""),"+0.14")</f>
        <v>+0.14</v>
      </c>
      <c r="O194" s="1">
        <f ca="1">IFERROR(__xludf.DUMMYFUNCTION("""COMPUTED_VALUE"""),152)</f>
        <v>152</v>
      </c>
      <c r="P194" s="1">
        <f ca="1">IFERROR(__xludf.DUMMYFUNCTION("""COMPUTED_VALUE"""),104.8)</f>
        <v>104.8</v>
      </c>
      <c r="Q194" s="1">
        <f ca="1">IFERROR(__xludf.DUMMYFUNCTION("""COMPUTED_VALUE"""),115)</f>
        <v>115</v>
      </c>
      <c r="R194" s="1">
        <f ca="1">IFERROR(__xludf.DUMMYFUNCTION("""COMPUTED_VALUE"""),104.6)</f>
        <v>104.6</v>
      </c>
      <c r="S194" s="1">
        <f ca="1">IFERROR(__xludf.DUMMYFUNCTION("""COMPUTED_VALUE"""),217)</f>
        <v>217</v>
      </c>
      <c r="T194" s="1">
        <f ca="1">IFERROR(__xludf.DUMMYFUNCTION("""COMPUTED_VALUE"""),-3.47)</f>
        <v>-3.47</v>
      </c>
      <c r="U194" s="1">
        <f ca="1">IFERROR(__xludf.DUMMYFUNCTION("""COMPUTED_VALUE"""),248)</f>
        <v>248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IFERROR(__xludf.DUMMYFUNCTION("""COMPUTED_VALUE"""),"Jacksonville")</f>
        <v>Jacksonville</v>
      </c>
      <c r="C195" s="1" t="str">
        <f ca="1">IFERROR(__xludf.DUMMYFUNCTION("""COMPUTED_VALUE"""),"ASun")</f>
        <v>ASun</v>
      </c>
      <c r="D195" s="1" t="str">
        <f ca="1">IFERROR(__xludf.DUMMYFUNCTION("""COMPUTED_VALUE"""),"16-12")</f>
        <v>16-12</v>
      </c>
      <c r="E195" s="1">
        <f ca="1">IFERROR(__xludf.DUMMYFUNCTION("""COMPUTED_VALUE"""),-1.98)</f>
        <v>-1.98</v>
      </c>
      <c r="F195" s="1">
        <f ca="1">IFERROR(__xludf.DUMMYFUNCTION("""COMPUTED_VALUE"""),98.7)</f>
        <v>98.7</v>
      </c>
      <c r="G195" s="1">
        <f ca="1">IFERROR(__xludf.DUMMYFUNCTION("""COMPUTED_VALUE"""),236)</f>
        <v>236</v>
      </c>
      <c r="H195" s="1">
        <f ca="1">IFERROR(__xludf.DUMMYFUNCTION("""COMPUTED_VALUE"""),100.7)</f>
        <v>100.7</v>
      </c>
      <c r="I195" s="1">
        <f ca="1">IFERROR(__xludf.DUMMYFUNCTION("""COMPUTED_VALUE"""),118)</f>
        <v>118</v>
      </c>
      <c r="J195" s="1">
        <f ca="1">IFERROR(__xludf.DUMMYFUNCTION("""COMPUTED_VALUE"""),66.7)</f>
        <v>66.7</v>
      </c>
      <c r="K195" s="1">
        <f ca="1">IFERROR(__xludf.DUMMYFUNCTION("""COMPUTED_VALUE"""),217)</f>
        <v>217</v>
      </c>
      <c r="L195" s="1">
        <f ca="1">IFERROR(__xludf.DUMMYFUNCTION("""COMPUTED_VALUE"""),-0.021)</f>
        <v>-2.1000000000000001E-2</v>
      </c>
      <c r="M195" s="1">
        <f ca="1">IFERROR(__xludf.DUMMYFUNCTION("""COMPUTED_VALUE"""),209)</f>
        <v>209</v>
      </c>
      <c r="N195" s="1">
        <f ca="1">IFERROR(__xludf.DUMMYFUNCTION("""COMPUTED_VALUE"""),-5.92)</f>
        <v>-5.92</v>
      </c>
      <c r="O195" s="1">
        <f ca="1">IFERROR(__xludf.DUMMYFUNCTION("""COMPUTED_VALUE"""),255)</f>
        <v>255</v>
      </c>
      <c r="P195" s="1">
        <f ca="1">IFERROR(__xludf.DUMMYFUNCTION("""COMPUTED_VALUE"""),101.3)</f>
        <v>101.3</v>
      </c>
      <c r="Q195" s="1">
        <f ca="1">IFERROR(__xludf.DUMMYFUNCTION("""COMPUTED_VALUE"""),226)</f>
        <v>226</v>
      </c>
      <c r="R195" s="1">
        <f ca="1">IFERROR(__xludf.DUMMYFUNCTION("""COMPUTED_VALUE"""),107.3)</f>
        <v>107.3</v>
      </c>
      <c r="S195" s="1">
        <f ca="1">IFERROR(__xludf.DUMMYFUNCTION("""COMPUTED_VALUE"""),297)</f>
        <v>297</v>
      </c>
      <c r="T195" s="1">
        <f ca="1">IFERROR(__xludf.DUMMYFUNCTION("""COMPUTED_VALUE"""),-4.74)</f>
        <v>-4.74</v>
      </c>
      <c r="U195" s="1">
        <f ca="1">IFERROR(__xludf.DUMMYFUNCTION("""COMPUTED_VALUE"""),270)</f>
        <v>270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IFERROR(__xludf.DUMMYFUNCTION("""COMPUTED_VALUE"""),"Northern Illinois")</f>
        <v>Northern Illinois</v>
      </c>
      <c r="C196" s="1" t="str">
        <f ca="1">IFERROR(__xludf.DUMMYFUNCTION("""COMPUTED_VALUE"""),"MAC")</f>
        <v>MAC</v>
      </c>
      <c r="D196" s="2">
        <f ca="1">IFERROR(__xludf.DUMMYFUNCTION("""COMPUTED_VALUE"""),44911)</f>
        <v>44911</v>
      </c>
      <c r="E196" s="1">
        <f ca="1">IFERROR(__xludf.DUMMYFUNCTION("""COMPUTED_VALUE"""),-2)</f>
        <v>-2</v>
      </c>
      <c r="F196" s="1">
        <f ca="1">IFERROR(__xludf.DUMMYFUNCTION("""COMPUTED_VALUE"""),105.6)</f>
        <v>105.6</v>
      </c>
      <c r="G196" s="1">
        <f ca="1">IFERROR(__xludf.DUMMYFUNCTION("""COMPUTED_VALUE"""),120)</f>
        <v>120</v>
      </c>
      <c r="H196" s="1">
        <f ca="1">IFERROR(__xludf.DUMMYFUNCTION("""COMPUTED_VALUE"""),107.6)</f>
        <v>107.6</v>
      </c>
      <c r="I196" s="1">
        <f ca="1">IFERROR(__xludf.DUMMYFUNCTION("""COMPUTED_VALUE"""),251)</f>
        <v>251</v>
      </c>
      <c r="J196" s="1">
        <f ca="1">IFERROR(__xludf.DUMMYFUNCTION("""COMPUTED_VALUE"""),72.1)</f>
        <v>72.099999999999994</v>
      </c>
      <c r="K196" s="1">
        <f ca="1">IFERROR(__xludf.DUMMYFUNCTION("""COMPUTED_VALUE"""),38)</f>
        <v>38</v>
      </c>
      <c r="L196" s="1">
        <f ca="1">IFERROR(__xludf.DUMMYFUNCTION("""COMPUTED_VALUE"""),-0.007)</f>
        <v>-7.0000000000000001E-3</v>
      </c>
      <c r="M196" s="1">
        <f ca="1">IFERROR(__xludf.DUMMYFUNCTION("""COMPUTED_VALUE"""),184)</f>
        <v>184</v>
      </c>
      <c r="N196" s="1">
        <f ca="1">IFERROR(__xludf.DUMMYFUNCTION("""COMPUTED_VALUE"""),-0.24)</f>
        <v>-0.24</v>
      </c>
      <c r="O196" s="1">
        <f ca="1">IFERROR(__xludf.DUMMYFUNCTION("""COMPUTED_VALUE"""),167)</f>
        <v>167</v>
      </c>
      <c r="P196" s="1">
        <f ca="1">IFERROR(__xludf.DUMMYFUNCTION("""COMPUTED_VALUE"""),104.8)</f>
        <v>104.8</v>
      </c>
      <c r="Q196" s="1">
        <f ca="1">IFERROR(__xludf.DUMMYFUNCTION("""COMPUTED_VALUE"""),114)</f>
        <v>114</v>
      </c>
      <c r="R196" s="1">
        <f ca="1">IFERROR(__xludf.DUMMYFUNCTION("""COMPUTED_VALUE"""),105)</f>
        <v>105</v>
      </c>
      <c r="S196" s="1">
        <f ca="1">IFERROR(__xludf.DUMMYFUNCTION("""COMPUTED_VALUE"""),232)</f>
        <v>232</v>
      </c>
      <c r="T196" s="1">
        <f ca="1">IFERROR(__xludf.DUMMYFUNCTION("""COMPUTED_VALUE"""),-1.93)</f>
        <v>-1.93</v>
      </c>
      <c r="U196" s="1">
        <f ca="1">IFERROR(__xludf.DUMMYFUNCTION("""COMPUTED_VALUE"""),214)</f>
        <v>214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IFERROR(__xludf.DUMMYFUNCTION("""COMPUTED_VALUE"""),"Louisiana Monroe")</f>
        <v>Louisiana Monroe</v>
      </c>
      <c r="C197" s="1" t="str">
        <f ca="1">IFERROR(__xludf.DUMMYFUNCTION("""COMPUTED_VALUE"""),"Slnd")</f>
        <v>Slnd</v>
      </c>
      <c r="D197" s="1" t="str">
        <f ca="1">IFERROR(__xludf.DUMMYFUNCTION("""COMPUTED_VALUE"""),"19-12")</f>
        <v>19-12</v>
      </c>
      <c r="E197" s="1">
        <f ca="1">IFERROR(__xludf.DUMMYFUNCTION("""COMPUTED_VALUE"""),-2)</f>
        <v>-2</v>
      </c>
      <c r="F197" s="1">
        <f ca="1">IFERROR(__xludf.DUMMYFUNCTION("""COMPUTED_VALUE"""),99.9)</f>
        <v>99.9</v>
      </c>
      <c r="G197" s="1">
        <f ca="1">IFERROR(__xludf.DUMMYFUNCTION("""COMPUTED_VALUE"""),216)</f>
        <v>216</v>
      </c>
      <c r="H197" s="1">
        <f ca="1">IFERROR(__xludf.DUMMYFUNCTION("""COMPUTED_VALUE"""),101.9)</f>
        <v>101.9</v>
      </c>
      <c r="I197" s="1">
        <f ca="1">IFERROR(__xludf.DUMMYFUNCTION("""COMPUTED_VALUE"""),140)</f>
        <v>140</v>
      </c>
      <c r="J197" s="1">
        <f ca="1">IFERROR(__xludf.DUMMYFUNCTION("""COMPUTED_VALUE"""),70.1)</f>
        <v>70.099999999999994</v>
      </c>
      <c r="K197" s="1">
        <f ca="1">IFERROR(__xludf.DUMMYFUNCTION("""COMPUTED_VALUE"""),87)</f>
        <v>87</v>
      </c>
      <c r="L197" s="1" t="str">
        <f ca="1">IFERROR(__xludf.DUMMYFUNCTION("""COMPUTED_VALUE"""),"+.138")</f>
        <v>+.138</v>
      </c>
      <c r="M197" s="1">
        <f ca="1">IFERROR(__xludf.DUMMYFUNCTION("""COMPUTED_VALUE"""),2)</f>
        <v>2</v>
      </c>
      <c r="N197" s="1">
        <f ca="1">IFERROR(__xludf.DUMMYFUNCTION("""COMPUTED_VALUE"""),-2.89)</f>
        <v>-2.89</v>
      </c>
      <c r="O197" s="1">
        <f ca="1">IFERROR(__xludf.DUMMYFUNCTION("""COMPUTED_VALUE"""),219)</f>
        <v>219</v>
      </c>
      <c r="P197" s="1">
        <f ca="1">IFERROR(__xludf.DUMMYFUNCTION("""COMPUTED_VALUE"""),100.6)</f>
        <v>100.6</v>
      </c>
      <c r="Q197" s="1">
        <f ca="1">IFERROR(__xludf.DUMMYFUNCTION("""COMPUTED_VALUE"""),237)</f>
        <v>237</v>
      </c>
      <c r="R197" s="1">
        <f ca="1">IFERROR(__xludf.DUMMYFUNCTION("""COMPUTED_VALUE"""),103.5)</f>
        <v>103.5</v>
      </c>
      <c r="S197" s="1">
        <f ca="1">IFERROR(__xludf.DUMMYFUNCTION("""COMPUTED_VALUE"""),169)</f>
        <v>169</v>
      </c>
      <c r="T197" s="1" t="str">
        <f ca="1">IFERROR(__xludf.DUMMYFUNCTION("""COMPUTED_VALUE"""),"+10.94")</f>
        <v>+10.94</v>
      </c>
      <c r="U197" s="1">
        <f ca="1">IFERROR(__xludf.DUMMYFUNCTION("""COMPUTED_VALUE"""),10)</f>
        <v>10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IFERROR(__xludf.DUMMYFUNCTION("""COMPUTED_VALUE"""),"Boise St.")</f>
        <v>Boise St.</v>
      </c>
      <c r="C198" s="1" t="str">
        <f ca="1">IFERROR(__xludf.DUMMYFUNCTION("""COMPUTED_VALUE"""),"WAC")</f>
        <v>WAC</v>
      </c>
      <c r="D198" s="2">
        <f ca="1">IFERROR(__xludf.DUMMYFUNCTION("""COMPUTED_VALUE"""),44912)</f>
        <v>44912</v>
      </c>
      <c r="E198" s="1">
        <f ca="1">IFERROR(__xludf.DUMMYFUNCTION("""COMPUTED_VALUE"""),-2.21)</f>
        <v>-2.21</v>
      </c>
      <c r="F198" s="1">
        <f ca="1">IFERROR(__xludf.DUMMYFUNCTION("""COMPUTED_VALUE"""),98.2)</f>
        <v>98.2</v>
      </c>
      <c r="G198" s="1">
        <f ca="1">IFERROR(__xludf.DUMMYFUNCTION("""COMPUTED_VALUE"""),243)</f>
        <v>243</v>
      </c>
      <c r="H198" s="1">
        <f ca="1">IFERROR(__xludf.DUMMYFUNCTION("""COMPUTED_VALUE"""),100.4)</f>
        <v>100.4</v>
      </c>
      <c r="I198" s="1">
        <f ca="1">IFERROR(__xludf.DUMMYFUNCTION("""COMPUTED_VALUE"""),110)</f>
        <v>110</v>
      </c>
      <c r="J198" s="1">
        <f ca="1">IFERROR(__xludf.DUMMYFUNCTION("""COMPUTED_VALUE"""),65.2)</f>
        <v>65.2</v>
      </c>
      <c r="K198" s="1">
        <f ca="1">IFERROR(__xludf.DUMMYFUNCTION("""COMPUTED_VALUE"""),270)</f>
        <v>270</v>
      </c>
      <c r="L198" s="1" t="str">
        <f ca="1">IFERROR(__xludf.DUMMYFUNCTION("""COMPUTED_VALUE"""),"+.016")</f>
        <v>+.016</v>
      </c>
      <c r="M198" s="1">
        <f ca="1">IFERROR(__xludf.DUMMYFUNCTION("""COMPUTED_VALUE"""),121)</f>
        <v>121</v>
      </c>
      <c r="N198" s="1" t="str">
        <f ca="1">IFERROR(__xludf.DUMMYFUNCTION("""COMPUTED_VALUE"""),"+2.30")</f>
        <v>+2.30</v>
      </c>
      <c r="O198" s="1">
        <f ca="1">IFERROR(__xludf.DUMMYFUNCTION("""COMPUTED_VALUE"""),115)</f>
        <v>115</v>
      </c>
      <c r="P198" s="1">
        <f ca="1">IFERROR(__xludf.DUMMYFUNCTION("""COMPUTED_VALUE"""),104.4)</f>
        <v>104.4</v>
      </c>
      <c r="Q198" s="1">
        <f ca="1">IFERROR(__xludf.DUMMYFUNCTION("""COMPUTED_VALUE"""),126)</f>
        <v>126</v>
      </c>
      <c r="R198" s="1">
        <f ca="1">IFERROR(__xludf.DUMMYFUNCTION("""COMPUTED_VALUE"""),102.1)</f>
        <v>102.1</v>
      </c>
      <c r="S198" s="1">
        <f ca="1">IFERROR(__xludf.DUMMYFUNCTION("""COMPUTED_VALUE"""),113)</f>
        <v>113</v>
      </c>
      <c r="T198" s="1">
        <f ca="1">IFERROR(__xludf.DUMMYFUNCTION("""COMPUTED_VALUE"""),-3.11)</f>
        <v>-3.11</v>
      </c>
      <c r="U198" s="1">
        <f ca="1">IFERROR(__xludf.DUMMYFUNCTION("""COMPUTED_VALUE"""),238)</f>
        <v>238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IFERROR(__xludf.DUMMYFUNCTION("""COMPUTED_VALUE"""),"UTEP")</f>
        <v>UTEP</v>
      </c>
      <c r="C199" s="1" t="str">
        <f ca="1">IFERROR(__xludf.DUMMYFUNCTION("""COMPUTED_VALUE"""),"WAC")</f>
        <v>WAC</v>
      </c>
      <c r="D199" s="2">
        <f ca="1">IFERROR(__xludf.DUMMYFUNCTION("""COMPUTED_VALUE"""),44826)</f>
        <v>44826</v>
      </c>
      <c r="E199" s="1">
        <f ca="1">IFERROR(__xludf.DUMMYFUNCTION("""COMPUTED_VALUE"""),-2.36)</f>
        <v>-2.36</v>
      </c>
      <c r="F199" s="1">
        <f ca="1">IFERROR(__xludf.DUMMYFUNCTION("""COMPUTED_VALUE"""),101.3)</f>
        <v>101.3</v>
      </c>
      <c r="G199" s="1">
        <f ca="1">IFERROR(__xludf.DUMMYFUNCTION("""COMPUTED_VALUE"""),191)</f>
        <v>191</v>
      </c>
      <c r="H199" s="1">
        <f ca="1">IFERROR(__xludf.DUMMYFUNCTION("""COMPUTED_VALUE"""),103.7)</f>
        <v>103.7</v>
      </c>
      <c r="I199" s="1">
        <f ca="1">IFERROR(__xludf.DUMMYFUNCTION("""COMPUTED_VALUE"""),181)</f>
        <v>181</v>
      </c>
      <c r="J199" s="1">
        <f ca="1">IFERROR(__xludf.DUMMYFUNCTION("""COMPUTED_VALUE"""),67.7)</f>
        <v>67.7</v>
      </c>
      <c r="K199" s="1">
        <f ca="1">IFERROR(__xludf.DUMMYFUNCTION("""COMPUTED_VALUE"""),186)</f>
        <v>186</v>
      </c>
      <c r="L199" s="1">
        <f ca="1">IFERROR(__xludf.DUMMYFUNCTION("""COMPUTED_VALUE"""),-0.087)</f>
        <v>-8.6999999999999994E-2</v>
      </c>
      <c r="M199" s="1">
        <f ca="1">IFERROR(__xludf.DUMMYFUNCTION("""COMPUTED_VALUE"""),308)</f>
        <v>308</v>
      </c>
      <c r="N199" s="1" t="str">
        <f ca="1">IFERROR(__xludf.DUMMYFUNCTION("""COMPUTED_VALUE"""),"+2.72")</f>
        <v>+2.72</v>
      </c>
      <c r="O199" s="1">
        <f ca="1">IFERROR(__xludf.DUMMYFUNCTION("""COMPUTED_VALUE"""),111)</f>
        <v>111</v>
      </c>
      <c r="P199" s="1">
        <f ca="1">IFERROR(__xludf.DUMMYFUNCTION("""COMPUTED_VALUE"""),105.2)</f>
        <v>105.2</v>
      </c>
      <c r="Q199" s="1">
        <f ca="1">IFERROR(__xludf.DUMMYFUNCTION("""COMPUTED_VALUE"""),106)</f>
        <v>106</v>
      </c>
      <c r="R199" s="1">
        <f ca="1">IFERROR(__xludf.DUMMYFUNCTION("""COMPUTED_VALUE"""),102.4)</f>
        <v>102.4</v>
      </c>
      <c r="S199" s="1">
        <f ca="1">IFERROR(__xludf.DUMMYFUNCTION("""COMPUTED_VALUE"""),123)</f>
        <v>123</v>
      </c>
      <c r="T199" s="1" t="str">
        <f ca="1">IFERROR(__xludf.DUMMYFUNCTION("""COMPUTED_VALUE"""),"+1.06")</f>
        <v>+1.06</v>
      </c>
      <c r="U199" s="1">
        <f ca="1">IFERROR(__xludf.DUMMYFUNCTION("""COMPUTED_VALUE"""),134)</f>
        <v>134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IFERROR(__xludf.DUMMYFUNCTION("""COMPUTED_VALUE"""),"Vermont")</f>
        <v>Vermont</v>
      </c>
      <c r="C200" s="1" t="str">
        <f ca="1">IFERROR(__xludf.DUMMYFUNCTION("""COMPUTED_VALUE"""),"AE")</f>
        <v>AE</v>
      </c>
      <c r="D200" s="1" t="str">
        <f ca="1">IFERROR(__xludf.DUMMYFUNCTION("""COMPUTED_VALUE"""),"21-8")</f>
        <v>21-8</v>
      </c>
      <c r="E200" s="1">
        <f ca="1">IFERROR(__xludf.DUMMYFUNCTION("""COMPUTED_VALUE"""),-2.41)</f>
        <v>-2.41</v>
      </c>
      <c r="F200" s="1">
        <f ca="1">IFERROR(__xludf.DUMMYFUNCTION("""COMPUTED_VALUE"""),105.8)</f>
        <v>105.8</v>
      </c>
      <c r="G200" s="1">
        <f ca="1">IFERROR(__xludf.DUMMYFUNCTION("""COMPUTED_VALUE"""),117)</f>
        <v>117</v>
      </c>
      <c r="H200" s="1">
        <f ca="1">IFERROR(__xludf.DUMMYFUNCTION("""COMPUTED_VALUE"""),108.2)</f>
        <v>108.2</v>
      </c>
      <c r="I200" s="1">
        <f ca="1">IFERROR(__xludf.DUMMYFUNCTION("""COMPUTED_VALUE"""),259)</f>
        <v>259</v>
      </c>
      <c r="J200" s="1">
        <f ca="1">IFERROR(__xludf.DUMMYFUNCTION("""COMPUTED_VALUE"""),68.1)</f>
        <v>68.099999999999994</v>
      </c>
      <c r="K200" s="1">
        <f ca="1">IFERROR(__xludf.DUMMYFUNCTION("""COMPUTED_VALUE"""),166)</f>
        <v>166</v>
      </c>
      <c r="L200" s="1" t="str">
        <f ca="1">IFERROR(__xludf.DUMMYFUNCTION("""COMPUTED_VALUE"""),"+.026")</f>
        <v>+.026</v>
      </c>
      <c r="M200" s="1">
        <f ca="1">IFERROR(__xludf.DUMMYFUNCTION("""COMPUTED_VALUE"""),103)</f>
        <v>103</v>
      </c>
      <c r="N200" s="1">
        <f ca="1">IFERROR(__xludf.DUMMYFUNCTION("""COMPUTED_VALUE"""),-12.2)</f>
        <v>-12.2</v>
      </c>
      <c r="O200" s="1">
        <f ca="1">IFERROR(__xludf.DUMMYFUNCTION("""COMPUTED_VALUE"""),319)</f>
        <v>319</v>
      </c>
      <c r="P200" s="1">
        <f ca="1">IFERROR(__xludf.DUMMYFUNCTION("""COMPUTED_VALUE"""),95.9)</f>
        <v>95.9</v>
      </c>
      <c r="Q200" s="1">
        <f ca="1">IFERROR(__xludf.DUMMYFUNCTION("""COMPUTED_VALUE"""),323)</f>
        <v>323</v>
      </c>
      <c r="R200" s="1">
        <f ca="1">IFERROR(__xludf.DUMMYFUNCTION("""COMPUTED_VALUE"""),108.1)</f>
        <v>108.1</v>
      </c>
      <c r="S200" s="1">
        <f ca="1">IFERROR(__xludf.DUMMYFUNCTION("""COMPUTED_VALUE"""),311)</f>
        <v>311</v>
      </c>
      <c r="T200" s="1">
        <f ca="1">IFERROR(__xludf.DUMMYFUNCTION("""COMPUTED_VALUE"""),-7.01)</f>
        <v>-7.01</v>
      </c>
      <c r="U200" s="1">
        <f ca="1">IFERROR(__xludf.DUMMYFUNCTION("""COMPUTED_VALUE"""),299)</f>
        <v>299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IFERROR(__xludf.DUMMYFUNCTION("""COMPUTED_VALUE"""),"Florida Atlantic15")</f>
        <v>Florida Atlantic15</v>
      </c>
      <c r="C201" s="1" t="str">
        <f ca="1">IFERROR(__xludf.DUMMYFUNCTION("""COMPUTED_VALUE"""),"ASun")</f>
        <v>ASun</v>
      </c>
      <c r="D201" s="1" t="str">
        <f ca="1">IFERROR(__xludf.DUMMYFUNCTION("""COMPUTED_VALUE"""),"18-12")</f>
        <v>18-12</v>
      </c>
      <c r="E201" s="1">
        <f ca="1">IFERROR(__xludf.DUMMYFUNCTION("""COMPUTED_VALUE"""),-2.5)</f>
        <v>-2.5</v>
      </c>
      <c r="F201" s="1">
        <f ca="1">IFERROR(__xludf.DUMMYFUNCTION("""COMPUTED_VALUE"""),99.6)</f>
        <v>99.6</v>
      </c>
      <c r="G201" s="1">
        <f ca="1">IFERROR(__xludf.DUMMYFUNCTION("""COMPUTED_VALUE"""),220)</f>
        <v>220</v>
      </c>
      <c r="H201" s="1">
        <f ca="1">IFERROR(__xludf.DUMMYFUNCTION("""COMPUTED_VALUE"""),102.1)</f>
        <v>102.1</v>
      </c>
      <c r="I201" s="1">
        <f ca="1">IFERROR(__xludf.DUMMYFUNCTION("""COMPUTED_VALUE"""),142)</f>
        <v>142</v>
      </c>
      <c r="J201" s="1">
        <f ca="1">IFERROR(__xludf.DUMMYFUNCTION("""COMPUTED_VALUE"""),70.2)</f>
        <v>70.2</v>
      </c>
      <c r="K201" s="1">
        <f ca="1">IFERROR(__xludf.DUMMYFUNCTION("""COMPUTED_VALUE"""),82)</f>
        <v>82</v>
      </c>
      <c r="L201" s="1" t="str">
        <f ca="1">IFERROR(__xludf.DUMMYFUNCTION("""COMPUTED_VALUE"""),"+.060")</f>
        <v>+.060</v>
      </c>
      <c r="M201" s="1">
        <f ca="1">IFERROR(__xludf.DUMMYFUNCTION("""COMPUTED_VALUE"""),38)</f>
        <v>38</v>
      </c>
      <c r="N201" s="1">
        <f ca="1">IFERROR(__xludf.DUMMYFUNCTION("""COMPUTED_VALUE"""),-4.94)</f>
        <v>-4.9400000000000004</v>
      </c>
      <c r="O201" s="1">
        <f ca="1">IFERROR(__xludf.DUMMYFUNCTION("""COMPUTED_VALUE"""),247)</f>
        <v>247</v>
      </c>
      <c r="P201" s="1">
        <f ca="1">IFERROR(__xludf.DUMMYFUNCTION("""COMPUTED_VALUE"""),101.9)</f>
        <v>101.9</v>
      </c>
      <c r="Q201" s="1">
        <f ca="1">IFERROR(__xludf.DUMMYFUNCTION("""COMPUTED_VALUE"""),213)</f>
        <v>213</v>
      </c>
      <c r="R201" s="1">
        <f ca="1">IFERROR(__xludf.DUMMYFUNCTION("""COMPUTED_VALUE"""),106.9)</f>
        <v>106.9</v>
      </c>
      <c r="S201" s="1">
        <f ca="1">IFERROR(__xludf.DUMMYFUNCTION("""COMPUTED_VALUE"""),289)</f>
        <v>289</v>
      </c>
      <c r="T201" s="1">
        <f ca="1">IFERROR(__xludf.DUMMYFUNCTION("""COMPUTED_VALUE"""),-4.52)</f>
        <v>-4.5199999999999996</v>
      </c>
      <c r="U201" s="1">
        <f ca="1">IFERROR(__xludf.DUMMYFUNCTION("""COMPUTED_VALUE"""),267)</f>
        <v>267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IFERROR(__xludf.DUMMYFUNCTION("""COMPUTED_VALUE"""),"West Virginia")</f>
        <v>West Virginia</v>
      </c>
      <c r="C202" s="1" t="str">
        <f ca="1">IFERROR(__xludf.DUMMYFUNCTION("""COMPUTED_VALUE"""),"BE")</f>
        <v>BE</v>
      </c>
      <c r="D202" s="2">
        <f ca="1">IFERROR(__xludf.DUMMYFUNCTION("""COMPUTED_VALUE"""),44762)</f>
        <v>44762</v>
      </c>
      <c r="E202" s="1">
        <f ca="1">IFERROR(__xludf.DUMMYFUNCTION("""COMPUTED_VALUE"""),-2.62)</f>
        <v>-2.62</v>
      </c>
      <c r="F202" s="1">
        <f ca="1">IFERROR(__xludf.DUMMYFUNCTION("""COMPUTED_VALUE"""),103.4)</f>
        <v>103.4</v>
      </c>
      <c r="G202" s="1">
        <f ca="1">IFERROR(__xludf.DUMMYFUNCTION("""COMPUTED_VALUE"""),154)</f>
        <v>154</v>
      </c>
      <c r="H202" s="1">
        <f ca="1">IFERROR(__xludf.DUMMYFUNCTION("""COMPUTED_VALUE"""),106.1)</f>
        <v>106.1</v>
      </c>
      <c r="I202" s="1">
        <f ca="1">IFERROR(__xludf.DUMMYFUNCTION("""COMPUTED_VALUE"""),228)</f>
        <v>228</v>
      </c>
      <c r="J202" s="1">
        <f ca="1">IFERROR(__xludf.DUMMYFUNCTION("""COMPUTED_VALUE"""),72)</f>
        <v>72</v>
      </c>
      <c r="K202" s="1">
        <f ca="1">IFERROR(__xludf.DUMMYFUNCTION("""COMPUTED_VALUE"""),41)</f>
        <v>41</v>
      </c>
      <c r="L202" s="1">
        <f ca="1">IFERROR(__xludf.DUMMYFUNCTION("""COMPUTED_VALUE"""),-0.029)</f>
        <v>-2.9000000000000001E-2</v>
      </c>
      <c r="M202" s="1">
        <f ca="1">IFERROR(__xludf.DUMMYFUNCTION("""COMPUTED_VALUE"""),234)</f>
        <v>234</v>
      </c>
      <c r="N202" s="1" t="str">
        <f ca="1">IFERROR(__xludf.DUMMYFUNCTION("""COMPUTED_VALUE"""),"+7.12")</f>
        <v>+7.12</v>
      </c>
      <c r="O202" s="1">
        <f ca="1">IFERROR(__xludf.DUMMYFUNCTION("""COMPUTED_VALUE"""),50)</f>
        <v>50</v>
      </c>
      <c r="P202" s="1">
        <f ca="1">IFERROR(__xludf.DUMMYFUNCTION("""COMPUTED_VALUE"""),106.2)</f>
        <v>106.2</v>
      </c>
      <c r="Q202" s="1">
        <f ca="1">IFERROR(__xludf.DUMMYFUNCTION("""COMPUTED_VALUE"""),69)</f>
        <v>69</v>
      </c>
      <c r="R202" s="1">
        <f ca="1">IFERROR(__xludf.DUMMYFUNCTION("""COMPUTED_VALUE"""),99.1)</f>
        <v>99.1</v>
      </c>
      <c r="S202" s="1">
        <f ca="1">IFERROR(__xludf.DUMMYFUNCTION("""COMPUTED_VALUE"""),28)</f>
        <v>28</v>
      </c>
      <c r="T202" s="1">
        <f ca="1">IFERROR(__xludf.DUMMYFUNCTION("""COMPUTED_VALUE"""),-0.46)</f>
        <v>-0.46</v>
      </c>
      <c r="U202" s="1">
        <f ca="1">IFERROR(__xludf.DUMMYFUNCTION("""COMPUTED_VALUE"""),171)</f>
        <v>171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IFERROR(__xludf.DUMMYFUNCTION("""COMPUTED_VALUE"""),"Cleveland St.")</f>
        <v>Cleveland St.</v>
      </c>
      <c r="C203" s="1" t="str">
        <f ca="1">IFERROR(__xludf.DUMMYFUNCTION("""COMPUTED_VALUE"""),"Horz")</f>
        <v>Horz</v>
      </c>
      <c r="D203" s="2">
        <f ca="1">IFERROR(__xludf.DUMMYFUNCTION("""COMPUTED_VALUE"""),44911)</f>
        <v>44911</v>
      </c>
      <c r="E203" s="1">
        <f ca="1">IFERROR(__xludf.DUMMYFUNCTION("""COMPUTED_VALUE"""),-2.66)</f>
        <v>-2.66</v>
      </c>
      <c r="F203" s="1">
        <f ca="1">IFERROR(__xludf.DUMMYFUNCTION("""COMPUTED_VALUE"""),97.6)</f>
        <v>97.6</v>
      </c>
      <c r="G203" s="1">
        <f ca="1">IFERROR(__xludf.DUMMYFUNCTION("""COMPUTED_VALUE"""),253)</f>
        <v>253</v>
      </c>
      <c r="H203" s="1">
        <f ca="1">IFERROR(__xludf.DUMMYFUNCTION("""COMPUTED_VALUE"""),100.3)</f>
        <v>100.3</v>
      </c>
      <c r="I203" s="1">
        <f ca="1">IFERROR(__xludf.DUMMYFUNCTION("""COMPUTED_VALUE"""),103)</f>
        <v>103</v>
      </c>
      <c r="J203" s="1">
        <f ca="1">IFERROR(__xludf.DUMMYFUNCTION("""COMPUTED_VALUE"""),68.7)</f>
        <v>68.7</v>
      </c>
      <c r="K203" s="1">
        <f ca="1">IFERROR(__xludf.DUMMYFUNCTION("""COMPUTED_VALUE"""),145)</f>
        <v>145</v>
      </c>
      <c r="L203" s="1">
        <f ca="1">IFERROR(__xludf.DUMMYFUNCTION("""COMPUTED_VALUE"""),-0.035)</f>
        <v>-3.5000000000000003E-2</v>
      </c>
      <c r="M203" s="1">
        <f ca="1">IFERROR(__xludf.DUMMYFUNCTION("""COMPUTED_VALUE"""),244)</f>
        <v>244</v>
      </c>
      <c r="N203" s="1">
        <f ca="1">IFERROR(__xludf.DUMMYFUNCTION("""COMPUTED_VALUE"""),-1.2)</f>
        <v>-1.2</v>
      </c>
      <c r="O203" s="1">
        <f ca="1">IFERROR(__xludf.DUMMYFUNCTION("""COMPUTED_VALUE"""),186)</f>
        <v>186</v>
      </c>
      <c r="P203" s="1">
        <f ca="1">IFERROR(__xludf.DUMMYFUNCTION("""COMPUTED_VALUE"""),103.8)</f>
        <v>103.8</v>
      </c>
      <c r="Q203" s="1">
        <f ca="1">IFERROR(__xludf.DUMMYFUNCTION("""COMPUTED_VALUE"""),144)</f>
        <v>144</v>
      </c>
      <c r="R203" s="1">
        <f ca="1">IFERROR(__xludf.DUMMYFUNCTION("""COMPUTED_VALUE"""),105)</f>
        <v>105</v>
      </c>
      <c r="S203" s="1">
        <f ca="1">IFERROR(__xludf.DUMMYFUNCTION("""COMPUTED_VALUE"""),231)</f>
        <v>231</v>
      </c>
      <c r="T203" s="1">
        <f ca="1">IFERROR(__xludf.DUMMYFUNCTION("""COMPUTED_VALUE"""),-5.91)</f>
        <v>-5.91</v>
      </c>
      <c r="U203" s="1">
        <f ca="1">IFERROR(__xludf.DUMMYFUNCTION("""COMPUTED_VALUE"""),286)</f>
        <v>286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IFERROR(__xludf.DUMMYFUNCTION("""COMPUTED_VALUE"""),"Boston University16")</f>
        <v>Boston University16</v>
      </c>
      <c r="C204" s="1" t="str">
        <f ca="1">IFERROR(__xludf.DUMMYFUNCTION("""COMPUTED_VALUE"""),"AE")</f>
        <v>AE</v>
      </c>
      <c r="D204" s="1" t="str">
        <f ca="1">IFERROR(__xludf.DUMMYFUNCTION("""COMPUTED_VALUE"""),"22-10")</f>
        <v>22-10</v>
      </c>
      <c r="E204" s="1">
        <f ca="1">IFERROR(__xludf.DUMMYFUNCTION("""COMPUTED_VALUE"""),-2.74)</f>
        <v>-2.74</v>
      </c>
      <c r="F204" s="1">
        <f ca="1">IFERROR(__xludf.DUMMYFUNCTION("""COMPUTED_VALUE"""),101.3)</f>
        <v>101.3</v>
      </c>
      <c r="G204" s="1">
        <f ca="1">IFERROR(__xludf.DUMMYFUNCTION("""COMPUTED_VALUE"""),192)</f>
        <v>192</v>
      </c>
      <c r="H204" s="1">
        <f ca="1">IFERROR(__xludf.DUMMYFUNCTION("""COMPUTED_VALUE"""),104)</f>
        <v>104</v>
      </c>
      <c r="I204" s="1">
        <f ca="1">IFERROR(__xludf.DUMMYFUNCTION("""COMPUTED_VALUE"""),187)</f>
        <v>187</v>
      </c>
      <c r="J204" s="1">
        <f ca="1">IFERROR(__xludf.DUMMYFUNCTION("""COMPUTED_VALUE"""),64.5)</f>
        <v>64.5</v>
      </c>
      <c r="K204" s="1">
        <f ca="1">IFERROR(__xludf.DUMMYFUNCTION("""COMPUTED_VALUE"""),282)</f>
        <v>282</v>
      </c>
      <c r="L204" s="1" t="str">
        <f ca="1">IFERROR(__xludf.DUMMYFUNCTION("""COMPUTED_VALUE"""),"+.102")</f>
        <v>+.102</v>
      </c>
      <c r="M204" s="1">
        <f ca="1">IFERROR(__xludf.DUMMYFUNCTION("""COMPUTED_VALUE"""),7)</f>
        <v>7</v>
      </c>
      <c r="N204" s="1">
        <f ca="1">IFERROR(__xludf.DUMMYFUNCTION("""COMPUTED_VALUE"""),-9.18)</f>
        <v>-9.18</v>
      </c>
      <c r="O204" s="1">
        <f ca="1">IFERROR(__xludf.DUMMYFUNCTION("""COMPUTED_VALUE"""),299)</f>
        <v>299</v>
      </c>
      <c r="P204" s="1">
        <f ca="1">IFERROR(__xludf.DUMMYFUNCTION("""COMPUTED_VALUE"""),97.5)</f>
        <v>97.5</v>
      </c>
      <c r="Q204" s="1">
        <f ca="1">IFERROR(__xludf.DUMMYFUNCTION("""COMPUTED_VALUE"""),305)</f>
        <v>305</v>
      </c>
      <c r="R204" s="1">
        <f ca="1">IFERROR(__xludf.DUMMYFUNCTION("""COMPUTED_VALUE"""),106.6)</f>
        <v>106.6</v>
      </c>
      <c r="S204" s="1">
        <f ca="1">IFERROR(__xludf.DUMMYFUNCTION("""COMPUTED_VALUE"""),284)</f>
        <v>284</v>
      </c>
      <c r="T204" s="1" t="str">
        <f ca="1">IFERROR(__xludf.DUMMYFUNCTION("""COMPUTED_VALUE"""),"+0.25")</f>
        <v>+0.25</v>
      </c>
      <c r="U204" s="1">
        <f ca="1">IFERROR(__xludf.DUMMYFUNCTION("""COMPUTED_VALUE"""),154)</f>
        <v>154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IFERROR(__xludf.DUMMYFUNCTION("""COMPUTED_VALUE"""),"Gardner Webb")</f>
        <v>Gardner Webb</v>
      </c>
      <c r="C205" s="1" t="str">
        <f ca="1">IFERROR(__xludf.DUMMYFUNCTION("""COMPUTED_VALUE"""),"ind")</f>
        <v>ind</v>
      </c>
      <c r="D205" s="1" t="str">
        <f ca="1">IFERROR(__xludf.DUMMYFUNCTION("""COMPUTED_VALUE"""),"13-8")</f>
        <v>13-8</v>
      </c>
      <c r="E205" s="1">
        <f ca="1">IFERROR(__xludf.DUMMYFUNCTION("""COMPUTED_VALUE"""),-2.84)</f>
        <v>-2.84</v>
      </c>
      <c r="F205" s="1">
        <f ca="1">IFERROR(__xludf.DUMMYFUNCTION("""COMPUTED_VALUE"""),101.4)</f>
        <v>101.4</v>
      </c>
      <c r="G205" s="1">
        <f ca="1">IFERROR(__xludf.DUMMYFUNCTION("""COMPUTED_VALUE"""),188)</f>
        <v>188</v>
      </c>
      <c r="H205" s="1">
        <f ca="1">IFERROR(__xludf.DUMMYFUNCTION("""COMPUTED_VALUE"""),104.3)</f>
        <v>104.3</v>
      </c>
      <c r="I205" s="1">
        <f ca="1">IFERROR(__xludf.DUMMYFUNCTION("""COMPUTED_VALUE"""),193)</f>
        <v>193</v>
      </c>
      <c r="J205" s="1">
        <f ca="1">IFERROR(__xludf.DUMMYFUNCTION("""COMPUTED_VALUE"""),73.6)</f>
        <v>73.599999999999994</v>
      </c>
      <c r="K205" s="1">
        <f ca="1">IFERROR(__xludf.DUMMYFUNCTION("""COMPUTED_VALUE"""),17)</f>
        <v>17</v>
      </c>
      <c r="L205" s="1" t="str">
        <f ca="1">IFERROR(__xludf.DUMMYFUNCTION("""COMPUTED_VALUE"""),"+.077")</f>
        <v>+.077</v>
      </c>
      <c r="M205" s="1">
        <f ca="1">IFERROR(__xludf.DUMMYFUNCTION("""COMPUTED_VALUE"""),18)</f>
        <v>18</v>
      </c>
      <c r="N205" s="1">
        <f ca="1">IFERROR(__xludf.DUMMYFUNCTION("""COMPUTED_VALUE"""),-4.2)</f>
        <v>-4.2</v>
      </c>
      <c r="O205" s="1">
        <f ca="1">IFERROR(__xludf.DUMMYFUNCTION("""COMPUTED_VALUE"""),238)</f>
        <v>238</v>
      </c>
      <c r="P205" s="1">
        <f ca="1">IFERROR(__xludf.DUMMYFUNCTION("""COMPUTED_VALUE"""),100.6)</f>
        <v>100.6</v>
      </c>
      <c r="Q205" s="1">
        <f ca="1">IFERROR(__xludf.DUMMYFUNCTION("""COMPUTED_VALUE"""),240)</f>
        <v>240</v>
      </c>
      <c r="R205" s="1">
        <f ca="1">IFERROR(__xludf.DUMMYFUNCTION("""COMPUTED_VALUE"""),104.8)</f>
        <v>104.8</v>
      </c>
      <c r="S205" s="1">
        <f ca="1">IFERROR(__xludf.DUMMYFUNCTION("""COMPUTED_VALUE"""),224)</f>
        <v>224</v>
      </c>
      <c r="T205" s="1" t="str">
        <f ca="1">IFERROR(__xludf.DUMMYFUNCTION("""COMPUTED_VALUE"""),"+2.08")</f>
        <v>+2.08</v>
      </c>
      <c r="U205" s="1">
        <f ca="1">IFERROR(__xludf.DUMMYFUNCTION("""COMPUTED_VALUE"""),109)</f>
        <v>109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IFERROR(__xludf.DUMMYFUNCTION("""COMPUTED_VALUE"""),"Radford")</f>
        <v>Radford</v>
      </c>
      <c r="C206" s="1" t="str">
        <f ca="1">IFERROR(__xludf.DUMMYFUNCTION("""COMPUTED_VALUE"""),"BSth")</f>
        <v>BSth</v>
      </c>
      <c r="D206" s="1" t="str">
        <f ca="1">IFERROR(__xludf.DUMMYFUNCTION("""COMPUTED_VALUE"""),"14-16")</f>
        <v>14-16</v>
      </c>
      <c r="E206" s="1">
        <f ca="1">IFERROR(__xludf.DUMMYFUNCTION("""COMPUTED_VALUE"""),-2.88)</f>
        <v>-2.88</v>
      </c>
      <c r="F206" s="1">
        <f ca="1">IFERROR(__xludf.DUMMYFUNCTION("""COMPUTED_VALUE"""),98)</f>
        <v>98</v>
      </c>
      <c r="G206" s="1">
        <f ca="1">IFERROR(__xludf.DUMMYFUNCTION("""COMPUTED_VALUE"""),249)</f>
        <v>249</v>
      </c>
      <c r="H206" s="1">
        <f ca="1">IFERROR(__xludf.DUMMYFUNCTION("""COMPUTED_VALUE"""),100.9)</f>
        <v>100.9</v>
      </c>
      <c r="I206" s="1">
        <f ca="1">IFERROR(__xludf.DUMMYFUNCTION("""COMPUTED_VALUE"""),120)</f>
        <v>120</v>
      </c>
      <c r="J206" s="1">
        <f ca="1">IFERROR(__xludf.DUMMYFUNCTION("""COMPUTED_VALUE"""),69.8)</f>
        <v>69.8</v>
      </c>
      <c r="K206" s="1">
        <f ca="1">IFERROR(__xludf.DUMMYFUNCTION("""COMPUTED_VALUE"""),97)</f>
        <v>97</v>
      </c>
      <c r="L206" s="1">
        <f ca="1">IFERROR(__xludf.DUMMYFUNCTION("""COMPUTED_VALUE"""),-0.104)</f>
        <v>-0.104</v>
      </c>
      <c r="M206" s="1">
        <f ca="1">IFERROR(__xludf.DUMMYFUNCTION("""COMPUTED_VALUE"""),318)</f>
        <v>318</v>
      </c>
      <c r="N206" s="1">
        <f ca="1">IFERROR(__xludf.DUMMYFUNCTION("""COMPUTED_VALUE"""),-6.96)</f>
        <v>-6.96</v>
      </c>
      <c r="O206" s="1">
        <f ca="1">IFERROR(__xludf.DUMMYFUNCTION("""COMPUTED_VALUE"""),272)</f>
        <v>272</v>
      </c>
      <c r="P206" s="1">
        <f ca="1">IFERROR(__xludf.DUMMYFUNCTION("""COMPUTED_VALUE"""),98.9)</f>
        <v>98.9</v>
      </c>
      <c r="Q206" s="1">
        <f ca="1">IFERROR(__xludf.DUMMYFUNCTION("""COMPUTED_VALUE"""),273)</f>
        <v>273</v>
      </c>
      <c r="R206" s="1">
        <f ca="1">IFERROR(__xludf.DUMMYFUNCTION("""COMPUTED_VALUE"""),105.9)</f>
        <v>105.9</v>
      </c>
      <c r="S206" s="1">
        <f ca="1">IFERROR(__xludf.DUMMYFUNCTION("""COMPUTED_VALUE"""),260)</f>
        <v>260</v>
      </c>
      <c r="T206" s="1" t="str">
        <f ca="1">IFERROR(__xludf.DUMMYFUNCTION("""COMPUTED_VALUE"""),"+4.34")</f>
        <v>+4.34</v>
      </c>
      <c r="U206" s="1">
        <f ca="1">IFERROR(__xludf.DUMMYFUNCTION("""COMPUTED_VALUE"""),73)</f>
        <v>73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IFERROR(__xludf.DUMMYFUNCTION("""COMPUTED_VALUE"""),"Austin Peay")</f>
        <v>Austin Peay</v>
      </c>
      <c r="C207" s="1" t="str">
        <f ca="1">IFERROR(__xludf.DUMMYFUNCTION("""COMPUTED_VALUE"""),"OVC")</f>
        <v>OVC</v>
      </c>
      <c r="D207" s="2">
        <f ca="1">IFERROR(__xludf.DUMMYFUNCTION("""COMPUTED_VALUE"""),44883)</f>
        <v>44883</v>
      </c>
      <c r="E207" s="1">
        <f ca="1">IFERROR(__xludf.DUMMYFUNCTION("""COMPUTED_VALUE"""),-2.98)</f>
        <v>-2.98</v>
      </c>
      <c r="F207" s="1">
        <f ca="1">IFERROR(__xludf.DUMMYFUNCTION("""COMPUTED_VALUE"""),99.4)</f>
        <v>99.4</v>
      </c>
      <c r="G207" s="1">
        <f ca="1">IFERROR(__xludf.DUMMYFUNCTION("""COMPUTED_VALUE"""),221)</f>
        <v>221</v>
      </c>
      <c r="H207" s="1">
        <f ca="1">IFERROR(__xludf.DUMMYFUNCTION("""COMPUTED_VALUE"""),102.4)</f>
        <v>102.4</v>
      </c>
      <c r="I207" s="1">
        <f ca="1">IFERROR(__xludf.DUMMYFUNCTION("""COMPUTED_VALUE"""),151)</f>
        <v>151</v>
      </c>
      <c r="J207" s="1">
        <f ca="1">IFERROR(__xludf.DUMMYFUNCTION("""COMPUTED_VALUE"""),67.3)</f>
        <v>67.3</v>
      </c>
      <c r="K207" s="1">
        <f ca="1">IFERROR(__xludf.DUMMYFUNCTION("""COMPUTED_VALUE"""),198)</f>
        <v>198</v>
      </c>
      <c r="L207" s="1">
        <f ca="1">IFERROR(__xludf.DUMMYFUNCTION("""COMPUTED_VALUE"""),-0.037)</f>
        <v>-3.6999999999999998E-2</v>
      </c>
      <c r="M207" s="1">
        <f ca="1">IFERROR(__xludf.DUMMYFUNCTION("""COMPUTED_VALUE"""),247)</f>
        <v>247</v>
      </c>
      <c r="N207" s="1" t="str">
        <f ca="1">IFERROR(__xludf.DUMMYFUNCTION("""COMPUTED_VALUE"""),"+0.02")</f>
        <v>+0.02</v>
      </c>
      <c r="O207" s="1">
        <f ca="1">IFERROR(__xludf.DUMMYFUNCTION("""COMPUTED_VALUE"""),154)</f>
        <v>154</v>
      </c>
      <c r="P207" s="1">
        <f ca="1">IFERROR(__xludf.DUMMYFUNCTION("""COMPUTED_VALUE"""),104.4)</f>
        <v>104.4</v>
      </c>
      <c r="Q207" s="1">
        <f ca="1">IFERROR(__xludf.DUMMYFUNCTION("""COMPUTED_VALUE"""),124)</f>
        <v>124</v>
      </c>
      <c r="R207" s="1">
        <f ca="1">IFERROR(__xludf.DUMMYFUNCTION("""COMPUTED_VALUE"""),104.4)</f>
        <v>104.4</v>
      </c>
      <c r="S207" s="1">
        <f ca="1">IFERROR(__xludf.DUMMYFUNCTION("""COMPUTED_VALUE"""),207)</f>
        <v>207</v>
      </c>
      <c r="T207" s="1" t="str">
        <f ca="1">IFERROR(__xludf.DUMMYFUNCTION("""COMPUTED_VALUE"""),"+10.17")</f>
        <v>+10.17</v>
      </c>
      <c r="U207" s="1">
        <f ca="1">IFERROR(__xludf.DUMMYFUNCTION("""COMPUTED_VALUE"""),11)</f>
        <v>11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IFERROR(__xludf.DUMMYFUNCTION("""COMPUTED_VALUE"""),"Penn St.")</f>
        <v>Penn St.</v>
      </c>
      <c r="C208" s="1" t="str">
        <f ca="1">IFERROR(__xludf.DUMMYFUNCTION("""COMPUTED_VALUE"""),"B10")</f>
        <v>B10</v>
      </c>
      <c r="D208" s="2">
        <f ca="1">IFERROR(__xludf.DUMMYFUNCTION("""COMPUTED_VALUE"""),44763)</f>
        <v>44763</v>
      </c>
      <c r="E208" s="1">
        <f ca="1">IFERROR(__xludf.DUMMYFUNCTION("""COMPUTED_VALUE"""),-3.16)</f>
        <v>-3.16</v>
      </c>
      <c r="F208" s="1">
        <f ca="1">IFERROR(__xludf.DUMMYFUNCTION("""COMPUTED_VALUE"""),99.3)</f>
        <v>99.3</v>
      </c>
      <c r="G208" s="1">
        <f ca="1">IFERROR(__xludf.DUMMYFUNCTION("""COMPUTED_VALUE"""),225)</f>
        <v>225</v>
      </c>
      <c r="H208" s="1">
        <f ca="1">IFERROR(__xludf.DUMMYFUNCTION("""COMPUTED_VALUE"""),102.4)</f>
        <v>102.4</v>
      </c>
      <c r="I208" s="1">
        <f ca="1">IFERROR(__xludf.DUMMYFUNCTION("""COMPUTED_VALUE"""),153)</f>
        <v>153</v>
      </c>
      <c r="J208" s="1">
        <f ca="1">IFERROR(__xludf.DUMMYFUNCTION("""COMPUTED_VALUE"""),67.7)</f>
        <v>67.7</v>
      </c>
      <c r="K208" s="1">
        <f ca="1">IFERROR(__xludf.DUMMYFUNCTION("""COMPUTED_VALUE"""),180)</f>
        <v>180</v>
      </c>
      <c r="L208" s="1">
        <f ca="1">IFERROR(__xludf.DUMMYFUNCTION("""COMPUTED_VALUE"""),-0.032)</f>
        <v>-3.2000000000000001E-2</v>
      </c>
      <c r="M208" s="1">
        <f ca="1">IFERROR(__xludf.DUMMYFUNCTION("""COMPUTED_VALUE"""),238)</f>
        <v>238</v>
      </c>
      <c r="N208" s="1" t="str">
        <f ca="1">IFERROR(__xludf.DUMMYFUNCTION("""COMPUTED_VALUE"""),"+8.23")</f>
        <v>+8.23</v>
      </c>
      <c r="O208" s="1">
        <f ca="1">IFERROR(__xludf.DUMMYFUNCTION("""COMPUTED_VALUE"""),33)</f>
        <v>33</v>
      </c>
      <c r="P208" s="1">
        <f ca="1">IFERROR(__xludf.DUMMYFUNCTION("""COMPUTED_VALUE"""),108)</f>
        <v>108</v>
      </c>
      <c r="Q208" s="1">
        <f ca="1">IFERROR(__xludf.DUMMYFUNCTION("""COMPUTED_VALUE"""),32)</f>
        <v>32</v>
      </c>
      <c r="R208" s="1">
        <f ca="1">IFERROR(__xludf.DUMMYFUNCTION("""COMPUTED_VALUE"""),99.8)</f>
        <v>99.8</v>
      </c>
      <c r="S208" s="1">
        <f ca="1">IFERROR(__xludf.DUMMYFUNCTION("""COMPUTED_VALUE"""),46)</f>
        <v>46</v>
      </c>
      <c r="T208" s="1">
        <f ca="1">IFERROR(__xludf.DUMMYFUNCTION("""COMPUTED_VALUE"""),-2.03)</f>
        <v>-2.0299999999999998</v>
      </c>
      <c r="U208" s="1">
        <f ca="1">IFERROR(__xludf.DUMMYFUNCTION("""COMPUTED_VALUE"""),217)</f>
        <v>217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IFERROR(__xludf.DUMMYFUNCTION("""COMPUTED_VALUE"""),"Wagner")</f>
        <v>Wagner</v>
      </c>
      <c r="C209" s="1" t="str">
        <f ca="1">IFERROR(__xludf.DUMMYFUNCTION("""COMPUTED_VALUE"""),"NEC")</f>
        <v>NEC</v>
      </c>
      <c r="D209" s="1" t="str">
        <f ca="1">IFERROR(__xludf.DUMMYFUNCTION("""COMPUTED_VALUE"""),"19-10")</f>
        <v>19-10</v>
      </c>
      <c r="E209" s="1">
        <f ca="1">IFERROR(__xludf.DUMMYFUNCTION("""COMPUTED_VALUE"""),-3.17)</f>
        <v>-3.17</v>
      </c>
      <c r="F209" s="1">
        <f ca="1">IFERROR(__xludf.DUMMYFUNCTION("""COMPUTED_VALUE"""),103.1)</f>
        <v>103.1</v>
      </c>
      <c r="G209" s="1">
        <f ca="1">IFERROR(__xludf.DUMMYFUNCTION("""COMPUTED_VALUE"""),158)</f>
        <v>158</v>
      </c>
      <c r="H209" s="1">
        <f ca="1">IFERROR(__xludf.DUMMYFUNCTION("""COMPUTED_VALUE"""),106.2)</f>
        <v>106.2</v>
      </c>
      <c r="I209" s="1">
        <f ca="1">IFERROR(__xludf.DUMMYFUNCTION("""COMPUTED_VALUE"""),229)</f>
        <v>229</v>
      </c>
      <c r="J209" s="1">
        <f ca="1">IFERROR(__xludf.DUMMYFUNCTION("""COMPUTED_VALUE"""),73.3)</f>
        <v>73.3</v>
      </c>
      <c r="K209" s="1">
        <f ca="1">IFERROR(__xludf.DUMMYFUNCTION("""COMPUTED_VALUE"""),20)</f>
        <v>20</v>
      </c>
      <c r="L209" s="1" t="str">
        <f ca="1">IFERROR(__xludf.DUMMYFUNCTION("""COMPUTED_VALUE"""),"+.017")</f>
        <v>+.017</v>
      </c>
      <c r="M209" s="1">
        <f ca="1">IFERROR(__xludf.DUMMYFUNCTION("""COMPUTED_VALUE"""),119)</f>
        <v>119</v>
      </c>
      <c r="N209" s="1">
        <f ca="1">IFERROR(__xludf.DUMMYFUNCTION("""COMPUTED_VALUE"""),-10.18)</f>
        <v>-10.18</v>
      </c>
      <c r="O209" s="1">
        <f ca="1">IFERROR(__xludf.DUMMYFUNCTION("""COMPUTED_VALUE"""),305)</f>
        <v>305</v>
      </c>
      <c r="P209" s="1">
        <f ca="1">IFERROR(__xludf.DUMMYFUNCTION("""COMPUTED_VALUE"""),97.7)</f>
        <v>97.7</v>
      </c>
      <c r="Q209" s="1">
        <f ca="1">IFERROR(__xludf.DUMMYFUNCTION("""COMPUTED_VALUE"""),297)</f>
        <v>297</v>
      </c>
      <c r="R209" s="1">
        <f ca="1">IFERROR(__xludf.DUMMYFUNCTION("""COMPUTED_VALUE"""),107.9)</f>
        <v>107.9</v>
      </c>
      <c r="S209" s="1">
        <f ca="1">IFERROR(__xludf.DUMMYFUNCTION("""COMPUTED_VALUE"""),305)</f>
        <v>305</v>
      </c>
      <c r="T209" s="1" t="str">
        <f ca="1">IFERROR(__xludf.DUMMYFUNCTION("""COMPUTED_VALUE"""),"+0.11")</f>
        <v>+0.11</v>
      </c>
      <c r="U209" s="1">
        <f ca="1">IFERROR(__xludf.DUMMYFUNCTION("""COMPUTED_VALUE"""),156)</f>
        <v>156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IFERROR(__xludf.DUMMYFUNCTION("""COMPUTED_VALUE"""),"George Washington")</f>
        <v>George Washington</v>
      </c>
      <c r="C210" s="1" t="str">
        <f ca="1">IFERROR(__xludf.DUMMYFUNCTION("""COMPUTED_VALUE"""),"A10")</f>
        <v>A10</v>
      </c>
      <c r="D210" s="2">
        <f ca="1">IFERROR(__xludf.DUMMYFUNCTION("""COMPUTED_VALUE"""),44911)</f>
        <v>44911</v>
      </c>
      <c r="E210" s="1">
        <f ca="1">IFERROR(__xludf.DUMMYFUNCTION("""COMPUTED_VALUE"""),-3.19)</f>
        <v>-3.19</v>
      </c>
      <c r="F210" s="1">
        <f ca="1">IFERROR(__xludf.DUMMYFUNCTION("""COMPUTED_VALUE"""),102.7)</f>
        <v>102.7</v>
      </c>
      <c r="G210" s="1">
        <f ca="1">IFERROR(__xludf.DUMMYFUNCTION("""COMPUTED_VALUE"""),169)</f>
        <v>169</v>
      </c>
      <c r="H210" s="1">
        <f ca="1">IFERROR(__xludf.DUMMYFUNCTION("""COMPUTED_VALUE"""),105.9)</f>
        <v>105.9</v>
      </c>
      <c r="I210" s="1">
        <f ca="1">IFERROR(__xludf.DUMMYFUNCTION("""COMPUTED_VALUE"""),225)</f>
        <v>225</v>
      </c>
      <c r="J210" s="1">
        <f ca="1">IFERROR(__xludf.DUMMYFUNCTION("""COMPUTED_VALUE"""),70.7)</f>
        <v>70.7</v>
      </c>
      <c r="K210" s="1">
        <f ca="1">IFERROR(__xludf.DUMMYFUNCTION("""COMPUTED_VALUE"""),67)</f>
        <v>67</v>
      </c>
      <c r="L210" s="1" t="str">
        <f ca="1">IFERROR(__xludf.DUMMYFUNCTION("""COMPUTED_VALUE"""),"+.089")</f>
        <v>+.089</v>
      </c>
      <c r="M210" s="1">
        <f ca="1">IFERROR(__xludf.DUMMYFUNCTION("""COMPUTED_VALUE"""),10)</f>
        <v>10</v>
      </c>
      <c r="N210" s="1" t="str">
        <f ca="1">IFERROR(__xludf.DUMMYFUNCTION("""COMPUTED_VALUE"""),"+3.96")</f>
        <v>+3.96</v>
      </c>
      <c r="O210" s="1">
        <f ca="1">IFERROR(__xludf.DUMMYFUNCTION("""COMPUTED_VALUE"""),96)</f>
        <v>96</v>
      </c>
      <c r="P210" s="1">
        <f ca="1">IFERROR(__xludf.DUMMYFUNCTION("""COMPUTED_VALUE"""),105.3)</f>
        <v>105.3</v>
      </c>
      <c r="Q210" s="1">
        <f ca="1">IFERROR(__xludf.DUMMYFUNCTION("""COMPUTED_VALUE"""),101)</f>
        <v>101</v>
      </c>
      <c r="R210" s="1">
        <f ca="1">IFERROR(__xludf.DUMMYFUNCTION("""COMPUTED_VALUE"""),101.3)</f>
        <v>101.3</v>
      </c>
      <c r="S210" s="1">
        <f ca="1">IFERROR(__xludf.DUMMYFUNCTION("""COMPUTED_VALUE"""),89)</f>
        <v>89</v>
      </c>
      <c r="T210" s="1" t="str">
        <f ca="1">IFERROR(__xludf.DUMMYFUNCTION("""COMPUTED_VALUE"""),"+1.81")</f>
        <v>+1.81</v>
      </c>
      <c r="U210" s="1">
        <f ca="1">IFERROR(__xludf.DUMMYFUNCTION("""COMPUTED_VALUE"""),115)</f>
        <v>115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IFERROR(__xludf.DUMMYFUNCTION("""COMPUTED_VALUE"""),"Sam Houston St.")</f>
        <v>Sam Houston St.</v>
      </c>
      <c r="C213" s="1" t="str">
        <f ca="1">IFERROR(__xludf.DUMMYFUNCTION("""COMPUTED_VALUE"""),"Slnd")</f>
        <v>Slnd</v>
      </c>
      <c r="D213" s="1" t="str">
        <f ca="1">IFERROR(__xludf.DUMMYFUNCTION("""COMPUTED_VALUE"""),"14-14")</f>
        <v>14-14</v>
      </c>
      <c r="E213" s="1">
        <f ca="1">IFERROR(__xludf.DUMMYFUNCTION("""COMPUTED_VALUE"""),-3.21)</f>
        <v>-3.21</v>
      </c>
      <c r="F213" s="1">
        <f ca="1">IFERROR(__xludf.DUMMYFUNCTION("""COMPUTED_VALUE"""),100.2)</f>
        <v>100.2</v>
      </c>
      <c r="G213" s="1">
        <f ca="1">IFERROR(__xludf.DUMMYFUNCTION("""COMPUTED_VALUE"""),210)</f>
        <v>210</v>
      </c>
      <c r="H213" s="1">
        <f ca="1">IFERROR(__xludf.DUMMYFUNCTION("""COMPUTED_VALUE"""),103.4)</f>
        <v>103.4</v>
      </c>
      <c r="I213" s="1">
        <f ca="1">IFERROR(__xludf.DUMMYFUNCTION("""COMPUTED_VALUE"""),173)</f>
        <v>173</v>
      </c>
      <c r="J213" s="1">
        <f ca="1">IFERROR(__xludf.DUMMYFUNCTION("""COMPUTED_VALUE"""),72.7)</f>
        <v>72.7</v>
      </c>
      <c r="K213" s="1">
        <f ca="1">IFERROR(__xludf.DUMMYFUNCTION("""COMPUTED_VALUE"""),26)</f>
        <v>26</v>
      </c>
      <c r="L213" s="1">
        <f ca="1">IFERROR(__xludf.DUMMYFUNCTION("""COMPUTED_VALUE"""),-0.042)</f>
        <v>-4.2000000000000003E-2</v>
      </c>
      <c r="M213" s="1">
        <f ca="1">IFERROR(__xludf.DUMMYFUNCTION("""COMPUTED_VALUE"""),257)</f>
        <v>257</v>
      </c>
      <c r="N213" s="1">
        <f ca="1">IFERROR(__xludf.DUMMYFUNCTION("""COMPUTED_VALUE"""),-5.09)</f>
        <v>-5.09</v>
      </c>
      <c r="O213" s="1">
        <f ca="1">IFERROR(__xludf.DUMMYFUNCTION("""COMPUTED_VALUE"""),251)</f>
        <v>251</v>
      </c>
      <c r="P213" s="1">
        <f ca="1">IFERROR(__xludf.DUMMYFUNCTION("""COMPUTED_VALUE"""),99.8)</f>
        <v>99.8</v>
      </c>
      <c r="Q213" s="1">
        <f ca="1">IFERROR(__xludf.DUMMYFUNCTION("""COMPUTED_VALUE"""),250)</f>
        <v>250</v>
      </c>
      <c r="R213" s="1">
        <f ca="1">IFERROR(__xludf.DUMMYFUNCTION("""COMPUTED_VALUE"""),104.9)</f>
        <v>104.9</v>
      </c>
      <c r="S213" s="1">
        <f ca="1">IFERROR(__xludf.DUMMYFUNCTION("""COMPUTED_VALUE"""),227)</f>
        <v>227</v>
      </c>
      <c r="T213" s="1" t="str">
        <f ca="1">IFERROR(__xludf.DUMMYFUNCTION("""COMPUTED_VALUE"""),"+4.35")</f>
        <v>+4.35</v>
      </c>
      <c r="U213" s="1">
        <f ca="1">IFERROR(__xludf.DUMMYFUNCTION("""COMPUTED_VALUE"""),71)</f>
        <v>71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IFERROR(__xludf.DUMMYFUNCTION("""COMPUTED_VALUE"""),"Middle Tennessee")</f>
        <v>Middle Tennessee</v>
      </c>
      <c r="C214" s="1" t="str">
        <f ca="1">IFERROR(__xludf.DUMMYFUNCTION("""COMPUTED_VALUE"""),"SB")</f>
        <v>SB</v>
      </c>
      <c r="D214" s="1" t="str">
        <f ca="1">IFERROR(__xludf.DUMMYFUNCTION("""COMPUTED_VALUE"""),"13-15")</f>
        <v>13-15</v>
      </c>
      <c r="E214" s="1">
        <f ca="1">IFERROR(__xludf.DUMMYFUNCTION("""COMPUTED_VALUE"""),-3.38)</f>
        <v>-3.38</v>
      </c>
      <c r="F214" s="1">
        <f ca="1">IFERROR(__xludf.DUMMYFUNCTION("""COMPUTED_VALUE"""),96.8)</f>
        <v>96.8</v>
      </c>
      <c r="G214" s="1">
        <f ca="1">IFERROR(__xludf.DUMMYFUNCTION("""COMPUTED_VALUE"""),264)</f>
        <v>264</v>
      </c>
      <c r="H214" s="1">
        <f ca="1">IFERROR(__xludf.DUMMYFUNCTION("""COMPUTED_VALUE"""),100.2)</f>
        <v>100.2</v>
      </c>
      <c r="I214" s="1">
        <f ca="1">IFERROR(__xludf.DUMMYFUNCTION("""COMPUTED_VALUE"""),101)</f>
        <v>101</v>
      </c>
      <c r="J214" s="1">
        <f ca="1">IFERROR(__xludf.DUMMYFUNCTION("""COMPUTED_VALUE"""),66.1)</f>
        <v>66.099999999999994</v>
      </c>
      <c r="K214" s="1">
        <f ca="1">IFERROR(__xludf.DUMMYFUNCTION("""COMPUTED_VALUE"""),238)</f>
        <v>238</v>
      </c>
      <c r="L214" s="1" t="str">
        <f ca="1">IFERROR(__xludf.DUMMYFUNCTION("""COMPUTED_VALUE"""),"+.040")</f>
        <v>+.040</v>
      </c>
      <c r="M214" s="1">
        <f ca="1">IFERROR(__xludf.DUMMYFUNCTION("""COMPUTED_VALUE"""),73)</f>
        <v>73</v>
      </c>
      <c r="N214" s="1">
        <f ca="1">IFERROR(__xludf.DUMMYFUNCTION("""COMPUTED_VALUE"""),-0.91)</f>
        <v>-0.91</v>
      </c>
      <c r="O214" s="1">
        <f ca="1">IFERROR(__xludf.DUMMYFUNCTION("""COMPUTED_VALUE"""),181)</f>
        <v>181</v>
      </c>
      <c r="P214" s="1">
        <f ca="1">IFERROR(__xludf.DUMMYFUNCTION("""COMPUTED_VALUE"""),102.7)</f>
        <v>102.7</v>
      </c>
      <c r="Q214" s="1">
        <f ca="1">IFERROR(__xludf.DUMMYFUNCTION("""COMPUTED_VALUE"""),190)</f>
        <v>190</v>
      </c>
      <c r="R214" s="1">
        <f ca="1">IFERROR(__xludf.DUMMYFUNCTION("""COMPUTED_VALUE"""),103.6)</f>
        <v>103.6</v>
      </c>
      <c r="S214" s="1">
        <f ca="1">IFERROR(__xludf.DUMMYFUNCTION("""COMPUTED_VALUE"""),174)</f>
        <v>174</v>
      </c>
      <c r="T214" s="1">
        <f ca="1">IFERROR(__xludf.DUMMYFUNCTION("""COMPUTED_VALUE"""),-2.79)</f>
        <v>-2.79</v>
      </c>
      <c r="U214" s="1">
        <f ca="1">IFERROR(__xludf.DUMMYFUNCTION("""COMPUTED_VALUE"""),231)</f>
        <v>231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IFERROR(__xludf.DUMMYFUNCTION("""COMPUTED_VALUE"""),"Rice")</f>
        <v>Rice</v>
      </c>
      <c r="C215" s="1" t="str">
        <f ca="1">IFERROR(__xludf.DUMMYFUNCTION("""COMPUTED_VALUE"""),"WAC")</f>
        <v>WAC</v>
      </c>
      <c r="D215" s="2">
        <f ca="1">IFERROR(__xludf.DUMMYFUNCTION("""COMPUTED_VALUE"""),44853)</f>
        <v>44853</v>
      </c>
      <c r="E215" s="1">
        <f ca="1">IFERROR(__xludf.DUMMYFUNCTION("""COMPUTED_VALUE"""),-3.43)</f>
        <v>-3.43</v>
      </c>
      <c r="F215" s="1">
        <f ca="1">IFERROR(__xludf.DUMMYFUNCTION("""COMPUTED_VALUE"""),98)</f>
        <v>98</v>
      </c>
      <c r="G215" s="1">
        <f ca="1">IFERROR(__xludf.DUMMYFUNCTION("""COMPUTED_VALUE"""),250)</f>
        <v>250</v>
      </c>
      <c r="H215" s="1">
        <f ca="1">IFERROR(__xludf.DUMMYFUNCTION("""COMPUTED_VALUE"""),101.4)</f>
        <v>101.4</v>
      </c>
      <c r="I215" s="1">
        <f ca="1">IFERROR(__xludf.DUMMYFUNCTION("""COMPUTED_VALUE"""),130)</f>
        <v>130</v>
      </c>
      <c r="J215" s="1">
        <f ca="1">IFERROR(__xludf.DUMMYFUNCTION("""COMPUTED_VALUE"""),67.7)</f>
        <v>67.7</v>
      </c>
      <c r="K215" s="1">
        <f ca="1">IFERROR(__xludf.DUMMYFUNCTION("""COMPUTED_VALUE"""),183)</f>
        <v>183</v>
      </c>
      <c r="L215" s="1">
        <f ca="1">IFERROR(__xludf.DUMMYFUNCTION("""COMPUTED_VALUE"""),-0.051)</f>
        <v>-5.0999999999999997E-2</v>
      </c>
      <c r="M215" s="1">
        <f ca="1">IFERROR(__xludf.DUMMYFUNCTION("""COMPUTED_VALUE"""),277)</f>
        <v>277</v>
      </c>
      <c r="N215" s="1" t="str">
        <f ca="1">IFERROR(__xludf.DUMMYFUNCTION("""COMPUTED_VALUE"""),"+0.85")</f>
        <v>+0.85</v>
      </c>
      <c r="O215" s="1">
        <f ca="1">IFERROR(__xludf.DUMMYFUNCTION("""COMPUTED_VALUE"""),140)</f>
        <v>140</v>
      </c>
      <c r="P215" s="1">
        <f ca="1">IFERROR(__xludf.DUMMYFUNCTION("""COMPUTED_VALUE"""),103.5)</f>
        <v>103.5</v>
      </c>
      <c r="Q215" s="1">
        <f ca="1">IFERROR(__xludf.DUMMYFUNCTION("""COMPUTED_VALUE"""),159)</f>
        <v>159</v>
      </c>
      <c r="R215" s="1">
        <f ca="1">IFERROR(__xludf.DUMMYFUNCTION("""COMPUTED_VALUE"""),102.7)</f>
        <v>102.7</v>
      </c>
      <c r="S215" s="1">
        <f ca="1">IFERROR(__xludf.DUMMYFUNCTION("""COMPUTED_VALUE"""),136)</f>
        <v>136</v>
      </c>
      <c r="T215" s="1">
        <f ca="1">IFERROR(__xludf.DUMMYFUNCTION("""COMPUTED_VALUE"""),-4.17)</f>
        <v>-4.17</v>
      </c>
      <c r="U215" s="1">
        <f ca="1">IFERROR(__xludf.DUMMYFUNCTION("""COMPUTED_VALUE"""),257)</f>
        <v>257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IFERROR(__xludf.DUMMYFUNCTION("""COMPUTED_VALUE"""),"Central Michigan")</f>
        <v>Central Michigan</v>
      </c>
      <c r="C216" s="1" t="str">
        <f ca="1">IFERROR(__xludf.DUMMYFUNCTION("""COMPUTED_VALUE"""),"MAC")</f>
        <v>MAC</v>
      </c>
      <c r="D216" s="2">
        <f ca="1">IFERROR(__xludf.DUMMYFUNCTION("""COMPUTED_VALUE"""),44792)</f>
        <v>44792</v>
      </c>
      <c r="E216" s="1">
        <f ca="1">IFERROR(__xludf.DUMMYFUNCTION("""COMPUTED_VALUE"""),-3.52)</f>
        <v>-3.52</v>
      </c>
      <c r="F216" s="1">
        <f ca="1">IFERROR(__xludf.DUMMYFUNCTION("""COMPUTED_VALUE"""),101.6)</f>
        <v>101.6</v>
      </c>
      <c r="G216" s="1">
        <f ca="1">IFERROR(__xludf.DUMMYFUNCTION("""COMPUTED_VALUE"""),185)</f>
        <v>185</v>
      </c>
      <c r="H216" s="1">
        <f ca="1">IFERROR(__xludf.DUMMYFUNCTION("""COMPUTED_VALUE"""),105.1)</f>
        <v>105.1</v>
      </c>
      <c r="I216" s="1">
        <f ca="1">IFERROR(__xludf.DUMMYFUNCTION("""COMPUTED_VALUE"""),210)</f>
        <v>210</v>
      </c>
      <c r="J216" s="1">
        <f ca="1">IFERROR(__xludf.DUMMYFUNCTION("""COMPUTED_VALUE"""),67.9)</f>
        <v>67.900000000000006</v>
      </c>
      <c r="K216" s="1">
        <f ca="1">IFERROR(__xludf.DUMMYFUNCTION("""COMPUTED_VALUE"""),175)</f>
        <v>175</v>
      </c>
      <c r="L216" s="1">
        <f ca="1">IFERROR(__xludf.DUMMYFUNCTION("""COMPUTED_VALUE"""),-0.062)</f>
        <v>-6.2E-2</v>
      </c>
      <c r="M216" s="1">
        <f ca="1">IFERROR(__xludf.DUMMYFUNCTION("""COMPUTED_VALUE"""),289)</f>
        <v>289</v>
      </c>
      <c r="N216" s="1" t="str">
        <f ca="1">IFERROR(__xludf.DUMMYFUNCTION("""COMPUTED_VALUE"""),"+2.61")</f>
        <v>+2.61</v>
      </c>
      <c r="O216" s="1">
        <f ca="1">IFERROR(__xludf.DUMMYFUNCTION("""COMPUTED_VALUE"""),112)</f>
        <v>112</v>
      </c>
      <c r="P216" s="1">
        <f ca="1">IFERROR(__xludf.DUMMYFUNCTION("""COMPUTED_VALUE"""),106.2)</f>
        <v>106.2</v>
      </c>
      <c r="Q216" s="1">
        <f ca="1">IFERROR(__xludf.DUMMYFUNCTION("""COMPUTED_VALUE"""),71)</f>
        <v>71</v>
      </c>
      <c r="R216" s="1">
        <f ca="1">IFERROR(__xludf.DUMMYFUNCTION("""COMPUTED_VALUE"""),103.6)</f>
        <v>103.6</v>
      </c>
      <c r="S216" s="1">
        <f ca="1">IFERROR(__xludf.DUMMYFUNCTION("""COMPUTED_VALUE"""),177)</f>
        <v>177</v>
      </c>
      <c r="T216" s="1" t="str">
        <f ca="1">IFERROR(__xludf.DUMMYFUNCTION("""COMPUTED_VALUE"""),"+7.44")</f>
        <v>+7.44</v>
      </c>
      <c r="U216" s="1">
        <f ca="1">IFERROR(__xludf.DUMMYFUNCTION("""COMPUTED_VALUE"""),26)</f>
        <v>26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IFERROR(__xludf.DUMMYFUNCTION("""COMPUTED_VALUE"""),"Brown")</f>
        <v>Brown</v>
      </c>
      <c r="C217" s="1" t="str">
        <f ca="1">IFERROR(__xludf.DUMMYFUNCTION("""COMPUTED_VALUE"""),"Ivy")</f>
        <v>Ivy</v>
      </c>
      <c r="D217" s="1" t="str">
        <f ca="1">IFERROR(__xludf.DUMMYFUNCTION("""COMPUTED_VALUE"""),"16-10")</f>
        <v>16-10</v>
      </c>
      <c r="E217" s="1">
        <f ca="1">IFERROR(__xludf.DUMMYFUNCTION("""COMPUTED_VALUE"""),-3.69)</f>
        <v>-3.69</v>
      </c>
      <c r="F217" s="1">
        <f ca="1">IFERROR(__xludf.DUMMYFUNCTION("""COMPUTED_VALUE"""),105.9)</f>
        <v>105.9</v>
      </c>
      <c r="G217" s="1">
        <f ca="1">IFERROR(__xludf.DUMMYFUNCTION("""COMPUTED_VALUE"""),115)</f>
        <v>115</v>
      </c>
      <c r="H217" s="1">
        <f ca="1">IFERROR(__xludf.DUMMYFUNCTION("""COMPUTED_VALUE"""),109.6)</f>
        <v>109.6</v>
      </c>
      <c r="I217" s="1">
        <f ca="1">IFERROR(__xludf.DUMMYFUNCTION("""COMPUTED_VALUE"""),284)</f>
        <v>284</v>
      </c>
      <c r="J217" s="1">
        <f ca="1">IFERROR(__xludf.DUMMYFUNCTION("""COMPUTED_VALUE"""),72.7)</f>
        <v>72.7</v>
      </c>
      <c r="K217" s="1">
        <f ca="1">IFERROR(__xludf.DUMMYFUNCTION("""COMPUTED_VALUE"""),25)</f>
        <v>25</v>
      </c>
      <c r="L217" s="1" t="str">
        <f ca="1">IFERROR(__xludf.DUMMYFUNCTION("""COMPUTED_VALUE"""),"+.058")</f>
        <v>+.058</v>
      </c>
      <c r="M217" s="1">
        <f ca="1">IFERROR(__xludf.DUMMYFUNCTION("""COMPUTED_VALUE"""),41)</f>
        <v>41</v>
      </c>
      <c r="N217" s="1">
        <f ca="1">IFERROR(__xludf.DUMMYFUNCTION("""COMPUTED_VALUE"""),-7)</f>
        <v>-7</v>
      </c>
      <c r="O217" s="1">
        <f ca="1">IFERROR(__xludf.DUMMYFUNCTION("""COMPUTED_VALUE"""),274)</f>
        <v>274</v>
      </c>
      <c r="P217" s="1">
        <f ca="1">IFERROR(__xludf.DUMMYFUNCTION("""COMPUTED_VALUE"""),98.3)</f>
        <v>98.3</v>
      </c>
      <c r="Q217" s="1">
        <f ca="1">IFERROR(__xludf.DUMMYFUNCTION("""COMPUTED_VALUE"""),284)</f>
        <v>284</v>
      </c>
      <c r="R217" s="1">
        <f ca="1">IFERROR(__xludf.DUMMYFUNCTION("""COMPUTED_VALUE"""),105.3)</f>
        <v>105.3</v>
      </c>
      <c r="S217" s="1">
        <f ca="1">IFERROR(__xludf.DUMMYFUNCTION("""COMPUTED_VALUE"""),241)</f>
        <v>241</v>
      </c>
      <c r="T217" s="1">
        <f ca="1">IFERROR(__xludf.DUMMYFUNCTION("""COMPUTED_VALUE"""),-8.54)</f>
        <v>-8.5399999999999991</v>
      </c>
      <c r="U217" s="1">
        <f ca="1">IFERROR(__xludf.DUMMYFUNCTION("""COMPUTED_VALUE"""),312)</f>
        <v>312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IFERROR(__xludf.DUMMYFUNCTION("""COMPUTED_VALUE"""),"American")</f>
        <v>American</v>
      </c>
      <c r="C218" s="1" t="str">
        <f ca="1">IFERROR(__xludf.DUMMYFUNCTION("""COMPUTED_VALUE"""),"Pat")</f>
        <v>Pat</v>
      </c>
      <c r="D218" s="1" t="str">
        <f ca="1">IFERROR(__xludf.DUMMYFUNCTION("""COMPUTED_VALUE"""),"18-12")</f>
        <v>18-12</v>
      </c>
      <c r="E218" s="1">
        <f ca="1">IFERROR(__xludf.DUMMYFUNCTION("""COMPUTED_VALUE"""),-4.01)</f>
        <v>-4.01</v>
      </c>
      <c r="F218" s="1">
        <f ca="1">IFERROR(__xludf.DUMMYFUNCTION("""COMPUTED_VALUE"""),101)</f>
        <v>101</v>
      </c>
      <c r="G218" s="1">
        <f ca="1">IFERROR(__xludf.DUMMYFUNCTION("""COMPUTED_VALUE"""),198)</f>
        <v>198</v>
      </c>
      <c r="H218" s="1">
        <f ca="1">IFERROR(__xludf.DUMMYFUNCTION("""COMPUTED_VALUE"""),105.1)</f>
        <v>105.1</v>
      </c>
      <c r="I218" s="1">
        <f ca="1">IFERROR(__xludf.DUMMYFUNCTION("""COMPUTED_VALUE"""),209)</f>
        <v>209</v>
      </c>
      <c r="J218" s="1">
        <f ca="1">IFERROR(__xludf.DUMMYFUNCTION("""COMPUTED_VALUE"""),62.9)</f>
        <v>62.9</v>
      </c>
      <c r="K218" s="1">
        <f ca="1">IFERROR(__xludf.DUMMYFUNCTION("""COMPUTED_VALUE"""),306)</f>
        <v>306</v>
      </c>
      <c r="L218" s="1" t="str">
        <f ca="1">IFERROR(__xludf.DUMMYFUNCTION("""COMPUTED_VALUE"""),"+.057")</f>
        <v>+.057</v>
      </c>
      <c r="M218" s="1">
        <f ca="1">IFERROR(__xludf.DUMMYFUNCTION("""COMPUTED_VALUE"""),42)</f>
        <v>42</v>
      </c>
      <c r="N218" s="1">
        <f ca="1">IFERROR(__xludf.DUMMYFUNCTION("""COMPUTED_VALUE"""),-7.7)</f>
        <v>-7.7</v>
      </c>
      <c r="O218" s="1">
        <f ca="1">IFERROR(__xludf.DUMMYFUNCTION("""COMPUTED_VALUE"""),282)</f>
        <v>282</v>
      </c>
      <c r="P218" s="1">
        <f ca="1">IFERROR(__xludf.DUMMYFUNCTION("""COMPUTED_VALUE"""),98.3)</f>
        <v>98.3</v>
      </c>
      <c r="Q218" s="1">
        <f ca="1">IFERROR(__xludf.DUMMYFUNCTION("""COMPUTED_VALUE"""),286)</f>
        <v>286</v>
      </c>
      <c r="R218" s="1">
        <f ca="1">IFERROR(__xludf.DUMMYFUNCTION("""COMPUTED_VALUE"""),106)</f>
        <v>106</v>
      </c>
      <c r="S218" s="1">
        <f ca="1">IFERROR(__xludf.DUMMYFUNCTION("""COMPUTED_VALUE"""),263)</f>
        <v>263</v>
      </c>
      <c r="T218" s="1">
        <f ca="1">IFERROR(__xludf.DUMMYFUNCTION("""COMPUTED_VALUE"""),-3.16)</f>
        <v>-3.16</v>
      </c>
      <c r="U218" s="1">
        <f ca="1">IFERROR(__xludf.DUMMYFUNCTION("""COMPUTED_VALUE"""),239)</f>
        <v>239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IFERROR(__xludf.DUMMYFUNCTION("""COMPUTED_VALUE"""),"Green Bay")</f>
        <v>Green Bay</v>
      </c>
      <c r="C219" s="1" t="str">
        <f ca="1">IFERROR(__xludf.DUMMYFUNCTION("""COMPUTED_VALUE"""),"Horz")</f>
        <v>Horz</v>
      </c>
      <c r="D219" s="2">
        <f ca="1">IFERROR(__xludf.DUMMYFUNCTION("""COMPUTED_VALUE"""),44825)</f>
        <v>44825</v>
      </c>
      <c r="E219" s="1">
        <f ca="1">IFERROR(__xludf.DUMMYFUNCTION("""COMPUTED_VALUE"""),-4.25)</f>
        <v>-4.25</v>
      </c>
      <c r="F219" s="1">
        <f ca="1">IFERROR(__xludf.DUMMYFUNCTION("""COMPUTED_VALUE"""),105.3)</f>
        <v>105.3</v>
      </c>
      <c r="G219" s="1">
        <f ca="1">IFERROR(__xludf.DUMMYFUNCTION("""COMPUTED_VALUE"""),126)</f>
        <v>126</v>
      </c>
      <c r="H219" s="1">
        <f ca="1">IFERROR(__xludf.DUMMYFUNCTION("""COMPUTED_VALUE"""),109.6)</f>
        <v>109.6</v>
      </c>
      <c r="I219" s="1">
        <f ca="1">IFERROR(__xludf.DUMMYFUNCTION("""COMPUTED_VALUE"""),283)</f>
        <v>283</v>
      </c>
      <c r="J219" s="1">
        <f ca="1">IFERROR(__xludf.DUMMYFUNCTION("""COMPUTED_VALUE"""),62.3)</f>
        <v>62.3</v>
      </c>
      <c r="K219" s="1">
        <f ca="1">IFERROR(__xludf.DUMMYFUNCTION("""COMPUTED_VALUE"""),311)</f>
        <v>311</v>
      </c>
      <c r="L219" s="1">
        <f ca="1">IFERROR(__xludf.DUMMYFUNCTION("""COMPUTED_VALUE"""),-0.118)</f>
        <v>-0.11799999999999999</v>
      </c>
      <c r="M219" s="1">
        <f ca="1">IFERROR(__xludf.DUMMYFUNCTION("""COMPUTED_VALUE"""),324)</f>
        <v>324</v>
      </c>
      <c r="N219" s="1">
        <f ca="1">IFERROR(__xludf.DUMMYFUNCTION("""COMPUTED_VALUE"""),-0.25)</f>
        <v>-0.25</v>
      </c>
      <c r="O219" s="1">
        <f ca="1">IFERROR(__xludf.DUMMYFUNCTION("""COMPUTED_VALUE"""),168)</f>
        <v>168</v>
      </c>
      <c r="P219" s="1">
        <f ca="1">IFERROR(__xludf.DUMMYFUNCTION("""COMPUTED_VALUE"""),103.6)</f>
        <v>103.6</v>
      </c>
      <c r="Q219" s="1">
        <f ca="1">IFERROR(__xludf.DUMMYFUNCTION("""COMPUTED_VALUE"""),156)</f>
        <v>156</v>
      </c>
      <c r="R219" s="1">
        <f ca="1">IFERROR(__xludf.DUMMYFUNCTION("""COMPUTED_VALUE"""),103.8)</f>
        <v>103.8</v>
      </c>
      <c r="S219" s="1">
        <f ca="1">IFERROR(__xludf.DUMMYFUNCTION("""COMPUTED_VALUE"""),188)</f>
        <v>188</v>
      </c>
      <c r="T219" s="1">
        <f ca="1">IFERROR(__xludf.DUMMYFUNCTION("""COMPUTED_VALUE"""),-6.02)</f>
        <v>-6.02</v>
      </c>
      <c r="U219" s="1">
        <f ca="1">IFERROR(__xludf.DUMMYFUNCTION("""COMPUTED_VALUE"""),290)</f>
        <v>290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IFERROR(__xludf.DUMMYFUNCTION("""COMPUTED_VALUE"""),"Fairfield")</f>
        <v>Fairfield</v>
      </c>
      <c r="C220" s="1" t="str">
        <f ca="1">IFERROR(__xludf.DUMMYFUNCTION("""COMPUTED_VALUE"""),"MAAC")</f>
        <v>MAAC</v>
      </c>
      <c r="D220" s="2">
        <f ca="1">IFERROR(__xludf.DUMMYFUNCTION("""COMPUTED_VALUE"""),44912)</f>
        <v>44912</v>
      </c>
      <c r="E220" s="1">
        <f ca="1">IFERROR(__xludf.DUMMYFUNCTION("""COMPUTED_VALUE"""),-4.3)</f>
        <v>-4.3</v>
      </c>
      <c r="F220" s="1">
        <f ca="1">IFERROR(__xludf.DUMMYFUNCTION("""COMPUTED_VALUE"""),99.1)</f>
        <v>99.1</v>
      </c>
      <c r="G220" s="1">
        <f ca="1">IFERROR(__xludf.DUMMYFUNCTION("""COMPUTED_VALUE"""),228)</f>
        <v>228</v>
      </c>
      <c r="H220" s="1">
        <f ca="1">IFERROR(__xludf.DUMMYFUNCTION("""COMPUTED_VALUE"""),103.4)</f>
        <v>103.4</v>
      </c>
      <c r="I220" s="1">
        <f ca="1">IFERROR(__xludf.DUMMYFUNCTION("""COMPUTED_VALUE"""),177)</f>
        <v>177</v>
      </c>
      <c r="J220" s="1">
        <f ca="1">IFERROR(__xludf.DUMMYFUNCTION("""COMPUTED_VALUE"""),71.9)</f>
        <v>71.900000000000006</v>
      </c>
      <c r="K220" s="1">
        <f ca="1">IFERROR(__xludf.DUMMYFUNCTION("""COMPUTED_VALUE"""),45)</f>
        <v>45</v>
      </c>
      <c r="L220" s="1">
        <f ca="1">IFERROR(__xludf.DUMMYFUNCTION("""COMPUTED_VALUE"""),-0.055)</f>
        <v>-5.5E-2</v>
      </c>
      <c r="M220" s="1">
        <f ca="1">IFERROR(__xludf.DUMMYFUNCTION("""COMPUTED_VALUE"""),280)</f>
        <v>280</v>
      </c>
      <c r="N220" s="1">
        <f ca="1">IFERROR(__xludf.DUMMYFUNCTION("""COMPUTED_VALUE"""),-4)</f>
        <v>-4</v>
      </c>
      <c r="O220" s="1">
        <f ca="1">IFERROR(__xludf.DUMMYFUNCTION("""COMPUTED_VALUE"""),235)</f>
        <v>235</v>
      </c>
      <c r="P220" s="1">
        <f ca="1">IFERROR(__xludf.DUMMYFUNCTION("""COMPUTED_VALUE"""),99.8)</f>
        <v>99.8</v>
      </c>
      <c r="Q220" s="1">
        <f ca="1">IFERROR(__xludf.DUMMYFUNCTION("""COMPUTED_VALUE"""),251)</f>
        <v>251</v>
      </c>
      <c r="R220" s="1">
        <f ca="1">IFERROR(__xludf.DUMMYFUNCTION("""COMPUTED_VALUE"""),103.8)</f>
        <v>103.8</v>
      </c>
      <c r="S220" s="1">
        <f ca="1">IFERROR(__xludf.DUMMYFUNCTION("""COMPUTED_VALUE"""),185)</f>
        <v>185</v>
      </c>
      <c r="T220" s="1">
        <f ca="1">IFERROR(__xludf.DUMMYFUNCTION("""COMPUTED_VALUE"""),-2.28)</f>
        <v>-2.2799999999999998</v>
      </c>
      <c r="U220" s="1">
        <f ca="1">IFERROR(__xludf.DUMMYFUNCTION("""COMPUTED_VALUE"""),220)</f>
        <v>220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IFERROR(__xludf.DUMMYFUNCTION("""COMPUTED_VALUE"""),"Centenary")</f>
        <v>Centenary</v>
      </c>
      <c r="C221" s="1" t="str">
        <f ca="1">IFERROR(__xludf.DUMMYFUNCTION("""COMPUTED_VALUE"""),"ind")</f>
        <v>ind</v>
      </c>
      <c r="D221" s="2">
        <f ca="1">IFERROR(__xludf.DUMMYFUNCTION("""COMPUTED_VALUE"""),44847)</f>
        <v>44847</v>
      </c>
      <c r="E221" s="1">
        <f ca="1">IFERROR(__xludf.DUMMYFUNCTION("""COMPUTED_VALUE"""),-4.4)</f>
        <v>-4.4000000000000004</v>
      </c>
      <c r="F221" s="1">
        <f ca="1">IFERROR(__xludf.DUMMYFUNCTION("""COMPUTED_VALUE"""),101.4)</f>
        <v>101.4</v>
      </c>
      <c r="G221" s="1">
        <f ca="1">IFERROR(__xludf.DUMMYFUNCTION("""COMPUTED_VALUE"""),189)</f>
        <v>189</v>
      </c>
      <c r="H221" s="1">
        <f ca="1">IFERROR(__xludf.DUMMYFUNCTION("""COMPUTED_VALUE"""),105.8)</f>
        <v>105.8</v>
      </c>
      <c r="I221" s="1">
        <f ca="1">IFERROR(__xludf.DUMMYFUNCTION("""COMPUTED_VALUE"""),223)</f>
        <v>223</v>
      </c>
      <c r="J221" s="1">
        <f ca="1">IFERROR(__xludf.DUMMYFUNCTION("""COMPUTED_VALUE"""),65.6)</f>
        <v>65.599999999999994</v>
      </c>
      <c r="K221" s="1">
        <f ca="1">IFERROR(__xludf.DUMMYFUNCTION("""COMPUTED_VALUE"""),257)</f>
        <v>257</v>
      </c>
      <c r="L221" s="1">
        <f ca="1">IFERROR(__xludf.DUMMYFUNCTION("""COMPUTED_VALUE"""),-0.031)</f>
        <v>-3.1E-2</v>
      </c>
      <c r="M221" s="1">
        <f ca="1">IFERROR(__xludf.DUMMYFUNCTION("""COMPUTED_VALUE"""),237)</f>
        <v>237</v>
      </c>
      <c r="N221" s="1">
        <f ca="1">IFERROR(__xludf.DUMMYFUNCTION("""COMPUTED_VALUE"""),-3.27)</f>
        <v>-3.27</v>
      </c>
      <c r="O221" s="1">
        <f ca="1">IFERROR(__xludf.DUMMYFUNCTION("""COMPUTED_VALUE"""),225)</f>
        <v>225</v>
      </c>
      <c r="P221" s="1">
        <f ca="1">IFERROR(__xludf.DUMMYFUNCTION("""COMPUTED_VALUE"""),101.4)</f>
        <v>101.4</v>
      </c>
      <c r="Q221" s="1">
        <f ca="1">IFERROR(__xludf.DUMMYFUNCTION("""COMPUTED_VALUE"""),225)</f>
        <v>225</v>
      </c>
      <c r="R221" s="1">
        <f ca="1">IFERROR(__xludf.DUMMYFUNCTION("""COMPUTED_VALUE"""),104.7)</f>
        <v>104.7</v>
      </c>
      <c r="S221" s="1">
        <f ca="1">IFERROR(__xludf.DUMMYFUNCTION("""COMPUTED_VALUE"""),218)</f>
        <v>218</v>
      </c>
      <c r="T221" s="1">
        <f ca="1">IFERROR(__xludf.DUMMYFUNCTION("""COMPUTED_VALUE"""),-0.16)</f>
        <v>-0.16</v>
      </c>
      <c r="U221" s="1">
        <f ca="1">IFERROR(__xludf.DUMMYFUNCTION("""COMPUTED_VALUE"""),160)</f>
        <v>160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IFERROR(__xludf.DUMMYFUNCTION("""COMPUTED_VALUE"""),"Montana15")</f>
        <v>Montana15</v>
      </c>
      <c r="C222" s="1" t="str">
        <f ca="1">IFERROR(__xludf.DUMMYFUNCTION("""COMPUTED_VALUE"""),"BSky")</f>
        <v>BSky</v>
      </c>
      <c r="D222" s="1" t="str">
        <f ca="1">IFERROR(__xludf.DUMMYFUNCTION("""COMPUTED_VALUE"""),"14-15")</f>
        <v>14-15</v>
      </c>
      <c r="E222" s="1">
        <f ca="1">IFERROR(__xludf.DUMMYFUNCTION("""COMPUTED_VALUE"""),-4.51)</f>
        <v>-4.51</v>
      </c>
      <c r="F222" s="1">
        <f ca="1">IFERROR(__xludf.DUMMYFUNCTION("""COMPUTED_VALUE"""),102.4)</f>
        <v>102.4</v>
      </c>
      <c r="G222" s="1">
        <f ca="1">IFERROR(__xludf.DUMMYFUNCTION("""COMPUTED_VALUE"""),176)</f>
        <v>176</v>
      </c>
      <c r="H222" s="1">
        <f ca="1">IFERROR(__xludf.DUMMYFUNCTION("""COMPUTED_VALUE"""),106.9)</f>
        <v>106.9</v>
      </c>
      <c r="I222" s="1">
        <f ca="1">IFERROR(__xludf.DUMMYFUNCTION("""COMPUTED_VALUE"""),239)</f>
        <v>239</v>
      </c>
      <c r="J222" s="1">
        <f ca="1">IFERROR(__xludf.DUMMYFUNCTION("""COMPUTED_VALUE"""),68.5)</f>
        <v>68.5</v>
      </c>
      <c r="K222" s="1">
        <f ca="1">IFERROR(__xludf.DUMMYFUNCTION("""COMPUTED_VALUE"""),156)</f>
        <v>156</v>
      </c>
      <c r="L222" s="1" t="str">
        <f ca="1">IFERROR(__xludf.DUMMYFUNCTION("""COMPUTED_VALUE"""),"+.053")</f>
        <v>+.053</v>
      </c>
      <c r="M222" s="1">
        <f ca="1">IFERROR(__xludf.DUMMYFUNCTION("""COMPUTED_VALUE"""),51)</f>
        <v>51</v>
      </c>
      <c r="N222" s="1">
        <f ca="1">IFERROR(__xludf.DUMMYFUNCTION("""COMPUTED_VALUE"""),-1.95)</f>
        <v>-1.95</v>
      </c>
      <c r="O222" s="1">
        <f ca="1">IFERROR(__xludf.DUMMYFUNCTION("""COMPUTED_VALUE"""),199)</f>
        <v>199</v>
      </c>
      <c r="P222" s="1">
        <f ca="1">IFERROR(__xludf.DUMMYFUNCTION("""COMPUTED_VALUE"""),103.2)</f>
        <v>103.2</v>
      </c>
      <c r="Q222" s="1">
        <f ca="1">IFERROR(__xludf.DUMMYFUNCTION("""COMPUTED_VALUE"""),168)</f>
        <v>168</v>
      </c>
      <c r="R222" s="1">
        <f ca="1">IFERROR(__xludf.DUMMYFUNCTION("""COMPUTED_VALUE"""),105.2)</f>
        <v>105.2</v>
      </c>
      <c r="S222" s="1">
        <f ca="1">IFERROR(__xludf.DUMMYFUNCTION("""COMPUTED_VALUE"""),236)</f>
        <v>236</v>
      </c>
      <c r="T222" s="1" t="str">
        <f ca="1">IFERROR(__xludf.DUMMYFUNCTION("""COMPUTED_VALUE"""),"+0.44")</f>
        <v>+0.44</v>
      </c>
      <c r="U222" s="1">
        <f ca="1">IFERROR(__xludf.DUMMYFUNCTION("""COMPUTED_VALUE"""),150)</f>
        <v>150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IFERROR(__xludf.DUMMYFUNCTION("""COMPUTED_VALUE"""),"Santa Clara")</f>
        <v>Santa Clara</v>
      </c>
      <c r="C223" s="1" t="str">
        <f ca="1">IFERROR(__xludf.DUMMYFUNCTION("""COMPUTED_VALUE"""),"WCC")</f>
        <v>WCC</v>
      </c>
      <c r="D223" s="2">
        <f ca="1">IFERROR(__xludf.DUMMYFUNCTION("""COMPUTED_VALUE"""),44910)</f>
        <v>44910</v>
      </c>
      <c r="E223" s="1">
        <f ca="1">IFERROR(__xludf.DUMMYFUNCTION("""COMPUTED_VALUE"""),-4.55)</f>
        <v>-4.55</v>
      </c>
      <c r="F223" s="1">
        <f ca="1">IFERROR(__xludf.DUMMYFUNCTION("""COMPUTED_VALUE"""),101.1)</f>
        <v>101.1</v>
      </c>
      <c r="G223" s="1">
        <f ca="1">IFERROR(__xludf.DUMMYFUNCTION("""COMPUTED_VALUE"""),196)</f>
        <v>196</v>
      </c>
      <c r="H223" s="1">
        <f ca="1">IFERROR(__xludf.DUMMYFUNCTION("""COMPUTED_VALUE"""),105.6)</f>
        <v>105.6</v>
      </c>
      <c r="I223" s="1">
        <f ca="1">IFERROR(__xludf.DUMMYFUNCTION("""COMPUTED_VALUE"""),218)</f>
        <v>218</v>
      </c>
      <c r="J223" s="1">
        <f ca="1">IFERROR(__xludf.DUMMYFUNCTION("""COMPUTED_VALUE"""),66.3)</f>
        <v>66.3</v>
      </c>
      <c r="K223" s="1">
        <f ca="1">IFERROR(__xludf.DUMMYFUNCTION("""COMPUTED_VALUE"""),232)</f>
        <v>232</v>
      </c>
      <c r="L223" s="1" t="str">
        <f ca="1">IFERROR(__xludf.DUMMYFUNCTION("""COMPUTED_VALUE"""),"+.069")</f>
        <v>+.069</v>
      </c>
      <c r="M223" s="1">
        <f ca="1">IFERROR(__xludf.DUMMYFUNCTION("""COMPUTED_VALUE"""),25)</f>
        <v>25</v>
      </c>
      <c r="N223" s="1">
        <f ca="1">IFERROR(__xludf.DUMMYFUNCTION("""COMPUTED_VALUE"""),-0.04)</f>
        <v>-0.04</v>
      </c>
      <c r="O223" s="1">
        <f ca="1">IFERROR(__xludf.DUMMYFUNCTION("""COMPUTED_VALUE"""),157)</f>
        <v>157</v>
      </c>
      <c r="P223" s="1">
        <f ca="1">IFERROR(__xludf.DUMMYFUNCTION("""COMPUTED_VALUE"""),103.3)</f>
        <v>103.3</v>
      </c>
      <c r="Q223" s="1">
        <f ca="1">IFERROR(__xludf.DUMMYFUNCTION("""COMPUTED_VALUE"""),166)</f>
        <v>166</v>
      </c>
      <c r="R223" s="1">
        <f ca="1">IFERROR(__xludf.DUMMYFUNCTION("""COMPUTED_VALUE"""),103.3)</f>
        <v>103.3</v>
      </c>
      <c r="S223" s="1">
        <f ca="1">IFERROR(__xludf.DUMMYFUNCTION("""COMPUTED_VALUE"""),162)</f>
        <v>162</v>
      </c>
      <c r="T223" s="1">
        <f ca="1">IFERROR(__xludf.DUMMYFUNCTION("""COMPUTED_VALUE"""),-0.22)</f>
        <v>-0.22</v>
      </c>
      <c r="U223" s="1">
        <f ca="1">IFERROR(__xludf.DUMMYFUNCTION("""COMPUTED_VALUE"""),163)</f>
        <v>163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IFERROR(__xludf.DUMMYFUNCTION("""COMPUTED_VALUE"""),"Bradley")</f>
        <v>Bradley</v>
      </c>
      <c r="C224" s="1" t="str">
        <f ca="1">IFERROR(__xludf.DUMMYFUNCTION("""COMPUTED_VALUE"""),"MVC")</f>
        <v>MVC</v>
      </c>
      <c r="D224" s="2">
        <f ca="1">IFERROR(__xludf.DUMMYFUNCTION("""COMPUTED_VALUE"""),44824)</f>
        <v>44824</v>
      </c>
      <c r="E224" s="1">
        <f ca="1">IFERROR(__xludf.DUMMYFUNCTION("""COMPUTED_VALUE"""),-4.59)</f>
        <v>-4.59</v>
      </c>
      <c r="F224" s="1">
        <f ca="1">IFERROR(__xludf.DUMMYFUNCTION("""COMPUTED_VALUE"""),95.3)</f>
        <v>95.3</v>
      </c>
      <c r="G224" s="1">
        <f ca="1">IFERROR(__xludf.DUMMYFUNCTION("""COMPUTED_VALUE"""),281)</f>
        <v>281</v>
      </c>
      <c r="H224" s="1">
        <f ca="1">IFERROR(__xludf.DUMMYFUNCTION("""COMPUTED_VALUE"""),99.9)</f>
        <v>99.9</v>
      </c>
      <c r="I224" s="1">
        <f ca="1">IFERROR(__xludf.DUMMYFUNCTION("""COMPUTED_VALUE"""),99)</f>
        <v>99</v>
      </c>
      <c r="J224" s="1">
        <f ca="1">IFERROR(__xludf.DUMMYFUNCTION("""COMPUTED_VALUE"""),63.3)</f>
        <v>63.3</v>
      </c>
      <c r="K224" s="1">
        <f ca="1">IFERROR(__xludf.DUMMYFUNCTION("""COMPUTED_VALUE"""),298)</f>
        <v>298</v>
      </c>
      <c r="L224" s="1">
        <f ca="1">IFERROR(__xludf.DUMMYFUNCTION("""COMPUTED_VALUE"""),-0.046)</f>
        <v>-4.5999999999999999E-2</v>
      </c>
      <c r="M224" s="1">
        <f ca="1">IFERROR(__xludf.DUMMYFUNCTION("""COMPUTED_VALUE"""),266)</f>
        <v>266</v>
      </c>
      <c r="N224" s="1" t="str">
        <f ca="1">IFERROR(__xludf.DUMMYFUNCTION("""COMPUTED_VALUE"""),"+0.99")</f>
        <v>+0.99</v>
      </c>
      <c r="O224" s="1">
        <f ca="1">IFERROR(__xludf.DUMMYFUNCTION("""COMPUTED_VALUE"""),135)</f>
        <v>135</v>
      </c>
      <c r="P224" s="1">
        <f ca="1">IFERROR(__xludf.DUMMYFUNCTION("""COMPUTED_VALUE"""),104.6)</f>
        <v>104.6</v>
      </c>
      <c r="Q224" s="1">
        <f ca="1">IFERROR(__xludf.DUMMYFUNCTION("""COMPUTED_VALUE"""),117)</f>
        <v>117</v>
      </c>
      <c r="R224" s="1">
        <f ca="1">IFERROR(__xludf.DUMMYFUNCTION("""COMPUTED_VALUE"""),103.6)</f>
        <v>103.6</v>
      </c>
      <c r="S224" s="1">
        <f ca="1">IFERROR(__xludf.DUMMYFUNCTION("""COMPUTED_VALUE"""),180)</f>
        <v>180</v>
      </c>
      <c r="T224" s="1" t="str">
        <f ca="1">IFERROR(__xludf.DUMMYFUNCTION("""COMPUTED_VALUE"""),"+0.92")</f>
        <v>+0.92</v>
      </c>
      <c r="U224" s="1">
        <f ca="1">IFERROR(__xludf.DUMMYFUNCTION("""COMPUTED_VALUE"""),140)</f>
        <v>140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IFERROR(__xludf.DUMMYFUNCTION("""COMPUTED_VALUE"""),"Texas A&amp;M")</f>
        <v>Texas A&amp;M</v>
      </c>
      <c r="C225" s="1" t="str">
        <f ca="1">IFERROR(__xludf.DUMMYFUNCTION("""COMPUTED_VALUE"""),"B12")</f>
        <v>B12</v>
      </c>
      <c r="D225" s="2">
        <f ca="1">IFERROR(__xludf.DUMMYFUNCTION("""COMPUTED_VALUE"""),44795)</f>
        <v>44795</v>
      </c>
      <c r="E225" s="1">
        <f ca="1">IFERROR(__xludf.DUMMYFUNCTION("""COMPUTED_VALUE"""),-4.73)</f>
        <v>-4.7300000000000004</v>
      </c>
      <c r="F225" s="1">
        <f ca="1">IFERROR(__xludf.DUMMYFUNCTION("""COMPUTED_VALUE"""),97.4)</f>
        <v>97.4</v>
      </c>
      <c r="G225" s="1">
        <f ca="1">IFERROR(__xludf.DUMMYFUNCTION("""COMPUTED_VALUE"""),256)</f>
        <v>256</v>
      </c>
      <c r="H225" s="1">
        <f ca="1">IFERROR(__xludf.DUMMYFUNCTION("""COMPUTED_VALUE"""),102.2)</f>
        <v>102.2</v>
      </c>
      <c r="I225" s="1">
        <f ca="1">IFERROR(__xludf.DUMMYFUNCTION("""COMPUTED_VALUE"""),145)</f>
        <v>145</v>
      </c>
      <c r="J225" s="1">
        <f ca="1">IFERROR(__xludf.DUMMYFUNCTION("""COMPUTED_VALUE"""),68.2)</f>
        <v>68.2</v>
      </c>
      <c r="K225" s="1">
        <f ca="1">IFERROR(__xludf.DUMMYFUNCTION("""COMPUTED_VALUE"""),163)</f>
        <v>163</v>
      </c>
      <c r="L225" s="1" t="str">
        <f ca="1">IFERROR(__xludf.DUMMYFUNCTION("""COMPUTED_VALUE"""),"+.011")</f>
        <v>+.011</v>
      </c>
      <c r="M225" s="1">
        <f ca="1">IFERROR(__xludf.DUMMYFUNCTION("""COMPUTED_VALUE"""),138)</f>
        <v>138</v>
      </c>
      <c r="N225" s="1" t="str">
        <f ca="1">IFERROR(__xludf.DUMMYFUNCTION("""COMPUTED_VALUE"""),"+7.72")</f>
        <v>+7.72</v>
      </c>
      <c r="O225" s="1">
        <f ca="1">IFERROR(__xludf.DUMMYFUNCTION("""COMPUTED_VALUE"""),45)</f>
        <v>45</v>
      </c>
      <c r="P225" s="1">
        <f ca="1">IFERROR(__xludf.DUMMYFUNCTION("""COMPUTED_VALUE"""),108.3)</f>
        <v>108.3</v>
      </c>
      <c r="Q225" s="1">
        <f ca="1">IFERROR(__xludf.DUMMYFUNCTION("""COMPUTED_VALUE"""),26)</f>
        <v>26</v>
      </c>
      <c r="R225" s="1">
        <f ca="1">IFERROR(__xludf.DUMMYFUNCTION("""COMPUTED_VALUE"""),100.6)</f>
        <v>100.6</v>
      </c>
      <c r="S225" s="1">
        <f ca="1">IFERROR(__xludf.DUMMYFUNCTION("""COMPUTED_VALUE"""),70)</f>
        <v>70</v>
      </c>
      <c r="T225" s="1">
        <f ca="1">IFERROR(__xludf.DUMMYFUNCTION("""COMPUTED_VALUE"""),-0.61)</f>
        <v>-0.61</v>
      </c>
      <c r="U225" s="1">
        <f ca="1">IFERROR(__xludf.DUMMYFUNCTION("""COMPUTED_VALUE"""),174)</f>
        <v>174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IFERROR(__xludf.DUMMYFUNCTION("""COMPUTED_VALUE"""),"Fordham")</f>
        <v>Fordham</v>
      </c>
      <c r="C226" s="1" t="str">
        <f ca="1">IFERROR(__xludf.DUMMYFUNCTION("""COMPUTED_VALUE"""),"A10")</f>
        <v>A10</v>
      </c>
      <c r="D226" s="2">
        <f ca="1">IFERROR(__xludf.DUMMYFUNCTION("""COMPUTED_VALUE"""),44793)</f>
        <v>44793</v>
      </c>
      <c r="E226" s="1">
        <f ca="1">IFERROR(__xludf.DUMMYFUNCTION("""COMPUTED_VALUE"""),-4.78)</f>
        <v>-4.78</v>
      </c>
      <c r="F226" s="1">
        <f ca="1">IFERROR(__xludf.DUMMYFUNCTION("""COMPUTED_VALUE"""),99.3)</f>
        <v>99.3</v>
      </c>
      <c r="G226" s="1">
        <f ca="1">IFERROR(__xludf.DUMMYFUNCTION("""COMPUTED_VALUE"""),223)</f>
        <v>223</v>
      </c>
      <c r="H226" s="1">
        <f ca="1">IFERROR(__xludf.DUMMYFUNCTION("""COMPUTED_VALUE"""),104.1)</f>
        <v>104.1</v>
      </c>
      <c r="I226" s="1">
        <f ca="1">IFERROR(__xludf.DUMMYFUNCTION("""COMPUTED_VALUE"""),190)</f>
        <v>190</v>
      </c>
      <c r="J226" s="1">
        <f ca="1">IFERROR(__xludf.DUMMYFUNCTION("""COMPUTED_VALUE"""),74.7)</f>
        <v>74.7</v>
      </c>
      <c r="K226" s="1">
        <f ca="1">IFERROR(__xludf.DUMMYFUNCTION("""COMPUTED_VALUE"""),6)</f>
        <v>6</v>
      </c>
      <c r="L226" s="1" t="str">
        <f ca="1">IFERROR(__xludf.DUMMYFUNCTION("""COMPUTED_VALUE"""),"+.022")</f>
        <v>+.022</v>
      </c>
      <c r="M226" s="1">
        <f ca="1">IFERROR(__xludf.DUMMYFUNCTION("""COMPUTED_VALUE"""),110)</f>
        <v>110</v>
      </c>
      <c r="N226" s="1" t="str">
        <f ca="1">IFERROR(__xludf.DUMMYFUNCTION("""COMPUTED_VALUE"""),"+4.74")</f>
        <v>+4.74</v>
      </c>
      <c r="O226" s="1">
        <f ca="1">IFERROR(__xludf.DUMMYFUNCTION("""COMPUTED_VALUE"""),83)</f>
        <v>83</v>
      </c>
      <c r="P226" s="1">
        <f ca="1">IFERROR(__xludf.DUMMYFUNCTION("""COMPUTED_VALUE"""),105.7)</f>
        <v>105.7</v>
      </c>
      <c r="Q226" s="1">
        <f ca="1">IFERROR(__xludf.DUMMYFUNCTION("""COMPUTED_VALUE"""),88)</f>
        <v>88</v>
      </c>
      <c r="R226" s="1">
        <f ca="1">IFERROR(__xludf.DUMMYFUNCTION("""COMPUTED_VALUE"""),100.9)</f>
        <v>100.9</v>
      </c>
      <c r="S226" s="1">
        <f ca="1">IFERROR(__xludf.DUMMYFUNCTION("""COMPUTED_VALUE"""),76)</f>
        <v>76</v>
      </c>
      <c r="T226" s="1" t="str">
        <f ca="1">IFERROR(__xludf.DUMMYFUNCTION("""COMPUTED_VALUE"""),"+4.36")</f>
        <v>+4.36</v>
      </c>
      <c r="U226" s="1">
        <f ca="1">IFERROR(__xludf.DUMMYFUNCTION("""COMPUTED_VALUE"""),70)</f>
        <v>70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IFERROR(__xludf.DUMMYFUNCTION("""COMPUTED_VALUE"""),"Southern Utah")</f>
        <v>Southern Utah</v>
      </c>
      <c r="C227" s="1" t="str">
        <f ca="1">IFERROR(__xludf.DUMMYFUNCTION("""COMPUTED_VALUE"""),"MCon")</f>
        <v>MCon</v>
      </c>
      <c r="D227" s="2">
        <f ca="1">IFERROR(__xludf.DUMMYFUNCTION("""COMPUTED_VALUE"""),44820)</f>
        <v>44820</v>
      </c>
      <c r="E227" s="1">
        <f ca="1">IFERROR(__xludf.DUMMYFUNCTION("""COMPUTED_VALUE"""),-4.82)</f>
        <v>-4.82</v>
      </c>
      <c r="F227" s="1">
        <f ca="1">IFERROR(__xludf.DUMMYFUNCTION("""COMPUTED_VALUE"""),100.4)</f>
        <v>100.4</v>
      </c>
      <c r="G227" s="1">
        <f ca="1">IFERROR(__xludf.DUMMYFUNCTION("""COMPUTED_VALUE"""),204)</f>
        <v>204</v>
      </c>
      <c r="H227" s="1">
        <f ca="1">IFERROR(__xludf.DUMMYFUNCTION("""COMPUTED_VALUE"""),105.2)</f>
        <v>105.2</v>
      </c>
      <c r="I227" s="1">
        <f ca="1">IFERROR(__xludf.DUMMYFUNCTION("""COMPUTED_VALUE"""),213)</f>
        <v>213</v>
      </c>
      <c r="J227" s="1">
        <f ca="1">IFERROR(__xludf.DUMMYFUNCTION("""COMPUTED_VALUE"""),63.5)</f>
        <v>63.5</v>
      </c>
      <c r="K227" s="1">
        <f ca="1">IFERROR(__xludf.DUMMYFUNCTION("""COMPUTED_VALUE"""),294)</f>
        <v>294</v>
      </c>
      <c r="L227" s="1">
        <f ca="1">IFERROR(__xludf.DUMMYFUNCTION("""COMPUTED_VALUE"""),-0.037)</f>
        <v>-3.6999999999999998E-2</v>
      </c>
      <c r="M227" s="1">
        <f ca="1">IFERROR(__xludf.DUMMYFUNCTION("""COMPUTED_VALUE"""),248)</f>
        <v>248</v>
      </c>
      <c r="N227" s="1">
        <f ca="1">IFERROR(__xludf.DUMMYFUNCTION("""COMPUTED_VALUE"""),-0.29)</f>
        <v>-0.28999999999999998</v>
      </c>
      <c r="O227" s="1">
        <f ca="1">IFERROR(__xludf.DUMMYFUNCTION("""COMPUTED_VALUE"""),170)</f>
        <v>170</v>
      </c>
      <c r="P227" s="1">
        <f ca="1">IFERROR(__xludf.DUMMYFUNCTION("""COMPUTED_VALUE"""),103.5)</f>
        <v>103.5</v>
      </c>
      <c r="Q227" s="1">
        <f ca="1">IFERROR(__xludf.DUMMYFUNCTION("""COMPUTED_VALUE"""),161)</f>
        <v>161</v>
      </c>
      <c r="R227" s="1">
        <f ca="1">IFERROR(__xludf.DUMMYFUNCTION("""COMPUTED_VALUE"""),103.8)</f>
        <v>103.8</v>
      </c>
      <c r="S227" s="1">
        <f ca="1">IFERROR(__xludf.DUMMYFUNCTION("""COMPUTED_VALUE"""),186)</f>
        <v>186</v>
      </c>
      <c r="T227" s="1" t="str">
        <f ca="1">IFERROR(__xludf.DUMMYFUNCTION("""COMPUTED_VALUE"""),"+3.17")</f>
        <v>+3.17</v>
      </c>
      <c r="U227" s="1">
        <f ca="1">IFERROR(__xludf.DUMMYFUNCTION("""COMPUTED_VALUE"""),85)</f>
        <v>85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IFERROR(__xludf.DUMMYFUNCTION("""COMPUTED_VALUE"""),"Washington St.")</f>
        <v>Washington St.</v>
      </c>
      <c r="C228" s="1" t="str">
        <f ca="1">IFERROR(__xludf.DUMMYFUNCTION("""COMPUTED_VALUE"""),"P10")</f>
        <v>P10</v>
      </c>
      <c r="D228" s="2">
        <f ca="1">IFERROR(__xludf.DUMMYFUNCTION("""COMPUTED_VALUE"""),44733)</f>
        <v>44733</v>
      </c>
      <c r="E228" s="1">
        <f ca="1">IFERROR(__xludf.DUMMYFUNCTION("""COMPUTED_VALUE"""),-4.94)</f>
        <v>-4.9400000000000004</v>
      </c>
      <c r="F228" s="1">
        <f ca="1">IFERROR(__xludf.DUMMYFUNCTION("""COMPUTED_VALUE"""),104.3)</f>
        <v>104.3</v>
      </c>
      <c r="G228" s="1">
        <f ca="1">IFERROR(__xludf.DUMMYFUNCTION("""COMPUTED_VALUE"""),141)</f>
        <v>141</v>
      </c>
      <c r="H228" s="1">
        <f ca="1">IFERROR(__xludf.DUMMYFUNCTION("""COMPUTED_VALUE"""),109.3)</f>
        <v>109.3</v>
      </c>
      <c r="I228" s="1">
        <f ca="1">IFERROR(__xludf.DUMMYFUNCTION("""COMPUTED_VALUE"""),275)</f>
        <v>275</v>
      </c>
      <c r="J228" s="1">
        <f ca="1">IFERROR(__xludf.DUMMYFUNCTION("""COMPUTED_VALUE"""),69.8)</f>
        <v>69.8</v>
      </c>
      <c r="K228" s="1">
        <f ca="1">IFERROR(__xludf.DUMMYFUNCTION("""COMPUTED_VALUE"""),95)</f>
        <v>95</v>
      </c>
      <c r="L228" s="1">
        <f ca="1">IFERROR(__xludf.DUMMYFUNCTION("""COMPUTED_VALUE"""),-0.088)</f>
        <v>-8.7999999999999995E-2</v>
      </c>
      <c r="M228" s="1">
        <f ca="1">IFERROR(__xludf.DUMMYFUNCTION("""COMPUTED_VALUE"""),310)</f>
        <v>310</v>
      </c>
      <c r="N228" s="1" t="str">
        <f ca="1">IFERROR(__xludf.DUMMYFUNCTION("""COMPUTED_VALUE"""),"+9.36")</f>
        <v>+9.36</v>
      </c>
      <c r="O228" s="1">
        <f ca="1">IFERROR(__xludf.DUMMYFUNCTION("""COMPUTED_VALUE"""),20)</f>
        <v>20</v>
      </c>
      <c r="P228" s="1">
        <f ca="1">IFERROR(__xludf.DUMMYFUNCTION("""COMPUTED_VALUE"""),108.6)</f>
        <v>108.6</v>
      </c>
      <c r="Q228" s="1">
        <f ca="1">IFERROR(__xludf.DUMMYFUNCTION("""COMPUTED_VALUE"""),19)</f>
        <v>19</v>
      </c>
      <c r="R228" s="1">
        <f ca="1">IFERROR(__xludf.DUMMYFUNCTION("""COMPUTED_VALUE"""),99.3)</f>
        <v>99.3</v>
      </c>
      <c r="S228" s="1">
        <f ca="1">IFERROR(__xludf.DUMMYFUNCTION("""COMPUTED_VALUE"""),34)</f>
        <v>34</v>
      </c>
      <c r="T228" s="1">
        <f ca="1">IFERROR(__xludf.DUMMYFUNCTION("""COMPUTED_VALUE"""),-7.27)</f>
        <v>-7.27</v>
      </c>
      <c r="U228" s="1">
        <f ca="1">IFERROR(__xludf.DUMMYFUNCTION("""COMPUTED_VALUE"""),304)</f>
        <v>304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IFERROR(__xludf.DUMMYFUNCTION("""COMPUTED_VALUE"""),"Belmont")</f>
        <v>Belmont</v>
      </c>
      <c r="C229" s="1" t="str">
        <f ca="1">IFERROR(__xludf.DUMMYFUNCTION("""COMPUTED_VALUE"""),"ASun")</f>
        <v>ASun</v>
      </c>
      <c r="D229" s="2">
        <f ca="1">IFERROR(__xludf.DUMMYFUNCTION("""COMPUTED_VALUE"""),44882)</f>
        <v>44882</v>
      </c>
      <c r="E229" s="1">
        <f ca="1">IFERROR(__xludf.DUMMYFUNCTION("""COMPUTED_VALUE"""),-5)</f>
        <v>-5</v>
      </c>
      <c r="F229" s="1">
        <f ca="1">IFERROR(__xludf.DUMMYFUNCTION("""COMPUTED_VALUE"""),108.8)</f>
        <v>108.8</v>
      </c>
      <c r="G229" s="1">
        <f ca="1">IFERROR(__xludf.DUMMYFUNCTION("""COMPUTED_VALUE"""),75)</f>
        <v>75</v>
      </c>
      <c r="H229" s="1">
        <f ca="1">IFERROR(__xludf.DUMMYFUNCTION("""COMPUTED_VALUE"""),113.8)</f>
        <v>113.8</v>
      </c>
      <c r="I229" s="1">
        <f ca="1">IFERROR(__xludf.DUMMYFUNCTION("""COMPUTED_VALUE"""),311)</f>
        <v>311</v>
      </c>
      <c r="J229" s="1">
        <f ca="1">IFERROR(__xludf.DUMMYFUNCTION("""COMPUTED_VALUE"""),65.2)</f>
        <v>65.2</v>
      </c>
      <c r="K229" s="1">
        <f ca="1">IFERROR(__xludf.DUMMYFUNCTION("""COMPUTED_VALUE"""),268)</f>
        <v>268</v>
      </c>
      <c r="L229" s="1">
        <f ca="1">IFERROR(__xludf.DUMMYFUNCTION("""COMPUTED_VALUE"""),-0.025)</f>
        <v>-2.5000000000000001E-2</v>
      </c>
      <c r="M229" s="1">
        <f ca="1">IFERROR(__xludf.DUMMYFUNCTION("""COMPUTED_VALUE"""),216)</f>
        <v>216</v>
      </c>
      <c r="N229" s="1">
        <f ca="1">IFERROR(__xludf.DUMMYFUNCTION("""COMPUTED_VALUE"""),-2.66)</f>
        <v>-2.66</v>
      </c>
      <c r="O229" s="1">
        <f ca="1">IFERROR(__xludf.DUMMYFUNCTION("""COMPUTED_VALUE"""),215)</f>
        <v>215</v>
      </c>
      <c r="P229" s="1">
        <f ca="1">IFERROR(__xludf.DUMMYFUNCTION("""COMPUTED_VALUE"""),102.6)</f>
        <v>102.6</v>
      </c>
      <c r="Q229" s="1">
        <f ca="1">IFERROR(__xludf.DUMMYFUNCTION("""COMPUTED_VALUE"""),194)</f>
        <v>194</v>
      </c>
      <c r="R229" s="1">
        <f ca="1">IFERROR(__xludf.DUMMYFUNCTION("""COMPUTED_VALUE"""),105.2)</f>
        <v>105.2</v>
      </c>
      <c r="S229" s="1">
        <f ca="1">IFERROR(__xludf.DUMMYFUNCTION("""COMPUTED_VALUE"""),239)</f>
        <v>239</v>
      </c>
      <c r="T229" s="1" t="str">
        <f ca="1">IFERROR(__xludf.DUMMYFUNCTION("""COMPUTED_VALUE"""),"+8.69")</f>
        <v>+8.69</v>
      </c>
      <c r="U229" s="1">
        <f ca="1">IFERROR(__xludf.DUMMYFUNCTION("""COMPUTED_VALUE"""),17)</f>
        <v>17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IFERROR(__xludf.DUMMYFUNCTION("""COMPUTED_VALUE"""),"Iona")</f>
        <v>Iona</v>
      </c>
      <c r="C230" s="1" t="str">
        <f ca="1">IFERROR(__xludf.DUMMYFUNCTION("""COMPUTED_VALUE"""),"MAAC")</f>
        <v>MAAC</v>
      </c>
      <c r="D230" s="1" t="str">
        <f ca="1">IFERROR(__xludf.DUMMYFUNCTION("""COMPUTED_VALUE"""),"13-17")</f>
        <v>13-17</v>
      </c>
      <c r="E230" s="1">
        <f ca="1">IFERROR(__xludf.DUMMYFUNCTION("""COMPUTED_VALUE"""),-5.07)</f>
        <v>-5.07</v>
      </c>
      <c r="F230" s="1">
        <f ca="1">IFERROR(__xludf.DUMMYFUNCTION("""COMPUTED_VALUE"""),98.5)</f>
        <v>98.5</v>
      </c>
      <c r="G230" s="1">
        <f ca="1">IFERROR(__xludf.DUMMYFUNCTION("""COMPUTED_VALUE"""),239)</f>
        <v>239</v>
      </c>
      <c r="H230" s="1">
        <f ca="1">IFERROR(__xludf.DUMMYFUNCTION("""COMPUTED_VALUE"""),103.6)</f>
        <v>103.6</v>
      </c>
      <c r="I230" s="1">
        <f ca="1">IFERROR(__xludf.DUMMYFUNCTION("""COMPUTED_VALUE"""),179)</f>
        <v>179</v>
      </c>
      <c r="J230" s="1">
        <f ca="1">IFERROR(__xludf.DUMMYFUNCTION("""COMPUTED_VALUE"""),70.9)</f>
        <v>70.900000000000006</v>
      </c>
      <c r="K230" s="1">
        <f ca="1">IFERROR(__xludf.DUMMYFUNCTION("""COMPUTED_VALUE"""),63)</f>
        <v>63</v>
      </c>
      <c r="L230" s="1">
        <f ca="1">IFERROR(__xludf.DUMMYFUNCTION("""COMPUTED_VALUE"""),-0.018)</f>
        <v>-1.7999999999999999E-2</v>
      </c>
      <c r="M230" s="1">
        <f ca="1">IFERROR(__xludf.DUMMYFUNCTION("""COMPUTED_VALUE"""),199)</f>
        <v>199</v>
      </c>
      <c r="N230" s="1">
        <f ca="1">IFERROR(__xludf.DUMMYFUNCTION("""COMPUTED_VALUE"""),-3.91)</f>
        <v>-3.91</v>
      </c>
      <c r="O230" s="1">
        <f ca="1">IFERROR(__xludf.DUMMYFUNCTION("""COMPUTED_VALUE"""),233)</f>
        <v>233</v>
      </c>
      <c r="P230" s="1">
        <f ca="1">IFERROR(__xludf.DUMMYFUNCTION("""COMPUTED_VALUE"""),100.4)</f>
        <v>100.4</v>
      </c>
      <c r="Q230" s="1">
        <f ca="1">IFERROR(__xludf.DUMMYFUNCTION("""COMPUTED_VALUE"""),241)</f>
        <v>241</v>
      </c>
      <c r="R230" s="1">
        <f ca="1">IFERROR(__xludf.DUMMYFUNCTION("""COMPUTED_VALUE"""),104.4)</f>
        <v>104.4</v>
      </c>
      <c r="S230" s="1">
        <f ca="1">IFERROR(__xludf.DUMMYFUNCTION("""COMPUTED_VALUE"""),203)</f>
        <v>203</v>
      </c>
      <c r="T230" s="1">
        <f ca="1">IFERROR(__xludf.DUMMYFUNCTION("""COMPUTED_VALUE"""),-1.38)</f>
        <v>-1.38</v>
      </c>
      <c r="U230" s="1">
        <f ca="1">IFERROR(__xludf.DUMMYFUNCTION("""COMPUTED_VALUE"""),200)</f>
        <v>200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IFERROR(__xludf.DUMMYFUNCTION("""COMPUTED_VALUE"""),"Winthrop16")</f>
        <v>Winthrop16</v>
      </c>
      <c r="C231" s="1" t="str">
        <f ca="1">IFERROR(__xludf.DUMMYFUNCTION("""COMPUTED_VALUE"""),"BSth")</f>
        <v>BSth</v>
      </c>
      <c r="D231" s="1" t="str">
        <f ca="1">IFERROR(__xludf.DUMMYFUNCTION("""COMPUTED_VALUE"""),"17-12")</f>
        <v>17-12</v>
      </c>
      <c r="E231" s="1">
        <f ca="1">IFERROR(__xludf.DUMMYFUNCTION("""COMPUTED_VALUE"""),-5.31)</f>
        <v>-5.31</v>
      </c>
      <c r="F231" s="1">
        <f ca="1">IFERROR(__xludf.DUMMYFUNCTION("""COMPUTED_VALUE"""),97.3)</f>
        <v>97.3</v>
      </c>
      <c r="G231" s="1">
        <f ca="1">IFERROR(__xludf.DUMMYFUNCTION("""COMPUTED_VALUE"""),258)</f>
        <v>258</v>
      </c>
      <c r="H231" s="1">
        <f ca="1">IFERROR(__xludf.DUMMYFUNCTION("""COMPUTED_VALUE"""),102.6)</f>
        <v>102.6</v>
      </c>
      <c r="I231" s="1">
        <f ca="1">IFERROR(__xludf.DUMMYFUNCTION("""COMPUTED_VALUE"""),155)</f>
        <v>155</v>
      </c>
      <c r="J231" s="1">
        <f ca="1">IFERROR(__xludf.DUMMYFUNCTION("""COMPUTED_VALUE"""),65.9)</f>
        <v>65.900000000000006</v>
      </c>
      <c r="K231" s="1">
        <f ca="1">IFERROR(__xludf.DUMMYFUNCTION("""COMPUTED_VALUE"""),243)</f>
        <v>243</v>
      </c>
      <c r="L231" s="1" t="str">
        <f ca="1">IFERROR(__xludf.DUMMYFUNCTION("""COMPUTED_VALUE"""),"+.038")</f>
        <v>+.038</v>
      </c>
      <c r="M231" s="1">
        <f ca="1">IFERROR(__xludf.DUMMYFUNCTION("""COMPUTED_VALUE"""),79)</f>
        <v>79</v>
      </c>
      <c r="N231" s="1">
        <f ca="1">IFERROR(__xludf.DUMMYFUNCTION("""COMPUTED_VALUE"""),-10.73)</f>
        <v>-10.73</v>
      </c>
      <c r="O231" s="1">
        <f ca="1">IFERROR(__xludf.DUMMYFUNCTION("""COMPUTED_VALUE"""),311)</f>
        <v>311</v>
      </c>
      <c r="P231" s="1">
        <f ca="1">IFERROR(__xludf.DUMMYFUNCTION("""COMPUTED_VALUE"""),97)</f>
        <v>97</v>
      </c>
      <c r="Q231" s="1">
        <f ca="1">IFERROR(__xludf.DUMMYFUNCTION("""COMPUTED_VALUE"""),313)</f>
        <v>313</v>
      </c>
      <c r="R231" s="1">
        <f ca="1">IFERROR(__xludf.DUMMYFUNCTION("""COMPUTED_VALUE"""),107.7)</f>
        <v>107.7</v>
      </c>
      <c r="S231" s="1">
        <f ca="1">IFERROR(__xludf.DUMMYFUNCTION("""COMPUTED_VALUE"""),304)</f>
        <v>304</v>
      </c>
      <c r="T231" s="1">
        <f ca="1">IFERROR(__xludf.DUMMYFUNCTION("""COMPUTED_VALUE"""),-0.98)</f>
        <v>-0.98</v>
      </c>
      <c r="U231" s="1">
        <f ca="1">IFERROR(__xludf.DUMMYFUNCTION("""COMPUTED_VALUE"""),188)</f>
        <v>188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IFERROR(__xludf.DUMMYFUNCTION("""COMPUTED_VALUE"""),"Northern Arizona")</f>
        <v>Northern Arizona</v>
      </c>
      <c r="C232" s="1" t="str">
        <f ca="1">IFERROR(__xludf.DUMMYFUNCTION("""COMPUTED_VALUE"""),"BSky")</f>
        <v>BSky</v>
      </c>
      <c r="D232" s="2">
        <f ca="1">IFERROR(__xludf.DUMMYFUNCTION("""COMPUTED_VALUE"""),44909)</f>
        <v>44909</v>
      </c>
      <c r="E232" s="1">
        <f ca="1">IFERROR(__xludf.DUMMYFUNCTION("""COMPUTED_VALUE"""),-5.36)</f>
        <v>-5.36</v>
      </c>
      <c r="F232" s="1">
        <f ca="1">IFERROR(__xludf.DUMMYFUNCTION("""COMPUTED_VALUE"""),96.3)</f>
        <v>96.3</v>
      </c>
      <c r="G232" s="1">
        <f ca="1">IFERROR(__xludf.DUMMYFUNCTION("""COMPUTED_VALUE"""),273)</f>
        <v>273</v>
      </c>
      <c r="H232" s="1">
        <f ca="1">IFERROR(__xludf.DUMMYFUNCTION("""COMPUTED_VALUE"""),101.7)</f>
        <v>101.7</v>
      </c>
      <c r="I232" s="1">
        <f ca="1">IFERROR(__xludf.DUMMYFUNCTION("""COMPUTED_VALUE"""),135)</f>
        <v>135</v>
      </c>
      <c r="J232" s="1">
        <f ca="1">IFERROR(__xludf.DUMMYFUNCTION("""COMPUTED_VALUE"""),67.3)</f>
        <v>67.3</v>
      </c>
      <c r="K232" s="1">
        <f ca="1">IFERROR(__xludf.DUMMYFUNCTION("""COMPUTED_VALUE"""),196)</f>
        <v>196</v>
      </c>
      <c r="L232" s="1" t="str">
        <f ca="1">IFERROR(__xludf.DUMMYFUNCTION("""COMPUTED_VALUE"""),"+.026")</f>
        <v>+.026</v>
      </c>
      <c r="M232" s="1">
        <f ca="1">IFERROR(__xludf.DUMMYFUNCTION("""COMPUTED_VALUE"""),102)</f>
        <v>102</v>
      </c>
      <c r="N232" s="1">
        <f ca="1">IFERROR(__xludf.DUMMYFUNCTION("""COMPUTED_VALUE"""),-3.69)</f>
        <v>-3.69</v>
      </c>
      <c r="O232" s="1">
        <f ca="1">IFERROR(__xludf.DUMMYFUNCTION("""COMPUTED_VALUE"""),231)</f>
        <v>231</v>
      </c>
      <c r="P232" s="1">
        <f ca="1">IFERROR(__xludf.DUMMYFUNCTION("""COMPUTED_VALUE"""),102.3)</f>
        <v>102.3</v>
      </c>
      <c r="Q232" s="1">
        <f ca="1">IFERROR(__xludf.DUMMYFUNCTION("""COMPUTED_VALUE"""),201)</f>
        <v>201</v>
      </c>
      <c r="R232" s="1">
        <f ca="1">IFERROR(__xludf.DUMMYFUNCTION("""COMPUTED_VALUE"""),106)</f>
        <v>106</v>
      </c>
      <c r="S232" s="1">
        <f ca="1">IFERROR(__xludf.DUMMYFUNCTION("""COMPUTED_VALUE"""),265)</f>
        <v>265</v>
      </c>
      <c r="T232" s="1">
        <f ca="1">IFERROR(__xludf.DUMMYFUNCTION("""COMPUTED_VALUE"""),-0.78)</f>
        <v>-0.78</v>
      </c>
      <c r="U232" s="1">
        <f ca="1">IFERROR(__xludf.DUMMYFUNCTION("""COMPUTED_VALUE"""),180)</f>
        <v>180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IFERROR(__xludf.DUMMYFUNCTION("""COMPUTED_VALUE"""),"Hofstra")</f>
        <v>Hofstra</v>
      </c>
      <c r="C233" s="1" t="str">
        <f ca="1">IFERROR(__xludf.DUMMYFUNCTION("""COMPUTED_VALUE"""),"CAA")</f>
        <v>CAA</v>
      </c>
      <c r="D233" s="2">
        <f ca="1">IFERROR(__xludf.DUMMYFUNCTION("""COMPUTED_VALUE"""),44915)</f>
        <v>44915</v>
      </c>
      <c r="E233" s="1">
        <f ca="1">IFERROR(__xludf.DUMMYFUNCTION("""COMPUTED_VALUE"""),-5.44)</f>
        <v>-5.44</v>
      </c>
      <c r="F233" s="1">
        <f ca="1">IFERROR(__xludf.DUMMYFUNCTION("""COMPUTED_VALUE"""),94.8)</f>
        <v>94.8</v>
      </c>
      <c r="G233" s="1">
        <f ca="1">IFERROR(__xludf.DUMMYFUNCTION("""COMPUTED_VALUE"""),282)</f>
        <v>282</v>
      </c>
      <c r="H233" s="1">
        <f ca="1">IFERROR(__xludf.DUMMYFUNCTION("""COMPUTED_VALUE"""),100.3)</f>
        <v>100.3</v>
      </c>
      <c r="I233" s="1">
        <f ca="1">IFERROR(__xludf.DUMMYFUNCTION("""COMPUTED_VALUE"""),104)</f>
        <v>104</v>
      </c>
      <c r="J233" s="1">
        <f ca="1">IFERROR(__xludf.DUMMYFUNCTION("""COMPUTED_VALUE"""),70.8)</f>
        <v>70.8</v>
      </c>
      <c r="K233" s="1">
        <f ca="1">IFERROR(__xludf.DUMMYFUNCTION("""COMPUTED_VALUE"""),66)</f>
        <v>66</v>
      </c>
      <c r="L233" s="1" t="str">
        <f ca="1">IFERROR(__xludf.DUMMYFUNCTION("""COMPUTED_VALUE"""),"+.027")</f>
        <v>+.027</v>
      </c>
      <c r="M233" s="1">
        <f ca="1">IFERROR(__xludf.DUMMYFUNCTION("""COMPUTED_VALUE"""),100)</f>
        <v>100</v>
      </c>
      <c r="N233" s="1">
        <f ca="1">IFERROR(__xludf.DUMMYFUNCTION("""COMPUTED_VALUE"""),-0.07)</f>
        <v>-7.0000000000000007E-2</v>
      </c>
      <c r="O233" s="1">
        <f ca="1">IFERROR(__xludf.DUMMYFUNCTION("""COMPUTED_VALUE"""),158)</f>
        <v>158</v>
      </c>
      <c r="P233" s="1">
        <f ca="1">IFERROR(__xludf.DUMMYFUNCTION("""COMPUTED_VALUE"""),102.1)</f>
        <v>102.1</v>
      </c>
      <c r="Q233" s="1">
        <f ca="1">IFERROR(__xludf.DUMMYFUNCTION("""COMPUTED_VALUE"""),208)</f>
        <v>208</v>
      </c>
      <c r="R233" s="1">
        <f ca="1">IFERROR(__xludf.DUMMYFUNCTION("""COMPUTED_VALUE"""),102.2)</f>
        <v>102.2</v>
      </c>
      <c r="S233" s="1">
        <f ca="1">IFERROR(__xludf.DUMMYFUNCTION("""COMPUTED_VALUE"""),116)</f>
        <v>116</v>
      </c>
      <c r="T233" s="1" t="str">
        <f ca="1">IFERROR(__xludf.DUMMYFUNCTION("""COMPUTED_VALUE"""),"+2.50")</f>
        <v>+2.50</v>
      </c>
      <c r="U233" s="1">
        <f ca="1">IFERROR(__xludf.DUMMYFUNCTION("""COMPUTED_VALUE"""),102)</f>
        <v>102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IFERROR(__xludf.DUMMYFUNCTION("""COMPUTED_VALUE"""),"William &amp; Mary")</f>
        <v>William &amp; Mary</v>
      </c>
      <c r="C234" s="1" t="str">
        <f ca="1">IFERROR(__xludf.DUMMYFUNCTION("""COMPUTED_VALUE"""),"CAA")</f>
        <v>CAA</v>
      </c>
      <c r="D234" s="2">
        <f ca="1">IFERROR(__xludf.DUMMYFUNCTION("""COMPUTED_VALUE"""),44823)</f>
        <v>44823</v>
      </c>
      <c r="E234" s="1">
        <f ca="1">IFERROR(__xludf.DUMMYFUNCTION("""COMPUTED_VALUE"""),-5.62)</f>
        <v>-5.62</v>
      </c>
      <c r="F234" s="1">
        <f ca="1">IFERROR(__xludf.DUMMYFUNCTION("""COMPUTED_VALUE"""),96.6)</f>
        <v>96.6</v>
      </c>
      <c r="G234" s="1">
        <f ca="1">IFERROR(__xludf.DUMMYFUNCTION("""COMPUTED_VALUE"""),268)</f>
        <v>268</v>
      </c>
      <c r="H234" s="1">
        <f ca="1">IFERROR(__xludf.DUMMYFUNCTION("""COMPUTED_VALUE"""),102.2)</f>
        <v>102.2</v>
      </c>
      <c r="I234" s="1">
        <f ca="1">IFERROR(__xludf.DUMMYFUNCTION("""COMPUTED_VALUE"""),148)</f>
        <v>148</v>
      </c>
      <c r="J234" s="1">
        <f ca="1">IFERROR(__xludf.DUMMYFUNCTION("""COMPUTED_VALUE"""),65.4)</f>
        <v>65.400000000000006</v>
      </c>
      <c r="K234" s="1">
        <f ca="1">IFERROR(__xludf.DUMMYFUNCTION("""COMPUTED_VALUE"""),260)</f>
        <v>260</v>
      </c>
      <c r="L234" s="1">
        <f ca="1">IFERROR(__xludf.DUMMYFUNCTION("""COMPUTED_VALUE"""),-0.029)</f>
        <v>-2.9000000000000001E-2</v>
      </c>
      <c r="M234" s="1">
        <f ca="1">IFERROR(__xludf.DUMMYFUNCTION("""COMPUTED_VALUE"""),233)</f>
        <v>233</v>
      </c>
      <c r="N234" s="1" t="str">
        <f ca="1">IFERROR(__xludf.DUMMYFUNCTION("""COMPUTED_VALUE"""),"+0.43")</f>
        <v>+0.43</v>
      </c>
      <c r="O234" s="1">
        <f ca="1">IFERROR(__xludf.DUMMYFUNCTION("""COMPUTED_VALUE"""),147)</f>
        <v>147</v>
      </c>
      <c r="P234" s="1">
        <f ca="1">IFERROR(__xludf.DUMMYFUNCTION("""COMPUTED_VALUE"""),103.6)</f>
        <v>103.6</v>
      </c>
      <c r="Q234" s="1">
        <f ca="1">IFERROR(__xludf.DUMMYFUNCTION("""COMPUTED_VALUE"""),152)</f>
        <v>152</v>
      </c>
      <c r="R234" s="1">
        <f ca="1">IFERROR(__xludf.DUMMYFUNCTION("""COMPUTED_VALUE"""),103.2)</f>
        <v>103.2</v>
      </c>
      <c r="S234" s="1">
        <f ca="1">IFERROR(__xludf.DUMMYFUNCTION("""COMPUTED_VALUE"""),156)</f>
        <v>156</v>
      </c>
      <c r="T234" s="1" t="str">
        <f ca="1">IFERROR(__xludf.DUMMYFUNCTION("""COMPUTED_VALUE"""),"+4.54")</f>
        <v>+4.54</v>
      </c>
      <c r="U234" s="1">
        <f ca="1">IFERROR(__xludf.DUMMYFUNCTION("""COMPUTED_VALUE"""),66)</f>
        <v>66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IFERROR(__xludf.DUMMYFUNCTION("""COMPUTED_VALUE"""),"Colgate")</f>
        <v>Colgate</v>
      </c>
      <c r="C235" s="1" t="str">
        <f ca="1">IFERROR(__xludf.DUMMYFUNCTION("""COMPUTED_VALUE"""),"Pat")</f>
        <v>Pat</v>
      </c>
      <c r="D235" s="1" t="str">
        <f ca="1">IFERROR(__xludf.DUMMYFUNCTION("""COMPUTED_VALUE"""),"15-11")</f>
        <v>15-11</v>
      </c>
      <c r="E235" s="1">
        <f ca="1">IFERROR(__xludf.DUMMYFUNCTION("""COMPUTED_VALUE"""),-5.62)</f>
        <v>-5.62</v>
      </c>
      <c r="F235" s="1">
        <f ca="1">IFERROR(__xludf.DUMMYFUNCTION("""COMPUTED_VALUE"""),101.8)</f>
        <v>101.8</v>
      </c>
      <c r="G235" s="1">
        <f ca="1">IFERROR(__xludf.DUMMYFUNCTION("""COMPUTED_VALUE"""),184)</f>
        <v>184</v>
      </c>
      <c r="H235" s="1">
        <f ca="1">IFERROR(__xludf.DUMMYFUNCTION("""COMPUTED_VALUE"""),107.4)</f>
        <v>107.4</v>
      </c>
      <c r="I235" s="1">
        <f ca="1">IFERROR(__xludf.DUMMYFUNCTION("""COMPUTED_VALUE"""),248)</f>
        <v>248</v>
      </c>
      <c r="J235" s="1">
        <f ca="1">IFERROR(__xludf.DUMMYFUNCTION("""COMPUTED_VALUE"""),66.9)</f>
        <v>66.900000000000006</v>
      </c>
      <c r="K235" s="1">
        <f ca="1">IFERROR(__xludf.DUMMYFUNCTION("""COMPUTED_VALUE"""),210)</f>
        <v>210</v>
      </c>
      <c r="L235" s="1" t="str">
        <f ca="1">IFERROR(__xludf.DUMMYFUNCTION("""COMPUTED_VALUE"""),"+.043")</f>
        <v>+.043</v>
      </c>
      <c r="M235" s="1">
        <f ca="1">IFERROR(__xludf.DUMMYFUNCTION("""COMPUTED_VALUE"""),70)</f>
        <v>70</v>
      </c>
      <c r="N235" s="1">
        <f ca="1">IFERROR(__xludf.DUMMYFUNCTION("""COMPUTED_VALUE"""),-8.56)</f>
        <v>-8.56</v>
      </c>
      <c r="O235" s="1">
        <f ca="1">IFERROR(__xludf.DUMMYFUNCTION("""COMPUTED_VALUE"""),290)</f>
        <v>290</v>
      </c>
      <c r="P235" s="1">
        <f ca="1">IFERROR(__xludf.DUMMYFUNCTION("""COMPUTED_VALUE"""),98.1)</f>
        <v>98.1</v>
      </c>
      <c r="Q235" s="1">
        <f ca="1">IFERROR(__xludf.DUMMYFUNCTION("""COMPUTED_VALUE"""),288)</f>
        <v>288</v>
      </c>
      <c r="R235" s="1">
        <f ca="1">IFERROR(__xludf.DUMMYFUNCTION("""COMPUTED_VALUE"""),106.7)</f>
        <v>106.7</v>
      </c>
      <c r="S235" s="1">
        <f ca="1">IFERROR(__xludf.DUMMYFUNCTION("""COMPUTED_VALUE"""),285)</f>
        <v>285</v>
      </c>
      <c r="T235" s="1">
        <f ca="1">IFERROR(__xludf.DUMMYFUNCTION("""COMPUTED_VALUE"""),-6.21)</f>
        <v>-6.21</v>
      </c>
      <c r="U235" s="1">
        <f ca="1">IFERROR(__xludf.DUMMYFUNCTION("""COMPUTED_VALUE"""),291)</f>
        <v>291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IFERROR(__xludf.DUMMYFUNCTION("""COMPUTED_VALUE"""),"Howard")</f>
        <v>Howard</v>
      </c>
      <c r="C236" s="1" t="str">
        <f ca="1">IFERROR(__xludf.DUMMYFUNCTION("""COMPUTED_VALUE"""),"MEAC")</f>
        <v>MEAC</v>
      </c>
      <c r="D236" s="1" t="str">
        <f ca="1">IFERROR(__xludf.DUMMYFUNCTION("""COMPUTED_VALUE"""),"18-13")</f>
        <v>18-13</v>
      </c>
      <c r="E236" s="1">
        <f ca="1">IFERROR(__xludf.DUMMYFUNCTION("""COMPUTED_VALUE"""),-5.68)</f>
        <v>-5.68</v>
      </c>
      <c r="F236" s="1">
        <f ca="1">IFERROR(__xludf.DUMMYFUNCTION("""COMPUTED_VALUE"""),101.8)</f>
        <v>101.8</v>
      </c>
      <c r="G236" s="1">
        <f ca="1">IFERROR(__xludf.DUMMYFUNCTION("""COMPUTED_VALUE"""),183)</f>
        <v>183</v>
      </c>
      <c r="H236" s="1">
        <f ca="1">IFERROR(__xludf.DUMMYFUNCTION("""COMPUTED_VALUE"""),107.5)</f>
        <v>107.5</v>
      </c>
      <c r="I236" s="1">
        <f ca="1">IFERROR(__xludf.DUMMYFUNCTION("""COMPUTED_VALUE"""),250)</f>
        <v>250</v>
      </c>
      <c r="J236" s="1">
        <f ca="1">IFERROR(__xludf.DUMMYFUNCTION("""COMPUTED_VALUE"""),70)</f>
        <v>70</v>
      </c>
      <c r="K236" s="1">
        <f ca="1">IFERROR(__xludf.DUMMYFUNCTION("""COMPUTED_VALUE"""),91)</f>
        <v>91</v>
      </c>
      <c r="L236" s="1" t="str">
        <f ca="1">IFERROR(__xludf.DUMMYFUNCTION("""COMPUTED_VALUE"""),"+.030")</f>
        <v>+.030</v>
      </c>
      <c r="M236" s="1">
        <f ca="1">IFERROR(__xludf.DUMMYFUNCTION("""COMPUTED_VALUE"""),96)</f>
        <v>96</v>
      </c>
      <c r="N236" s="1">
        <f ca="1">IFERROR(__xludf.DUMMYFUNCTION("""COMPUTED_VALUE"""),-10.16)</f>
        <v>-10.16</v>
      </c>
      <c r="O236" s="1">
        <f ca="1">IFERROR(__xludf.DUMMYFUNCTION("""COMPUTED_VALUE"""),303)</f>
        <v>303</v>
      </c>
      <c r="P236" s="1">
        <f ca="1">IFERROR(__xludf.DUMMYFUNCTION("""COMPUTED_VALUE"""),97.3)</f>
        <v>97.3</v>
      </c>
      <c r="Q236" s="1">
        <f ca="1">IFERROR(__xludf.DUMMYFUNCTION("""COMPUTED_VALUE"""),309)</f>
        <v>309</v>
      </c>
      <c r="R236" s="1">
        <f ca="1">IFERROR(__xludf.DUMMYFUNCTION("""COMPUTED_VALUE"""),107.4)</f>
        <v>107.4</v>
      </c>
      <c r="S236" s="1">
        <f ca="1">IFERROR(__xludf.DUMMYFUNCTION("""COMPUTED_VALUE"""),300)</f>
        <v>300</v>
      </c>
      <c r="T236" s="1">
        <f ca="1">IFERROR(__xludf.DUMMYFUNCTION("""COMPUTED_VALUE"""),-3.21)</f>
        <v>-3.21</v>
      </c>
      <c r="U236" s="1">
        <f ca="1">IFERROR(__xludf.DUMMYFUNCTION("""COMPUTED_VALUE"""),240)</f>
        <v>240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IFERROR(__xludf.DUMMYFUNCTION("""COMPUTED_VALUE"""),"Duquesne")</f>
        <v>Duquesne</v>
      </c>
      <c r="C237" s="1" t="str">
        <f ca="1">IFERROR(__xludf.DUMMYFUNCTION("""COMPUTED_VALUE"""),"A10")</f>
        <v>A10</v>
      </c>
      <c r="D237" s="2">
        <f ca="1">IFERROR(__xludf.DUMMYFUNCTION("""COMPUTED_VALUE"""),44823)</f>
        <v>44823</v>
      </c>
      <c r="E237" s="1">
        <f ca="1">IFERROR(__xludf.DUMMYFUNCTION("""COMPUTED_VALUE"""),-5.85)</f>
        <v>-5.85</v>
      </c>
      <c r="F237" s="1">
        <f ca="1">IFERROR(__xludf.DUMMYFUNCTION("""COMPUTED_VALUE"""),99.3)</f>
        <v>99.3</v>
      </c>
      <c r="G237" s="1">
        <f ca="1">IFERROR(__xludf.DUMMYFUNCTION("""COMPUTED_VALUE"""),227)</f>
        <v>227</v>
      </c>
      <c r="H237" s="1">
        <f ca="1">IFERROR(__xludf.DUMMYFUNCTION("""COMPUTED_VALUE"""),105.1)</f>
        <v>105.1</v>
      </c>
      <c r="I237" s="1">
        <f ca="1">IFERROR(__xludf.DUMMYFUNCTION("""COMPUTED_VALUE"""),211)</f>
        <v>211</v>
      </c>
      <c r="J237" s="1">
        <f ca="1">IFERROR(__xludf.DUMMYFUNCTION("""COMPUTED_VALUE"""),66.5)</f>
        <v>66.5</v>
      </c>
      <c r="K237" s="1">
        <f ca="1">IFERROR(__xludf.DUMMYFUNCTION("""COMPUTED_VALUE"""),227)</f>
        <v>227</v>
      </c>
      <c r="L237" s="1" t="str">
        <f ca="1">IFERROR(__xludf.DUMMYFUNCTION("""COMPUTED_VALUE"""),"+.001")</f>
        <v>+.001</v>
      </c>
      <c r="M237" s="1">
        <f ca="1">IFERROR(__xludf.DUMMYFUNCTION("""COMPUTED_VALUE"""),170)</f>
        <v>170</v>
      </c>
      <c r="N237" s="1" t="str">
        <f ca="1">IFERROR(__xludf.DUMMYFUNCTION("""COMPUTED_VALUE"""),"+4.83")</f>
        <v>+4.83</v>
      </c>
      <c r="O237" s="1">
        <f ca="1">IFERROR(__xludf.DUMMYFUNCTION("""COMPUTED_VALUE"""),81)</f>
        <v>81</v>
      </c>
      <c r="P237" s="1">
        <f ca="1">IFERROR(__xludf.DUMMYFUNCTION("""COMPUTED_VALUE"""),106.5)</f>
        <v>106.5</v>
      </c>
      <c r="Q237" s="1">
        <f ca="1">IFERROR(__xludf.DUMMYFUNCTION("""COMPUTED_VALUE"""),62)</f>
        <v>62</v>
      </c>
      <c r="R237" s="1">
        <f ca="1">IFERROR(__xludf.DUMMYFUNCTION("""COMPUTED_VALUE"""),101.6)</f>
        <v>101.6</v>
      </c>
      <c r="S237" s="1">
        <f ca="1">IFERROR(__xludf.DUMMYFUNCTION("""COMPUTED_VALUE"""),98)</f>
        <v>98</v>
      </c>
      <c r="T237" s="1" t="str">
        <f ca="1">IFERROR(__xludf.DUMMYFUNCTION("""COMPUTED_VALUE"""),"+2.78")</f>
        <v>+2.78</v>
      </c>
      <c r="U237" s="1">
        <f ca="1">IFERROR(__xludf.DUMMYFUNCTION("""COMPUTED_VALUE"""),94)</f>
        <v>94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IFERROR(__xludf.DUMMYFUNCTION("""COMPUTED_VALUE"""),"Saint Mary's")</f>
        <v>Saint Mary's</v>
      </c>
      <c r="C238" s="1" t="str">
        <f ca="1">IFERROR(__xludf.DUMMYFUNCTION("""COMPUTED_VALUE"""),"WCC")</f>
        <v>WCC</v>
      </c>
      <c r="D238" s="2">
        <f ca="1">IFERROR(__xludf.DUMMYFUNCTION("""COMPUTED_VALUE"""),44793)</f>
        <v>44793</v>
      </c>
      <c r="E238" s="1">
        <f ca="1">IFERROR(__xludf.DUMMYFUNCTION("""COMPUTED_VALUE"""),-5.85)</f>
        <v>-5.85</v>
      </c>
      <c r="F238" s="1">
        <f ca="1">IFERROR(__xludf.DUMMYFUNCTION("""COMPUTED_VALUE"""),91.3)</f>
        <v>91.3</v>
      </c>
      <c r="G238" s="1">
        <f ca="1">IFERROR(__xludf.DUMMYFUNCTION("""COMPUTED_VALUE"""),307)</f>
        <v>307</v>
      </c>
      <c r="H238" s="1">
        <f ca="1">IFERROR(__xludf.DUMMYFUNCTION("""COMPUTED_VALUE"""),97.1)</f>
        <v>97.1</v>
      </c>
      <c r="I238" s="1">
        <f ca="1">IFERROR(__xludf.DUMMYFUNCTION("""COMPUTED_VALUE"""),54)</f>
        <v>54</v>
      </c>
      <c r="J238" s="1">
        <f ca="1">IFERROR(__xludf.DUMMYFUNCTION("""COMPUTED_VALUE"""),65.2)</f>
        <v>65.2</v>
      </c>
      <c r="K238" s="1">
        <f ca="1">IFERROR(__xludf.DUMMYFUNCTION("""COMPUTED_VALUE"""),269)</f>
        <v>269</v>
      </c>
      <c r="L238" s="1">
        <f ca="1">IFERROR(__xludf.DUMMYFUNCTION("""COMPUTED_VALUE"""),-0.043)</f>
        <v>-4.2999999999999997E-2</v>
      </c>
      <c r="M238" s="1">
        <f ca="1">IFERROR(__xludf.DUMMYFUNCTION("""COMPUTED_VALUE"""),261)</f>
        <v>261</v>
      </c>
      <c r="N238" s="1" t="str">
        <f ca="1">IFERROR(__xludf.DUMMYFUNCTION("""COMPUTED_VALUE"""),"+1.08")</f>
        <v>+1.08</v>
      </c>
      <c r="O238" s="1">
        <f ca="1">IFERROR(__xludf.DUMMYFUNCTION("""COMPUTED_VALUE"""),134)</f>
        <v>134</v>
      </c>
      <c r="P238" s="1">
        <f ca="1">IFERROR(__xludf.DUMMYFUNCTION("""COMPUTED_VALUE"""),104.4)</f>
        <v>104.4</v>
      </c>
      <c r="Q238" s="1">
        <f ca="1">IFERROR(__xludf.DUMMYFUNCTION("""COMPUTED_VALUE"""),125)</f>
        <v>125</v>
      </c>
      <c r="R238" s="1">
        <f ca="1">IFERROR(__xludf.DUMMYFUNCTION("""COMPUTED_VALUE"""),103.3)</f>
        <v>103.3</v>
      </c>
      <c r="S238" s="1">
        <f ca="1">IFERROR(__xludf.DUMMYFUNCTION("""COMPUTED_VALUE"""),161)</f>
        <v>161</v>
      </c>
      <c r="T238" s="1" t="str">
        <f ca="1">IFERROR(__xludf.DUMMYFUNCTION("""COMPUTED_VALUE"""),"+1.02")</f>
        <v>+1.02</v>
      </c>
      <c r="U238" s="1">
        <f ca="1">IFERROR(__xludf.DUMMYFUNCTION("""COMPUTED_VALUE"""),135)</f>
        <v>135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IFERROR(__xludf.DUMMYFUNCTION("""COMPUTED_VALUE"""),"Akron")</f>
        <v>Akron</v>
      </c>
      <c r="C239" s="1" t="str">
        <f ca="1">IFERROR(__xludf.DUMMYFUNCTION("""COMPUTED_VALUE"""),"MAC")</f>
        <v>MAC</v>
      </c>
      <c r="D239" s="2">
        <f ca="1">IFERROR(__xludf.DUMMYFUNCTION("""COMPUTED_VALUE"""),44825)</f>
        <v>44825</v>
      </c>
      <c r="E239" s="1">
        <f ca="1">IFERROR(__xludf.DUMMYFUNCTION("""COMPUTED_VALUE"""),-5.94)</f>
        <v>-5.94</v>
      </c>
      <c r="F239" s="1">
        <f ca="1">IFERROR(__xludf.DUMMYFUNCTION("""COMPUTED_VALUE"""),105.2)</f>
        <v>105.2</v>
      </c>
      <c r="G239" s="1">
        <f ca="1">IFERROR(__xludf.DUMMYFUNCTION("""COMPUTED_VALUE"""),130)</f>
        <v>130</v>
      </c>
      <c r="H239" s="1">
        <f ca="1">IFERROR(__xludf.DUMMYFUNCTION("""COMPUTED_VALUE"""),111.2)</f>
        <v>111.2</v>
      </c>
      <c r="I239" s="1">
        <f ca="1">IFERROR(__xludf.DUMMYFUNCTION("""COMPUTED_VALUE"""),295)</f>
        <v>295</v>
      </c>
      <c r="J239" s="1">
        <f ca="1">IFERROR(__xludf.DUMMYFUNCTION("""COMPUTED_VALUE"""),65.6)</f>
        <v>65.599999999999994</v>
      </c>
      <c r="K239" s="1">
        <f ca="1">IFERROR(__xludf.DUMMYFUNCTION("""COMPUTED_VALUE"""),251)</f>
        <v>251</v>
      </c>
      <c r="L239" s="1">
        <f ca="1">IFERROR(__xludf.DUMMYFUNCTION("""COMPUTED_VALUE"""),-0.026)</f>
        <v>-2.5999999999999999E-2</v>
      </c>
      <c r="M239" s="1">
        <f ca="1">IFERROR(__xludf.DUMMYFUNCTION("""COMPUTED_VALUE"""),220)</f>
        <v>220</v>
      </c>
      <c r="N239" s="1" t="str">
        <f ca="1">IFERROR(__xludf.DUMMYFUNCTION("""COMPUTED_VALUE"""),"+1.27")</f>
        <v>+1.27</v>
      </c>
      <c r="O239" s="1">
        <f ca="1">IFERROR(__xludf.DUMMYFUNCTION("""COMPUTED_VALUE"""),130)</f>
        <v>130</v>
      </c>
      <c r="P239" s="1">
        <f ca="1">IFERROR(__xludf.DUMMYFUNCTION("""COMPUTED_VALUE"""),105.2)</f>
        <v>105.2</v>
      </c>
      <c r="Q239" s="1">
        <f ca="1">IFERROR(__xludf.DUMMYFUNCTION("""COMPUTED_VALUE"""),104)</f>
        <v>104</v>
      </c>
      <c r="R239" s="1">
        <f ca="1">IFERROR(__xludf.DUMMYFUNCTION("""COMPUTED_VALUE"""),103.9)</f>
        <v>103.9</v>
      </c>
      <c r="S239" s="1">
        <f ca="1">IFERROR(__xludf.DUMMYFUNCTION("""COMPUTED_VALUE"""),190)</f>
        <v>190</v>
      </c>
      <c r="T239" s="1">
        <f ca="1">IFERROR(__xludf.DUMMYFUNCTION("""COMPUTED_VALUE"""),-1.37)</f>
        <v>-1.37</v>
      </c>
      <c r="U239" s="1">
        <f ca="1">IFERROR(__xludf.DUMMYFUNCTION("""COMPUTED_VALUE"""),198)</f>
        <v>198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IFERROR(__xludf.DUMMYFUNCTION("""COMPUTED_VALUE"""),"Indiana St.")</f>
        <v>Indiana St.</v>
      </c>
      <c r="C240" s="1" t="str">
        <f ca="1">IFERROR(__xludf.DUMMYFUNCTION("""COMPUTED_VALUE"""),"MVC")</f>
        <v>MVC</v>
      </c>
      <c r="D240" s="2">
        <f ca="1">IFERROR(__xludf.DUMMYFUNCTION("""COMPUTED_VALUE"""),44734)</f>
        <v>44734</v>
      </c>
      <c r="E240" s="1">
        <f ca="1">IFERROR(__xludf.DUMMYFUNCTION("""COMPUTED_VALUE"""),-6.13)</f>
        <v>-6.13</v>
      </c>
      <c r="F240" s="1">
        <f ca="1">IFERROR(__xludf.DUMMYFUNCTION("""COMPUTED_VALUE"""),98.4)</f>
        <v>98.4</v>
      </c>
      <c r="G240" s="1">
        <f ca="1">IFERROR(__xludf.DUMMYFUNCTION("""COMPUTED_VALUE"""),241)</f>
        <v>241</v>
      </c>
      <c r="H240" s="1">
        <f ca="1">IFERROR(__xludf.DUMMYFUNCTION("""COMPUTED_VALUE"""),104.5)</f>
        <v>104.5</v>
      </c>
      <c r="I240" s="1">
        <f ca="1">IFERROR(__xludf.DUMMYFUNCTION("""COMPUTED_VALUE"""),200)</f>
        <v>200</v>
      </c>
      <c r="J240" s="1">
        <f ca="1">IFERROR(__xludf.DUMMYFUNCTION("""COMPUTED_VALUE"""),64.1)</f>
        <v>64.099999999999994</v>
      </c>
      <c r="K240" s="1">
        <f ca="1">IFERROR(__xludf.DUMMYFUNCTION("""COMPUTED_VALUE"""),290)</f>
        <v>290</v>
      </c>
      <c r="L240" s="1">
        <f ca="1">IFERROR(__xludf.DUMMYFUNCTION("""COMPUTED_VALUE"""),-0.042)</f>
        <v>-4.2000000000000003E-2</v>
      </c>
      <c r="M240" s="1">
        <f ca="1">IFERROR(__xludf.DUMMYFUNCTION("""COMPUTED_VALUE"""),258)</f>
        <v>258</v>
      </c>
      <c r="N240" s="1" t="str">
        <f ca="1">IFERROR(__xludf.DUMMYFUNCTION("""COMPUTED_VALUE"""),"+2.19")</f>
        <v>+2.19</v>
      </c>
      <c r="O240" s="1">
        <f ca="1">IFERROR(__xludf.DUMMYFUNCTION("""COMPUTED_VALUE"""),116)</f>
        <v>116</v>
      </c>
      <c r="P240" s="1">
        <f ca="1">IFERROR(__xludf.DUMMYFUNCTION("""COMPUTED_VALUE"""),105.5)</f>
        <v>105.5</v>
      </c>
      <c r="Q240" s="1">
        <f ca="1">IFERROR(__xludf.DUMMYFUNCTION("""COMPUTED_VALUE"""),93)</f>
        <v>93</v>
      </c>
      <c r="R240" s="1">
        <f ca="1">IFERROR(__xludf.DUMMYFUNCTION("""COMPUTED_VALUE"""),103.3)</f>
        <v>103.3</v>
      </c>
      <c r="S240" s="1">
        <f ca="1">IFERROR(__xludf.DUMMYFUNCTION("""COMPUTED_VALUE"""),163)</f>
        <v>163</v>
      </c>
      <c r="T240" s="1" t="str">
        <f ca="1">IFERROR(__xludf.DUMMYFUNCTION("""COMPUTED_VALUE"""),"+5.52")</f>
        <v>+5.52</v>
      </c>
      <c r="U240" s="1">
        <f ca="1">IFERROR(__xludf.DUMMYFUNCTION("""COMPUTED_VALUE"""),45)</f>
        <v>45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IFERROR(__xludf.DUMMYFUNCTION("""COMPUTED_VALUE"""),"Appalachian St.")</f>
        <v>Appalachian St.</v>
      </c>
      <c r="C241" s="1" t="str">
        <f ca="1">IFERROR(__xludf.DUMMYFUNCTION("""COMPUTED_VALUE"""),"SC")</f>
        <v>SC</v>
      </c>
      <c r="D241" s="2">
        <f ca="1">IFERROR(__xludf.DUMMYFUNCTION("""COMPUTED_VALUE"""),44791)</f>
        <v>44791</v>
      </c>
      <c r="E241" s="1">
        <f ca="1">IFERROR(__xludf.DUMMYFUNCTION("""COMPUTED_VALUE"""),-6.25)</f>
        <v>-6.25</v>
      </c>
      <c r="F241" s="1">
        <f ca="1">IFERROR(__xludf.DUMMYFUNCTION("""COMPUTED_VALUE"""),102.1)</f>
        <v>102.1</v>
      </c>
      <c r="G241" s="1">
        <f ca="1">IFERROR(__xludf.DUMMYFUNCTION("""COMPUTED_VALUE"""),181)</f>
        <v>181</v>
      </c>
      <c r="H241" s="1">
        <f ca="1">IFERROR(__xludf.DUMMYFUNCTION("""COMPUTED_VALUE"""),108.3)</f>
        <v>108.3</v>
      </c>
      <c r="I241" s="1">
        <f ca="1">IFERROR(__xludf.DUMMYFUNCTION("""COMPUTED_VALUE"""),263)</f>
        <v>263</v>
      </c>
      <c r="J241" s="1">
        <f ca="1">IFERROR(__xludf.DUMMYFUNCTION("""COMPUTED_VALUE"""),72.6)</f>
        <v>72.599999999999994</v>
      </c>
      <c r="K241" s="1">
        <f ca="1">IFERROR(__xludf.DUMMYFUNCTION("""COMPUTED_VALUE"""),28)</f>
        <v>28</v>
      </c>
      <c r="L241" s="1">
        <f ca="1">IFERROR(__xludf.DUMMYFUNCTION("""COMPUTED_VALUE"""),-0.006)</f>
        <v>-6.0000000000000001E-3</v>
      </c>
      <c r="M241" s="1">
        <f ca="1">IFERROR(__xludf.DUMMYFUNCTION("""COMPUTED_VALUE"""),182)</f>
        <v>182</v>
      </c>
      <c r="N241" s="1" t="str">
        <f ca="1">IFERROR(__xludf.DUMMYFUNCTION("""COMPUTED_VALUE"""),"+0.94")</f>
        <v>+0.94</v>
      </c>
      <c r="O241" s="1">
        <f ca="1">IFERROR(__xludf.DUMMYFUNCTION("""COMPUTED_VALUE"""),136)</f>
        <v>136</v>
      </c>
      <c r="P241" s="1">
        <f ca="1">IFERROR(__xludf.DUMMYFUNCTION("""COMPUTED_VALUE"""),103.1)</f>
        <v>103.1</v>
      </c>
      <c r="Q241" s="1">
        <f ca="1">IFERROR(__xludf.DUMMYFUNCTION("""COMPUTED_VALUE"""),173)</f>
        <v>173</v>
      </c>
      <c r="R241" s="1">
        <f ca="1">IFERROR(__xludf.DUMMYFUNCTION("""COMPUTED_VALUE"""),102.2)</f>
        <v>102.2</v>
      </c>
      <c r="S241" s="1">
        <f ca="1">IFERROR(__xludf.DUMMYFUNCTION("""COMPUTED_VALUE"""),117)</f>
        <v>117</v>
      </c>
      <c r="T241" s="1" t="str">
        <f ca="1">IFERROR(__xludf.DUMMYFUNCTION("""COMPUTED_VALUE"""),"+2.60")</f>
        <v>+2.60</v>
      </c>
      <c r="U241" s="1">
        <f ca="1">IFERROR(__xludf.DUMMYFUNCTION("""COMPUTED_VALUE"""),99)</f>
        <v>99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IFERROR(__xludf.DUMMYFUNCTION("""COMPUTED_VALUE"""),"Southwest Texas St.")</f>
        <v>Southwest Texas St.</v>
      </c>
      <c r="C242" s="1" t="str">
        <f ca="1">IFERROR(__xludf.DUMMYFUNCTION("""COMPUTED_VALUE"""),"Slnd")</f>
        <v>Slnd</v>
      </c>
      <c r="D242" s="2">
        <f ca="1">IFERROR(__xludf.DUMMYFUNCTION("""COMPUTED_VALUE"""),44881)</f>
        <v>44881</v>
      </c>
      <c r="E242" s="1">
        <f ca="1">IFERROR(__xludf.DUMMYFUNCTION("""COMPUTED_VALUE"""),-6.26)</f>
        <v>-6.26</v>
      </c>
      <c r="F242" s="1">
        <f ca="1">IFERROR(__xludf.DUMMYFUNCTION("""COMPUTED_VALUE"""),100.2)</f>
        <v>100.2</v>
      </c>
      <c r="G242" s="1">
        <f ca="1">IFERROR(__xludf.DUMMYFUNCTION("""COMPUTED_VALUE"""),208)</f>
        <v>208</v>
      </c>
      <c r="H242" s="1">
        <f ca="1">IFERROR(__xludf.DUMMYFUNCTION("""COMPUTED_VALUE"""),106.5)</f>
        <v>106.5</v>
      </c>
      <c r="I242" s="1">
        <f ca="1">IFERROR(__xludf.DUMMYFUNCTION("""COMPUTED_VALUE"""),234)</f>
        <v>234</v>
      </c>
      <c r="J242" s="1">
        <f ca="1">IFERROR(__xludf.DUMMYFUNCTION("""COMPUTED_VALUE"""),70.5)</f>
        <v>70.5</v>
      </c>
      <c r="K242" s="1">
        <f ca="1">IFERROR(__xludf.DUMMYFUNCTION("""COMPUTED_VALUE"""),76)</f>
        <v>76</v>
      </c>
      <c r="L242" s="1">
        <f ca="1">IFERROR(__xludf.DUMMYFUNCTION("""COMPUTED_VALUE"""),-0.038)</f>
        <v>-3.7999999999999999E-2</v>
      </c>
      <c r="M242" s="1">
        <f ca="1">IFERROR(__xludf.DUMMYFUNCTION("""COMPUTED_VALUE"""),252)</f>
        <v>252</v>
      </c>
      <c r="N242" s="1">
        <f ca="1">IFERROR(__xludf.DUMMYFUNCTION("""COMPUTED_VALUE"""),-4.57)</f>
        <v>-4.57</v>
      </c>
      <c r="O242" s="1">
        <f ca="1">IFERROR(__xludf.DUMMYFUNCTION("""COMPUTED_VALUE"""),243)</f>
        <v>243</v>
      </c>
      <c r="P242" s="1">
        <f ca="1">IFERROR(__xludf.DUMMYFUNCTION("""COMPUTED_VALUE"""),100)</f>
        <v>100</v>
      </c>
      <c r="Q242" s="1">
        <f ca="1">IFERROR(__xludf.DUMMYFUNCTION("""COMPUTED_VALUE"""),247)</f>
        <v>247</v>
      </c>
      <c r="R242" s="1">
        <f ca="1">IFERROR(__xludf.DUMMYFUNCTION("""COMPUTED_VALUE"""),104.6)</f>
        <v>104.6</v>
      </c>
      <c r="S242" s="1">
        <f ca="1">IFERROR(__xludf.DUMMYFUNCTION("""COMPUTED_VALUE"""),215)</f>
        <v>215</v>
      </c>
      <c r="T242" s="1" t="str">
        <f ca="1">IFERROR(__xludf.DUMMYFUNCTION("""COMPUTED_VALUE"""),"+4.67")</f>
        <v>+4.67</v>
      </c>
      <c r="U242" s="1">
        <f ca="1">IFERROR(__xludf.DUMMYFUNCTION("""COMPUTED_VALUE"""),64)</f>
        <v>64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IFERROR(__xludf.DUMMYFUNCTION("""COMPUTED_VALUE"""),"Monmouth")</f>
        <v>Monmouth</v>
      </c>
      <c r="C243" s="1" t="str">
        <f ca="1">IFERROR(__xludf.DUMMYFUNCTION("""COMPUTED_VALUE"""),"NEC")</f>
        <v>NEC</v>
      </c>
      <c r="D243" s="1" t="str">
        <f ca="1">IFERROR(__xludf.DUMMYFUNCTION("""COMPUTED_VALUE"""),"18-12")</f>
        <v>18-12</v>
      </c>
      <c r="E243" s="1">
        <f ca="1">IFERROR(__xludf.DUMMYFUNCTION("""COMPUTED_VALUE"""),-6.33)</f>
        <v>-6.33</v>
      </c>
      <c r="F243" s="1">
        <f ca="1">IFERROR(__xludf.DUMMYFUNCTION("""COMPUTED_VALUE"""),96.6)</f>
        <v>96.6</v>
      </c>
      <c r="G243" s="1">
        <f ca="1">IFERROR(__xludf.DUMMYFUNCTION("""COMPUTED_VALUE"""),266)</f>
        <v>266</v>
      </c>
      <c r="H243" s="1">
        <f ca="1">IFERROR(__xludf.DUMMYFUNCTION("""COMPUTED_VALUE"""),103)</f>
        <v>103</v>
      </c>
      <c r="I243" s="1">
        <f ca="1">IFERROR(__xludf.DUMMYFUNCTION("""COMPUTED_VALUE"""),162)</f>
        <v>162</v>
      </c>
      <c r="J243" s="1">
        <f ca="1">IFERROR(__xludf.DUMMYFUNCTION("""COMPUTED_VALUE"""),65.7)</f>
        <v>65.7</v>
      </c>
      <c r="K243" s="1">
        <f ca="1">IFERROR(__xludf.DUMMYFUNCTION("""COMPUTED_VALUE"""),249)</f>
        <v>249</v>
      </c>
      <c r="L243" s="1" t="str">
        <f ca="1">IFERROR(__xludf.DUMMYFUNCTION("""COMPUTED_VALUE"""),"+.097")</f>
        <v>+.097</v>
      </c>
      <c r="M243" s="1">
        <f ca="1">IFERROR(__xludf.DUMMYFUNCTION("""COMPUTED_VALUE"""),9)</f>
        <v>9</v>
      </c>
      <c r="N243" s="1">
        <f ca="1">IFERROR(__xludf.DUMMYFUNCTION("""COMPUTED_VALUE"""),-8.74)</f>
        <v>-8.74</v>
      </c>
      <c r="O243" s="1">
        <f ca="1">IFERROR(__xludf.DUMMYFUNCTION("""COMPUTED_VALUE"""),292)</f>
        <v>292</v>
      </c>
      <c r="P243" s="1">
        <f ca="1">IFERROR(__xludf.DUMMYFUNCTION("""COMPUTED_VALUE"""),99.4)</f>
        <v>99.4</v>
      </c>
      <c r="Q243" s="1">
        <f ca="1">IFERROR(__xludf.DUMMYFUNCTION("""COMPUTED_VALUE"""),265)</f>
        <v>265</v>
      </c>
      <c r="R243" s="1">
        <f ca="1">IFERROR(__xludf.DUMMYFUNCTION("""COMPUTED_VALUE"""),108.1)</f>
        <v>108.1</v>
      </c>
      <c r="S243" s="1">
        <f ca="1">IFERROR(__xludf.DUMMYFUNCTION("""COMPUTED_VALUE"""),312)</f>
        <v>312</v>
      </c>
      <c r="T243" s="1" t="str">
        <f ca="1">IFERROR(__xludf.DUMMYFUNCTION("""COMPUTED_VALUE"""),"+6.88")</f>
        <v>+6.88</v>
      </c>
      <c r="U243" s="1">
        <f ca="1">IFERROR(__xludf.DUMMYFUNCTION("""COMPUTED_VALUE"""),31)</f>
        <v>31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IFERROR(__xludf.DUMMYFUNCTION("""COMPUTED_VALUE"""),"Western Carolina")</f>
        <v>Western Carolina</v>
      </c>
      <c r="C244" s="1" t="str">
        <f ca="1">IFERROR(__xludf.DUMMYFUNCTION("""COMPUTED_VALUE"""),"SC")</f>
        <v>SC</v>
      </c>
      <c r="D244" s="2">
        <f ca="1">IFERROR(__xludf.DUMMYFUNCTION("""COMPUTED_VALUE"""),44789)</f>
        <v>44789</v>
      </c>
      <c r="E244" s="1">
        <f ca="1">IFERROR(__xludf.DUMMYFUNCTION("""COMPUTED_VALUE"""),-6.37)</f>
        <v>-6.37</v>
      </c>
      <c r="F244" s="1">
        <f ca="1">IFERROR(__xludf.DUMMYFUNCTION("""COMPUTED_VALUE"""),100)</f>
        <v>100</v>
      </c>
      <c r="G244" s="1">
        <f ca="1">IFERROR(__xludf.DUMMYFUNCTION("""COMPUTED_VALUE"""),214)</f>
        <v>214</v>
      </c>
      <c r="H244" s="1">
        <f ca="1">IFERROR(__xludf.DUMMYFUNCTION("""COMPUTED_VALUE"""),106.4)</f>
        <v>106.4</v>
      </c>
      <c r="I244" s="1">
        <f ca="1">IFERROR(__xludf.DUMMYFUNCTION("""COMPUTED_VALUE"""),231)</f>
        <v>231</v>
      </c>
      <c r="J244" s="1">
        <f ca="1">IFERROR(__xludf.DUMMYFUNCTION("""COMPUTED_VALUE"""),71.6)</f>
        <v>71.599999999999994</v>
      </c>
      <c r="K244" s="1">
        <f ca="1">IFERROR(__xludf.DUMMYFUNCTION("""COMPUTED_VALUE"""),51)</f>
        <v>51</v>
      </c>
      <c r="L244" s="1">
        <f ca="1">IFERROR(__xludf.DUMMYFUNCTION("""COMPUTED_VALUE"""),-0.005)</f>
        <v>-5.0000000000000001E-3</v>
      </c>
      <c r="M244" s="1">
        <f ca="1">IFERROR(__xludf.DUMMYFUNCTION("""COMPUTED_VALUE"""),180)</f>
        <v>180</v>
      </c>
      <c r="N244" s="1">
        <f ca="1">IFERROR(__xludf.DUMMYFUNCTION("""COMPUTED_VALUE"""),-1.51)</f>
        <v>-1.51</v>
      </c>
      <c r="O244" s="1">
        <f ca="1">IFERROR(__xludf.DUMMYFUNCTION("""COMPUTED_VALUE"""),193)</f>
        <v>193</v>
      </c>
      <c r="P244" s="1">
        <f ca="1">IFERROR(__xludf.DUMMYFUNCTION("""COMPUTED_VALUE"""),102.2)</f>
        <v>102.2</v>
      </c>
      <c r="Q244" s="1">
        <f ca="1">IFERROR(__xludf.DUMMYFUNCTION("""COMPUTED_VALUE"""),205)</f>
        <v>205</v>
      </c>
      <c r="R244" s="1">
        <f ca="1">IFERROR(__xludf.DUMMYFUNCTION("""COMPUTED_VALUE"""),103.7)</f>
        <v>103.7</v>
      </c>
      <c r="S244" s="1">
        <f ca="1">IFERROR(__xludf.DUMMYFUNCTION("""COMPUTED_VALUE"""),184)</f>
        <v>184</v>
      </c>
      <c r="T244" s="1">
        <f ca="1">IFERROR(__xludf.DUMMYFUNCTION("""COMPUTED_VALUE"""),-4.36)</f>
        <v>-4.3600000000000003</v>
      </c>
      <c r="U244" s="1">
        <f ca="1">IFERROR(__xludf.DUMMYFUNCTION("""COMPUTED_VALUE"""),264)</f>
        <v>264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IFERROR(__xludf.DUMMYFUNCTION("""COMPUTED_VALUE"""),"Eastern Illinois")</f>
        <v>Eastern Illinois</v>
      </c>
      <c r="C245" s="1" t="str">
        <f ca="1">IFERROR(__xludf.DUMMYFUNCTION("""COMPUTED_VALUE"""),"OVC")</f>
        <v>OVC</v>
      </c>
      <c r="D245" s="2">
        <f ca="1">IFERROR(__xludf.DUMMYFUNCTION("""COMPUTED_VALUE"""),44911)</f>
        <v>44911</v>
      </c>
      <c r="E245" s="1">
        <f ca="1">IFERROR(__xludf.DUMMYFUNCTION("""COMPUTED_VALUE"""),-6.39)</f>
        <v>-6.39</v>
      </c>
      <c r="F245" s="1">
        <f ca="1">IFERROR(__xludf.DUMMYFUNCTION("""COMPUTED_VALUE"""),102.2)</f>
        <v>102.2</v>
      </c>
      <c r="G245" s="1">
        <f ca="1">IFERROR(__xludf.DUMMYFUNCTION("""COMPUTED_VALUE"""),180)</f>
        <v>180</v>
      </c>
      <c r="H245" s="1">
        <f ca="1">IFERROR(__xludf.DUMMYFUNCTION("""COMPUTED_VALUE"""),108.6)</f>
        <v>108.6</v>
      </c>
      <c r="I245" s="1">
        <f ca="1">IFERROR(__xludf.DUMMYFUNCTION("""COMPUTED_VALUE"""),266)</f>
        <v>266</v>
      </c>
      <c r="J245" s="1">
        <f ca="1">IFERROR(__xludf.DUMMYFUNCTION("""COMPUTED_VALUE"""),70.6)</f>
        <v>70.599999999999994</v>
      </c>
      <c r="K245" s="1">
        <f ca="1">IFERROR(__xludf.DUMMYFUNCTION("""COMPUTED_VALUE"""),70)</f>
        <v>70</v>
      </c>
      <c r="L245" s="1" t="str">
        <f ca="1">IFERROR(__xludf.DUMMYFUNCTION("""COMPUTED_VALUE"""),"+.056")</f>
        <v>+.056</v>
      </c>
      <c r="M245" s="1">
        <f ca="1">IFERROR(__xludf.DUMMYFUNCTION("""COMPUTED_VALUE"""),44)</f>
        <v>44</v>
      </c>
      <c r="N245" s="1">
        <f ca="1">IFERROR(__xludf.DUMMYFUNCTION("""COMPUTED_VALUE"""),-1.26)</f>
        <v>-1.26</v>
      </c>
      <c r="O245" s="1">
        <f ca="1">IFERROR(__xludf.DUMMYFUNCTION("""COMPUTED_VALUE"""),187)</f>
        <v>187</v>
      </c>
      <c r="P245" s="1">
        <f ca="1">IFERROR(__xludf.DUMMYFUNCTION("""COMPUTED_VALUE"""),103.8)</f>
        <v>103.8</v>
      </c>
      <c r="Q245" s="1">
        <f ca="1">IFERROR(__xludf.DUMMYFUNCTION("""COMPUTED_VALUE"""),143)</f>
        <v>143</v>
      </c>
      <c r="R245" s="1">
        <f ca="1">IFERROR(__xludf.DUMMYFUNCTION("""COMPUTED_VALUE"""),105.1)</f>
        <v>105.1</v>
      </c>
      <c r="S245" s="1">
        <f ca="1">IFERROR(__xludf.DUMMYFUNCTION("""COMPUTED_VALUE"""),234)</f>
        <v>234</v>
      </c>
      <c r="T245" s="1" t="str">
        <f ca="1">IFERROR(__xludf.DUMMYFUNCTION("""COMPUTED_VALUE"""),"+5.33")</f>
        <v>+5.33</v>
      </c>
      <c r="U245" s="1">
        <f ca="1">IFERROR(__xludf.DUMMYFUNCTION("""COMPUTED_VALUE"""),49)</f>
        <v>49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IFERROR(__xludf.DUMMYFUNCTION("""COMPUTED_VALUE"""),"FIU")</f>
        <v>FIU</v>
      </c>
      <c r="C246" s="1" t="str">
        <f ca="1">IFERROR(__xludf.DUMMYFUNCTION("""COMPUTED_VALUE"""),"SB")</f>
        <v>SB</v>
      </c>
      <c r="D246" s="2">
        <f ca="1">IFERROR(__xludf.DUMMYFUNCTION("""COMPUTED_VALUE"""),44824)</f>
        <v>44824</v>
      </c>
      <c r="E246" s="1">
        <f ca="1">IFERROR(__xludf.DUMMYFUNCTION("""COMPUTED_VALUE"""),-6.56)</f>
        <v>-6.56</v>
      </c>
      <c r="F246" s="1">
        <f ca="1">IFERROR(__xludf.DUMMYFUNCTION("""COMPUTED_VALUE"""),96.4)</f>
        <v>96.4</v>
      </c>
      <c r="G246" s="1">
        <f ca="1">IFERROR(__xludf.DUMMYFUNCTION("""COMPUTED_VALUE"""),271)</f>
        <v>271</v>
      </c>
      <c r="H246" s="1">
        <f ca="1">IFERROR(__xludf.DUMMYFUNCTION("""COMPUTED_VALUE"""),103)</f>
        <v>103</v>
      </c>
      <c r="I246" s="1">
        <f ca="1">IFERROR(__xludf.DUMMYFUNCTION("""COMPUTED_VALUE"""),163)</f>
        <v>163</v>
      </c>
      <c r="J246" s="1">
        <f ca="1">IFERROR(__xludf.DUMMYFUNCTION("""COMPUTED_VALUE"""),64.4)</f>
        <v>64.400000000000006</v>
      </c>
      <c r="K246" s="1">
        <f ca="1">IFERROR(__xludf.DUMMYFUNCTION("""COMPUTED_VALUE"""),284)</f>
        <v>284</v>
      </c>
      <c r="L246" s="1">
        <f ca="1">IFERROR(__xludf.DUMMYFUNCTION("""COMPUTED_VALUE"""),-0.011)</f>
        <v>-1.0999999999999999E-2</v>
      </c>
      <c r="M246" s="1">
        <f ca="1">IFERROR(__xludf.DUMMYFUNCTION("""COMPUTED_VALUE"""),191)</f>
        <v>191</v>
      </c>
      <c r="N246" s="1">
        <f ca="1">IFERROR(__xludf.DUMMYFUNCTION("""COMPUTED_VALUE"""),-0.59)</f>
        <v>-0.59</v>
      </c>
      <c r="O246" s="1">
        <f ca="1">IFERROR(__xludf.DUMMYFUNCTION("""COMPUTED_VALUE"""),177)</f>
        <v>177</v>
      </c>
      <c r="P246" s="1">
        <f ca="1">IFERROR(__xludf.DUMMYFUNCTION("""COMPUTED_VALUE"""),103)</f>
        <v>103</v>
      </c>
      <c r="Q246" s="1">
        <f ca="1">IFERROR(__xludf.DUMMYFUNCTION("""COMPUTED_VALUE"""),180)</f>
        <v>180</v>
      </c>
      <c r="R246" s="1">
        <f ca="1">IFERROR(__xludf.DUMMYFUNCTION("""COMPUTED_VALUE"""),103.6)</f>
        <v>103.6</v>
      </c>
      <c r="S246" s="1">
        <f ca="1">IFERROR(__xludf.DUMMYFUNCTION("""COMPUTED_VALUE"""),179)</f>
        <v>179</v>
      </c>
      <c r="T246" s="1">
        <f ca="1">IFERROR(__xludf.DUMMYFUNCTION("""COMPUTED_VALUE"""),-3.01)</f>
        <v>-3.01</v>
      </c>
      <c r="U246" s="1">
        <f ca="1">IFERROR(__xludf.DUMMYFUNCTION("""COMPUTED_VALUE"""),235)</f>
        <v>235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IFERROR(__xludf.DUMMYFUNCTION("""COMPUTED_VALUE"""),"Harvard")</f>
        <v>Harvard</v>
      </c>
      <c r="C247" s="1" t="str">
        <f ca="1">IFERROR(__xludf.DUMMYFUNCTION("""COMPUTED_VALUE"""),"Ivy")</f>
        <v>Ivy</v>
      </c>
      <c r="D247" s="1" t="str">
        <f ca="1">IFERROR(__xludf.DUMMYFUNCTION("""COMPUTED_VALUE"""),"14-12")</f>
        <v>14-12</v>
      </c>
      <c r="E247" s="1">
        <f ca="1">IFERROR(__xludf.DUMMYFUNCTION("""COMPUTED_VALUE"""),-6.73)</f>
        <v>-6.73</v>
      </c>
      <c r="F247" s="1">
        <f ca="1">IFERROR(__xludf.DUMMYFUNCTION("""COMPUTED_VALUE"""),94.4)</f>
        <v>94.4</v>
      </c>
      <c r="G247" s="1">
        <f ca="1">IFERROR(__xludf.DUMMYFUNCTION("""COMPUTED_VALUE"""),287)</f>
        <v>287</v>
      </c>
      <c r="H247" s="1">
        <f ca="1">IFERROR(__xludf.DUMMYFUNCTION("""COMPUTED_VALUE"""),101.1)</f>
        <v>101.1</v>
      </c>
      <c r="I247" s="1">
        <f ca="1">IFERROR(__xludf.DUMMYFUNCTION("""COMPUTED_VALUE"""),123)</f>
        <v>123</v>
      </c>
      <c r="J247" s="1">
        <f ca="1">IFERROR(__xludf.DUMMYFUNCTION("""COMPUTED_VALUE"""),67.5)</f>
        <v>67.5</v>
      </c>
      <c r="K247" s="1">
        <f ca="1">IFERROR(__xludf.DUMMYFUNCTION("""COMPUTED_VALUE"""),190)</f>
        <v>190</v>
      </c>
      <c r="L247" s="1" t="str">
        <f ca="1">IFERROR(__xludf.DUMMYFUNCTION("""COMPUTED_VALUE"""),"+.057")</f>
        <v>+.057</v>
      </c>
      <c r="M247" s="1">
        <f ca="1">IFERROR(__xludf.DUMMYFUNCTION("""COMPUTED_VALUE"""),43)</f>
        <v>43</v>
      </c>
      <c r="N247" s="1">
        <f ca="1">IFERROR(__xludf.DUMMYFUNCTION("""COMPUTED_VALUE"""),-7.12)</f>
        <v>-7.12</v>
      </c>
      <c r="O247" s="1">
        <f ca="1">IFERROR(__xludf.DUMMYFUNCTION("""COMPUTED_VALUE"""),278)</f>
        <v>278</v>
      </c>
      <c r="P247" s="1">
        <f ca="1">IFERROR(__xludf.DUMMYFUNCTION("""COMPUTED_VALUE"""),99.2)</f>
        <v>99.2</v>
      </c>
      <c r="Q247" s="1">
        <f ca="1">IFERROR(__xludf.DUMMYFUNCTION("""COMPUTED_VALUE"""),269)</f>
        <v>269</v>
      </c>
      <c r="R247" s="1">
        <f ca="1">IFERROR(__xludf.DUMMYFUNCTION("""COMPUTED_VALUE"""),106.3)</f>
        <v>106.3</v>
      </c>
      <c r="S247" s="1">
        <f ca="1">IFERROR(__xludf.DUMMYFUNCTION("""COMPUTED_VALUE"""),276)</f>
        <v>276</v>
      </c>
      <c r="T247" s="1">
        <f ca="1">IFERROR(__xludf.DUMMYFUNCTION("""COMPUTED_VALUE"""),-9.58)</f>
        <v>-9.58</v>
      </c>
      <c r="U247" s="1">
        <f ca="1">IFERROR(__xludf.DUMMYFUNCTION("""COMPUTED_VALUE"""),318)</f>
        <v>318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IFERROR(__xludf.DUMMYFUNCTION("""COMPUTED_VALUE"""),"Tennessee St.")</f>
        <v>Tennessee St.</v>
      </c>
      <c r="C248" s="1" t="str">
        <f ca="1">IFERROR(__xludf.DUMMYFUNCTION("""COMPUTED_VALUE"""),"OVC")</f>
        <v>OVC</v>
      </c>
      <c r="D248" s="2">
        <f ca="1">IFERROR(__xludf.DUMMYFUNCTION("""COMPUTED_VALUE"""),44821)</f>
        <v>44821</v>
      </c>
      <c r="E248" s="1">
        <f ca="1">IFERROR(__xludf.DUMMYFUNCTION("""COMPUTED_VALUE"""),-6.77)</f>
        <v>-6.77</v>
      </c>
      <c r="F248" s="1">
        <f ca="1">IFERROR(__xludf.DUMMYFUNCTION("""COMPUTED_VALUE"""),103.2)</f>
        <v>103.2</v>
      </c>
      <c r="G248" s="1">
        <f ca="1">IFERROR(__xludf.DUMMYFUNCTION("""COMPUTED_VALUE"""),156)</f>
        <v>156</v>
      </c>
      <c r="H248" s="1">
        <f ca="1">IFERROR(__xludf.DUMMYFUNCTION("""COMPUTED_VALUE"""),110)</f>
        <v>110</v>
      </c>
      <c r="I248" s="1">
        <f ca="1">IFERROR(__xludf.DUMMYFUNCTION("""COMPUTED_VALUE"""),286)</f>
        <v>286</v>
      </c>
      <c r="J248" s="1">
        <f ca="1">IFERROR(__xludf.DUMMYFUNCTION("""COMPUTED_VALUE"""),72.7)</f>
        <v>72.7</v>
      </c>
      <c r="K248" s="1">
        <f ca="1">IFERROR(__xludf.DUMMYFUNCTION("""COMPUTED_VALUE"""),24)</f>
        <v>24</v>
      </c>
      <c r="L248" s="1">
        <f ca="1">IFERROR(__xludf.DUMMYFUNCTION("""COMPUTED_VALUE"""),-0.034)</f>
        <v>-3.4000000000000002E-2</v>
      </c>
      <c r="M248" s="1">
        <f ca="1">IFERROR(__xludf.DUMMYFUNCTION("""COMPUTED_VALUE"""),242)</f>
        <v>242</v>
      </c>
      <c r="N248" s="1">
        <f ca="1">IFERROR(__xludf.DUMMYFUNCTION("""COMPUTED_VALUE"""),-2.01)</f>
        <v>-2.0099999999999998</v>
      </c>
      <c r="O248" s="1">
        <f ca="1">IFERROR(__xludf.DUMMYFUNCTION("""COMPUTED_VALUE"""),201)</f>
        <v>201</v>
      </c>
      <c r="P248" s="1">
        <f ca="1">IFERROR(__xludf.DUMMYFUNCTION("""COMPUTED_VALUE"""),103.4)</f>
        <v>103.4</v>
      </c>
      <c r="Q248" s="1">
        <f ca="1">IFERROR(__xludf.DUMMYFUNCTION("""COMPUTED_VALUE"""),163)</f>
        <v>163</v>
      </c>
      <c r="R248" s="1">
        <f ca="1">IFERROR(__xludf.DUMMYFUNCTION("""COMPUTED_VALUE"""),105.4)</f>
        <v>105.4</v>
      </c>
      <c r="S248" s="1">
        <f ca="1">IFERROR(__xludf.DUMMYFUNCTION("""COMPUTED_VALUE"""),245)</f>
        <v>245</v>
      </c>
      <c r="T248" s="1" t="str">
        <f ca="1">IFERROR(__xludf.DUMMYFUNCTION("""COMPUTED_VALUE"""),"+4.11")</f>
        <v>+4.11</v>
      </c>
      <c r="U248" s="1">
        <f ca="1">IFERROR(__xludf.DUMMYFUNCTION("""COMPUTED_VALUE"""),74)</f>
        <v>74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IFERROR(__xludf.DUMMYFUNCTION("""COMPUTED_VALUE"""),"Rhode Island")</f>
        <v>Rhode Island</v>
      </c>
      <c r="C249" s="1" t="str">
        <f ca="1">IFERROR(__xludf.DUMMYFUNCTION("""COMPUTED_VALUE"""),"A10")</f>
        <v>A10</v>
      </c>
      <c r="D249" s="2">
        <f ca="1">IFERROR(__xludf.DUMMYFUNCTION("""COMPUTED_VALUE"""),44793)</f>
        <v>44793</v>
      </c>
      <c r="E249" s="1">
        <f ca="1">IFERROR(__xludf.DUMMYFUNCTION("""COMPUTED_VALUE"""),-6.8)</f>
        <v>-6.8</v>
      </c>
      <c r="F249" s="1">
        <f ca="1">IFERROR(__xludf.DUMMYFUNCTION("""COMPUTED_VALUE"""),97.6)</f>
        <v>97.6</v>
      </c>
      <c r="G249" s="1">
        <f ca="1">IFERROR(__xludf.DUMMYFUNCTION("""COMPUTED_VALUE"""),254)</f>
        <v>254</v>
      </c>
      <c r="H249" s="1">
        <f ca="1">IFERROR(__xludf.DUMMYFUNCTION("""COMPUTED_VALUE"""),104.4)</f>
        <v>104.4</v>
      </c>
      <c r="I249" s="1">
        <f ca="1">IFERROR(__xludf.DUMMYFUNCTION("""COMPUTED_VALUE"""),194)</f>
        <v>194</v>
      </c>
      <c r="J249" s="1">
        <f ca="1">IFERROR(__xludf.DUMMYFUNCTION("""COMPUTED_VALUE"""),64.7)</f>
        <v>64.7</v>
      </c>
      <c r="K249" s="1">
        <f ca="1">IFERROR(__xludf.DUMMYFUNCTION("""COMPUTED_VALUE"""),280)</f>
        <v>280</v>
      </c>
      <c r="L249" s="1" t="str">
        <f ca="1">IFERROR(__xludf.DUMMYFUNCTION("""COMPUTED_VALUE"""),"+.061")</f>
        <v>+.061</v>
      </c>
      <c r="M249" s="1">
        <f ca="1">IFERROR(__xludf.DUMMYFUNCTION("""COMPUTED_VALUE"""),34)</f>
        <v>34</v>
      </c>
      <c r="N249" s="1" t="str">
        <f ca="1">IFERROR(__xludf.DUMMYFUNCTION("""COMPUTED_VALUE"""),"+5.02")</f>
        <v>+5.02</v>
      </c>
      <c r="O249" s="1">
        <f ca="1">IFERROR(__xludf.DUMMYFUNCTION("""COMPUTED_VALUE"""),78)</f>
        <v>78</v>
      </c>
      <c r="P249" s="1">
        <f ca="1">IFERROR(__xludf.DUMMYFUNCTION("""COMPUTED_VALUE"""),106.7)</f>
        <v>106.7</v>
      </c>
      <c r="Q249" s="1">
        <f ca="1">IFERROR(__xludf.DUMMYFUNCTION("""COMPUTED_VALUE"""),57)</f>
        <v>57</v>
      </c>
      <c r="R249" s="1">
        <f ca="1">IFERROR(__xludf.DUMMYFUNCTION("""COMPUTED_VALUE"""),101.6)</f>
        <v>101.6</v>
      </c>
      <c r="S249" s="1">
        <f ca="1">IFERROR(__xludf.DUMMYFUNCTION("""COMPUTED_VALUE"""),97)</f>
        <v>97</v>
      </c>
      <c r="T249" s="1" t="str">
        <f ca="1">IFERROR(__xludf.DUMMYFUNCTION("""COMPUTED_VALUE"""),"+3.62")</f>
        <v>+3.62</v>
      </c>
      <c r="U249" s="1">
        <f ca="1">IFERROR(__xludf.DUMMYFUNCTION("""COMPUTED_VALUE"""),79)</f>
        <v>79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IFERROR(__xludf.DUMMYFUNCTION("""COMPUTED_VALUE"""),"Lafayette")</f>
        <v>Lafayette</v>
      </c>
      <c r="C250" s="1" t="str">
        <f ca="1">IFERROR(__xludf.DUMMYFUNCTION("""COMPUTED_VALUE"""),"Pat")</f>
        <v>Pat</v>
      </c>
      <c r="D250" s="1" t="str">
        <f ca="1">IFERROR(__xludf.DUMMYFUNCTION("""COMPUTED_VALUE"""),"14-14")</f>
        <v>14-14</v>
      </c>
      <c r="E250" s="1">
        <f ca="1">IFERROR(__xludf.DUMMYFUNCTION("""COMPUTED_VALUE"""),-6.83)</f>
        <v>-6.83</v>
      </c>
      <c r="F250" s="1">
        <f ca="1">IFERROR(__xludf.DUMMYFUNCTION("""COMPUTED_VALUE"""),102.7)</f>
        <v>102.7</v>
      </c>
      <c r="G250" s="1">
        <f ca="1">IFERROR(__xludf.DUMMYFUNCTION("""COMPUTED_VALUE"""),168)</f>
        <v>168</v>
      </c>
      <c r="H250" s="1">
        <f ca="1">IFERROR(__xludf.DUMMYFUNCTION("""COMPUTED_VALUE"""),109.6)</f>
        <v>109.6</v>
      </c>
      <c r="I250" s="1">
        <f ca="1">IFERROR(__xludf.DUMMYFUNCTION("""COMPUTED_VALUE"""),281)</f>
        <v>281</v>
      </c>
      <c r="J250" s="1">
        <f ca="1">IFERROR(__xludf.DUMMYFUNCTION("""COMPUTED_VALUE"""),70.3)</f>
        <v>70.3</v>
      </c>
      <c r="K250" s="1">
        <f ca="1">IFERROR(__xludf.DUMMYFUNCTION("""COMPUTED_VALUE"""),81)</f>
        <v>81</v>
      </c>
      <c r="L250" s="1" t="str">
        <f ca="1">IFERROR(__xludf.DUMMYFUNCTION("""COMPUTED_VALUE"""),"+.009")</f>
        <v>+.009</v>
      </c>
      <c r="M250" s="1">
        <f ca="1">IFERROR(__xludf.DUMMYFUNCTION("""COMPUTED_VALUE"""),148)</f>
        <v>148</v>
      </c>
      <c r="N250" s="1">
        <f ca="1">IFERROR(__xludf.DUMMYFUNCTION("""COMPUTED_VALUE"""),-7.06)</f>
        <v>-7.06</v>
      </c>
      <c r="O250" s="1">
        <f ca="1">IFERROR(__xludf.DUMMYFUNCTION("""COMPUTED_VALUE"""),277)</f>
        <v>277</v>
      </c>
      <c r="P250" s="1">
        <f ca="1">IFERROR(__xludf.DUMMYFUNCTION("""COMPUTED_VALUE"""),98.2)</f>
        <v>98.2</v>
      </c>
      <c r="Q250" s="1">
        <f ca="1">IFERROR(__xludf.DUMMYFUNCTION("""COMPUTED_VALUE"""),287)</f>
        <v>287</v>
      </c>
      <c r="R250" s="1">
        <f ca="1">IFERROR(__xludf.DUMMYFUNCTION("""COMPUTED_VALUE"""),105.2)</f>
        <v>105.2</v>
      </c>
      <c r="S250" s="1">
        <f ca="1">IFERROR(__xludf.DUMMYFUNCTION("""COMPUTED_VALUE"""),240)</f>
        <v>240</v>
      </c>
      <c r="T250" s="1">
        <f ca="1">IFERROR(__xludf.DUMMYFUNCTION("""COMPUTED_VALUE"""),-3.07)</f>
        <v>-3.07</v>
      </c>
      <c r="U250" s="1">
        <f ca="1">IFERROR(__xludf.DUMMYFUNCTION("""COMPUTED_VALUE"""),236)</f>
        <v>236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IFERROR(__xludf.DUMMYFUNCTION("""COMPUTED_VALUE"""),"Columbia")</f>
        <v>Columbia</v>
      </c>
      <c r="C251" s="1" t="str">
        <f ca="1">IFERROR(__xludf.DUMMYFUNCTION("""COMPUTED_VALUE"""),"Ivy")</f>
        <v>Ivy</v>
      </c>
      <c r="D251" s="2">
        <f ca="1">IFERROR(__xludf.DUMMYFUNCTION("""COMPUTED_VALUE"""),44850)</f>
        <v>44850</v>
      </c>
      <c r="E251" s="1">
        <f ca="1">IFERROR(__xludf.DUMMYFUNCTION("""COMPUTED_VALUE"""),-6.93)</f>
        <v>-6.93</v>
      </c>
      <c r="F251" s="1">
        <f ca="1">IFERROR(__xludf.DUMMYFUNCTION("""COMPUTED_VALUE"""),91.2)</f>
        <v>91.2</v>
      </c>
      <c r="G251" s="1">
        <f ca="1">IFERROR(__xludf.DUMMYFUNCTION("""COMPUTED_VALUE"""),308)</f>
        <v>308</v>
      </c>
      <c r="H251" s="1">
        <f ca="1">IFERROR(__xludf.DUMMYFUNCTION("""COMPUTED_VALUE"""),98.1)</f>
        <v>98.1</v>
      </c>
      <c r="I251" s="1">
        <f ca="1">IFERROR(__xludf.DUMMYFUNCTION("""COMPUTED_VALUE"""),70)</f>
        <v>70</v>
      </c>
      <c r="J251" s="1">
        <f ca="1">IFERROR(__xludf.DUMMYFUNCTION("""COMPUTED_VALUE"""),59.3)</f>
        <v>59.3</v>
      </c>
      <c r="K251" s="1">
        <f ca="1">IFERROR(__xludf.DUMMYFUNCTION("""COMPUTED_VALUE"""),323)</f>
        <v>323</v>
      </c>
      <c r="L251" s="1">
        <f ca="1">IFERROR(__xludf.DUMMYFUNCTION("""COMPUTED_VALUE"""),-0.035)</f>
        <v>-3.5000000000000003E-2</v>
      </c>
      <c r="M251" s="1">
        <f ca="1">IFERROR(__xludf.DUMMYFUNCTION("""COMPUTED_VALUE"""),245)</f>
        <v>245</v>
      </c>
      <c r="N251" s="1">
        <f ca="1">IFERROR(__xludf.DUMMYFUNCTION("""COMPUTED_VALUE"""),-3.96)</f>
        <v>-3.96</v>
      </c>
      <c r="O251" s="1">
        <f ca="1">IFERROR(__xludf.DUMMYFUNCTION("""COMPUTED_VALUE"""),234)</f>
        <v>234</v>
      </c>
      <c r="P251" s="1">
        <f ca="1">IFERROR(__xludf.DUMMYFUNCTION("""COMPUTED_VALUE"""),101)</f>
        <v>101</v>
      </c>
      <c r="Q251" s="1">
        <f ca="1">IFERROR(__xludf.DUMMYFUNCTION("""COMPUTED_VALUE"""),230)</f>
        <v>230</v>
      </c>
      <c r="R251" s="1">
        <f ca="1">IFERROR(__xludf.DUMMYFUNCTION("""COMPUTED_VALUE"""),105)</f>
        <v>105</v>
      </c>
      <c r="S251" s="1">
        <f ca="1">IFERROR(__xludf.DUMMYFUNCTION("""COMPUTED_VALUE"""),229)</f>
        <v>229</v>
      </c>
      <c r="T251" s="1">
        <f ca="1">IFERROR(__xludf.DUMMYFUNCTION("""COMPUTED_VALUE"""),-2.58)</f>
        <v>-2.58</v>
      </c>
      <c r="U251" s="1">
        <f ca="1">IFERROR(__xludf.DUMMYFUNCTION("""COMPUTED_VALUE"""),226)</f>
        <v>226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IFERROR(__xludf.DUMMYFUNCTION("""COMPUTED_VALUE"""),"Northwestern St.")</f>
        <v>Northwestern St.</v>
      </c>
      <c r="C252" s="1" t="str">
        <f ca="1">IFERROR(__xludf.DUMMYFUNCTION("""COMPUTED_VALUE"""),"Slnd")</f>
        <v>Slnd</v>
      </c>
      <c r="D252" s="2">
        <f ca="1">IFERROR(__xludf.DUMMYFUNCTION("""COMPUTED_VALUE"""),44913)</f>
        <v>44913</v>
      </c>
      <c r="E252" s="1">
        <f ca="1">IFERROR(__xludf.DUMMYFUNCTION("""COMPUTED_VALUE"""),-7.13)</f>
        <v>-7.13</v>
      </c>
      <c r="F252" s="1">
        <f ca="1">IFERROR(__xludf.DUMMYFUNCTION("""COMPUTED_VALUE"""),100.5)</f>
        <v>100.5</v>
      </c>
      <c r="G252" s="1">
        <f ca="1">IFERROR(__xludf.DUMMYFUNCTION("""COMPUTED_VALUE"""),203)</f>
        <v>203</v>
      </c>
      <c r="H252" s="1">
        <f ca="1">IFERROR(__xludf.DUMMYFUNCTION("""COMPUTED_VALUE"""),107.6)</f>
        <v>107.6</v>
      </c>
      <c r="I252" s="1">
        <f ca="1">IFERROR(__xludf.DUMMYFUNCTION("""COMPUTED_VALUE"""),252)</f>
        <v>252</v>
      </c>
      <c r="J252" s="1">
        <f ca="1">IFERROR(__xludf.DUMMYFUNCTION("""COMPUTED_VALUE"""),70.6)</f>
        <v>70.599999999999994</v>
      </c>
      <c r="K252" s="1">
        <f ca="1">IFERROR(__xludf.DUMMYFUNCTION("""COMPUTED_VALUE"""),72)</f>
        <v>72</v>
      </c>
      <c r="L252" s="1">
        <f ca="1">IFERROR(__xludf.DUMMYFUNCTION("""COMPUTED_VALUE"""),-0.006)</f>
        <v>-6.0000000000000001E-3</v>
      </c>
      <c r="M252" s="1">
        <f ca="1">IFERROR(__xludf.DUMMYFUNCTION("""COMPUTED_VALUE"""),181)</f>
        <v>181</v>
      </c>
      <c r="N252" s="1">
        <f ca="1">IFERROR(__xludf.DUMMYFUNCTION("""COMPUTED_VALUE"""),-3.64)</f>
        <v>-3.64</v>
      </c>
      <c r="O252" s="1">
        <f ca="1">IFERROR(__xludf.DUMMYFUNCTION("""COMPUTED_VALUE"""),230)</f>
        <v>230</v>
      </c>
      <c r="P252" s="1">
        <f ca="1">IFERROR(__xludf.DUMMYFUNCTION("""COMPUTED_VALUE"""),100.4)</f>
        <v>100.4</v>
      </c>
      <c r="Q252" s="1">
        <f ca="1">IFERROR(__xludf.DUMMYFUNCTION("""COMPUTED_VALUE"""),242)</f>
        <v>242</v>
      </c>
      <c r="R252" s="1">
        <f ca="1">IFERROR(__xludf.DUMMYFUNCTION("""COMPUTED_VALUE"""),104)</f>
        <v>104</v>
      </c>
      <c r="S252" s="1">
        <f ca="1">IFERROR(__xludf.DUMMYFUNCTION("""COMPUTED_VALUE"""),193)</f>
        <v>193</v>
      </c>
      <c r="T252" s="1" t="str">
        <f ca="1">IFERROR(__xludf.DUMMYFUNCTION("""COMPUTED_VALUE"""),"+5.49")</f>
        <v>+5.49</v>
      </c>
      <c r="U252" s="1">
        <f ca="1">IFERROR(__xludf.DUMMYFUNCTION("""COMPUTED_VALUE"""),46)</f>
        <v>46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IFERROR(__xludf.DUMMYFUNCTION("""COMPUTED_VALUE"""),"VMI")</f>
        <v>VMI</v>
      </c>
      <c r="C255" s="1" t="str">
        <f ca="1">IFERROR(__xludf.DUMMYFUNCTION("""COMPUTED_VALUE"""),"SC")</f>
        <v>SC</v>
      </c>
      <c r="D255" s="2">
        <f ca="1">IFERROR(__xludf.DUMMYFUNCTION("""COMPUTED_VALUE"""),44760)</f>
        <v>44760</v>
      </c>
      <c r="E255" s="1">
        <f ca="1">IFERROR(__xludf.DUMMYFUNCTION("""COMPUTED_VALUE"""),-7.23)</f>
        <v>-7.23</v>
      </c>
      <c r="F255" s="1">
        <f ca="1">IFERROR(__xludf.DUMMYFUNCTION("""COMPUTED_VALUE"""),99.3)</f>
        <v>99.3</v>
      </c>
      <c r="G255" s="1">
        <f ca="1">IFERROR(__xludf.DUMMYFUNCTION("""COMPUTED_VALUE"""),226)</f>
        <v>226</v>
      </c>
      <c r="H255" s="1">
        <f ca="1">IFERROR(__xludf.DUMMYFUNCTION("""COMPUTED_VALUE"""),106.5)</f>
        <v>106.5</v>
      </c>
      <c r="I255" s="1">
        <f ca="1">IFERROR(__xludf.DUMMYFUNCTION("""COMPUTED_VALUE"""),235)</f>
        <v>235</v>
      </c>
      <c r="J255" s="1">
        <f ca="1">IFERROR(__xludf.DUMMYFUNCTION("""COMPUTED_VALUE"""),77.7)</f>
        <v>77.7</v>
      </c>
      <c r="K255" s="1">
        <f ca="1">IFERROR(__xludf.DUMMYFUNCTION("""COMPUTED_VALUE"""),2)</f>
        <v>2</v>
      </c>
      <c r="L255" s="1" t="str">
        <f ca="1">IFERROR(__xludf.DUMMYFUNCTION("""COMPUTED_VALUE"""),"+.015")</f>
        <v>+.015</v>
      </c>
      <c r="M255" s="1">
        <f ca="1">IFERROR(__xludf.DUMMYFUNCTION("""COMPUTED_VALUE"""),127)</f>
        <v>127</v>
      </c>
      <c r="N255" s="1" t="str">
        <f ca="1">IFERROR(__xludf.DUMMYFUNCTION("""COMPUTED_VALUE"""),"+2.14")</f>
        <v>+2.14</v>
      </c>
      <c r="O255" s="1">
        <f ca="1">IFERROR(__xludf.DUMMYFUNCTION("""COMPUTED_VALUE"""),117)</f>
        <v>117</v>
      </c>
      <c r="P255" s="1">
        <f ca="1">IFERROR(__xludf.DUMMYFUNCTION("""COMPUTED_VALUE"""),103.7)</f>
        <v>103.7</v>
      </c>
      <c r="Q255" s="1">
        <f ca="1">IFERROR(__xludf.DUMMYFUNCTION("""COMPUTED_VALUE"""),148)</f>
        <v>148</v>
      </c>
      <c r="R255" s="1">
        <f ca="1">IFERROR(__xludf.DUMMYFUNCTION("""COMPUTED_VALUE"""),101.6)</f>
        <v>101.6</v>
      </c>
      <c r="S255" s="1">
        <f ca="1">IFERROR(__xludf.DUMMYFUNCTION("""COMPUTED_VALUE"""),94)</f>
        <v>94</v>
      </c>
      <c r="T255" s="1" t="str">
        <f ca="1">IFERROR(__xludf.DUMMYFUNCTION("""COMPUTED_VALUE"""),"+8.62")</f>
        <v>+8.62</v>
      </c>
      <c r="U255" s="1">
        <f ca="1">IFERROR(__xludf.DUMMYFUNCTION("""COMPUTED_VALUE"""),19)</f>
        <v>19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IFERROR(__xludf.DUMMYFUNCTION("""COMPUTED_VALUE"""),"Delaware St.")</f>
        <v>Delaware St.</v>
      </c>
      <c r="C256" s="1" t="str">
        <f ca="1">IFERROR(__xludf.DUMMYFUNCTION("""COMPUTED_VALUE"""),"MEAC")</f>
        <v>MEAC</v>
      </c>
      <c r="D256" s="1" t="str">
        <f ca="1">IFERROR(__xludf.DUMMYFUNCTION("""COMPUTED_VALUE"""),"15-13")</f>
        <v>15-13</v>
      </c>
      <c r="E256" s="1">
        <f ca="1">IFERROR(__xludf.DUMMYFUNCTION("""COMPUTED_VALUE"""),-7.34)</f>
        <v>-7.34</v>
      </c>
      <c r="F256" s="1">
        <f ca="1">IFERROR(__xludf.DUMMYFUNCTION("""COMPUTED_VALUE"""),99.6)</f>
        <v>99.6</v>
      </c>
      <c r="G256" s="1">
        <f ca="1">IFERROR(__xludf.DUMMYFUNCTION("""COMPUTED_VALUE"""),218)</f>
        <v>218</v>
      </c>
      <c r="H256" s="1">
        <f ca="1">IFERROR(__xludf.DUMMYFUNCTION("""COMPUTED_VALUE"""),106.9)</f>
        <v>106.9</v>
      </c>
      <c r="I256" s="1">
        <f ca="1">IFERROR(__xludf.DUMMYFUNCTION("""COMPUTED_VALUE"""),238)</f>
        <v>238</v>
      </c>
      <c r="J256" s="1">
        <f ca="1">IFERROR(__xludf.DUMMYFUNCTION("""COMPUTED_VALUE"""),62.8)</f>
        <v>62.8</v>
      </c>
      <c r="K256" s="1">
        <f ca="1">IFERROR(__xludf.DUMMYFUNCTION("""COMPUTED_VALUE"""),307)</f>
        <v>307</v>
      </c>
      <c r="L256" s="1" t="str">
        <f ca="1">IFERROR(__xludf.DUMMYFUNCTION("""COMPUTED_VALUE"""),"+.010")</f>
        <v>+.010</v>
      </c>
      <c r="M256" s="1">
        <f ca="1">IFERROR(__xludf.DUMMYFUNCTION("""COMPUTED_VALUE"""),145)</f>
        <v>145</v>
      </c>
      <c r="N256" s="1">
        <f ca="1">IFERROR(__xludf.DUMMYFUNCTION("""COMPUTED_VALUE"""),-9.99)</f>
        <v>-9.99</v>
      </c>
      <c r="O256" s="1">
        <f ca="1">IFERROR(__xludf.DUMMYFUNCTION("""COMPUTED_VALUE"""),302)</f>
        <v>302</v>
      </c>
      <c r="P256" s="1">
        <f ca="1">IFERROR(__xludf.DUMMYFUNCTION("""COMPUTED_VALUE"""),97.1)</f>
        <v>97.1</v>
      </c>
      <c r="Q256" s="1">
        <f ca="1">IFERROR(__xludf.DUMMYFUNCTION("""COMPUTED_VALUE"""),311)</f>
        <v>311</v>
      </c>
      <c r="R256" s="1">
        <f ca="1">IFERROR(__xludf.DUMMYFUNCTION("""COMPUTED_VALUE"""),107.1)</f>
        <v>107.1</v>
      </c>
      <c r="S256" s="1">
        <f ca="1">IFERROR(__xludf.DUMMYFUNCTION("""COMPUTED_VALUE"""),293)</f>
        <v>293</v>
      </c>
      <c r="T256" s="1">
        <f ca="1">IFERROR(__xludf.DUMMYFUNCTION("""COMPUTED_VALUE"""),-2.52)</f>
        <v>-2.52</v>
      </c>
      <c r="U256" s="1">
        <f ca="1">IFERROR(__xludf.DUMMYFUNCTION("""COMPUTED_VALUE"""),225)</f>
        <v>225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IFERROR(__xludf.DUMMYFUNCTION("""COMPUTED_VALUE"""),"UMBC")</f>
        <v>UMBC</v>
      </c>
      <c r="C257" s="1" t="str">
        <f ca="1">IFERROR(__xludf.DUMMYFUNCTION("""COMPUTED_VALUE"""),"NEC")</f>
        <v>NEC</v>
      </c>
      <c r="D257" s="1" t="str">
        <f ca="1">IFERROR(__xludf.DUMMYFUNCTION("""COMPUTED_VALUE"""),"20-9")</f>
        <v>20-9</v>
      </c>
      <c r="E257" s="1">
        <f ca="1">IFERROR(__xludf.DUMMYFUNCTION("""COMPUTED_VALUE"""),-7.37)</f>
        <v>-7.37</v>
      </c>
      <c r="F257" s="1">
        <f ca="1">IFERROR(__xludf.DUMMYFUNCTION("""COMPUTED_VALUE"""),96.1)</f>
        <v>96.1</v>
      </c>
      <c r="G257" s="1">
        <f ca="1">IFERROR(__xludf.DUMMYFUNCTION("""COMPUTED_VALUE"""),276)</f>
        <v>276</v>
      </c>
      <c r="H257" s="1">
        <f ca="1">IFERROR(__xludf.DUMMYFUNCTION("""COMPUTED_VALUE"""),103.4)</f>
        <v>103.4</v>
      </c>
      <c r="I257" s="1">
        <f ca="1">IFERROR(__xludf.DUMMYFUNCTION("""COMPUTED_VALUE"""),175)</f>
        <v>175</v>
      </c>
      <c r="J257" s="1">
        <f ca="1">IFERROR(__xludf.DUMMYFUNCTION("""COMPUTED_VALUE"""),70.6)</f>
        <v>70.599999999999994</v>
      </c>
      <c r="K257" s="1">
        <f ca="1">IFERROR(__xludf.DUMMYFUNCTION("""COMPUTED_VALUE"""),68)</f>
        <v>68</v>
      </c>
      <c r="L257" s="1" t="str">
        <f ca="1">IFERROR(__xludf.DUMMYFUNCTION("""COMPUTED_VALUE"""),"+.062")</f>
        <v>+.062</v>
      </c>
      <c r="M257" s="1">
        <f ca="1">IFERROR(__xludf.DUMMYFUNCTION("""COMPUTED_VALUE"""),33)</f>
        <v>33</v>
      </c>
      <c r="N257" s="1">
        <f ca="1">IFERROR(__xludf.DUMMYFUNCTION("""COMPUTED_VALUE"""),-12.91)</f>
        <v>-12.91</v>
      </c>
      <c r="O257" s="1">
        <f ca="1">IFERROR(__xludf.DUMMYFUNCTION("""COMPUTED_VALUE"""),323)</f>
        <v>323</v>
      </c>
      <c r="P257" s="1">
        <f ca="1">IFERROR(__xludf.DUMMYFUNCTION("""COMPUTED_VALUE"""),96.2)</f>
        <v>96.2</v>
      </c>
      <c r="Q257" s="1">
        <f ca="1">IFERROR(__xludf.DUMMYFUNCTION("""COMPUTED_VALUE"""),322)</f>
        <v>322</v>
      </c>
      <c r="R257" s="1">
        <f ca="1">IFERROR(__xludf.DUMMYFUNCTION("""COMPUTED_VALUE"""),109.1)</f>
        <v>109.1</v>
      </c>
      <c r="S257" s="1">
        <f ca="1">IFERROR(__xludf.DUMMYFUNCTION("""COMPUTED_VALUE"""),320)</f>
        <v>320</v>
      </c>
      <c r="T257" s="1">
        <f ca="1">IFERROR(__xludf.DUMMYFUNCTION("""COMPUTED_VALUE"""),-5.93)</f>
        <v>-5.93</v>
      </c>
      <c r="U257" s="1">
        <f ca="1">IFERROR(__xludf.DUMMYFUNCTION("""COMPUTED_VALUE"""),287)</f>
        <v>287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IFERROR(__xludf.DUMMYFUNCTION("""COMPUTED_VALUE"""),"Wofford")</f>
        <v>Wofford</v>
      </c>
      <c r="C258" s="1" t="str">
        <f ca="1">IFERROR(__xludf.DUMMYFUNCTION("""COMPUTED_VALUE"""),"SC")</f>
        <v>SC</v>
      </c>
      <c r="D258" s="2">
        <f ca="1">IFERROR(__xludf.DUMMYFUNCTION("""COMPUTED_VALUE"""),44760)</f>
        <v>44760</v>
      </c>
      <c r="E258" s="1">
        <f ca="1">IFERROR(__xludf.DUMMYFUNCTION("""COMPUTED_VALUE"""),-7.7)</f>
        <v>-7.7</v>
      </c>
      <c r="F258" s="1">
        <f ca="1">IFERROR(__xludf.DUMMYFUNCTION("""COMPUTED_VALUE"""),94.1)</f>
        <v>94.1</v>
      </c>
      <c r="G258" s="1">
        <f ca="1">IFERROR(__xludf.DUMMYFUNCTION("""COMPUTED_VALUE"""),290)</f>
        <v>290</v>
      </c>
      <c r="H258" s="1">
        <f ca="1">IFERROR(__xludf.DUMMYFUNCTION("""COMPUTED_VALUE"""),101.8)</f>
        <v>101.8</v>
      </c>
      <c r="I258" s="1">
        <f ca="1">IFERROR(__xludf.DUMMYFUNCTION("""COMPUTED_VALUE"""),138)</f>
        <v>138</v>
      </c>
      <c r="J258" s="1">
        <f ca="1">IFERROR(__xludf.DUMMYFUNCTION("""COMPUTED_VALUE"""),67.3)</f>
        <v>67.3</v>
      </c>
      <c r="K258" s="1">
        <f ca="1">IFERROR(__xludf.DUMMYFUNCTION("""COMPUTED_VALUE"""),200)</f>
        <v>200</v>
      </c>
      <c r="L258" s="1" t="str">
        <f ca="1">IFERROR(__xludf.DUMMYFUNCTION("""COMPUTED_VALUE"""),"+.015")</f>
        <v>+.015</v>
      </c>
      <c r="M258" s="1">
        <f ca="1">IFERROR(__xludf.DUMMYFUNCTION("""COMPUTED_VALUE"""),130)</f>
        <v>130</v>
      </c>
      <c r="N258" s="1" t="str">
        <f ca="1">IFERROR(__xludf.DUMMYFUNCTION("""COMPUTED_VALUE"""),"+2.76")</f>
        <v>+2.76</v>
      </c>
      <c r="O258" s="1">
        <f ca="1">IFERROR(__xludf.DUMMYFUNCTION("""COMPUTED_VALUE"""),109)</f>
        <v>109</v>
      </c>
      <c r="P258" s="1">
        <f ca="1">IFERROR(__xludf.DUMMYFUNCTION("""COMPUTED_VALUE"""),104.3)</f>
        <v>104.3</v>
      </c>
      <c r="Q258" s="1">
        <f ca="1">IFERROR(__xludf.DUMMYFUNCTION("""COMPUTED_VALUE"""),128)</f>
        <v>128</v>
      </c>
      <c r="R258" s="1">
        <f ca="1">IFERROR(__xludf.DUMMYFUNCTION("""COMPUTED_VALUE"""),101.5)</f>
        <v>101.5</v>
      </c>
      <c r="S258" s="1">
        <f ca="1">IFERROR(__xludf.DUMMYFUNCTION("""COMPUTED_VALUE"""),93)</f>
        <v>93</v>
      </c>
      <c r="T258" s="1" t="str">
        <f ca="1">IFERROR(__xludf.DUMMYFUNCTION("""COMPUTED_VALUE"""),"+8.52")</f>
        <v>+8.52</v>
      </c>
      <c r="U258" s="1">
        <f ca="1">IFERROR(__xludf.DUMMYFUNCTION("""COMPUTED_VALUE"""),21)</f>
        <v>21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IFERROR(__xludf.DUMMYFUNCTION("""COMPUTED_VALUE"""),"Jacksonville St.")</f>
        <v>Jacksonville St.</v>
      </c>
      <c r="C259" s="1" t="str">
        <f ca="1">IFERROR(__xludf.DUMMYFUNCTION("""COMPUTED_VALUE"""),"ASun")</f>
        <v>ASun</v>
      </c>
      <c r="D259" s="1" t="str">
        <f ca="1">IFERROR(__xludf.DUMMYFUNCTION("""COMPUTED_VALUE"""),"13-16")</f>
        <v>13-16</v>
      </c>
      <c r="E259" s="1">
        <f ca="1">IFERROR(__xludf.DUMMYFUNCTION("""COMPUTED_VALUE"""),-7.92)</f>
        <v>-7.92</v>
      </c>
      <c r="F259" s="1">
        <f ca="1">IFERROR(__xludf.DUMMYFUNCTION("""COMPUTED_VALUE"""),101.5)</f>
        <v>101.5</v>
      </c>
      <c r="G259" s="1">
        <f ca="1">IFERROR(__xludf.DUMMYFUNCTION("""COMPUTED_VALUE"""),186)</f>
        <v>186</v>
      </c>
      <c r="H259" s="1">
        <f ca="1">IFERROR(__xludf.DUMMYFUNCTION("""COMPUTED_VALUE"""),109.4)</f>
        <v>109.4</v>
      </c>
      <c r="I259" s="1">
        <f ca="1">IFERROR(__xludf.DUMMYFUNCTION("""COMPUTED_VALUE"""),280)</f>
        <v>280</v>
      </c>
      <c r="J259" s="1">
        <f ca="1">IFERROR(__xludf.DUMMYFUNCTION("""COMPUTED_VALUE"""),66.2)</f>
        <v>66.2</v>
      </c>
      <c r="K259" s="1">
        <f ca="1">IFERROR(__xludf.DUMMYFUNCTION("""COMPUTED_VALUE"""),234)</f>
        <v>234</v>
      </c>
      <c r="L259" s="1">
        <f ca="1">IFERROR(__xludf.DUMMYFUNCTION("""COMPUTED_VALUE"""),-0.027)</f>
        <v>-2.7E-2</v>
      </c>
      <c r="M259" s="1">
        <f ca="1">IFERROR(__xludf.DUMMYFUNCTION("""COMPUTED_VALUE"""),225)</f>
        <v>225</v>
      </c>
      <c r="N259" s="1">
        <f ca="1">IFERROR(__xludf.DUMMYFUNCTION("""COMPUTED_VALUE"""),-7.24)</f>
        <v>-7.24</v>
      </c>
      <c r="O259" s="1">
        <f ca="1">IFERROR(__xludf.DUMMYFUNCTION("""COMPUTED_VALUE"""),280)</f>
        <v>280</v>
      </c>
      <c r="P259" s="1">
        <f ca="1">IFERROR(__xludf.DUMMYFUNCTION("""COMPUTED_VALUE"""),99.5)</f>
        <v>99.5</v>
      </c>
      <c r="Q259" s="1">
        <f ca="1">IFERROR(__xludf.DUMMYFUNCTION("""COMPUTED_VALUE"""),259)</f>
        <v>259</v>
      </c>
      <c r="R259" s="1">
        <f ca="1">IFERROR(__xludf.DUMMYFUNCTION("""COMPUTED_VALUE"""),106.8)</f>
        <v>106.8</v>
      </c>
      <c r="S259" s="1">
        <f ca="1">IFERROR(__xludf.DUMMYFUNCTION("""COMPUTED_VALUE"""),287)</f>
        <v>287</v>
      </c>
      <c r="T259" s="1">
        <f ca="1">IFERROR(__xludf.DUMMYFUNCTION("""COMPUTED_VALUE"""),-17.64)</f>
        <v>-17.64</v>
      </c>
      <c r="U259" s="1">
        <f ca="1">IFERROR(__xludf.DUMMYFUNCTION("""COMPUTED_VALUE"""),327)</f>
        <v>327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IFERROR(__xludf.DUMMYFUNCTION("""COMPUTED_VALUE"""),"Tennessee Martin")</f>
        <v>Tennessee Martin</v>
      </c>
      <c r="C260" s="1" t="str">
        <f ca="1">IFERROR(__xludf.DUMMYFUNCTION("""COMPUTED_VALUE"""),"OVC")</f>
        <v>OVC</v>
      </c>
      <c r="D260" s="2">
        <f ca="1">IFERROR(__xludf.DUMMYFUNCTION("""COMPUTED_VALUE"""),44879)</f>
        <v>44879</v>
      </c>
      <c r="E260" s="1">
        <f ca="1">IFERROR(__xludf.DUMMYFUNCTION("""COMPUTED_VALUE"""),-7.93)</f>
        <v>-7.93</v>
      </c>
      <c r="F260" s="1">
        <f ca="1">IFERROR(__xludf.DUMMYFUNCTION("""COMPUTED_VALUE"""),99.4)</f>
        <v>99.4</v>
      </c>
      <c r="G260" s="1">
        <f ca="1">IFERROR(__xludf.DUMMYFUNCTION("""COMPUTED_VALUE"""),222)</f>
        <v>222</v>
      </c>
      <c r="H260" s="1">
        <f ca="1">IFERROR(__xludf.DUMMYFUNCTION("""COMPUTED_VALUE"""),107.3)</f>
        <v>107.3</v>
      </c>
      <c r="I260" s="1">
        <f ca="1">IFERROR(__xludf.DUMMYFUNCTION("""COMPUTED_VALUE"""),245)</f>
        <v>245</v>
      </c>
      <c r="J260" s="1">
        <f ca="1">IFERROR(__xludf.DUMMYFUNCTION("""COMPUTED_VALUE"""),71.3)</f>
        <v>71.3</v>
      </c>
      <c r="K260" s="1">
        <f ca="1">IFERROR(__xludf.DUMMYFUNCTION("""COMPUTED_VALUE"""),55)</f>
        <v>55</v>
      </c>
      <c r="L260" s="1" t="str">
        <f ca="1">IFERROR(__xludf.DUMMYFUNCTION("""COMPUTED_VALUE"""),"+.077")</f>
        <v>+.077</v>
      </c>
      <c r="M260" s="1">
        <f ca="1">IFERROR(__xludf.DUMMYFUNCTION("""COMPUTED_VALUE"""),19)</f>
        <v>19</v>
      </c>
      <c r="N260" s="1">
        <f ca="1">IFERROR(__xludf.DUMMYFUNCTION("""COMPUTED_VALUE"""),-2.87)</f>
        <v>-2.87</v>
      </c>
      <c r="O260" s="1">
        <f ca="1">IFERROR(__xludf.DUMMYFUNCTION("""COMPUTED_VALUE"""),218)</f>
        <v>218</v>
      </c>
      <c r="P260" s="1">
        <f ca="1">IFERROR(__xludf.DUMMYFUNCTION("""COMPUTED_VALUE"""),102.7)</f>
        <v>102.7</v>
      </c>
      <c r="Q260" s="1">
        <f ca="1">IFERROR(__xludf.DUMMYFUNCTION("""COMPUTED_VALUE"""),191)</f>
        <v>191</v>
      </c>
      <c r="R260" s="1">
        <f ca="1">IFERROR(__xludf.DUMMYFUNCTION("""COMPUTED_VALUE"""),105.5)</f>
        <v>105.5</v>
      </c>
      <c r="S260" s="1">
        <f ca="1">IFERROR(__xludf.DUMMYFUNCTION("""COMPUTED_VALUE"""),248)</f>
        <v>248</v>
      </c>
      <c r="T260" s="1" t="str">
        <f ca="1">IFERROR(__xludf.DUMMYFUNCTION("""COMPUTED_VALUE"""),"+2.49")</f>
        <v>+2.49</v>
      </c>
      <c r="U260" s="1">
        <f ca="1">IFERROR(__xludf.DUMMYFUNCTION("""COMPUTED_VALUE"""),103)</f>
        <v>103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IFERROR(__xludf.DUMMYFUNCTION("""COMPUTED_VALUE"""),"Lamar")</f>
        <v>Lamar</v>
      </c>
      <c r="C261" s="1" t="str">
        <f ca="1">IFERROR(__xludf.DUMMYFUNCTION("""COMPUTED_VALUE"""),"Slnd")</f>
        <v>Slnd</v>
      </c>
      <c r="D261" s="1" t="str">
        <f ca="1">IFERROR(__xludf.DUMMYFUNCTION("""COMPUTED_VALUE"""),"15-14")</f>
        <v>15-14</v>
      </c>
      <c r="E261" s="1">
        <f ca="1">IFERROR(__xludf.DUMMYFUNCTION("""COMPUTED_VALUE"""),-8.02)</f>
        <v>-8.02</v>
      </c>
      <c r="F261" s="1">
        <f ca="1">IFERROR(__xludf.DUMMYFUNCTION("""COMPUTED_VALUE"""),98.4)</f>
        <v>98.4</v>
      </c>
      <c r="G261" s="1">
        <f ca="1">IFERROR(__xludf.DUMMYFUNCTION("""COMPUTED_VALUE"""),242)</f>
        <v>242</v>
      </c>
      <c r="H261" s="1">
        <f ca="1">IFERROR(__xludf.DUMMYFUNCTION("""COMPUTED_VALUE"""),106.4)</f>
        <v>106.4</v>
      </c>
      <c r="I261" s="1">
        <f ca="1">IFERROR(__xludf.DUMMYFUNCTION("""COMPUTED_VALUE"""),230)</f>
        <v>230</v>
      </c>
      <c r="J261" s="1">
        <f ca="1">IFERROR(__xludf.DUMMYFUNCTION("""COMPUTED_VALUE"""),69.6)</f>
        <v>69.599999999999994</v>
      </c>
      <c r="K261" s="1">
        <f ca="1">IFERROR(__xludf.DUMMYFUNCTION("""COMPUTED_VALUE"""),104)</f>
        <v>104</v>
      </c>
      <c r="L261" s="1" t="str">
        <f ca="1">IFERROR(__xludf.DUMMYFUNCTION("""COMPUTED_VALUE"""),"+.063")</f>
        <v>+.063</v>
      </c>
      <c r="M261" s="1">
        <f ca="1">IFERROR(__xludf.DUMMYFUNCTION("""COMPUTED_VALUE"""),29)</f>
        <v>29</v>
      </c>
      <c r="N261" s="1">
        <f ca="1">IFERROR(__xludf.DUMMYFUNCTION("""COMPUTED_VALUE"""),-6.68)</f>
        <v>-6.68</v>
      </c>
      <c r="O261" s="1">
        <f ca="1">IFERROR(__xludf.DUMMYFUNCTION("""COMPUTED_VALUE"""),268)</f>
        <v>268</v>
      </c>
      <c r="P261" s="1">
        <f ca="1">IFERROR(__xludf.DUMMYFUNCTION("""COMPUTED_VALUE"""),98.5)</f>
        <v>98.5</v>
      </c>
      <c r="Q261" s="1">
        <f ca="1">IFERROR(__xludf.DUMMYFUNCTION("""COMPUTED_VALUE"""),279)</f>
        <v>279</v>
      </c>
      <c r="R261" s="1">
        <f ca="1">IFERROR(__xludf.DUMMYFUNCTION("""COMPUTED_VALUE"""),105.1)</f>
        <v>105.1</v>
      </c>
      <c r="S261" s="1">
        <f ca="1">IFERROR(__xludf.DUMMYFUNCTION("""COMPUTED_VALUE"""),235)</f>
        <v>235</v>
      </c>
      <c r="T261" s="1">
        <f ca="1">IFERROR(__xludf.DUMMYFUNCTION("""COMPUTED_VALUE"""),-4.35)</f>
        <v>-4.3499999999999996</v>
      </c>
      <c r="U261" s="1">
        <f ca="1">IFERROR(__xludf.DUMMYFUNCTION("""COMPUTED_VALUE"""),263)</f>
        <v>263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IFERROR(__xludf.DUMMYFUNCTION("""COMPUTED_VALUE"""),"Texas A&amp;M Corpus Chris")</f>
        <v>Texas A&amp;M Corpus Chris</v>
      </c>
      <c r="C262" s="1" t="str">
        <f ca="1">IFERROR(__xludf.DUMMYFUNCTION("""COMPUTED_VALUE"""),"ind")</f>
        <v>ind</v>
      </c>
      <c r="D262" s="2">
        <f ca="1">IFERROR(__xludf.DUMMYFUNCTION("""COMPUTED_VALUE"""),44849)</f>
        <v>44849</v>
      </c>
      <c r="E262" s="1">
        <f ca="1">IFERROR(__xludf.DUMMYFUNCTION("""COMPUTED_VALUE"""),-8.08)</f>
        <v>-8.08</v>
      </c>
      <c r="F262" s="1">
        <f ca="1">IFERROR(__xludf.DUMMYFUNCTION("""COMPUTED_VALUE"""),101.3)</f>
        <v>101.3</v>
      </c>
      <c r="G262" s="1">
        <f ca="1">IFERROR(__xludf.DUMMYFUNCTION("""COMPUTED_VALUE"""),193)</f>
        <v>193</v>
      </c>
      <c r="H262" s="1">
        <f ca="1">IFERROR(__xludf.DUMMYFUNCTION("""COMPUTED_VALUE"""),109.3)</f>
        <v>109.3</v>
      </c>
      <c r="I262" s="1">
        <f ca="1">IFERROR(__xludf.DUMMYFUNCTION("""COMPUTED_VALUE"""),277)</f>
        <v>277</v>
      </c>
      <c r="J262" s="1">
        <f ca="1">IFERROR(__xludf.DUMMYFUNCTION("""COMPUTED_VALUE"""),73.5)</f>
        <v>73.5</v>
      </c>
      <c r="K262" s="1">
        <f ca="1">IFERROR(__xludf.DUMMYFUNCTION("""COMPUTED_VALUE"""),18)</f>
        <v>18</v>
      </c>
      <c r="L262" s="1">
        <f ca="1">IFERROR(__xludf.DUMMYFUNCTION("""COMPUTED_VALUE"""),-0.009)</f>
        <v>-8.9999999999999993E-3</v>
      </c>
      <c r="M262" s="1">
        <f ca="1">IFERROR(__xludf.DUMMYFUNCTION("""COMPUTED_VALUE"""),188)</f>
        <v>188</v>
      </c>
      <c r="N262" s="1">
        <f ca="1">IFERROR(__xludf.DUMMYFUNCTION("""COMPUTED_VALUE"""),-4.99)</f>
        <v>-4.99</v>
      </c>
      <c r="O262" s="1">
        <f ca="1">IFERROR(__xludf.DUMMYFUNCTION("""COMPUTED_VALUE"""),249)</f>
        <v>249</v>
      </c>
      <c r="P262" s="1">
        <f ca="1">IFERROR(__xludf.DUMMYFUNCTION("""COMPUTED_VALUE"""),99.8)</f>
        <v>99.8</v>
      </c>
      <c r="Q262" s="1">
        <f ca="1">IFERROR(__xludf.DUMMYFUNCTION("""COMPUTED_VALUE"""),252)</f>
        <v>252</v>
      </c>
      <c r="R262" s="1">
        <f ca="1">IFERROR(__xludf.DUMMYFUNCTION("""COMPUTED_VALUE"""),104.8)</f>
        <v>104.8</v>
      </c>
      <c r="S262" s="1">
        <f ca="1">IFERROR(__xludf.DUMMYFUNCTION("""COMPUTED_VALUE"""),223)</f>
        <v>223</v>
      </c>
      <c r="T262" s="1">
        <f ca="1">IFERROR(__xludf.DUMMYFUNCTION("""COMPUTED_VALUE"""),-0.85)</f>
        <v>-0.85</v>
      </c>
      <c r="U262" s="1">
        <f ca="1">IFERROR(__xludf.DUMMYFUNCTION("""COMPUTED_VALUE"""),183)</f>
        <v>183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IFERROR(__xludf.DUMMYFUNCTION("""COMPUTED_VALUE"""),"Portland St.")</f>
        <v>Portland St.</v>
      </c>
      <c r="C263" s="1" t="str">
        <f ca="1">IFERROR(__xludf.DUMMYFUNCTION("""COMPUTED_VALUE"""),"BSky")</f>
        <v>BSky</v>
      </c>
      <c r="D263" s="2">
        <f ca="1">IFERROR(__xludf.DUMMYFUNCTION("""COMPUTED_VALUE"""),44881)</f>
        <v>44881</v>
      </c>
      <c r="E263" s="1">
        <f ca="1">IFERROR(__xludf.DUMMYFUNCTION("""COMPUTED_VALUE"""),-8.1)</f>
        <v>-8.1</v>
      </c>
      <c r="F263" s="1">
        <f ca="1">IFERROR(__xludf.DUMMYFUNCTION("""COMPUTED_VALUE"""),104.6)</f>
        <v>104.6</v>
      </c>
      <c r="G263" s="1">
        <f ca="1">IFERROR(__xludf.DUMMYFUNCTION("""COMPUTED_VALUE"""),136)</f>
        <v>136</v>
      </c>
      <c r="H263" s="1">
        <f ca="1">IFERROR(__xludf.DUMMYFUNCTION("""COMPUTED_VALUE"""),112.7)</f>
        <v>112.7</v>
      </c>
      <c r="I263" s="1">
        <f ca="1">IFERROR(__xludf.DUMMYFUNCTION("""COMPUTED_VALUE"""),305)</f>
        <v>305</v>
      </c>
      <c r="J263" s="1">
        <f ca="1">IFERROR(__xludf.DUMMYFUNCTION("""COMPUTED_VALUE"""),69.1)</f>
        <v>69.099999999999994</v>
      </c>
      <c r="K263" s="1">
        <f ca="1">IFERROR(__xludf.DUMMYFUNCTION("""COMPUTED_VALUE"""),131)</f>
        <v>131</v>
      </c>
      <c r="L263" s="1" t="str">
        <f ca="1">IFERROR(__xludf.DUMMYFUNCTION("""COMPUTED_VALUE"""),"+.083")</f>
        <v>+.083</v>
      </c>
      <c r="M263" s="1">
        <f ca="1">IFERROR(__xludf.DUMMYFUNCTION("""COMPUTED_VALUE"""),13)</f>
        <v>13</v>
      </c>
      <c r="N263" s="1">
        <f ca="1">IFERROR(__xludf.DUMMYFUNCTION("""COMPUTED_VALUE"""),-0.8)</f>
        <v>-0.8</v>
      </c>
      <c r="O263" s="1">
        <f ca="1">IFERROR(__xludf.DUMMYFUNCTION("""COMPUTED_VALUE"""),180)</f>
        <v>180</v>
      </c>
      <c r="P263" s="1">
        <f ca="1">IFERROR(__xludf.DUMMYFUNCTION("""COMPUTED_VALUE"""),102.8)</f>
        <v>102.8</v>
      </c>
      <c r="Q263" s="1">
        <f ca="1">IFERROR(__xludf.DUMMYFUNCTION("""COMPUTED_VALUE"""),186)</f>
        <v>186</v>
      </c>
      <c r="R263" s="1">
        <f ca="1">IFERROR(__xludf.DUMMYFUNCTION("""COMPUTED_VALUE"""),103.6)</f>
        <v>103.6</v>
      </c>
      <c r="S263" s="1">
        <f ca="1">IFERROR(__xludf.DUMMYFUNCTION("""COMPUTED_VALUE"""),181)</f>
        <v>181</v>
      </c>
      <c r="T263" s="1" t="str">
        <f ca="1">IFERROR(__xludf.DUMMYFUNCTION("""COMPUTED_VALUE"""),"+4.81")</f>
        <v>+4.81</v>
      </c>
      <c r="U263" s="1">
        <f ca="1">IFERROR(__xludf.DUMMYFUNCTION("""COMPUTED_VALUE"""),61)</f>
        <v>61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IFERROR(__xludf.DUMMYFUNCTION("""COMPUTED_VALUE"""),"UT Arlington")</f>
        <v>UT Arlington</v>
      </c>
      <c r="C264" s="1" t="str">
        <f ca="1">IFERROR(__xludf.DUMMYFUNCTION("""COMPUTED_VALUE"""),"Slnd")</f>
        <v>Slnd</v>
      </c>
      <c r="D264" s="2">
        <f ca="1">IFERROR(__xludf.DUMMYFUNCTION("""COMPUTED_VALUE"""),44880)</f>
        <v>44880</v>
      </c>
      <c r="E264" s="1">
        <f ca="1">IFERROR(__xludf.DUMMYFUNCTION("""COMPUTED_VALUE"""),-8.37)</f>
        <v>-8.3699999999999992</v>
      </c>
      <c r="F264" s="1">
        <f ca="1">IFERROR(__xludf.DUMMYFUNCTION("""COMPUTED_VALUE"""),102.2)</f>
        <v>102.2</v>
      </c>
      <c r="G264" s="1">
        <f ca="1">IFERROR(__xludf.DUMMYFUNCTION("""COMPUTED_VALUE"""),179)</f>
        <v>179</v>
      </c>
      <c r="H264" s="1">
        <f ca="1">IFERROR(__xludf.DUMMYFUNCTION("""COMPUTED_VALUE"""),110.6)</f>
        <v>110.6</v>
      </c>
      <c r="I264" s="1">
        <f ca="1">IFERROR(__xludf.DUMMYFUNCTION("""COMPUTED_VALUE"""),292)</f>
        <v>292</v>
      </c>
      <c r="J264" s="1">
        <f ca="1">IFERROR(__xludf.DUMMYFUNCTION("""COMPUTED_VALUE"""),72.1)</f>
        <v>72.099999999999994</v>
      </c>
      <c r="K264" s="1">
        <f ca="1">IFERROR(__xludf.DUMMYFUNCTION("""COMPUTED_VALUE"""),39)</f>
        <v>39</v>
      </c>
      <c r="L264" s="1" t="str">
        <f ca="1">IFERROR(__xludf.DUMMYFUNCTION("""COMPUTED_VALUE"""),"+.007")</f>
        <v>+.007</v>
      </c>
      <c r="M264" s="1">
        <f ca="1">IFERROR(__xludf.DUMMYFUNCTION("""COMPUTED_VALUE"""),152)</f>
        <v>152</v>
      </c>
      <c r="N264" s="1">
        <f ca="1">IFERROR(__xludf.DUMMYFUNCTION("""COMPUTED_VALUE"""),-4.92)</f>
        <v>-4.92</v>
      </c>
      <c r="O264" s="1">
        <f ca="1">IFERROR(__xludf.DUMMYFUNCTION("""COMPUTED_VALUE"""),246)</f>
        <v>246</v>
      </c>
      <c r="P264" s="1">
        <f ca="1">IFERROR(__xludf.DUMMYFUNCTION("""COMPUTED_VALUE"""),99.5)</f>
        <v>99.5</v>
      </c>
      <c r="Q264" s="1">
        <f ca="1">IFERROR(__xludf.DUMMYFUNCTION("""COMPUTED_VALUE"""),260)</f>
        <v>260</v>
      </c>
      <c r="R264" s="1">
        <f ca="1">IFERROR(__xludf.DUMMYFUNCTION("""COMPUTED_VALUE"""),104.4)</f>
        <v>104.4</v>
      </c>
      <c r="S264" s="1">
        <f ca="1">IFERROR(__xludf.DUMMYFUNCTION("""COMPUTED_VALUE"""),208)</f>
        <v>208</v>
      </c>
      <c r="T264" s="1" t="str">
        <f ca="1">IFERROR(__xludf.DUMMYFUNCTION("""COMPUTED_VALUE"""),"+3.64")</f>
        <v>+3.64</v>
      </c>
      <c r="U264" s="1">
        <f ca="1">IFERROR(__xludf.DUMMYFUNCTION("""COMPUTED_VALUE"""),78)</f>
        <v>78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IFERROR(__xludf.DUMMYFUNCTION("""COMPUTED_VALUE"""),"San Jose St.")</f>
        <v>San Jose St.</v>
      </c>
      <c r="C265" s="1" t="str">
        <f ca="1">IFERROR(__xludf.DUMMYFUNCTION("""COMPUTED_VALUE"""),"WAC")</f>
        <v>WAC</v>
      </c>
      <c r="D265" s="2">
        <f ca="1">IFERROR(__xludf.DUMMYFUNCTION("""COMPUTED_VALUE"""),44824)</f>
        <v>44824</v>
      </c>
      <c r="E265" s="1">
        <f ca="1">IFERROR(__xludf.DUMMYFUNCTION("""COMPUTED_VALUE"""),-8.43)</f>
        <v>-8.43</v>
      </c>
      <c r="F265" s="1">
        <f ca="1">IFERROR(__xludf.DUMMYFUNCTION("""COMPUTED_VALUE"""),98.7)</f>
        <v>98.7</v>
      </c>
      <c r="G265" s="1">
        <f ca="1">IFERROR(__xludf.DUMMYFUNCTION("""COMPUTED_VALUE"""),237)</f>
        <v>237</v>
      </c>
      <c r="H265" s="1">
        <f ca="1">IFERROR(__xludf.DUMMYFUNCTION("""COMPUTED_VALUE"""),107.1)</f>
        <v>107.1</v>
      </c>
      <c r="I265" s="1">
        <f ca="1">IFERROR(__xludf.DUMMYFUNCTION("""COMPUTED_VALUE"""),241)</f>
        <v>241</v>
      </c>
      <c r="J265" s="1">
        <f ca="1">IFERROR(__xludf.DUMMYFUNCTION("""COMPUTED_VALUE"""),63.2)</f>
        <v>63.2</v>
      </c>
      <c r="K265" s="1">
        <f ca="1">IFERROR(__xludf.DUMMYFUNCTION("""COMPUTED_VALUE"""),302)</f>
        <v>302</v>
      </c>
      <c r="L265" s="1" t="str">
        <f ca="1">IFERROR(__xludf.DUMMYFUNCTION("""COMPUTED_VALUE"""),"+.050")</f>
        <v>+.050</v>
      </c>
      <c r="M265" s="1">
        <f ca="1">IFERROR(__xludf.DUMMYFUNCTION("""COMPUTED_VALUE"""),58)</f>
        <v>58</v>
      </c>
      <c r="N265" s="1" t="str">
        <f ca="1">IFERROR(__xludf.DUMMYFUNCTION("""COMPUTED_VALUE"""),"+2.40")</f>
        <v>+2.40</v>
      </c>
      <c r="O265" s="1">
        <f ca="1">IFERROR(__xludf.DUMMYFUNCTION("""COMPUTED_VALUE"""),113)</f>
        <v>113</v>
      </c>
      <c r="P265" s="1">
        <f ca="1">IFERROR(__xludf.DUMMYFUNCTION("""COMPUTED_VALUE"""),103.9)</f>
        <v>103.9</v>
      </c>
      <c r="Q265" s="1">
        <f ca="1">IFERROR(__xludf.DUMMYFUNCTION("""COMPUTED_VALUE"""),142)</f>
        <v>142</v>
      </c>
      <c r="R265" s="1">
        <f ca="1">IFERROR(__xludf.DUMMYFUNCTION("""COMPUTED_VALUE"""),101.5)</f>
        <v>101.5</v>
      </c>
      <c r="S265" s="1">
        <f ca="1">IFERROR(__xludf.DUMMYFUNCTION("""COMPUTED_VALUE"""),91)</f>
        <v>91</v>
      </c>
      <c r="T265" s="1">
        <f ca="1">IFERROR(__xludf.DUMMYFUNCTION("""COMPUTED_VALUE"""),-4.3)</f>
        <v>-4.3</v>
      </c>
      <c r="U265" s="1">
        <f ca="1">IFERROR(__xludf.DUMMYFUNCTION("""COMPUTED_VALUE"""),262)</f>
        <v>262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IFERROR(__xludf.DUMMYFUNCTION("""COMPUTED_VALUE"""),"Alcorn St.16")</f>
        <v>Alcorn St.16</v>
      </c>
      <c r="C266" s="1" t="str">
        <f ca="1">IFERROR(__xludf.DUMMYFUNCTION("""COMPUTED_VALUE"""),"SWAC")</f>
        <v>SWAC</v>
      </c>
      <c r="D266" s="1" t="str">
        <f ca="1">IFERROR(__xludf.DUMMYFUNCTION("""COMPUTED_VALUE"""),"20-10")</f>
        <v>20-10</v>
      </c>
      <c r="E266" s="1">
        <f ca="1">IFERROR(__xludf.DUMMYFUNCTION("""COMPUTED_VALUE"""),-8.71)</f>
        <v>-8.7100000000000009</v>
      </c>
      <c r="F266" s="1">
        <f ca="1">IFERROR(__xludf.DUMMYFUNCTION("""COMPUTED_VALUE"""),100.1)</f>
        <v>100.1</v>
      </c>
      <c r="G266" s="1">
        <f ca="1">IFERROR(__xludf.DUMMYFUNCTION("""COMPUTED_VALUE"""),213)</f>
        <v>213</v>
      </c>
      <c r="H266" s="1">
        <f ca="1">IFERROR(__xludf.DUMMYFUNCTION("""COMPUTED_VALUE"""),108.8)</f>
        <v>108.8</v>
      </c>
      <c r="I266" s="1">
        <f ca="1">IFERROR(__xludf.DUMMYFUNCTION("""COMPUTED_VALUE"""),268)</f>
        <v>268</v>
      </c>
      <c r="J266" s="1">
        <f ca="1">IFERROR(__xludf.DUMMYFUNCTION("""COMPUTED_VALUE"""),73)</f>
        <v>73</v>
      </c>
      <c r="K266" s="1">
        <f ca="1">IFERROR(__xludf.DUMMYFUNCTION("""COMPUTED_VALUE"""),23)</f>
        <v>23</v>
      </c>
      <c r="L266" s="1" t="str">
        <f ca="1">IFERROR(__xludf.DUMMYFUNCTION("""COMPUTED_VALUE"""),"+.097")</f>
        <v>+.097</v>
      </c>
      <c r="M266" s="1">
        <f ca="1">IFERROR(__xludf.DUMMYFUNCTION("""COMPUTED_VALUE"""),8)</f>
        <v>8</v>
      </c>
      <c r="N266" s="1">
        <f ca="1">IFERROR(__xludf.DUMMYFUNCTION("""COMPUTED_VALUE"""),-14.53)</f>
        <v>-14.53</v>
      </c>
      <c r="O266" s="1">
        <f ca="1">IFERROR(__xludf.DUMMYFUNCTION("""COMPUTED_VALUE"""),325)</f>
        <v>325</v>
      </c>
      <c r="P266" s="1">
        <f ca="1">IFERROR(__xludf.DUMMYFUNCTION("""COMPUTED_VALUE"""),95)</f>
        <v>95</v>
      </c>
      <c r="Q266" s="1">
        <f ca="1">IFERROR(__xludf.DUMMYFUNCTION("""COMPUTED_VALUE"""),325)</f>
        <v>325</v>
      </c>
      <c r="R266" s="1">
        <f ca="1">IFERROR(__xludf.DUMMYFUNCTION("""COMPUTED_VALUE"""),109.6)</f>
        <v>109.6</v>
      </c>
      <c r="S266" s="1">
        <f ca="1">IFERROR(__xludf.DUMMYFUNCTION("""COMPUTED_VALUE"""),325)</f>
        <v>325</v>
      </c>
      <c r="T266" s="1" t="str">
        <f ca="1">IFERROR(__xludf.DUMMYFUNCTION("""COMPUTED_VALUE"""),"+2.59")</f>
        <v>+2.59</v>
      </c>
      <c r="U266" s="1">
        <f ca="1">IFERROR(__xludf.DUMMYFUNCTION("""COMPUTED_VALUE"""),101)</f>
        <v>101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IFERROR(__xludf.DUMMYFUNCTION("""COMPUTED_VALUE"""),"UC Riverside")</f>
        <v>UC Riverside</v>
      </c>
      <c r="C267" s="1" t="str">
        <f ca="1">IFERROR(__xludf.DUMMYFUNCTION("""COMPUTED_VALUE"""),"BW")</f>
        <v>BW</v>
      </c>
      <c r="D267" s="2">
        <f ca="1">IFERROR(__xludf.DUMMYFUNCTION("""COMPUTED_VALUE"""),44760)</f>
        <v>44760</v>
      </c>
      <c r="E267" s="1">
        <f ca="1">IFERROR(__xludf.DUMMYFUNCTION("""COMPUTED_VALUE"""),-8.86)</f>
        <v>-8.86</v>
      </c>
      <c r="F267" s="1">
        <f ca="1">IFERROR(__xludf.DUMMYFUNCTION("""COMPUTED_VALUE"""),99)</f>
        <v>99</v>
      </c>
      <c r="G267" s="1">
        <f ca="1">IFERROR(__xludf.DUMMYFUNCTION("""COMPUTED_VALUE"""),232)</f>
        <v>232</v>
      </c>
      <c r="H267" s="1">
        <f ca="1">IFERROR(__xludf.DUMMYFUNCTION("""COMPUTED_VALUE"""),107.9)</f>
        <v>107.9</v>
      </c>
      <c r="I267" s="1">
        <f ca="1">IFERROR(__xludf.DUMMYFUNCTION("""COMPUTED_VALUE"""),254)</f>
        <v>254</v>
      </c>
      <c r="J267" s="1">
        <f ca="1">IFERROR(__xludf.DUMMYFUNCTION("""COMPUTED_VALUE"""),67.3)</f>
        <v>67.3</v>
      </c>
      <c r="K267" s="1">
        <f ca="1">IFERROR(__xludf.DUMMYFUNCTION("""COMPUTED_VALUE"""),197)</f>
        <v>197</v>
      </c>
      <c r="L267" s="1">
        <f ca="1">IFERROR(__xludf.DUMMYFUNCTION("""COMPUTED_VALUE"""),-0.02)</f>
        <v>-0.02</v>
      </c>
      <c r="M267" s="1">
        <f ca="1">IFERROR(__xludf.DUMMYFUNCTION("""COMPUTED_VALUE"""),204)</f>
        <v>204</v>
      </c>
      <c r="N267" s="1" t="str">
        <f ca="1">IFERROR(__xludf.DUMMYFUNCTION("""COMPUTED_VALUE"""),"+0.70")</f>
        <v>+0.70</v>
      </c>
      <c r="O267" s="1">
        <f ca="1">IFERROR(__xludf.DUMMYFUNCTION("""COMPUTED_VALUE"""),143)</f>
        <v>143</v>
      </c>
      <c r="P267" s="1">
        <f ca="1">IFERROR(__xludf.DUMMYFUNCTION("""COMPUTED_VALUE"""),103.3)</f>
        <v>103.3</v>
      </c>
      <c r="Q267" s="1">
        <f ca="1">IFERROR(__xludf.DUMMYFUNCTION("""COMPUTED_VALUE"""),165)</f>
        <v>165</v>
      </c>
      <c r="R267" s="1">
        <f ca="1">IFERROR(__xludf.DUMMYFUNCTION("""COMPUTED_VALUE"""),102.6)</f>
        <v>102.6</v>
      </c>
      <c r="S267" s="1">
        <f ca="1">IFERROR(__xludf.DUMMYFUNCTION("""COMPUTED_VALUE"""),129)</f>
        <v>129</v>
      </c>
      <c r="T267" s="1" t="str">
        <f ca="1">IFERROR(__xludf.DUMMYFUNCTION("""COMPUTED_VALUE"""),"+4.39")</f>
        <v>+4.39</v>
      </c>
      <c r="U267" s="1">
        <f ca="1">IFERROR(__xludf.DUMMYFUNCTION("""COMPUTED_VALUE"""),69)</f>
        <v>69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IFERROR(__xludf.DUMMYFUNCTION("""COMPUTED_VALUE"""),"St. Francis NY")</f>
        <v>St. Francis NY</v>
      </c>
      <c r="C268" s="1" t="str">
        <f ca="1">IFERROR(__xludf.DUMMYFUNCTION("""COMPUTED_VALUE"""),"NEC")</f>
        <v>NEC</v>
      </c>
      <c r="D268" s="1" t="str">
        <f ca="1">IFERROR(__xludf.DUMMYFUNCTION("""COMPUTED_VALUE"""),"18-11")</f>
        <v>18-11</v>
      </c>
      <c r="E268" s="1">
        <f ca="1">IFERROR(__xludf.DUMMYFUNCTION("""COMPUTED_VALUE"""),-8.96)</f>
        <v>-8.9600000000000009</v>
      </c>
      <c r="F268" s="1">
        <f ca="1">IFERROR(__xludf.DUMMYFUNCTION("""COMPUTED_VALUE"""),100.4)</f>
        <v>100.4</v>
      </c>
      <c r="G268" s="1">
        <f ca="1">IFERROR(__xludf.DUMMYFUNCTION("""COMPUTED_VALUE"""),205)</f>
        <v>205</v>
      </c>
      <c r="H268" s="1">
        <f ca="1">IFERROR(__xludf.DUMMYFUNCTION("""COMPUTED_VALUE"""),109.4)</f>
        <v>109.4</v>
      </c>
      <c r="I268" s="1">
        <f ca="1">IFERROR(__xludf.DUMMYFUNCTION("""COMPUTED_VALUE"""),278)</f>
        <v>278</v>
      </c>
      <c r="J268" s="1">
        <f ca="1">IFERROR(__xludf.DUMMYFUNCTION("""COMPUTED_VALUE"""),73.6)</f>
        <v>73.599999999999994</v>
      </c>
      <c r="K268" s="1">
        <f ca="1">IFERROR(__xludf.DUMMYFUNCTION("""COMPUTED_VALUE"""),16)</f>
        <v>16</v>
      </c>
      <c r="L268" s="1" t="str">
        <f ca="1">IFERROR(__xludf.DUMMYFUNCTION("""COMPUTED_VALUE"""),"+.031")</f>
        <v>+.031</v>
      </c>
      <c r="M268" s="1">
        <f ca="1">IFERROR(__xludf.DUMMYFUNCTION("""COMPUTED_VALUE"""),93)</f>
        <v>93</v>
      </c>
      <c r="N268" s="1">
        <f ca="1">IFERROR(__xludf.DUMMYFUNCTION("""COMPUTED_VALUE"""),-13.24)</f>
        <v>-13.24</v>
      </c>
      <c r="O268" s="1">
        <f ca="1">IFERROR(__xludf.DUMMYFUNCTION("""COMPUTED_VALUE"""),324)</f>
        <v>324</v>
      </c>
      <c r="P268" s="1">
        <f ca="1">IFERROR(__xludf.DUMMYFUNCTION("""COMPUTED_VALUE"""),96.2)</f>
        <v>96.2</v>
      </c>
      <c r="Q268" s="1">
        <f ca="1">IFERROR(__xludf.DUMMYFUNCTION("""COMPUTED_VALUE"""),321)</f>
        <v>321</v>
      </c>
      <c r="R268" s="1">
        <f ca="1">IFERROR(__xludf.DUMMYFUNCTION("""COMPUTED_VALUE"""),109.5)</f>
        <v>109.5</v>
      </c>
      <c r="S268" s="1">
        <f ca="1">IFERROR(__xludf.DUMMYFUNCTION("""COMPUTED_VALUE"""),324)</f>
        <v>324</v>
      </c>
      <c r="T268" s="1">
        <f ca="1">IFERROR(__xludf.DUMMYFUNCTION("""COMPUTED_VALUE"""),-7.89)</f>
        <v>-7.89</v>
      </c>
      <c r="U268" s="1">
        <f ca="1">IFERROR(__xludf.DUMMYFUNCTION("""COMPUTED_VALUE"""),307)</f>
        <v>307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IFERROR(__xludf.DUMMYFUNCTION("""COMPUTED_VALUE"""),"South Alabama")</f>
        <v>South Alabama</v>
      </c>
      <c r="C269" s="1" t="str">
        <f ca="1">IFERROR(__xludf.DUMMYFUNCTION("""COMPUTED_VALUE"""),"SB")</f>
        <v>SB</v>
      </c>
      <c r="D269" s="2">
        <f ca="1">IFERROR(__xludf.DUMMYFUNCTION("""COMPUTED_VALUE"""),44702)</f>
        <v>44702</v>
      </c>
      <c r="E269" s="1">
        <f ca="1">IFERROR(__xludf.DUMMYFUNCTION("""COMPUTED_VALUE"""),-9)</f>
        <v>-9</v>
      </c>
      <c r="F269" s="1">
        <f ca="1">IFERROR(__xludf.DUMMYFUNCTION("""COMPUTED_VALUE"""),96)</f>
        <v>96</v>
      </c>
      <c r="G269" s="1">
        <f ca="1">IFERROR(__xludf.DUMMYFUNCTION("""COMPUTED_VALUE"""),277)</f>
        <v>277</v>
      </c>
      <c r="H269" s="1">
        <f ca="1">IFERROR(__xludf.DUMMYFUNCTION("""COMPUTED_VALUE"""),105)</f>
        <v>105</v>
      </c>
      <c r="I269" s="1">
        <f ca="1">IFERROR(__xludf.DUMMYFUNCTION("""COMPUTED_VALUE"""),207)</f>
        <v>207</v>
      </c>
      <c r="J269" s="1">
        <f ca="1">IFERROR(__xludf.DUMMYFUNCTION("""COMPUTED_VALUE"""),66.8)</f>
        <v>66.8</v>
      </c>
      <c r="K269" s="1">
        <f ca="1">IFERROR(__xludf.DUMMYFUNCTION("""COMPUTED_VALUE"""),216)</f>
        <v>216</v>
      </c>
      <c r="L269" s="1">
        <f ca="1">IFERROR(__xludf.DUMMYFUNCTION("""COMPUTED_VALUE"""),-0.117)</f>
        <v>-0.11700000000000001</v>
      </c>
      <c r="M269" s="1">
        <f ca="1">IFERROR(__xludf.DUMMYFUNCTION("""COMPUTED_VALUE"""),322)</f>
        <v>322</v>
      </c>
      <c r="N269" s="1">
        <f ca="1">IFERROR(__xludf.DUMMYFUNCTION("""COMPUTED_VALUE"""),-0.08)</f>
        <v>-0.08</v>
      </c>
      <c r="O269" s="1">
        <f ca="1">IFERROR(__xludf.DUMMYFUNCTION("""COMPUTED_VALUE"""),159)</f>
        <v>159</v>
      </c>
      <c r="P269" s="1">
        <f ca="1">IFERROR(__xludf.DUMMYFUNCTION("""COMPUTED_VALUE"""),102.1)</f>
        <v>102.1</v>
      </c>
      <c r="Q269" s="1">
        <f ca="1">IFERROR(__xludf.DUMMYFUNCTION("""COMPUTED_VALUE"""),209)</f>
        <v>209</v>
      </c>
      <c r="R269" s="1">
        <f ca="1">IFERROR(__xludf.DUMMYFUNCTION("""COMPUTED_VALUE"""),102.2)</f>
        <v>102.2</v>
      </c>
      <c r="S269" s="1">
        <f ca="1">IFERROR(__xludf.DUMMYFUNCTION("""COMPUTED_VALUE"""),115)</f>
        <v>115</v>
      </c>
      <c r="T269" s="1" t="str">
        <f ca="1">IFERROR(__xludf.DUMMYFUNCTION("""COMPUTED_VALUE"""),"+0.65")</f>
        <v>+0.65</v>
      </c>
      <c r="U269" s="1">
        <f ca="1">IFERROR(__xludf.DUMMYFUNCTION("""COMPUTED_VALUE"""),146)</f>
        <v>146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IFERROR(__xludf.DUMMYFUNCTION("""COMPUTED_VALUE"""),"Denver")</f>
        <v>Denver</v>
      </c>
      <c r="C270" s="1" t="str">
        <f ca="1">IFERROR(__xludf.DUMMYFUNCTION("""COMPUTED_VALUE"""),"SB")</f>
        <v>SB</v>
      </c>
      <c r="D270" s="2">
        <f ca="1">IFERROR(__xludf.DUMMYFUNCTION("""COMPUTED_VALUE"""),44762)</f>
        <v>44762</v>
      </c>
      <c r="E270" s="1">
        <f ca="1">IFERROR(__xludf.DUMMYFUNCTION("""COMPUTED_VALUE"""),-9.06)</f>
        <v>-9.06</v>
      </c>
      <c r="F270" s="1">
        <f ca="1">IFERROR(__xludf.DUMMYFUNCTION("""COMPUTED_VALUE"""),99)</f>
        <v>99</v>
      </c>
      <c r="G270" s="1">
        <f ca="1">IFERROR(__xludf.DUMMYFUNCTION("""COMPUTED_VALUE"""),231)</f>
        <v>231</v>
      </c>
      <c r="H270" s="1">
        <f ca="1">IFERROR(__xludf.DUMMYFUNCTION("""COMPUTED_VALUE"""),108.1)</f>
        <v>108.1</v>
      </c>
      <c r="I270" s="1">
        <f ca="1">IFERROR(__xludf.DUMMYFUNCTION("""COMPUTED_VALUE"""),257)</f>
        <v>257</v>
      </c>
      <c r="J270" s="1">
        <f ca="1">IFERROR(__xludf.DUMMYFUNCTION("""COMPUTED_VALUE"""),66)</f>
        <v>66</v>
      </c>
      <c r="K270" s="1">
        <f ca="1">IFERROR(__xludf.DUMMYFUNCTION("""COMPUTED_VALUE"""),240)</f>
        <v>240</v>
      </c>
      <c r="L270" s="1">
        <f ca="1">IFERROR(__xludf.DUMMYFUNCTION("""COMPUTED_VALUE"""),-0.085)</f>
        <v>-8.5000000000000006E-2</v>
      </c>
      <c r="M270" s="1">
        <f ca="1">IFERROR(__xludf.DUMMYFUNCTION("""COMPUTED_VALUE"""),306)</f>
        <v>306</v>
      </c>
      <c r="N270" s="1">
        <f ca="1">IFERROR(__xludf.DUMMYFUNCTION("""COMPUTED_VALUE"""),-1.06)</f>
        <v>-1.06</v>
      </c>
      <c r="O270" s="1">
        <f ca="1">IFERROR(__xludf.DUMMYFUNCTION("""COMPUTED_VALUE"""),184)</f>
        <v>184</v>
      </c>
      <c r="P270" s="1">
        <f ca="1">IFERROR(__xludf.DUMMYFUNCTION("""COMPUTED_VALUE"""),102)</f>
        <v>102</v>
      </c>
      <c r="Q270" s="1">
        <f ca="1">IFERROR(__xludf.DUMMYFUNCTION("""COMPUTED_VALUE"""),210)</f>
        <v>210</v>
      </c>
      <c r="R270" s="1">
        <f ca="1">IFERROR(__xludf.DUMMYFUNCTION("""COMPUTED_VALUE"""),103.1)</f>
        <v>103.1</v>
      </c>
      <c r="S270" s="1">
        <f ca="1">IFERROR(__xludf.DUMMYFUNCTION("""COMPUTED_VALUE"""),151)</f>
        <v>151</v>
      </c>
      <c r="T270" s="1">
        <f ca="1">IFERROR(__xludf.DUMMYFUNCTION("""COMPUTED_VALUE"""),-4.22)</f>
        <v>-4.22</v>
      </c>
      <c r="U270" s="1">
        <f ca="1">IFERROR(__xludf.DUMMYFUNCTION("""COMPUTED_VALUE"""),259)</f>
        <v>259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IFERROR(__xludf.DUMMYFUNCTION("""COMPUTED_VALUE"""),"Canisius")</f>
        <v>Canisius</v>
      </c>
      <c r="C271" s="1" t="str">
        <f ca="1">IFERROR(__xludf.DUMMYFUNCTION("""COMPUTED_VALUE"""),"MAAC")</f>
        <v>MAAC</v>
      </c>
      <c r="D271" s="2">
        <f ca="1">IFERROR(__xludf.DUMMYFUNCTION("""COMPUTED_VALUE"""),44854)</f>
        <v>44854</v>
      </c>
      <c r="E271" s="1">
        <f ca="1">IFERROR(__xludf.DUMMYFUNCTION("""COMPUTED_VALUE"""),-9.09)</f>
        <v>-9.09</v>
      </c>
      <c r="F271" s="1">
        <f ca="1">IFERROR(__xludf.DUMMYFUNCTION("""COMPUTED_VALUE"""),96.5)</f>
        <v>96.5</v>
      </c>
      <c r="G271" s="1">
        <f ca="1">IFERROR(__xludf.DUMMYFUNCTION("""COMPUTED_VALUE"""),270)</f>
        <v>270</v>
      </c>
      <c r="H271" s="1">
        <f ca="1">IFERROR(__xludf.DUMMYFUNCTION("""COMPUTED_VALUE"""),105.6)</f>
        <v>105.6</v>
      </c>
      <c r="I271" s="1">
        <f ca="1">IFERROR(__xludf.DUMMYFUNCTION("""COMPUTED_VALUE"""),217)</f>
        <v>217</v>
      </c>
      <c r="J271" s="1">
        <f ca="1">IFERROR(__xludf.DUMMYFUNCTION("""COMPUTED_VALUE"""),66.2)</f>
        <v>66.2</v>
      </c>
      <c r="K271" s="1">
        <f ca="1">IFERROR(__xludf.DUMMYFUNCTION("""COMPUTED_VALUE"""),236)</f>
        <v>236</v>
      </c>
      <c r="L271" s="1">
        <f ca="1">IFERROR(__xludf.DUMMYFUNCTION("""COMPUTED_VALUE"""),-0.058)</f>
        <v>-5.8000000000000003E-2</v>
      </c>
      <c r="M271" s="1">
        <f ca="1">IFERROR(__xludf.DUMMYFUNCTION("""COMPUTED_VALUE"""),283)</f>
        <v>283</v>
      </c>
      <c r="N271" s="1">
        <f ca="1">IFERROR(__xludf.DUMMYFUNCTION("""COMPUTED_VALUE"""),-4.76)</f>
        <v>-4.76</v>
      </c>
      <c r="O271" s="1">
        <f ca="1">IFERROR(__xludf.DUMMYFUNCTION("""COMPUTED_VALUE"""),245)</f>
        <v>245</v>
      </c>
      <c r="P271" s="1">
        <f ca="1">IFERROR(__xludf.DUMMYFUNCTION("""COMPUTED_VALUE"""),99.6)</f>
        <v>99.6</v>
      </c>
      <c r="Q271" s="1">
        <f ca="1">IFERROR(__xludf.DUMMYFUNCTION("""COMPUTED_VALUE"""),254)</f>
        <v>254</v>
      </c>
      <c r="R271" s="1">
        <f ca="1">IFERROR(__xludf.DUMMYFUNCTION("""COMPUTED_VALUE"""),104.4)</f>
        <v>104.4</v>
      </c>
      <c r="S271" s="1">
        <f ca="1">IFERROR(__xludf.DUMMYFUNCTION("""COMPUTED_VALUE"""),205)</f>
        <v>205</v>
      </c>
      <c r="T271" s="1">
        <f ca="1">IFERROR(__xludf.DUMMYFUNCTION("""COMPUTED_VALUE"""),-1.46)</f>
        <v>-1.46</v>
      </c>
      <c r="U271" s="1">
        <f ca="1">IFERROR(__xludf.DUMMYFUNCTION("""COMPUTED_VALUE"""),203)</f>
        <v>203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IFERROR(__xludf.DUMMYFUNCTION("""COMPUTED_VALUE"""),"Portland")</f>
        <v>Portland</v>
      </c>
      <c r="C272" s="1" t="str">
        <f ca="1">IFERROR(__xludf.DUMMYFUNCTION("""COMPUTED_VALUE"""),"WCC")</f>
        <v>WCC</v>
      </c>
      <c r="D272" s="2">
        <f ca="1">IFERROR(__xludf.DUMMYFUNCTION("""COMPUTED_VALUE"""),44736)</f>
        <v>44736</v>
      </c>
      <c r="E272" s="1">
        <f ca="1">IFERROR(__xludf.DUMMYFUNCTION("""COMPUTED_VALUE"""),-9.16)</f>
        <v>-9.16</v>
      </c>
      <c r="F272" s="1">
        <f ca="1">IFERROR(__xludf.DUMMYFUNCTION("""COMPUTED_VALUE"""),97.3)</f>
        <v>97.3</v>
      </c>
      <c r="G272" s="1">
        <f ca="1">IFERROR(__xludf.DUMMYFUNCTION("""COMPUTED_VALUE"""),259)</f>
        <v>259</v>
      </c>
      <c r="H272" s="1">
        <f ca="1">IFERROR(__xludf.DUMMYFUNCTION("""COMPUTED_VALUE"""),106.4)</f>
        <v>106.4</v>
      </c>
      <c r="I272" s="1">
        <f ca="1">IFERROR(__xludf.DUMMYFUNCTION("""COMPUTED_VALUE"""),232)</f>
        <v>232</v>
      </c>
      <c r="J272" s="1">
        <f ca="1">IFERROR(__xludf.DUMMYFUNCTION("""COMPUTED_VALUE"""),73.1)</f>
        <v>73.099999999999994</v>
      </c>
      <c r="K272" s="1">
        <f ca="1">IFERROR(__xludf.DUMMYFUNCTION("""COMPUTED_VALUE"""),22)</f>
        <v>22</v>
      </c>
      <c r="L272" s="1">
        <f ca="1">IFERROR(__xludf.DUMMYFUNCTION("""COMPUTED_VALUE"""),-0.027)</f>
        <v>-2.7E-2</v>
      </c>
      <c r="M272" s="1">
        <f ca="1">IFERROR(__xludf.DUMMYFUNCTION("""COMPUTED_VALUE"""),228)</f>
        <v>228</v>
      </c>
      <c r="N272" s="1" t="str">
        <f ca="1">IFERROR(__xludf.DUMMYFUNCTION("""COMPUTED_VALUE"""),"+0.26")</f>
        <v>+0.26</v>
      </c>
      <c r="O272" s="1">
        <f ca="1">IFERROR(__xludf.DUMMYFUNCTION("""COMPUTED_VALUE"""),149)</f>
        <v>149</v>
      </c>
      <c r="P272" s="1">
        <f ca="1">IFERROR(__xludf.DUMMYFUNCTION("""COMPUTED_VALUE"""),103.3)</f>
        <v>103.3</v>
      </c>
      <c r="Q272" s="1">
        <f ca="1">IFERROR(__xludf.DUMMYFUNCTION("""COMPUTED_VALUE"""),167)</f>
        <v>167</v>
      </c>
      <c r="R272" s="1">
        <f ca="1">IFERROR(__xludf.DUMMYFUNCTION("""COMPUTED_VALUE"""),103)</f>
        <v>103</v>
      </c>
      <c r="S272" s="1">
        <f ca="1">IFERROR(__xludf.DUMMYFUNCTION("""COMPUTED_VALUE"""),145)</f>
        <v>145</v>
      </c>
      <c r="T272" s="1">
        <f ca="1">IFERROR(__xludf.DUMMYFUNCTION("""COMPUTED_VALUE"""),-1.86)</f>
        <v>-1.86</v>
      </c>
      <c r="U272" s="1">
        <f ca="1">IFERROR(__xludf.DUMMYFUNCTION("""COMPUTED_VALUE"""),212)</f>
        <v>212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IFERROR(__xludf.DUMMYFUNCTION("""COMPUTED_VALUE"""),"Quinnipiac")</f>
        <v>Quinnipiac</v>
      </c>
      <c r="C273" s="1" t="str">
        <f ca="1">IFERROR(__xludf.DUMMYFUNCTION("""COMPUTED_VALUE"""),"NEC")</f>
        <v>NEC</v>
      </c>
      <c r="D273" s="1" t="str">
        <f ca="1">IFERROR(__xludf.DUMMYFUNCTION("""COMPUTED_VALUE"""),"14-16")</f>
        <v>14-16</v>
      </c>
      <c r="E273" s="1">
        <f ca="1">IFERROR(__xludf.DUMMYFUNCTION("""COMPUTED_VALUE"""),-9.27)</f>
        <v>-9.27</v>
      </c>
      <c r="F273" s="1">
        <f ca="1">IFERROR(__xludf.DUMMYFUNCTION("""COMPUTED_VALUE"""),100.8)</f>
        <v>100.8</v>
      </c>
      <c r="G273" s="1">
        <f ca="1">IFERROR(__xludf.DUMMYFUNCTION("""COMPUTED_VALUE"""),200)</f>
        <v>200</v>
      </c>
      <c r="H273" s="1">
        <f ca="1">IFERROR(__xludf.DUMMYFUNCTION("""COMPUTED_VALUE"""),110.1)</f>
        <v>110.1</v>
      </c>
      <c r="I273" s="1">
        <f ca="1">IFERROR(__xludf.DUMMYFUNCTION("""COMPUTED_VALUE"""),287)</f>
        <v>287</v>
      </c>
      <c r="J273" s="1">
        <f ca="1">IFERROR(__xludf.DUMMYFUNCTION("""COMPUTED_VALUE"""),74.5)</f>
        <v>74.5</v>
      </c>
      <c r="K273" s="1">
        <f ca="1">IFERROR(__xludf.DUMMYFUNCTION("""COMPUTED_VALUE"""),7)</f>
        <v>7</v>
      </c>
      <c r="L273" s="1">
        <f ca="1">IFERROR(__xludf.DUMMYFUNCTION("""COMPUTED_VALUE"""),-0.045)</f>
        <v>-4.4999999999999998E-2</v>
      </c>
      <c r="M273" s="1">
        <f ca="1">IFERROR(__xludf.DUMMYFUNCTION("""COMPUTED_VALUE"""),265)</f>
        <v>265</v>
      </c>
      <c r="N273" s="1">
        <f ca="1">IFERROR(__xludf.DUMMYFUNCTION("""COMPUTED_VALUE"""),-11.13)</f>
        <v>-11.13</v>
      </c>
      <c r="O273" s="1">
        <f ca="1">IFERROR(__xludf.DUMMYFUNCTION("""COMPUTED_VALUE"""),314)</f>
        <v>314</v>
      </c>
      <c r="P273" s="1">
        <f ca="1">IFERROR(__xludf.DUMMYFUNCTION("""COMPUTED_VALUE"""),96.9)</f>
        <v>96.9</v>
      </c>
      <c r="Q273" s="1">
        <f ca="1">IFERROR(__xludf.DUMMYFUNCTION("""COMPUTED_VALUE"""),314)</f>
        <v>314</v>
      </c>
      <c r="R273" s="1">
        <f ca="1">IFERROR(__xludf.DUMMYFUNCTION("""COMPUTED_VALUE"""),108.1)</f>
        <v>108.1</v>
      </c>
      <c r="S273" s="1">
        <f ca="1">IFERROR(__xludf.DUMMYFUNCTION("""COMPUTED_VALUE"""),308)</f>
        <v>308</v>
      </c>
      <c r="T273" s="1">
        <f ca="1">IFERROR(__xludf.DUMMYFUNCTION("""COMPUTED_VALUE"""),-5.06)</f>
        <v>-5.0599999999999996</v>
      </c>
      <c r="U273" s="1">
        <f ca="1">IFERROR(__xludf.DUMMYFUNCTION("""COMPUTED_VALUE"""),274)</f>
        <v>274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IFERROR(__xludf.DUMMYFUNCTION("""COMPUTED_VALUE"""),"Western Illinois")</f>
        <v>Western Illinois</v>
      </c>
      <c r="C274" s="1" t="str">
        <f ca="1">IFERROR(__xludf.DUMMYFUNCTION("""COMPUTED_VALUE"""),"MCon")</f>
        <v>MCon</v>
      </c>
      <c r="D274" s="2">
        <f ca="1">IFERROR(__xludf.DUMMYFUNCTION("""COMPUTED_VALUE"""),44850)</f>
        <v>44850</v>
      </c>
      <c r="E274" s="1">
        <f ca="1">IFERROR(__xludf.DUMMYFUNCTION("""COMPUTED_VALUE"""),-9.31)</f>
        <v>-9.31</v>
      </c>
      <c r="F274" s="1">
        <f ca="1">IFERROR(__xludf.DUMMYFUNCTION("""COMPUTED_VALUE"""),102.5)</f>
        <v>102.5</v>
      </c>
      <c r="G274" s="1">
        <f ca="1">IFERROR(__xludf.DUMMYFUNCTION("""COMPUTED_VALUE"""),174)</f>
        <v>174</v>
      </c>
      <c r="H274" s="1">
        <f ca="1">IFERROR(__xludf.DUMMYFUNCTION("""COMPUTED_VALUE"""),111.8)</f>
        <v>111.8</v>
      </c>
      <c r="I274" s="1">
        <f ca="1">IFERROR(__xludf.DUMMYFUNCTION("""COMPUTED_VALUE"""),302)</f>
        <v>302</v>
      </c>
      <c r="J274" s="1">
        <f ca="1">IFERROR(__xludf.DUMMYFUNCTION("""COMPUTED_VALUE"""),68.7)</f>
        <v>68.7</v>
      </c>
      <c r="K274" s="1">
        <f ca="1">IFERROR(__xludf.DUMMYFUNCTION("""COMPUTED_VALUE"""),146)</f>
        <v>146</v>
      </c>
      <c r="L274" s="1" t="str">
        <f ca="1">IFERROR(__xludf.DUMMYFUNCTION("""COMPUTED_VALUE"""),"+.015")</f>
        <v>+.015</v>
      </c>
      <c r="M274" s="1">
        <f ca="1">IFERROR(__xludf.DUMMYFUNCTION("""COMPUTED_VALUE"""),128)</f>
        <v>128</v>
      </c>
      <c r="N274" s="1">
        <f ca="1">IFERROR(__xludf.DUMMYFUNCTION("""COMPUTED_VALUE"""),-4.25)</f>
        <v>-4.25</v>
      </c>
      <c r="O274" s="1">
        <f ca="1">IFERROR(__xludf.DUMMYFUNCTION("""COMPUTED_VALUE"""),239)</f>
        <v>239</v>
      </c>
      <c r="P274" s="1">
        <f ca="1">IFERROR(__xludf.DUMMYFUNCTION("""COMPUTED_VALUE"""),101.7)</f>
        <v>101.7</v>
      </c>
      <c r="Q274" s="1">
        <f ca="1">IFERROR(__xludf.DUMMYFUNCTION("""COMPUTED_VALUE"""),219)</f>
        <v>219</v>
      </c>
      <c r="R274" s="1">
        <f ca="1">IFERROR(__xludf.DUMMYFUNCTION("""COMPUTED_VALUE"""),106)</f>
        <v>106</v>
      </c>
      <c r="S274" s="1">
        <f ca="1">IFERROR(__xludf.DUMMYFUNCTION("""COMPUTED_VALUE"""),264)</f>
        <v>264</v>
      </c>
      <c r="T274" s="1">
        <f ca="1">IFERROR(__xludf.DUMMYFUNCTION("""COMPUTED_VALUE"""),-8.54)</f>
        <v>-8.5399999999999991</v>
      </c>
      <c r="U274" s="1">
        <f ca="1">IFERROR(__xludf.DUMMYFUNCTION("""COMPUTED_VALUE"""),311)</f>
        <v>311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IFERROR(__xludf.DUMMYFUNCTION("""COMPUTED_VALUE"""),"Stephen F. Austin")</f>
        <v>Stephen F. Austin</v>
      </c>
      <c r="C275" s="1" t="str">
        <f ca="1">IFERROR(__xludf.DUMMYFUNCTION("""COMPUTED_VALUE"""),"Slnd")</f>
        <v>Slnd</v>
      </c>
      <c r="D275" s="2">
        <f ca="1">IFERROR(__xludf.DUMMYFUNCTION("""COMPUTED_VALUE"""),44910)</f>
        <v>44910</v>
      </c>
      <c r="E275" s="1">
        <f ca="1">IFERROR(__xludf.DUMMYFUNCTION("""COMPUTED_VALUE"""),-9.4)</f>
        <v>-9.4</v>
      </c>
      <c r="F275" s="1">
        <f ca="1">IFERROR(__xludf.DUMMYFUNCTION("""COMPUTED_VALUE"""),93.9)</f>
        <v>93.9</v>
      </c>
      <c r="G275" s="1">
        <f ca="1">IFERROR(__xludf.DUMMYFUNCTION("""COMPUTED_VALUE"""),293)</f>
        <v>293</v>
      </c>
      <c r="H275" s="1">
        <f ca="1">IFERROR(__xludf.DUMMYFUNCTION("""COMPUTED_VALUE"""),103.3)</f>
        <v>103.3</v>
      </c>
      <c r="I275" s="1">
        <f ca="1">IFERROR(__xludf.DUMMYFUNCTION("""COMPUTED_VALUE"""),170)</f>
        <v>170</v>
      </c>
      <c r="J275" s="1">
        <f ca="1">IFERROR(__xludf.DUMMYFUNCTION("""COMPUTED_VALUE"""),63.1)</f>
        <v>63.1</v>
      </c>
      <c r="K275" s="1">
        <f ca="1">IFERROR(__xludf.DUMMYFUNCTION("""COMPUTED_VALUE"""),303)</f>
        <v>303</v>
      </c>
      <c r="L275" s="1" t="str">
        <f ca="1">IFERROR(__xludf.DUMMYFUNCTION("""COMPUTED_VALUE"""),"+.015")</f>
        <v>+.015</v>
      </c>
      <c r="M275" s="1">
        <f ca="1">IFERROR(__xludf.DUMMYFUNCTION("""COMPUTED_VALUE"""),125)</f>
        <v>125</v>
      </c>
      <c r="N275" s="1">
        <f ca="1">IFERROR(__xludf.DUMMYFUNCTION("""COMPUTED_VALUE"""),-6.55)</f>
        <v>-6.55</v>
      </c>
      <c r="O275" s="1">
        <f ca="1">IFERROR(__xludf.DUMMYFUNCTION("""COMPUTED_VALUE"""),266)</f>
        <v>266</v>
      </c>
      <c r="P275" s="1">
        <f ca="1">IFERROR(__xludf.DUMMYFUNCTION("""COMPUTED_VALUE"""),99.1)</f>
        <v>99.1</v>
      </c>
      <c r="Q275" s="1">
        <f ca="1">IFERROR(__xludf.DUMMYFUNCTION("""COMPUTED_VALUE"""),271)</f>
        <v>271</v>
      </c>
      <c r="R275" s="1">
        <f ca="1">IFERROR(__xludf.DUMMYFUNCTION("""COMPUTED_VALUE"""),105.7)</f>
        <v>105.7</v>
      </c>
      <c r="S275" s="1">
        <f ca="1">IFERROR(__xludf.DUMMYFUNCTION("""COMPUTED_VALUE"""),254)</f>
        <v>254</v>
      </c>
      <c r="T275" s="1">
        <f ca="1">IFERROR(__xludf.DUMMYFUNCTION("""COMPUTED_VALUE"""),-3.11)</f>
        <v>-3.11</v>
      </c>
      <c r="U275" s="1">
        <f ca="1">IFERROR(__xludf.DUMMYFUNCTION("""COMPUTED_VALUE"""),237)</f>
        <v>237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IFERROR(__xludf.DUMMYFUNCTION("""COMPUTED_VALUE"""),"Alabama A&amp;M")</f>
        <v>Alabama A&amp;M</v>
      </c>
      <c r="C276" s="1" t="str">
        <f ca="1">IFERROR(__xludf.DUMMYFUNCTION("""COMPUTED_VALUE"""),"SWAC")</f>
        <v>SWAC</v>
      </c>
      <c r="D276" s="1" t="str">
        <f ca="1">IFERROR(__xludf.DUMMYFUNCTION("""COMPUTED_VALUE"""),"17-10")</f>
        <v>17-10</v>
      </c>
      <c r="E276" s="1">
        <f ca="1">IFERROR(__xludf.DUMMYFUNCTION("""COMPUTED_VALUE"""),-9.53)</f>
        <v>-9.5299999999999994</v>
      </c>
      <c r="F276" s="1">
        <f ca="1">IFERROR(__xludf.DUMMYFUNCTION("""COMPUTED_VALUE"""),92.2)</f>
        <v>92.2</v>
      </c>
      <c r="G276" s="1">
        <f ca="1">IFERROR(__xludf.DUMMYFUNCTION("""COMPUTED_VALUE"""),304)</f>
        <v>304</v>
      </c>
      <c r="H276" s="1">
        <f ca="1">IFERROR(__xludf.DUMMYFUNCTION("""COMPUTED_VALUE"""),101.7)</f>
        <v>101.7</v>
      </c>
      <c r="I276" s="1">
        <f ca="1">IFERROR(__xludf.DUMMYFUNCTION("""COMPUTED_VALUE"""),136)</f>
        <v>136</v>
      </c>
      <c r="J276" s="1">
        <f ca="1">IFERROR(__xludf.DUMMYFUNCTION("""COMPUTED_VALUE"""),79)</f>
        <v>79</v>
      </c>
      <c r="K276" s="1">
        <f ca="1">IFERROR(__xludf.DUMMYFUNCTION("""COMPUTED_VALUE"""),1)</f>
        <v>1</v>
      </c>
      <c r="L276" s="1" t="str">
        <f ca="1">IFERROR(__xludf.DUMMYFUNCTION("""COMPUTED_VALUE"""),"+.002")</f>
        <v>+.002</v>
      </c>
      <c r="M276" s="1">
        <f ca="1">IFERROR(__xludf.DUMMYFUNCTION("""COMPUTED_VALUE"""),166)</f>
        <v>166</v>
      </c>
      <c r="N276" s="1">
        <f ca="1">IFERROR(__xludf.DUMMYFUNCTION("""COMPUTED_VALUE"""),-18.64)</f>
        <v>-18.64</v>
      </c>
      <c r="O276" s="1">
        <f ca="1">IFERROR(__xludf.DUMMYFUNCTION("""COMPUTED_VALUE"""),327)</f>
        <v>327</v>
      </c>
      <c r="P276" s="1">
        <f ca="1">IFERROR(__xludf.DUMMYFUNCTION("""COMPUTED_VALUE"""),92.6)</f>
        <v>92.6</v>
      </c>
      <c r="Q276" s="1">
        <f ca="1">IFERROR(__xludf.DUMMYFUNCTION("""COMPUTED_VALUE"""),327)</f>
        <v>327</v>
      </c>
      <c r="R276" s="1">
        <f ca="1">IFERROR(__xludf.DUMMYFUNCTION("""COMPUTED_VALUE"""),111.2)</f>
        <v>111.2</v>
      </c>
      <c r="S276" s="1">
        <f ca="1">IFERROR(__xludf.DUMMYFUNCTION("""COMPUTED_VALUE"""),327)</f>
        <v>327</v>
      </c>
      <c r="T276" s="1">
        <f ca="1">IFERROR(__xludf.DUMMYFUNCTION("""COMPUTED_VALUE"""),-15.04)</f>
        <v>-15.04</v>
      </c>
      <c r="U276" s="1">
        <f ca="1">IFERROR(__xludf.DUMMYFUNCTION("""COMPUTED_VALUE"""),326)</f>
        <v>326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IFERROR(__xludf.DUMMYFUNCTION("""COMPUTED_VALUE"""),"UNC Asheville")</f>
        <v>UNC Asheville</v>
      </c>
      <c r="C277" s="1" t="str">
        <f ca="1">IFERROR(__xludf.DUMMYFUNCTION("""COMPUTED_VALUE"""),"BSth")</f>
        <v>BSth</v>
      </c>
      <c r="D277" s="2">
        <f ca="1">IFERROR(__xludf.DUMMYFUNCTION("""COMPUTED_VALUE"""),44909)</f>
        <v>44909</v>
      </c>
      <c r="E277" s="1">
        <f ca="1">IFERROR(__xludf.DUMMYFUNCTION("""COMPUTED_VALUE"""),-9.7)</f>
        <v>-9.6999999999999993</v>
      </c>
      <c r="F277" s="1">
        <f ca="1">IFERROR(__xludf.DUMMYFUNCTION("""COMPUTED_VALUE"""),98.9)</f>
        <v>98.9</v>
      </c>
      <c r="G277" s="1">
        <f ca="1">IFERROR(__xludf.DUMMYFUNCTION("""COMPUTED_VALUE"""),233)</f>
        <v>233</v>
      </c>
      <c r="H277" s="1">
        <f ca="1">IFERROR(__xludf.DUMMYFUNCTION("""COMPUTED_VALUE"""),108.6)</f>
        <v>108.6</v>
      </c>
      <c r="I277" s="1">
        <f ca="1">IFERROR(__xludf.DUMMYFUNCTION("""COMPUTED_VALUE"""),265)</f>
        <v>265</v>
      </c>
      <c r="J277" s="1">
        <f ca="1">IFERROR(__xludf.DUMMYFUNCTION("""COMPUTED_VALUE"""),68.5)</f>
        <v>68.5</v>
      </c>
      <c r="K277" s="1">
        <f ca="1">IFERROR(__xludf.DUMMYFUNCTION("""COMPUTED_VALUE"""),151)</f>
        <v>151</v>
      </c>
      <c r="L277" s="1" t="str">
        <f ca="1">IFERROR(__xludf.DUMMYFUNCTION("""COMPUTED_VALUE"""),"+.051")</f>
        <v>+.051</v>
      </c>
      <c r="M277" s="1">
        <f ca="1">IFERROR(__xludf.DUMMYFUNCTION("""COMPUTED_VALUE"""),55)</f>
        <v>55</v>
      </c>
      <c r="N277" s="1">
        <f ca="1">IFERROR(__xludf.DUMMYFUNCTION("""COMPUTED_VALUE"""),-7.14)</f>
        <v>-7.14</v>
      </c>
      <c r="O277" s="1">
        <f ca="1">IFERROR(__xludf.DUMMYFUNCTION("""COMPUTED_VALUE"""),279)</f>
        <v>279</v>
      </c>
      <c r="P277" s="1">
        <f ca="1">IFERROR(__xludf.DUMMYFUNCTION("""COMPUTED_VALUE"""),98.4)</f>
        <v>98.4</v>
      </c>
      <c r="Q277" s="1">
        <f ca="1">IFERROR(__xludf.DUMMYFUNCTION("""COMPUTED_VALUE"""),281)</f>
        <v>281</v>
      </c>
      <c r="R277" s="1">
        <f ca="1">IFERROR(__xludf.DUMMYFUNCTION("""COMPUTED_VALUE"""),105.6)</f>
        <v>105.6</v>
      </c>
      <c r="S277" s="1">
        <f ca="1">IFERROR(__xludf.DUMMYFUNCTION("""COMPUTED_VALUE"""),249)</f>
        <v>249</v>
      </c>
      <c r="T277" s="1" t="str">
        <f ca="1">IFERROR(__xludf.DUMMYFUNCTION("""COMPUTED_VALUE"""),"+4.52")</f>
        <v>+4.52</v>
      </c>
      <c r="U277" s="1">
        <f ca="1">IFERROR(__xludf.DUMMYFUNCTION("""COMPUTED_VALUE"""),67)</f>
        <v>67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IFERROR(__xludf.DUMMYFUNCTION("""COMPUTED_VALUE"""),"Loyola Marymount")</f>
        <v>Loyola Marymount</v>
      </c>
      <c r="C278" s="1" t="str">
        <f ca="1">IFERROR(__xludf.DUMMYFUNCTION("""COMPUTED_VALUE"""),"WCC")</f>
        <v>WCC</v>
      </c>
      <c r="D278" s="2">
        <f ca="1">IFERROR(__xludf.DUMMYFUNCTION("""COMPUTED_VALUE"""),44793)</f>
        <v>44793</v>
      </c>
      <c r="E278" s="1">
        <f ca="1">IFERROR(__xludf.DUMMYFUNCTION("""COMPUTED_VALUE"""),-9.86)</f>
        <v>-9.86</v>
      </c>
      <c r="F278" s="1">
        <f ca="1">IFERROR(__xludf.DUMMYFUNCTION("""COMPUTED_VALUE"""),99.1)</f>
        <v>99.1</v>
      </c>
      <c r="G278" s="1">
        <f ca="1">IFERROR(__xludf.DUMMYFUNCTION("""COMPUTED_VALUE"""),230)</f>
        <v>230</v>
      </c>
      <c r="H278" s="1">
        <f ca="1">IFERROR(__xludf.DUMMYFUNCTION("""COMPUTED_VALUE"""),109)</f>
        <v>109</v>
      </c>
      <c r="I278" s="1">
        <f ca="1">IFERROR(__xludf.DUMMYFUNCTION("""COMPUTED_VALUE"""),269)</f>
        <v>269</v>
      </c>
      <c r="J278" s="1">
        <f ca="1">IFERROR(__xludf.DUMMYFUNCTION("""COMPUTED_VALUE"""),68.8)</f>
        <v>68.8</v>
      </c>
      <c r="K278" s="1">
        <f ca="1">IFERROR(__xludf.DUMMYFUNCTION("""COMPUTED_VALUE"""),142)</f>
        <v>142</v>
      </c>
      <c r="L278" s="1" t="str">
        <f ca="1">IFERROR(__xludf.DUMMYFUNCTION("""COMPUTED_VALUE"""),"+.014")</f>
        <v>+.014</v>
      </c>
      <c r="M278" s="1">
        <f ca="1">IFERROR(__xludf.DUMMYFUNCTION("""COMPUTED_VALUE"""),132)</f>
        <v>132</v>
      </c>
      <c r="N278" s="1">
        <f ca="1">IFERROR(__xludf.DUMMYFUNCTION("""COMPUTED_VALUE"""),-0.22)</f>
        <v>-0.22</v>
      </c>
      <c r="O278" s="1">
        <f ca="1">IFERROR(__xludf.DUMMYFUNCTION("""COMPUTED_VALUE"""),166)</f>
        <v>166</v>
      </c>
      <c r="P278" s="1">
        <f ca="1">IFERROR(__xludf.DUMMYFUNCTION("""COMPUTED_VALUE"""),103.4)</f>
        <v>103.4</v>
      </c>
      <c r="Q278" s="1">
        <f ca="1">IFERROR(__xludf.DUMMYFUNCTION("""COMPUTED_VALUE"""),162)</f>
        <v>162</v>
      </c>
      <c r="R278" s="1">
        <f ca="1">IFERROR(__xludf.DUMMYFUNCTION("""COMPUTED_VALUE"""),103.6)</f>
        <v>103.6</v>
      </c>
      <c r="S278" s="1">
        <f ca="1">IFERROR(__xludf.DUMMYFUNCTION("""COMPUTED_VALUE"""),182)</f>
        <v>182</v>
      </c>
      <c r="T278" s="1">
        <f ca="1">IFERROR(__xludf.DUMMYFUNCTION("""COMPUTED_VALUE"""),-3.25)</f>
        <v>-3.25</v>
      </c>
      <c r="U278" s="1">
        <f ca="1">IFERROR(__xludf.DUMMYFUNCTION("""COMPUTED_VALUE"""),242)</f>
        <v>242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IFERROR(__xludf.DUMMYFUNCTION("""COMPUTED_VALUE"""),"Evansville")</f>
        <v>Evansville</v>
      </c>
      <c r="C279" s="1" t="str">
        <f ca="1">IFERROR(__xludf.DUMMYFUNCTION("""COMPUTED_VALUE"""),"MVC")</f>
        <v>MVC</v>
      </c>
      <c r="D279" s="2">
        <f ca="1">IFERROR(__xludf.DUMMYFUNCTION("""COMPUTED_VALUE"""),44763)</f>
        <v>44763</v>
      </c>
      <c r="E279" s="1">
        <f ca="1">IFERROR(__xludf.DUMMYFUNCTION("""COMPUTED_VALUE"""),-9.89)</f>
        <v>-9.89</v>
      </c>
      <c r="F279" s="1">
        <f ca="1">IFERROR(__xludf.DUMMYFUNCTION("""COMPUTED_VALUE"""),98)</f>
        <v>98</v>
      </c>
      <c r="G279" s="1">
        <f ca="1">IFERROR(__xludf.DUMMYFUNCTION("""COMPUTED_VALUE"""),248)</f>
        <v>248</v>
      </c>
      <c r="H279" s="1">
        <f ca="1">IFERROR(__xludf.DUMMYFUNCTION("""COMPUTED_VALUE"""),107.9)</f>
        <v>107.9</v>
      </c>
      <c r="I279" s="1">
        <f ca="1">IFERROR(__xludf.DUMMYFUNCTION("""COMPUTED_VALUE"""),255)</f>
        <v>255</v>
      </c>
      <c r="J279" s="1">
        <f ca="1">IFERROR(__xludf.DUMMYFUNCTION("""COMPUTED_VALUE"""),69.2)</f>
        <v>69.2</v>
      </c>
      <c r="K279" s="1">
        <f ca="1">IFERROR(__xludf.DUMMYFUNCTION("""COMPUTED_VALUE"""),124)</f>
        <v>124</v>
      </c>
      <c r="L279" s="1" t="str">
        <f ca="1">IFERROR(__xludf.DUMMYFUNCTION("""COMPUTED_VALUE"""),"+.004")</f>
        <v>+.004</v>
      </c>
      <c r="M279" s="1">
        <f ca="1">IFERROR(__xludf.DUMMYFUNCTION("""COMPUTED_VALUE"""),161)</f>
        <v>161</v>
      </c>
      <c r="N279" s="1" t="str">
        <f ca="1">IFERROR(__xludf.DUMMYFUNCTION("""COMPUTED_VALUE"""),"+0.88")</f>
        <v>+0.88</v>
      </c>
      <c r="O279" s="1">
        <f ca="1">IFERROR(__xludf.DUMMYFUNCTION("""COMPUTED_VALUE"""),139)</f>
        <v>139</v>
      </c>
      <c r="P279" s="1">
        <f ca="1">IFERROR(__xludf.DUMMYFUNCTION("""COMPUTED_VALUE"""),105.2)</f>
        <v>105.2</v>
      </c>
      <c r="Q279" s="1">
        <f ca="1">IFERROR(__xludf.DUMMYFUNCTION("""COMPUTED_VALUE"""),103)</f>
        <v>103</v>
      </c>
      <c r="R279" s="1">
        <f ca="1">IFERROR(__xludf.DUMMYFUNCTION("""COMPUTED_VALUE"""),104.4)</f>
        <v>104.4</v>
      </c>
      <c r="S279" s="1">
        <f ca="1">IFERROR(__xludf.DUMMYFUNCTION("""COMPUTED_VALUE"""),204)</f>
        <v>204</v>
      </c>
      <c r="T279" s="1" t="str">
        <f ca="1">IFERROR(__xludf.DUMMYFUNCTION("""COMPUTED_VALUE"""),"+0.17")</f>
        <v>+0.17</v>
      </c>
      <c r="U279" s="1">
        <f ca="1">IFERROR(__xludf.DUMMYFUNCTION("""COMPUTED_VALUE"""),155)</f>
        <v>155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IFERROR(__xludf.DUMMYFUNCTION("""COMPUTED_VALUE"""),"South Carolina St.")</f>
        <v>South Carolina St.</v>
      </c>
      <c r="C280" s="1" t="str">
        <f ca="1">IFERROR(__xludf.DUMMYFUNCTION("""COMPUTED_VALUE"""),"MEAC")</f>
        <v>MEAC</v>
      </c>
      <c r="D280" s="1" t="str">
        <f ca="1">IFERROR(__xludf.DUMMYFUNCTION("""COMPUTED_VALUE"""),"14-15")</f>
        <v>14-15</v>
      </c>
      <c r="E280" s="1">
        <f ca="1">IFERROR(__xludf.DUMMYFUNCTION("""COMPUTED_VALUE"""),-10.49)</f>
        <v>-10.49</v>
      </c>
      <c r="F280" s="1">
        <f ca="1">IFERROR(__xludf.DUMMYFUNCTION("""COMPUTED_VALUE"""),96.2)</f>
        <v>96.2</v>
      </c>
      <c r="G280" s="1">
        <f ca="1">IFERROR(__xludf.DUMMYFUNCTION("""COMPUTED_VALUE"""),274)</f>
        <v>274</v>
      </c>
      <c r="H280" s="1">
        <f ca="1">IFERROR(__xludf.DUMMYFUNCTION("""COMPUTED_VALUE"""),106.7)</f>
        <v>106.7</v>
      </c>
      <c r="I280" s="1">
        <f ca="1">IFERROR(__xludf.DUMMYFUNCTION("""COMPUTED_VALUE"""),237)</f>
        <v>237</v>
      </c>
      <c r="J280" s="1">
        <f ca="1">IFERROR(__xludf.DUMMYFUNCTION("""COMPUTED_VALUE"""),68.1)</f>
        <v>68.099999999999994</v>
      </c>
      <c r="K280" s="1">
        <f ca="1">IFERROR(__xludf.DUMMYFUNCTION("""COMPUTED_VALUE"""),165)</f>
        <v>165</v>
      </c>
      <c r="L280" s="1" t="str">
        <f ca="1">IFERROR(__xludf.DUMMYFUNCTION("""COMPUTED_VALUE"""),"+.109")</f>
        <v>+.109</v>
      </c>
      <c r="M280" s="1">
        <f ca="1">IFERROR(__xludf.DUMMYFUNCTION("""COMPUTED_VALUE"""),5)</f>
        <v>5</v>
      </c>
      <c r="N280" s="1">
        <f ca="1">IFERROR(__xludf.DUMMYFUNCTION("""COMPUTED_VALUE"""),-7)</f>
        <v>-7</v>
      </c>
      <c r="O280" s="1">
        <f ca="1">IFERROR(__xludf.DUMMYFUNCTION("""COMPUTED_VALUE"""),275)</f>
        <v>275</v>
      </c>
      <c r="P280" s="1">
        <f ca="1">IFERROR(__xludf.DUMMYFUNCTION("""COMPUTED_VALUE"""),99.7)</f>
        <v>99.7</v>
      </c>
      <c r="Q280" s="1">
        <f ca="1">IFERROR(__xludf.DUMMYFUNCTION("""COMPUTED_VALUE"""),253)</f>
        <v>253</v>
      </c>
      <c r="R280" s="1">
        <f ca="1">IFERROR(__xludf.DUMMYFUNCTION("""COMPUTED_VALUE"""),106.7)</f>
        <v>106.7</v>
      </c>
      <c r="S280" s="1">
        <f ca="1">IFERROR(__xludf.DUMMYFUNCTION("""COMPUTED_VALUE"""),286)</f>
        <v>286</v>
      </c>
      <c r="T280" s="1" t="str">
        <f ca="1">IFERROR(__xludf.DUMMYFUNCTION("""COMPUTED_VALUE"""),"+6.42")</f>
        <v>+6.42</v>
      </c>
      <c r="U280" s="1">
        <f ca="1">IFERROR(__xludf.DUMMYFUNCTION("""COMPUTED_VALUE"""),37)</f>
        <v>37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IFERROR(__xludf.DUMMYFUNCTION("""COMPUTED_VALUE"""),"Idaho St.")</f>
        <v>Idaho St.</v>
      </c>
      <c r="C281" s="1" t="str">
        <f ca="1">IFERROR(__xludf.DUMMYFUNCTION("""COMPUTED_VALUE"""),"BSky")</f>
        <v>BSky</v>
      </c>
      <c r="D281" s="2">
        <f ca="1">IFERROR(__xludf.DUMMYFUNCTION("""COMPUTED_VALUE"""),44790)</f>
        <v>44790</v>
      </c>
      <c r="E281" s="1">
        <f ca="1">IFERROR(__xludf.DUMMYFUNCTION("""COMPUTED_VALUE"""),-10.74)</f>
        <v>-10.74</v>
      </c>
      <c r="F281" s="1">
        <f ca="1">IFERROR(__xludf.DUMMYFUNCTION("""COMPUTED_VALUE"""),96.6)</f>
        <v>96.6</v>
      </c>
      <c r="G281" s="1">
        <f ca="1">IFERROR(__xludf.DUMMYFUNCTION("""COMPUTED_VALUE"""),267)</f>
        <v>267</v>
      </c>
      <c r="H281" s="1">
        <f ca="1">IFERROR(__xludf.DUMMYFUNCTION("""COMPUTED_VALUE"""),107.3)</f>
        <v>107.3</v>
      </c>
      <c r="I281" s="1">
        <f ca="1">IFERROR(__xludf.DUMMYFUNCTION("""COMPUTED_VALUE"""),246)</f>
        <v>246</v>
      </c>
      <c r="J281" s="1">
        <f ca="1">IFERROR(__xludf.DUMMYFUNCTION("""COMPUTED_VALUE"""),69)</f>
        <v>69</v>
      </c>
      <c r="K281" s="1">
        <f ca="1">IFERROR(__xludf.DUMMYFUNCTION("""COMPUTED_VALUE"""),135)</f>
        <v>135</v>
      </c>
      <c r="L281" s="1" t="str">
        <f ca="1">IFERROR(__xludf.DUMMYFUNCTION("""COMPUTED_VALUE"""),"+.015")</f>
        <v>+.015</v>
      </c>
      <c r="M281" s="1">
        <f ca="1">IFERROR(__xludf.DUMMYFUNCTION("""COMPUTED_VALUE"""),129)</f>
        <v>129</v>
      </c>
      <c r="N281" s="1">
        <f ca="1">IFERROR(__xludf.DUMMYFUNCTION("""COMPUTED_VALUE"""),-4.08)</f>
        <v>-4.08</v>
      </c>
      <c r="O281" s="1">
        <f ca="1">IFERROR(__xludf.DUMMYFUNCTION("""COMPUTED_VALUE"""),236)</f>
        <v>236</v>
      </c>
      <c r="P281" s="1">
        <f ca="1">IFERROR(__xludf.DUMMYFUNCTION("""COMPUTED_VALUE"""),101.5)</f>
        <v>101.5</v>
      </c>
      <c r="Q281" s="1">
        <f ca="1">IFERROR(__xludf.DUMMYFUNCTION("""COMPUTED_VALUE"""),224)</f>
        <v>224</v>
      </c>
      <c r="R281" s="1">
        <f ca="1">IFERROR(__xludf.DUMMYFUNCTION("""COMPUTED_VALUE"""),105.6)</f>
        <v>105.6</v>
      </c>
      <c r="S281" s="1">
        <f ca="1">IFERROR(__xludf.DUMMYFUNCTION("""COMPUTED_VALUE"""),250)</f>
        <v>250</v>
      </c>
      <c r="T281" s="1">
        <f ca="1">IFERROR(__xludf.DUMMYFUNCTION("""COMPUTED_VALUE"""),-3.26)</f>
        <v>-3.26</v>
      </c>
      <c r="U281" s="1">
        <f ca="1">IFERROR(__xludf.DUMMYFUNCTION("""COMPUTED_VALUE"""),243)</f>
        <v>243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IFERROR(__xludf.DUMMYFUNCTION("""COMPUTED_VALUE"""),"Stetson")</f>
        <v>Stetson</v>
      </c>
      <c r="C282" s="1" t="str">
        <f ca="1">IFERROR(__xludf.DUMMYFUNCTION("""COMPUTED_VALUE"""),"ASun")</f>
        <v>ASun</v>
      </c>
      <c r="D282" s="2">
        <f ca="1">IFERROR(__xludf.DUMMYFUNCTION("""COMPUTED_VALUE"""),44820)</f>
        <v>44820</v>
      </c>
      <c r="E282" s="1">
        <f ca="1">IFERROR(__xludf.DUMMYFUNCTION("""COMPUTED_VALUE"""),-11.01)</f>
        <v>-11.01</v>
      </c>
      <c r="F282" s="1">
        <f ca="1">IFERROR(__xludf.DUMMYFUNCTION("""COMPUTED_VALUE"""),98.1)</f>
        <v>98.1</v>
      </c>
      <c r="G282" s="1">
        <f ca="1">IFERROR(__xludf.DUMMYFUNCTION("""COMPUTED_VALUE"""),246)</f>
        <v>246</v>
      </c>
      <c r="H282" s="1">
        <f ca="1">IFERROR(__xludf.DUMMYFUNCTION("""COMPUTED_VALUE"""),109.1)</f>
        <v>109.1</v>
      </c>
      <c r="I282" s="1">
        <f ca="1">IFERROR(__xludf.DUMMYFUNCTION("""COMPUTED_VALUE"""),271)</f>
        <v>271</v>
      </c>
      <c r="J282" s="1">
        <f ca="1">IFERROR(__xludf.DUMMYFUNCTION("""COMPUTED_VALUE"""),72.3)</f>
        <v>72.3</v>
      </c>
      <c r="K282" s="1">
        <f ca="1">IFERROR(__xludf.DUMMYFUNCTION("""COMPUTED_VALUE"""),35)</f>
        <v>35</v>
      </c>
      <c r="L282" s="1" t="str">
        <f ca="1">IFERROR(__xludf.DUMMYFUNCTION("""COMPUTED_VALUE"""),"+.055")</f>
        <v>+.055</v>
      </c>
      <c r="M282" s="1">
        <f ca="1">IFERROR(__xludf.DUMMYFUNCTION("""COMPUTED_VALUE"""),47)</f>
        <v>47</v>
      </c>
      <c r="N282" s="1">
        <f ca="1">IFERROR(__xludf.DUMMYFUNCTION("""COMPUTED_VALUE"""),-3.42)</f>
        <v>-3.42</v>
      </c>
      <c r="O282" s="1">
        <f ca="1">IFERROR(__xludf.DUMMYFUNCTION("""COMPUTED_VALUE"""),229)</f>
        <v>229</v>
      </c>
      <c r="P282" s="1">
        <f ca="1">IFERROR(__xludf.DUMMYFUNCTION("""COMPUTED_VALUE"""),102.9)</f>
        <v>102.9</v>
      </c>
      <c r="Q282" s="1">
        <f ca="1">IFERROR(__xludf.DUMMYFUNCTION("""COMPUTED_VALUE"""),185)</f>
        <v>185</v>
      </c>
      <c r="R282" s="1">
        <f ca="1">IFERROR(__xludf.DUMMYFUNCTION("""COMPUTED_VALUE"""),106.3)</f>
        <v>106.3</v>
      </c>
      <c r="S282" s="1">
        <f ca="1">IFERROR(__xludf.DUMMYFUNCTION("""COMPUTED_VALUE"""),277)</f>
        <v>277</v>
      </c>
      <c r="T282" s="1" t="str">
        <f ca="1">IFERROR(__xludf.DUMMYFUNCTION("""COMPUTED_VALUE"""),"+8.97")</f>
        <v>+8.97</v>
      </c>
      <c r="U282" s="1">
        <f ca="1">IFERROR(__xludf.DUMMYFUNCTION("""COMPUTED_VALUE"""),14)</f>
        <v>14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IFERROR(__xludf.DUMMYFUNCTION("""COMPUTED_VALUE"""),"Bucknell")</f>
        <v>Bucknell</v>
      </c>
      <c r="C283" s="1" t="str">
        <f ca="1">IFERROR(__xludf.DUMMYFUNCTION("""COMPUTED_VALUE"""),"Pat")</f>
        <v>Pat</v>
      </c>
      <c r="D283" s="1" t="str">
        <f ca="1">IFERROR(__xludf.DUMMYFUNCTION("""COMPUTED_VALUE"""),"13-16")</f>
        <v>13-16</v>
      </c>
      <c r="E283" s="1">
        <f ca="1">IFERROR(__xludf.DUMMYFUNCTION("""COMPUTED_VALUE"""),-11.27)</f>
        <v>-11.27</v>
      </c>
      <c r="F283" s="1">
        <f ca="1">IFERROR(__xludf.DUMMYFUNCTION("""COMPUTED_VALUE"""),94.5)</f>
        <v>94.5</v>
      </c>
      <c r="G283" s="1">
        <f ca="1">IFERROR(__xludf.DUMMYFUNCTION("""COMPUTED_VALUE"""),286)</f>
        <v>286</v>
      </c>
      <c r="H283" s="1">
        <f ca="1">IFERROR(__xludf.DUMMYFUNCTION("""COMPUTED_VALUE"""),105.8)</f>
        <v>105.8</v>
      </c>
      <c r="I283" s="1">
        <f ca="1">IFERROR(__xludf.DUMMYFUNCTION("""COMPUTED_VALUE"""),221)</f>
        <v>221</v>
      </c>
      <c r="J283" s="1">
        <f ca="1">IFERROR(__xludf.DUMMYFUNCTION("""COMPUTED_VALUE"""),65.5)</f>
        <v>65.5</v>
      </c>
      <c r="K283" s="1">
        <f ca="1">IFERROR(__xludf.DUMMYFUNCTION("""COMPUTED_VALUE"""),258)</f>
        <v>258</v>
      </c>
      <c r="L283" s="1" t="str">
        <f ca="1">IFERROR(__xludf.DUMMYFUNCTION("""COMPUTED_VALUE"""),"+.060")</f>
        <v>+.060</v>
      </c>
      <c r="M283" s="1">
        <f ca="1">IFERROR(__xludf.DUMMYFUNCTION("""COMPUTED_VALUE"""),39)</f>
        <v>39</v>
      </c>
      <c r="N283" s="1">
        <f ca="1">IFERROR(__xludf.DUMMYFUNCTION("""COMPUTED_VALUE"""),-7.65)</f>
        <v>-7.65</v>
      </c>
      <c r="O283" s="1">
        <f ca="1">IFERROR(__xludf.DUMMYFUNCTION("""COMPUTED_VALUE"""),281)</f>
        <v>281</v>
      </c>
      <c r="P283" s="1">
        <f ca="1">IFERROR(__xludf.DUMMYFUNCTION("""COMPUTED_VALUE"""),97.5)</f>
        <v>97.5</v>
      </c>
      <c r="Q283" s="1">
        <f ca="1">IFERROR(__xludf.DUMMYFUNCTION("""COMPUTED_VALUE"""),303)</f>
        <v>303</v>
      </c>
      <c r="R283" s="1">
        <f ca="1">IFERROR(__xludf.DUMMYFUNCTION("""COMPUTED_VALUE"""),105.2)</f>
        <v>105.2</v>
      </c>
      <c r="S283" s="1">
        <f ca="1">IFERROR(__xludf.DUMMYFUNCTION("""COMPUTED_VALUE"""),237)</f>
        <v>237</v>
      </c>
      <c r="T283" s="1">
        <f ca="1">IFERROR(__xludf.DUMMYFUNCTION("""COMPUTED_VALUE"""),-5.13)</f>
        <v>-5.13</v>
      </c>
      <c r="U283" s="1">
        <f ca="1">IFERROR(__xludf.DUMMYFUNCTION("""COMPUTED_VALUE"""),277)</f>
        <v>277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IFERROR(__xludf.DUMMYFUNCTION("""COMPUTED_VALUE"""),"Navy")</f>
        <v>Navy</v>
      </c>
      <c r="C284" s="1" t="str">
        <f ca="1">IFERROR(__xludf.DUMMYFUNCTION("""COMPUTED_VALUE"""),"Pat")</f>
        <v>Pat</v>
      </c>
      <c r="D284" s="2">
        <f ca="1">IFERROR(__xludf.DUMMYFUNCTION("""COMPUTED_VALUE"""),44824)</f>
        <v>44824</v>
      </c>
      <c r="E284" s="1">
        <f ca="1">IFERROR(__xludf.DUMMYFUNCTION("""COMPUTED_VALUE"""),-11.52)</f>
        <v>-11.52</v>
      </c>
      <c r="F284" s="1">
        <f ca="1">IFERROR(__xludf.DUMMYFUNCTION("""COMPUTED_VALUE"""),94.1)</f>
        <v>94.1</v>
      </c>
      <c r="G284" s="1">
        <f ca="1">IFERROR(__xludf.DUMMYFUNCTION("""COMPUTED_VALUE"""),291)</f>
        <v>291</v>
      </c>
      <c r="H284" s="1">
        <f ca="1">IFERROR(__xludf.DUMMYFUNCTION("""COMPUTED_VALUE"""),105.6)</f>
        <v>105.6</v>
      </c>
      <c r="I284" s="1">
        <f ca="1">IFERROR(__xludf.DUMMYFUNCTION("""COMPUTED_VALUE"""),216)</f>
        <v>216</v>
      </c>
      <c r="J284" s="1">
        <f ca="1">IFERROR(__xludf.DUMMYFUNCTION("""COMPUTED_VALUE"""),70.8)</f>
        <v>70.8</v>
      </c>
      <c r="K284" s="1">
        <f ca="1">IFERROR(__xludf.DUMMYFUNCTION("""COMPUTED_VALUE"""),64)</f>
        <v>64</v>
      </c>
      <c r="L284" s="1">
        <f ca="1">IFERROR(__xludf.DUMMYFUNCTION("""COMPUTED_VALUE"""),-0.089)</f>
        <v>-8.8999999999999996E-2</v>
      </c>
      <c r="M284" s="1">
        <f ca="1">IFERROR(__xludf.DUMMYFUNCTION("""COMPUTED_VALUE"""),311)</f>
        <v>311</v>
      </c>
      <c r="N284" s="1">
        <f ca="1">IFERROR(__xludf.DUMMYFUNCTION("""COMPUTED_VALUE"""),-6.3)</f>
        <v>-6.3</v>
      </c>
      <c r="O284" s="1">
        <f ca="1">IFERROR(__xludf.DUMMYFUNCTION("""COMPUTED_VALUE"""),262)</f>
        <v>262</v>
      </c>
      <c r="P284" s="1">
        <f ca="1">IFERROR(__xludf.DUMMYFUNCTION("""COMPUTED_VALUE"""),99.9)</f>
        <v>99.9</v>
      </c>
      <c r="Q284" s="1">
        <f ca="1">IFERROR(__xludf.DUMMYFUNCTION("""COMPUTED_VALUE"""),249)</f>
        <v>249</v>
      </c>
      <c r="R284" s="1">
        <f ca="1">IFERROR(__xludf.DUMMYFUNCTION("""COMPUTED_VALUE"""),106.2)</f>
        <v>106.2</v>
      </c>
      <c r="S284" s="1">
        <f ca="1">IFERROR(__xludf.DUMMYFUNCTION("""COMPUTED_VALUE"""),272)</f>
        <v>272</v>
      </c>
      <c r="T284" s="1">
        <f ca="1">IFERROR(__xludf.DUMMYFUNCTION("""COMPUTED_VALUE"""),-3.27)</f>
        <v>-3.27</v>
      </c>
      <c r="U284" s="1">
        <f ca="1">IFERROR(__xludf.DUMMYFUNCTION("""COMPUTED_VALUE"""),244)</f>
        <v>244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IFERROR(__xludf.DUMMYFUNCTION("""COMPUTED_VALUE"""),"North Carolina A&amp;T")</f>
        <v>North Carolina A&amp;T</v>
      </c>
      <c r="C285" s="1" t="str">
        <f ca="1">IFERROR(__xludf.DUMMYFUNCTION("""COMPUTED_VALUE"""),"MEAC")</f>
        <v>MEAC</v>
      </c>
      <c r="D285" s="2">
        <f ca="1">IFERROR(__xludf.DUMMYFUNCTION("""COMPUTED_VALUE"""),44851)</f>
        <v>44851</v>
      </c>
      <c r="E285" s="1">
        <f ca="1">IFERROR(__xludf.DUMMYFUNCTION("""COMPUTED_VALUE"""),-11.86)</f>
        <v>-11.86</v>
      </c>
      <c r="F285" s="1">
        <f ca="1">IFERROR(__xludf.DUMMYFUNCTION("""COMPUTED_VALUE"""),92.8)</f>
        <v>92.8</v>
      </c>
      <c r="G285" s="1">
        <f ca="1">IFERROR(__xludf.DUMMYFUNCTION("""COMPUTED_VALUE"""),301)</f>
        <v>301</v>
      </c>
      <c r="H285" s="1">
        <f ca="1">IFERROR(__xludf.DUMMYFUNCTION("""COMPUTED_VALUE"""),104.7)</f>
        <v>104.7</v>
      </c>
      <c r="I285" s="1">
        <f ca="1">IFERROR(__xludf.DUMMYFUNCTION("""COMPUTED_VALUE"""),204)</f>
        <v>204</v>
      </c>
      <c r="J285" s="1">
        <f ca="1">IFERROR(__xludf.DUMMYFUNCTION("""COMPUTED_VALUE"""),70.4)</f>
        <v>70.400000000000006</v>
      </c>
      <c r="K285" s="1">
        <f ca="1">IFERROR(__xludf.DUMMYFUNCTION("""COMPUTED_VALUE"""),77)</f>
        <v>77</v>
      </c>
      <c r="L285" s="1" t="str">
        <f ca="1">IFERROR(__xludf.DUMMYFUNCTION("""COMPUTED_VALUE"""),"+.024")</f>
        <v>+.024</v>
      </c>
      <c r="M285" s="1">
        <f ca="1">IFERROR(__xludf.DUMMYFUNCTION("""COMPUTED_VALUE"""),105)</f>
        <v>105</v>
      </c>
      <c r="N285" s="1">
        <f ca="1">IFERROR(__xludf.DUMMYFUNCTION("""COMPUTED_VALUE"""),-7.02)</f>
        <v>-7.02</v>
      </c>
      <c r="O285" s="1">
        <f ca="1">IFERROR(__xludf.DUMMYFUNCTION("""COMPUTED_VALUE"""),276)</f>
        <v>276</v>
      </c>
      <c r="P285" s="1">
        <f ca="1">IFERROR(__xludf.DUMMYFUNCTION("""COMPUTED_VALUE"""),99.5)</f>
        <v>99.5</v>
      </c>
      <c r="Q285" s="1">
        <f ca="1">IFERROR(__xludf.DUMMYFUNCTION("""COMPUTED_VALUE"""),262)</f>
        <v>262</v>
      </c>
      <c r="R285" s="1">
        <f ca="1">IFERROR(__xludf.DUMMYFUNCTION("""COMPUTED_VALUE"""),106.5)</f>
        <v>106.5</v>
      </c>
      <c r="S285" s="1">
        <f ca="1">IFERROR(__xludf.DUMMYFUNCTION("""COMPUTED_VALUE"""),283)</f>
        <v>283</v>
      </c>
      <c r="T285" s="1" t="str">
        <f ca="1">IFERROR(__xludf.DUMMYFUNCTION("""COMPUTED_VALUE"""),"+7.00")</f>
        <v>+7.00</v>
      </c>
      <c r="U285" s="1">
        <f ca="1">IFERROR(__xludf.DUMMYFUNCTION("""COMPUTED_VALUE"""),28)</f>
        <v>28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IFERROR(__xludf.DUMMYFUNCTION("""COMPUTED_VALUE"""),"Alabama St.")</f>
        <v>Alabama St.</v>
      </c>
      <c r="C286" s="1" t="str">
        <f ca="1">IFERROR(__xludf.DUMMYFUNCTION("""COMPUTED_VALUE"""),"SWAC")</f>
        <v>SWAC</v>
      </c>
      <c r="D286" s="1" t="str">
        <f ca="1">IFERROR(__xludf.DUMMYFUNCTION("""COMPUTED_VALUE"""),"18-12")</f>
        <v>18-12</v>
      </c>
      <c r="E286" s="1">
        <f ca="1">IFERROR(__xludf.DUMMYFUNCTION("""COMPUTED_VALUE"""),-12.62)</f>
        <v>-12.62</v>
      </c>
      <c r="F286" s="1">
        <f ca="1">IFERROR(__xludf.DUMMYFUNCTION("""COMPUTED_VALUE"""),90.1)</f>
        <v>90.1</v>
      </c>
      <c r="G286" s="1">
        <f ca="1">IFERROR(__xludf.DUMMYFUNCTION("""COMPUTED_VALUE"""),312)</f>
        <v>312</v>
      </c>
      <c r="H286" s="1">
        <f ca="1">IFERROR(__xludf.DUMMYFUNCTION("""COMPUTED_VALUE"""),102.7)</f>
        <v>102.7</v>
      </c>
      <c r="I286" s="1">
        <f ca="1">IFERROR(__xludf.DUMMYFUNCTION("""COMPUTED_VALUE"""),159)</f>
        <v>159</v>
      </c>
      <c r="J286" s="1">
        <f ca="1">IFERROR(__xludf.DUMMYFUNCTION("""COMPUTED_VALUE"""),63.1)</f>
        <v>63.1</v>
      </c>
      <c r="K286" s="1">
        <f ca="1">IFERROR(__xludf.DUMMYFUNCTION("""COMPUTED_VALUE"""),305)</f>
        <v>305</v>
      </c>
      <c r="L286" s="1" t="str">
        <f ca="1">IFERROR(__xludf.DUMMYFUNCTION("""COMPUTED_VALUE"""),"+.081")</f>
        <v>+.081</v>
      </c>
      <c r="M286" s="1">
        <f ca="1">IFERROR(__xludf.DUMMYFUNCTION("""COMPUTED_VALUE"""),14)</f>
        <v>14</v>
      </c>
      <c r="N286" s="1">
        <f ca="1">IFERROR(__xludf.DUMMYFUNCTION("""COMPUTED_VALUE"""),-14.95)</f>
        <v>-14.95</v>
      </c>
      <c r="O286" s="1">
        <f ca="1">IFERROR(__xludf.DUMMYFUNCTION("""COMPUTED_VALUE"""),326)</f>
        <v>326</v>
      </c>
      <c r="P286" s="1">
        <f ca="1">IFERROR(__xludf.DUMMYFUNCTION("""COMPUTED_VALUE"""),95.6)</f>
        <v>95.6</v>
      </c>
      <c r="Q286" s="1">
        <f ca="1">IFERROR(__xludf.DUMMYFUNCTION("""COMPUTED_VALUE"""),324)</f>
        <v>324</v>
      </c>
      <c r="R286" s="1">
        <f ca="1">IFERROR(__xludf.DUMMYFUNCTION("""COMPUTED_VALUE"""),110.6)</f>
        <v>110.6</v>
      </c>
      <c r="S286" s="1">
        <f ca="1">IFERROR(__xludf.DUMMYFUNCTION("""COMPUTED_VALUE"""),326)</f>
        <v>326</v>
      </c>
      <c r="T286" s="1">
        <f ca="1">IFERROR(__xludf.DUMMYFUNCTION("""COMPUTED_VALUE"""),-5.12)</f>
        <v>-5.12</v>
      </c>
      <c r="U286" s="1">
        <f ca="1">IFERROR(__xludf.DUMMYFUNCTION("""COMPUTED_VALUE"""),276)</f>
        <v>276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IFERROR(__xludf.DUMMYFUNCTION("""COMPUTED_VALUE"""),"Southeast Missouri St.")</f>
        <v>Southeast Missouri St.</v>
      </c>
      <c r="C287" s="1" t="str">
        <f ca="1">IFERROR(__xludf.DUMMYFUNCTION("""COMPUTED_VALUE"""),"OVC")</f>
        <v>OVC</v>
      </c>
      <c r="D287" s="2">
        <f ca="1">IFERROR(__xludf.DUMMYFUNCTION("""COMPUTED_VALUE"""),44673)</f>
        <v>44673</v>
      </c>
      <c r="E287" s="1">
        <f ca="1">IFERROR(__xludf.DUMMYFUNCTION("""COMPUTED_VALUE"""),-12.66)</f>
        <v>-12.66</v>
      </c>
      <c r="F287" s="1">
        <f ca="1">IFERROR(__xludf.DUMMYFUNCTION("""COMPUTED_VALUE"""),101.4)</f>
        <v>101.4</v>
      </c>
      <c r="G287" s="1">
        <f ca="1">IFERROR(__xludf.DUMMYFUNCTION("""COMPUTED_VALUE"""),190)</f>
        <v>190</v>
      </c>
      <c r="H287" s="1">
        <f ca="1">IFERROR(__xludf.DUMMYFUNCTION("""COMPUTED_VALUE"""),114)</f>
        <v>114</v>
      </c>
      <c r="I287" s="1">
        <f ca="1">IFERROR(__xludf.DUMMYFUNCTION("""COMPUTED_VALUE"""),312)</f>
        <v>312</v>
      </c>
      <c r="J287" s="1">
        <f ca="1">IFERROR(__xludf.DUMMYFUNCTION("""COMPUTED_VALUE"""),67.4)</f>
        <v>67.400000000000006</v>
      </c>
      <c r="K287" s="1">
        <f ca="1">IFERROR(__xludf.DUMMYFUNCTION("""COMPUTED_VALUE"""),195)</f>
        <v>195</v>
      </c>
      <c r="L287" s="1">
        <f ca="1">IFERROR(__xludf.DUMMYFUNCTION("""COMPUTED_VALUE"""),-0.117)</f>
        <v>-0.11700000000000001</v>
      </c>
      <c r="M287" s="1">
        <f ca="1">IFERROR(__xludf.DUMMYFUNCTION("""COMPUTED_VALUE"""),323)</f>
        <v>323</v>
      </c>
      <c r="N287" s="1">
        <f ca="1">IFERROR(__xludf.DUMMYFUNCTION("""COMPUTED_VALUE"""),-2.78)</f>
        <v>-2.78</v>
      </c>
      <c r="O287" s="1">
        <f ca="1">IFERROR(__xludf.DUMMYFUNCTION("""COMPUTED_VALUE"""),217)</f>
        <v>217</v>
      </c>
      <c r="P287" s="1">
        <f ca="1">IFERROR(__xludf.DUMMYFUNCTION("""COMPUTED_VALUE"""),103)</f>
        <v>103</v>
      </c>
      <c r="Q287" s="1">
        <f ca="1">IFERROR(__xludf.DUMMYFUNCTION("""COMPUTED_VALUE"""),182)</f>
        <v>182</v>
      </c>
      <c r="R287" s="1">
        <f ca="1">IFERROR(__xludf.DUMMYFUNCTION("""COMPUTED_VALUE"""),105.7)</f>
        <v>105.7</v>
      </c>
      <c r="S287" s="1">
        <f ca="1">IFERROR(__xludf.DUMMYFUNCTION("""COMPUTED_VALUE"""),256)</f>
        <v>256</v>
      </c>
      <c r="T287" s="1">
        <f ca="1">IFERROR(__xludf.DUMMYFUNCTION("""COMPUTED_VALUE"""),-0.89)</f>
        <v>-0.89</v>
      </c>
      <c r="U287" s="1">
        <f ca="1">IFERROR(__xludf.DUMMYFUNCTION("""COMPUTED_VALUE"""),184)</f>
        <v>184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IFERROR(__xludf.DUMMYFUNCTION("""COMPUTED_VALUE"""),"Hartford")</f>
        <v>Hartford</v>
      </c>
      <c r="C288" s="1" t="str">
        <f ca="1">IFERROR(__xludf.DUMMYFUNCTION("""COMPUTED_VALUE"""),"AE")</f>
        <v>AE</v>
      </c>
      <c r="D288" s="1" t="str">
        <f ca="1">IFERROR(__xludf.DUMMYFUNCTION("""COMPUTED_VALUE"""),"14-18")</f>
        <v>14-18</v>
      </c>
      <c r="E288" s="1">
        <f ca="1">IFERROR(__xludf.DUMMYFUNCTION("""COMPUTED_VALUE"""),-12.84)</f>
        <v>-12.84</v>
      </c>
      <c r="F288" s="1">
        <f ca="1">IFERROR(__xludf.DUMMYFUNCTION("""COMPUTED_VALUE"""),91.9)</f>
        <v>91.9</v>
      </c>
      <c r="G288" s="1">
        <f ca="1">IFERROR(__xludf.DUMMYFUNCTION("""COMPUTED_VALUE"""),305)</f>
        <v>305</v>
      </c>
      <c r="H288" s="1">
        <f ca="1">IFERROR(__xludf.DUMMYFUNCTION("""COMPUTED_VALUE"""),104.7)</f>
        <v>104.7</v>
      </c>
      <c r="I288" s="1">
        <f ca="1">IFERROR(__xludf.DUMMYFUNCTION("""COMPUTED_VALUE"""),206)</f>
        <v>206</v>
      </c>
      <c r="J288" s="1">
        <f ca="1">IFERROR(__xludf.DUMMYFUNCTION("""COMPUTED_VALUE"""),65.5)</f>
        <v>65.5</v>
      </c>
      <c r="K288" s="1">
        <f ca="1">IFERROR(__xludf.DUMMYFUNCTION("""COMPUTED_VALUE"""),259)</f>
        <v>259</v>
      </c>
      <c r="L288" s="1" t="str">
        <f ca="1">IFERROR(__xludf.DUMMYFUNCTION("""COMPUTED_VALUE"""),"+.050")</f>
        <v>+.050</v>
      </c>
      <c r="M288" s="1">
        <f ca="1">IFERROR(__xludf.DUMMYFUNCTION("""COMPUTED_VALUE"""),59)</f>
        <v>59</v>
      </c>
      <c r="N288" s="1">
        <f ca="1">IFERROR(__xludf.DUMMYFUNCTION("""COMPUTED_VALUE"""),-8.88)</f>
        <v>-8.8800000000000008</v>
      </c>
      <c r="O288" s="1">
        <f ca="1">IFERROR(__xludf.DUMMYFUNCTION("""COMPUTED_VALUE"""),294)</f>
        <v>294</v>
      </c>
      <c r="P288" s="1">
        <f ca="1">IFERROR(__xludf.DUMMYFUNCTION("""COMPUTED_VALUE"""),98.1)</f>
        <v>98.1</v>
      </c>
      <c r="Q288" s="1">
        <f ca="1">IFERROR(__xludf.DUMMYFUNCTION("""COMPUTED_VALUE"""),290)</f>
        <v>290</v>
      </c>
      <c r="R288" s="1">
        <f ca="1">IFERROR(__xludf.DUMMYFUNCTION("""COMPUTED_VALUE"""),106.9)</f>
        <v>106.9</v>
      </c>
      <c r="S288" s="1">
        <f ca="1">IFERROR(__xludf.DUMMYFUNCTION("""COMPUTED_VALUE"""),291)</f>
        <v>291</v>
      </c>
      <c r="T288" s="1">
        <f ca="1">IFERROR(__xludf.DUMMYFUNCTION("""COMPUTED_VALUE"""),-2.44)</f>
        <v>-2.44</v>
      </c>
      <c r="U288" s="1">
        <f ca="1">IFERROR(__xludf.DUMMYFUNCTION("""COMPUTED_VALUE"""),222)</f>
        <v>222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IFERROR(__xludf.DUMMYFUNCTION("""COMPUTED_VALUE"""),"Towson")</f>
        <v>Towson</v>
      </c>
      <c r="C289" s="1" t="str">
        <f ca="1">IFERROR(__xludf.DUMMYFUNCTION("""COMPUTED_VALUE"""),"CAA")</f>
        <v>CAA</v>
      </c>
      <c r="D289" s="2">
        <f ca="1">IFERROR(__xludf.DUMMYFUNCTION("""COMPUTED_VALUE"""),44883)</f>
        <v>44883</v>
      </c>
      <c r="E289" s="1">
        <f ca="1">IFERROR(__xludf.DUMMYFUNCTION("""COMPUTED_VALUE"""),-12.9)</f>
        <v>-12.9</v>
      </c>
      <c r="F289" s="1">
        <f ca="1">IFERROR(__xludf.DUMMYFUNCTION("""COMPUTED_VALUE"""),90.4)</f>
        <v>90.4</v>
      </c>
      <c r="G289" s="1">
        <f ca="1">IFERROR(__xludf.DUMMYFUNCTION("""COMPUTED_VALUE"""),311)</f>
        <v>311</v>
      </c>
      <c r="H289" s="1">
        <f ca="1">IFERROR(__xludf.DUMMYFUNCTION("""COMPUTED_VALUE"""),103.3)</f>
        <v>103.3</v>
      </c>
      <c r="I289" s="1">
        <f ca="1">IFERROR(__xludf.DUMMYFUNCTION("""COMPUTED_VALUE"""),172)</f>
        <v>172</v>
      </c>
      <c r="J289" s="1">
        <f ca="1">IFERROR(__xludf.DUMMYFUNCTION("""COMPUTED_VALUE"""),66.7)</f>
        <v>66.7</v>
      </c>
      <c r="K289" s="1">
        <f ca="1">IFERROR(__xludf.DUMMYFUNCTION("""COMPUTED_VALUE"""),218)</f>
        <v>218</v>
      </c>
      <c r="L289" s="1" t="str">
        <f ca="1">IFERROR(__xludf.DUMMYFUNCTION("""COMPUTED_VALUE"""),"+.113")</f>
        <v>+.113</v>
      </c>
      <c r="M289" s="1">
        <f ca="1">IFERROR(__xludf.DUMMYFUNCTION("""COMPUTED_VALUE"""),4)</f>
        <v>4</v>
      </c>
      <c r="N289" s="1">
        <f ca="1">IFERROR(__xludf.DUMMYFUNCTION("""COMPUTED_VALUE"""),-2.35)</f>
        <v>-2.35</v>
      </c>
      <c r="O289" s="1">
        <f ca="1">IFERROR(__xludf.DUMMYFUNCTION("""COMPUTED_VALUE"""),209)</f>
        <v>209</v>
      </c>
      <c r="P289" s="1">
        <f ca="1">IFERROR(__xludf.DUMMYFUNCTION("""COMPUTED_VALUE"""),100.8)</f>
        <v>100.8</v>
      </c>
      <c r="Q289" s="1">
        <f ca="1">IFERROR(__xludf.DUMMYFUNCTION("""COMPUTED_VALUE"""),234)</f>
        <v>234</v>
      </c>
      <c r="R289" s="1">
        <f ca="1">IFERROR(__xludf.DUMMYFUNCTION("""COMPUTED_VALUE"""),103.2)</f>
        <v>103.2</v>
      </c>
      <c r="S289" s="1">
        <f ca="1">IFERROR(__xludf.DUMMYFUNCTION("""COMPUTED_VALUE"""),154)</f>
        <v>154</v>
      </c>
      <c r="T289" s="1">
        <f ca="1">IFERROR(__xludf.DUMMYFUNCTION("""COMPUTED_VALUE"""),-6)</f>
        <v>-6</v>
      </c>
      <c r="U289" s="1">
        <f ca="1">IFERROR(__xludf.DUMMYFUNCTION("""COMPUTED_VALUE"""),288)</f>
        <v>288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IFERROR(__xludf.DUMMYFUNCTION("""COMPUTED_VALUE"""),"Sacramento St.")</f>
        <v>Sacramento St.</v>
      </c>
      <c r="C290" s="1" t="str">
        <f ca="1">IFERROR(__xludf.DUMMYFUNCTION("""COMPUTED_VALUE"""),"BSky")</f>
        <v>BSky</v>
      </c>
      <c r="D290" s="2">
        <f ca="1">IFERROR(__xludf.DUMMYFUNCTION("""COMPUTED_VALUE"""),44761)</f>
        <v>44761</v>
      </c>
      <c r="E290" s="1">
        <f ca="1">IFERROR(__xludf.DUMMYFUNCTION("""COMPUTED_VALUE"""),-13.03)</f>
        <v>-13.03</v>
      </c>
      <c r="F290" s="1">
        <f ca="1">IFERROR(__xludf.DUMMYFUNCTION("""COMPUTED_VALUE"""),96.6)</f>
        <v>96.6</v>
      </c>
      <c r="G290" s="1">
        <f ca="1">IFERROR(__xludf.DUMMYFUNCTION("""COMPUTED_VALUE"""),269)</f>
        <v>269</v>
      </c>
      <c r="H290" s="1">
        <f ca="1">IFERROR(__xludf.DUMMYFUNCTION("""COMPUTED_VALUE"""),109.6)</f>
        <v>109.6</v>
      </c>
      <c r="I290" s="1">
        <f ca="1">IFERROR(__xludf.DUMMYFUNCTION("""COMPUTED_VALUE"""),282)</f>
        <v>282</v>
      </c>
      <c r="J290" s="1">
        <f ca="1">IFERROR(__xludf.DUMMYFUNCTION("""COMPUTED_VALUE"""),73.3)</f>
        <v>73.3</v>
      </c>
      <c r="K290" s="1">
        <f ca="1">IFERROR(__xludf.DUMMYFUNCTION("""COMPUTED_VALUE"""),19)</f>
        <v>19</v>
      </c>
      <c r="L290" s="1">
        <f ca="1">IFERROR(__xludf.DUMMYFUNCTION("""COMPUTED_VALUE"""),-0.076)</f>
        <v>-7.5999999999999998E-2</v>
      </c>
      <c r="M290" s="1">
        <f ca="1">IFERROR(__xludf.DUMMYFUNCTION("""COMPUTED_VALUE"""),303)</f>
        <v>303</v>
      </c>
      <c r="N290" s="1">
        <f ca="1">IFERROR(__xludf.DUMMYFUNCTION("""COMPUTED_VALUE"""),-6.94)</f>
        <v>-6.94</v>
      </c>
      <c r="O290" s="1">
        <f ca="1">IFERROR(__xludf.DUMMYFUNCTION("""COMPUTED_VALUE"""),271)</f>
        <v>271</v>
      </c>
      <c r="P290" s="1">
        <f ca="1">IFERROR(__xludf.DUMMYFUNCTION("""COMPUTED_VALUE"""),99.4)</f>
        <v>99.4</v>
      </c>
      <c r="Q290" s="1">
        <f ca="1">IFERROR(__xludf.DUMMYFUNCTION("""COMPUTED_VALUE"""),264)</f>
        <v>264</v>
      </c>
      <c r="R290" s="1">
        <f ca="1">IFERROR(__xludf.DUMMYFUNCTION("""COMPUTED_VALUE"""),106.3)</f>
        <v>106.3</v>
      </c>
      <c r="S290" s="1">
        <f ca="1">IFERROR(__xludf.DUMMYFUNCTION("""COMPUTED_VALUE"""),278)</f>
        <v>278</v>
      </c>
      <c r="T290" s="1">
        <f ca="1">IFERROR(__xludf.DUMMYFUNCTION("""COMPUTED_VALUE"""),-10.2)</f>
        <v>-10.199999999999999</v>
      </c>
      <c r="U290" s="1">
        <f ca="1">IFERROR(__xludf.DUMMYFUNCTION("""COMPUTED_VALUE"""),324)</f>
        <v>324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IFERROR(__xludf.DUMMYFUNCTION("""COMPUTED_VALUE"""),"Idaho")</f>
        <v>Idaho</v>
      </c>
      <c r="C291" s="1" t="str">
        <f ca="1">IFERROR(__xludf.DUMMYFUNCTION("""COMPUTED_VALUE"""),"BW")</f>
        <v>BW</v>
      </c>
      <c r="D291" s="2">
        <f ca="1">IFERROR(__xludf.DUMMYFUNCTION("""COMPUTED_VALUE"""),44792)</f>
        <v>44792</v>
      </c>
      <c r="E291" s="1">
        <f ca="1">IFERROR(__xludf.DUMMYFUNCTION("""COMPUTED_VALUE"""),-13.4)</f>
        <v>-13.4</v>
      </c>
      <c r="F291" s="1">
        <f ca="1">IFERROR(__xludf.DUMMYFUNCTION("""COMPUTED_VALUE"""),92.3)</f>
        <v>92.3</v>
      </c>
      <c r="G291" s="1">
        <f ca="1">IFERROR(__xludf.DUMMYFUNCTION("""COMPUTED_VALUE"""),303)</f>
        <v>303</v>
      </c>
      <c r="H291" s="1">
        <f ca="1">IFERROR(__xludf.DUMMYFUNCTION("""COMPUTED_VALUE"""),105.7)</f>
        <v>105.7</v>
      </c>
      <c r="I291" s="1">
        <f ca="1">IFERROR(__xludf.DUMMYFUNCTION("""COMPUTED_VALUE"""),220)</f>
        <v>220</v>
      </c>
      <c r="J291" s="1">
        <f ca="1">IFERROR(__xludf.DUMMYFUNCTION("""COMPUTED_VALUE"""),59.3)</f>
        <v>59.3</v>
      </c>
      <c r="K291" s="1">
        <f ca="1">IFERROR(__xludf.DUMMYFUNCTION("""COMPUTED_VALUE"""),324)</f>
        <v>324</v>
      </c>
      <c r="L291" s="1" t="str">
        <f ca="1">IFERROR(__xludf.DUMMYFUNCTION("""COMPUTED_VALUE"""),"+.062")</f>
        <v>+.062</v>
      </c>
      <c r="M291" s="1">
        <f ca="1">IFERROR(__xludf.DUMMYFUNCTION("""COMPUTED_VALUE"""),32)</f>
        <v>32</v>
      </c>
      <c r="N291" s="1">
        <f ca="1">IFERROR(__xludf.DUMMYFUNCTION("""COMPUTED_VALUE"""),-1.26)</f>
        <v>-1.26</v>
      </c>
      <c r="O291" s="1">
        <f ca="1">IFERROR(__xludf.DUMMYFUNCTION("""COMPUTED_VALUE"""),188)</f>
        <v>188</v>
      </c>
      <c r="P291" s="1">
        <f ca="1">IFERROR(__xludf.DUMMYFUNCTION("""COMPUTED_VALUE"""),102.3)</f>
        <v>102.3</v>
      </c>
      <c r="Q291" s="1">
        <f ca="1">IFERROR(__xludf.DUMMYFUNCTION("""COMPUTED_VALUE"""),202)</f>
        <v>202</v>
      </c>
      <c r="R291" s="1">
        <f ca="1">IFERROR(__xludf.DUMMYFUNCTION("""COMPUTED_VALUE"""),103.6)</f>
        <v>103.6</v>
      </c>
      <c r="S291" s="1">
        <f ca="1">IFERROR(__xludf.DUMMYFUNCTION("""COMPUTED_VALUE"""),176)</f>
        <v>176</v>
      </c>
      <c r="T291" s="1">
        <f ca="1">IFERROR(__xludf.DUMMYFUNCTION("""COMPUTED_VALUE"""),-4.43)</f>
        <v>-4.43</v>
      </c>
      <c r="U291" s="1">
        <f ca="1">IFERROR(__xludf.DUMMYFUNCTION("""COMPUTED_VALUE"""),265)</f>
        <v>265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IFERROR(__xludf.DUMMYFUNCTION("""COMPUTED_VALUE"""),"Charleston Southern")</f>
        <v>Charleston Southern</v>
      </c>
      <c r="C292" s="1" t="str">
        <f ca="1">IFERROR(__xludf.DUMMYFUNCTION("""COMPUTED_VALUE"""),"BSth")</f>
        <v>BSth</v>
      </c>
      <c r="D292" s="2">
        <f ca="1">IFERROR(__xludf.DUMMYFUNCTION("""COMPUTED_VALUE"""),44851)</f>
        <v>44851</v>
      </c>
      <c r="E292" s="1">
        <f ca="1">IFERROR(__xludf.DUMMYFUNCTION("""COMPUTED_VALUE"""),-13.46)</f>
        <v>-13.46</v>
      </c>
      <c r="F292" s="1">
        <f ca="1">IFERROR(__xludf.DUMMYFUNCTION("""COMPUTED_VALUE"""),90.7)</f>
        <v>90.7</v>
      </c>
      <c r="G292" s="1">
        <f ca="1">IFERROR(__xludf.DUMMYFUNCTION("""COMPUTED_VALUE"""),310)</f>
        <v>310</v>
      </c>
      <c r="H292" s="1">
        <f ca="1">IFERROR(__xludf.DUMMYFUNCTION("""COMPUTED_VALUE"""),104.2)</f>
        <v>104.2</v>
      </c>
      <c r="I292" s="1">
        <f ca="1">IFERROR(__xludf.DUMMYFUNCTION("""COMPUTED_VALUE"""),191)</f>
        <v>191</v>
      </c>
      <c r="J292" s="1">
        <f ca="1">IFERROR(__xludf.DUMMYFUNCTION("""COMPUTED_VALUE"""),67.3)</f>
        <v>67.3</v>
      </c>
      <c r="K292" s="1">
        <f ca="1">IFERROR(__xludf.DUMMYFUNCTION("""COMPUTED_VALUE"""),199)</f>
        <v>199</v>
      </c>
      <c r="L292" s="1" t="str">
        <f ca="1">IFERROR(__xludf.DUMMYFUNCTION("""COMPUTED_VALUE"""),"+.016")</f>
        <v>+.016</v>
      </c>
      <c r="M292" s="1">
        <f ca="1">IFERROR(__xludf.DUMMYFUNCTION("""COMPUTED_VALUE"""),122)</f>
        <v>122</v>
      </c>
      <c r="N292" s="1">
        <f ca="1">IFERROR(__xludf.DUMMYFUNCTION("""COMPUTED_VALUE"""),-6.83)</f>
        <v>-6.83</v>
      </c>
      <c r="O292" s="1">
        <f ca="1">IFERROR(__xludf.DUMMYFUNCTION("""COMPUTED_VALUE"""),270)</f>
        <v>270</v>
      </c>
      <c r="P292" s="1">
        <f ca="1">IFERROR(__xludf.DUMMYFUNCTION("""COMPUTED_VALUE"""),98.6)</f>
        <v>98.6</v>
      </c>
      <c r="Q292" s="1">
        <f ca="1">IFERROR(__xludf.DUMMYFUNCTION("""COMPUTED_VALUE"""),277)</f>
        <v>277</v>
      </c>
      <c r="R292" s="1">
        <f ca="1">IFERROR(__xludf.DUMMYFUNCTION("""COMPUTED_VALUE"""),105.4)</f>
        <v>105.4</v>
      </c>
      <c r="S292" s="1">
        <f ca="1">IFERROR(__xludf.DUMMYFUNCTION("""COMPUTED_VALUE"""),244)</f>
        <v>244</v>
      </c>
      <c r="T292" s="1" t="str">
        <f ca="1">IFERROR(__xludf.DUMMYFUNCTION("""COMPUTED_VALUE"""),"+7.76")</f>
        <v>+7.76</v>
      </c>
      <c r="U292" s="1">
        <f ca="1">IFERROR(__xludf.DUMMYFUNCTION("""COMPUTED_VALUE"""),24)</f>
        <v>24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IFERROR(__xludf.DUMMYFUNCTION("""COMPUTED_VALUE"""),"Northeastern")</f>
        <v>Northeastern</v>
      </c>
      <c r="C293" s="1" t="str">
        <f ca="1">IFERROR(__xludf.DUMMYFUNCTION("""COMPUTED_VALUE"""),"AE")</f>
        <v>AE</v>
      </c>
      <c r="D293" s="2">
        <f ca="1">IFERROR(__xludf.DUMMYFUNCTION("""COMPUTED_VALUE"""),44763)</f>
        <v>44763</v>
      </c>
      <c r="E293" s="1">
        <f ca="1">IFERROR(__xludf.DUMMYFUNCTION("""COMPUTED_VALUE"""),-13.5)</f>
        <v>-13.5</v>
      </c>
      <c r="F293" s="1">
        <f ca="1">IFERROR(__xludf.DUMMYFUNCTION("""COMPUTED_VALUE"""),98.1)</f>
        <v>98.1</v>
      </c>
      <c r="G293" s="1">
        <f ca="1">IFERROR(__xludf.DUMMYFUNCTION("""COMPUTED_VALUE"""),247)</f>
        <v>247</v>
      </c>
      <c r="H293" s="1">
        <f ca="1">IFERROR(__xludf.DUMMYFUNCTION("""COMPUTED_VALUE"""),111.6)</f>
        <v>111.6</v>
      </c>
      <c r="I293" s="1">
        <f ca="1">IFERROR(__xludf.DUMMYFUNCTION("""COMPUTED_VALUE"""),298)</f>
        <v>298</v>
      </c>
      <c r="J293" s="1">
        <f ca="1">IFERROR(__xludf.DUMMYFUNCTION("""COMPUTED_VALUE"""),72.3)</f>
        <v>72.3</v>
      </c>
      <c r="K293" s="1">
        <f ca="1">IFERROR(__xludf.DUMMYFUNCTION("""COMPUTED_VALUE"""),34)</f>
        <v>34</v>
      </c>
      <c r="L293" s="1">
        <f ca="1">IFERROR(__xludf.DUMMYFUNCTION("""COMPUTED_VALUE"""),-0.129)</f>
        <v>-0.129</v>
      </c>
      <c r="M293" s="1">
        <f ca="1">IFERROR(__xludf.DUMMYFUNCTION("""COMPUTED_VALUE"""),325)</f>
        <v>325</v>
      </c>
      <c r="N293" s="1">
        <f ca="1">IFERROR(__xludf.DUMMYFUNCTION("""COMPUTED_VALUE"""),-9.17)</f>
        <v>-9.17</v>
      </c>
      <c r="O293" s="1">
        <f ca="1">IFERROR(__xludf.DUMMYFUNCTION("""COMPUTED_VALUE"""),298)</f>
        <v>298</v>
      </c>
      <c r="P293" s="1">
        <f ca="1">IFERROR(__xludf.DUMMYFUNCTION("""COMPUTED_VALUE"""),97)</f>
        <v>97</v>
      </c>
      <c r="Q293" s="1">
        <f ca="1">IFERROR(__xludf.DUMMYFUNCTION("""COMPUTED_VALUE"""),312)</f>
        <v>312</v>
      </c>
      <c r="R293" s="1">
        <f ca="1">IFERROR(__xludf.DUMMYFUNCTION("""COMPUTED_VALUE"""),106.2)</f>
        <v>106.2</v>
      </c>
      <c r="S293" s="1">
        <f ca="1">IFERROR(__xludf.DUMMYFUNCTION("""COMPUTED_VALUE"""),271)</f>
        <v>271</v>
      </c>
      <c r="T293" s="1">
        <f ca="1">IFERROR(__xludf.DUMMYFUNCTION("""COMPUTED_VALUE"""),-3.24)</f>
        <v>-3.24</v>
      </c>
      <c r="U293" s="1">
        <f ca="1">IFERROR(__xludf.DUMMYFUNCTION("""COMPUTED_VALUE"""),241)</f>
        <v>241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IFERROR(__xludf.DUMMYFUNCTION("""COMPUTED_VALUE"""),"Florida A&amp;M")</f>
        <v>Florida A&amp;M</v>
      </c>
      <c r="C294" s="1" t="str">
        <f ca="1">IFERROR(__xludf.DUMMYFUNCTION("""COMPUTED_VALUE"""),"MEAC")</f>
        <v>MEAC</v>
      </c>
      <c r="D294" s="2">
        <f ca="1">IFERROR(__xludf.DUMMYFUNCTION("""COMPUTED_VALUE"""),44823)</f>
        <v>44823</v>
      </c>
      <c r="E294" s="1">
        <f ca="1">IFERROR(__xludf.DUMMYFUNCTION("""COMPUTED_VALUE"""),-13.5)</f>
        <v>-13.5</v>
      </c>
      <c r="F294" s="1">
        <f ca="1">IFERROR(__xludf.DUMMYFUNCTION("""COMPUTED_VALUE"""),93.8)</f>
        <v>93.8</v>
      </c>
      <c r="G294" s="1">
        <f ca="1">IFERROR(__xludf.DUMMYFUNCTION("""COMPUTED_VALUE"""),294)</f>
        <v>294</v>
      </c>
      <c r="H294" s="1">
        <f ca="1">IFERROR(__xludf.DUMMYFUNCTION("""COMPUTED_VALUE"""),107.3)</f>
        <v>107.3</v>
      </c>
      <c r="I294" s="1">
        <f ca="1">IFERROR(__xludf.DUMMYFUNCTION("""COMPUTED_VALUE"""),243)</f>
        <v>243</v>
      </c>
      <c r="J294" s="1">
        <f ca="1">IFERROR(__xludf.DUMMYFUNCTION("""COMPUTED_VALUE"""),69.4)</f>
        <v>69.400000000000006</v>
      </c>
      <c r="K294" s="1">
        <f ca="1">IFERROR(__xludf.DUMMYFUNCTION("""COMPUTED_VALUE"""),112)</f>
        <v>112</v>
      </c>
      <c r="L294" s="1">
        <f ca="1">IFERROR(__xludf.DUMMYFUNCTION("""COMPUTED_VALUE"""),-0.019)</f>
        <v>-1.9E-2</v>
      </c>
      <c r="M294" s="1">
        <f ca="1">IFERROR(__xludf.DUMMYFUNCTION("""COMPUTED_VALUE"""),202)</f>
        <v>202</v>
      </c>
      <c r="N294" s="1">
        <f ca="1">IFERROR(__xludf.DUMMYFUNCTION("""COMPUTED_VALUE"""),-6.8)</f>
        <v>-6.8</v>
      </c>
      <c r="O294" s="1">
        <f ca="1">IFERROR(__xludf.DUMMYFUNCTION("""COMPUTED_VALUE"""),269)</f>
        <v>269</v>
      </c>
      <c r="P294" s="1">
        <f ca="1">IFERROR(__xludf.DUMMYFUNCTION("""COMPUTED_VALUE"""),98.6)</f>
        <v>98.6</v>
      </c>
      <c r="Q294" s="1">
        <f ca="1">IFERROR(__xludf.DUMMYFUNCTION("""COMPUTED_VALUE"""),276)</f>
        <v>276</v>
      </c>
      <c r="R294" s="1">
        <f ca="1">IFERROR(__xludf.DUMMYFUNCTION("""COMPUTED_VALUE"""),105.4)</f>
        <v>105.4</v>
      </c>
      <c r="S294" s="1">
        <f ca="1">IFERROR(__xludf.DUMMYFUNCTION("""COMPUTED_VALUE"""),243)</f>
        <v>243</v>
      </c>
      <c r="T294" s="1" t="str">
        <f ca="1">IFERROR(__xludf.DUMMYFUNCTION("""COMPUTED_VALUE"""),"+11.51")</f>
        <v>+11.51</v>
      </c>
      <c r="U294" s="1">
        <f ca="1">IFERROR(__xludf.DUMMYFUNCTION("""COMPUTED_VALUE"""),9)</f>
        <v>9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IFERROR(__xludf.DUMMYFUNCTION("""COMPUTED_VALUE"""),"Elon")</f>
        <v>Elon</v>
      </c>
      <c r="C297" s="1" t="str">
        <f ca="1">IFERROR(__xludf.DUMMYFUNCTION("""COMPUTED_VALUE"""),"BSth")</f>
        <v>BSth</v>
      </c>
      <c r="D297" s="2">
        <f ca="1">IFERROR(__xludf.DUMMYFUNCTION("""COMPUTED_VALUE"""),44881)</f>
        <v>44881</v>
      </c>
      <c r="E297" s="1">
        <f ca="1">IFERROR(__xludf.DUMMYFUNCTION("""COMPUTED_VALUE"""),-13.55)</f>
        <v>-13.55</v>
      </c>
      <c r="F297" s="1">
        <f ca="1">IFERROR(__xludf.DUMMYFUNCTION("""COMPUTED_VALUE"""),91.1)</f>
        <v>91.1</v>
      </c>
      <c r="G297" s="1">
        <f ca="1">IFERROR(__xludf.DUMMYFUNCTION("""COMPUTED_VALUE"""),309)</f>
        <v>309</v>
      </c>
      <c r="H297" s="1">
        <f ca="1">IFERROR(__xludf.DUMMYFUNCTION("""COMPUTED_VALUE"""),104.7)</f>
        <v>104.7</v>
      </c>
      <c r="I297" s="1">
        <f ca="1">IFERROR(__xludf.DUMMYFUNCTION("""COMPUTED_VALUE"""),205)</f>
        <v>205</v>
      </c>
      <c r="J297" s="1">
        <f ca="1">IFERROR(__xludf.DUMMYFUNCTION("""COMPUTED_VALUE"""),72.1)</f>
        <v>72.099999999999994</v>
      </c>
      <c r="K297" s="1">
        <f ca="1">IFERROR(__xludf.DUMMYFUNCTION("""COMPUTED_VALUE"""),40)</f>
        <v>40</v>
      </c>
      <c r="L297" s="1" t="str">
        <f ca="1">IFERROR(__xludf.DUMMYFUNCTION("""COMPUTED_VALUE"""),"+.048")</f>
        <v>+.048</v>
      </c>
      <c r="M297" s="1">
        <f ca="1">IFERROR(__xludf.DUMMYFUNCTION("""COMPUTED_VALUE"""),63)</f>
        <v>63</v>
      </c>
      <c r="N297" s="1">
        <f ca="1">IFERROR(__xludf.DUMMYFUNCTION("""COMPUTED_VALUE"""),-8.35)</f>
        <v>-8.35</v>
      </c>
      <c r="O297" s="1">
        <f ca="1">IFERROR(__xludf.DUMMYFUNCTION("""COMPUTED_VALUE"""),287)</f>
        <v>287</v>
      </c>
      <c r="P297" s="1">
        <f ca="1">IFERROR(__xludf.DUMMYFUNCTION("""COMPUTED_VALUE"""),97.8)</f>
        <v>97.8</v>
      </c>
      <c r="Q297" s="1">
        <f ca="1">IFERROR(__xludf.DUMMYFUNCTION("""COMPUTED_VALUE"""),295)</f>
        <v>295</v>
      </c>
      <c r="R297" s="1">
        <f ca="1">IFERROR(__xludf.DUMMYFUNCTION("""COMPUTED_VALUE"""),106.1)</f>
        <v>106.1</v>
      </c>
      <c r="S297" s="1">
        <f ca="1">IFERROR(__xludf.DUMMYFUNCTION("""COMPUTED_VALUE"""),268)</f>
        <v>268</v>
      </c>
      <c r="T297" s="1" t="str">
        <f ca="1">IFERROR(__xludf.DUMMYFUNCTION("""COMPUTED_VALUE"""),"+5.87")</f>
        <v>+5.87</v>
      </c>
      <c r="U297" s="1">
        <f ca="1">IFERROR(__xludf.DUMMYFUNCTION("""COMPUTED_VALUE"""),42)</f>
        <v>42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IFERROR(__xludf.DUMMYFUNCTION("""COMPUTED_VALUE"""),"Mississippi Valley St.")</f>
        <v>Mississippi Valley St.</v>
      </c>
      <c r="C298" s="1" t="str">
        <f ca="1">IFERROR(__xludf.DUMMYFUNCTION("""COMPUTED_VALUE"""),"SWAC")</f>
        <v>SWAC</v>
      </c>
      <c r="D298" s="2">
        <f ca="1">IFERROR(__xludf.DUMMYFUNCTION("""COMPUTED_VALUE"""),44881)</f>
        <v>44881</v>
      </c>
      <c r="E298" s="1">
        <f ca="1">IFERROR(__xludf.DUMMYFUNCTION("""COMPUTED_VALUE"""),-13.67)</f>
        <v>-13.67</v>
      </c>
      <c r="F298" s="1">
        <f ca="1">IFERROR(__xludf.DUMMYFUNCTION("""COMPUTED_VALUE"""),101.1)</f>
        <v>101.1</v>
      </c>
      <c r="G298" s="1">
        <f ca="1">IFERROR(__xludf.DUMMYFUNCTION("""COMPUTED_VALUE"""),195)</f>
        <v>195</v>
      </c>
      <c r="H298" s="1">
        <f ca="1">IFERROR(__xludf.DUMMYFUNCTION("""COMPUTED_VALUE"""),114.8)</f>
        <v>114.8</v>
      </c>
      <c r="I298" s="1">
        <f ca="1">IFERROR(__xludf.DUMMYFUNCTION("""COMPUTED_VALUE"""),318)</f>
        <v>318</v>
      </c>
      <c r="J298" s="1">
        <f ca="1">IFERROR(__xludf.DUMMYFUNCTION("""COMPUTED_VALUE"""),69.4)</f>
        <v>69.400000000000006</v>
      </c>
      <c r="K298" s="1">
        <f ca="1">IFERROR(__xludf.DUMMYFUNCTION("""COMPUTED_VALUE"""),116)</f>
        <v>116</v>
      </c>
      <c r="L298" s="1">
        <f ca="1">IFERROR(__xludf.DUMMYFUNCTION("""COMPUTED_VALUE"""),-0.041)</f>
        <v>-4.1000000000000002E-2</v>
      </c>
      <c r="M298" s="1">
        <f ca="1">IFERROR(__xludf.DUMMYFUNCTION("""COMPUTED_VALUE"""),254)</f>
        <v>254</v>
      </c>
      <c r="N298" s="1">
        <f ca="1">IFERROR(__xludf.DUMMYFUNCTION("""COMPUTED_VALUE"""),-12.87)</f>
        <v>-12.87</v>
      </c>
      <c r="O298" s="1">
        <f ca="1">IFERROR(__xludf.DUMMYFUNCTION("""COMPUTED_VALUE"""),322)</f>
        <v>322</v>
      </c>
      <c r="P298" s="1">
        <f ca="1">IFERROR(__xludf.DUMMYFUNCTION("""COMPUTED_VALUE"""),96.4)</f>
        <v>96.4</v>
      </c>
      <c r="Q298" s="1">
        <f ca="1">IFERROR(__xludf.DUMMYFUNCTION("""COMPUTED_VALUE"""),320)</f>
        <v>320</v>
      </c>
      <c r="R298" s="1">
        <f ca="1">IFERROR(__xludf.DUMMYFUNCTION("""COMPUTED_VALUE"""),109.2)</f>
        <v>109.2</v>
      </c>
      <c r="S298" s="1">
        <f ca="1">IFERROR(__xludf.DUMMYFUNCTION("""COMPUTED_VALUE"""),322)</f>
        <v>322</v>
      </c>
      <c r="T298" s="1" t="str">
        <f ca="1">IFERROR(__xludf.DUMMYFUNCTION("""COMPUTED_VALUE"""),"+2.60")</f>
        <v>+2.60</v>
      </c>
      <c r="U298" s="1">
        <f ca="1">IFERROR(__xludf.DUMMYFUNCTION("""COMPUTED_VALUE"""),100)</f>
        <v>100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IFERROR(__xludf.DUMMYFUNCTION("""COMPUTED_VALUE"""),"Maine")</f>
        <v>Maine</v>
      </c>
      <c r="C299" s="1" t="str">
        <f ca="1">IFERROR(__xludf.DUMMYFUNCTION("""COMPUTED_VALUE"""),"AE")</f>
        <v>AE</v>
      </c>
      <c r="D299" s="2">
        <f ca="1">IFERROR(__xludf.DUMMYFUNCTION("""COMPUTED_VALUE"""),44913)</f>
        <v>44913</v>
      </c>
      <c r="E299" s="1">
        <f ca="1">IFERROR(__xludf.DUMMYFUNCTION("""COMPUTED_VALUE"""),-13.91)</f>
        <v>-13.91</v>
      </c>
      <c r="F299" s="1">
        <f ca="1">IFERROR(__xludf.DUMMYFUNCTION("""COMPUTED_VALUE"""),94.2)</f>
        <v>94.2</v>
      </c>
      <c r="G299" s="1">
        <f ca="1">IFERROR(__xludf.DUMMYFUNCTION("""COMPUTED_VALUE"""),289)</f>
        <v>289</v>
      </c>
      <c r="H299" s="1">
        <f ca="1">IFERROR(__xludf.DUMMYFUNCTION("""COMPUTED_VALUE"""),108.1)</f>
        <v>108.1</v>
      </c>
      <c r="I299" s="1">
        <f ca="1">IFERROR(__xludf.DUMMYFUNCTION("""COMPUTED_VALUE"""),258)</f>
        <v>258</v>
      </c>
      <c r="J299" s="1">
        <f ca="1">IFERROR(__xludf.DUMMYFUNCTION("""COMPUTED_VALUE"""),63.1)</f>
        <v>63.1</v>
      </c>
      <c r="K299" s="1">
        <f ca="1">IFERROR(__xludf.DUMMYFUNCTION("""COMPUTED_VALUE"""),304)</f>
        <v>304</v>
      </c>
      <c r="L299" s="1" t="str">
        <f ca="1">IFERROR(__xludf.DUMMYFUNCTION("""COMPUTED_VALUE"""),"+.007")</f>
        <v>+.007</v>
      </c>
      <c r="M299" s="1">
        <f ca="1">IFERROR(__xludf.DUMMYFUNCTION("""COMPUTED_VALUE"""),153)</f>
        <v>153</v>
      </c>
      <c r="N299" s="1">
        <f ca="1">IFERROR(__xludf.DUMMYFUNCTION("""COMPUTED_VALUE"""),-10.39)</f>
        <v>-10.39</v>
      </c>
      <c r="O299" s="1">
        <f ca="1">IFERROR(__xludf.DUMMYFUNCTION("""COMPUTED_VALUE"""),308)</f>
        <v>308</v>
      </c>
      <c r="P299" s="1">
        <f ca="1">IFERROR(__xludf.DUMMYFUNCTION("""COMPUTED_VALUE"""),97.7)</f>
        <v>97.7</v>
      </c>
      <c r="Q299" s="1">
        <f ca="1">IFERROR(__xludf.DUMMYFUNCTION("""COMPUTED_VALUE"""),300)</f>
        <v>300</v>
      </c>
      <c r="R299" s="1">
        <f ca="1">IFERROR(__xludf.DUMMYFUNCTION("""COMPUTED_VALUE"""),108.1)</f>
        <v>108.1</v>
      </c>
      <c r="S299" s="1">
        <f ca="1">IFERROR(__xludf.DUMMYFUNCTION("""COMPUTED_VALUE"""),310)</f>
        <v>310</v>
      </c>
      <c r="T299" s="1">
        <f ca="1">IFERROR(__xludf.DUMMYFUNCTION("""COMPUTED_VALUE"""),-7.2)</f>
        <v>-7.2</v>
      </c>
      <c r="U299" s="1">
        <f ca="1">IFERROR(__xludf.DUMMYFUNCTION("""COMPUTED_VALUE"""),301)</f>
        <v>301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IFERROR(__xludf.DUMMYFUNCTION("""COMPUTED_VALUE"""),"Cal St. Fullerton")</f>
        <v>Cal St. Fullerton</v>
      </c>
      <c r="C300" s="1" t="str">
        <f ca="1">IFERROR(__xludf.DUMMYFUNCTION("""COMPUTED_VALUE"""),"BW")</f>
        <v>BW</v>
      </c>
      <c r="D300" s="2">
        <f ca="1">IFERROR(__xludf.DUMMYFUNCTION("""COMPUTED_VALUE"""),44673)</f>
        <v>44673</v>
      </c>
      <c r="E300" s="1">
        <f ca="1">IFERROR(__xludf.DUMMYFUNCTION("""COMPUTED_VALUE"""),-14.32)</f>
        <v>-14.32</v>
      </c>
      <c r="F300" s="1">
        <f ca="1">IFERROR(__xludf.DUMMYFUNCTION("""COMPUTED_VALUE"""),94.8)</f>
        <v>94.8</v>
      </c>
      <c r="G300" s="1">
        <f ca="1">IFERROR(__xludf.DUMMYFUNCTION("""COMPUTED_VALUE"""),283)</f>
        <v>283</v>
      </c>
      <c r="H300" s="1">
        <f ca="1">IFERROR(__xludf.DUMMYFUNCTION("""COMPUTED_VALUE"""),109.1)</f>
        <v>109.1</v>
      </c>
      <c r="I300" s="1">
        <f ca="1">IFERROR(__xludf.DUMMYFUNCTION("""COMPUTED_VALUE"""),273)</f>
        <v>273</v>
      </c>
      <c r="J300" s="1">
        <f ca="1">IFERROR(__xludf.DUMMYFUNCTION("""COMPUTED_VALUE"""),65.6)</f>
        <v>65.599999999999994</v>
      </c>
      <c r="K300" s="1">
        <f ca="1">IFERROR(__xludf.DUMMYFUNCTION("""COMPUTED_VALUE"""),254)</f>
        <v>254</v>
      </c>
      <c r="L300" s="1">
        <f ca="1">IFERROR(__xludf.DUMMYFUNCTION("""COMPUTED_VALUE"""),-0.056)</f>
        <v>-5.6000000000000001E-2</v>
      </c>
      <c r="M300" s="1">
        <f ca="1">IFERROR(__xludf.DUMMYFUNCTION("""COMPUTED_VALUE"""),282)</f>
        <v>282</v>
      </c>
      <c r="N300" s="1">
        <f ca="1">IFERROR(__xludf.DUMMYFUNCTION("""COMPUTED_VALUE"""),-0.45)</f>
        <v>-0.45</v>
      </c>
      <c r="O300" s="1">
        <f ca="1">IFERROR(__xludf.DUMMYFUNCTION("""COMPUTED_VALUE"""),174)</f>
        <v>174</v>
      </c>
      <c r="P300" s="1">
        <f ca="1">IFERROR(__xludf.DUMMYFUNCTION("""COMPUTED_VALUE"""),102.8)</f>
        <v>102.8</v>
      </c>
      <c r="Q300" s="1">
        <f ca="1">IFERROR(__xludf.DUMMYFUNCTION("""COMPUTED_VALUE"""),189)</f>
        <v>189</v>
      </c>
      <c r="R300" s="1">
        <f ca="1">IFERROR(__xludf.DUMMYFUNCTION("""COMPUTED_VALUE"""),103.3)</f>
        <v>103.3</v>
      </c>
      <c r="S300" s="1">
        <f ca="1">IFERROR(__xludf.DUMMYFUNCTION("""COMPUTED_VALUE"""),158)</f>
        <v>158</v>
      </c>
      <c r="T300" s="1">
        <f ca="1">IFERROR(__xludf.DUMMYFUNCTION("""COMPUTED_VALUE"""),-1.27)</f>
        <v>-1.27</v>
      </c>
      <c r="U300" s="1">
        <f ca="1">IFERROR(__xludf.DUMMYFUNCTION("""COMPUTED_VALUE"""),197)</f>
        <v>197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IFERROR(__xludf.DUMMYFUNCTION("""COMPUTED_VALUE"""),"Bethune Cookman")</f>
        <v>Bethune Cookman</v>
      </c>
      <c r="C301" s="1" t="str">
        <f ca="1">IFERROR(__xludf.DUMMYFUNCTION("""COMPUTED_VALUE"""),"MEAC")</f>
        <v>MEAC</v>
      </c>
      <c r="D301" s="2">
        <f ca="1">IFERROR(__xludf.DUMMYFUNCTION("""COMPUTED_VALUE"""),44912)</f>
        <v>44912</v>
      </c>
      <c r="E301" s="1">
        <f ca="1">IFERROR(__xludf.DUMMYFUNCTION("""COMPUTED_VALUE"""),-14.58)</f>
        <v>-14.58</v>
      </c>
      <c r="F301" s="1">
        <f ca="1">IFERROR(__xludf.DUMMYFUNCTION("""COMPUTED_VALUE"""),94.8)</f>
        <v>94.8</v>
      </c>
      <c r="G301" s="1">
        <f ca="1">IFERROR(__xludf.DUMMYFUNCTION("""COMPUTED_VALUE"""),284)</f>
        <v>284</v>
      </c>
      <c r="H301" s="1">
        <f ca="1">IFERROR(__xludf.DUMMYFUNCTION("""COMPUTED_VALUE"""),109.4)</f>
        <v>109.4</v>
      </c>
      <c r="I301" s="1">
        <f ca="1">IFERROR(__xludf.DUMMYFUNCTION("""COMPUTED_VALUE"""),279)</f>
        <v>279</v>
      </c>
      <c r="J301" s="1">
        <f ca="1">IFERROR(__xludf.DUMMYFUNCTION("""COMPUTED_VALUE"""),69.3)</f>
        <v>69.3</v>
      </c>
      <c r="K301" s="1">
        <f ca="1">IFERROR(__xludf.DUMMYFUNCTION("""COMPUTED_VALUE"""),118)</f>
        <v>118</v>
      </c>
      <c r="L301" s="1" t="str">
        <f ca="1">IFERROR(__xludf.DUMMYFUNCTION("""COMPUTED_VALUE"""),"+.038")</f>
        <v>+.038</v>
      </c>
      <c r="M301" s="1">
        <f ca="1">IFERROR(__xludf.DUMMYFUNCTION("""COMPUTED_VALUE"""),81)</f>
        <v>81</v>
      </c>
      <c r="N301" s="1">
        <f ca="1">IFERROR(__xludf.DUMMYFUNCTION("""COMPUTED_VALUE"""),-10.27)</f>
        <v>-10.27</v>
      </c>
      <c r="O301" s="1">
        <f ca="1">IFERROR(__xludf.DUMMYFUNCTION("""COMPUTED_VALUE"""),306)</f>
        <v>306</v>
      </c>
      <c r="P301" s="1">
        <f ca="1">IFERROR(__xludf.DUMMYFUNCTION("""COMPUTED_VALUE"""),96.8)</f>
        <v>96.8</v>
      </c>
      <c r="Q301" s="1">
        <f ca="1">IFERROR(__xludf.DUMMYFUNCTION("""COMPUTED_VALUE"""),316)</f>
        <v>316</v>
      </c>
      <c r="R301" s="1">
        <f ca="1">IFERROR(__xludf.DUMMYFUNCTION("""COMPUTED_VALUE"""),107.1)</f>
        <v>107.1</v>
      </c>
      <c r="S301" s="1">
        <f ca="1">IFERROR(__xludf.DUMMYFUNCTION("""COMPUTED_VALUE"""),294)</f>
        <v>294</v>
      </c>
      <c r="T301" s="1">
        <f ca="1">IFERROR(__xludf.DUMMYFUNCTION("""COMPUTED_VALUE"""),-1.44)</f>
        <v>-1.44</v>
      </c>
      <c r="U301" s="1">
        <f ca="1">IFERROR(__xludf.DUMMYFUNCTION("""COMPUTED_VALUE"""),201)</f>
        <v>201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IFERROR(__xludf.DUMMYFUNCTION("""COMPUTED_VALUE"""),"Youngstown St.")</f>
        <v>Youngstown St.</v>
      </c>
      <c r="C302" s="1" t="str">
        <f ca="1">IFERROR(__xludf.DUMMYFUNCTION("""COMPUTED_VALUE"""),"Horz")</f>
        <v>Horz</v>
      </c>
      <c r="D302" s="2">
        <f ca="1">IFERROR(__xludf.DUMMYFUNCTION("""COMPUTED_VALUE"""),44674)</f>
        <v>44674</v>
      </c>
      <c r="E302" s="1">
        <f ca="1">IFERROR(__xludf.DUMMYFUNCTION("""COMPUTED_VALUE"""),-14.67)</f>
        <v>-14.67</v>
      </c>
      <c r="F302" s="1">
        <f ca="1">IFERROR(__xludf.DUMMYFUNCTION("""COMPUTED_VALUE"""),95.7)</f>
        <v>95.7</v>
      </c>
      <c r="G302" s="1">
        <f ca="1">IFERROR(__xludf.DUMMYFUNCTION("""COMPUTED_VALUE"""),279)</f>
        <v>279</v>
      </c>
      <c r="H302" s="1">
        <f ca="1">IFERROR(__xludf.DUMMYFUNCTION("""COMPUTED_VALUE"""),110.3)</f>
        <v>110.3</v>
      </c>
      <c r="I302" s="1">
        <f ca="1">IFERROR(__xludf.DUMMYFUNCTION("""COMPUTED_VALUE"""),288)</f>
        <v>288</v>
      </c>
      <c r="J302" s="1">
        <f ca="1">IFERROR(__xludf.DUMMYFUNCTION("""COMPUTED_VALUE"""),67.5)</f>
        <v>67.5</v>
      </c>
      <c r="K302" s="1">
        <f ca="1">IFERROR(__xludf.DUMMYFUNCTION("""COMPUTED_VALUE"""),189)</f>
        <v>189</v>
      </c>
      <c r="L302" s="1">
        <f ca="1">IFERROR(__xludf.DUMMYFUNCTION("""COMPUTED_VALUE"""),-0.003)</f>
        <v>-3.0000000000000001E-3</v>
      </c>
      <c r="M302" s="1">
        <f ca="1">IFERROR(__xludf.DUMMYFUNCTION("""COMPUTED_VALUE"""),175)</f>
        <v>175</v>
      </c>
      <c r="N302" s="1" t="str">
        <f ca="1">IFERROR(__xludf.DUMMYFUNCTION("""COMPUTED_VALUE"""),"+0.89")</f>
        <v>+0.89</v>
      </c>
      <c r="O302" s="1">
        <f ca="1">IFERROR(__xludf.DUMMYFUNCTION("""COMPUTED_VALUE"""),138)</f>
        <v>138</v>
      </c>
      <c r="P302" s="1">
        <f ca="1">IFERROR(__xludf.DUMMYFUNCTION("""COMPUTED_VALUE"""),104.5)</f>
        <v>104.5</v>
      </c>
      <c r="Q302" s="1">
        <f ca="1">IFERROR(__xludf.DUMMYFUNCTION("""COMPUTED_VALUE"""),120)</f>
        <v>120</v>
      </c>
      <c r="R302" s="1">
        <f ca="1">IFERROR(__xludf.DUMMYFUNCTION("""COMPUTED_VALUE"""),103.6)</f>
        <v>103.6</v>
      </c>
      <c r="S302" s="1">
        <f ca="1">IFERROR(__xludf.DUMMYFUNCTION("""COMPUTED_VALUE"""),178)</f>
        <v>178</v>
      </c>
      <c r="T302" s="1">
        <f ca="1">IFERROR(__xludf.DUMMYFUNCTION("""COMPUTED_VALUE"""),-2.58)</f>
        <v>-2.58</v>
      </c>
      <c r="U302" s="1">
        <f ca="1">IFERROR(__xludf.DUMMYFUNCTION("""COMPUTED_VALUE"""),227)</f>
        <v>227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IFERROR(__xludf.DUMMYFUNCTION("""COMPUTED_VALUE"""),"New Hampshire")</f>
        <v>New Hampshire</v>
      </c>
      <c r="C303" s="1" t="str">
        <f ca="1">IFERROR(__xludf.DUMMYFUNCTION("""COMPUTED_VALUE"""),"AE")</f>
        <v>AE</v>
      </c>
      <c r="D303" s="2">
        <f ca="1">IFERROR(__xludf.DUMMYFUNCTION("""COMPUTED_VALUE"""),44851)</f>
        <v>44851</v>
      </c>
      <c r="E303" s="1">
        <f ca="1">IFERROR(__xludf.DUMMYFUNCTION("""COMPUTED_VALUE"""),-14.87)</f>
        <v>-14.87</v>
      </c>
      <c r="F303" s="1">
        <f ca="1">IFERROR(__xludf.DUMMYFUNCTION("""COMPUTED_VALUE"""),96.9)</f>
        <v>96.9</v>
      </c>
      <c r="G303" s="1">
        <f ca="1">IFERROR(__xludf.DUMMYFUNCTION("""COMPUTED_VALUE"""),263)</f>
        <v>263</v>
      </c>
      <c r="H303" s="1">
        <f ca="1">IFERROR(__xludf.DUMMYFUNCTION("""COMPUTED_VALUE"""),111.8)</f>
        <v>111.8</v>
      </c>
      <c r="I303" s="1">
        <f ca="1">IFERROR(__xludf.DUMMYFUNCTION("""COMPUTED_VALUE"""),300)</f>
        <v>300</v>
      </c>
      <c r="J303" s="1">
        <f ca="1">IFERROR(__xludf.DUMMYFUNCTION("""COMPUTED_VALUE"""),70.5)</f>
        <v>70.5</v>
      </c>
      <c r="K303" s="1">
        <f ca="1">IFERROR(__xludf.DUMMYFUNCTION("""COMPUTED_VALUE"""),73)</f>
        <v>73</v>
      </c>
      <c r="L303" s="1" t="str">
        <f ca="1">IFERROR(__xludf.DUMMYFUNCTION("""COMPUTED_VALUE"""),"+.017")</f>
        <v>+.017</v>
      </c>
      <c r="M303" s="1">
        <f ca="1">IFERROR(__xludf.DUMMYFUNCTION("""COMPUTED_VALUE"""),116)</f>
        <v>116</v>
      </c>
      <c r="N303" s="1">
        <f ca="1">IFERROR(__xludf.DUMMYFUNCTION("""COMPUTED_VALUE"""),-9.7)</f>
        <v>-9.6999999999999993</v>
      </c>
      <c r="O303" s="1">
        <f ca="1">IFERROR(__xludf.DUMMYFUNCTION("""COMPUTED_VALUE"""),301)</f>
        <v>301</v>
      </c>
      <c r="P303" s="1">
        <f ca="1">IFERROR(__xludf.DUMMYFUNCTION("""COMPUTED_VALUE"""),97.5)</f>
        <v>97.5</v>
      </c>
      <c r="Q303" s="1">
        <f ca="1">IFERROR(__xludf.DUMMYFUNCTION("""COMPUTED_VALUE"""),304)</f>
        <v>304</v>
      </c>
      <c r="R303" s="1">
        <f ca="1">IFERROR(__xludf.DUMMYFUNCTION("""COMPUTED_VALUE"""),107.2)</f>
        <v>107.2</v>
      </c>
      <c r="S303" s="1">
        <f ca="1">IFERROR(__xludf.DUMMYFUNCTION("""COMPUTED_VALUE"""),295)</f>
        <v>295</v>
      </c>
      <c r="T303" s="1">
        <f ca="1">IFERROR(__xludf.DUMMYFUNCTION("""COMPUTED_VALUE"""),-0.11)</f>
        <v>-0.11</v>
      </c>
      <c r="U303" s="1">
        <f ca="1">IFERROR(__xludf.DUMMYFUNCTION("""COMPUTED_VALUE"""),158)</f>
        <v>158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IFERROR(__xludf.DUMMYFUNCTION("""COMPUTED_VALUE"""),"Norfolk St.")</f>
        <v>Norfolk St.</v>
      </c>
      <c r="C304" s="1" t="str">
        <f ca="1">IFERROR(__xludf.DUMMYFUNCTION("""COMPUTED_VALUE"""),"MEAC")</f>
        <v>MEAC</v>
      </c>
      <c r="D304" s="2">
        <f ca="1">IFERROR(__xludf.DUMMYFUNCTION("""COMPUTED_VALUE"""),44853)</f>
        <v>44853</v>
      </c>
      <c r="E304" s="1">
        <f ca="1">IFERROR(__xludf.DUMMYFUNCTION("""COMPUTED_VALUE"""),-15.02)</f>
        <v>-15.02</v>
      </c>
      <c r="F304" s="1">
        <f ca="1">IFERROR(__xludf.DUMMYFUNCTION("""COMPUTED_VALUE"""),93.7)</f>
        <v>93.7</v>
      </c>
      <c r="G304" s="1">
        <f ca="1">IFERROR(__xludf.DUMMYFUNCTION("""COMPUTED_VALUE"""),295)</f>
        <v>295</v>
      </c>
      <c r="H304" s="1">
        <f ca="1">IFERROR(__xludf.DUMMYFUNCTION("""COMPUTED_VALUE"""),108.7)</f>
        <v>108.7</v>
      </c>
      <c r="I304" s="1">
        <f ca="1">IFERROR(__xludf.DUMMYFUNCTION("""COMPUTED_VALUE"""),267)</f>
        <v>267</v>
      </c>
      <c r="J304" s="1">
        <f ca="1">IFERROR(__xludf.DUMMYFUNCTION("""COMPUTED_VALUE"""),70.5)</f>
        <v>70.5</v>
      </c>
      <c r="K304" s="1">
        <f ca="1">IFERROR(__xludf.DUMMYFUNCTION("""COMPUTED_VALUE"""),75)</f>
        <v>75</v>
      </c>
      <c r="L304" s="1" t="str">
        <f ca="1">IFERROR(__xludf.DUMMYFUNCTION("""COMPUTED_VALUE"""),"+.063")</f>
        <v>+.063</v>
      </c>
      <c r="M304" s="1">
        <f ca="1">IFERROR(__xludf.DUMMYFUNCTION("""COMPUTED_VALUE"""),30)</f>
        <v>30</v>
      </c>
      <c r="N304" s="1">
        <f ca="1">IFERROR(__xludf.DUMMYFUNCTION("""COMPUTED_VALUE"""),-6.29)</f>
        <v>-6.29</v>
      </c>
      <c r="O304" s="1">
        <f ca="1">IFERROR(__xludf.DUMMYFUNCTION("""COMPUTED_VALUE"""),261)</f>
        <v>261</v>
      </c>
      <c r="P304" s="1">
        <f ca="1">IFERROR(__xludf.DUMMYFUNCTION("""COMPUTED_VALUE"""),99.2)</f>
        <v>99.2</v>
      </c>
      <c r="Q304" s="1">
        <f ca="1">IFERROR(__xludf.DUMMYFUNCTION("""COMPUTED_VALUE"""),270)</f>
        <v>270</v>
      </c>
      <c r="R304" s="1">
        <f ca="1">IFERROR(__xludf.DUMMYFUNCTION("""COMPUTED_VALUE"""),105.5)</f>
        <v>105.5</v>
      </c>
      <c r="S304" s="1">
        <f ca="1">IFERROR(__xludf.DUMMYFUNCTION("""COMPUTED_VALUE"""),246)</f>
        <v>246</v>
      </c>
      <c r="T304" s="1" t="str">
        <f ca="1">IFERROR(__xludf.DUMMYFUNCTION("""COMPUTED_VALUE"""),"+8.67")</f>
        <v>+8.67</v>
      </c>
      <c r="U304" s="1">
        <f ca="1">IFERROR(__xludf.DUMMYFUNCTION("""COMPUTED_VALUE"""),18)</f>
        <v>18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IFERROR(__xludf.DUMMYFUNCTION("""COMPUTED_VALUE"""),"Army")</f>
        <v>Army</v>
      </c>
      <c r="C305" s="1" t="str">
        <f ca="1">IFERROR(__xludf.DUMMYFUNCTION("""COMPUTED_VALUE"""),"Pat")</f>
        <v>Pat</v>
      </c>
      <c r="D305" s="2">
        <f ca="1">IFERROR(__xludf.DUMMYFUNCTION("""COMPUTED_VALUE"""),44850)</f>
        <v>44850</v>
      </c>
      <c r="E305" s="1">
        <f ca="1">IFERROR(__xludf.DUMMYFUNCTION("""COMPUTED_VALUE"""),-15.11)</f>
        <v>-15.11</v>
      </c>
      <c r="F305" s="1">
        <f ca="1">IFERROR(__xludf.DUMMYFUNCTION("""COMPUTED_VALUE"""),95.4)</f>
        <v>95.4</v>
      </c>
      <c r="G305" s="1">
        <f ca="1">IFERROR(__xludf.DUMMYFUNCTION("""COMPUTED_VALUE"""),280)</f>
        <v>280</v>
      </c>
      <c r="H305" s="1">
        <f ca="1">IFERROR(__xludf.DUMMYFUNCTION("""COMPUTED_VALUE"""),110.5)</f>
        <v>110.5</v>
      </c>
      <c r="I305" s="1">
        <f ca="1">IFERROR(__xludf.DUMMYFUNCTION("""COMPUTED_VALUE"""),289)</f>
        <v>289</v>
      </c>
      <c r="J305" s="1">
        <f ca="1">IFERROR(__xludf.DUMMYFUNCTION("""COMPUTED_VALUE"""),68)</f>
        <v>68</v>
      </c>
      <c r="K305" s="1">
        <f ca="1">IFERROR(__xludf.DUMMYFUNCTION("""COMPUTED_VALUE"""),172)</f>
        <v>172</v>
      </c>
      <c r="L305" s="1" t="str">
        <f ca="1">IFERROR(__xludf.DUMMYFUNCTION("""COMPUTED_VALUE"""),"+.047")</f>
        <v>+.047</v>
      </c>
      <c r="M305" s="1">
        <f ca="1">IFERROR(__xludf.DUMMYFUNCTION("""COMPUTED_VALUE"""),65)</f>
        <v>65</v>
      </c>
      <c r="N305" s="1">
        <f ca="1">IFERROR(__xludf.DUMMYFUNCTION("""COMPUTED_VALUE"""),-8.92)</f>
        <v>-8.92</v>
      </c>
      <c r="O305" s="1">
        <f ca="1">IFERROR(__xludf.DUMMYFUNCTION("""COMPUTED_VALUE"""),295)</f>
        <v>295</v>
      </c>
      <c r="P305" s="1">
        <f ca="1">IFERROR(__xludf.DUMMYFUNCTION("""COMPUTED_VALUE"""),97.5)</f>
        <v>97.5</v>
      </c>
      <c r="Q305" s="1">
        <f ca="1">IFERROR(__xludf.DUMMYFUNCTION("""COMPUTED_VALUE"""),302)</f>
        <v>302</v>
      </c>
      <c r="R305" s="1">
        <f ca="1">IFERROR(__xludf.DUMMYFUNCTION("""COMPUTED_VALUE"""),106.5)</f>
        <v>106.5</v>
      </c>
      <c r="S305" s="1">
        <f ca="1">IFERROR(__xludf.DUMMYFUNCTION("""COMPUTED_VALUE"""),282)</f>
        <v>282</v>
      </c>
      <c r="T305" s="1">
        <f ca="1">IFERROR(__xludf.DUMMYFUNCTION("""COMPUTED_VALUE"""),-8.67)</f>
        <v>-8.67</v>
      </c>
      <c r="U305" s="1">
        <f ca="1">IFERROR(__xludf.DUMMYFUNCTION("""COMPUTED_VALUE"""),313)</f>
        <v>313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IFERROR(__xludf.DUMMYFUNCTION("""COMPUTED_VALUE"""),"Robert Morris")</f>
        <v>Robert Morris</v>
      </c>
      <c r="C306" s="1" t="str">
        <f ca="1">IFERROR(__xludf.DUMMYFUNCTION("""COMPUTED_VALUE"""),"NEC")</f>
        <v>NEC</v>
      </c>
      <c r="D306" s="2">
        <f ca="1">IFERROR(__xludf.DUMMYFUNCTION("""COMPUTED_VALUE"""),44913)</f>
        <v>44913</v>
      </c>
      <c r="E306" s="1">
        <f ca="1">IFERROR(__xludf.DUMMYFUNCTION("""COMPUTED_VALUE"""),-15.17)</f>
        <v>-15.17</v>
      </c>
      <c r="F306" s="1">
        <f ca="1">IFERROR(__xludf.DUMMYFUNCTION("""COMPUTED_VALUE"""),99.3)</f>
        <v>99.3</v>
      </c>
      <c r="G306" s="1">
        <f ca="1">IFERROR(__xludf.DUMMYFUNCTION("""COMPUTED_VALUE"""),224)</f>
        <v>224</v>
      </c>
      <c r="H306" s="1">
        <f ca="1">IFERROR(__xludf.DUMMYFUNCTION("""COMPUTED_VALUE"""),114.5)</f>
        <v>114.5</v>
      </c>
      <c r="I306" s="1">
        <f ca="1">IFERROR(__xludf.DUMMYFUNCTION("""COMPUTED_VALUE"""),317)</f>
        <v>317</v>
      </c>
      <c r="J306" s="1">
        <f ca="1">IFERROR(__xludf.DUMMYFUNCTION("""COMPUTED_VALUE"""),65.8)</f>
        <v>65.8</v>
      </c>
      <c r="K306" s="1">
        <f ca="1">IFERROR(__xludf.DUMMYFUNCTION("""COMPUTED_VALUE"""),248)</f>
        <v>248</v>
      </c>
      <c r="L306" s="1" t="str">
        <f ca="1">IFERROR(__xludf.DUMMYFUNCTION("""COMPUTED_VALUE"""),"+.026")</f>
        <v>+.026</v>
      </c>
      <c r="M306" s="1">
        <f ca="1">IFERROR(__xludf.DUMMYFUNCTION("""COMPUTED_VALUE"""),101)</f>
        <v>101</v>
      </c>
      <c r="N306" s="1">
        <f ca="1">IFERROR(__xludf.DUMMYFUNCTION("""COMPUTED_VALUE"""),-10.3)</f>
        <v>-10.3</v>
      </c>
      <c r="O306" s="1">
        <f ca="1">IFERROR(__xludf.DUMMYFUNCTION("""COMPUTED_VALUE"""),307)</f>
        <v>307</v>
      </c>
      <c r="P306" s="1">
        <f ca="1">IFERROR(__xludf.DUMMYFUNCTION("""COMPUTED_VALUE"""),98)</f>
        <v>98</v>
      </c>
      <c r="Q306" s="1">
        <f ca="1">IFERROR(__xludf.DUMMYFUNCTION("""COMPUTED_VALUE"""),291)</f>
        <v>291</v>
      </c>
      <c r="R306" s="1">
        <f ca="1">IFERROR(__xludf.DUMMYFUNCTION("""COMPUTED_VALUE"""),108.3)</f>
        <v>108.3</v>
      </c>
      <c r="S306" s="1">
        <f ca="1">IFERROR(__xludf.DUMMYFUNCTION("""COMPUTED_VALUE"""),315)</f>
        <v>315</v>
      </c>
      <c r="T306" s="1" t="str">
        <f ca="1">IFERROR(__xludf.DUMMYFUNCTION("""COMPUTED_VALUE"""),"+1.21")</f>
        <v>+1.21</v>
      </c>
      <c r="U306" s="1">
        <f ca="1">IFERROR(__xludf.DUMMYFUNCTION("""COMPUTED_VALUE"""),131)</f>
        <v>131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IFERROR(__xludf.DUMMYFUNCTION("""COMPUTED_VALUE"""),"IPFW")</f>
        <v>IPFW</v>
      </c>
      <c r="C307" s="1" t="str">
        <f ca="1">IFERROR(__xludf.DUMMYFUNCTION("""COMPUTED_VALUE"""),"ind")</f>
        <v>ind</v>
      </c>
      <c r="D307" s="2">
        <f ca="1">IFERROR(__xludf.DUMMYFUNCTION("""COMPUTED_VALUE"""),44641)</f>
        <v>44641</v>
      </c>
      <c r="E307" s="1">
        <f ca="1">IFERROR(__xludf.DUMMYFUNCTION("""COMPUTED_VALUE"""),-15.26)</f>
        <v>-15.26</v>
      </c>
      <c r="F307" s="1">
        <f ca="1">IFERROR(__xludf.DUMMYFUNCTION("""COMPUTED_VALUE"""),97)</f>
        <v>97</v>
      </c>
      <c r="G307" s="1">
        <f ca="1">IFERROR(__xludf.DUMMYFUNCTION("""COMPUTED_VALUE"""),261)</f>
        <v>261</v>
      </c>
      <c r="H307" s="1">
        <f ca="1">IFERROR(__xludf.DUMMYFUNCTION("""COMPUTED_VALUE"""),112.3)</f>
        <v>112.3</v>
      </c>
      <c r="I307" s="1">
        <f ca="1">IFERROR(__xludf.DUMMYFUNCTION("""COMPUTED_VALUE"""),303)</f>
        <v>303</v>
      </c>
      <c r="J307" s="1">
        <f ca="1">IFERROR(__xludf.DUMMYFUNCTION("""COMPUTED_VALUE"""),74.1)</f>
        <v>74.099999999999994</v>
      </c>
      <c r="K307" s="1">
        <f ca="1">IFERROR(__xludf.DUMMYFUNCTION("""COMPUTED_VALUE"""),11)</f>
        <v>11</v>
      </c>
      <c r="L307" s="1">
        <f ca="1">IFERROR(__xludf.DUMMYFUNCTION("""COMPUTED_VALUE"""),-0.033)</f>
        <v>-3.3000000000000002E-2</v>
      </c>
      <c r="M307" s="1">
        <f ca="1">IFERROR(__xludf.DUMMYFUNCTION("""COMPUTED_VALUE"""),240)</f>
        <v>240</v>
      </c>
      <c r="N307" s="1">
        <f ca="1">IFERROR(__xludf.DUMMYFUNCTION("""COMPUTED_VALUE"""),-0.37)</f>
        <v>-0.37</v>
      </c>
      <c r="O307" s="1">
        <f ca="1">IFERROR(__xludf.DUMMYFUNCTION("""COMPUTED_VALUE"""),173)</f>
        <v>173</v>
      </c>
      <c r="P307" s="1">
        <f ca="1">IFERROR(__xludf.DUMMYFUNCTION("""COMPUTED_VALUE"""),103.1)</f>
        <v>103.1</v>
      </c>
      <c r="Q307" s="1">
        <f ca="1">IFERROR(__xludf.DUMMYFUNCTION("""COMPUTED_VALUE"""),172)</f>
        <v>172</v>
      </c>
      <c r="R307" s="1">
        <f ca="1">IFERROR(__xludf.DUMMYFUNCTION("""COMPUTED_VALUE"""),103.5)</f>
        <v>103.5</v>
      </c>
      <c r="S307" s="1">
        <f ca="1">IFERROR(__xludf.DUMMYFUNCTION("""COMPUTED_VALUE"""),168)</f>
        <v>168</v>
      </c>
      <c r="T307" s="1" t="str">
        <f ca="1">IFERROR(__xludf.DUMMYFUNCTION("""COMPUTED_VALUE"""),"+0.58")</f>
        <v>+0.58</v>
      </c>
      <c r="U307" s="1">
        <f ca="1">IFERROR(__xludf.DUMMYFUNCTION("""COMPUTED_VALUE"""),147)</f>
        <v>147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IFERROR(__xludf.DUMMYFUNCTION("""COMPUTED_VALUE"""),"Binghamton")</f>
        <v>Binghamton</v>
      </c>
      <c r="C308" s="1" t="str">
        <f ca="1">IFERROR(__xludf.DUMMYFUNCTION("""COMPUTED_VALUE"""),"AE")</f>
        <v>AE</v>
      </c>
      <c r="D308" s="2">
        <f ca="1">IFERROR(__xludf.DUMMYFUNCTION("""COMPUTED_VALUE"""),44823)</f>
        <v>44823</v>
      </c>
      <c r="E308" s="1">
        <f ca="1">IFERROR(__xludf.DUMMYFUNCTION("""COMPUTED_VALUE"""),-15.37)</f>
        <v>-15.37</v>
      </c>
      <c r="F308" s="1">
        <f ca="1">IFERROR(__xludf.DUMMYFUNCTION("""COMPUTED_VALUE"""),92.7)</f>
        <v>92.7</v>
      </c>
      <c r="G308" s="1">
        <f ca="1">IFERROR(__xludf.DUMMYFUNCTION("""COMPUTED_VALUE"""),302)</f>
        <v>302</v>
      </c>
      <c r="H308" s="1">
        <f ca="1">IFERROR(__xludf.DUMMYFUNCTION("""COMPUTED_VALUE"""),108.1)</f>
        <v>108.1</v>
      </c>
      <c r="I308" s="1">
        <f ca="1">IFERROR(__xludf.DUMMYFUNCTION("""COMPUTED_VALUE"""),256)</f>
        <v>256</v>
      </c>
      <c r="J308" s="1">
        <f ca="1">IFERROR(__xludf.DUMMYFUNCTION("""COMPUTED_VALUE"""),67.2)</f>
        <v>67.2</v>
      </c>
      <c r="K308" s="1">
        <f ca="1">IFERROR(__xludf.DUMMYFUNCTION("""COMPUTED_VALUE"""),203)</f>
        <v>203</v>
      </c>
      <c r="L308" s="1">
        <f ca="1">IFERROR(__xludf.DUMMYFUNCTION("""COMPUTED_VALUE"""),-0.059)</f>
        <v>-5.8999999999999997E-2</v>
      </c>
      <c r="M308" s="1">
        <f ca="1">IFERROR(__xludf.DUMMYFUNCTION("""COMPUTED_VALUE"""),286)</f>
        <v>286</v>
      </c>
      <c r="N308" s="1">
        <f ca="1">IFERROR(__xludf.DUMMYFUNCTION("""COMPUTED_VALUE"""),-10.68)</f>
        <v>-10.68</v>
      </c>
      <c r="O308" s="1">
        <f ca="1">IFERROR(__xludf.DUMMYFUNCTION("""COMPUTED_VALUE"""),310)</f>
        <v>310</v>
      </c>
      <c r="P308" s="1">
        <f ca="1">IFERROR(__xludf.DUMMYFUNCTION("""COMPUTED_VALUE"""),97.4)</f>
        <v>97.4</v>
      </c>
      <c r="Q308" s="1">
        <f ca="1">IFERROR(__xludf.DUMMYFUNCTION("""COMPUTED_VALUE"""),306)</f>
        <v>306</v>
      </c>
      <c r="R308" s="1">
        <f ca="1">IFERROR(__xludf.DUMMYFUNCTION("""COMPUTED_VALUE"""),108.1)</f>
        <v>108.1</v>
      </c>
      <c r="S308" s="1">
        <f ca="1">IFERROR(__xludf.DUMMYFUNCTION("""COMPUTED_VALUE"""),309)</f>
        <v>309</v>
      </c>
      <c r="T308" s="1">
        <f ca="1">IFERROR(__xludf.DUMMYFUNCTION("""COMPUTED_VALUE"""),-6.96)</f>
        <v>-6.96</v>
      </c>
      <c r="U308" s="1">
        <f ca="1">IFERROR(__xludf.DUMMYFUNCTION("""COMPUTED_VALUE"""),298)</f>
        <v>298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IFERROR(__xludf.DUMMYFUNCTION("""COMPUTED_VALUE"""),"Jackson St.")</f>
        <v>Jackson St.</v>
      </c>
      <c r="C309" s="1" t="str">
        <f ca="1">IFERROR(__xludf.DUMMYFUNCTION("""COMPUTED_VALUE"""),"SWAC")</f>
        <v>SWAC</v>
      </c>
      <c r="D309" s="2">
        <f ca="1">IFERROR(__xludf.DUMMYFUNCTION("""COMPUTED_VALUE"""),44823)</f>
        <v>44823</v>
      </c>
      <c r="E309" s="1">
        <f ca="1">IFERROR(__xludf.DUMMYFUNCTION("""COMPUTED_VALUE"""),-15.44)</f>
        <v>-15.44</v>
      </c>
      <c r="F309" s="1">
        <f ca="1">IFERROR(__xludf.DUMMYFUNCTION("""COMPUTED_VALUE"""),96.9)</f>
        <v>96.9</v>
      </c>
      <c r="G309" s="1">
        <f ca="1">IFERROR(__xludf.DUMMYFUNCTION("""COMPUTED_VALUE"""),262)</f>
        <v>262</v>
      </c>
      <c r="H309" s="1">
        <f ca="1">IFERROR(__xludf.DUMMYFUNCTION("""COMPUTED_VALUE"""),112.4)</f>
        <v>112.4</v>
      </c>
      <c r="I309" s="1">
        <f ca="1">IFERROR(__xludf.DUMMYFUNCTION("""COMPUTED_VALUE"""),304)</f>
        <v>304</v>
      </c>
      <c r="J309" s="1">
        <f ca="1">IFERROR(__xludf.DUMMYFUNCTION("""COMPUTED_VALUE"""),69.8)</f>
        <v>69.8</v>
      </c>
      <c r="K309" s="1">
        <f ca="1">IFERROR(__xludf.DUMMYFUNCTION("""COMPUTED_VALUE"""),98)</f>
        <v>98</v>
      </c>
      <c r="L309" s="1">
        <f ca="1">IFERROR(__xludf.DUMMYFUNCTION("""COMPUTED_VALUE"""),-0.05)</f>
        <v>-0.05</v>
      </c>
      <c r="M309" s="1">
        <f ca="1">IFERROR(__xludf.DUMMYFUNCTION("""COMPUTED_VALUE"""),272)</f>
        <v>272</v>
      </c>
      <c r="N309" s="1">
        <f ca="1">IFERROR(__xludf.DUMMYFUNCTION("""COMPUTED_VALUE"""),-11.12)</f>
        <v>-11.12</v>
      </c>
      <c r="O309" s="1">
        <f ca="1">IFERROR(__xludf.DUMMYFUNCTION("""COMPUTED_VALUE"""),313)</f>
        <v>313</v>
      </c>
      <c r="P309" s="1">
        <f ca="1">IFERROR(__xludf.DUMMYFUNCTION("""COMPUTED_VALUE"""),96.4)</f>
        <v>96.4</v>
      </c>
      <c r="Q309" s="1">
        <f ca="1">IFERROR(__xludf.DUMMYFUNCTION("""COMPUTED_VALUE"""),318)</f>
        <v>318</v>
      </c>
      <c r="R309" s="1">
        <f ca="1">IFERROR(__xludf.DUMMYFUNCTION("""COMPUTED_VALUE"""),107.5)</f>
        <v>107.5</v>
      </c>
      <c r="S309" s="1">
        <f ca="1">IFERROR(__xludf.DUMMYFUNCTION("""COMPUTED_VALUE"""),301)</f>
        <v>301</v>
      </c>
      <c r="T309" s="1" t="str">
        <f ca="1">IFERROR(__xludf.DUMMYFUNCTION("""COMPUTED_VALUE"""),"+6.96")</f>
        <v>+6.96</v>
      </c>
      <c r="U309" s="1">
        <f ca="1">IFERROR(__xludf.DUMMYFUNCTION("""COMPUTED_VALUE"""),30)</f>
        <v>30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IFERROR(__xludf.DUMMYFUNCTION("""COMPUTED_VALUE"""),"Mercer")</f>
        <v>Mercer</v>
      </c>
      <c r="C310" s="1" t="str">
        <f ca="1">IFERROR(__xludf.DUMMYFUNCTION("""COMPUTED_VALUE"""),"ASun")</f>
        <v>ASun</v>
      </c>
      <c r="D310" s="2">
        <f ca="1">IFERROR(__xludf.DUMMYFUNCTION("""COMPUTED_VALUE"""),44704)</f>
        <v>44704</v>
      </c>
      <c r="E310" s="1">
        <f ca="1">IFERROR(__xludf.DUMMYFUNCTION("""COMPUTED_VALUE"""),-15.61)</f>
        <v>-15.61</v>
      </c>
      <c r="F310" s="1">
        <f ca="1">IFERROR(__xludf.DUMMYFUNCTION("""COMPUTED_VALUE"""),96.2)</f>
        <v>96.2</v>
      </c>
      <c r="G310" s="1">
        <f ca="1">IFERROR(__xludf.DUMMYFUNCTION("""COMPUTED_VALUE"""),275)</f>
        <v>275</v>
      </c>
      <c r="H310" s="1">
        <f ca="1">IFERROR(__xludf.DUMMYFUNCTION("""COMPUTED_VALUE"""),111.8)</f>
        <v>111.8</v>
      </c>
      <c r="I310" s="1">
        <f ca="1">IFERROR(__xludf.DUMMYFUNCTION("""COMPUTED_VALUE"""),301)</f>
        <v>301</v>
      </c>
      <c r="J310" s="1">
        <f ca="1">IFERROR(__xludf.DUMMYFUNCTION("""COMPUTED_VALUE"""),68.5)</f>
        <v>68.5</v>
      </c>
      <c r="K310" s="1">
        <f ca="1">IFERROR(__xludf.DUMMYFUNCTION("""COMPUTED_VALUE"""),152)</f>
        <v>152</v>
      </c>
      <c r="L310" s="1">
        <f ca="1">IFERROR(__xludf.DUMMYFUNCTION("""COMPUTED_VALUE"""),-0.028)</f>
        <v>-2.8000000000000001E-2</v>
      </c>
      <c r="M310" s="1">
        <f ca="1">IFERROR(__xludf.DUMMYFUNCTION("""COMPUTED_VALUE"""),229)</f>
        <v>229</v>
      </c>
      <c r="N310" s="1">
        <f ca="1">IFERROR(__xludf.DUMMYFUNCTION("""COMPUTED_VALUE"""),-1.29)</f>
        <v>-1.29</v>
      </c>
      <c r="O310" s="1">
        <f ca="1">IFERROR(__xludf.DUMMYFUNCTION("""COMPUTED_VALUE"""),189)</f>
        <v>189</v>
      </c>
      <c r="P310" s="1">
        <f ca="1">IFERROR(__xludf.DUMMYFUNCTION("""COMPUTED_VALUE"""),103.7)</f>
        <v>103.7</v>
      </c>
      <c r="Q310" s="1">
        <f ca="1">IFERROR(__xludf.DUMMYFUNCTION("""COMPUTED_VALUE"""),149)</f>
        <v>149</v>
      </c>
      <c r="R310" s="1">
        <f ca="1">IFERROR(__xludf.DUMMYFUNCTION("""COMPUTED_VALUE"""),105)</f>
        <v>105</v>
      </c>
      <c r="S310" s="1">
        <f ca="1">IFERROR(__xludf.DUMMYFUNCTION("""COMPUTED_VALUE"""),230)</f>
        <v>230</v>
      </c>
      <c r="T310" s="1" t="str">
        <f ca="1">IFERROR(__xludf.DUMMYFUNCTION("""COMPUTED_VALUE"""),"+9.82")</f>
        <v>+9.82</v>
      </c>
      <c r="U310" s="1">
        <f ca="1">IFERROR(__xludf.DUMMYFUNCTION("""COMPUTED_VALUE"""),12)</f>
        <v>12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IFERROR(__xludf.DUMMYFUNCTION("""COMPUTED_VALUE"""),"Eastern Kentucky")</f>
        <v>Eastern Kentucky</v>
      </c>
      <c r="C311" s="1" t="str">
        <f ca="1">IFERROR(__xludf.DUMMYFUNCTION("""COMPUTED_VALUE"""),"OVC")</f>
        <v>OVC</v>
      </c>
      <c r="D311" s="2">
        <f ca="1">IFERROR(__xludf.DUMMYFUNCTION("""COMPUTED_VALUE"""),44671)</f>
        <v>44671</v>
      </c>
      <c r="E311" s="1">
        <f ca="1">IFERROR(__xludf.DUMMYFUNCTION("""COMPUTED_VALUE"""),-15.71)</f>
        <v>-15.71</v>
      </c>
      <c r="F311" s="1">
        <f ca="1">IFERROR(__xludf.DUMMYFUNCTION("""COMPUTED_VALUE"""),93.4)</f>
        <v>93.4</v>
      </c>
      <c r="G311" s="1">
        <f ca="1">IFERROR(__xludf.DUMMYFUNCTION("""COMPUTED_VALUE"""),298)</f>
        <v>298</v>
      </c>
      <c r="H311" s="1">
        <f ca="1">IFERROR(__xludf.DUMMYFUNCTION("""COMPUTED_VALUE"""),109.1)</f>
        <v>109.1</v>
      </c>
      <c r="I311" s="1">
        <f ca="1">IFERROR(__xludf.DUMMYFUNCTION("""COMPUTED_VALUE"""),272)</f>
        <v>272</v>
      </c>
      <c r="J311" s="1">
        <f ca="1">IFERROR(__xludf.DUMMYFUNCTION("""COMPUTED_VALUE"""),70.2)</f>
        <v>70.2</v>
      </c>
      <c r="K311" s="1">
        <f ca="1">IFERROR(__xludf.DUMMYFUNCTION("""COMPUTED_VALUE"""),84)</f>
        <v>84</v>
      </c>
      <c r="L311" s="1" t="str">
        <f ca="1">IFERROR(__xludf.DUMMYFUNCTION("""COMPUTED_VALUE"""),"+.011")</f>
        <v>+.011</v>
      </c>
      <c r="M311" s="1">
        <f ca="1">IFERROR(__xludf.DUMMYFUNCTION("""COMPUTED_VALUE"""),137)</f>
        <v>137</v>
      </c>
      <c r="N311" s="1">
        <f ca="1">IFERROR(__xludf.DUMMYFUNCTION("""COMPUTED_VALUE"""),-2.46)</f>
        <v>-2.46</v>
      </c>
      <c r="O311" s="1">
        <f ca="1">IFERROR(__xludf.DUMMYFUNCTION("""COMPUTED_VALUE"""),213)</f>
        <v>213</v>
      </c>
      <c r="P311" s="1">
        <f ca="1">IFERROR(__xludf.DUMMYFUNCTION("""COMPUTED_VALUE"""),103.9)</f>
        <v>103.9</v>
      </c>
      <c r="Q311" s="1">
        <f ca="1">IFERROR(__xludf.DUMMYFUNCTION("""COMPUTED_VALUE"""),141)</f>
        <v>141</v>
      </c>
      <c r="R311" s="1">
        <f ca="1">IFERROR(__xludf.DUMMYFUNCTION("""COMPUTED_VALUE"""),106.4)</f>
        <v>106.4</v>
      </c>
      <c r="S311" s="1">
        <f ca="1">IFERROR(__xludf.DUMMYFUNCTION("""COMPUTED_VALUE"""),280)</f>
        <v>280</v>
      </c>
      <c r="T311" s="1" t="str">
        <f ca="1">IFERROR(__xludf.DUMMYFUNCTION("""COMPUTED_VALUE"""),"+2.93")</f>
        <v>+2.93</v>
      </c>
      <c r="U311" s="1">
        <f ca="1">IFERROR(__xludf.DUMMYFUNCTION("""COMPUTED_VALUE"""),92)</f>
        <v>92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IFERROR(__xludf.DUMMYFUNCTION("""COMPUTED_VALUE"""),"Maryland Eastern Shore")</f>
        <v>Maryland Eastern Shore</v>
      </c>
      <c r="C312" s="1" t="str">
        <f ca="1">IFERROR(__xludf.DUMMYFUNCTION("""COMPUTED_VALUE"""),"MEAC")</f>
        <v>MEAC</v>
      </c>
      <c r="D312" s="2">
        <f ca="1">IFERROR(__xludf.DUMMYFUNCTION("""COMPUTED_VALUE"""),44883)</f>
        <v>44883</v>
      </c>
      <c r="E312" s="1">
        <f ca="1">IFERROR(__xludf.DUMMYFUNCTION("""COMPUTED_VALUE"""),-16.02)</f>
        <v>-16.02</v>
      </c>
      <c r="F312" s="1">
        <f ca="1">IFERROR(__xludf.DUMMYFUNCTION("""COMPUTED_VALUE"""),98.8)</f>
        <v>98.8</v>
      </c>
      <c r="G312" s="1">
        <f ca="1">IFERROR(__xludf.DUMMYFUNCTION("""COMPUTED_VALUE"""),234)</f>
        <v>234</v>
      </c>
      <c r="H312" s="1">
        <f ca="1">IFERROR(__xludf.DUMMYFUNCTION("""COMPUTED_VALUE"""),114.9)</f>
        <v>114.9</v>
      </c>
      <c r="I312" s="1">
        <f ca="1">IFERROR(__xludf.DUMMYFUNCTION("""COMPUTED_VALUE"""),319)</f>
        <v>319</v>
      </c>
      <c r="J312" s="1">
        <f ca="1">IFERROR(__xludf.DUMMYFUNCTION("""COMPUTED_VALUE"""),64.3)</f>
        <v>64.3</v>
      </c>
      <c r="K312" s="1">
        <f ca="1">IFERROR(__xludf.DUMMYFUNCTION("""COMPUTED_VALUE"""),286)</f>
        <v>286</v>
      </c>
      <c r="L312" s="1" t="str">
        <f ca="1">IFERROR(__xludf.DUMMYFUNCTION("""COMPUTED_VALUE"""),"+.043")</f>
        <v>+.043</v>
      </c>
      <c r="M312" s="1">
        <f ca="1">IFERROR(__xludf.DUMMYFUNCTION("""COMPUTED_VALUE"""),68)</f>
        <v>68</v>
      </c>
      <c r="N312" s="1">
        <f ca="1">IFERROR(__xludf.DUMMYFUNCTION("""COMPUTED_VALUE"""),-8.5)</f>
        <v>-8.5</v>
      </c>
      <c r="O312" s="1">
        <f ca="1">IFERROR(__xludf.DUMMYFUNCTION("""COMPUTED_VALUE"""),289)</f>
        <v>289</v>
      </c>
      <c r="P312" s="1">
        <f ca="1">IFERROR(__xludf.DUMMYFUNCTION("""COMPUTED_VALUE"""),97.7)</f>
        <v>97.7</v>
      </c>
      <c r="Q312" s="1">
        <f ca="1">IFERROR(__xludf.DUMMYFUNCTION("""COMPUTED_VALUE"""),298)</f>
        <v>298</v>
      </c>
      <c r="R312" s="1">
        <f ca="1">IFERROR(__xludf.DUMMYFUNCTION("""COMPUTED_VALUE"""),106.2)</f>
        <v>106.2</v>
      </c>
      <c r="S312" s="1">
        <f ca="1">IFERROR(__xludf.DUMMYFUNCTION("""COMPUTED_VALUE"""),274)</f>
        <v>274</v>
      </c>
      <c r="T312" s="1" t="str">
        <f ca="1">IFERROR(__xludf.DUMMYFUNCTION("""COMPUTED_VALUE"""),"+2.10")</f>
        <v>+2.10</v>
      </c>
      <c r="U312" s="1">
        <f ca="1">IFERROR(__xludf.DUMMYFUNCTION("""COMPUTED_VALUE"""),108)</f>
        <v>108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IFERROR(__xludf.DUMMYFUNCTION("""COMPUTED_VALUE"""),"Birmingham Southern")</f>
        <v>Birmingham Southern</v>
      </c>
      <c r="C313" s="1" t="str">
        <f ca="1">IFERROR(__xludf.DUMMYFUNCTION("""COMPUTED_VALUE"""),"BSth")</f>
        <v>BSth</v>
      </c>
      <c r="D313" s="2">
        <f ca="1">IFERROR(__xludf.DUMMYFUNCTION("""COMPUTED_VALUE"""),44879)</f>
        <v>44879</v>
      </c>
      <c r="E313" s="1">
        <f ca="1">IFERROR(__xludf.DUMMYFUNCTION("""COMPUTED_VALUE"""),-16.2)</f>
        <v>-16.2</v>
      </c>
      <c r="F313" s="1">
        <f ca="1">IFERROR(__xludf.DUMMYFUNCTION("""COMPUTED_VALUE"""),94.4)</f>
        <v>94.4</v>
      </c>
      <c r="G313" s="1">
        <f ca="1">IFERROR(__xludf.DUMMYFUNCTION("""COMPUTED_VALUE"""),288)</f>
        <v>288</v>
      </c>
      <c r="H313" s="1">
        <f ca="1">IFERROR(__xludf.DUMMYFUNCTION("""COMPUTED_VALUE"""),110.6)</f>
        <v>110.6</v>
      </c>
      <c r="I313" s="1">
        <f ca="1">IFERROR(__xludf.DUMMYFUNCTION("""COMPUTED_VALUE"""),291)</f>
        <v>291</v>
      </c>
      <c r="J313" s="1">
        <f ca="1">IFERROR(__xludf.DUMMYFUNCTION("""COMPUTED_VALUE"""),62.4)</f>
        <v>62.4</v>
      </c>
      <c r="K313" s="1">
        <f ca="1">IFERROR(__xludf.DUMMYFUNCTION("""COMPUTED_VALUE"""),310)</f>
        <v>310</v>
      </c>
      <c r="L313" s="1" t="str">
        <f ca="1">IFERROR(__xludf.DUMMYFUNCTION("""COMPUTED_VALUE"""),"+.029")</f>
        <v>+.029</v>
      </c>
      <c r="M313" s="1">
        <f ca="1">IFERROR(__xludf.DUMMYFUNCTION("""COMPUTED_VALUE"""),97)</f>
        <v>97</v>
      </c>
      <c r="N313" s="1">
        <f ca="1">IFERROR(__xludf.DUMMYFUNCTION("""COMPUTED_VALUE"""),-12.54)</f>
        <v>-12.54</v>
      </c>
      <c r="O313" s="1">
        <f ca="1">IFERROR(__xludf.DUMMYFUNCTION("""COMPUTED_VALUE"""),320)</f>
        <v>320</v>
      </c>
      <c r="P313" s="1">
        <f ca="1">IFERROR(__xludf.DUMMYFUNCTION("""COMPUTED_VALUE"""),94.7)</f>
        <v>94.7</v>
      </c>
      <c r="Q313" s="1">
        <f ca="1">IFERROR(__xludf.DUMMYFUNCTION("""COMPUTED_VALUE"""),326)</f>
        <v>326</v>
      </c>
      <c r="R313" s="1">
        <f ca="1">IFERROR(__xludf.DUMMYFUNCTION("""COMPUTED_VALUE"""),107.3)</f>
        <v>107.3</v>
      </c>
      <c r="S313" s="1">
        <f ca="1">IFERROR(__xludf.DUMMYFUNCTION("""COMPUTED_VALUE"""),298)</f>
        <v>298</v>
      </c>
      <c r="T313" s="1">
        <f ca="1">IFERROR(__xludf.DUMMYFUNCTION("""COMPUTED_VALUE"""),-8.19)</f>
        <v>-8.19</v>
      </c>
      <c r="U313" s="1">
        <f ca="1">IFERROR(__xludf.DUMMYFUNCTION("""COMPUTED_VALUE"""),309)</f>
        <v>309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IFERROR(__xludf.DUMMYFUNCTION("""COMPUTED_VALUE"""),"Lehigh")</f>
        <v>Lehigh</v>
      </c>
      <c r="C314" s="1" t="str">
        <f ca="1">IFERROR(__xludf.DUMMYFUNCTION("""COMPUTED_VALUE"""),"Pat")</f>
        <v>Pat</v>
      </c>
      <c r="D314" s="2">
        <f ca="1">IFERROR(__xludf.DUMMYFUNCTION("""COMPUTED_VALUE"""),44674)</f>
        <v>44674</v>
      </c>
      <c r="E314" s="1">
        <f ca="1">IFERROR(__xludf.DUMMYFUNCTION("""COMPUTED_VALUE"""),-16.21)</f>
        <v>-16.21</v>
      </c>
      <c r="F314" s="1">
        <f ca="1">IFERROR(__xludf.DUMMYFUNCTION("""COMPUTED_VALUE"""),93.1)</f>
        <v>93.1</v>
      </c>
      <c r="G314" s="1">
        <f ca="1">IFERROR(__xludf.DUMMYFUNCTION("""COMPUTED_VALUE"""),299)</f>
        <v>299</v>
      </c>
      <c r="H314" s="1">
        <f ca="1">IFERROR(__xludf.DUMMYFUNCTION("""COMPUTED_VALUE"""),109.3)</f>
        <v>109.3</v>
      </c>
      <c r="I314" s="1">
        <f ca="1">IFERROR(__xludf.DUMMYFUNCTION("""COMPUTED_VALUE"""),276)</f>
        <v>276</v>
      </c>
      <c r="J314" s="1">
        <f ca="1">IFERROR(__xludf.DUMMYFUNCTION("""COMPUTED_VALUE"""),70.2)</f>
        <v>70.2</v>
      </c>
      <c r="K314" s="1">
        <f ca="1">IFERROR(__xludf.DUMMYFUNCTION("""COMPUTED_VALUE"""),85)</f>
        <v>85</v>
      </c>
      <c r="L314" s="1">
        <f ca="1">IFERROR(__xludf.DUMMYFUNCTION("""COMPUTED_VALUE"""),-0.113)</f>
        <v>-0.113</v>
      </c>
      <c r="M314" s="1">
        <f ca="1">IFERROR(__xludf.DUMMYFUNCTION("""COMPUTED_VALUE"""),320)</f>
        <v>320</v>
      </c>
      <c r="N314" s="1">
        <f ca="1">IFERROR(__xludf.DUMMYFUNCTION("""COMPUTED_VALUE"""),-6.98)</f>
        <v>-6.98</v>
      </c>
      <c r="O314" s="1">
        <f ca="1">IFERROR(__xludf.DUMMYFUNCTION("""COMPUTED_VALUE"""),273)</f>
        <v>273</v>
      </c>
      <c r="P314" s="1">
        <f ca="1">IFERROR(__xludf.DUMMYFUNCTION("""COMPUTED_VALUE"""),98.9)</f>
        <v>98.9</v>
      </c>
      <c r="Q314" s="1">
        <f ca="1">IFERROR(__xludf.DUMMYFUNCTION("""COMPUTED_VALUE"""),274)</f>
        <v>274</v>
      </c>
      <c r="R314" s="1">
        <f ca="1">IFERROR(__xludf.DUMMYFUNCTION("""COMPUTED_VALUE"""),105.9)</f>
        <v>105.9</v>
      </c>
      <c r="S314" s="1">
        <f ca="1">IFERROR(__xludf.DUMMYFUNCTION("""COMPUTED_VALUE"""),261)</f>
        <v>261</v>
      </c>
      <c r="T314" s="1">
        <f ca="1">IFERROR(__xludf.DUMMYFUNCTION("""COMPUTED_VALUE"""),-5.16)</f>
        <v>-5.16</v>
      </c>
      <c r="U314" s="1">
        <f ca="1">IFERROR(__xludf.DUMMYFUNCTION("""COMPUTED_VALUE"""),278)</f>
        <v>278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IFERROR(__xludf.DUMMYFUNCTION("""COMPUTED_VALUE"""),"Sacred Heart")</f>
        <v>Sacred Heart</v>
      </c>
      <c r="C315" s="1" t="str">
        <f ca="1">IFERROR(__xludf.DUMMYFUNCTION("""COMPUTED_VALUE"""),"NEC")</f>
        <v>NEC</v>
      </c>
      <c r="D315" s="2">
        <f ca="1">IFERROR(__xludf.DUMMYFUNCTION("""COMPUTED_VALUE"""),44793)</f>
        <v>44793</v>
      </c>
      <c r="E315" s="1">
        <f ca="1">IFERROR(__xludf.DUMMYFUNCTION("""COMPUTED_VALUE"""),-16.6)</f>
        <v>-16.600000000000001</v>
      </c>
      <c r="F315" s="1">
        <f ca="1">IFERROR(__xludf.DUMMYFUNCTION("""COMPUTED_VALUE"""),96.3)</f>
        <v>96.3</v>
      </c>
      <c r="G315" s="1">
        <f ca="1">IFERROR(__xludf.DUMMYFUNCTION("""COMPUTED_VALUE"""),272)</f>
        <v>272</v>
      </c>
      <c r="H315" s="1">
        <f ca="1">IFERROR(__xludf.DUMMYFUNCTION("""COMPUTED_VALUE"""),112.9)</f>
        <v>112.9</v>
      </c>
      <c r="I315" s="1">
        <f ca="1">IFERROR(__xludf.DUMMYFUNCTION("""COMPUTED_VALUE"""),306)</f>
        <v>306</v>
      </c>
      <c r="J315" s="1">
        <f ca="1">IFERROR(__xludf.DUMMYFUNCTION("""COMPUTED_VALUE"""),71.7)</f>
        <v>71.7</v>
      </c>
      <c r="K315" s="1">
        <f ca="1">IFERROR(__xludf.DUMMYFUNCTION("""COMPUTED_VALUE"""),49)</f>
        <v>49</v>
      </c>
      <c r="L315" s="1">
        <f ca="1">IFERROR(__xludf.DUMMYFUNCTION("""COMPUTED_VALUE"""),-0.074)</f>
        <v>-7.3999999999999996E-2</v>
      </c>
      <c r="M315" s="1">
        <f ca="1">IFERROR(__xludf.DUMMYFUNCTION("""COMPUTED_VALUE"""),302)</f>
        <v>302</v>
      </c>
      <c r="N315" s="1">
        <f ca="1">IFERROR(__xludf.DUMMYFUNCTION("""COMPUTED_VALUE"""),-10.98)</f>
        <v>-10.98</v>
      </c>
      <c r="O315" s="1">
        <f ca="1">IFERROR(__xludf.DUMMYFUNCTION("""COMPUTED_VALUE"""),312)</f>
        <v>312</v>
      </c>
      <c r="P315" s="1">
        <f ca="1">IFERROR(__xludf.DUMMYFUNCTION("""COMPUTED_VALUE"""),97.7)</f>
        <v>97.7</v>
      </c>
      <c r="Q315" s="1">
        <f ca="1">IFERROR(__xludf.DUMMYFUNCTION("""COMPUTED_VALUE"""),296)</f>
        <v>296</v>
      </c>
      <c r="R315" s="1">
        <f ca="1">IFERROR(__xludf.DUMMYFUNCTION("""COMPUTED_VALUE"""),108.7)</f>
        <v>108.7</v>
      </c>
      <c r="S315" s="1">
        <f ca="1">IFERROR(__xludf.DUMMYFUNCTION("""COMPUTED_VALUE"""),318)</f>
        <v>318</v>
      </c>
      <c r="T315" s="1">
        <f ca="1">IFERROR(__xludf.DUMMYFUNCTION("""COMPUTED_VALUE"""),-3.55)</f>
        <v>-3.55</v>
      </c>
      <c r="U315" s="1">
        <f ca="1">IFERROR(__xludf.DUMMYFUNCTION("""COMPUTED_VALUE"""),250)</f>
        <v>250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IFERROR(__xludf.DUMMYFUNCTION("""COMPUTED_VALUE"""),"Southeastern Louisiana")</f>
        <v>Southeastern Louisiana</v>
      </c>
      <c r="C316" s="1" t="str">
        <f ca="1">IFERROR(__xludf.DUMMYFUNCTION("""COMPUTED_VALUE"""),"Slnd")</f>
        <v>Slnd</v>
      </c>
      <c r="D316" s="2">
        <f ca="1">IFERROR(__xludf.DUMMYFUNCTION("""COMPUTED_VALUE"""),44732)</f>
        <v>44732</v>
      </c>
      <c r="E316" s="1">
        <f ca="1">IFERROR(__xludf.DUMMYFUNCTION("""COMPUTED_VALUE"""),-16.65)</f>
        <v>-16.649999999999999</v>
      </c>
      <c r="F316" s="1">
        <f ca="1">IFERROR(__xludf.DUMMYFUNCTION("""COMPUTED_VALUE"""),89.3)</f>
        <v>89.3</v>
      </c>
      <c r="G316" s="1">
        <f ca="1">IFERROR(__xludf.DUMMYFUNCTION("""COMPUTED_VALUE"""),317)</f>
        <v>317</v>
      </c>
      <c r="H316" s="1">
        <f ca="1">IFERROR(__xludf.DUMMYFUNCTION("""COMPUTED_VALUE"""),105.9)</f>
        <v>105.9</v>
      </c>
      <c r="I316" s="1">
        <f ca="1">IFERROR(__xludf.DUMMYFUNCTION("""COMPUTED_VALUE"""),226)</f>
        <v>226</v>
      </c>
      <c r="J316" s="1">
        <f ca="1">IFERROR(__xludf.DUMMYFUNCTION("""COMPUTED_VALUE"""),60.5)</f>
        <v>60.5</v>
      </c>
      <c r="K316" s="1">
        <f ca="1">IFERROR(__xludf.DUMMYFUNCTION("""COMPUTED_VALUE"""),322)</f>
        <v>322</v>
      </c>
      <c r="L316" s="1">
        <f ca="1">IFERROR(__xludf.DUMMYFUNCTION("""COMPUTED_VALUE"""),-0.005)</f>
        <v>-5.0000000000000001E-3</v>
      </c>
      <c r="M316" s="1">
        <f ca="1">IFERROR(__xludf.DUMMYFUNCTION("""COMPUTED_VALUE"""),177)</f>
        <v>177</v>
      </c>
      <c r="N316" s="1">
        <f ca="1">IFERROR(__xludf.DUMMYFUNCTION("""COMPUTED_VALUE"""),-6.1)</f>
        <v>-6.1</v>
      </c>
      <c r="O316" s="1">
        <f ca="1">IFERROR(__xludf.DUMMYFUNCTION("""COMPUTED_VALUE"""),258)</f>
        <v>258</v>
      </c>
      <c r="P316" s="1">
        <f ca="1">IFERROR(__xludf.DUMMYFUNCTION("""COMPUTED_VALUE"""),99)</f>
        <v>99</v>
      </c>
      <c r="Q316" s="1">
        <f ca="1">IFERROR(__xludf.DUMMYFUNCTION("""COMPUTED_VALUE"""),272)</f>
        <v>272</v>
      </c>
      <c r="R316" s="1">
        <f ca="1">IFERROR(__xludf.DUMMYFUNCTION("""COMPUTED_VALUE"""),105.1)</f>
        <v>105.1</v>
      </c>
      <c r="S316" s="1">
        <f ca="1">IFERROR(__xludf.DUMMYFUNCTION("""COMPUTED_VALUE"""),233)</f>
        <v>233</v>
      </c>
      <c r="T316" s="1">
        <f ca="1">IFERROR(__xludf.DUMMYFUNCTION("""COMPUTED_VALUE"""),-2.69)</f>
        <v>-2.69</v>
      </c>
      <c r="U316" s="1">
        <f ca="1">IFERROR(__xludf.DUMMYFUNCTION("""COMPUTED_VALUE"""),229)</f>
        <v>229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IFERROR(__xludf.DUMMYFUNCTION("""COMPUTED_VALUE"""),"Campbell")</f>
        <v>Campbell</v>
      </c>
      <c r="C317" s="1" t="str">
        <f ca="1">IFERROR(__xludf.DUMMYFUNCTION("""COMPUTED_VALUE"""),"ASun")</f>
        <v>ASun</v>
      </c>
      <c r="D317" s="2">
        <f ca="1">IFERROR(__xludf.DUMMYFUNCTION("""COMPUTED_VALUE"""),44761)</f>
        <v>44761</v>
      </c>
      <c r="E317" s="1">
        <f ca="1">IFERROR(__xludf.DUMMYFUNCTION("""COMPUTED_VALUE"""),-16.73)</f>
        <v>-16.73</v>
      </c>
      <c r="F317" s="1">
        <f ca="1">IFERROR(__xludf.DUMMYFUNCTION("""COMPUTED_VALUE"""),100.9)</f>
        <v>100.9</v>
      </c>
      <c r="G317" s="1">
        <f ca="1">IFERROR(__xludf.DUMMYFUNCTION("""COMPUTED_VALUE"""),199)</f>
        <v>199</v>
      </c>
      <c r="H317" s="1">
        <f ca="1">IFERROR(__xludf.DUMMYFUNCTION("""COMPUTED_VALUE"""),117.6)</f>
        <v>117.6</v>
      </c>
      <c r="I317" s="1">
        <f ca="1">IFERROR(__xludf.DUMMYFUNCTION("""COMPUTED_VALUE"""),325)</f>
        <v>325</v>
      </c>
      <c r="J317" s="1">
        <f ca="1">IFERROR(__xludf.DUMMYFUNCTION("""COMPUTED_VALUE"""),68.4)</f>
        <v>68.400000000000006</v>
      </c>
      <c r="K317" s="1">
        <f ca="1">IFERROR(__xludf.DUMMYFUNCTION("""COMPUTED_VALUE"""),158)</f>
        <v>158</v>
      </c>
      <c r="L317" s="1" t="str">
        <f ca="1">IFERROR(__xludf.DUMMYFUNCTION("""COMPUTED_VALUE"""),"+.053")</f>
        <v>+.053</v>
      </c>
      <c r="M317" s="1">
        <f ca="1">IFERROR(__xludf.DUMMYFUNCTION("""COMPUTED_VALUE"""),53)</f>
        <v>53</v>
      </c>
      <c r="N317" s="1">
        <f ca="1">IFERROR(__xludf.DUMMYFUNCTION("""COMPUTED_VALUE"""),-4.25)</f>
        <v>-4.25</v>
      </c>
      <c r="O317" s="1">
        <f ca="1">IFERROR(__xludf.DUMMYFUNCTION("""COMPUTED_VALUE"""),240)</f>
        <v>240</v>
      </c>
      <c r="P317" s="1">
        <f ca="1">IFERROR(__xludf.DUMMYFUNCTION("""COMPUTED_VALUE"""),101.8)</f>
        <v>101.8</v>
      </c>
      <c r="Q317" s="1">
        <f ca="1">IFERROR(__xludf.DUMMYFUNCTION("""COMPUTED_VALUE"""),215)</f>
        <v>215</v>
      </c>
      <c r="R317" s="1">
        <f ca="1">IFERROR(__xludf.DUMMYFUNCTION("""COMPUTED_VALUE"""),106.1)</f>
        <v>106.1</v>
      </c>
      <c r="S317" s="1">
        <f ca="1">IFERROR(__xludf.DUMMYFUNCTION("""COMPUTED_VALUE"""),267)</f>
        <v>267</v>
      </c>
      <c r="T317" s="1">
        <f ca="1">IFERROR(__xludf.DUMMYFUNCTION("""COMPUTED_VALUE"""),-1.82)</f>
        <v>-1.82</v>
      </c>
      <c r="U317" s="1">
        <f ca="1">IFERROR(__xludf.DUMMYFUNCTION("""COMPUTED_VALUE"""),211)</f>
        <v>211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IFERROR(__xludf.DUMMYFUNCTION("""COMPUTED_VALUE"""),"High Point")</f>
        <v>High Point</v>
      </c>
      <c r="C318" s="1" t="str">
        <f ca="1">IFERROR(__xludf.DUMMYFUNCTION("""COMPUTED_VALUE"""),"BSth")</f>
        <v>BSth</v>
      </c>
      <c r="D318" s="2">
        <f ca="1">IFERROR(__xludf.DUMMYFUNCTION("""COMPUTED_VALUE"""),44823)</f>
        <v>44823</v>
      </c>
      <c r="E318" s="1">
        <f ca="1">IFERROR(__xludf.DUMMYFUNCTION("""COMPUTED_VALUE"""),-17.03)</f>
        <v>-17.03</v>
      </c>
      <c r="F318" s="1">
        <f ca="1">IFERROR(__xludf.DUMMYFUNCTION("""COMPUTED_VALUE"""),96.7)</f>
        <v>96.7</v>
      </c>
      <c r="G318" s="1">
        <f ca="1">IFERROR(__xludf.DUMMYFUNCTION("""COMPUTED_VALUE"""),265)</f>
        <v>265</v>
      </c>
      <c r="H318" s="1">
        <f ca="1">IFERROR(__xludf.DUMMYFUNCTION("""COMPUTED_VALUE"""),113.7)</f>
        <v>113.7</v>
      </c>
      <c r="I318" s="1">
        <f ca="1">IFERROR(__xludf.DUMMYFUNCTION("""COMPUTED_VALUE"""),310)</f>
        <v>310</v>
      </c>
      <c r="J318" s="1">
        <f ca="1">IFERROR(__xludf.DUMMYFUNCTION("""COMPUTED_VALUE"""),67.1)</f>
        <v>67.099999999999994</v>
      </c>
      <c r="K318" s="1">
        <f ca="1">IFERROR(__xludf.DUMMYFUNCTION("""COMPUTED_VALUE"""),205)</f>
        <v>205</v>
      </c>
      <c r="L318" s="1" t="str">
        <f ca="1">IFERROR(__xludf.DUMMYFUNCTION("""COMPUTED_VALUE"""),"+.017")</f>
        <v>+.017</v>
      </c>
      <c r="M318" s="1">
        <f ca="1">IFERROR(__xludf.DUMMYFUNCTION("""COMPUTED_VALUE"""),117)</f>
        <v>117</v>
      </c>
      <c r="N318" s="1">
        <f ca="1">IFERROR(__xludf.DUMMYFUNCTION("""COMPUTED_VALUE"""),-9.04)</f>
        <v>-9.0399999999999991</v>
      </c>
      <c r="O318" s="1">
        <f ca="1">IFERROR(__xludf.DUMMYFUNCTION("""COMPUTED_VALUE"""),296)</f>
        <v>296</v>
      </c>
      <c r="P318" s="1">
        <f ca="1">IFERROR(__xludf.DUMMYFUNCTION("""COMPUTED_VALUE"""),96.8)</f>
        <v>96.8</v>
      </c>
      <c r="Q318" s="1">
        <f ca="1">IFERROR(__xludf.DUMMYFUNCTION("""COMPUTED_VALUE"""),317)</f>
        <v>317</v>
      </c>
      <c r="R318" s="1">
        <f ca="1">IFERROR(__xludf.DUMMYFUNCTION("""COMPUTED_VALUE"""),105.8)</f>
        <v>105.8</v>
      </c>
      <c r="S318" s="1">
        <f ca="1">IFERROR(__xludf.DUMMYFUNCTION("""COMPUTED_VALUE"""),259)</f>
        <v>259</v>
      </c>
      <c r="T318" s="1" t="str">
        <f ca="1">IFERROR(__xludf.DUMMYFUNCTION("""COMPUTED_VALUE"""),"+1.06")</f>
        <v>+1.06</v>
      </c>
      <c r="U318" s="1">
        <f ca="1">IFERROR(__xludf.DUMMYFUNCTION("""COMPUTED_VALUE"""),133)</f>
        <v>133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IFERROR(__xludf.DUMMYFUNCTION("""COMPUTED_VALUE"""),"Cornell")</f>
        <v>Cornell</v>
      </c>
      <c r="C319" s="1" t="str">
        <f ca="1">IFERROR(__xludf.DUMMYFUNCTION("""COMPUTED_VALUE"""),"Ivy")</f>
        <v>Ivy</v>
      </c>
      <c r="D319" s="2">
        <f ca="1">IFERROR(__xludf.DUMMYFUNCTION("""COMPUTED_VALUE"""),44673)</f>
        <v>44673</v>
      </c>
      <c r="E319" s="1">
        <f ca="1">IFERROR(__xludf.DUMMYFUNCTION("""COMPUTED_VALUE"""),-17.45)</f>
        <v>-17.45</v>
      </c>
      <c r="F319" s="1">
        <f ca="1">IFERROR(__xludf.DUMMYFUNCTION("""COMPUTED_VALUE"""),89.2)</f>
        <v>89.2</v>
      </c>
      <c r="G319" s="1">
        <f ca="1">IFERROR(__xludf.DUMMYFUNCTION("""COMPUTED_VALUE"""),318)</f>
        <v>318</v>
      </c>
      <c r="H319" s="1">
        <f ca="1">IFERROR(__xludf.DUMMYFUNCTION("""COMPUTED_VALUE"""),106.6)</f>
        <v>106.6</v>
      </c>
      <c r="I319" s="1">
        <f ca="1">IFERROR(__xludf.DUMMYFUNCTION("""COMPUTED_VALUE"""),236)</f>
        <v>236</v>
      </c>
      <c r="J319" s="1">
        <f ca="1">IFERROR(__xludf.DUMMYFUNCTION("""COMPUTED_VALUE"""),65.1)</f>
        <v>65.099999999999994</v>
      </c>
      <c r="K319" s="1">
        <f ca="1">IFERROR(__xludf.DUMMYFUNCTION("""COMPUTED_VALUE"""),273)</f>
        <v>273</v>
      </c>
      <c r="L319" s="1">
        <f ca="1">IFERROR(__xludf.DUMMYFUNCTION("""COMPUTED_VALUE"""),-0.03)</f>
        <v>-0.03</v>
      </c>
      <c r="M319" s="1">
        <f ca="1">IFERROR(__xludf.DUMMYFUNCTION("""COMPUTED_VALUE"""),236)</f>
        <v>236</v>
      </c>
      <c r="N319" s="1">
        <f ca="1">IFERROR(__xludf.DUMMYFUNCTION("""COMPUTED_VALUE"""),-2.45)</f>
        <v>-2.4500000000000002</v>
      </c>
      <c r="O319" s="1">
        <f ca="1">IFERROR(__xludf.DUMMYFUNCTION("""COMPUTED_VALUE"""),212)</f>
        <v>212</v>
      </c>
      <c r="P319" s="1">
        <f ca="1">IFERROR(__xludf.DUMMYFUNCTION("""COMPUTED_VALUE"""),101.7)</f>
        <v>101.7</v>
      </c>
      <c r="Q319" s="1">
        <f ca="1">IFERROR(__xludf.DUMMYFUNCTION("""COMPUTED_VALUE"""),221)</f>
        <v>221</v>
      </c>
      <c r="R319" s="1">
        <f ca="1">IFERROR(__xludf.DUMMYFUNCTION("""COMPUTED_VALUE"""),104.1)</f>
        <v>104.1</v>
      </c>
      <c r="S319" s="1">
        <f ca="1">IFERROR(__xludf.DUMMYFUNCTION("""COMPUTED_VALUE"""),195)</f>
        <v>195</v>
      </c>
      <c r="T319" s="1">
        <f ca="1">IFERROR(__xludf.DUMMYFUNCTION("""COMPUTED_VALUE"""),-0.99)</f>
        <v>-0.99</v>
      </c>
      <c r="U319" s="1">
        <f ca="1">IFERROR(__xludf.DUMMYFUNCTION("""COMPUTED_VALUE"""),189)</f>
        <v>189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IFERROR(__xludf.DUMMYFUNCTION("""COMPUTED_VALUE"""),"Dartmouth")</f>
        <v>Dartmouth</v>
      </c>
      <c r="C320" s="1" t="str">
        <f ca="1">IFERROR(__xludf.DUMMYFUNCTION("""COMPUTED_VALUE"""),"Ivy")</f>
        <v>Ivy</v>
      </c>
      <c r="D320" s="2">
        <f ca="1">IFERROR(__xludf.DUMMYFUNCTION("""COMPUTED_VALUE"""),44791)</f>
        <v>44791</v>
      </c>
      <c r="E320" s="1">
        <f ca="1">IFERROR(__xludf.DUMMYFUNCTION("""COMPUTED_VALUE"""),-17.66)</f>
        <v>-17.66</v>
      </c>
      <c r="F320" s="1">
        <f ca="1">IFERROR(__xludf.DUMMYFUNCTION("""COMPUTED_VALUE"""),100.2)</f>
        <v>100.2</v>
      </c>
      <c r="G320" s="1">
        <f ca="1">IFERROR(__xludf.DUMMYFUNCTION("""COMPUTED_VALUE"""),212)</f>
        <v>212</v>
      </c>
      <c r="H320" s="1">
        <f ca="1">IFERROR(__xludf.DUMMYFUNCTION("""COMPUTED_VALUE"""),117.8)</f>
        <v>117.8</v>
      </c>
      <c r="I320" s="1">
        <f ca="1">IFERROR(__xludf.DUMMYFUNCTION("""COMPUTED_VALUE"""),326)</f>
        <v>326</v>
      </c>
      <c r="J320" s="1">
        <f ca="1">IFERROR(__xludf.DUMMYFUNCTION("""COMPUTED_VALUE"""),62.5)</f>
        <v>62.5</v>
      </c>
      <c r="K320" s="1">
        <f ca="1">IFERROR(__xludf.DUMMYFUNCTION("""COMPUTED_VALUE"""),309)</f>
        <v>309</v>
      </c>
      <c r="L320" s="1" t="str">
        <f ca="1">IFERROR(__xludf.DUMMYFUNCTION("""COMPUTED_VALUE"""),"+.037")</f>
        <v>+.037</v>
      </c>
      <c r="M320" s="1">
        <f ca="1">IFERROR(__xludf.DUMMYFUNCTION("""COMPUTED_VALUE"""),83)</f>
        <v>83</v>
      </c>
      <c r="N320" s="1">
        <f ca="1">IFERROR(__xludf.DUMMYFUNCTION("""COMPUTED_VALUE"""),-6.32)</f>
        <v>-6.32</v>
      </c>
      <c r="O320" s="1">
        <f ca="1">IFERROR(__xludf.DUMMYFUNCTION("""COMPUTED_VALUE"""),263)</f>
        <v>263</v>
      </c>
      <c r="P320" s="1">
        <f ca="1">IFERROR(__xludf.DUMMYFUNCTION("""COMPUTED_VALUE"""),98.5)</f>
        <v>98.5</v>
      </c>
      <c r="Q320" s="1">
        <f ca="1">IFERROR(__xludf.DUMMYFUNCTION("""COMPUTED_VALUE"""),278)</f>
        <v>278</v>
      </c>
      <c r="R320" s="1">
        <f ca="1">IFERROR(__xludf.DUMMYFUNCTION("""COMPUTED_VALUE"""),104.8)</f>
        <v>104.8</v>
      </c>
      <c r="S320" s="1">
        <f ca="1">IFERROR(__xludf.DUMMYFUNCTION("""COMPUTED_VALUE"""),225)</f>
        <v>225</v>
      </c>
      <c r="T320" s="1">
        <f ca="1">IFERROR(__xludf.DUMMYFUNCTION("""COMPUTED_VALUE"""),-9.51)</f>
        <v>-9.51</v>
      </c>
      <c r="U320" s="1">
        <f ca="1">IFERROR(__xludf.DUMMYFUNCTION("""COMPUTED_VALUE"""),317)</f>
        <v>317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IFERROR(__xludf.DUMMYFUNCTION("""COMPUTED_VALUE"""),"St. Francis PA")</f>
        <v>St. Francis PA</v>
      </c>
      <c r="C321" s="1" t="str">
        <f ca="1">IFERROR(__xludf.DUMMYFUNCTION("""COMPUTED_VALUE"""),"NEC")</f>
        <v>NEC</v>
      </c>
      <c r="D321" s="2">
        <f ca="1">IFERROR(__xludf.DUMMYFUNCTION("""COMPUTED_VALUE"""),44733)</f>
        <v>44733</v>
      </c>
      <c r="E321" s="1">
        <f ca="1">IFERROR(__xludf.DUMMYFUNCTION("""COMPUTED_VALUE"""),-17.99)</f>
        <v>-17.989999999999998</v>
      </c>
      <c r="F321" s="1">
        <f ca="1">IFERROR(__xludf.DUMMYFUNCTION("""COMPUTED_VALUE"""),89.4)</f>
        <v>89.4</v>
      </c>
      <c r="G321" s="1">
        <f ca="1">IFERROR(__xludf.DUMMYFUNCTION("""COMPUTED_VALUE"""),316)</f>
        <v>316</v>
      </c>
      <c r="H321" s="1">
        <f ca="1">IFERROR(__xludf.DUMMYFUNCTION("""COMPUTED_VALUE"""),107.3)</f>
        <v>107.3</v>
      </c>
      <c r="I321" s="1">
        <f ca="1">IFERROR(__xludf.DUMMYFUNCTION("""COMPUTED_VALUE"""),247)</f>
        <v>247</v>
      </c>
      <c r="J321" s="1">
        <f ca="1">IFERROR(__xludf.DUMMYFUNCTION("""COMPUTED_VALUE"""),65.3)</f>
        <v>65.3</v>
      </c>
      <c r="K321" s="1">
        <f ca="1">IFERROR(__xludf.DUMMYFUNCTION("""COMPUTED_VALUE"""),264)</f>
        <v>264</v>
      </c>
      <c r="L321" s="1">
        <f ca="1">IFERROR(__xludf.DUMMYFUNCTION("""COMPUTED_VALUE"""),-0.073)</f>
        <v>-7.2999999999999995E-2</v>
      </c>
      <c r="M321" s="1">
        <f ca="1">IFERROR(__xludf.DUMMYFUNCTION("""COMPUTED_VALUE"""),299)</f>
        <v>299</v>
      </c>
      <c r="N321" s="1">
        <f ca="1">IFERROR(__xludf.DUMMYFUNCTION("""COMPUTED_VALUE"""),-9.16)</f>
        <v>-9.16</v>
      </c>
      <c r="O321" s="1">
        <f ca="1">IFERROR(__xludf.DUMMYFUNCTION("""COMPUTED_VALUE"""),297)</f>
        <v>297</v>
      </c>
      <c r="P321" s="1">
        <f ca="1">IFERROR(__xludf.DUMMYFUNCTION("""COMPUTED_VALUE"""),99.4)</f>
        <v>99.4</v>
      </c>
      <c r="Q321" s="1">
        <f ca="1">IFERROR(__xludf.DUMMYFUNCTION("""COMPUTED_VALUE"""),263)</f>
        <v>263</v>
      </c>
      <c r="R321" s="1">
        <f ca="1">IFERROR(__xludf.DUMMYFUNCTION("""COMPUTED_VALUE"""),108.6)</f>
        <v>108.6</v>
      </c>
      <c r="S321" s="1">
        <f ca="1">IFERROR(__xludf.DUMMYFUNCTION("""COMPUTED_VALUE"""),316)</f>
        <v>316</v>
      </c>
      <c r="T321" s="1" t="str">
        <f ca="1">IFERROR(__xludf.DUMMYFUNCTION("""COMPUTED_VALUE"""),"+5.00")</f>
        <v>+5.00</v>
      </c>
      <c r="U321" s="1">
        <f ca="1">IFERROR(__xludf.DUMMYFUNCTION("""COMPUTED_VALUE"""),57)</f>
        <v>57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IFERROR(__xludf.DUMMYFUNCTION("""COMPUTED_VALUE"""),"Coastal Carolina")</f>
        <v>Coastal Carolina</v>
      </c>
      <c r="C322" s="1" t="str">
        <f ca="1">IFERROR(__xludf.DUMMYFUNCTION("""COMPUTED_VALUE"""),"BSth")</f>
        <v>BSth</v>
      </c>
      <c r="D322" s="2">
        <f ca="1">IFERROR(__xludf.DUMMYFUNCTION("""COMPUTED_VALUE"""),44793)</f>
        <v>44793</v>
      </c>
      <c r="E322" s="1">
        <f ca="1">IFERROR(__xludf.DUMMYFUNCTION("""COMPUTED_VALUE"""),-18.19)</f>
        <v>-18.190000000000001</v>
      </c>
      <c r="F322" s="1">
        <f ca="1">IFERROR(__xludf.DUMMYFUNCTION("""COMPUTED_VALUE"""),95.9)</f>
        <v>95.9</v>
      </c>
      <c r="G322" s="1">
        <f ca="1">IFERROR(__xludf.DUMMYFUNCTION("""COMPUTED_VALUE"""),278)</f>
        <v>278</v>
      </c>
      <c r="H322" s="1">
        <f ca="1">IFERROR(__xludf.DUMMYFUNCTION("""COMPUTED_VALUE"""),114.1)</f>
        <v>114.1</v>
      </c>
      <c r="I322" s="1">
        <f ca="1">IFERROR(__xludf.DUMMYFUNCTION("""COMPUTED_VALUE"""),314)</f>
        <v>314</v>
      </c>
      <c r="J322" s="1">
        <f ca="1">IFERROR(__xludf.DUMMYFUNCTION("""COMPUTED_VALUE"""),72.2)</f>
        <v>72.2</v>
      </c>
      <c r="K322" s="1">
        <f ca="1">IFERROR(__xludf.DUMMYFUNCTION("""COMPUTED_VALUE"""),37)</f>
        <v>37</v>
      </c>
      <c r="L322" s="1" t="str">
        <f ca="1">IFERROR(__xludf.DUMMYFUNCTION("""COMPUTED_VALUE"""),"+.029")</f>
        <v>+.029</v>
      </c>
      <c r="M322" s="1">
        <f ca="1">IFERROR(__xludf.DUMMYFUNCTION("""COMPUTED_VALUE"""),98)</f>
        <v>98</v>
      </c>
      <c r="N322" s="1">
        <f ca="1">IFERROR(__xludf.DUMMYFUNCTION("""COMPUTED_VALUE"""),-8.04)</f>
        <v>-8.0399999999999991</v>
      </c>
      <c r="O322" s="1">
        <f ca="1">IFERROR(__xludf.DUMMYFUNCTION("""COMPUTED_VALUE"""),285)</f>
        <v>285</v>
      </c>
      <c r="P322" s="1">
        <f ca="1">IFERROR(__xludf.DUMMYFUNCTION("""COMPUTED_VALUE"""),97.7)</f>
        <v>97.7</v>
      </c>
      <c r="Q322" s="1">
        <f ca="1">IFERROR(__xludf.DUMMYFUNCTION("""COMPUTED_VALUE"""),301)</f>
        <v>301</v>
      </c>
      <c r="R322" s="1">
        <f ca="1">IFERROR(__xludf.DUMMYFUNCTION("""COMPUTED_VALUE"""),105.7)</f>
        <v>105.7</v>
      </c>
      <c r="S322" s="1">
        <f ca="1">IFERROR(__xludf.DUMMYFUNCTION("""COMPUTED_VALUE"""),255)</f>
        <v>255</v>
      </c>
      <c r="T322" s="1" t="str">
        <f ca="1">IFERROR(__xludf.DUMMYFUNCTION("""COMPUTED_VALUE"""),"+1.55")</f>
        <v>+1.55</v>
      </c>
      <c r="U322" s="1">
        <f ca="1">IFERROR(__xludf.DUMMYFUNCTION("""COMPUTED_VALUE"""),124)</f>
        <v>124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IFERROR(__xludf.DUMMYFUNCTION("""COMPUTED_VALUE"""),"Eastern Michigan")</f>
        <v>Eastern Michigan</v>
      </c>
      <c r="C323" s="1" t="str">
        <f ca="1">IFERROR(__xludf.DUMMYFUNCTION("""COMPUTED_VALUE"""),"MAC")</f>
        <v>MAC</v>
      </c>
      <c r="D323" s="2">
        <f ca="1">IFERROR(__xludf.DUMMYFUNCTION("""COMPUTED_VALUE"""),44705)</f>
        <v>44705</v>
      </c>
      <c r="E323" s="1">
        <f ca="1">IFERROR(__xludf.DUMMYFUNCTION("""COMPUTED_VALUE"""),-18.22)</f>
        <v>-18.22</v>
      </c>
      <c r="F323" s="1">
        <f ca="1">IFERROR(__xludf.DUMMYFUNCTION("""COMPUTED_VALUE"""),97.1)</f>
        <v>97.1</v>
      </c>
      <c r="G323" s="1">
        <f ca="1">IFERROR(__xludf.DUMMYFUNCTION("""COMPUTED_VALUE"""),260)</f>
        <v>260</v>
      </c>
      <c r="H323" s="1">
        <f ca="1">IFERROR(__xludf.DUMMYFUNCTION("""COMPUTED_VALUE"""),115.3)</f>
        <v>115.3</v>
      </c>
      <c r="I323" s="1">
        <f ca="1">IFERROR(__xludf.DUMMYFUNCTION("""COMPUTED_VALUE"""),321)</f>
        <v>321</v>
      </c>
      <c r="J323" s="1">
        <f ca="1">IFERROR(__xludf.DUMMYFUNCTION("""COMPUTED_VALUE"""),67.7)</f>
        <v>67.7</v>
      </c>
      <c r="K323" s="1">
        <f ca="1">IFERROR(__xludf.DUMMYFUNCTION("""COMPUTED_VALUE"""),181)</f>
        <v>181</v>
      </c>
      <c r="L323" s="1" t="str">
        <f ca="1">IFERROR(__xludf.DUMMYFUNCTION("""COMPUTED_VALUE"""),"+.016")</f>
        <v>+.016</v>
      </c>
      <c r="M323" s="1">
        <f ca="1">IFERROR(__xludf.DUMMYFUNCTION("""COMPUTED_VALUE"""),120)</f>
        <v>120</v>
      </c>
      <c r="N323" s="1" t="str">
        <f ca="1">IFERROR(__xludf.DUMMYFUNCTION("""COMPUTED_VALUE"""),"+0.02")</f>
        <v>+0.02</v>
      </c>
      <c r="O323" s="1">
        <f ca="1">IFERROR(__xludf.DUMMYFUNCTION("""COMPUTED_VALUE"""),155)</f>
        <v>155</v>
      </c>
      <c r="P323" s="1">
        <f ca="1">IFERROR(__xludf.DUMMYFUNCTION("""COMPUTED_VALUE"""),104.5)</f>
        <v>104.5</v>
      </c>
      <c r="Q323" s="1">
        <f ca="1">IFERROR(__xludf.DUMMYFUNCTION("""COMPUTED_VALUE"""),123)</f>
        <v>123</v>
      </c>
      <c r="R323" s="1">
        <f ca="1">IFERROR(__xludf.DUMMYFUNCTION("""COMPUTED_VALUE"""),104.5)</f>
        <v>104.5</v>
      </c>
      <c r="S323" s="1">
        <f ca="1">IFERROR(__xludf.DUMMYFUNCTION("""COMPUTED_VALUE"""),209)</f>
        <v>209</v>
      </c>
      <c r="T323" s="1">
        <f ca="1">IFERROR(__xludf.DUMMYFUNCTION("""COMPUTED_VALUE"""),-4.21)</f>
        <v>-4.21</v>
      </c>
      <c r="U323" s="1">
        <f ca="1">IFERROR(__xludf.DUMMYFUNCTION("""COMPUTED_VALUE"""),258)</f>
        <v>258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IFERROR(__xludf.DUMMYFUNCTION("""COMPUTED_VALUE"""),"Saint Peter's")</f>
        <v>Saint Peter's</v>
      </c>
      <c r="C324" s="1" t="str">
        <f ca="1">IFERROR(__xludf.DUMMYFUNCTION("""COMPUTED_VALUE"""),"MAAC")</f>
        <v>MAAC</v>
      </c>
      <c r="D324" s="2">
        <f ca="1">IFERROR(__xludf.DUMMYFUNCTION("""COMPUTED_VALUE"""),44675)</f>
        <v>44675</v>
      </c>
      <c r="E324" s="1">
        <f ca="1">IFERROR(__xludf.DUMMYFUNCTION("""COMPUTED_VALUE"""),-18.57)</f>
        <v>-18.57</v>
      </c>
      <c r="F324" s="1">
        <f ca="1">IFERROR(__xludf.DUMMYFUNCTION("""COMPUTED_VALUE"""),93)</f>
        <v>93</v>
      </c>
      <c r="G324" s="1">
        <f ca="1">IFERROR(__xludf.DUMMYFUNCTION("""COMPUTED_VALUE"""),300)</f>
        <v>300</v>
      </c>
      <c r="H324" s="1">
        <f ca="1">IFERROR(__xludf.DUMMYFUNCTION("""COMPUTED_VALUE"""),111.6)</f>
        <v>111.6</v>
      </c>
      <c r="I324" s="1">
        <f ca="1">IFERROR(__xludf.DUMMYFUNCTION("""COMPUTED_VALUE"""),299)</f>
        <v>299</v>
      </c>
      <c r="J324" s="1">
        <f ca="1">IFERROR(__xludf.DUMMYFUNCTION("""COMPUTED_VALUE"""),71.2)</f>
        <v>71.2</v>
      </c>
      <c r="K324" s="1">
        <f ca="1">IFERROR(__xludf.DUMMYFUNCTION("""COMPUTED_VALUE"""),57)</f>
        <v>57</v>
      </c>
      <c r="L324" s="1" t="str">
        <f ca="1">IFERROR(__xludf.DUMMYFUNCTION("""COMPUTED_VALUE"""),"+.008")</f>
        <v>+.008</v>
      </c>
      <c r="M324" s="1">
        <f ca="1">IFERROR(__xludf.DUMMYFUNCTION("""COMPUTED_VALUE"""),151)</f>
        <v>151</v>
      </c>
      <c r="N324" s="1">
        <f ca="1">IFERROR(__xludf.DUMMYFUNCTION("""COMPUTED_VALUE"""),-2.42)</f>
        <v>-2.42</v>
      </c>
      <c r="O324" s="1">
        <f ca="1">IFERROR(__xludf.DUMMYFUNCTION("""COMPUTED_VALUE"""),211)</f>
        <v>211</v>
      </c>
      <c r="P324" s="1">
        <f ca="1">IFERROR(__xludf.DUMMYFUNCTION("""COMPUTED_VALUE"""),100.6)</f>
        <v>100.6</v>
      </c>
      <c r="Q324" s="1">
        <f ca="1">IFERROR(__xludf.DUMMYFUNCTION("""COMPUTED_VALUE"""),239)</f>
        <v>239</v>
      </c>
      <c r="R324" s="1">
        <f ca="1">IFERROR(__xludf.DUMMYFUNCTION("""COMPUTED_VALUE"""),103)</f>
        <v>103</v>
      </c>
      <c r="S324" s="1">
        <f ca="1">IFERROR(__xludf.DUMMYFUNCTION("""COMPUTED_VALUE"""),143)</f>
        <v>143</v>
      </c>
      <c r="T324" s="1">
        <f ca="1">IFERROR(__xludf.DUMMYFUNCTION("""COMPUTED_VALUE"""),-0.29)</f>
        <v>-0.28999999999999998</v>
      </c>
      <c r="U324" s="1">
        <f ca="1">IFERROR(__xludf.DUMMYFUNCTION("""COMPUTED_VALUE"""),165)</f>
        <v>165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IFERROR(__xludf.DUMMYFUNCTION("""COMPUTED_VALUE"""),"Grambling St.")</f>
        <v>Grambling St.</v>
      </c>
      <c r="C325" s="1" t="str">
        <f ca="1">IFERROR(__xludf.DUMMYFUNCTION("""COMPUTED_VALUE"""),"SWAC")</f>
        <v>SWAC</v>
      </c>
      <c r="D325" s="2">
        <f ca="1">IFERROR(__xludf.DUMMYFUNCTION("""COMPUTED_VALUE"""),44792)</f>
        <v>44792</v>
      </c>
      <c r="E325" s="1">
        <f ca="1">IFERROR(__xludf.DUMMYFUNCTION("""COMPUTED_VALUE"""),-18.91)</f>
        <v>-18.91</v>
      </c>
      <c r="F325" s="1">
        <f ca="1">IFERROR(__xludf.DUMMYFUNCTION("""COMPUTED_VALUE"""),97.3)</f>
        <v>97.3</v>
      </c>
      <c r="G325" s="1">
        <f ca="1">IFERROR(__xludf.DUMMYFUNCTION("""COMPUTED_VALUE"""),257)</f>
        <v>257</v>
      </c>
      <c r="H325" s="1">
        <f ca="1">IFERROR(__xludf.DUMMYFUNCTION("""COMPUTED_VALUE"""),116.2)</f>
        <v>116.2</v>
      </c>
      <c r="I325" s="1">
        <f ca="1">IFERROR(__xludf.DUMMYFUNCTION("""COMPUTED_VALUE"""),323)</f>
        <v>323</v>
      </c>
      <c r="J325" s="1">
        <f ca="1">IFERROR(__xludf.DUMMYFUNCTION("""COMPUTED_VALUE"""),74)</f>
        <v>74</v>
      </c>
      <c r="K325" s="1">
        <f ca="1">IFERROR(__xludf.DUMMYFUNCTION("""COMPUTED_VALUE"""),12)</f>
        <v>12</v>
      </c>
      <c r="L325" s="1" t="str">
        <f ca="1">IFERROR(__xludf.DUMMYFUNCTION("""COMPUTED_VALUE"""),"+.006")</f>
        <v>+.006</v>
      </c>
      <c r="M325" s="1">
        <f ca="1">IFERROR(__xludf.DUMMYFUNCTION("""COMPUTED_VALUE"""),157)</f>
        <v>157</v>
      </c>
      <c r="N325" s="1">
        <f ca="1">IFERROR(__xludf.DUMMYFUNCTION("""COMPUTED_VALUE"""),-10.17)</f>
        <v>-10.17</v>
      </c>
      <c r="O325" s="1">
        <f ca="1">IFERROR(__xludf.DUMMYFUNCTION("""COMPUTED_VALUE"""),304)</f>
        <v>304</v>
      </c>
      <c r="P325" s="1">
        <f ca="1">IFERROR(__xludf.DUMMYFUNCTION("""COMPUTED_VALUE"""),97.9)</f>
        <v>97.9</v>
      </c>
      <c r="Q325" s="1">
        <f ca="1">IFERROR(__xludf.DUMMYFUNCTION("""COMPUTED_VALUE"""),293)</f>
        <v>293</v>
      </c>
      <c r="R325" s="1">
        <f ca="1">IFERROR(__xludf.DUMMYFUNCTION("""COMPUTED_VALUE"""),108.1)</f>
        <v>108.1</v>
      </c>
      <c r="S325" s="1">
        <f ca="1">IFERROR(__xludf.DUMMYFUNCTION("""COMPUTED_VALUE"""),307)</f>
        <v>307</v>
      </c>
      <c r="T325" s="1" t="str">
        <f ca="1">IFERROR(__xludf.DUMMYFUNCTION("""COMPUTED_VALUE"""),"+13.81")</f>
        <v>+13.81</v>
      </c>
      <c r="U325" s="1">
        <f ca="1">IFERROR(__xludf.DUMMYFUNCTION("""COMPUTED_VALUE"""),3)</f>
        <v>3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IFERROR(__xludf.DUMMYFUNCTION("""COMPUTED_VALUE"""),"Lipscomb")</f>
        <v>Lipscomb</v>
      </c>
      <c r="C326" s="1" t="str">
        <f ca="1">IFERROR(__xludf.DUMMYFUNCTION("""COMPUTED_VALUE"""),"ind")</f>
        <v>ind</v>
      </c>
      <c r="D326" s="2">
        <f ca="1">IFERROR(__xludf.DUMMYFUNCTION("""COMPUTED_VALUE"""),44672)</f>
        <v>44672</v>
      </c>
      <c r="E326" s="1">
        <f ca="1">IFERROR(__xludf.DUMMYFUNCTION("""COMPUTED_VALUE"""),-19.34)</f>
        <v>-19.34</v>
      </c>
      <c r="F326" s="1">
        <f ca="1">IFERROR(__xludf.DUMMYFUNCTION("""COMPUTED_VALUE"""),93.6)</f>
        <v>93.6</v>
      </c>
      <c r="G326" s="1">
        <f ca="1">IFERROR(__xludf.DUMMYFUNCTION("""COMPUTED_VALUE"""),296)</f>
        <v>296</v>
      </c>
      <c r="H326" s="1">
        <f ca="1">IFERROR(__xludf.DUMMYFUNCTION("""COMPUTED_VALUE"""),112.9)</f>
        <v>112.9</v>
      </c>
      <c r="I326" s="1">
        <f ca="1">IFERROR(__xludf.DUMMYFUNCTION("""COMPUTED_VALUE"""),308)</f>
        <v>308</v>
      </c>
      <c r="J326" s="1">
        <f ca="1">IFERROR(__xludf.DUMMYFUNCTION("""COMPUTED_VALUE"""),69.2)</f>
        <v>69.2</v>
      </c>
      <c r="K326" s="1">
        <f ca="1">IFERROR(__xludf.DUMMYFUNCTION("""COMPUTED_VALUE"""),123)</f>
        <v>123</v>
      </c>
      <c r="L326" s="1" t="str">
        <f ca="1">IFERROR(__xludf.DUMMYFUNCTION("""COMPUTED_VALUE"""),"+.010")</f>
        <v>+.010</v>
      </c>
      <c r="M326" s="1">
        <f ca="1">IFERROR(__xludf.DUMMYFUNCTION("""COMPUTED_VALUE"""),142)</f>
        <v>142</v>
      </c>
      <c r="N326" s="1">
        <f ca="1">IFERROR(__xludf.DUMMYFUNCTION("""COMPUTED_VALUE"""),-5.02)</f>
        <v>-5.0199999999999996</v>
      </c>
      <c r="O326" s="1">
        <f ca="1">IFERROR(__xludf.DUMMYFUNCTION("""COMPUTED_VALUE"""),250)</f>
        <v>250</v>
      </c>
      <c r="P326" s="1">
        <f ca="1">IFERROR(__xludf.DUMMYFUNCTION("""COMPUTED_VALUE"""),100.8)</f>
        <v>100.8</v>
      </c>
      <c r="Q326" s="1">
        <f ca="1">IFERROR(__xludf.DUMMYFUNCTION("""COMPUTED_VALUE"""),235)</f>
        <v>235</v>
      </c>
      <c r="R326" s="1">
        <f ca="1">IFERROR(__xludf.DUMMYFUNCTION("""COMPUTED_VALUE"""),105.8)</f>
        <v>105.8</v>
      </c>
      <c r="S326" s="1">
        <f ca="1">IFERROR(__xludf.DUMMYFUNCTION("""COMPUTED_VALUE"""),258)</f>
        <v>258</v>
      </c>
      <c r="T326" s="1">
        <f ca="1">IFERROR(__xludf.DUMMYFUNCTION("""COMPUTED_VALUE"""),-0.21)</f>
        <v>-0.21</v>
      </c>
      <c r="U326" s="1">
        <f ca="1">IFERROR(__xludf.DUMMYFUNCTION("""COMPUTED_VALUE"""),162)</f>
        <v>162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IFERROR(__xludf.DUMMYFUNCTION("""COMPUTED_VALUE"""),"Texas Southern")</f>
        <v>Texas Southern</v>
      </c>
      <c r="C327" s="1" t="str">
        <f ca="1">IFERROR(__xludf.DUMMYFUNCTION("""COMPUTED_VALUE"""),"SWAC")</f>
        <v>SWAC</v>
      </c>
      <c r="D327" s="2">
        <f ca="1">IFERROR(__xludf.DUMMYFUNCTION("""COMPUTED_VALUE"""),44882)</f>
        <v>44882</v>
      </c>
      <c r="E327" s="1">
        <f ca="1">IFERROR(__xludf.DUMMYFUNCTION("""COMPUTED_VALUE"""),-19.56)</f>
        <v>-19.559999999999999</v>
      </c>
      <c r="F327" s="1">
        <f ca="1">IFERROR(__xludf.DUMMYFUNCTION("""COMPUTED_VALUE"""),94.6)</f>
        <v>94.6</v>
      </c>
      <c r="G327" s="1">
        <f ca="1">IFERROR(__xludf.DUMMYFUNCTION("""COMPUTED_VALUE"""),285)</f>
        <v>285</v>
      </c>
      <c r="H327" s="1">
        <f ca="1">IFERROR(__xludf.DUMMYFUNCTION("""COMPUTED_VALUE"""),114.1)</f>
        <v>114.1</v>
      </c>
      <c r="I327" s="1">
        <f ca="1">IFERROR(__xludf.DUMMYFUNCTION("""COMPUTED_VALUE"""),315)</f>
        <v>315</v>
      </c>
      <c r="J327" s="1">
        <f ca="1">IFERROR(__xludf.DUMMYFUNCTION("""COMPUTED_VALUE"""),67.8)</f>
        <v>67.8</v>
      </c>
      <c r="K327" s="1">
        <f ca="1">IFERROR(__xludf.DUMMYFUNCTION("""COMPUTED_VALUE"""),177)</f>
        <v>177</v>
      </c>
      <c r="L327" s="1" t="str">
        <f ca="1">IFERROR(__xludf.DUMMYFUNCTION("""COMPUTED_VALUE"""),"+.079")</f>
        <v>+.079</v>
      </c>
      <c r="M327" s="1">
        <f ca="1">IFERROR(__xludf.DUMMYFUNCTION("""COMPUTED_VALUE"""),16)</f>
        <v>16</v>
      </c>
      <c r="N327" s="1">
        <f ca="1">IFERROR(__xludf.DUMMYFUNCTION("""COMPUTED_VALUE"""),-11.68)</f>
        <v>-11.68</v>
      </c>
      <c r="O327" s="1">
        <f ca="1">IFERROR(__xludf.DUMMYFUNCTION("""COMPUTED_VALUE"""),317)</f>
        <v>317</v>
      </c>
      <c r="P327" s="1">
        <f ca="1">IFERROR(__xludf.DUMMYFUNCTION("""COMPUTED_VALUE"""),97.1)</f>
        <v>97.1</v>
      </c>
      <c r="Q327" s="1">
        <f ca="1">IFERROR(__xludf.DUMMYFUNCTION("""COMPUTED_VALUE"""),310)</f>
        <v>310</v>
      </c>
      <c r="R327" s="1">
        <f ca="1">IFERROR(__xludf.DUMMYFUNCTION("""COMPUTED_VALUE"""),108.8)</f>
        <v>108.8</v>
      </c>
      <c r="S327" s="1">
        <f ca="1">IFERROR(__xludf.DUMMYFUNCTION("""COMPUTED_VALUE"""),319)</f>
        <v>319</v>
      </c>
      <c r="T327" s="1" t="str">
        <f ca="1">IFERROR(__xludf.DUMMYFUNCTION("""COMPUTED_VALUE"""),"+6.24")</f>
        <v>+6.24</v>
      </c>
      <c r="U327" s="1">
        <f ca="1">IFERROR(__xludf.DUMMYFUNCTION("""COMPUTED_VALUE"""),38)</f>
        <v>38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IFERROR(__xludf.DUMMYFUNCTION("""COMPUTED_VALUE"""),"Stony Brook")</f>
        <v>Stony Brook</v>
      </c>
      <c r="C328" s="1" t="str">
        <f ca="1">IFERROR(__xludf.DUMMYFUNCTION("""COMPUTED_VALUE"""),"AE")</f>
        <v>AE</v>
      </c>
      <c r="D328" s="2">
        <f ca="1">IFERROR(__xludf.DUMMYFUNCTION("""COMPUTED_VALUE"""),44734)</f>
        <v>44734</v>
      </c>
      <c r="E328" s="1">
        <f ca="1">IFERROR(__xludf.DUMMYFUNCTION("""COMPUTED_VALUE"""),-20.04)</f>
        <v>-20.04</v>
      </c>
      <c r="F328" s="1">
        <f ca="1">IFERROR(__xludf.DUMMYFUNCTION("""COMPUTED_VALUE"""),91.5)</f>
        <v>91.5</v>
      </c>
      <c r="G328" s="1">
        <f ca="1">IFERROR(__xludf.DUMMYFUNCTION("""COMPUTED_VALUE"""),306)</f>
        <v>306</v>
      </c>
      <c r="H328" s="1">
        <f ca="1">IFERROR(__xludf.DUMMYFUNCTION("""COMPUTED_VALUE"""),111.5)</f>
        <v>111.5</v>
      </c>
      <c r="I328" s="1">
        <f ca="1">IFERROR(__xludf.DUMMYFUNCTION("""COMPUTED_VALUE"""),297)</f>
        <v>297</v>
      </c>
      <c r="J328" s="1">
        <f ca="1">IFERROR(__xludf.DUMMYFUNCTION("""COMPUTED_VALUE"""),65.8)</f>
        <v>65.8</v>
      </c>
      <c r="K328" s="1">
        <f ca="1">IFERROR(__xludf.DUMMYFUNCTION("""COMPUTED_VALUE"""),246)</f>
        <v>246</v>
      </c>
      <c r="L328" s="1" t="str">
        <f ca="1">IFERROR(__xludf.DUMMYFUNCTION("""COMPUTED_VALUE"""),"+.001")</f>
        <v>+.001</v>
      </c>
      <c r="M328" s="1">
        <f ca="1">IFERROR(__xludf.DUMMYFUNCTION("""COMPUTED_VALUE"""),168)</f>
        <v>168</v>
      </c>
      <c r="N328" s="1">
        <f ca="1">IFERROR(__xludf.DUMMYFUNCTION("""COMPUTED_VALUE"""),-7.78)</f>
        <v>-7.78</v>
      </c>
      <c r="O328" s="1">
        <f ca="1">IFERROR(__xludf.DUMMYFUNCTION("""COMPUTED_VALUE"""),283)</f>
        <v>283</v>
      </c>
      <c r="P328" s="1">
        <f ca="1">IFERROR(__xludf.DUMMYFUNCTION("""COMPUTED_VALUE"""),97.8)</f>
        <v>97.8</v>
      </c>
      <c r="Q328" s="1">
        <f ca="1">IFERROR(__xludf.DUMMYFUNCTION("""COMPUTED_VALUE"""),294)</f>
        <v>294</v>
      </c>
      <c r="R328" s="1">
        <f ca="1">IFERROR(__xludf.DUMMYFUNCTION("""COMPUTED_VALUE"""),105.6)</f>
        <v>105.6</v>
      </c>
      <c r="S328" s="1">
        <f ca="1">IFERROR(__xludf.DUMMYFUNCTION("""COMPUTED_VALUE"""),252)</f>
        <v>252</v>
      </c>
      <c r="T328" s="1">
        <f ca="1">IFERROR(__xludf.DUMMYFUNCTION("""COMPUTED_VALUE"""),-0.79)</f>
        <v>-0.79</v>
      </c>
      <c r="U328" s="1">
        <f ca="1">IFERROR(__xludf.DUMMYFUNCTION("""COMPUTED_VALUE"""),182)</f>
        <v>182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IFERROR(__xludf.DUMMYFUNCTION("""COMPUTED_VALUE"""),"Loyola MD")</f>
        <v>Loyola MD</v>
      </c>
      <c r="C329" s="1" t="str">
        <f ca="1">IFERROR(__xludf.DUMMYFUNCTION("""COMPUTED_VALUE"""),"MAAC")</f>
        <v>MAAC</v>
      </c>
      <c r="D329" s="2">
        <f ca="1">IFERROR(__xludf.DUMMYFUNCTION("""COMPUTED_VALUE"""),44704)</f>
        <v>44704</v>
      </c>
      <c r="E329" s="1">
        <f ca="1">IFERROR(__xludf.DUMMYFUNCTION("""COMPUTED_VALUE"""),-20.27)</f>
        <v>-20.27</v>
      </c>
      <c r="F329" s="1">
        <f ca="1">IFERROR(__xludf.DUMMYFUNCTION("""COMPUTED_VALUE"""),86.7)</f>
        <v>86.7</v>
      </c>
      <c r="G329" s="1">
        <f ca="1">IFERROR(__xludf.DUMMYFUNCTION("""COMPUTED_VALUE"""),322)</f>
        <v>322</v>
      </c>
      <c r="H329" s="1">
        <f ca="1">IFERROR(__xludf.DUMMYFUNCTION("""COMPUTED_VALUE"""),106.9)</f>
        <v>106.9</v>
      </c>
      <c r="I329" s="1">
        <f ca="1">IFERROR(__xludf.DUMMYFUNCTION("""COMPUTED_VALUE"""),240)</f>
        <v>240</v>
      </c>
      <c r="J329" s="1">
        <f ca="1">IFERROR(__xludf.DUMMYFUNCTION("""COMPUTED_VALUE"""),65.7)</f>
        <v>65.7</v>
      </c>
      <c r="K329" s="1">
        <f ca="1">IFERROR(__xludf.DUMMYFUNCTION("""COMPUTED_VALUE"""),250)</f>
        <v>250</v>
      </c>
      <c r="L329" s="1" t="str">
        <f ca="1">IFERROR(__xludf.DUMMYFUNCTION("""COMPUTED_VALUE"""),"+.015")</f>
        <v>+.015</v>
      </c>
      <c r="M329" s="1">
        <f ca="1">IFERROR(__xludf.DUMMYFUNCTION("""COMPUTED_VALUE"""),126)</f>
        <v>126</v>
      </c>
      <c r="N329" s="1">
        <f ca="1">IFERROR(__xludf.DUMMYFUNCTION("""COMPUTED_VALUE"""),-5.57)</f>
        <v>-5.57</v>
      </c>
      <c r="O329" s="1">
        <f ca="1">IFERROR(__xludf.DUMMYFUNCTION("""COMPUTED_VALUE"""),254)</f>
        <v>254</v>
      </c>
      <c r="P329" s="1">
        <f ca="1">IFERROR(__xludf.DUMMYFUNCTION("""COMPUTED_VALUE"""),99.3)</f>
        <v>99.3</v>
      </c>
      <c r="Q329" s="1">
        <f ca="1">IFERROR(__xludf.DUMMYFUNCTION("""COMPUTED_VALUE"""),266)</f>
        <v>266</v>
      </c>
      <c r="R329" s="1">
        <f ca="1">IFERROR(__xludf.DUMMYFUNCTION("""COMPUTED_VALUE"""),104.8)</f>
        <v>104.8</v>
      </c>
      <c r="S329" s="1">
        <f ca="1">IFERROR(__xludf.DUMMYFUNCTION("""COMPUTED_VALUE"""),226)</f>
        <v>226</v>
      </c>
      <c r="T329" s="1">
        <f ca="1">IFERROR(__xludf.DUMMYFUNCTION("""COMPUTED_VALUE"""),-9.34)</f>
        <v>-9.34</v>
      </c>
      <c r="U329" s="1">
        <f ca="1">IFERROR(__xludf.DUMMYFUNCTION("""COMPUTED_VALUE"""),316)</f>
        <v>316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IFERROR(__xludf.DUMMYFUNCTION("""COMPUTED_VALUE"""),"Albany")</f>
        <v>Albany</v>
      </c>
      <c r="C330" s="1" t="str">
        <f ca="1">IFERROR(__xludf.DUMMYFUNCTION("""COMPUTED_VALUE"""),"AE")</f>
        <v>AE</v>
      </c>
      <c r="D330" s="2">
        <f ca="1">IFERROR(__xludf.DUMMYFUNCTION("""COMPUTED_VALUE"""),44793)</f>
        <v>44793</v>
      </c>
      <c r="E330" s="1">
        <f ca="1">IFERROR(__xludf.DUMMYFUNCTION("""COMPUTED_VALUE"""),-20.29)</f>
        <v>-20.29</v>
      </c>
      <c r="F330" s="1">
        <f ca="1">IFERROR(__xludf.DUMMYFUNCTION("""COMPUTED_VALUE"""),87)</f>
        <v>87</v>
      </c>
      <c r="G330" s="1">
        <f ca="1">IFERROR(__xludf.DUMMYFUNCTION("""COMPUTED_VALUE"""),321)</f>
        <v>321</v>
      </c>
      <c r="H330" s="1">
        <f ca="1">IFERROR(__xludf.DUMMYFUNCTION("""COMPUTED_VALUE"""),107.3)</f>
        <v>107.3</v>
      </c>
      <c r="I330" s="1">
        <f ca="1">IFERROR(__xludf.DUMMYFUNCTION("""COMPUTED_VALUE"""),244)</f>
        <v>244</v>
      </c>
      <c r="J330" s="1">
        <f ca="1">IFERROR(__xludf.DUMMYFUNCTION("""COMPUTED_VALUE"""),62.7)</f>
        <v>62.7</v>
      </c>
      <c r="K330" s="1">
        <f ca="1">IFERROR(__xludf.DUMMYFUNCTION("""COMPUTED_VALUE"""),308)</f>
        <v>308</v>
      </c>
      <c r="L330" s="1" t="str">
        <f ca="1">IFERROR(__xludf.DUMMYFUNCTION("""COMPUTED_VALUE"""),"+.039")</f>
        <v>+.039</v>
      </c>
      <c r="M330" s="1">
        <f ca="1">IFERROR(__xludf.DUMMYFUNCTION("""COMPUTED_VALUE"""),78)</f>
        <v>78</v>
      </c>
      <c r="N330" s="1">
        <f ca="1">IFERROR(__xludf.DUMMYFUNCTION("""COMPUTED_VALUE"""),-9.59)</f>
        <v>-9.59</v>
      </c>
      <c r="O330" s="1">
        <f ca="1">IFERROR(__xludf.DUMMYFUNCTION("""COMPUTED_VALUE"""),300)</f>
        <v>300</v>
      </c>
      <c r="P330" s="1">
        <f ca="1">IFERROR(__xludf.DUMMYFUNCTION("""COMPUTED_VALUE"""),98)</f>
        <v>98</v>
      </c>
      <c r="Q330" s="1">
        <f ca="1">IFERROR(__xludf.DUMMYFUNCTION("""COMPUTED_VALUE"""),292)</f>
        <v>292</v>
      </c>
      <c r="R330" s="1">
        <f ca="1">IFERROR(__xludf.DUMMYFUNCTION("""COMPUTED_VALUE"""),107.6)</f>
        <v>107.6</v>
      </c>
      <c r="S330" s="1">
        <f ca="1">IFERROR(__xludf.DUMMYFUNCTION("""COMPUTED_VALUE"""),302)</f>
        <v>302</v>
      </c>
      <c r="T330" s="1">
        <f ca="1">IFERROR(__xludf.DUMMYFUNCTION("""COMPUTED_VALUE"""),-4.06)</f>
        <v>-4.0599999999999996</v>
      </c>
      <c r="U330" s="1">
        <f ca="1">IFERROR(__xludf.DUMMYFUNCTION("""COMPUTED_VALUE"""),255)</f>
        <v>255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IFERROR(__xludf.DUMMYFUNCTION("""COMPUTED_VALUE"""),"Coppin St.")</f>
        <v>Coppin St.</v>
      </c>
      <c r="C331" s="1" t="str">
        <f ca="1">IFERROR(__xludf.DUMMYFUNCTION("""COMPUTED_VALUE"""),"MEAC")</f>
        <v>MEAC</v>
      </c>
      <c r="D331" s="2">
        <f ca="1">IFERROR(__xludf.DUMMYFUNCTION("""COMPUTED_VALUE"""),44705)</f>
        <v>44705</v>
      </c>
      <c r="E331" s="1">
        <f ca="1">IFERROR(__xludf.DUMMYFUNCTION("""COMPUTED_VALUE"""),-21.03)</f>
        <v>-21.03</v>
      </c>
      <c r="F331" s="1">
        <f ca="1">IFERROR(__xludf.DUMMYFUNCTION("""COMPUTED_VALUE"""),88)</f>
        <v>88</v>
      </c>
      <c r="G331" s="1">
        <f ca="1">IFERROR(__xludf.DUMMYFUNCTION("""COMPUTED_VALUE"""),319)</f>
        <v>319</v>
      </c>
      <c r="H331" s="1">
        <f ca="1">IFERROR(__xludf.DUMMYFUNCTION("""COMPUTED_VALUE"""),109)</f>
        <v>109</v>
      </c>
      <c r="I331" s="1">
        <f ca="1">IFERROR(__xludf.DUMMYFUNCTION("""COMPUTED_VALUE"""),270)</f>
        <v>270</v>
      </c>
      <c r="J331" s="1">
        <f ca="1">IFERROR(__xludf.DUMMYFUNCTION("""COMPUTED_VALUE"""),64.3)</f>
        <v>64.3</v>
      </c>
      <c r="K331" s="1">
        <f ca="1">IFERROR(__xludf.DUMMYFUNCTION("""COMPUTED_VALUE"""),285)</f>
        <v>285</v>
      </c>
      <c r="L331" s="1">
        <f ca="1">IFERROR(__xludf.DUMMYFUNCTION("""COMPUTED_VALUE"""),-0.062)</f>
        <v>-6.2E-2</v>
      </c>
      <c r="M331" s="1">
        <f ca="1">IFERROR(__xludf.DUMMYFUNCTION("""COMPUTED_VALUE"""),291)</f>
        <v>291</v>
      </c>
      <c r="N331" s="1">
        <f ca="1">IFERROR(__xludf.DUMMYFUNCTION("""COMPUTED_VALUE"""),-8.42)</f>
        <v>-8.42</v>
      </c>
      <c r="O331" s="1">
        <f ca="1">IFERROR(__xludf.DUMMYFUNCTION("""COMPUTED_VALUE"""),288)</f>
        <v>288</v>
      </c>
      <c r="P331" s="1">
        <f ca="1">IFERROR(__xludf.DUMMYFUNCTION("""COMPUTED_VALUE"""),98.4)</f>
        <v>98.4</v>
      </c>
      <c r="Q331" s="1">
        <f ca="1">IFERROR(__xludf.DUMMYFUNCTION("""COMPUTED_VALUE"""),283)</f>
        <v>283</v>
      </c>
      <c r="R331" s="1">
        <f ca="1">IFERROR(__xludf.DUMMYFUNCTION("""COMPUTED_VALUE"""),106.8)</f>
        <v>106.8</v>
      </c>
      <c r="S331" s="1">
        <f ca="1">IFERROR(__xludf.DUMMYFUNCTION("""COMPUTED_VALUE"""),288)</f>
        <v>288</v>
      </c>
      <c r="T331" s="1">
        <f ca="1">IFERROR(__xludf.DUMMYFUNCTION("""COMPUTED_VALUE"""),-0.24)</f>
        <v>-0.24</v>
      </c>
      <c r="U331" s="1">
        <f ca="1">IFERROR(__xludf.DUMMYFUNCTION("""COMPUTED_VALUE"""),164)</f>
        <v>164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IFERROR(__xludf.DUMMYFUNCTION("""COMPUTED_VALUE"""),"Morgan St.")</f>
        <v>Morgan St.</v>
      </c>
      <c r="C332" s="1" t="str">
        <f ca="1">IFERROR(__xludf.DUMMYFUNCTION("""COMPUTED_VALUE"""),"MEAC")</f>
        <v>MEAC</v>
      </c>
      <c r="D332" s="2">
        <f ca="1">IFERROR(__xludf.DUMMYFUNCTION("""COMPUTED_VALUE"""),44645)</f>
        <v>44645</v>
      </c>
      <c r="E332" s="1">
        <f ca="1">IFERROR(__xludf.DUMMYFUNCTION("""COMPUTED_VALUE"""),-21.23)</f>
        <v>-21.23</v>
      </c>
      <c r="F332" s="1">
        <f ca="1">IFERROR(__xludf.DUMMYFUNCTION("""COMPUTED_VALUE"""),90)</f>
        <v>90</v>
      </c>
      <c r="G332" s="1">
        <f ca="1">IFERROR(__xludf.DUMMYFUNCTION("""COMPUTED_VALUE"""),313)</f>
        <v>313</v>
      </c>
      <c r="H332" s="1">
        <f ca="1">IFERROR(__xludf.DUMMYFUNCTION("""COMPUTED_VALUE"""),111.3)</f>
        <v>111.3</v>
      </c>
      <c r="I332" s="1">
        <f ca="1">IFERROR(__xludf.DUMMYFUNCTION("""COMPUTED_VALUE"""),296)</f>
        <v>296</v>
      </c>
      <c r="J332" s="1">
        <f ca="1">IFERROR(__xludf.DUMMYFUNCTION("""COMPUTED_VALUE"""),70.1)</f>
        <v>70.099999999999994</v>
      </c>
      <c r="K332" s="1">
        <f ca="1">IFERROR(__xludf.DUMMYFUNCTION("""COMPUTED_VALUE"""),86)</f>
        <v>86</v>
      </c>
      <c r="L332" s="1">
        <f ca="1">IFERROR(__xludf.DUMMYFUNCTION("""COMPUTED_VALUE"""),-0.019)</f>
        <v>-1.9E-2</v>
      </c>
      <c r="M332" s="1">
        <f ca="1">IFERROR(__xludf.DUMMYFUNCTION("""COMPUTED_VALUE"""),203)</f>
        <v>203</v>
      </c>
      <c r="N332" s="1">
        <f ca="1">IFERROR(__xludf.DUMMYFUNCTION("""COMPUTED_VALUE"""),-6.6)</f>
        <v>-6.6</v>
      </c>
      <c r="O332" s="1">
        <f ca="1">IFERROR(__xludf.DUMMYFUNCTION("""COMPUTED_VALUE"""),267)</f>
        <v>267</v>
      </c>
      <c r="P332" s="1">
        <f ca="1">IFERROR(__xludf.DUMMYFUNCTION("""COMPUTED_VALUE"""),99.6)</f>
        <v>99.6</v>
      </c>
      <c r="Q332" s="1">
        <f ca="1">IFERROR(__xludf.DUMMYFUNCTION("""COMPUTED_VALUE"""),255)</f>
        <v>255</v>
      </c>
      <c r="R332" s="1">
        <f ca="1">IFERROR(__xludf.DUMMYFUNCTION("""COMPUTED_VALUE"""),106.2)</f>
        <v>106.2</v>
      </c>
      <c r="S332" s="1">
        <f ca="1">IFERROR(__xludf.DUMMYFUNCTION("""COMPUTED_VALUE"""),273)</f>
        <v>273</v>
      </c>
      <c r="T332" s="1" t="str">
        <f ca="1">IFERROR(__xludf.DUMMYFUNCTION("""COMPUTED_VALUE"""),"+4.42")</f>
        <v>+4.42</v>
      </c>
      <c r="U332" s="1">
        <f ca="1">IFERROR(__xludf.DUMMYFUNCTION("""COMPUTED_VALUE"""),68)</f>
        <v>68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IFERROR(__xludf.DUMMYFUNCTION("""COMPUTED_VALUE"""),"Southern")</f>
        <v>Southern</v>
      </c>
      <c r="C333" s="1" t="str">
        <f ca="1">IFERROR(__xludf.DUMMYFUNCTION("""COMPUTED_VALUE"""),"SWAC")</f>
        <v>SWAC</v>
      </c>
      <c r="D333" s="2">
        <f ca="1">IFERROR(__xludf.DUMMYFUNCTION("""COMPUTED_VALUE"""),44761)</f>
        <v>44761</v>
      </c>
      <c r="E333" s="1">
        <f ca="1">IFERROR(__xludf.DUMMYFUNCTION("""COMPUTED_VALUE"""),-21.56)</f>
        <v>-21.56</v>
      </c>
      <c r="F333" s="1">
        <f ca="1">IFERROR(__xludf.DUMMYFUNCTION("""COMPUTED_VALUE"""),93.9)</f>
        <v>93.9</v>
      </c>
      <c r="G333" s="1">
        <f ca="1">IFERROR(__xludf.DUMMYFUNCTION("""COMPUTED_VALUE"""),292)</f>
        <v>292</v>
      </c>
      <c r="H333" s="1">
        <f ca="1">IFERROR(__xludf.DUMMYFUNCTION("""COMPUTED_VALUE"""),115.5)</f>
        <v>115.5</v>
      </c>
      <c r="I333" s="1">
        <f ca="1">IFERROR(__xludf.DUMMYFUNCTION("""COMPUTED_VALUE"""),322)</f>
        <v>322</v>
      </c>
      <c r="J333" s="1">
        <f ca="1">IFERROR(__xludf.DUMMYFUNCTION("""COMPUTED_VALUE"""),72.5)</f>
        <v>72.5</v>
      </c>
      <c r="K333" s="1">
        <f ca="1">IFERROR(__xludf.DUMMYFUNCTION("""COMPUTED_VALUE"""),30)</f>
        <v>30</v>
      </c>
      <c r="L333" s="1">
        <f ca="1">IFERROR(__xludf.DUMMYFUNCTION("""COMPUTED_VALUE"""),-0.003)</f>
        <v>-3.0000000000000001E-3</v>
      </c>
      <c r="M333" s="1">
        <f ca="1">IFERROR(__xludf.DUMMYFUNCTION("""COMPUTED_VALUE"""),174)</f>
        <v>174</v>
      </c>
      <c r="N333" s="1">
        <f ca="1">IFERROR(__xludf.DUMMYFUNCTION("""COMPUTED_VALUE"""),-12.68)</f>
        <v>-12.68</v>
      </c>
      <c r="O333" s="1">
        <f ca="1">IFERROR(__xludf.DUMMYFUNCTION("""COMPUTED_VALUE"""),321)</f>
        <v>321</v>
      </c>
      <c r="P333" s="1">
        <f ca="1">IFERROR(__xludf.DUMMYFUNCTION("""COMPUTED_VALUE"""),96.4)</f>
        <v>96.4</v>
      </c>
      <c r="Q333" s="1">
        <f ca="1">IFERROR(__xludf.DUMMYFUNCTION("""COMPUTED_VALUE"""),319)</f>
        <v>319</v>
      </c>
      <c r="R333" s="1">
        <f ca="1">IFERROR(__xludf.DUMMYFUNCTION("""COMPUTED_VALUE"""),109.1)</f>
        <v>109.1</v>
      </c>
      <c r="S333" s="1">
        <f ca="1">IFERROR(__xludf.DUMMYFUNCTION("""COMPUTED_VALUE"""),321)</f>
        <v>321</v>
      </c>
      <c r="T333" s="1" t="str">
        <f ca="1">IFERROR(__xludf.DUMMYFUNCTION("""COMPUTED_VALUE"""),"+2.67")</f>
        <v>+2.67</v>
      </c>
      <c r="U333" s="1">
        <f ca="1">IFERROR(__xludf.DUMMYFUNCTION("""COMPUTED_VALUE"""),97)</f>
        <v>97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IFERROR(__xludf.DUMMYFUNCTION("""COMPUTED_VALUE"""),"Fairleigh Dickinson")</f>
        <v>Fairleigh Dickinson</v>
      </c>
      <c r="C334" s="1" t="str">
        <f ca="1">IFERROR(__xludf.DUMMYFUNCTION("""COMPUTED_VALUE"""),"NEC")</f>
        <v>NEC</v>
      </c>
      <c r="D334" s="2">
        <f ca="1">IFERROR(__xludf.DUMMYFUNCTION("""COMPUTED_VALUE"""),44676)</f>
        <v>44676</v>
      </c>
      <c r="E334" s="1">
        <f ca="1">IFERROR(__xludf.DUMMYFUNCTION("""COMPUTED_VALUE"""),-22.73)</f>
        <v>-22.73</v>
      </c>
      <c r="F334" s="1">
        <f ca="1">IFERROR(__xludf.DUMMYFUNCTION("""COMPUTED_VALUE"""),93.5)</f>
        <v>93.5</v>
      </c>
      <c r="G334" s="1">
        <f ca="1">IFERROR(__xludf.DUMMYFUNCTION("""COMPUTED_VALUE"""),297)</f>
        <v>297</v>
      </c>
      <c r="H334" s="1">
        <f ca="1">IFERROR(__xludf.DUMMYFUNCTION("""COMPUTED_VALUE"""),116.3)</f>
        <v>116.3</v>
      </c>
      <c r="I334" s="1">
        <f ca="1">IFERROR(__xludf.DUMMYFUNCTION("""COMPUTED_VALUE"""),324)</f>
        <v>324</v>
      </c>
      <c r="J334" s="1">
        <f ca="1">IFERROR(__xludf.DUMMYFUNCTION("""COMPUTED_VALUE"""),70.4)</f>
        <v>70.400000000000006</v>
      </c>
      <c r="K334" s="1">
        <f ca="1">IFERROR(__xludf.DUMMYFUNCTION("""COMPUTED_VALUE"""),79)</f>
        <v>79</v>
      </c>
      <c r="L334" s="1">
        <f ca="1">IFERROR(__xludf.DUMMYFUNCTION("""COMPUTED_VALUE"""),-0.103)</f>
        <v>-0.10299999999999999</v>
      </c>
      <c r="M334" s="1">
        <f ca="1">IFERROR(__xludf.DUMMYFUNCTION("""COMPUTED_VALUE"""),317)</f>
        <v>317</v>
      </c>
      <c r="N334" s="1">
        <f ca="1">IFERROR(__xludf.DUMMYFUNCTION("""COMPUTED_VALUE"""),-11.35)</f>
        <v>-11.35</v>
      </c>
      <c r="O334" s="1">
        <f ca="1">IFERROR(__xludf.DUMMYFUNCTION("""COMPUTED_VALUE"""),316)</f>
        <v>316</v>
      </c>
      <c r="P334" s="1">
        <f ca="1">IFERROR(__xludf.DUMMYFUNCTION("""COMPUTED_VALUE"""),96.9)</f>
        <v>96.9</v>
      </c>
      <c r="Q334" s="1">
        <f ca="1">IFERROR(__xludf.DUMMYFUNCTION("""COMPUTED_VALUE"""),315)</f>
        <v>315</v>
      </c>
      <c r="R334" s="1">
        <f ca="1">IFERROR(__xludf.DUMMYFUNCTION("""COMPUTED_VALUE"""),108.2)</f>
        <v>108.2</v>
      </c>
      <c r="S334" s="1">
        <f ca="1">IFERROR(__xludf.DUMMYFUNCTION("""COMPUTED_VALUE"""),314)</f>
        <v>314</v>
      </c>
      <c r="T334" s="1">
        <f ca="1">IFERROR(__xludf.DUMMYFUNCTION("""COMPUTED_VALUE"""),-6)</f>
        <v>-6</v>
      </c>
      <c r="U334" s="1">
        <f ca="1">IFERROR(__xludf.DUMMYFUNCTION("""COMPUTED_VALUE"""),289)</f>
        <v>289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IFERROR(__xludf.DUMMYFUNCTION("""COMPUTED_VALUE"""),"Prairie View A&amp;M")</f>
        <v>Prairie View A&amp;M</v>
      </c>
      <c r="C335" s="1" t="str">
        <f ca="1">IFERROR(__xludf.DUMMYFUNCTION("""COMPUTED_VALUE"""),"SWAC")</f>
        <v>SWAC</v>
      </c>
      <c r="D335" s="2">
        <f ca="1">IFERROR(__xludf.DUMMYFUNCTION("""COMPUTED_VALUE"""),44823)</f>
        <v>44823</v>
      </c>
      <c r="E335" s="1">
        <f ca="1">IFERROR(__xludf.DUMMYFUNCTION("""COMPUTED_VALUE"""),-23.35)</f>
        <v>-23.35</v>
      </c>
      <c r="F335" s="1">
        <f ca="1">IFERROR(__xludf.DUMMYFUNCTION("""COMPUTED_VALUE"""),89.6)</f>
        <v>89.6</v>
      </c>
      <c r="G335" s="1">
        <f ca="1">IFERROR(__xludf.DUMMYFUNCTION("""COMPUTED_VALUE"""),314)</f>
        <v>314</v>
      </c>
      <c r="H335" s="1">
        <f ca="1">IFERROR(__xludf.DUMMYFUNCTION("""COMPUTED_VALUE"""),112.9)</f>
        <v>112.9</v>
      </c>
      <c r="I335" s="1">
        <f ca="1">IFERROR(__xludf.DUMMYFUNCTION("""COMPUTED_VALUE"""),307)</f>
        <v>307</v>
      </c>
      <c r="J335" s="1">
        <f ca="1">IFERROR(__xludf.DUMMYFUNCTION("""COMPUTED_VALUE"""),73.9)</f>
        <v>73.900000000000006</v>
      </c>
      <c r="K335" s="1">
        <f ca="1">IFERROR(__xludf.DUMMYFUNCTION("""COMPUTED_VALUE"""),13)</f>
        <v>13</v>
      </c>
      <c r="L335" s="1" t="str">
        <f ca="1">IFERROR(__xludf.DUMMYFUNCTION("""COMPUTED_VALUE"""),"+.076")</f>
        <v>+.076</v>
      </c>
      <c r="M335" s="1">
        <f ca="1">IFERROR(__xludf.DUMMYFUNCTION("""COMPUTED_VALUE"""),20)</f>
        <v>20</v>
      </c>
      <c r="N335" s="1">
        <f ca="1">IFERROR(__xludf.DUMMYFUNCTION("""COMPUTED_VALUE"""),-11.27)</f>
        <v>-11.27</v>
      </c>
      <c r="O335" s="1">
        <f ca="1">IFERROR(__xludf.DUMMYFUNCTION("""COMPUTED_VALUE"""),315)</f>
        <v>315</v>
      </c>
      <c r="P335" s="1">
        <f ca="1">IFERROR(__xludf.DUMMYFUNCTION("""COMPUTED_VALUE"""),97.4)</f>
        <v>97.4</v>
      </c>
      <c r="Q335" s="1">
        <f ca="1">IFERROR(__xludf.DUMMYFUNCTION("""COMPUTED_VALUE"""),308)</f>
        <v>308</v>
      </c>
      <c r="R335" s="1">
        <f ca="1">IFERROR(__xludf.DUMMYFUNCTION("""COMPUTED_VALUE"""),108.6)</f>
        <v>108.6</v>
      </c>
      <c r="S335" s="1">
        <f ca="1">IFERROR(__xludf.DUMMYFUNCTION("""COMPUTED_VALUE"""),317)</f>
        <v>317</v>
      </c>
      <c r="T335" s="1" t="str">
        <f ca="1">IFERROR(__xludf.DUMMYFUNCTION("""COMPUTED_VALUE"""),"+4.98")</f>
        <v>+4.98</v>
      </c>
      <c r="U335" s="1">
        <f ca="1">IFERROR(__xludf.DUMMYFUNCTION("""COMPUTED_VALUE"""),59)</f>
        <v>59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IFERROR(__xludf.DUMMYFUNCTION("""COMPUTED_VALUE"""),"Chicago St.")</f>
        <v>Chicago St.</v>
      </c>
      <c r="C336" s="1" t="str">
        <f ca="1">IFERROR(__xludf.DUMMYFUNCTION("""COMPUTED_VALUE"""),"MCon")</f>
        <v>MCon</v>
      </c>
      <c r="D336" s="2">
        <f ca="1">IFERROR(__xludf.DUMMYFUNCTION("""COMPUTED_VALUE"""),44587)</f>
        <v>44587</v>
      </c>
      <c r="E336" s="1">
        <f ca="1">IFERROR(__xludf.DUMMYFUNCTION("""COMPUTED_VALUE"""),-24.56)</f>
        <v>-24.56</v>
      </c>
      <c r="F336" s="1">
        <f ca="1">IFERROR(__xludf.DUMMYFUNCTION("""COMPUTED_VALUE"""),89.5)</f>
        <v>89.5</v>
      </c>
      <c r="G336" s="1">
        <f ca="1">IFERROR(__xludf.DUMMYFUNCTION("""COMPUTED_VALUE"""),315)</f>
        <v>315</v>
      </c>
      <c r="H336" s="1">
        <f ca="1">IFERROR(__xludf.DUMMYFUNCTION("""COMPUTED_VALUE"""),114.1)</f>
        <v>114.1</v>
      </c>
      <c r="I336" s="1">
        <f ca="1">IFERROR(__xludf.DUMMYFUNCTION("""COMPUTED_VALUE"""),313)</f>
        <v>313</v>
      </c>
      <c r="J336" s="1">
        <f ca="1">IFERROR(__xludf.DUMMYFUNCTION("""COMPUTED_VALUE"""),69.5)</f>
        <v>69.5</v>
      </c>
      <c r="K336" s="1">
        <f ca="1">IFERROR(__xludf.DUMMYFUNCTION("""COMPUTED_VALUE"""),105)</f>
        <v>105</v>
      </c>
      <c r="L336" s="1">
        <f ca="1">IFERROR(__xludf.DUMMYFUNCTION("""COMPUTED_VALUE"""),-0.027)</f>
        <v>-2.7E-2</v>
      </c>
      <c r="M336" s="1">
        <f ca="1">IFERROR(__xludf.DUMMYFUNCTION("""COMPUTED_VALUE"""),227)</f>
        <v>227</v>
      </c>
      <c r="N336" s="1" t="str">
        <f ca="1">IFERROR(__xludf.DUMMYFUNCTION("""COMPUTED_VALUE"""),"+0.41")</f>
        <v>+0.41</v>
      </c>
      <c r="O336" s="1">
        <f ca="1">IFERROR(__xludf.DUMMYFUNCTION("""COMPUTED_VALUE"""),148)</f>
        <v>148</v>
      </c>
      <c r="P336" s="1">
        <f ca="1">IFERROR(__xludf.DUMMYFUNCTION("""COMPUTED_VALUE"""),103.9)</f>
        <v>103.9</v>
      </c>
      <c r="Q336" s="1">
        <f ca="1">IFERROR(__xludf.DUMMYFUNCTION("""COMPUTED_VALUE"""),140)</f>
        <v>140</v>
      </c>
      <c r="R336" s="1">
        <f ca="1">IFERROR(__xludf.DUMMYFUNCTION("""COMPUTED_VALUE"""),103.5)</f>
        <v>103.5</v>
      </c>
      <c r="S336" s="1">
        <f ca="1">IFERROR(__xludf.DUMMYFUNCTION("""COMPUTED_VALUE"""),172)</f>
        <v>172</v>
      </c>
      <c r="T336" s="1">
        <f ca="1">IFERROR(__xludf.DUMMYFUNCTION("""COMPUTED_VALUE"""),-0.16)</f>
        <v>-0.16</v>
      </c>
      <c r="U336" s="1">
        <f ca="1">IFERROR(__xludf.DUMMYFUNCTION("""COMPUTED_VALUE"""),161)</f>
        <v>161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IFERROR(__xludf.DUMMYFUNCTION("""COMPUTED_VALUE"""),"LIU Brooklyn")</f>
        <v>LIU Brooklyn</v>
      </c>
      <c r="C339" s="1" t="str">
        <f ca="1">IFERROR(__xludf.DUMMYFUNCTION("""COMPUTED_VALUE"""),"NEC")</f>
        <v>NEC</v>
      </c>
      <c r="D339" s="2">
        <f ca="1">IFERROR(__xludf.DUMMYFUNCTION("""COMPUTED_VALUE"""),44703)</f>
        <v>44703</v>
      </c>
      <c r="E339" s="1">
        <f ca="1">IFERROR(__xludf.DUMMYFUNCTION("""COMPUTED_VALUE"""),-24.88)</f>
        <v>-24.88</v>
      </c>
      <c r="F339" s="1">
        <f ca="1">IFERROR(__xludf.DUMMYFUNCTION("""COMPUTED_VALUE"""),97.5)</f>
        <v>97.5</v>
      </c>
      <c r="G339" s="1">
        <f ca="1">IFERROR(__xludf.DUMMYFUNCTION("""COMPUTED_VALUE"""),255)</f>
        <v>255</v>
      </c>
      <c r="H339" s="1">
        <f ca="1">IFERROR(__xludf.DUMMYFUNCTION("""COMPUTED_VALUE"""),122.3)</f>
        <v>122.3</v>
      </c>
      <c r="I339" s="1">
        <f ca="1">IFERROR(__xludf.DUMMYFUNCTION("""COMPUTED_VALUE"""),327)</f>
        <v>327</v>
      </c>
      <c r="J339" s="1">
        <f ca="1">IFERROR(__xludf.DUMMYFUNCTION("""COMPUTED_VALUE"""),74.4)</f>
        <v>74.400000000000006</v>
      </c>
      <c r="K339" s="1">
        <f ca="1">IFERROR(__xludf.DUMMYFUNCTION("""COMPUTED_VALUE"""),10)</f>
        <v>10</v>
      </c>
      <c r="L339" s="1" t="str">
        <f ca="1">IFERROR(__xludf.DUMMYFUNCTION("""COMPUTED_VALUE"""),"+.004")</f>
        <v>+.004</v>
      </c>
      <c r="M339" s="1">
        <f ca="1">IFERROR(__xludf.DUMMYFUNCTION("""COMPUTED_VALUE"""),160)</f>
        <v>160</v>
      </c>
      <c r="N339" s="1">
        <f ca="1">IFERROR(__xludf.DUMMYFUNCTION("""COMPUTED_VALUE"""),-8.84)</f>
        <v>-8.84</v>
      </c>
      <c r="O339" s="1">
        <f ca="1">IFERROR(__xludf.DUMMYFUNCTION("""COMPUTED_VALUE"""),293)</f>
        <v>293</v>
      </c>
      <c r="P339" s="1">
        <f ca="1">IFERROR(__xludf.DUMMYFUNCTION("""COMPUTED_VALUE"""),98.4)</f>
        <v>98.4</v>
      </c>
      <c r="Q339" s="1">
        <f ca="1">IFERROR(__xludf.DUMMYFUNCTION("""COMPUTED_VALUE"""),282)</f>
        <v>282</v>
      </c>
      <c r="R339" s="1">
        <f ca="1">IFERROR(__xludf.DUMMYFUNCTION("""COMPUTED_VALUE"""),107.2)</f>
        <v>107.2</v>
      </c>
      <c r="S339" s="1">
        <f ca="1">IFERROR(__xludf.DUMMYFUNCTION("""COMPUTED_VALUE"""),296)</f>
        <v>296</v>
      </c>
      <c r="T339" s="1" t="str">
        <f ca="1">IFERROR(__xludf.DUMMYFUNCTION("""COMPUTED_VALUE"""),"+0.74")</f>
        <v>+0.74</v>
      </c>
      <c r="U339" s="1">
        <f ca="1">IFERROR(__xludf.DUMMYFUNCTION("""COMPUTED_VALUE"""),143)</f>
        <v>143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IFERROR(__xludf.DUMMYFUNCTION("""COMPUTED_VALUE"""),"Liberty")</f>
        <v>Liberty</v>
      </c>
      <c r="C340" s="1" t="str">
        <f ca="1">IFERROR(__xludf.DUMMYFUNCTION("""COMPUTED_VALUE"""),"BSth")</f>
        <v>BSth</v>
      </c>
      <c r="D340" s="2">
        <f ca="1">IFERROR(__xludf.DUMMYFUNCTION("""COMPUTED_VALUE"""),44644)</f>
        <v>44644</v>
      </c>
      <c r="E340" s="1">
        <f ca="1">IFERROR(__xludf.DUMMYFUNCTION("""COMPUTED_VALUE"""),-25.14)</f>
        <v>-25.14</v>
      </c>
      <c r="F340" s="1">
        <f ca="1">IFERROR(__xludf.DUMMYFUNCTION("""COMPUTED_VALUE"""),85.6)</f>
        <v>85.6</v>
      </c>
      <c r="G340" s="1">
        <f ca="1">IFERROR(__xludf.DUMMYFUNCTION("""COMPUTED_VALUE"""),323)</f>
        <v>323</v>
      </c>
      <c r="H340" s="1">
        <f ca="1">IFERROR(__xludf.DUMMYFUNCTION("""COMPUTED_VALUE"""),110.7)</f>
        <v>110.7</v>
      </c>
      <c r="I340" s="1">
        <f ca="1">IFERROR(__xludf.DUMMYFUNCTION("""COMPUTED_VALUE"""),293)</f>
        <v>293</v>
      </c>
      <c r="J340" s="1">
        <f ca="1">IFERROR(__xludf.DUMMYFUNCTION("""COMPUTED_VALUE"""),72.7)</f>
        <v>72.7</v>
      </c>
      <c r="K340" s="1">
        <f ca="1">IFERROR(__xludf.DUMMYFUNCTION("""COMPUTED_VALUE"""),27)</f>
        <v>27</v>
      </c>
      <c r="L340" s="1" t="str">
        <f ca="1">IFERROR(__xludf.DUMMYFUNCTION("""COMPUTED_VALUE"""),"+.010")</f>
        <v>+.010</v>
      </c>
      <c r="M340" s="1">
        <f ca="1">IFERROR(__xludf.DUMMYFUNCTION("""COMPUTED_VALUE"""),144)</f>
        <v>144</v>
      </c>
      <c r="N340" s="1">
        <f ca="1">IFERROR(__xludf.DUMMYFUNCTION("""COMPUTED_VALUE"""),-8.27)</f>
        <v>-8.27</v>
      </c>
      <c r="O340" s="1">
        <f ca="1">IFERROR(__xludf.DUMMYFUNCTION("""COMPUTED_VALUE"""),286)</f>
        <v>286</v>
      </c>
      <c r="P340" s="1">
        <f ca="1">IFERROR(__xludf.DUMMYFUNCTION("""COMPUTED_VALUE"""),98.1)</f>
        <v>98.1</v>
      </c>
      <c r="Q340" s="1">
        <f ca="1">IFERROR(__xludf.DUMMYFUNCTION("""COMPUTED_VALUE"""),289)</f>
        <v>289</v>
      </c>
      <c r="R340" s="1">
        <f ca="1">IFERROR(__xludf.DUMMYFUNCTION("""COMPUTED_VALUE"""),106.4)</f>
        <v>106.4</v>
      </c>
      <c r="S340" s="1">
        <f ca="1">IFERROR(__xludf.DUMMYFUNCTION("""COMPUTED_VALUE"""),279)</f>
        <v>279</v>
      </c>
      <c r="T340" s="1">
        <f ca="1">IFERROR(__xludf.DUMMYFUNCTION("""COMPUTED_VALUE"""),-1)</f>
        <v>-1</v>
      </c>
      <c r="U340" s="1">
        <f ca="1">IFERROR(__xludf.DUMMYFUNCTION("""COMPUTED_VALUE"""),190)</f>
        <v>190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IFERROR(__xludf.DUMMYFUNCTION("""COMPUTED_VALUE"""),"Nicholls St.")</f>
        <v>Nicholls St.</v>
      </c>
      <c r="C341" s="1" t="str">
        <f ca="1">IFERROR(__xludf.DUMMYFUNCTION("""COMPUTED_VALUE"""),"Slnd")</f>
        <v>Slnd</v>
      </c>
      <c r="D341" s="2">
        <f ca="1">IFERROR(__xludf.DUMMYFUNCTION("""COMPUTED_VALUE"""),44586)</f>
        <v>44586</v>
      </c>
      <c r="E341" s="1">
        <f ca="1">IFERROR(__xludf.DUMMYFUNCTION("""COMPUTED_VALUE"""),-26.22)</f>
        <v>-26.22</v>
      </c>
      <c r="F341" s="1">
        <f ca="1">IFERROR(__xludf.DUMMYFUNCTION("""COMPUTED_VALUE"""),87.1)</f>
        <v>87.1</v>
      </c>
      <c r="G341" s="1">
        <f ca="1">IFERROR(__xludf.DUMMYFUNCTION("""COMPUTED_VALUE"""),320)</f>
        <v>320</v>
      </c>
      <c r="H341" s="1">
        <f ca="1">IFERROR(__xludf.DUMMYFUNCTION("""COMPUTED_VALUE"""),113.3)</f>
        <v>113.3</v>
      </c>
      <c r="I341" s="1">
        <f ca="1">IFERROR(__xludf.DUMMYFUNCTION("""COMPUTED_VALUE"""),309)</f>
        <v>309</v>
      </c>
      <c r="J341" s="1">
        <f ca="1">IFERROR(__xludf.DUMMYFUNCTION("""COMPUTED_VALUE"""),68.9)</f>
        <v>68.900000000000006</v>
      </c>
      <c r="K341" s="1">
        <f ca="1">IFERROR(__xludf.DUMMYFUNCTION("""COMPUTED_VALUE"""),138)</f>
        <v>138</v>
      </c>
      <c r="L341" s="1">
        <f ca="1">IFERROR(__xludf.DUMMYFUNCTION("""COMPUTED_VALUE"""),-0.07)</f>
        <v>-7.0000000000000007E-2</v>
      </c>
      <c r="M341" s="1">
        <f ca="1">IFERROR(__xludf.DUMMYFUNCTION("""COMPUTED_VALUE"""),295)</f>
        <v>295</v>
      </c>
      <c r="N341" s="1">
        <f ca="1">IFERROR(__xludf.DUMMYFUNCTION("""COMPUTED_VALUE"""),-2.56)</f>
        <v>-2.56</v>
      </c>
      <c r="O341" s="1">
        <f ca="1">IFERROR(__xludf.DUMMYFUNCTION("""COMPUTED_VALUE"""),214)</f>
        <v>214</v>
      </c>
      <c r="P341" s="1">
        <f ca="1">IFERROR(__xludf.DUMMYFUNCTION("""COMPUTED_VALUE"""),100.9)</f>
        <v>100.9</v>
      </c>
      <c r="Q341" s="1">
        <f ca="1">IFERROR(__xludf.DUMMYFUNCTION("""COMPUTED_VALUE"""),233)</f>
        <v>233</v>
      </c>
      <c r="R341" s="1">
        <f ca="1">IFERROR(__xludf.DUMMYFUNCTION("""COMPUTED_VALUE"""),103.4)</f>
        <v>103.4</v>
      </c>
      <c r="S341" s="1">
        <f ca="1">IFERROR(__xludf.DUMMYFUNCTION("""COMPUTED_VALUE"""),166)</f>
        <v>166</v>
      </c>
      <c r="T341" s="1" t="str">
        <f ca="1">IFERROR(__xludf.DUMMYFUNCTION("""COMPUTED_VALUE"""),"+12.19")</f>
        <v>+12.19</v>
      </c>
      <c r="U341" s="1">
        <f ca="1">IFERROR(__xludf.DUMMYFUNCTION("""COMPUTED_VALUE"""),7)</f>
        <v>7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IFERROR(__xludf.DUMMYFUNCTION("""COMPUTED_VALUE"""),"Arkansas Pine Bluff")</f>
        <v>Arkansas Pine Bluff</v>
      </c>
      <c r="C342" s="1" t="str">
        <f ca="1">IFERROR(__xludf.DUMMYFUNCTION("""COMPUTED_VALUE"""),"SWAC")</f>
        <v>SWAC</v>
      </c>
      <c r="D342" s="2">
        <f ca="1">IFERROR(__xludf.DUMMYFUNCTION("""COMPUTED_VALUE"""),44618)</f>
        <v>44618</v>
      </c>
      <c r="E342" s="1">
        <f ca="1">IFERROR(__xludf.DUMMYFUNCTION("""COMPUTED_VALUE"""),-28.85)</f>
        <v>-28.85</v>
      </c>
      <c r="F342" s="1">
        <f ca="1">IFERROR(__xludf.DUMMYFUNCTION("""COMPUTED_VALUE"""),82.2)</f>
        <v>82.2</v>
      </c>
      <c r="G342" s="1">
        <f ca="1">IFERROR(__xludf.DUMMYFUNCTION("""COMPUTED_VALUE"""),326)</f>
        <v>326</v>
      </c>
      <c r="H342" s="1">
        <f ca="1">IFERROR(__xludf.DUMMYFUNCTION("""COMPUTED_VALUE"""),111.1)</f>
        <v>111.1</v>
      </c>
      <c r="I342" s="1">
        <f ca="1">IFERROR(__xludf.DUMMYFUNCTION("""COMPUTED_VALUE"""),294)</f>
        <v>294</v>
      </c>
      <c r="J342" s="1">
        <f ca="1">IFERROR(__xludf.DUMMYFUNCTION("""COMPUTED_VALUE"""),75.5)</f>
        <v>75.5</v>
      </c>
      <c r="K342" s="1">
        <f ca="1">IFERROR(__xludf.DUMMYFUNCTION("""COMPUTED_VALUE"""),5)</f>
        <v>5</v>
      </c>
      <c r="L342" s="1">
        <f ca="1">IFERROR(__xludf.DUMMYFUNCTION("""COMPUTED_VALUE"""),-0.014)</f>
        <v>-1.4E-2</v>
      </c>
      <c r="M342" s="1">
        <f ca="1">IFERROR(__xludf.DUMMYFUNCTION("""COMPUTED_VALUE"""),195)</f>
        <v>195</v>
      </c>
      <c r="N342" s="1">
        <f ca="1">IFERROR(__xludf.DUMMYFUNCTION("""COMPUTED_VALUE"""),-7.86)</f>
        <v>-7.86</v>
      </c>
      <c r="O342" s="1">
        <f ca="1">IFERROR(__xludf.DUMMYFUNCTION("""COMPUTED_VALUE"""),284)</f>
        <v>284</v>
      </c>
      <c r="P342" s="1">
        <f ca="1">IFERROR(__xludf.DUMMYFUNCTION("""COMPUTED_VALUE"""),100.1)</f>
        <v>100.1</v>
      </c>
      <c r="Q342" s="1">
        <f ca="1">IFERROR(__xludf.DUMMYFUNCTION("""COMPUTED_VALUE"""),245)</f>
        <v>245</v>
      </c>
      <c r="R342" s="1">
        <f ca="1">IFERROR(__xludf.DUMMYFUNCTION("""COMPUTED_VALUE"""),107.9)</f>
        <v>107.9</v>
      </c>
      <c r="S342" s="1">
        <f ca="1">IFERROR(__xludf.DUMMYFUNCTION("""COMPUTED_VALUE"""),306)</f>
        <v>306</v>
      </c>
      <c r="T342" s="1" t="str">
        <f ca="1">IFERROR(__xludf.DUMMYFUNCTION("""COMPUTED_VALUE"""),"+12.22")</f>
        <v>+12.22</v>
      </c>
      <c r="U342" s="1">
        <f ca="1">IFERROR(__xludf.DUMMYFUNCTION("""COMPUTED_VALUE"""),6)</f>
        <v>6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IFERROR(__xludf.DUMMYFUNCTION("""COMPUTED_VALUE"""),"Mount St. Mary's")</f>
        <v>Mount St. Mary's</v>
      </c>
      <c r="C343" s="1" t="str">
        <f ca="1">IFERROR(__xludf.DUMMYFUNCTION("""COMPUTED_VALUE"""),"NEC")</f>
        <v>NEC</v>
      </c>
      <c r="D343" s="2">
        <f ca="1">IFERROR(__xludf.DUMMYFUNCTION("""COMPUTED_VALUE"""),44644)</f>
        <v>44644</v>
      </c>
      <c r="E343" s="1">
        <f ca="1">IFERROR(__xludf.DUMMYFUNCTION("""COMPUTED_VALUE"""),-29.36)</f>
        <v>-29.36</v>
      </c>
      <c r="F343" s="1">
        <f ca="1">IFERROR(__xludf.DUMMYFUNCTION("""COMPUTED_VALUE"""),85.1)</f>
        <v>85.1</v>
      </c>
      <c r="G343" s="1">
        <f ca="1">IFERROR(__xludf.DUMMYFUNCTION("""COMPUTED_VALUE"""),325)</f>
        <v>325</v>
      </c>
      <c r="H343" s="1">
        <f ca="1">IFERROR(__xludf.DUMMYFUNCTION("""COMPUTED_VALUE"""),114.5)</f>
        <v>114.5</v>
      </c>
      <c r="I343" s="1">
        <f ca="1">IFERROR(__xludf.DUMMYFUNCTION("""COMPUTED_VALUE"""),316)</f>
        <v>316</v>
      </c>
      <c r="J343" s="1">
        <f ca="1">IFERROR(__xludf.DUMMYFUNCTION("""COMPUTED_VALUE"""),67)</f>
        <v>67</v>
      </c>
      <c r="K343" s="1">
        <f ca="1">IFERROR(__xludf.DUMMYFUNCTION("""COMPUTED_VALUE"""),207)</f>
        <v>207</v>
      </c>
      <c r="L343" s="1" t="str">
        <f ca="1">IFERROR(__xludf.DUMMYFUNCTION("""COMPUTED_VALUE"""),"+.019")</f>
        <v>+.019</v>
      </c>
      <c r="M343" s="1">
        <f ca="1">IFERROR(__xludf.DUMMYFUNCTION("""COMPUTED_VALUE"""),113)</f>
        <v>113</v>
      </c>
      <c r="N343" s="1">
        <f ca="1">IFERROR(__xludf.DUMMYFUNCTION("""COMPUTED_VALUE"""),-10.5)</f>
        <v>-10.5</v>
      </c>
      <c r="O343" s="1">
        <f ca="1">IFERROR(__xludf.DUMMYFUNCTION("""COMPUTED_VALUE"""),309)</f>
        <v>309</v>
      </c>
      <c r="P343" s="1">
        <f ca="1">IFERROR(__xludf.DUMMYFUNCTION("""COMPUTED_VALUE"""),97.7)</f>
        <v>97.7</v>
      </c>
      <c r="Q343" s="1">
        <f ca="1">IFERROR(__xludf.DUMMYFUNCTION("""COMPUTED_VALUE"""),299)</f>
        <v>299</v>
      </c>
      <c r="R343" s="1">
        <f ca="1">IFERROR(__xludf.DUMMYFUNCTION("""COMPUTED_VALUE"""),108.2)</f>
        <v>108.2</v>
      </c>
      <c r="S343" s="1">
        <f ca="1">IFERROR(__xludf.DUMMYFUNCTION("""COMPUTED_VALUE"""),313)</f>
        <v>313</v>
      </c>
      <c r="T343" s="1">
        <f ca="1">IFERROR(__xludf.DUMMYFUNCTION("""COMPUTED_VALUE"""),-2.14)</f>
        <v>-2.14</v>
      </c>
      <c r="U343" s="1">
        <f ca="1">IFERROR(__xludf.DUMMYFUNCTION("""COMPUTED_VALUE"""),219)</f>
        <v>219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IFERROR(__xludf.DUMMYFUNCTION("""COMPUTED_VALUE"""),"Morris Brown")</f>
        <v>Morris Brown</v>
      </c>
      <c r="C344" s="1" t="str">
        <f ca="1">IFERROR(__xludf.DUMMYFUNCTION("""COMPUTED_VALUE"""),"ind")</f>
        <v>ind</v>
      </c>
      <c r="D344" s="2">
        <f ca="1">IFERROR(__xludf.DUMMYFUNCTION("""COMPUTED_VALUE"""),44674)</f>
        <v>44674</v>
      </c>
      <c r="E344" s="1">
        <f ca="1">IFERROR(__xludf.DUMMYFUNCTION("""COMPUTED_VALUE"""),-29.95)</f>
        <v>-29.95</v>
      </c>
      <c r="F344" s="1">
        <f ca="1">IFERROR(__xludf.DUMMYFUNCTION("""COMPUTED_VALUE"""),85.1)</f>
        <v>85.1</v>
      </c>
      <c r="G344" s="1">
        <f ca="1">IFERROR(__xludf.DUMMYFUNCTION("""COMPUTED_VALUE"""),324)</f>
        <v>324</v>
      </c>
      <c r="H344" s="1">
        <f ca="1">IFERROR(__xludf.DUMMYFUNCTION("""COMPUTED_VALUE"""),115.1)</f>
        <v>115.1</v>
      </c>
      <c r="I344" s="1">
        <f ca="1">IFERROR(__xludf.DUMMYFUNCTION("""COMPUTED_VALUE"""),320)</f>
        <v>320</v>
      </c>
      <c r="J344" s="1">
        <f ca="1">IFERROR(__xludf.DUMMYFUNCTION("""COMPUTED_VALUE"""),67.6)</f>
        <v>67.599999999999994</v>
      </c>
      <c r="K344" s="1">
        <f ca="1">IFERROR(__xludf.DUMMYFUNCTION("""COMPUTED_VALUE"""),188)</f>
        <v>188</v>
      </c>
      <c r="L344" s="1" t="str">
        <f ca="1">IFERROR(__xludf.DUMMYFUNCTION("""COMPUTED_VALUE"""),"+.044")</f>
        <v>+.044</v>
      </c>
      <c r="M344" s="1">
        <f ca="1">IFERROR(__xludf.DUMMYFUNCTION("""COMPUTED_VALUE"""),67)</f>
        <v>67</v>
      </c>
      <c r="N344" s="1">
        <f ca="1">IFERROR(__xludf.DUMMYFUNCTION("""COMPUTED_VALUE"""),-2.92)</f>
        <v>-2.92</v>
      </c>
      <c r="O344" s="1">
        <f ca="1">IFERROR(__xludf.DUMMYFUNCTION("""COMPUTED_VALUE"""),222)</f>
        <v>222</v>
      </c>
      <c r="P344" s="1">
        <f ca="1">IFERROR(__xludf.DUMMYFUNCTION("""COMPUTED_VALUE"""),101.2)</f>
        <v>101.2</v>
      </c>
      <c r="Q344" s="1">
        <f ca="1">IFERROR(__xludf.DUMMYFUNCTION("""COMPUTED_VALUE"""),229)</f>
        <v>229</v>
      </c>
      <c r="R344" s="1">
        <f ca="1">IFERROR(__xludf.DUMMYFUNCTION("""COMPUTED_VALUE"""),104.2)</f>
        <v>104.2</v>
      </c>
      <c r="S344" s="1">
        <f ca="1">IFERROR(__xludf.DUMMYFUNCTION("""COMPUTED_VALUE"""),196)</f>
        <v>196</v>
      </c>
      <c r="T344" s="1" t="str">
        <f ca="1">IFERROR(__xludf.DUMMYFUNCTION("""COMPUTED_VALUE"""),"+0.32")</f>
        <v>+0.32</v>
      </c>
      <c r="U344" s="1">
        <f ca="1">IFERROR(__xludf.DUMMYFUNCTION("""COMPUTED_VALUE"""),152)</f>
        <v>152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IFERROR(__xludf.DUMMYFUNCTION("""COMPUTED_VALUE"""),"Savannah St.")</f>
        <v>Savannah St.</v>
      </c>
      <c r="C345" s="1" t="str">
        <f ca="1">IFERROR(__xludf.DUMMYFUNCTION("""COMPUTED_VALUE"""),"ind")</f>
        <v>ind</v>
      </c>
      <c r="D345" s="2">
        <f ca="1">IFERROR(__xludf.DUMMYFUNCTION("""COMPUTED_VALUE"""),44616)</f>
        <v>44616</v>
      </c>
      <c r="E345" s="1">
        <f ca="1">IFERROR(__xludf.DUMMYFUNCTION("""COMPUTED_VALUE"""),-31.15)</f>
        <v>-31.15</v>
      </c>
      <c r="F345" s="1">
        <f ca="1">IFERROR(__xludf.DUMMYFUNCTION("""COMPUTED_VALUE"""),78.1)</f>
        <v>78.099999999999994</v>
      </c>
      <c r="G345" s="1">
        <f ca="1">IFERROR(__xludf.DUMMYFUNCTION("""COMPUTED_VALUE"""),327)</f>
        <v>327</v>
      </c>
      <c r="H345" s="1">
        <f ca="1">IFERROR(__xludf.DUMMYFUNCTION("""COMPUTED_VALUE"""),109.2)</f>
        <v>109.2</v>
      </c>
      <c r="I345" s="1">
        <f ca="1">IFERROR(__xludf.DUMMYFUNCTION("""COMPUTED_VALUE"""),274)</f>
        <v>274</v>
      </c>
      <c r="J345" s="1">
        <f ca="1">IFERROR(__xludf.DUMMYFUNCTION("""COMPUTED_VALUE"""),66.4)</f>
        <v>66.400000000000006</v>
      </c>
      <c r="K345" s="1">
        <f ca="1">IFERROR(__xludf.DUMMYFUNCTION("""COMPUTED_VALUE"""),230)</f>
        <v>230</v>
      </c>
      <c r="L345" s="1">
        <f ca="1">IFERROR(__xludf.DUMMYFUNCTION("""COMPUTED_VALUE"""),-0.021)</f>
        <v>-2.1000000000000001E-2</v>
      </c>
      <c r="M345" s="1">
        <f ca="1">IFERROR(__xludf.DUMMYFUNCTION("""COMPUTED_VALUE"""),207)</f>
        <v>207</v>
      </c>
      <c r="N345" s="1">
        <f ca="1">IFERROR(__xludf.DUMMYFUNCTION("""COMPUTED_VALUE"""),-5.21)</f>
        <v>-5.21</v>
      </c>
      <c r="O345" s="1">
        <f ca="1">IFERROR(__xludf.DUMMYFUNCTION("""COMPUTED_VALUE"""),252)</f>
        <v>252</v>
      </c>
      <c r="P345" s="1">
        <f ca="1">IFERROR(__xludf.DUMMYFUNCTION("""COMPUTED_VALUE"""),100.3)</f>
        <v>100.3</v>
      </c>
      <c r="Q345" s="1">
        <f ca="1">IFERROR(__xludf.DUMMYFUNCTION("""COMPUTED_VALUE"""),244)</f>
        <v>244</v>
      </c>
      <c r="R345" s="1">
        <f ca="1">IFERROR(__xludf.DUMMYFUNCTION("""COMPUTED_VALUE"""),105.5)</f>
        <v>105.5</v>
      </c>
      <c r="S345" s="1">
        <f ca="1">IFERROR(__xludf.DUMMYFUNCTION("""COMPUTED_VALUE"""),247)</f>
        <v>247</v>
      </c>
      <c r="T345" s="1">
        <f ca="1">IFERROR(__xludf.DUMMYFUNCTION("""COMPUTED_VALUE"""),-0.64)</f>
        <v>-0.64</v>
      </c>
      <c r="U345" s="1">
        <f ca="1">IFERROR(__xludf.DUMMYFUNCTION("""COMPUTED_VALUE"""),175)</f>
        <v>175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U345"/>
  <sheetViews>
    <sheetView workbookViewId="0">
      <selection activeCell="D19" sqref="D19"/>
    </sheetView>
  </sheetViews>
  <sheetFormatPr baseColWidth="10" defaultColWidth="12.6640625" defaultRowHeight="15.75" customHeight="1" x14ac:dyDescent="0.15"/>
  <sheetData>
    <row r="1" spans="1:21" ht="13" x14ac:dyDescent="0.15">
      <c r="A1" s="3" t="str">
        <f ca="1">IFERROR(__xludf.DUMMYFUNCTION("IMPORThtML(""https://kenpom.com/index.php?y=2003"",""table"",1)"),"")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2</v>
      </c>
      <c r="H2" s="1" t="str">
        <f ca="1">IFERROR(__xludf.DUMMYFUNCTION("""COMPUTED_VALUE"""),"AdjD")</f>
        <v>AdjD</v>
      </c>
      <c r="I2" s="1" t="s">
        <v>3</v>
      </c>
      <c r="J2" s="1" t="str">
        <f ca="1">IFERROR(__xludf.DUMMYFUNCTION("""COMPUTED_VALUE"""),"AdjT")</f>
        <v>AdjT</v>
      </c>
      <c r="K2" s="1" t="s">
        <v>4</v>
      </c>
      <c r="L2" s="1" t="str">
        <f ca="1">IFERROR(__xludf.DUMMYFUNCTION("""COMPUTED_VALUE"""),"Luck")</f>
        <v>Luck</v>
      </c>
      <c r="M2" s="1" t="s">
        <v>5</v>
      </c>
      <c r="N2" s="1" t="s">
        <v>0</v>
      </c>
      <c r="O2" s="1" t="s">
        <v>6</v>
      </c>
      <c r="P2" s="1" t="str">
        <f ca="1">IFERROR(__xludf.DUMMYFUNCTION("""COMPUTED_VALUE"""),"OppO")</f>
        <v>OppO</v>
      </c>
      <c r="Q2" s="1" t="s">
        <v>7</v>
      </c>
      <c r="R2" s="1" t="str">
        <f ca="1">IFERROR(__xludf.DUMMYFUNCTION("""COMPUTED_VALUE"""),"OppD")</f>
        <v>OppD</v>
      </c>
      <c r="S2" s="1" t="s">
        <v>8</v>
      </c>
      <c r="T2" s="1" t="s">
        <v>1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IFERROR(__xludf.DUMMYFUNCTION("""COMPUTED_VALUE"""),"Kentucky1")</f>
        <v>Kentucky1</v>
      </c>
      <c r="C3" s="1" t="str">
        <f ca="1">IFERROR(__xludf.DUMMYFUNCTION("""COMPUTED_VALUE"""),"SEC")</f>
        <v>SEC</v>
      </c>
      <c r="D3" s="1" t="str">
        <f ca="1">IFERROR(__xludf.DUMMYFUNCTION("""COMPUTED_VALUE"""),"32-4")</f>
        <v>32-4</v>
      </c>
      <c r="E3" s="1" t="str">
        <f ca="1">IFERROR(__xludf.DUMMYFUNCTION("""COMPUTED_VALUE"""),"+29.18")</f>
        <v>+29.18</v>
      </c>
      <c r="F3" s="1">
        <f ca="1">IFERROR(__xludf.DUMMYFUNCTION("""COMPUTED_VALUE"""),116.5)</f>
        <v>116.5</v>
      </c>
      <c r="G3" s="1">
        <f ca="1">IFERROR(__xludf.DUMMYFUNCTION("""COMPUTED_VALUE"""),5)</f>
        <v>5</v>
      </c>
      <c r="H3" s="1">
        <f ca="1">IFERROR(__xludf.DUMMYFUNCTION("""COMPUTED_VALUE"""),87.4)</f>
        <v>87.4</v>
      </c>
      <c r="I3" s="1">
        <f ca="1">IFERROR(__xludf.DUMMYFUNCTION("""COMPUTED_VALUE"""),4)</f>
        <v>4</v>
      </c>
      <c r="J3" s="1">
        <f ca="1">IFERROR(__xludf.DUMMYFUNCTION("""COMPUTED_VALUE"""),67.7)</f>
        <v>67.7</v>
      </c>
      <c r="K3" s="1">
        <f ca="1">IFERROR(__xludf.DUMMYFUNCTION("""COMPUTED_VALUE"""),132)</f>
        <v>132</v>
      </c>
      <c r="L3" s="1" t="str">
        <f ca="1">IFERROR(__xludf.DUMMYFUNCTION("""COMPUTED_VALUE"""),"+.051")</f>
        <v>+.051</v>
      </c>
      <c r="M3" s="1">
        <f ca="1">IFERROR(__xludf.DUMMYFUNCTION("""COMPUTED_VALUE"""),53)</f>
        <v>53</v>
      </c>
      <c r="N3" s="1" t="str">
        <f ca="1">IFERROR(__xludf.DUMMYFUNCTION("""COMPUTED_VALUE"""),"+11.20")</f>
        <v>+11.20</v>
      </c>
      <c r="O3" s="1">
        <f ca="1">IFERROR(__xludf.DUMMYFUNCTION("""COMPUTED_VALUE"""),4)</f>
        <v>4</v>
      </c>
      <c r="P3" s="1">
        <f ca="1">IFERROR(__xludf.DUMMYFUNCTION("""COMPUTED_VALUE"""),108.6)</f>
        <v>108.6</v>
      </c>
      <c r="Q3" s="1">
        <f ca="1">IFERROR(__xludf.DUMMYFUNCTION("""COMPUTED_VALUE"""),3)</f>
        <v>3</v>
      </c>
      <c r="R3" s="1">
        <f ca="1">IFERROR(__xludf.DUMMYFUNCTION("""COMPUTED_VALUE"""),97.4)</f>
        <v>97.4</v>
      </c>
      <c r="S3" s="1">
        <f ca="1">IFERROR(__xludf.DUMMYFUNCTION("""COMPUTED_VALUE"""),16)</f>
        <v>16</v>
      </c>
      <c r="T3" s="1" t="str">
        <f ca="1">IFERROR(__xludf.DUMMYFUNCTION("""COMPUTED_VALUE"""),"+6.77")</f>
        <v>+6.77</v>
      </c>
      <c r="U3" s="1">
        <f ca="1">IFERROR(__xludf.DUMMYFUNCTION("""COMPUTED_VALUE"""),33)</f>
        <v>33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IFERROR(__xludf.DUMMYFUNCTION("""COMPUTED_VALUE"""),"Kansas2")</f>
        <v>Kansas2</v>
      </c>
      <c r="C4" s="1" t="str">
        <f ca="1">IFERROR(__xludf.DUMMYFUNCTION("""COMPUTED_VALUE"""),"B12")</f>
        <v>B12</v>
      </c>
      <c r="D4" s="1" t="str">
        <f ca="1">IFERROR(__xludf.DUMMYFUNCTION("""COMPUTED_VALUE"""),"30-8")</f>
        <v>30-8</v>
      </c>
      <c r="E4" s="1" t="str">
        <f ca="1">IFERROR(__xludf.DUMMYFUNCTION("""COMPUTED_VALUE"""),"+28.62")</f>
        <v>+28.62</v>
      </c>
      <c r="F4" s="1">
        <f ca="1">IFERROR(__xludf.DUMMYFUNCTION("""COMPUTED_VALUE"""),115)</f>
        <v>115</v>
      </c>
      <c r="G4" s="1">
        <f ca="1">IFERROR(__xludf.DUMMYFUNCTION("""COMPUTED_VALUE"""),12)</f>
        <v>12</v>
      </c>
      <c r="H4" s="1">
        <f ca="1">IFERROR(__xludf.DUMMYFUNCTION("""COMPUTED_VALUE"""),86.4)</f>
        <v>86.4</v>
      </c>
      <c r="I4" s="1">
        <f ca="1">IFERROR(__xludf.DUMMYFUNCTION("""COMPUTED_VALUE"""),3)</f>
        <v>3</v>
      </c>
      <c r="J4" s="1">
        <f ca="1">IFERROR(__xludf.DUMMYFUNCTION("""COMPUTED_VALUE"""),72.2)</f>
        <v>72.2</v>
      </c>
      <c r="K4" s="1">
        <f ca="1">IFERROR(__xludf.DUMMYFUNCTION("""COMPUTED_VALUE"""),14)</f>
        <v>14</v>
      </c>
      <c r="L4" s="1">
        <f ca="1">IFERROR(__xludf.DUMMYFUNCTION("""COMPUTED_VALUE"""),-0.017)</f>
        <v>-1.7000000000000001E-2</v>
      </c>
      <c r="M4" s="1">
        <f ca="1">IFERROR(__xludf.DUMMYFUNCTION("""COMPUTED_VALUE"""),208)</f>
        <v>208</v>
      </c>
      <c r="N4" s="1" t="str">
        <f ca="1">IFERROR(__xludf.DUMMYFUNCTION("""COMPUTED_VALUE"""),"+11.84")</f>
        <v>+11.84</v>
      </c>
      <c r="O4" s="1">
        <f ca="1">IFERROR(__xludf.DUMMYFUNCTION("""COMPUTED_VALUE"""),2)</f>
        <v>2</v>
      </c>
      <c r="P4" s="1">
        <f ca="1">IFERROR(__xludf.DUMMYFUNCTION("""COMPUTED_VALUE"""),108.6)</f>
        <v>108.6</v>
      </c>
      <c r="Q4" s="1">
        <f ca="1">IFERROR(__xludf.DUMMYFUNCTION("""COMPUTED_VALUE"""),2)</f>
        <v>2</v>
      </c>
      <c r="R4" s="1">
        <f ca="1">IFERROR(__xludf.DUMMYFUNCTION("""COMPUTED_VALUE"""),96.8)</f>
        <v>96.8</v>
      </c>
      <c r="S4" s="1">
        <f ca="1">IFERROR(__xludf.DUMMYFUNCTION("""COMPUTED_VALUE"""),9)</f>
        <v>9</v>
      </c>
      <c r="T4" s="1" t="str">
        <f ca="1">IFERROR(__xludf.DUMMYFUNCTION("""COMPUTED_VALUE"""),"+6.07")</f>
        <v>+6.07</v>
      </c>
      <c r="U4" s="1">
        <f ca="1">IFERROR(__xludf.DUMMYFUNCTION("""COMPUTED_VALUE"""),35)</f>
        <v>35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IFERROR(__xludf.DUMMYFUNCTION("""COMPUTED_VALUE"""),"Pittsburgh2")</f>
        <v>Pittsburgh2</v>
      </c>
      <c r="C5" s="1" t="str">
        <f ca="1">IFERROR(__xludf.DUMMYFUNCTION("""COMPUTED_VALUE"""),"BE")</f>
        <v>BE</v>
      </c>
      <c r="D5" s="1" t="str">
        <f ca="1">IFERROR(__xludf.DUMMYFUNCTION("""COMPUTED_VALUE"""),"28-5")</f>
        <v>28-5</v>
      </c>
      <c r="E5" s="1" t="str">
        <f ca="1">IFERROR(__xludf.DUMMYFUNCTION("""COMPUTED_VALUE"""),"+28.61")</f>
        <v>+28.61</v>
      </c>
      <c r="F5" s="1">
        <f ca="1">IFERROR(__xludf.DUMMYFUNCTION("""COMPUTED_VALUE"""),114.8)</f>
        <v>114.8</v>
      </c>
      <c r="G5" s="1">
        <f ca="1">IFERROR(__xludf.DUMMYFUNCTION("""COMPUTED_VALUE"""),14)</f>
        <v>14</v>
      </c>
      <c r="H5" s="1">
        <f ca="1">IFERROR(__xludf.DUMMYFUNCTION("""COMPUTED_VALUE"""),86.2)</f>
        <v>86.2</v>
      </c>
      <c r="I5" s="1">
        <f ca="1">IFERROR(__xludf.DUMMYFUNCTION("""COMPUTED_VALUE"""),2)</f>
        <v>2</v>
      </c>
      <c r="J5" s="1">
        <f ca="1">IFERROR(__xludf.DUMMYFUNCTION("""COMPUTED_VALUE"""),64.7)</f>
        <v>64.7</v>
      </c>
      <c r="K5" s="1">
        <f ca="1">IFERROR(__xludf.DUMMYFUNCTION("""COMPUTED_VALUE"""),266)</f>
        <v>266</v>
      </c>
      <c r="L5" s="1">
        <f ca="1">IFERROR(__xludf.DUMMYFUNCTION("""COMPUTED_VALUE"""),-0.023)</f>
        <v>-2.3E-2</v>
      </c>
      <c r="M5" s="1">
        <f ca="1">IFERROR(__xludf.DUMMYFUNCTION("""COMPUTED_VALUE"""),224)</f>
        <v>224</v>
      </c>
      <c r="N5" s="1" t="str">
        <f ca="1">IFERROR(__xludf.DUMMYFUNCTION("""COMPUTED_VALUE"""),"+7.08")</f>
        <v>+7.08</v>
      </c>
      <c r="O5" s="1">
        <f ca="1">IFERROR(__xludf.DUMMYFUNCTION("""COMPUTED_VALUE"""),56)</f>
        <v>56</v>
      </c>
      <c r="P5" s="1">
        <f ca="1">IFERROR(__xludf.DUMMYFUNCTION("""COMPUTED_VALUE"""),105.5)</f>
        <v>105.5</v>
      </c>
      <c r="Q5" s="1">
        <f ca="1">IFERROR(__xludf.DUMMYFUNCTION("""COMPUTED_VALUE"""),66)</f>
        <v>66</v>
      </c>
      <c r="R5" s="1">
        <f ca="1">IFERROR(__xludf.DUMMYFUNCTION("""COMPUTED_VALUE"""),98.4)</f>
        <v>98.4</v>
      </c>
      <c r="S5" s="1">
        <f ca="1">IFERROR(__xludf.DUMMYFUNCTION("""COMPUTED_VALUE"""),48)</f>
        <v>48</v>
      </c>
      <c r="T5" s="1">
        <f ca="1">IFERROR(__xludf.DUMMYFUNCTION("""COMPUTED_VALUE"""),-8.24)</f>
        <v>-8.24</v>
      </c>
      <c r="U5" s="1">
        <f ca="1">IFERROR(__xludf.DUMMYFUNCTION("""COMPUTED_VALUE"""),310)</f>
        <v>310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IFERROR(__xludf.DUMMYFUNCTION("""COMPUTED_VALUE"""),"Arizona1")</f>
        <v>Arizona1</v>
      </c>
      <c r="C6" s="1" t="str">
        <f ca="1">IFERROR(__xludf.DUMMYFUNCTION("""COMPUTED_VALUE"""),"P10")</f>
        <v>P10</v>
      </c>
      <c r="D6" s="1" t="str">
        <f ca="1">IFERROR(__xludf.DUMMYFUNCTION("""COMPUTED_VALUE"""),"28-4")</f>
        <v>28-4</v>
      </c>
      <c r="E6" s="1" t="str">
        <f ca="1">IFERROR(__xludf.DUMMYFUNCTION("""COMPUTED_VALUE"""),"+26.80")</f>
        <v>+26.80</v>
      </c>
      <c r="F6" s="1">
        <f ca="1">IFERROR(__xludf.DUMMYFUNCTION("""COMPUTED_VALUE"""),115.6)</f>
        <v>115.6</v>
      </c>
      <c r="G6" s="1">
        <f ca="1">IFERROR(__xludf.DUMMYFUNCTION("""COMPUTED_VALUE"""),10)</f>
        <v>10</v>
      </c>
      <c r="H6" s="1">
        <f ca="1">IFERROR(__xludf.DUMMYFUNCTION("""COMPUTED_VALUE"""),88.8)</f>
        <v>88.8</v>
      </c>
      <c r="I6" s="1">
        <f ca="1">IFERROR(__xludf.DUMMYFUNCTION("""COMPUTED_VALUE"""),8)</f>
        <v>8</v>
      </c>
      <c r="J6" s="1">
        <f ca="1">IFERROR(__xludf.DUMMYFUNCTION("""COMPUTED_VALUE"""),72.7)</f>
        <v>72.7</v>
      </c>
      <c r="K6" s="1">
        <f ca="1">IFERROR(__xludf.DUMMYFUNCTION("""COMPUTED_VALUE"""),11)</f>
        <v>11</v>
      </c>
      <c r="L6" s="1">
        <f ca="1">IFERROR(__xludf.DUMMYFUNCTION("""COMPUTED_VALUE"""),-0.007)</f>
        <v>-7.0000000000000001E-3</v>
      </c>
      <c r="M6" s="1">
        <f ca="1">IFERROR(__xludf.DUMMYFUNCTION("""COMPUTED_VALUE"""),181)</f>
        <v>181</v>
      </c>
      <c r="N6" s="1" t="str">
        <f ca="1">IFERROR(__xludf.DUMMYFUNCTION("""COMPUTED_VALUE"""),"+8.69")</f>
        <v>+8.69</v>
      </c>
      <c r="O6" s="1">
        <f ca="1">IFERROR(__xludf.DUMMYFUNCTION("""COMPUTED_VALUE"""),31)</f>
        <v>31</v>
      </c>
      <c r="P6" s="1">
        <f ca="1">IFERROR(__xludf.DUMMYFUNCTION("""COMPUTED_VALUE"""),107.2)</f>
        <v>107.2</v>
      </c>
      <c r="Q6" s="1">
        <f ca="1">IFERROR(__xludf.DUMMYFUNCTION("""COMPUTED_VALUE"""),14)</f>
        <v>14</v>
      </c>
      <c r="R6" s="1">
        <f ca="1">IFERROR(__xludf.DUMMYFUNCTION("""COMPUTED_VALUE"""),98.5)</f>
        <v>98.5</v>
      </c>
      <c r="S6" s="1">
        <f ca="1">IFERROR(__xludf.DUMMYFUNCTION("""COMPUTED_VALUE"""),52)</f>
        <v>52</v>
      </c>
      <c r="T6" s="1" t="str">
        <f ca="1">IFERROR(__xludf.DUMMYFUNCTION("""COMPUTED_VALUE"""),"+8.19")</f>
        <v>+8.19</v>
      </c>
      <c r="U6" s="1">
        <f ca="1">IFERROR(__xludf.DUMMYFUNCTION("""COMPUTED_VALUE"""),26)</f>
        <v>26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IFERROR(__xludf.DUMMYFUNCTION("""COMPUTED_VALUE"""),"Illinois4")</f>
        <v>Illinois4</v>
      </c>
      <c r="C7" s="1" t="str">
        <f ca="1">IFERROR(__xludf.DUMMYFUNCTION("""COMPUTED_VALUE"""),"B10")</f>
        <v>B10</v>
      </c>
      <c r="D7" s="1" t="str">
        <f ca="1">IFERROR(__xludf.DUMMYFUNCTION("""COMPUTED_VALUE"""),"25-7")</f>
        <v>25-7</v>
      </c>
      <c r="E7" s="1" t="str">
        <f ca="1">IFERROR(__xludf.DUMMYFUNCTION("""COMPUTED_VALUE"""),"+24.47")</f>
        <v>+24.47</v>
      </c>
      <c r="F7" s="1">
        <f ca="1">IFERROR(__xludf.DUMMYFUNCTION("""COMPUTED_VALUE"""),113.2)</f>
        <v>113.2</v>
      </c>
      <c r="G7" s="1">
        <f ca="1">IFERROR(__xludf.DUMMYFUNCTION("""COMPUTED_VALUE"""),22)</f>
        <v>22</v>
      </c>
      <c r="H7" s="1">
        <f ca="1">IFERROR(__xludf.DUMMYFUNCTION("""COMPUTED_VALUE"""),88.7)</f>
        <v>88.7</v>
      </c>
      <c r="I7" s="1">
        <f ca="1">IFERROR(__xludf.DUMMYFUNCTION("""COMPUTED_VALUE"""),7)</f>
        <v>7</v>
      </c>
      <c r="J7" s="1">
        <f ca="1">IFERROR(__xludf.DUMMYFUNCTION("""COMPUTED_VALUE"""),67.8)</f>
        <v>67.8</v>
      </c>
      <c r="K7" s="1">
        <f ca="1">IFERROR(__xludf.DUMMYFUNCTION("""COMPUTED_VALUE"""),127)</f>
        <v>127</v>
      </c>
      <c r="L7" s="1">
        <f ca="1">IFERROR(__xludf.DUMMYFUNCTION("""COMPUTED_VALUE"""),-0.029)</f>
        <v>-2.9000000000000001E-2</v>
      </c>
      <c r="M7" s="1">
        <f ca="1">IFERROR(__xludf.DUMMYFUNCTION("""COMPUTED_VALUE"""),242)</f>
        <v>242</v>
      </c>
      <c r="N7" s="1" t="str">
        <f ca="1">IFERROR(__xludf.DUMMYFUNCTION("""COMPUTED_VALUE"""),"+7.29")</f>
        <v>+7.29</v>
      </c>
      <c r="O7" s="1">
        <f ca="1">IFERROR(__xludf.DUMMYFUNCTION("""COMPUTED_VALUE"""),52)</f>
        <v>52</v>
      </c>
      <c r="P7" s="1">
        <f ca="1">IFERROR(__xludf.DUMMYFUNCTION("""COMPUTED_VALUE"""),105.8)</f>
        <v>105.8</v>
      </c>
      <c r="Q7" s="1">
        <f ca="1">IFERROR(__xludf.DUMMYFUNCTION("""COMPUTED_VALUE"""),60)</f>
        <v>60</v>
      </c>
      <c r="R7" s="1">
        <f ca="1">IFERROR(__xludf.DUMMYFUNCTION("""COMPUTED_VALUE"""),98.5)</f>
        <v>98.5</v>
      </c>
      <c r="S7" s="1">
        <f ca="1">IFERROR(__xludf.DUMMYFUNCTION("""COMPUTED_VALUE"""),53)</f>
        <v>53</v>
      </c>
      <c r="T7" s="1">
        <f ca="1">IFERROR(__xludf.DUMMYFUNCTION("""COMPUTED_VALUE"""),-4.18)</f>
        <v>-4.18</v>
      </c>
      <c r="U7" s="1">
        <f ca="1">IFERROR(__xludf.DUMMYFUNCTION("""COMPUTED_VALUE"""),257)</f>
        <v>257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IFERROR(__xludf.DUMMYFUNCTION("""COMPUTED_VALUE"""),"Duke3")</f>
        <v>Duke3</v>
      </c>
      <c r="C8" s="1" t="str">
        <f ca="1">IFERROR(__xludf.DUMMYFUNCTION("""COMPUTED_VALUE"""),"ACC")</f>
        <v>ACC</v>
      </c>
      <c r="D8" s="1" t="str">
        <f ca="1">IFERROR(__xludf.DUMMYFUNCTION("""COMPUTED_VALUE"""),"26-7")</f>
        <v>26-7</v>
      </c>
      <c r="E8" s="1" t="str">
        <f ca="1">IFERROR(__xludf.DUMMYFUNCTION("""COMPUTED_VALUE"""),"+23.75")</f>
        <v>+23.75</v>
      </c>
      <c r="F8" s="1">
        <f ca="1">IFERROR(__xludf.DUMMYFUNCTION("""COMPUTED_VALUE"""),115)</f>
        <v>115</v>
      </c>
      <c r="G8" s="1">
        <f ca="1">IFERROR(__xludf.DUMMYFUNCTION("""COMPUTED_VALUE"""),13)</f>
        <v>13</v>
      </c>
      <c r="H8" s="1">
        <f ca="1">IFERROR(__xludf.DUMMYFUNCTION("""COMPUTED_VALUE"""),91.3)</f>
        <v>91.3</v>
      </c>
      <c r="I8" s="1">
        <f ca="1">IFERROR(__xludf.DUMMYFUNCTION("""COMPUTED_VALUE"""),15)</f>
        <v>15</v>
      </c>
      <c r="J8" s="1">
        <f ca="1">IFERROR(__xludf.DUMMYFUNCTION("""COMPUTED_VALUE"""),70.7)</f>
        <v>70.7</v>
      </c>
      <c r="K8" s="1">
        <f ca="1">IFERROR(__xludf.DUMMYFUNCTION("""COMPUTED_VALUE"""),40)</f>
        <v>40</v>
      </c>
      <c r="L8" s="1">
        <f ca="1">IFERROR(__xludf.DUMMYFUNCTION("""COMPUTED_VALUE"""),-0.03)</f>
        <v>-0.03</v>
      </c>
      <c r="M8" s="1">
        <f ca="1">IFERROR(__xludf.DUMMYFUNCTION("""COMPUTED_VALUE"""),246)</f>
        <v>246</v>
      </c>
      <c r="N8" s="1" t="str">
        <f ca="1">IFERROR(__xludf.DUMMYFUNCTION("""COMPUTED_VALUE"""),"+8.85")</f>
        <v>+8.85</v>
      </c>
      <c r="O8" s="1">
        <f ca="1">IFERROR(__xludf.DUMMYFUNCTION("""COMPUTED_VALUE"""),28)</f>
        <v>28</v>
      </c>
      <c r="P8" s="1">
        <f ca="1">IFERROR(__xludf.DUMMYFUNCTION("""COMPUTED_VALUE"""),107.1)</f>
        <v>107.1</v>
      </c>
      <c r="Q8" s="1">
        <f ca="1">IFERROR(__xludf.DUMMYFUNCTION("""COMPUTED_VALUE"""),17)</f>
        <v>17</v>
      </c>
      <c r="R8" s="1">
        <f ca="1">IFERROR(__xludf.DUMMYFUNCTION("""COMPUTED_VALUE"""),98.3)</f>
        <v>98.3</v>
      </c>
      <c r="S8" s="1">
        <f ca="1">IFERROR(__xludf.DUMMYFUNCTION("""COMPUTED_VALUE"""),43)</f>
        <v>43</v>
      </c>
      <c r="T8" s="1" t="str">
        <f ca="1">IFERROR(__xludf.DUMMYFUNCTION("""COMPUTED_VALUE"""),"+0.64")</f>
        <v>+0.64</v>
      </c>
      <c r="U8" s="1">
        <f ca="1">IFERROR(__xludf.DUMMYFUNCTION("""COMPUTED_VALUE"""),138)</f>
        <v>138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IFERROR(__xludf.DUMMYFUNCTION("""COMPUTED_VALUE"""),"Texas1")</f>
        <v>Texas1</v>
      </c>
      <c r="C9" s="1" t="str">
        <f ca="1">IFERROR(__xludf.DUMMYFUNCTION("""COMPUTED_VALUE"""),"B12")</f>
        <v>B12</v>
      </c>
      <c r="D9" s="1" t="str">
        <f ca="1">IFERROR(__xludf.DUMMYFUNCTION("""COMPUTED_VALUE"""),"26-7")</f>
        <v>26-7</v>
      </c>
      <c r="E9" s="1" t="str">
        <f ca="1">IFERROR(__xludf.DUMMYFUNCTION("""COMPUTED_VALUE"""),"+23.49")</f>
        <v>+23.49</v>
      </c>
      <c r="F9" s="1">
        <f ca="1">IFERROR(__xludf.DUMMYFUNCTION("""COMPUTED_VALUE"""),119.3)</f>
        <v>119.3</v>
      </c>
      <c r="G9" s="1">
        <f ca="1">IFERROR(__xludf.DUMMYFUNCTION("""COMPUTED_VALUE"""),3)</f>
        <v>3</v>
      </c>
      <c r="H9" s="1">
        <f ca="1">IFERROR(__xludf.DUMMYFUNCTION("""COMPUTED_VALUE"""),95.8)</f>
        <v>95.8</v>
      </c>
      <c r="I9" s="1">
        <f ca="1">IFERROR(__xludf.DUMMYFUNCTION("""COMPUTED_VALUE"""),58)</f>
        <v>58</v>
      </c>
      <c r="J9" s="1">
        <f ca="1">IFERROR(__xludf.DUMMYFUNCTION("""COMPUTED_VALUE"""),69.4)</f>
        <v>69.400000000000006</v>
      </c>
      <c r="K9" s="1">
        <f ca="1">IFERROR(__xludf.DUMMYFUNCTION("""COMPUTED_VALUE"""),67)</f>
        <v>67</v>
      </c>
      <c r="L9" s="1">
        <f ca="1">IFERROR(__xludf.DUMMYFUNCTION("""COMPUTED_VALUE"""),-0.009)</f>
        <v>-8.9999999999999993E-3</v>
      </c>
      <c r="M9" s="1">
        <f ca="1">IFERROR(__xludf.DUMMYFUNCTION("""COMPUTED_VALUE"""),188)</f>
        <v>188</v>
      </c>
      <c r="N9" s="1" t="str">
        <f ca="1">IFERROR(__xludf.DUMMYFUNCTION("""COMPUTED_VALUE"""),"+10.36")</f>
        <v>+10.36</v>
      </c>
      <c r="O9" s="1">
        <f ca="1">IFERROR(__xludf.DUMMYFUNCTION("""COMPUTED_VALUE"""),9)</f>
        <v>9</v>
      </c>
      <c r="P9" s="1">
        <f ca="1">IFERROR(__xludf.DUMMYFUNCTION("""COMPUTED_VALUE"""),107.1)</f>
        <v>107.1</v>
      </c>
      <c r="Q9" s="1">
        <f ca="1">IFERROR(__xludf.DUMMYFUNCTION("""COMPUTED_VALUE"""),16)</f>
        <v>16</v>
      </c>
      <c r="R9" s="1">
        <f ca="1">IFERROR(__xludf.DUMMYFUNCTION("""COMPUTED_VALUE"""),96.7)</f>
        <v>96.7</v>
      </c>
      <c r="S9" s="1">
        <f ca="1">IFERROR(__xludf.DUMMYFUNCTION("""COMPUTED_VALUE"""),7)</f>
        <v>7</v>
      </c>
      <c r="T9" s="1" t="str">
        <f ca="1">IFERROR(__xludf.DUMMYFUNCTION("""COMPUTED_VALUE"""),"+2.16")</f>
        <v>+2.16</v>
      </c>
      <c r="U9" s="1">
        <f ca="1">IFERROR(__xludf.DUMMYFUNCTION("""COMPUTED_VALUE"""),104)</f>
        <v>104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IFERROR(__xludf.DUMMYFUNCTION("""COMPUTED_VALUE"""),"Syracuse3")</f>
        <v>Syracuse3</v>
      </c>
      <c r="C10" s="1" t="str">
        <f ca="1">IFERROR(__xludf.DUMMYFUNCTION("""COMPUTED_VALUE"""),"BE")</f>
        <v>BE</v>
      </c>
      <c r="D10" s="1" t="str">
        <f ca="1">IFERROR(__xludf.DUMMYFUNCTION("""COMPUTED_VALUE"""),"30-5")</f>
        <v>30-5</v>
      </c>
      <c r="E10" s="1" t="str">
        <f ca="1">IFERROR(__xludf.DUMMYFUNCTION("""COMPUTED_VALUE"""),"+23.28")</f>
        <v>+23.28</v>
      </c>
      <c r="F10" s="1">
        <f ca="1">IFERROR(__xludf.DUMMYFUNCTION("""COMPUTED_VALUE"""),114.4)</f>
        <v>114.4</v>
      </c>
      <c r="G10" s="1">
        <f ca="1">IFERROR(__xludf.DUMMYFUNCTION("""COMPUTED_VALUE"""),17)</f>
        <v>17</v>
      </c>
      <c r="H10" s="1">
        <f ca="1">IFERROR(__xludf.DUMMYFUNCTION("""COMPUTED_VALUE"""),91.1)</f>
        <v>91.1</v>
      </c>
      <c r="I10" s="1">
        <f ca="1">IFERROR(__xludf.DUMMYFUNCTION("""COMPUTED_VALUE"""),14)</f>
        <v>14</v>
      </c>
      <c r="J10" s="1">
        <f ca="1">IFERROR(__xludf.DUMMYFUNCTION("""COMPUTED_VALUE"""),71)</f>
        <v>71</v>
      </c>
      <c r="K10" s="1">
        <f ca="1">IFERROR(__xludf.DUMMYFUNCTION("""COMPUTED_VALUE"""),32)</f>
        <v>32</v>
      </c>
      <c r="L10" s="1" t="str">
        <f ca="1">IFERROR(__xludf.DUMMYFUNCTION("""COMPUTED_VALUE"""),"+.083")</f>
        <v>+.083</v>
      </c>
      <c r="M10" s="1">
        <f ca="1">IFERROR(__xludf.DUMMYFUNCTION("""COMPUTED_VALUE"""),16)</f>
        <v>16</v>
      </c>
      <c r="N10" s="1" t="str">
        <f ca="1">IFERROR(__xludf.DUMMYFUNCTION("""COMPUTED_VALUE"""),"+10.32")</f>
        <v>+10.32</v>
      </c>
      <c r="O10" s="1">
        <f ca="1">IFERROR(__xludf.DUMMYFUNCTION("""COMPUTED_VALUE"""),10)</f>
        <v>10</v>
      </c>
      <c r="P10" s="1">
        <f ca="1">IFERROR(__xludf.DUMMYFUNCTION("""COMPUTED_VALUE"""),106.6)</f>
        <v>106.6</v>
      </c>
      <c r="Q10" s="1">
        <f ca="1">IFERROR(__xludf.DUMMYFUNCTION("""COMPUTED_VALUE"""),34)</f>
        <v>34</v>
      </c>
      <c r="R10" s="1">
        <f ca="1">IFERROR(__xludf.DUMMYFUNCTION("""COMPUTED_VALUE"""),96.3)</f>
        <v>96.3</v>
      </c>
      <c r="S10" s="1">
        <f ca="1">IFERROR(__xludf.DUMMYFUNCTION("""COMPUTED_VALUE"""),4)</f>
        <v>4</v>
      </c>
      <c r="T10" s="1">
        <f ca="1">IFERROR(__xludf.DUMMYFUNCTION("""COMPUTED_VALUE"""),-3.63)</f>
        <v>-3.63</v>
      </c>
      <c r="U10" s="1">
        <f ca="1">IFERROR(__xludf.DUMMYFUNCTION("""COMPUTED_VALUE"""),242)</f>
        <v>242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IFERROR(__xludf.DUMMYFUNCTION("""COMPUTED_VALUE"""),"Oklahoma1")</f>
        <v>Oklahoma1</v>
      </c>
      <c r="C11" s="1" t="str">
        <f ca="1">IFERROR(__xludf.DUMMYFUNCTION("""COMPUTED_VALUE"""),"B12")</f>
        <v>B12</v>
      </c>
      <c r="D11" s="1" t="str">
        <f ca="1">IFERROR(__xludf.DUMMYFUNCTION("""COMPUTED_VALUE"""),"27-7")</f>
        <v>27-7</v>
      </c>
      <c r="E11" s="1" t="str">
        <f ca="1">IFERROR(__xludf.DUMMYFUNCTION("""COMPUTED_VALUE"""),"+23.01")</f>
        <v>+23.01</v>
      </c>
      <c r="F11" s="1">
        <f ca="1">IFERROR(__xludf.DUMMYFUNCTION("""COMPUTED_VALUE"""),112.1)</f>
        <v>112.1</v>
      </c>
      <c r="G11" s="1">
        <f ca="1">IFERROR(__xludf.DUMMYFUNCTION("""COMPUTED_VALUE"""),25)</f>
        <v>25</v>
      </c>
      <c r="H11" s="1">
        <f ca="1">IFERROR(__xludf.DUMMYFUNCTION("""COMPUTED_VALUE"""),89.1)</f>
        <v>89.1</v>
      </c>
      <c r="I11" s="1">
        <f ca="1">IFERROR(__xludf.DUMMYFUNCTION("""COMPUTED_VALUE"""),10)</f>
        <v>10</v>
      </c>
      <c r="J11" s="1">
        <f ca="1">IFERROR(__xludf.DUMMYFUNCTION("""COMPUTED_VALUE"""),62.7)</f>
        <v>62.7</v>
      </c>
      <c r="K11" s="1">
        <f ca="1">IFERROR(__xludf.DUMMYFUNCTION("""COMPUTED_VALUE"""),299)</f>
        <v>299</v>
      </c>
      <c r="L11" s="1" t="str">
        <f ca="1">IFERROR(__xludf.DUMMYFUNCTION("""COMPUTED_VALUE"""),"+.034")</f>
        <v>+.034</v>
      </c>
      <c r="M11" s="1">
        <f ca="1">IFERROR(__xludf.DUMMYFUNCTION("""COMPUTED_VALUE"""),84)</f>
        <v>84</v>
      </c>
      <c r="N11" s="1" t="str">
        <f ca="1">IFERROR(__xludf.DUMMYFUNCTION("""COMPUTED_VALUE"""),"+9.01")</f>
        <v>+9.01</v>
      </c>
      <c r="O11" s="1">
        <f ca="1">IFERROR(__xludf.DUMMYFUNCTION("""COMPUTED_VALUE"""),24)</f>
        <v>24</v>
      </c>
      <c r="P11" s="1">
        <f ca="1">IFERROR(__xludf.DUMMYFUNCTION("""COMPUTED_VALUE"""),106.7)</f>
        <v>106.7</v>
      </c>
      <c r="Q11" s="1">
        <f ca="1">IFERROR(__xludf.DUMMYFUNCTION("""COMPUTED_VALUE"""),30)</f>
        <v>30</v>
      </c>
      <c r="R11" s="1">
        <f ca="1">IFERROR(__xludf.DUMMYFUNCTION("""COMPUTED_VALUE"""),97.7)</f>
        <v>97.7</v>
      </c>
      <c r="S11" s="1">
        <f ca="1">IFERROR(__xludf.DUMMYFUNCTION("""COMPUTED_VALUE"""),25)</f>
        <v>25</v>
      </c>
      <c r="T11" s="1">
        <f ca="1">IFERROR(__xludf.DUMMYFUNCTION("""COMPUTED_VALUE"""),-2.32)</f>
        <v>-2.3199999999999998</v>
      </c>
      <c r="U11" s="1">
        <f ca="1">IFERROR(__xludf.DUMMYFUNCTION("""COMPUTED_VALUE"""),214)</f>
        <v>214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IFERROR(__xludf.DUMMYFUNCTION("""COMPUTED_VALUE"""),"Louisville4")</f>
        <v>Louisville4</v>
      </c>
      <c r="C12" s="1" t="str">
        <f ca="1">IFERROR(__xludf.DUMMYFUNCTION("""COMPUTED_VALUE"""),"CUSA")</f>
        <v>CUSA</v>
      </c>
      <c r="D12" s="1" t="str">
        <f ca="1">IFERROR(__xludf.DUMMYFUNCTION("""COMPUTED_VALUE"""),"25-7")</f>
        <v>25-7</v>
      </c>
      <c r="E12" s="1" t="str">
        <f ca="1">IFERROR(__xludf.DUMMYFUNCTION("""COMPUTED_VALUE"""),"+22.75")</f>
        <v>+22.75</v>
      </c>
      <c r="F12" s="1">
        <f ca="1">IFERROR(__xludf.DUMMYFUNCTION("""COMPUTED_VALUE"""),115.8)</f>
        <v>115.8</v>
      </c>
      <c r="G12" s="1">
        <f ca="1">IFERROR(__xludf.DUMMYFUNCTION("""COMPUTED_VALUE"""),9)</f>
        <v>9</v>
      </c>
      <c r="H12" s="1">
        <f ca="1">IFERROR(__xludf.DUMMYFUNCTION("""COMPUTED_VALUE"""),93)</f>
        <v>93</v>
      </c>
      <c r="I12" s="1">
        <f ca="1">IFERROR(__xludf.DUMMYFUNCTION("""COMPUTED_VALUE"""),25)</f>
        <v>25</v>
      </c>
      <c r="J12" s="1">
        <f ca="1">IFERROR(__xludf.DUMMYFUNCTION("""COMPUTED_VALUE"""),72.5)</f>
        <v>72.5</v>
      </c>
      <c r="K12" s="1">
        <f ca="1">IFERROR(__xludf.DUMMYFUNCTION("""COMPUTED_VALUE"""),12)</f>
        <v>12</v>
      </c>
      <c r="L12" s="1">
        <f ca="1">IFERROR(__xludf.DUMMYFUNCTION("""COMPUTED_VALUE"""),-0.029)</f>
        <v>-2.9000000000000001E-2</v>
      </c>
      <c r="M12" s="1">
        <f ca="1">IFERROR(__xludf.DUMMYFUNCTION("""COMPUTED_VALUE"""),241)</f>
        <v>241</v>
      </c>
      <c r="N12" s="1" t="str">
        <f ca="1">IFERROR(__xludf.DUMMYFUNCTION("""COMPUTED_VALUE"""),"+6.80")</f>
        <v>+6.80</v>
      </c>
      <c r="O12" s="1">
        <f ca="1">IFERROR(__xludf.DUMMYFUNCTION("""COMPUTED_VALUE"""),61)</f>
        <v>61</v>
      </c>
      <c r="P12" s="1">
        <f ca="1">IFERROR(__xludf.DUMMYFUNCTION("""COMPUTED_VALUE"""),105.4)</f>
        <v>105.4</v>
      </c>
      <c r="Q12" s="1">
        <f ca="1">IFERROR(__xludf.DUMMYFUNCTION("""COMPUTED_VALUE"""),67)</f>
        <v>67</v>
      </c>
      <c r="R12" s="1">
        <f ca="1">IFERROR(__xludf.DUMMYFUNCTION("""COMPUTED_VALUE"""),98.6)</f>
        <v>98.6</v>
      </c>
      <c r="S12" s="1">
        <f ca="1">IFERROR(__xludf.DUMMYFUNCTION("""COMPUTED_VALUE"""),56)</f>
        <v>56</v>
      </c>
      <c r="T12" s="1" t="str">
        <f ca="1">IFERROR(__xludf.DUMMYFUNCTION("""COMPUTED_VALUE"""),"+6.01")</f>
        <v>+6.01</v>
      </c>
      <c r="U12" s="1">
        <f ca="1">IFERROR(__xludf.DUMMYFUNCTION("""COMPUTED_VALUE"""),39)</f>
        <v>39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IFERROR(__xludf.DUMMYFUNCTION("""COMPUTED_VALUE"""),"Florida2")</f>
        <v>Florida2</v>
      </c>
      <c r="C13" s="1" t="str">
        <f ca="1">IFERROR(__xludf.DUMMYFUNCTION("""COMPUTED_VALUE"""),"SEC")</f>
        <v>SEC</v>
      </c>
      <c r="D13" s="1" t="str">
        <f ca="1">IFERROR(__xludf.DUMMYFUNCTION("""COMPUTED_VALUE"""),"25-8")</f>
        <v>25-8</v>
      </c>
      <c r="E13" s="1" t="str">
        <f ca="1">IFERROR(__xludf.DUMMYFUNCTION("""COMPUTED_VALUE"""),"+22.14")</f>
        <v>+22.14</v>
      </c>
      <c r="F13" s="1">
        <f ca="1">IFERROR(__xludf.DUMMYFUNCTION("""COMPUTED_VALUE"""),116.5)</f>
        <v>116.5</v>
      </c>
      <c r="G13" s="1">
        <f ca="1">IFERROR(__xludf.DUMMYFUNCTION("""COMPUTED_VALUE"""),6)</f>
        <v>6</v>
      </c>
      <c r="H13" s="1">
        <f ca="1">IFERROR(__xludf.DUMMYFUNCTION("""COMPUTED_VALUE"""),94.4)</f>
        <v>94.4</v>
      </c>
      <c r="I13" s="1">
        <f ca="1">IFERROR(__xludf.DUMMYFUNCTION("""COMPUTED_VALUE"""),36)</f>
        <v>36</v>
      </c>
      <c r="J13" s="1">
        <f ca="1">IFERROR(__xludf.DUMMYFUNCTION("""COMPUTED_VALUE"""),65)</f>
        <v>65</v>
      </c>
      <c r="K13" s="1">
        <f ca="1">IFERROR(__xludf.DUMMYFUNCTION("""COMPUTED_VALUE"""),256)</f>
        <v>256</v>
      </c>
      <c r="L13" s="1" t="str">
        <f ca="1">IFERROR(__xludf.DUMMYFUNCTION("""COMPUTED_VALUE"""),"+.008")</f>
        <v>+.008</v>
      </c>
      <c r="M13" s="1">
        <f ca="1">IFERROR(__xludf.DUMMYFUNCTION("""COMPUTED_VALUE"""),140)</f>
        <v>140</v>
      </c>
      <c r="N13" s="1" t="str">
        <f ca="1">IFERROR(__xludf.DUMMYFUNCTION("""COMPUTED_VALUE"""),"+8.30")</f>
        <v>+8.30</v>
      </c>
      <c r="O13" s="1">
        <f ca="1">IFERROR(__xludf.DUMMYFUNCTION("""COMPUTED_VALUE"""),36)</f>
        <v>36</v>
      </c>
      <c r="P13" s="1">
        <f ca="1">IFERROR(__xludf.DUMMYFUNCTION("""COMPUTED_VALUE"""),105.9)</f>
        <v>105.9</v>
      </c>
      <c r="Q13" s="1">
        <f ca="1">IFERROR(__xludf.DUMMYFUNCTION("""COMPUTED_VALUE"""),56)</f>
        <v>56</v>
      </c>
      <c r="R13" s="1">
        <f ca="1">IFERROR(__xludf.DUMMYFUNCTION("""COMPUTED_VALUE"""),97.6)</f>
        <v>97.6</v>
      </c>
      <c r="S13" s="1">
        <f ca="1">IFERROR(__xludf.DUMMYFUNCTION("""COMPUTED_VALUE"""),24)</f>
        <v>24</v>
      </c>
      <c r="T13" s="1">
        <f ca="1">IFERROR(__xludf.DUMMYFUNCTION("""COMPUTED_VALUE"""),-0.9)</f>
        <v>-0.9</v>
      </c>
      <c r="U13" s="1">
        <f ca="1">IFERROR(__xludf.DUMMYFUNCTION("""COMPUTED_VALUE"""),174)</f>
        <v>174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IFERROR(__xludf.DUMMYFUNCTION("""COMPUTED_VALUE"""),"Wisconsin5")</f>
        <v>Wisconsin5</v>
      </c>
      <c r="C14" s="1" t="str">
        <f ca="1">IFERROR(__xludf.DUMMYFUNCTION("""COMPUTED_VALUE"""),"B10")</f>
        <v>B10</v>
      </c>
      <c r="D14" s="1" t="str">
        <f ca="1">IFERROR(__xludf.DUMMYFUNCTION("""COMPUTED_VALUE"""),"24-8")</f>
        <v>24-8</v>
      </c>
      <c r="E14" s="1" t="str">
        <f ca="1">IFERROR(__xludf.DUMMYFUNCTION("""COMPUTED_VALUE"""),"+22.07")</f>
        <v>+22.07</v>
      </c>
      <c r="F14" s="1">
        <f ca="1">IFERROR(__xludf.DUMMYFUNCTION("""COMPUTED_VALUE"""),114.4)</f>
        <v>114.4</v>
      </c>
      <c r="G14" s="1">
        <f ca="1">IFERROR(__xludf.DUMMYFUNCTION("""COMPUTED_VALUE"""),16)</f>
        <v>16</v>
      </c>
      <c r="H14" s="1">
        <f ca="1">IFERROR(__xludf.DUMMYFUNCTION("""COMPUTED_VALUE"""),92.4)</f>
        <v>92.4</v>
      </c>
      <c r="I14" s="1">
        <f ca="1">IFERROR(__xludf.DUMMYFUNCTION("""COMPUTED_VALUE"""),21)</f>
        <v>21</v>
      </c>
      <c r="J14" s="1">
        <f ca="1">IFERROR(__xludf.DUMMYFUNCTION("""COMPUTED_VALUE"""),61.9)</f>
        <v>61.9</v>
      </c>
      <c r="K14" s="1">
        <f ca="1">IFERROR(__xludf.DUMMYFUNCTION("""COMPUTED_VALUE"""),310)</f>
        <v>310</v>
      </c>
      <c r="L14" s="1">
        <f ca="1">IFERROR(__xludf.DUMMYFUNCTION("""COMPUTED_VALUE"""),-0.024)</f>
        <v>-2.4E-2</v>
      </c>
      <c r="M14" s="1">
        <f ca="1">IFERROR(__xludf.DUMMYFUNCTION("""COMPUTED_VALUE"""),228)</f>
        <v>228</v>
      </c>
      <c r="N14" s="1" t="str">
        <f ca="1">IFERROR(__xludf.DUMMYFUNCTION("""COMPUTED_VALUE"""),"+6.46")</f>
        <v>+6.46</v>
      </c>
      <c r="O14" s="1">
        <f ca="1">IFERROR(__xludf.DUMMYFUNCTION("""COMPUTED_VALUE"""),64)</f>
        <v>64</v>
      </c>
      <c r="P14" s="1">
        <f ca="1">IFERROR(__xludf.DUMMYFUNCTION("""COMPUTED_VALUE"""),106.1)</f>
        <v>106.1</v>
      </c>
      <c r="Q14" s="1">
        <f ca="1">IFERROR(__xludf.DUMMYFUNCTION("""COMPUTED_VALUE"""),52)</f>
        <v>52</v>
      </c>
      <c r="R14" s="1">
        <f ca="1">IFERROR(__xludf.DUMMYFUNCTION("""COMPUTED_VALUE"""),99.6)</f>
        <v>99.6</v>
      </c>
      <c r="S14" s="1">
        <f ca="1">IFERROR(__xludf.DUMMYFUNCTION("""COMPUTED_VALUE"""),80)</f>
        <v>80</v>
      </c>
      <c r="T14" s="1">
        <f ca="1">IFERROR(__xludf.DUMMYFUNCTION("""COMPUTED_VALUE"""),-1.01)</f>
        <v>-1.01</v>
      </c>
      <c r="U14" s="1">
        <f ca="1">IFERROR(__xludf.DUMMYFUNCTION("""COMPUTED_VALUE"""),179)</f>
        <v>179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IFERROR(__xludf.DUMMYFUNCTION("""COMPUTED_VALUE"""),"Maryland6")</f>
        <v>Maryland6</v>
      </c>
      <c r="C15" s="1" t="str">
        <f ca="1">IFERROR(__xludf.DUMMYFUNCTION("""COMPUTED_VALUE"""),"ACC")</f>
        <v>ACC</v>
      </c>
      <c r="D15" s="1" t="str">
        <f ca="1">IFERROR(__xludf.DUMMYFUNCTION("""COMPUTED_VALUE"""),"21-10")</f>
        <v>21-10</v>
      </c>
      <c r="E15" s="1" t="str">
        <f ca="1">IFERROR(__xludf.DUMMYFUNCTION("""COMPUTED_VALUE"""),"+22.00")</f>
        <v>+22.00</v>
      </c>
      <c r="F15" s="1">
        <f ca="1">IFERROR(__xludf.DUMMYFUNCTION("""COMPUTED_VALUE"""),110.9)</f>
        <v>110.9</v>
      </c>
      <c r="G15" s="1">
        <f ca="1">IFERROR(__xludf.DUMMYFUNCTION("""COMPUTED_VALUE"""),34)</f>
        <v>34</v>
      </c>
      <c r="H15" s="1">
        <f ca="1">IFERROR(__xludf.DUMMYFUNCTION("""COMPUTED_VALUE"""),88.9)</f>
        <v>88.9</v>
      </c>
      <c r="I15" s="1">
        <f ca="1">IFERROR(__xludf.DUMMYFUNCTION("""COMPUTED_VALUE"""),9)</f>
        <v>9</v>
      </c>
      <c r="J15" s="1">
        <f ca="1">IFERROR(__xludf.DUMMYFUNCTION("""COMPUTED_VALUE"""),71.5)</f>
        <v>71.5</v>
      </c>
      <c r="K15" s="1">
        <f ca="1">IFERROR(__xludf.DUMMYFUNCTION("""COMPUTED_VALUE"""),23)</f>
        <v>23</v>
      </c>
      <c r="L15" s="1">
        <f ca="1">IFERROR(__xludf.DUMMYFUNCTION("""COMPUTED_VALUE"""),-0.078)</f>
        <v>-7.8E-2</v>
      </c>
      <c r="M15" s="1">
        <f ca="1">IFERROR(__xludf.DUMMYFUNCTION("""COMPUTED_VALUE"""),301)</f>
        <v>301</v>
      </c>
      <c r="N15" s="1" t="str">
        <f ca="1">IFERROR(__xludf.DUMMYFUNCTION("""COMPUTED_VALUE"""),"+8.23")</f>
        <v>+8.23</v>
      </c>
      <c r="O15" s="1">
        <f ca="1">IFERROR(__xludf.DUMMYFUNCTION("""COMPUTED_VALUE"""),38)</f>
        <v>38</v>
      </c>
      <c r="P15" s="1">
        <f ca="1">IFERROR(__xludf.DUMMYFUNCTION("""COMPUTED_VALUE"""),106.6)</f>
        <v>106.6</v>
      </c>
      <c r="Q15" s="1">
        <f ca="1">IFERROR(__xludf.DUMMYFUNCTION("""COMPUTED_VALUE"""),36)</f>
        <v>36</v>
      </c>
      <c r="R15" s="1">
        <f ca="1">IFERROR(__xludf.DUMMYFUNCTION("""COMPUTED_VALUE"""),98.4)</f>
        <v>98.4</v>
      </c>
      <c r="S15" s="1">
        <f ca="1">IFERROR(__xludf.DUMMYFUNCTION("""COMPUTED_VALUE"""),47)</f>
        <v>47</v>
      </c>
      <c r="T15" s="1">
        <f ca="1">IFERROR(__xludf.DUMMYFUNCTION("""COMPUTED_VALUE"""),-5.29)</f>
        <v>-5.29</v>
      </c>
      <c r="U15" s="1">
        <f ca="1">IFERROR(__xludf.DUMMYFUNCTION("""COMPUTED_VALUE"""),282)</f>
        <v>282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IFERROR(__xludf.DUMMYFUNCTION("""COMPUTED_VALUE"""),"Mississippi St.5")</f>
        <v>Mississippi St.5</v>
      </c>
      <c r="C16" s="1" t="str">
        <f ca="1">IFERROR(__xludf.DUMMYFUNCTION("""COMPUTED_VALUE"""),"SEC")</f>
        <v>SEC</v>
      </c>
      <c r="D16" s="1" t="str">
        <f ca="1">IFERROR(__xludf.DUMMYFUNCTION("""COMPUTED_VALUE"""),"21-10")</f>
        <v>21-10</v>
      </c>
      <c r="E16" s="1" t="str">
        <f ca="1">IFERROR(__xludf.DUMMYFUNCTION("""COMPUTED_VALUE"""),"+21.53")</f>
        <v>+21.53</v>
      </c>
      <c r="F16" s="1">
        <f ca="1">IFERROR(__xludf.DUMMYFUNCTION("""COMPUTED_VALUE"""),107.4)</f>
        <v>107.4</v>
      </c>
      <c r="G16" s="1">
        <f ca="1">IFERROR(__xludf.DUMMYFUNCTION("""COMPUTED_VALUE"""),79)</f>
        <v>79</v>
      </c>
      <c r="H16" s="1">
        <f ca="1">IFERROR(__xludf.DUMMYFUNCTION("""COMPUTED_VALUE"""),85.8)</f>
        <v>85.8</v>
      </c>
      <c r="I16" s="1">
        <f ca="1">IFERROR(__xludf.DUMMYFUNCTION("""COMPUTED_VALUE"""),1)</f>
        <v>1</v>
      </c>
      <c r="J16" s="1">
        <f ca="1">IFERROR(__xludf.DUMMYFUNCTION("""COMPUTED_VALUE"""),64.8)</f>
        <v>64.8</v>
      </c>
      <c r="K16" s="1">
        <f ca="1">IFERROR(__xludf.DUMMYFUNCTION("""COMPUTED_VALUE"""),263)</f>
        <v>263</v>
      </c>
      <c r="L16" s="1">
        <f ca="1">IFERROR(__xludf.DUMMYFUNCTION("""COMPUTED_VALUE"""),-0.06)</f>
        <v>-0.06</v>
      </c>
      <c r="M16" s="1">
        <f ca="1">IFERROR(__xludf.DUMMYFUNCTION("""COMPUTED_VALUE"""),290)</f>
        <v>290</v>
      </c>
      <c r="N16" s="1" t="str">
        <f ca="1">IFERROR(__xludf.DUMMYFUNCTION("""COMPUTED_VALUE"""),"+8.85")</f>
        <v>+8.85</v>
      </c>
      <c r="O16" s="1">
        <f ca="1">IFERROR(__xludf.DUMMYFUNCTION("""COMPUTED_VALUE"""),27)</f>
        <v>27</v>
      </c>
      <c r="P16" s="1">
        <f ca="1">IFERROR(__xludf.DUMMYFUNCTION("""COMPUTED_VALUE"""),106.9)</f>
        <v>106.9</v>
      </c>
      <c r="Q16" s="1">
        <f ca="1">IFERROR(__xludf.DUMMYFUNCTION("""COMPUTED_VALUE"""),23)</f>
        <v>23</v>
      </c>
      <c r="R16" s="1">
        <f ca="1">IFERROR(__xludf.DUMMYFUNCTION("""COMPUTED_VALUE"""),98)</f>
        <v>98</v>
      </c>
      <c r="S16" s="1">
        <f ca="1">IFERROR(__xludf.DUMMYFUNCTION("""COMPUTED_VALUE"""),34)</f>
        <v>34</v>
      </c>
      <c r="T16" s="1">
        <f ca="1">IFERROR(__xludf.DUMMYFUNCTION("""COMPUTED_VALUE"""),-2.62)</f>
        <v>-2.62</v>
      </c>
      <c r="U16" s="1">
        <f ca="1">IFERROR(__xludf.DUMMYFUNCTION("""COMPUTED_VALUE"""),218)</f>
        <v>218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IFERROR(__xludf.DUMMYFUNCTION("""COMPUTED_VALUE"""),"Marquette3")</f>
        <v>Marquette3</v>
      </c>
      <c r="C17" s="1" t="str">
        <f ca="1">IFERROR(__xludf.DUMMYFUNCTION("""COMPUTED_VALUE"""),"CUSA")</f>
        <v>CUSA</v>
      </c>
      <c r="D17" s="1" t="str">
        <f ca="1">IFERROR(__xludf.DUMMYFUNCTION("""COMPUTED_VALUE"""),"27-6")</f>
        <v>27-6</v>
      </c>
      <c r="E17" s="1" t="str">
        <f ca="1">IFERROR(__xludf.DUMMYFUNCTION("""COMPUTED_VALUE"""),"+21.30")</f>
        <v>+21.30</v>
      </c>
      <c r="F17" s="1">
        <f ca="1">IFERROR(__xludf.DUMMYFUNCTION("""COMPUTED_VALUE"""),120.5)</f>
        <v>120.5</v>
      </c>
      <c r="G17" s="1">
        <f ca="1">IFERROR(__xludf.DUMMYFUNCTION("""COMPUTED_VALUE"""),2)</f>
        <v>2</v>
      </c>
      <c r="H17" s="1">
        <f ca="1">IFERROR(__xludf.DUMMYFUNCTION("""COMPUTED_VALUE"""),99.2)</f>
        <v>99.2</v>
      </c>
      <c r="I17" s="1">
        <f ca="1">IFERROR(__xludf.DUMMYFUNCTION("""COMPUTED_VALUE"""),109)</f>
        <v>109</v>
      </c>
      <c r="J17" s="1">
        <f ca="1">IFERROR(__xludf.DUMMYFUNCTION("""COMPUTED_VALUE"""),65.7)</f>
        <v>65.7</v>
      </c>
      <c r="K17" s="1">
        <f ca="1">IFERROR(__xludf.DUMMYFUNCTION("""COMPUTED_VALUE"""),219)</f>
        <v>219</v>
      </c>
      <c r="L17" s="1" t="str">
        <f ca="1">IFERROR(__xludf.DUMMYFUNCTION("""COMPUTED_VALUE"""),"+.070")</f>
        <v>+.070</v>
      </c>
      <c r="M17" s="1">
        <f ca="1">IFERROR(__xludf.DUMMYFUNCTION("""COMPUTED_VALUE"""),30)</f>
        <v>30</v>
      </c>
      <c r="N17" s="1" t="str">
        <f ca="1">IFERROR(__xludf.DUMMYFUNCTION("""COMPUTED_VALUE"""),"+7.93")</f>
        <v>+7.93</v>
      </c>
      <c r="O17" s="1">
        <f ca="1">IFERROR(__xludf.DUMMYFUNCTION("""COMPUTED_VALUE"""),42)</f>
        <v>42</v>
      </c>
      <c r="P17" s="1">
        <f ca="1">IFERROR(__xludf.DUMMYFUNCTION("""COMPUTED_VALUE"""),106.1)</f>
        <v>106.1</v>
      </c>
      <c r="Q17" s="1">
        <f ca="1">IFERROR(__xludf.DUMMYFUNCTION("""COMPUTED_VALUE"""),50)</f>
        <v>50</v>
      </c>
      <c r="R17" s="1">
        <f ca="1">IFERROR(__xludf.DUMMYFUNCTION("""COMPUTED_VALUE"""),98.2)</f>
        <v>98.2</v>
      </c>
      <c r="S17" s="1">
        <f ca="1">IFERROR(__xludf.DUMMYFUNCTION("""COMPUTED_VALUE"""),40)</f>
        <v>40</v>
      </c>
      <c r="T17" s="1">
        <f ca="1">IFERROR(__xludf.DUMMYFUNCTION("""COMPUTED_VALUE"""),-1.45)</f>
        <v>-1.45</v>
      </c>
      <c r="U17" s="1">
        <f ca="1">IFERROR(__xludf.DUMMYFUNCTION("""COMPUTED_VALUE"""),188)</f>
        <v>188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IFERROR(__xludf.DUMMYFUNCTION("""COMPUTED_VALUE"""),"Georgia")</f>
        <v>Georgia</v>
      </c>
      <c r="C18" s="1" t="str">
        <f ca="1">IFERROR(__xludf.DUMMYFUNCTION("""COMPUTED_VALUE"""),"SEC")</f>
        <v>SEC</v>
      </c>
      <c r="D18" s="1" t="str">
        <f ca="1">IFERROR(__xludf.DUMMYFUNCTION("""COMPUTED_VALUE"""),"19-8")</f>
        <v>19-8</v>
      </c>
      <c r="E18" s="1" t="str">
        <f ca="1">IFERROR(__xludf.DUMMYFUNCTION("""COMPUTED_VALUE"""),"+20.93")</f>
        <v>+20.93</v>
      </c>
      <c r="F18" s="1">
        <f ca="1">IFERROR(__xludf.DUMMYFUNCTION("""COMPUTED_VALUE"""),120.9)</f>
        <v>120.9</v>
      </c>
      <c r="G18" s="1">
        <f ca="1">IFERROR(__xludf.DUMMYFUNCTION("""COMPUTED_VALUE"""),1)</f>
        <v>1</v>
      </c>
      <c r="H18" s="1">
        <f ca="1">IFERROR(__xludf.DUMMYFUNCTION("""COMPUTED_VALUE"""),99.9)</f>
        <v>99.9</v>
      </c>
      <c r="I18" s="1">
        <f ca="1">IFERROR(__xludf.DUMMYFUNCTION("""COMPUTED_VALUE"""),124)</f>
        <v>124</v>
      </c>
      <c r="J18" s="1">
        <f ca="1">IFERROR(__xludf.DUMMYFUNCTION("""COMPUTED_VALUE"""),67.1)</f>
        <v>67.099999999999994</v>
      </c>
      <c r="K18" s="1">
        <f ca="1">IFERROR(__xludf.DUMMYFUNCTION("""COMPUTED_VALUE"""),159)</f>
        <v>159</v>
      </c>
      <c r="L18" s="1" t="str">
        <f ca="1">IFERROR(__xludf.DUMMYFUNCTION("""COMPUTED_VALUE"""),"+.012")</f>
        <v>+.012</v>
      </c>
      <c r="M18" s="1">
        <f ca="1">IFERROR(__xludf.DUMMYFUNCTION("""COMPUTED_VALUE"""),136)</f>
        <v>136</v>
      </c>
      <c r="N18" s="1" t="str">
        <f ca="1">IFERROR(__xludf.DUMMYFUNCTION("""COMPUTED_VALUE"""),"+12.71")</f>
        <v>+12.71</v>
      </c>
      <c r="O18" s="1">
        <f ca="1">IFERROR(__xludf.DUMMYFUNCTION("""COMPUTED_VALUE"""),1)</f>
        <v>1</v>
      </c>
      <c r="P18" s="1">
        <f ca="1">IFERROR(__xludf.DUMMYFUNCTION("""COMPUTED_VALUE"""),108.7)</f>
        <v>108.7</v>
      </c>
      <c r="Q18" s="1">
        <f ca="1">IFERROR(__xludf.DUMMYFUNCTION("""COMPUTED_VALUE"""),1)</f>
        <v>1</v>
      </c>
      <c r="R18" s="1">
        <f ca="1">IFERROR(__xludf.DUMMYFUNCTION("""COMPUTED_VALUE"""),96)</f>
        <v>96</v>
      </c>
      <c r="S18" s="1">
        <f ca="1">IFERROR(__xludf.DUMMYFUNCTION("""COMPUTED_VALUE"""),2)</f>
        <v>2</v>
      </c>
      <c r="T18" s="1" t="str">
        <f ca="1">IFERROR(__xludf.DUMMYFUNCTION("""COMPUTED_VALUE"""),"+10.85")</f>
        <v>+10.85</v>
      </c>
      <c r="U18" s="1">
        <f ca="1">IFERROR(__xludf.DUMMYFUNCTION("""COMPUTED_VALUE"""),15)</f>
        <v>15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IFERROR(__xludf.DUMMYFUNCTION("""COMPUTED_VALUE"""),"Saint Joseph's7")</f>
        <v>Saint Joseph's7</v>
      </c>
      <c r="C19" s="1" t="str">
        <f ca="1">IFERROR(__xludf.DUMMYFUNCTION("""COMPUTED_VALUE"""),"A10")</f>
        <v>A10</v>
      </c>
      <c r="D19" s="1" t="str">
        <f ca="1">IFERROR(__xludf.DUMMYFUNCTION("""COMPUTED_VALUE"""),"23-7")</f>
        <v>23-7</v>
      </c>
      <c r="E19" s="1" t="str">
        <f ca="1">IFERROR(__xludf.DUMMYFUNCTION("""COMPUTED_VALUE"""),"+20.75")</f>
        <v>+20.75</v>
      </c>
      <c r="F19" s="1">
        <f ca="1">IFERROR(__xludf.DUMMYFUNCTION("""COMPUTED_VALUE"""),109)</f>
        <v>109</v>
      </c>
      <c r="G19" s="1">
        <f ca="1">IFERROR(__xludf.DUMMYFUNCTION("""COMPUTED_VALUE"""),58)</f>
        <v>58</v>
      </c>
      <c r="H19" s="1">
        <f ca="1">IFERROR(__xludf.DUMMYFUNCTION("""COMPUTED_VALUE"""),88.3)</f>
        <v>88.3</v>
      </c>
      <c r="I19" s="1">
        <f ca="1">IFERROR(__xludf.DUMMYFUNCTION("""COMPUTED_VALUE"""),6)</f>
        <v>6</v>
      </c>
      <c r="J19" s="1">
        <f ca="1">IFERROR(__xludf.DUMMYFUNCTION("""COMPUTED_VALUE"""),64.1)</f>
        <v>64.099999999999994</v>
      </c>
      <c r="K19" s="1">
        <f ca="1">IFERROR(__xludf.DUMMYFUNCTION("""COMPUTED_VALUE"""),281)</f>
        <v>281</v>
      </c>
      <c r="L19" s="1">
        <f ca="1">IFERROR(__xludf.DUMMYFUNCTION("""COMPUTED_VALUE"""),-0.049)</f>
        <v>-4.9000000000000002E-2</v>
      </c>
      <c r="M19" s="1">
        <f ca="1">IFERROR(__xludf.DUMMYFUNCTION("""COMPUTED_VALUE"""),279)</f>
        <v>279</v>
      </c>
      <c r="N19" s="1" t="str">
        <f ca="1">IFERROR(__xludf.DUMMYFUNCTION("""COMPUTED_VALUE"""),"+4.60")</f>
        <v>+4.60</v>
      </c>
      <c r="O19" s="1">
        <f ca="1">IFERROR(__xludf.DUMMYFUNCTION("""COMPUTED_VALUE"""),88)</f>
        <v>88</v>
      </c>
      <c r="P19" s="1">
        <f ca="1">IFERROR(__xludf.DUMMYFUNCTION("""COMPUTED_VALUE"""),105)</f>
        <v>105</v>
      </c>
      <c r="Q19" s="1">
        <f ca="1">IFERROR(__xludf.DUMMYFUNCTION("""COMPUTED_VALUE"""),74)</f>
        <v>74</v>
      </c>
      <c r="R19" s="1">
        <f ca="1">IFERROR(__xludf.DUMMYFUNCTION("""COMPUTED_VALUE"""),100.4)</f>
        <v>100.4</v>
      </c>
      <c r="S19" s="1">
        <f ca="1">IFERROR(__xludf.DUMMYFUNCTION("""COMPUTED_VALUE"""),95)</f>
        <v>95</v>
      </c>
      <c r="T19" s="1" t="str">
        <f ca="1">IFERROR(__xludf.DUMMYFUNCTION("""COMPUTED_VALUE"""),"+5.80")</f>
        <v>+5.80</v>
      </c>
      <c r="U19" s="1">
        <f ca="1">IFERROR(__xludf.DUMMYFUNCTION("""COMPUTED_VALUE"""),43)</f>
        <v>43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IFERROR(__xludf.DUMMYFUNCTION("""COMPUTED_VALUE"""),"Notre Dame5")</f>
        <v>Notre Dame5</v>
      </c>
      <c r="C20" s="1" t="str">
        <f ca="1">IFERROR(__xludf.DUMMYFUNCTION("""COMPUTED_VALUE"""),"BE")</f>
        <v>BE</v>
      </c>
      <c r="D20" s="1" t="str">
        <f ca="1">IFERROR(__xludf.DUMMYFUNCTION("""COMPUTED_VALUE"""),"24-10")</f>
        <v>24-10</v>
      </c>
      <c r="E20" s="1" t="str">
        <f ca="1">IFERROR(__xludf.DUMMYFUNCTION("""COMPUTED_VALUE"""),"+20.31")</f>
        <v>+20.31</v>
      </c>
      <c r="F20" s="1">
        <f ca="1">IFERROR(__xludf.DUMMYFUNCTION("""COMPUTED_VALUE"""),116.5)</f>
        <v>116.5</v>
      </c>
      <c r="G20" s="1">
        <f ca="1">IFERROR(__xludf.DUMMYFUNCTION("""COMPUTED_VALUE"""),7)</f>
        <v>7</v>
      </c>
      <c r="H20" s="1">
        <f ca="1">IFERROR(__xludf.DUMMYFUNCTION("""COMPUTED_VALUE"""),96.2)</f>
        <v>96.2</v>
      </c>
      <c r="I20" s="1">
        <f ca="1">IFERROR(__xludf.DUMMYFUNCTION("""COMPUTED_VALUE"""),60)</f>
        <v>60</v>
      </c>
      <c r="J20" s="1">
        <f ca="1">IFERROR(__xludf.DUMMYFUNCTION("""COMPUTED_VALUE"""),69.2)</f>
        <v>69.2</v>
      </c>
      <c r="K20" s="1">
        <f ca="1">IFERROR(__xludf.DUMMYFUNCTION("""COMPUTED_VALUE"""),74)</f>
        <v>74</v>
      </c>
      <c r="L20" s="1" t="str">
        <f ca="1">IFERROR(__xludf.DUMMYFUNCTION("""COMPUTED_VALUE"""),"+.009")</f>
        <v>+.009</v>
      </c>
      <c r="M20" s="1">
        <f ca="1">IFERROR(__xludf.DUMMYFUNCTION("""COMPUTED_VALUE"""),139)</f>
        <v>139</v>
      </c>
      <c r="N20" s="1" t="str">
        <f ca="1">IFERROR(__xludf.DUMMYFUNCTION("""COMPUTED_VALUE"""),"+11.01")</f>
        <v>+11.01</v>
      </c>
      <c r="O20" s="1">
        <f ca="1">IFERROR(__xludf.DUMMYFUNCTION("""COMPUTED_VALUE"""),6)</f>
        <v>6</v>
      </c>
      <c r="P20" s="1">
        <f ca="1">IFERROR(__xludf.DUMMYFUNCTION("""COMPUTED_VALUE"""),107.4)</f>
        <v>107.4</v>
      </c>
      <c r="Q20" s="1">
        <f ca="1">IFERROR(__xludf.DUMMYFUNCTION("""COMPUTED_VALUE"""),9)</f>
        <v>9</v>
      </c>
      <c r="R20" s="1">
        <f ca="1">IFERROR(__xludf.DUMMYFUNCTION("""COMPUTED_VALUE"""),96.3)</f>
        <v>96.3</v>
      </c>
      <c r="S20" s="1">
        <f ca="1">IFERROR(__xludf.DUMMYFUNCTION("""COMPUTED_VALUE"""),5)</f>
        <v>5</v>
      </c>
      <c r="T20" s="1" t="str">
        <f ca="1">IFERROR(__xludf.DUMMYFUNCTION("""COMPUTED_VALUE"""),"+3.78")</f>
        <v>+3.78</v>
      </c>
      <c r="U20" s="1">
        <f ca="1">IFERROR(__xludf.DUMMYFUNCTION("""COMPUTED_VALUE"""),65)</f>
        <v>65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IFERROR(__xludf.DUMMYFUNCTION("""COMPUTED_VALUE"""),"Michigan St.7")</f>
        <v>Michigan St.7</v>
      </c>
      <c r="C21" s="1" t="str">
        <f ca="1">IFERROR(__xludf.DUMMYFUNCTION("""COMPUTED_VALUE"""),"B10")</f>
        <v>B10</v>
      </c>
      <c r="D21" s="1" t="str">
        <f ca="1">IFERROR(__xludf.DUMMYFUNCTION("""COMPUTED_VALUE"""),"22-13")</f>
        <v>22-13</v>
      </c>
      <c r="E21" s="1" t="str">
        <f ca="1">IFERROR(__xludf.DUMMYFUNCTION("""COMPUTED_VALUE"""),"+20.26")</f>
        <v>+20.26</v>
      </c>
      <c r="F21" s="1">
        <f ca="1">IFERROR(__xludf.DUMMYFUNCTION("""COMPUTED_VALUE"""),110.1)</f>
        <v>110.1</v>
      </c>
      <c r="G21" s="1">
        <f ca="1">IFERROR(__xludf.DUMMYFUNCTION("""COMPUTED_VALUE"""),43)</f>
        <v>43</v>
      </c>
      <c r="H21" s="1">
        <f ca="1">IFERROR(__xludf.DUMMYFUNCTION("""COMPUTED_VALUE"""),89.9)</f>
        <v>89.9</v>
      </c>
      <c r="I21" s="1">
        <f ca="1">IFERROR(__xludf.DUMMYFUNCTION("""COMPUTED_VALUE"""),12)</f>
        <v>12</v>
      </c>
      <c r="J21" s="1">
        <f ca="1">IFERROR(__xludf.DUMMYFUNCTION("""COMPUTED_VALUE"""),63.6)</f>
        <v>63.6</v>
      </c>
      <c r="K21" s="1">
        <f ca="1">IFERROR(__xludf.DUMMYFUNCTION("""COMPUTED_VALUE"""),286)</f>
        <v>286</v>
      </c>
      <c r="L21" s="1">
        <f ca="1">IFERROR(__xludf.DUMMYFUNCTION("""COMPUTED_VALUE"""),-0.05)</f>
        <v>-0.05</v>
      </c>
      <c r="M21" s="1">
        <f ca="1">IFERROR(__xludf.DUMMYFUNCTION("""COMPUTED_VALUE"""),280)</f>
        <v>280</v>
      </c>
      <c r="N21" s="1" t="str">
        <f ca="1">IFERROR(__xludf.DUMMYFUNCTION("""COMPUTED_VALUE"""),"+10.11")</f>
        <v>+10.11</v>
      </c>
      <c r="O21" s="1">
        <f ca="1">IFERROR(__xludf.DUMMYFUNCTION("""COMPUTED_VALUE"""),13)</f>
        <v>13</v>
      </c>
      <c r="P21" s="1">
        <f ca="1">IFERROR(__xludf.DUMMYFUNCTION("""COMPUTED_VALUE"""),107.3)</f>
        <v>107.3</v>
      </c>
      <c r="Q21" s="1">
        <f ca="1">IFERROR(__xludf.DUMMYFUNCTION("""COMPUTED_VALUE"""),12)</f>
        <v>12</v>
      </c>
      <c r="R21" s="1">
        <f ca="1">IFERROR(__xludf.DUMMYFUNCTION("""COMPUTED_VALUE"""),97.2)</f>
        <v>97.2</v>
      </c>
      <c r="S21" s="1">
        <f ca="1">IFERROR(__xludf.DUMMYFUNCTION("""COMPUTED_VALUE"""),13)</f>
        <v>13</v>
      </c>
      <c r="T21" s="1" t="str">
        <f ca="1">IFERROR(__xludf.DUMMYFUNCTION("""COMPUTED_VALUE"""),"+3.20")</f>
        <v>+3.20</v>
      </c>
      <c r="U21" s="1">
        <f ca="1">IFERROR(__xludf.DUMMYFUNCTION("""COMPUTED_VALUE"""),83)</f>
        <v>83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IFERROR(__xludf.DUMMYFUNCTION("""COMPUTED_VALUE"""),"Xavier3")</f>
        <v>Xavier3</v>
      </c>
      <c r="C22" s="1" t="str">
        <f ca="1">IFERROR(__xludf.DUMMYFUNCTION("""COMPUTED_VALUE"""),"A10")</f>
        <v>A10</v>
      </c>
      <c r="D22" s="1" t="str">
        <f ca="1">IFERROR(__xludf.DUMMYFUNCTION("""COMPUTED_VALUE"""),"26-6")</f>
        <v>26-6</v>
      </c>
      <c r="E22" s="1" t="str">
        <f ca="1">IFERROR(__xludf.DUMMYFUNCTION("""COMPUTED_VALUE"""),"+19.88")</f>
        <v>+19.88</v>
      </c>
      <c r="F22" s="1">
        <f ca="1">IFERROR(__xludf.DUMMYFUNCTION("""COMPUTED_VALUE"""),113.8)</f>
        <v>113.8</v>
      </c>
      <c r="G22" s="1">
        <f ca="1">IFERROR(__xludf.DUMMYFUNCTION("""COMPUTED_VALUE"""),19)</f>
        <v>19</v>
      </c>
      <c r="H22" s="1">
        <f ca="1">IFERROR(__xludf.DUMMYFUNCTION("""COMPUTED_VALUE"""),94)</f>
        <v>94</v>
      </c>
      <c r="I22" s="1">
        <f ca="1">IFERROR(__xludf.DUMMYFUNCTION("""COMPUTED_VALUE"""),29)</f>
        <v>29</v>
      </c>
      <c r="J22" s="1">
        <f ca="1">IFERROR(__xludf.DUMMYFUNCTION("""COMPUTED_VALUE"""),67.7)</f>
        <v>67.7</v>
      </c>
      <c r="K22" s="1">
        <f ca="1">IFERROR(__xludf.DUMMYFUNCTION("""COMPUTED_VALUE"""),131)</f>
        <v>131</v>
      </c>
      <c r="L22" s="1" t="str">
        <f ca="1">IFERROR(__xludf.DUMMYFUNCTION("""COMPUTED_VALUE"""),"+.018")</f>
        <v>+.018</v>
      </c>
      <c r="M22" s="1">
        <f ca="1">IFERROR(__xludf.DUMMYFUNCTION("""COMPUTED_VALUE"""),120)</f>
        <v>120</v>
      </c>
      <c r="N22" s="1" t="str">
        <f ca="1">IFERROR(__xludf.DUMMYFUNCTION("""COMPUTED_VALUE"""),"+4.79")</f>
        <v>+4.79</v>
      </c>
      <c r="O22" s="1">
        <f ca="1">IFERROR(__xludf.DUMMYFUNCTION("""COMPUTED_VALUE"""),86)</f>
        <v>86</v>
      </c>
      <c r="P22" s="1">
        <f ca="1">IFERROR(__xludf.DUMMYFUNCTION("""COMPUTED_VALUE"""),105)</f>
        <v>105</v>
      </c>
      <c r="Q22" s="1">
        <f ca="1">IFERROR(__xludf.DUMMYFUNCTION("""COMPUTED_VALUE"""),75)</f>
        <v>75</v>
      </c>
      <c r="R22" s="1">
        <f ca="1">IFERROR(__xludf.DUMMYFUNCTION("""COMPUTED_VALUE"""),100.2)</f>
        <v>100.2</v>
      </c>
      <c r="S22" s="1">
        <f ca="1">IFERROR(__xludf.DUMMYFUNCTION("""COMPUTED_VALUE"""),90)</f>
        <v>90</v>
      </c>
      <c r="T22" s="1" t="str">
        <f ca="1">IFERROR(__xludf.DUMMYFUNCTION("""COMPUTED_VALUE"""),"+4.81")</f>
        <v>+4.81</v>
      </c>
      <c r="U22" s="1">
        <f ca="1">IFERROR(__xludf.DUMMYFUNCTION("""COMPUTED_VALUE"""),56)</f>
        <v>56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IFERROR(__xludf.DUMMYFUNCTION("""COMPUTED_VALUE"""),"Wake Forest2")</f>
        <v>Wake Forest2</v>
      </c>
      <c r="C23" s="1" t="str">
        <f ca="1">IFERROR(__xludf.DUMMYFUNCTION("""COMPUTED_VALUE"""),"ACC")</f>
        <v>ACC</v>
      </c>
      <c r="D23" s="1" t="str">
        <f ca="1">IFERROR(__xludf.DUMMYFUNCTION("""COMPUTED_VALUE"""),"25-6")</f>
        <v>25-6</v>
      </c>
      <c r="E23" s="1" t="str">
        <f ca="1">IFERROR(__xludf.DUMMYFUNCTION("""COMPUTED_VALUE"""),"+19.87")</f>
        <v>+19.87</v>
      </c>
      <c r="F23" s="1">
        <f ca="1">IFERROR(__xludf.DUMMYFUNCTION("""COMPUTED_VALUE"""),114.5)</f>
        <v>114.5</v>
      </c>
      <c r="G23" s="1">
        <f ca="1">IFERROR(__xludf.DUMMYFUNCTION("""COMPUTED_VALUE"""),15)</f>
        <v>15</v>
      </c>
      <c r="H23" s="1">
        <f ca="1">IFERROR(__xludf.DUMMYFUNCTION("""COMPUTED_VALUE"""),94.6)</f>
        <v>94.6</v>
      </c>
      <c r="I23" s="1">
        <f ca="1">IFERROR(__xludf.DUMMYFUNCTION("""COMPUTED_VALUE"""),37)</f>
        <v>37</v>
      </c>
      <c r="J23" s="1">
        <f ca="1">IFERROR(__xludf.DUMMYFUNCTION("""COMPUTED_VALUE"""),67.7)</f>
        <v>67.7</v>
      </c>
      <c r="K23" s="1">
        <f ca="1">IFERROR(__xludf.DUMMYFUNCTION("""COMPUTED_VALUE"""),130)</f>
        <v>130</v>
      </c>
      <c r="L23" s="1" t="str">
        <f ca="1">IFERROR(__xludf.DUMMYFUNCTION("""COMPUTED_VALUE"""),"+.073")</f>
        <v>+.073</v>
      </c>
      <c r="M23" s="1">
        <f ca="1">IFERROR(__xludf.DUMMYFUNCTION("""COMPUTED_VALUE"""),25)</f>
        <v>25</v>
      </c>
      <c r="N23" s="1" t="str">
        <f ca="1">IFERROR(__xludf.DUMMYFUNCTION("""COMPUTED_VALUE"""),"+7.83")</f>
        <v>+7.83</v>
      </c>
      <c r="O23" s="1">
        <f ca="1">IFERROR(__xludf.DUMMYFUNCTION("""COMPUTED_VALUE"""),44)</f>
        <v>44</v>
      </c>
      <c r="P23" s="1">
        <f ca="1">IFERROR(__xludf.DUMMYFUNCTION("""COMPUTED_VALUE"""),105.8)</f>
        <v>105.8</v>
      </c>
      <c r="Q23" s="1">
        <f ca="1">IFERROR(__xludf.DUMMYFUNCTION("""COMPUTED_VALUE"""),58)</f>
        <v>58</v>
      </c>
      <c r="R23" s="1">
        <f ca="1">IFERROR(__xludf.DUMMYFUNCTION("""COMPUTED_VALUE"""),98)</f>
        <v>98</v>
      </c>
      <c r="S23" s="1">
        <f ca="1">IFERROR(__xludf.DUMMYFUNCTION("""COMPUTED_VALUE"""),35)</f>
        <v>35</v>
      </c>
      <c r="T23" s="1">
        <f ca="1">IFERROR(__xludf.DUMMYFUNCTION("""COMPUTED_VALUE"""),-3.8)</f>
        <v>-3.8</v>
      </c>
      <c r="U23" s="1">
        <f ca="1">IFERROR(__xludf.DUMMYFUNCTION("""COMPUTED_VALUE"""),249)</f>
        <v>249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IFERROR(__xludf.DUMMYFUNCTION("""COMPUTED_VALUE"""),"Connecticut5")</f>
        <v>Connecticut5</v>
      </c>
      <c r="C24" s="1" t="str">
        <f ca="1">IFERROR(__xludf.DUMMYFUNCTION("""COMPUTED_VALUE"""),"BE")</f>
        <v>BE</v>
      </c>
      <c r="D24" s="1" t="str">
        <f ca="1">IFERROR(__xludf.DUMMYFUNCTION("""COMPUTED_VALUE"""),"23-10")</f>
        <v>23-10</v>
      </c>
      <c r="E24" s="1" t="str">
        <f ca="1">IFERROR(__xludf.DUMMYFUNCTION("""COMPUTED_VALUE"""),"+19.54")</f>
        <v>+19.54</v>
      </c>
      <c r="F24" s="1">
        <f ca="1">IFERROR(__xludf.DUMMYFUNCTION("""COMPUTED_VALUE"""),111.6)</f>
        <v>111.6</v>
      </c>
      <c r="G24" s="1">
        <f ca="1">IFERROR(__xludf.DUMMYFUNCTION("""COMPUTED_VALUE"""),26)</f>
        <v>26</v>
      </c>
      <c r="H24" s="1">
        <f ca="1">IFERROR(__xludf.DUMMYFUNCTION("""COMPUTED_VALUE"""),92)</f>
        <v>92</v>
      </c>
      <c r="I24" s="1">
        <f ca="1">IFERROR(__xludf.DUMMYFUNCTION("""COMPUTED_VALUE"""),17)</f>
        <v>17</v>
      </c>
      <c r="J24" s="1">
        <f ca="1">IFERROR(__xludf.DUMMYFUNCTION("""COMPUTED_VALUE"""),71.2)</f>
        <v>71.2</v>
      </c>
      <c r="K24" s="1">
        <f ca="1">IFERROR(__xludf.DUMMYFUNCTION("""COMPUTED_VALUE"""),29)</f>
        <v>29</v>
      </c>
      <c r="L24" s="1" t="str">
        <f ca="1">IFERROR(__xludf.DUMMYFUNCTION("""COMPUTED_VALUE"""),"+.005")</f>
        <v>+.005</v>
      </c>
      <c r="M24" s="1">
        <f ca="1">IFERROR(__xludf.DUMMYFUNCTION("""COMPUTED_VALUE"""),152)</f>
        <v>152</v>
      </c>
      <c r="N24" s="1" t="str">
        <f ca="1">IFERROR(__xludf.DUMMYFUNCTION("""COMPUTED_VALUE"""),"+8.75")</f>
        <v>+8.75</v>
      </c>
      <c r="O24" s="1">
        <f ca="1">IFERROR(__xludf.DUMMYFUNCTION("""COMPUTED_VALUE"""),29)</f>
        <v>29</v>
      </c>
      <c r="P24" s="1">
        <f ca="1">IFERROR(__xludf.DUMMYFUNCTION("""COMPUTED_VALUE"""),107.3)</f>
        <v>107.3</v>
      </c>
      <c r="Q24" s="1">
        <f ca="1">IFERROR(__xludf.DUMMYFUNCTION("""COMPUTED_VALUE"""),10)</f>
        <v>10</v>
      </c>
      <c r="R24" s="1">
        <f ca="1">IFERROR(__xludf.DUMMYFUNCTION("""COMPUTED_VALUE"""),98.6)</f>
        <v>98.6</v>
      </c>
      <c r="S24" s="1">
        <f ca="1">IFERROR(__xludf.DUMMYFUNCTION("""COMPUTED_VALUE"""),57)</f>
        <v>57</v>
      </c>
      <c r="T24" s="1">
        <f ca="1">IFERROR(__xludf.DUMMYFUNCTION("""COMPUTED_VALUE"""),-3.48)</f>
        <v>-3.48</v>
      </c>
      <c r="U24" s="1">
        <f ca="1">IFERROR(__xludf.DUMMYFUNCTION("""COMPUTED_VALUE"""),237)</f>
        <v>237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IFERROR(__xludf.DUMMYFUNCTION("""COMPUTED_VALUE"""),"LSU8")</f>
        <v>LSU8</v>
      </c>
      <c r="C25" s="1" t="str">
        <f ca="1">IFERROR(__xludf.DUMMYFUNCTION("""COMPUTED_VALUE"""),"SEC")</f>
        <v>SEC</v>
      </c>
      <c r="D25" s="1" t="str">
        <f ca="1">IFERROR(__xludf.DUMMYFUNCTION("""COMPUTED_VALUE"""),"21-11")</f>
        <v>21-11</v>
      </c>
      <c r="E25" s="1" t="str">
        <f ca="1">IFERROR(__xludf.DUMMYFUNCTION("""COMPUTED_VALUE"""),"+18.15")</f>
        <v>+18.15</v>
      </c>
      <c r="F25" s="1">
        <f ca="1">IFERROR(__xludf.DUMMYFUNCTION("""COMPUTED_VALUE"""),111)</f>
        <v>111</v>
      </c>
      <c r="G25" s="1">
        <f ca="1">IFERROR(__xludf.DUMMYFUNCTION("""COMPUTED_VALUE"""),33)</f>
        <v>33</v>
      </c>
      <c r="H25" s="1">
        <f ca="1">IFERROR(__xludf.DUMMYFUNCTION("""COMPUTED_VALUE"""),92.8)</f>
        <v>92.8</v>
      </c>
      <c r="I25" s="1">
        <f ca="1">IFERROR(__xludf.DUMMYFUNCTION("""COMPUTED_VALUE"""),24)</f>
        <v>24</v>
      </c>
      <c r="J25" s="1">
        <f ca="1">IFERROR(__xludf.DUMMYFUNCTION("""COMPUTED_VALUE"""),67.5)</f>
        <v>67.5</v>
      </c>
      <c r="K25" s="1">
        <f ca="1">IFERROR(__xludf.DUMMYFUNCTION("""COMPUTED_VALUE"""),140)</f>
        <v>140</v>
      </c>
      <c r="L25" s="1">
        <f ca="1">IFERROR(__xludf.DUMMYFUNCTION("""COMPUTED_VALUE"""),-0.035)</f>
        <v>-3.5000000000000003E-2</v>
      </c>
      <c r="M25" s="1">
        <f ca="1">IFERROR(__xludf.DUMMYFUNCTION("""COMPUTED_VALUE"""),262)</f>
        <v>262</v>
      </c>
      <c r="N25" s="1" t="str">
        <f ca="1">IFERROR(__xludf.DUMMYFUNCTION("""COMPUTED_VALUE"""),"+6.27")</f>
        <v>+6.27</v>
      </c>
      <c r="O25" s="1">
        <f ca="1">IFERROR(__xludf.DUMMYFUNCTION("""COMPUTED_VALUE"""),67)</f>
        <v>67</v>
      </c>
      <c r="P25" s="1">
        <f ca="1">IFERROR(__xludf.DUMMYFUNCTION("""COMPUTED_VALUE"""),104.8)</f>
        <v>104.8</v>
      </c>
      <c r="Q25" s="1">
        <f ca="1">IFERROR(__xludf.DUMMYFUNCTION("""COMPUTED_VALUE"""),80)</f>
        <v>80</v>
      </c>
      <c r="R25" s="1">
        <f ca="1">IFERROR(__xludf.DUMMYFUNCTION("""COMPUTED_VALUE"""),98.6)</f>
        <v>98.6</v>
      </c>
      <c r="S25" s="1">
        <f ca="1">IFERROR(__xludf.DUMMYFUNCTION("""COMPUTED_VALUE"""),55)</f>
        <v>55</v>
      </c>
      <c r="T25" s="1">
        <f ca="1">IFERROR(__xludf.DUMMYFUNCTION("""COMPUTED_VALUE"""),-8.36)</f>
        <v>-8.36</v>
      </c>
      <c r="U25" s="1">
        <f ca="1">IFERROR(__xludf.DUMMYFUNCTION("""COMPUTED_VALUE"""),311)</f>
        <v>311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IFERROR(__xludf.DUMMYFUNCTION("""COMPUTED_VALUE"""),"BYU12")</f>
        <v>BYU12</v>
      </c>
      <c r="C26" s="1" t="str">
        <f ca="1">IFERROR(__xludf.DUMMYFUNCTION("""COMPUTED_VALUE"""),"MWC")</f>
        <v>MWC</v>
      </c>
      <c r="D26" s="1" t="str">
        <f ca="1">IFERROR(__xludf.DUMMYFUNCTION("""COMPUTED_VALUE"""),"23-9")</f>
        <v>23-9</v>
      </c>
      <c r="E26" s="1" t="str">
        <f ca="1">IFERROR(__xludf.DUMMYFUNCTION("""COMPUTED_VALUE"""),"+17.68")</f>
        <v>+17.68</v>
      </c>
      <c r="F26" s="1">
        <f ca="1">IFERROR(__xludf.DUMMYFUNCTION("""COMPUTED_VALUE"""),109.4)</f>
        <v>109.4</v>
      </c>
      <c r="G26" s="1">
        <f ca="1">IFERROR(__xludf.DUMMYFUNCTION("""COMPUTED_VALUE"""),52)</f>
        <v>52</v>
      </c>
      <c r="H26" s="1">
        <f ca="1">IFERROR(__xludf.DUMMYFUNCTION("""COMPUTED_VALUE"""),91.7)</f>
        <v>91.7</v>
      </c>
      <c r="I26" s="1">
        <f ca="1">IFERROR(__xludf.DUMMYFUNCTION("""COMPUTED_VALUE"""),16)</f>
        <v>16</v>
      </c>
      <c r="J26" s="1">
        <f ca="1">IFERROR(__xludf.DUMMYFUNCTION("""COMPUTED_VALUE"""),65.5)</f>
        <v>65.5</v>
      </c>
      <c r="K26" s="1">
        <f ca="1">IFERROR(__xludf.DUMMYFUNCTION("""COMPUTED_VALUE"""),234)</f>
        <v>234</v>
      </c>
      <c r="L26" s="1">
        <f ca="1">IFERROR(__xludf.DUMMYFUNCTION("""COMPUTED_VALUE"""),-0.031)</f>
        <v>-3.1E-2</v>
      </c>
      <c r="M26" s="1">
        <f ca="1">IFERROR(__xludf.DUMMYFUNCTION("""COMPUTED_VALUE"""),247)</f>
        <v>247</v>
      </c>
      <c r="N26" s="1" t="str">
        <f ca="1">IFERROR(__xludf.DUMMYFUNCTION("""COMPUTED_VALUE"""),"+5.49")</f>
        <v>+5.49</v>
      </c>
      <c r="O26" s="1">
        <f ca="1">IFERROR(__xludf.DUMMYFUNCTION("""COMPUTED_VALUE"""),74)</f>
        <v>74</v>
      </c>
      <c r="P26" s="1">
        <f ca="1">IFERROR(__xludf.DUMMYFUNCTION("""COMPUTED_VALUE"""),107.3)</f>
        <v>107.3</v>
      </c>
      <c r="Q26" s="1">
        <f ca="1">IFERROR(__xludf.DUMMYFUNCTION("""COMPUTED_VALUE"""),11)</f>
        <v>11</v>
      </c>
      <c r="R26" s="1">
        <f ca="1">IFERROR(__xludf.DUMMYFUNCTION("""COMPUTED_VALUE"""),101.8)</f>
        <v>101.8</v>
      </c>
      <c r="S26" s="1">
        <f ca="1">IFERROR(__xludf.DUMMYFUNCTION("""COMPUTED_VALUE"""),130)</f>
        <v>130</v>
      </c>
      <c r="T26" s="1" t="str">
        <f ca="1">IFERROR(__xludf.DUMMYFUNCTION("""COMPUTED_VALUE"""),"+5.20")</f>
        <v>+5.20</v>
      </c>
      <c r="U26" s="1">
        <f ca="1">IFERROR(__xludf.DUMMYFUNCTION("""COMPUTED_VALUE"""),52)</f>
        <v>52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IFERROR(__xludf.DUMMYFUNCTION("""COMPUTED_VALUE"""),"Oklahoma St.6")</f>
        <v>Oklahoma St.6</v>
      </c>
      <c r="C27" s="1" t="str">
        <f ca="1">IFERROR(__xludf.DUMMYFUNCTION("""COMPUTED_VALUE"""),"B12")</f>
        <v>B12</v>
      </c>
      <c r="D27" s="1" t="str">
        <f ca="1">IFERROR(__xludf.DUMMYFUNCTION("""COMPUTED_VALUE"""),"22-10")</f>
        <v>22-10</v>
      </c>
      <c r="E27" s="1" t="str">
        <f ca="1">IFERROR(__xludf.DUMMYFUNCTION("""COMPUTED_VALUE"""),"+17.67")</f>
        <v>+17.67</v>
      </c>
      <c r="F27" s="1">
        <f ca="1">IFERROR(__xludf.DUMMYFUNCTION("""COMPUTED_VALUE"""),105.9)</f>
        <v>105.9</v>
      </c>
      <c r="G27" s="1">
        <f ca="1">IFERROR(__xludf.DUMMYFUNCTION("""COMPUTED_VALUE"""),100)</f>
        <v>100</v>
      </c>
      <c r="H27" s="1">
        <f ca="1">IFERROR(__xludf.DUMMYFUNCTION("""COMPUTED_VALUE"""),88.2)</f>
        <v>88.2</v>
      </c>
      <c r="I27" s="1">
        <f ca="1">IFERROR(__xludf.DUMMYFUNCTION("""COMPUTED_VALUE"""),5)</f>
        <v>5</v>
      </c>
      <c r="J27" s="1">
        <f ca="1">IFERROR(__xludf.DUMMYFUNCTION("""COMPUTED_VALUE"""),66.7)</f>
        <v>66.7</v>
      </c>
      <c r="K27" s="1">
        <f ca="1">IFERROR(__xludf.DUMMYFUNCTION("""COMPUTED_VALUE"""),177)</f>
        <v>177</v>
      </c>
      <c r="L27" s="1" t="str">
        <f ca="1">IFERROR(__xludf.DUMMYFUNCTION("""COMPUTED_VALUE"""),"+.003")</f>
        <v>+.003</v>
      </c>
      <c r="M27" s="1">
        <f ca="1">IFERROR(__xludf.DUMMYFUNCTION("""COMPUTED_VALUE"""),157)</f>
        <v>157</v>
      </c>
      <c r="N27" s="1" t="str">
        <f ca="1">IFERROR(__xludf.DUMMYFUNCTION("""COMPUTED_VALUE"""),"+9.08")</f>
        <v>+9.08</v>
      </c>
      <c r="O27" s="1">
        <f ca="1">IFERROR(__xludf.DUMMYFUNCTION("""COMPUTED_VALUE"""),22)</f>
        <v>22</v>
      </c>
      <c r="P27" s="1">
        <f ca="1">IFERROR(__xludf.DUMMYFUNCTION("""COMPUTED_VALUE"""),106.3)</f>
        <v>106.3</v>
      </c>
      <c r="Q27" s="1">
        <f ca="1">IFERROR(__xludf.DUMMYFUNCTION("""COMPUTED_VALUE"""),44)</f>
        <v>44</v>
      </c>
      <c r="R27" s="1">
        <f ca="1">IFERROR(__xludf.DUMMYFUNCTION("""COMPUTED_VALUE"""),97.2)</f>
        <v>97.2</v>
      </c>
      <c r="S27" s="1">
        <f ca="1">IFERROR(__xludf.DUMMYFUNCTION("""COMPUTED_VALUE"""),15)</f>
        <v>15</v>
      </c>
      <c r="T27" s="1">
        <f ca="1">IFERROR(__xludf.DUMMYFUNCTION("""COMPUTED_VALUE"""),-1.17)</f>
        <v>-1.17</v>
      </c>
      <c r="U27" s="1">
        <f ca="1">IFERROR(__xludf.DUMMYFUNCTION("""COMPUTED_VALUE"""),183)</f>
        <v>183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IFERROR(__xludf.DUMMYFUNCTION("""COMPUTED_VALUE"""),"Creighton6")</f>
        <v>Creighton6</v>
      </c>
      <c r="C28" s="1" t="str">
        <f ca="1">IFERROR(__xludf.DUMMYFUNCTION("""COMPUTED_VALUE"""),"MVC")</f>
        <v>MVC</v>
      </c>
      <c r="D28" s="1" t="str">
        <f ca="1">IFERROR(__xludf.DUMMYFUNCTION("""COMPUTED_VALUE"""),"29-5")</f>
        <v>29-5</v>
      </c>
      <c r="E28" s="1" t="str">
        <f ca="1">IFERROR(__xludf.DUMMYFUNCTION("""COMPUTED_VALUE"""),"+17.54")</f>
        <v>+17.54</v>
      </c>
      <c r="F28" s="1">
        <f ca="1">IFERROR(__xludf.DUMMYFUNCTION("""COMPUTED_VALUE"""),112.4)</f>
        <v>112.4</v>
      </c>
      <c r="G28" s="1">
        <f ca="1">IFERROR(__xludf.DUMMYFUNCTION("""COMPUTED_VALUE"""),24)</f>
        <v>24</v>
      </c>
      <c r="H28" s="1">
        <f ca="1">IFERROR(__xludf.DUMMYFUNCTION("""COMPUTED_VALUE"""),94.9)</f>
        <v>94.9</v>
      </c>
      <c r="I28" s="1">
        <f ca="1">IFERROR(__xludf.DUMMYFUNCTION("""COMPUTED_VALUE"""),40)</f>
        <v>40</v>
      </c>
      <c r="J28" s="1">
        <f ca="1">IFERROR(__xludf.DUMMYFUNCTION("""COMPUTED_VALUE"""),68.4)</f>
        <v>68.400000000000006</v>
      </c>
      <c r="K28" s="1">
        <f ca="1">IFERROR(__xludf.DUMMYFUNCTION("""COMPUTED_VALUE"""),103)</f>
        <v>103</v>
      </c>
      <c r="L28" s="1" t="str">
        <f ca="1">IFERROR(__xludf.DUMMYFUNCTION("""COMPUTED_VALUE"""),"+.026")</f>
        <v>+.026</v>
      </c>
      <c r="M28" s="1">
        <f ca="1">IFERROR(__xludf.DUMMYFUNCTION("""COMPUTED_VALUE"""),99)</f>
        <v>99</v>
      </c>
      <c r="N28" s="1">
        <f ca="1">IFERROR(__xludf.DUMMYFUNCTION("""COMPUTED_VALUE"""),-0.19)</f>
        <v>-0.19</v>
      </c>
      <c r="O28" s="1">
        <f ca="1">IFERROR(__xludf.DUMMYFUNCTION("""COMPUTED_VALUE"""),155)</f>
        <v>155</v>
      </c>
      <c r="P28" s="1">
        <f ca="1">IFERROR(__xludf.DUMMYFUNCTION("""COMPUTED_VALUE"""),102.5)</f>
        <v>102.5</v>
      </c>
      <c r="Q28" s="1">
        <f ca="1">IFERROR(__xludf.DUMMYFUNCTION("""COMPUTED_VALUE"""),159)</f>
        <v>159</v>
      </c>
      <c r="R28" s="1">
        <f ca="1">IFERROR(__xludf.DUMMYFUNCTION("""COMPUTED_VALUE"""),102.7)</f>
        <v>102.7</v>
      </c>
      <c r="S28" s="1">
        <f ca="1">IFERROR(__xludf.DUMMYFUNCTION("""COMPUTED_VALUE"""),168)</f>
        <v>168</v>
      </c>
      <c r="T28" s="1">
        <f ca="1">IFERROR(__xludf.DUMMYFUNCTION("""COMPUTED_VALUE"""),-0.51)</f>
        <v>-0.51</v>
      </c>
      <c r="U28" s="1">
        <f ca="1">IFERROR(__xludf.DUMMYFUNCTION("""COMPUTED_VALUE"""),164)</f>
        <v>164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IFERROR(__xludf.DUMMYFUNCTION("""COMPUTED_VALUE"""),"Purdue9")</f>
        <v>Purdue9</v>
      </c>
      <c r="C29" s="1" t="str">
        <f ca="1">IFERROR(__xludf.DUMMYFUNCTION("""COMPUTED_VALUE"""),"B10")</f>
        <v>B10</v>
      </c>
      <c r="D29" s="1" t="str">
        <f ca="1">IFERROR(__xludf.DUMMYFUNCTION("""COMPUTED_VALUE"""),"19-11")</f>
        <v>19-11</v>
      </c>
      <c r="E29" s="1" t="str">
        <f ca="1">IFERROR(__xludf.DUMMYFUNCTION("""COMPUTED_VALUE"""),"+17.42")</f>
        <v>+17.42</v>
      </c>
      <c r="F29" s="1">
        <f ca="1">IFERROR(__xludf.DUMMYFUNCTION("""COMPUTED_VALUE"""),107)</f>
        <v>107</v>
      </c>
      <c r="G29" s="1">
        <f ca="1">IFERROR(__xludf.DUMMYFUNCTION("""COMPUTED_VALUE"""),87)</f>
        <v>87</v>
      </c>
      <c r="H29" s="1">
        <f ca="1">IFERROR(__xludf.DUMMYFUNCTION("""COMPUTED_VALUE"""),89.6)</f>
        <v>89.6</v>
      </c>
      <c r="I29" s="1">
        <f ca="1">IFERROR(__xludf.DUMMYFUNCTION("""COMPUTED_VALUE"""),11)</f>
        <v>11</v>
      </c>
      <c r="J29" s="1">
        <f ca="1">IFERROR(__xludf.DUMMYFUNCTION("""COMPUTED_VALUE"""),69.3)</f>
        <v>69.3</v>
      </c>
      <c r="K29" s="1">
        <f ca="1">IFERROR(__xludf.DUMMYFUNCTION("""COMPUTED_VALUE"""),71)</f>
        <v>71</v>
      </c>
      <c r="L29" s="1">
        <f ca="1">IFERROR(__xludf.DUMMYFUNCTION("""COMPUTED_VALUE"""),-0.012)</f>
        <v>-1.2E-2</v>
      </c>
      <c r="M29" s="1">
        <f ca="1">IFERROR(__xludf.DUMMYFUNCTION("""COMPUTED_VALUE"""),194)</f>
        <v>194</v>
      </c>
      <c r="N29" s="1" t="str">
        <f ca="1">IFERROR(__xludf.DUMMYFUNCTION("""COMPUTED_VALUE"""),"+9.53")</f>
        <v>+9.53</v>
      </c>
      <c r="O29" s="1">
        <f ca="1">IFERROR(__xludf.DUMMYFUNCTION("""COMPUTED_VALUE"""),17)</f>
        <v>17</v>
      </c>
      <c r="P29" s="1">
        <f ca="1">IFERROR(__xludf.DUMMYFUNCTION("""COMPUTED_VALUE"""),107.6)</f>
        <v>107.6</v>
      </c>
      <c r="Q29" s="1">
        <f ca="1">IFERROR(__xludf.DUMMYFUNCTION("""COMPUTED_VALUE"""),6)</f>
        <v>6</v>
      </c>
      <c r="R29" s="1">
        <f ca="1">IFERROR(__xludf.DUMMYFUNCTION("""COMPUTED_VALUE"""),98)</f>
        <v>98</v>
      </c>
      <c r="S29" s="1">
        <f ca="1">IFERROR(__xludf.DUMMYFUNCTION("""COMPUTED_VALUE"""),36)</f>
        <v>36</v>
      </c>
      <c r="T29" s="1" t="str">
        <f ca="1">IFERROR(__xludf.DUMMYFUNCTION("""COMPUTED_VALUE"""),"+4.87")</f>
        <v>+4.87</v>
      </c>
      <c r="U29" s="1">
        <f ca="1">IFERROR(__xludf.DUMMYFUNCTION("""COMPUTED_VALUE"""),55)</f>
        <v>55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IFERROR(__xludf.DUMMYFUNCTION("""COMPUTED_VALUE"""),"Missouri6")</f>
        <v>Missouri6</v>
      </c>
      <c r="C30" s="1" t="str">
        <f ca="1">IFERROR(__xludf.DUMMYFUNCTION("""COMPUTED_VALUE"""),"B12")</f>
        <v>B12</v>
      </c>
      <c r="D30" s="1" t="str">
        <f ca="1">IFERROR(__xludf.DUMMYFUNCTION("""COMPUTED_VALUE"""),"22-11")</f>
        <v>22-11</v>
      </c>
      <c r="E30" s="1" t="str">
        <f ca="1">IFERROR(__xludf.DUMMYFUNCTION("""COMPUTED_VALUE"""),"+17.32")</f>
        <v>+17.32</v>
      </c>
      <c r="F30" s="1">
        <f ca="1">IFERROR(__xludf.DUMMYFUNCTION("""COMPUTED_VALUE"""),111.5)</f>
        <v>111.5</v>
      </c>
      <c r="G30" s="1">
        <f ca="1">IFERROR(__xludf.DUMMYFUNCTION("""COMPUTED_VALUE"""),27)</f>
        <v>27</v>
      </c>
      <c r="H30" s="1">
        <f ca="1">IFERROR(__xludf.DUMMYFUNCTION("""COMPUTED_VALUE"""),94.2)</f>
        <v>94.2</v>
      </c>
      <c r="I30" s="1">
        <f ca="1">IFERROR(__xludf.DUMMYFUNCTION("""COMPUTED_VALUE"""),34)</f>
        <v>34</v>
      </c>
      <c r="J30" s="1">
        <f ca="1">IFERROR(__xludf.DUMMYFUNCTION("""COMPUTED_VALUE"""),66.9)</f>
        <v>66.900000000000006</v>
      </c>
      <c r="K30" s="1">
        <f ca="1">IFERROR(__xludf.DUMMYFUNCTION("""COMPUTED_VALUE"""),173)</f>
        <v>173</v>
      </c>
      <c r="L30" s="1" t="str">
        <f ca="1">IFERROR(__xludf.DUMMYFUNCTION("""COMPUTED_VALUE"""),"+.043")</f>
        <v>+.043</v>
      </c>
      <c r="M30" s="1">
        <f ca="1">IFERROR(__xludf.DUMMYFUNCTION("""COMPUTED_VALUE"""),68)</f>
        <v>68</v>
      </c>
      <c r="N30" s="1" t="str">
        <f ca="1">IFERROR(__xludf.DUMMYFUNCTION("""COMPUTED_VALUE"""),"+11.14")</f>
        <v>+11.14</v>
      </c>
      <c r="O30" s="1">
        <f ca="1">IFERROR(__xludf.DUMMYFUNCTION("""COMPUTED_VALUE"""),5)</f>
        <v>5</v>
      </c>
      <c r="P30" s="1">
        <f ca="1">IFERROR(__xludf.DUMMYFUNCTION("""COMPUTED_VALUE"""),107.1)</f>
        <v>107.1</v>
      </c>
      <c r="Q30" s="1">
        <f ca="1">IFERROR(__xludf.DUMMYFUNCTION("""COMPUTED_VALUE"""),18)</f>
        <v>18</v>
      </c>
      <c r="R30" s="1">
        <f ca="1">IFERROR(__xludf.DUMMYFUNCTION("""COMPUTED_VALUE"""),95.9)</f>
        <v>95.9</v>
      </c>
      <c r="S30" s="1">
        <f ca="1">IFERROR(__xludf.DUMMYFUNCTION("""COMPUTED_VALUE"""),1)</f>
        <v>1</v>
      </c>
      <c r="T30" s="1" t="str">
        <f ca="1">IFERROR(__xludf.DUMMYFUNCTION("""COMPUTED_VALUE"""),"+2.97")</f>
        <v>+2.97</v>
      </c>
      <c r="U30" s="1">
        <f ca="1">IFERROR(__xludf.DUMMYFUNCTION("""COMPUTED_VALUE"""),87)</f>
        <v>87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IFERROR(__xludf.DUMMYFUNCTION("""COMPUTED_VALUE"""),"Memphis7")</f>
        <v>Memphis7</v>
      </c>
      <c r="C31" s="1" t="str">
        <f ca="1">IFERROR(__xludf.DUMMYFUNCTION("""COMPUTED_VALUE"""),"CUSA")</f>
        <v>CUSA</v>
      </c>
      <c r="D31" s="1" t="str">
        <f ca="1">IFERROR(__xludf.DUMMYFUNCTION("""COMPUTED_VALUE"""),"23-7")</f>
        <v>23-7</v>
      </c>
      <c r="E31" s="1" t="str">
        <f ca="1">IFERROR(__xludf.DUMMYFUNCTION("""COMPUTED_VALUE"""),"+16.72")</f>
        <v>+16.72</v>
      </c>
      <c r="F31" s="1">
        <f ca="1">IFERROR(__xludf.DUMMYFUNCTION("""COMPUTED_VALUE"""),110.9)</f>
        <v>110.9</v>
      </c>
      <c r="G31" s="1">
        <f ca="1">IFERROR(__xludf.DUMMYFUNCTION("""COMPUTED_VALUE"""),35)</f>
        <v>35</v>
      </c>
      <c r="H31" s="1">
        <f ca="1">IFERROR(__xludf.DUMMYFUNCTION("""COMPUTED_VALUE"""),94.1)</f>
        <v>94.1</v>
      </c>
      <c r="I31" s="1">
        <f ca="1">IFERROR(__xludf.DUMMYFUNCTION("""COMPUTED_VALUE"""),33)</f>
        <v>33</v>
      </c>
      <c r="J31" s="1">
        <f ca="1">IFERROR(__xludf.DUMMYFUNCTION("""COMPUTED_VALUE"""),68.3)</f>
        <v>68.3</v>
      </c>
      <c r="K31" s="1">
        <f ca="1">IFERROR(__xludf.DUMMYFUNCTION("""COMPUTED_VALUE"""),109)</f>
        <v>109</v>
      </c>
      <c r="L31" s="1" t="str">
        <f ca="1">IFERROR(__xludf.DUMMYFUNCTION("""COMPUTED_VALUE"""),"+.005")</f>
        <v>+.005</v>
      </c>
      <c r="M31" s="1">
        <f ca="1">IFERROR(__xludf.DUMMYFUNCTION("""COMPUTED_VALUE"""),151)</f>
        <v>151</v>
      </c>
      <c r="N31" s="1" t="str">
        <f ca="1">IFERROR(__xludf.DUMMYFUNCTION("""COMPUTED_VALUE"""),"+4.83")</f>
        <v>+4.83</v>
      </c>
      <c r="O31" s="1">
        <f ca="1">IFERROR(__xludf.DUMMYFUNCTION("""COMPUTED_VALUE"""),84)</f>
        <v>84</v>
      </c>
      <c r="P31" s="1">
        <f ca="1">IFERROR(__xludf.DUMMYFUNCTION("""COMPUTED_VALUE"""),103.4)</f>
        <v>103.4</v>
      </c>
      <c r="Q31" s="1">
        <f ca="1">IFERROR(__xludf.DUMMYFUNCTION("""COMPUTED_VALUE"""),133)</f>
        <v>133</v>
      </c>
      <c r="R31" s="1">
        <f ca="1">IFERROR(__xludf.DUMMYFUNCTION("""COMPUTED_VALUE"""),98.6)</f>
        <v>98.6</v>
      </c>
      <c r="S31" s="1">
        <f ca="1">IFERROR(__xludf.DUMMYFUNCTION("""COMPUTED_VALUE"""),54)</f>
        <v>54</v>
      </c>
      <c r="T31" s="1" t="str">
        <f ca="1">IFERROR(__xludf.DUMMYFUNCTION("""COMPUTED_VALUE"""),"+3.33")</f>
        <v>+3.33</v>
      </c>
      <c r="U31" s="1">
        <f ca="1">IFERROR(__xludf.DUMMYFUNCTION("""COMPUTED_VALUE"""),81)</f>
        <v>81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IFERROR(__xludf.DUMMYFUNCTION("""COMPUTED_VALUE"""),"Arizona St.10")</f>
        <v>Arizona St.10</v>
      </c>
      <c r="C32" s="1" t="str">
        <f ca="1">IFERROR(__xludf.DUMMYFUNCTION("""COMPUTED_VALUE"""),"P10")</f>
        <v>P10</v>
      </c>
      <c r="D32" s="1" t="str">
        <f ca="1">IFERROR(__xludf.DUMMYFUNCTION("""COMPUTED_VALUE"""),"20-12")</f>
        <v>20-12</v>
      </c>
      <c r="E32" s="1" t="str">
        <f ca="1">IFERROR(__xludf.DUMMYFUNCTION("""COMPUTED_VALUE"""),"+16.49")</f>
        <v>+16.49</v>
      </c>
      <c r="F32" s="1">
        <f ca="1">IFERROR(__xludf.DUMMYFUNCTION("""COMPUTED_VALUE"""),113.9)</f>
        <v>113.9</v>
      </c>
      <c r="G32" s="1">
        <f ca="1">IFERROR(__xludf.DUMMYFUNCTION("""COMPUTED_VALUE"""),18)</f>
        <v>18</v>
      </c>
      <c r="H32" s="1">
        <f ca="1">IFERROR(__xludf.DUMMYFUNCTION("""COMPUTED_VALUE"""),97.4)</f>
        <v>97.4</v>
      </c>
      <c r="I32" s="1">
        <f ca="1">IFERROR(__xludf.DUMMYFUNCTION("""COMPUTED_VALUE"""),78)</f>
        <v>78</v>
      </c>
      <c r="J32" s="1">
        <f ca="1">IFERROR(__xludf.DUMMYFUNCTION("""COMPUTED_VALUE"""),66.9)</f>
        <v>66.900000000000006</v>
      </c>
      <c r="K32" s="1">
        <f ca="1">IFERROR(__xludf.DUMMYFUNCTION("""COMPUTED_VALUE"""),169)</f>
        <v>169</v>
      </c>
      <c r="L32" s="1">
        <f ca="1">IFERROR(__xludf.DUMMYFUNCTION("""COMPUTED_VALUE"""),-0.014)</f>
        <v>-1.4E-2</v>
      </c>
      <c r="M32" s="1">
        <f ca="1">IFERROR(__xludf.DUMMYFUNCTION("""COMPUTED_VALUE"""),201)</f>
        <v>201</v>
      </c>
      <c r="N32" s="1" t="str">
        <f ca="1">IFERROR(__xludf.DUMMYFUNCTION("""COMPUTED_VALUE"""),"+8.74")</f>
        <v>+8.74</v>
      </c>
      <c r="O32" s="1">
        <f ca="1">IFERROR(__xludf.DUMMYFUNCTION("""COMPUTED_VALUE"""),30)</f>
        <v>30</v>
      </c>
      <c r="P32" s="1">
        <f ca="1">IFERROR(__xludf.DUMMYFUNCTION("""COMPUTED_VALUE"""),106.4)</f>
        <v>106.4</v>
      </c>
      <c r="Q32" s="1">
        <f ca="1">IFERROR(__xludf.DUMMYFUNCTION("""COMPUTED_VALUE"""),41)</f>
        <v>41</v>
      </c>
      <c r="R32" s="1">
        <f ca="1">IFERROR(__xludf.DUMMYFUNCTION("""COMPUTED_VALUE"""),97.7)</f>
        <v>97.7</v>
      </c>
      <c r="S32" s="1">
        <f ca="1">IFERROR(__xludf.DUMMYFUNCTION("""COMPUTED_VALUE"""),26)</f>
        <v>26</v>
      </c>
      <c r="T32" s="1" t="str">
        <f ca="1">IFERROR(__xludf.DUMMYFUNCTION("""COMPUTED_VALUE"""),"+5.43")</f>
        <v>+5.43</v>
      </c>
      <c r="U32" s="1">
        <f ca="1">IFERROR(__xludf.DUMMYFUNCTION("""COMPUTED_VALUE"""),50)</f>
        <v>50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IFERROR(__xludf.DUMMYFUNCTION("""COMPUTED_VALUE"""),"Butler12")</f>
        <v>Butler12</v>
      </c>
      <c r="C33" s="1" t="str">
        <f ca="1">IFERROR(__xludf.DUMMYFUNCTION("""COMPUTED_VALUE"""),"Horz")</f>
        <v>Horz</v>
      </c>
      <c r="D33" s="1" t="str">
        <f ca="1">IFERROR(__xludf.DUMMYFUNCTION("""COMPUTED_VALUE"""),"27-6")</f>
        <v>27-6</v>
      </c>
      <c r="E33" s="1" t="str">
        <f ca="1">IFERROR(__xludf.DUMMYFUNCTION("""COMPUTED_VALUE"""),"+16.09")</f>
        <v>+16.09</v>
      </c>
      <c r="F33" s="1">
        <f ca="1">IFERROR(__xludf.DUMMYFUNCTION("""COMPUTED_VALUE"""),115.4)</f>
        <v>115.4</v>
      </c>
      <c r="G33" s="1">
        <f ca="1">IFERROR(__xludf.DUMMYFUNCTION("""COMPUTED_VALUE"""),11)</f>
        <v>11</v>
      </c>
      <c r="H33" s="1">
        <f ca="1">IFERROR(__xludf.DUMMYFUNCTION("""COMPUTED_VALUE"""),99.3)</f>
        <v>99.3</v>
      </c>
      <c r="I33" s="1">
        <f ca="1">IFERROR(__xludf.DUMMYFUNCTION("""COMPUTED_VALUE"""),110)</f>
        <v>110</v>
      </c>
      <c r="J33" s="1">
        <f ca="1">IFERROR(__xludf.DUMMYFUNCTION("""COMPUTED_VALUE"""),58.6)</f>
        <v>58.6</v>
      </c>
      <c r="K33" s="1">
        <f ca="1">IFERROR(__xludf.DUMMYFUNCTION("""COMPUTED_VALUE"""),325)</f>
        <v>325</v>
      </c>
      <c r="L33" s="1" t="str">
        <f ca="1">IFERROR(__xludf.DUMMYFUNCTION("""COMPUTED_VALUE"""),"+.073")</f>
        <v>+.073</v>
      </c>
      <c r="M33" s="1">
        <f ca="1">IFERROR(__xludf.DUMMYFUNCTION("""COMPUTED_VALUE"""),24)</f>
        <v>24</v>
      </c>
      <c r="N33" s="1" t="str">
        <f ca="1">IFERROR(__xludf.DUMMYFUNCTION("""COMPUTED_VALUE"""),"+4.10")</f>
        <v>+4.10</v>
      </c>
      <c r="O33" s="1">
        <f ca="1">IFERROR(__xludf.DUMMYFUNCTION("""COMPUTED_VALUE"""),91)</f>
        <v>91</v>
      </c>
      <c r="P33" s="1">
        <f ca="1">IFERROR(__xludf.DUMMYFUNCTION("""COMPUTED_VALUE"""),104.5)</f>
        <v>104.5</v>
      </c>
      <c r="Q33" s="1">
        <f ca="1">IFERROR(__xludf.DUMMYFUNCTION("""COMPUTED_VALUE"""),95)</f>
        <v>95</v>
      </c>
      <c r="R33" s="1">
        <f ca="1">IFERROR(__xludf.DUMMYFUNCTION("""COMPUTED_VALUE"""),100.4)</f>
        <v>100.4</v>
      </c>
      <c r="S33" s="1">
        <f ca="1">IFERROR(__xludf.DUMMYFUNCTION("""COMPUTED_VALUE"""),94)</f>
        <v>94</v>
      </c>
      <c r="T33" s="1" t="str">
        <f ca="1">IFERROR(__xludf.DUMMYFUNCTION("""COMPUTED_VALUE"""),"+1.84")</f>
        <v>+1.84</v>
      </c>
      <c r="U33" s="1">
        <f ca="1">IFERROR(__xludf.DUMMYFUNCTION("""COMPUTED_VALUE"""),112)</f>
        <v>112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IFERROR(__xludf.DUMMYFUNCTION("""COMPUTED_VALUE"""),"Texas Tech")</f>
        <v>Texas Tech</v>
      </c>
      <c r="C34" s="1" t="str">
        <f ca="1">IFERROR(__xludf.DUMMYFUNCTION("""COMPUTED_VALUE"""),"B12")</f>
        <v>B12</v>
      </c>
      <c r="D34" s="1" t="str">
        <f ca="1">IFERROR(__xludf.DUMMYFUNCTION("""COMPUTED_VALUE"""),"21-13")</f>
        <v>21-13</v>
      </c>
      <c r="E34" s="1" t="str">
        <f ca="1">IFERROR(__xludf.DUMMYFUNCTION("""COMPUTED_VALUE"""),"+15.89")</f>
        <v>+15.89</v>
      </c>
      <c r="F34" s="1">
        <f ca="1">IFERROR(__xludf.DUMMYFUNCTION("""COMPUTED_VALUE"""),109.3)</f>
        <v>109.3</v>
      </c>
      <c r="G34" s="1">
        <f ca="1">IFERROR(__xludf.DUMMYFUNCTION("""COMPUTED_VALUE"""),53)</f>
        <v>53</v>
      </c>
      <c r="H34" s="1">
        <f ca="1">IFERROR(__xludf.DUMMYFUNCTION("""COMPUTED_VALUE"""),93.4)</f>
        <v>93.4</v>
      </c>
      <c r="I34" s="1">
        <f ca="1">IFERROR(__xludf.DUMMYFUNCTION("""COMPUTED_VALUE"""),26)</f>
        <v>26</v>
      </c>
      <c r="J34" s="1">
        <f ca="1">IFERROR(__xludf.DUMMYFUNCTION("""COMPUTED_VALUE"""),66.2)</f>
        <v>66.2</v>
      </c>
      <c r="K34" s="1">
        <f ca="1">IFERROR(__xludf.DUMMYFUNCTION("""COMPUTED_VALUE"""),197)</f>
        <v>197</v>
      </c>
      <c r="L34" s="1">
        <f ca="1">IFERROR(__xludf.DUMMYFUNCTION("""COMPUTED_VALUE"""),-0.027)</f>
        <v>-2.7E-2</v>
      </c>
      <c r="M34" s="1">
        <f ca="1">IFERROR(__xludf.DUMMYFUNCTION("""COMPUTED_VALUE"""),233)</f>
        <v>233</v>
      </c>
      <c r="N34" s="1" t="str">
        <f ca="1">IFERROR(__xludf.DUMMYFUNCTION("""COMPUTED_VALUE"""),"+8.92")</f>
        <v>+8.92</v>
      </c>
      <c r="O34" s="1">
        <f ca="1">IFERROR(__xludf.DUMMYFUNCTION("""COMPUTED_VALUE"""),26)</f>
        <v>26</v>
      </c>
      <c r="P34" s="1">
        <f ca="1">IFERROR(__xludf.DUMMYFUNCTION("""COMPUTED_VALUE"""),106.8)</f>
        <v>106.8</v>
      </c>
      <c r="Q34" s="1">
        <f ca="1">IFERROR(__xludf.DUMMYFUNCTION("""COMPUTED_VALUE"""),26)</f>
        <v>26</v>
      </c>
      <c r="R34" s="1">
        <f ca="1">IFERROR(__xludf.DUMMYFUNCTION("""COMPUTED_VALUE"""),97.9)</f>
        <v>97.9</v>
      </c>
      <c r="S34" s="1">
        <f ca="1">IFERROR(__xludf.DUMMYFUNCTION("""COMPUTED_VALUE"""),33)</f>
        <v>33</v>
      </c>
      <c r="T34" s="1">
        <f ca="1">IFERROR(__xludf.DUMMYFUNCTION("""COMPUTED_VALUE"""),-2.11)</f>
        <v>-2.11</v>
      </c>
      <c r="U34" s="1">
        <f ca="1">IFERROR(__xludf.DUMMYFUNCTION("""COMPUTED_VALUE"""),206)</f>
        <v>206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IFERROR(__xludf.DUMMYFUNCTION("""COMPUTED_VALUE"""),"Gonzaga9")</f>
        <v>Gonzaga9</v>
      </c>
      <c r="C35" s="1" t="str">
        <f ca="1">IFERROR(__xludf.DUMMYFUNCTION("""COMPUTED_VALUE"""),"WCC")</f>
        <v>WCC</v>
      </c>
      <c r="D35" s="1" t="str">
        <f ca="1">IFERROR(__xludf.DUMMYFUNCTION("""COMPUTED_VALUE"""),"24-9")</f>
        <v>24-9</v>
      </c>
      <c r="E35" s="1" t="str">
        <f ca="1">IFERROR(__xludf.DUMMYFUNCTION("""COMPUTED_VALUE"""),"+15.58")</f>
        <v>+15.58</v>
      </c>
      <c r="F35" s="1">
        <f ca="1">IFERROR(__xludf.DUMMYFUNCTION("""COMPUTED_VALUE"""),113.2)</f>
        <v>113.2</v>
      </c>
      <c r="G35" s="1">
        <f ca="1">IFERROR(__xludf.DUMMYFUNCTION("""COMPUTED_VALUE"""),21)</f>
        <v>21</v>
      </c>
      <c r="H35" s="1">
        <f ca="1">IFERROR(__xludf.DUMMYFUNCTION("""COMPUTED_VALUE"""),97.7)</f>
        <v>97.7</v>
      </c>
      <c r="I35" s="1">
        <f ca="1">IFERROR(__xludf.DUMMYFUNCTION("""COMPUTED_VALUE"""),82)</f>
        <v>82</v>
      </c>
      <c r="J35" s="1">
        <f ca="1">IFERROR(__xludf.DUMMYFUNCTION("""COMPUTED_VALUE"""),66.9)</f>
        <v>66.900000000000006</v>
      </c>
      <c r="K35" s="1">
        <f ca="1">IFERROR(__xludf.DUMMYFUNCTION("""COMPUTED_VALUE"""),170)</f>
        <v>170</v>
      </c>
      <c r="L35" s="1">
        <f ca="1">IFERROR(__xludf.DUMMYFUNCTION("""COMPUTED_VALUE"""),-0.021)</f>
        <v>-2.1000000000000001E-2</v>
      </c>
      <c r="M35" s="1">
        <f ca="1">IFERROR(__xludf.DUMMYFUNCTION("""COMPUTED_VALUE"""),220)</f>
        <v>220</v>
      </c>
      <c r="N35" s="1" t="str">
        <f ca="1">IFERROR(__xludf.DUMMYFUNCTION("""COMPUTED_VALUE"""),"+3.92")</f>
        <v>+3.92</v>
      </c>
      <c r="O35" s="1">
        <f ca="1">IFERROR(__xludf.DUMMYFUNCTION("""COMPUTED_VALUE"""),93)</f>
        <v>93</v>
      </c>
      <c r="P35" s="1">
        <f ca="1">IFERROR(__xludf.DUMMYFUNCTION("""COMPUTED_VALUE"""),104)</f>
        <v>104</v>
      </c>
      <c r="Q35" s="1">
        <f ca="1">IFERROR(__xludf.DUMMYFUNCTION("""COMPUTED_VALUE"""),115)</f>
        <v>115</v>
      </c>
      <c r="R35" s="1">
        <f ca="1">IFERROR(__xludf.DUMMYFUNCTION("""COMPUTED_VALUE"""),100.1)</f>
        <v>100.1</v>
      </c>
      <c r="S35" s="1">
        <f ca="1">IFERROR(__xludf.DUMMYFUNCTION("""COMPUTED_VALUE"""),87)</f>
        <v>87</v>
      </c>
      <c r="T35" s="1" t="str">
        <f ca="1">IFERROR(__xludf.DUMMYFUNCTION("""COMPUTED_VALUE"""),"+5.83")</f>
        <v>+5.83</v>
      </c>
      <c r="U35" s="1">
        <f ca="1">IFERROR(__xludf.DUMMYFUNCTION("""COMPUTED_VALUE"""),42)</f>
        <v>42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IFERROR(__xludf.DUMMYFUNCTION("""COMPUTED_VALUE"""),"Colorado10")</f>
        <v>Colorado10</v>
      </c>
      <c r="C36" s="1" t="str">
        <f ca="1">IFERROR(__xludf.DUMMYFUNCTION("""COMPUTED_VALUE"""),"B12")</f>
        <v>B12</v>
      </c>
      <c r="D36" s="1" t="str">
        <f ca="1">IFERROR(__xludf.DUMMYFUNCTION("""COMPUTED_VALUE"""),"20-12")</f>
        <v>20-12</v>
      </c>
      <c r="E36" s="1" t="str">
        <f ca="1">IFERROR(__xludf.DUMMYFUNCTION("""COMPUTED_VALUE"""),"+15.27")</f>
        <v>+15.27</v>
      </c>
      <c r="F36" s="1">
        <f ca="1">IFERROR(__xludf.DUMMYFUNCTION("""COMPUTED_VALUE"""),109.1)</f>
        <v>109.1</v>
      </c>
      <c r="G36" s="1">
        <f ca="1">IFERROR(__xludf.DUMMYFUNCTION("""COMPUTED_VALUE"""),56)</f>
        <v>56</v>
      </c>
      <c r="H36" s="1">
        <f ca="1">IFERROR(__xludf.DUMMYFUNCTION("""COMPUTED_VALUE"""),93.8)</f>
        <v>93.8</v>
      </c>
      <c r="I36" s="1">
        <f ca="1">IFERROR(__xludf.DUMMYFUNCTION("""COMPUTED_VALUE"""),28)</f>
        <v>28</v>
      </c>
      <c r="J36" s="1">
        <f ca="1">IFERROR(__xludf.DUMMYFUNCTION("""COMPUTED_VALUE"""),69.9)</f>
        <v>69.900000000000006</v>
      </c>
      <c r="K36" s="1">
        <f ca="1">IFERROR(__xludf.DUMMYFUNCTION("""COMPUTED_VALUE"""),56)</f>
        <v>56</v>
      </c>
      <c r="L36" s="1" t="str">
        <f ca="1">IFERROR(__xludf.DUMMYFUNCTION("""COMPUTED_VALUE"""),"+.001")</f>
        <v>+.001</v>
      </c>
      <c r="M36" s="1">
        <f ca="1">IFERROR(__xludf.DUMMYFUNCTION("""COMPUTED_VALUE"""),162)</f>
        <v>162</v>
      </c>
      <c r="N36" s="1" t="str">
        <f ca="1">IFERROR(__xludf.DUMMYFUNCTION("""COMPUTED_VALUE"""),"+9.02")</f>
        <v>+9.02</v>
      </c>
      <c r="O36" s="1">
        <f ca="1">IFERROR(__xludf.DUMMYFUNCTION("""COMPUTED_VALUE"""),23)</f>
        <v>23</v>
      </c>
      <c r="P36" s="1">
        <f ca="1">IFERROR(__xludf.DUMMYFUNCTION("""COMPUTED_VALUE"""),106.9)</f>
        <v>106.9</v>
      </c>
      <c r="Q36" s="1">
        <f ca="1">IFERROR(__xludf.DUMMYFUNCTION("""COMPUTED_VALUE"""),24)</f>
        <v>24</v>
      </c>
      <c r="R36" s="1">
        <f ca="1">IFERROR(__xludf.DUMMYFUNCTION("""COMPUTED_VALUE"""),97.8)</f>
        <v>97.8</v>
      </c>
      <c r="S36" s="1">
        <f ca="1">IFERROR(__xludf.DUMMYFUNCTION("""COMPUTED_VALUE"""),30)</f>
        <v>30</v>
      </c>
      <c r="T36" s="1" t="str">
        <f ca="1">IFERROR(__xludf.DUMMYFUNCTION("""COMPUTED_VALUE"""),"+0.22")</f>
        <v>+0.22</v>
      </c>
      <c r="U36" s="1">
        <f ca="1">IFERROR(__xludf.DUMMYFUNCTION("""COMPUTED_VALUE"""),151)</f>
        <v>151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IFERROR(__xludf.DUMMYFUNCTION("""COMPUTED_VALUE"""),"Georgetown")</f>
        <v>Georgetown</v>
      </c>
      <c r="C37" s="1" t="str">
        <f ca="1">IFERROR(__xludf.DUMMYFUNCTION("""COMPUTED_VALUE"""),"BE")</f>
        <v>BE</v>
      </c>
      <c r="D37" s="1" t="str">
        <f ca="1">IFERROR(__xludf.DUMMYFUNCTION("""COMPUTED_VALUE"""),"19-15")</f>
        <v>19-15</v>
      </c>
      <c r="E37" s="1" t="str">
        <f ca="1">IFERROR(__xludf.DUMMYFUNCTION("""COMPUTED_VALUE"""),"+14.91")</f>
        <v>+14.91</v>
      </c>
      <c r="F37" s="1">
        <f ca="1">IFERROR(__xludf.DUMMYFUNCTION("""COMPUTED_VALUE"""),107.1)</f>
        <v>107.1</v>
      </c>
      <c r="G37" s="1">
        <f ca="1">IFERROR(__xludf.DUMMYFUNCTION("""COMPUTED_VALUE"""),86)</f>
        <v>86</v>
      </c>
      <c r="H37" s="1">
        <f ca="1">IFERROR(__xludf.DUMMYFUNCTION("""COMPUTED_VALUE"""),92.2)</f>
        <v>92.2</v>
      </c>
      <c r="I37" s="1">
        <f ca="1">IFERROR(__xludf.DUMMYFUNCTION("""COMPUTED_VALUE"""),19)</f>
        <v>19</v>
      </c>
      <c r="J37" s="1">
        <f ca="1">IFERROR(__xludf.DUMMYFUNCTION("""COMPUTED_VALUE"""),70.7)</f>
        <v>70.7</v>
      </c>
      <c r="K37" s="1">
        <f ca="1">IFERROR(__xludf.DUMMYFUNCTION("""COMPUTED_VALUE"""),38)</f>
        <v>38</v>
      </c>
      <c r="L37" s="1">
        <f ca="1">IFERROR(__xludf.DUMMYFUNCTION("""COMPUTED_VALUE"""),-0.101)</f>
        <v>-0.10100000000000001</v>
      </c>
      <c r="M37" s="1">
        <f ca="1">IFERROR(__xludf.DUMMYFUNCTION("""COMPUTED_VALUE"""),317)</f>
        <v>317</v>
      </c>
      <c r="N37" s="1" t="str">
        <f ca="1">IFERROR(__xludf.DUMMYFUNCTION("""COMPUTED_VALUE"""),"+7.95")</f>
        <v>+7.95</v>
      </c>
      <c r="O37" s="1">
        <f ca="1">IFERROR(__xludf.DUMMYFUNCTION("""COMPUTED_VALUE"""),41)</f>
        <v>41</v>
      </c>
      <c r="P37" s="1">
        <f ca="1">IFERROR(__xludf.DUMMYFUNCTION("""COMPUTED_VALUE"""),105.5)</f>
        <v>105.5</v>
      </c>
      <c r="Q37" s="1">
        <f ca="1">IFERROR(__xludf.DUMMYFUNCTION("""COMPUTED_VALUE"""),64)</f>
        <v>64</v>
      </c>
      <c r="R37" s="1">
        <f ca="1">IFERROR(__xludf.DUMMYFUNCTION("""COMPUTED_VALUE"""),97.6)</f>
        <v>97.6</v>
      </c>
      <c r="S37" s="1">
        <f ca="1">IFERROR(__xludf.DUMMYFUNCTION("""COMPUTED_VALUE"""),21)</f>
        <v>21</v>
      </c>
      <c r="T37" s="1">
        <f ca="1">IFERROR(__xludf.DUMMYFUNCTION("""COMPUTED_VALUE"""),-10.72)</f>
        <v>-10.72</v>
      </c>
      <c r="U37" s="1">
        <f ca="1">IFERROR(__xludf.DUMMYFUNCTION("""COMPUTED_VALUE"""),317)</f>
        <v>317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IFERROR(__xludf.DUMMYFUNCTION("""COMPUTED_VALUE"""),"Cincinnati8")</f>
        <v>Cincinnati8</v>
      </c>
      <c r="C38" s="1" t="str">
        <f ca="1">IFERROR(__xludf.DUMMYFUNCTION("""COMPUTED_VALUE"""),"CUSA")</f>
        <v>CUSA</v>
      </c>
      <c r="D38" s="1" t="str">
        <f ca="1">IFERROR(__xludf.DUMMYFUNCTION("""COMPUTED_VALUE"""),"17-12")</f>
        <v>17-12</v>
      </c>
      <c r="E38" s="1" t="str">
        <f ca="1">IFERROR(__xludf.DUMMYFUNCTION("""COMPUTED_VALUE"""),"+14.69")</f>
        <v>+14.69</v>
      </c>
      <c r="F38" s="1">
        <f ca="1">IFERROR(__xludf.DUMMYFUNCTION("""COMPUTED_VALUE"""),105)</f>
        <v>105</v>
      </c>
      <c r="G38" s="1">
        <f ca="1">IFERROR(__xludf.DUMMYFUNCTION("""COMPUTED_VALUE"""),116)</f>
        <v>116</v>
      </c>
      <c r="H38" s="1">
        <f ca="1">IFERROR(__xludf.DUMMYFUNCTION("""COMPUTED_VALUE"""),90.3)</f>
        <v>90.3</v>
      </c>
      <c r="I38" s="1">
        <f ca="1">IFERROR(__xludf.DUMMYFUNCTION("""COMPUTED_VALUE"""),13)</f>
        <v>13</v>
      </c>
      <c r="J38" s="1">
        <f ca="1">IFERROR(__xludf.DUMMYFUNCTION("""COMPUTED_VALUE"""),66.4)</f>
        <v>66.400000000000006</v>
      </c>
      <c r="K38" s="1">
        <f ca="1">IFERROR(__xludf.DUMMYFUNCTION("""COMPUTED_VALUE"""),188)</f>
        <v>188</v>
      </c>
      <c r="L38" s="1">
        <f ca="1">IFERROR(__xludf.DUMMYFUNCTION("""COMPUTED_VALUE"""),-0.066)</f>
        <v>-6.6000000000000003E-2</v>
      </c>
      <c r="M38" s="1">
        <f ca="1">IFERROR(__xludf.DUMMYFUNCTION("""COMPUTED_VALUE"""),297)</f>
        <v>297</v>
      </c>
      <c r="N38" s="1" t="str">
        <f ca="1">IFERROR(__xludf.DUMMYFUNCTION("""COMPUTED_VALUE"""),"+7.32")</f>
        <v>+7.32</v>
      </c>
      <c r="O38" s="1">
        <f ca="1">IFERROR(__xludf.DUMMYFUNCTION("""COMPUTED_VALUE"""),51)</f>
        <v>51</v>
      </c>
      <c r="P38" s="1">
        <f ca="1">IFERROR(__xludf.DUMMYFUNCTION("""COMPUTED_VALUE"""),106.6)</f>
        <v>106.6</v>
      </c>
      <c r="Q38" s="1">
        <f ca="1">IFERROR(__xludf.DUMMYFUNCTION("""COMPUTED_VALUE"""),33)</f>
        <v>33</v>
      </c>
      <c r="R38" s="1">
        <f ca="1">IFERROR(__xludf.DUMMYFUNCTION("""COMPUTED_VALUE"""),99.3)</f>
        <v>99.3</v>
      </c>
      <c r="S38" s="1">
        <f ca="1">IFERROR(__xludf.DUMMYFUNCTION("""COMPUTED_VALUE"""),68)</f>
        <v>68</v>
      </c>
      <c r="T38" s="1" t="str">
        <f ca="1">IFERROR(__xludf.DUMMYFUNCTION("""COMPUTED_VALUE"""),"+3.65")</f>
        <v>+3.65</v>
      </c>
      <c r="U38" s="1">
        <f ca="1">IFERROR(__xludf.DUMMYFUNCTION("""COMPUTED_VALUE"""),68)</f>
        <v>68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IFERROR(__xludf.DUMMYFUNCTION("""COMPUTED_VALUE"""),"UNC Wilmington11")</f>
        <v>UNC Wilmington11</v>
      </c>
      <c r="C39" s="1" t="str">
        <f ca="1">IFERROR(__xludf.DUMMYFUNCTION("""COMPUTED_VALUE"""),"CAA")</f>
        <v>CAA</v>
      </c>
      <c r="D39" s="1" t="str">
        <f ca="1">IFERROR(__xludf.DUMMYFUNCTION("""COMPUTED_VALUE"""),"24-7")</f>
        <v>24-7</v>
      </c>
      <c r="E39" s="1" t="str">
        <f ca="1">IFERROR(__xludf.DUMMYFUNCTION("""COMPUTED_VALUE"""),"+14.62")</f>
        <v>+14.62</v>
      </c>
      <c r="F39" s="1">
        <f ca="1">IFERROR(__xludf.DUMMYFUNCTION("""COMPUTED_VALUE"""),109.5)</f>
        <v>109.5</v>
      </c>
      <c r="G39" s="1">
        <f ca="1">IFERROR(__xludf.DUMMYFUNCTION("""COMPUTED_VALUE"""),49)</f>
        <v>49</v>
      </c>
      <c r="H39" s="1">
        <f ca="1">IFERROR(__xludf.DUMMYFUNCTION("""COMPUTED_VALUE"""),94.9)</f>
        <v>94.9</v>
      </c>
      <c r="I39" s="1">
        <f ca="1">IFERROR(__xludf.DUMMYFUNCTION("""COMPUTED_VALUE"""),43)</f>
        <v>43</v>
      </c>
      <c r="J39" s="1">
        <f ca="1">IFERROR(__xludf.DUMMYFUNCTION("""COMPUTED_VALUE"""),64.1)</f>
        <v>64.099999999999994</v>
      </c>
      <c r="K39" s="1">
        <f ca="1">IFERROR(__xludf.DUMMYFUNCTION("""COMPUTED_VALUE"""),279)</f>
        <v>279</v>
      </c>
      <c r="L39" s="1">
        <f ca="1">IFERROR(__xludf.DUMMYFUNCTION("""COMPUTED_VALUE"""),-0.031)</f>
        <v>-3.1E-2</v>
      </c>
      <c r="M39" s="1">
        <f ca="1">IFERROR(__xludf.DUMMYFUNCTION("""COMPUTED_VALUE"""),248)</f>
        <v>248</v>
      </c>
      <c r="N39" s="1">
        <f ca="1">IFERROR(__xludf.DUMMYFUNCTION("""COMPUTED_VALUE"""),-2.47)</f>
        <v>-2.4700000000000002</v>
      </c>
      <c r="O39" s="1">
        <f ca="1">IFERROR(__xludf.DUMMYFUNCTION("""COMPUTED_VALUE"""),209)</f>
        <v>209</v>
      </c>
      <c r="P39" s="1">
        <f ca="1">IFERROR(__xludf.DUMMYFUNCTION("""COMPUTED_VALUE"""),99.2)</f>
        <v>99.2</v>
      </c>
      <c r="Q39" s="1">
        <f ca="1">IFERROR(__xludf.DUMMYFUNCTION("""COMPUTED_VALUE"""),252)</f>
        <v>252</v>
      </c>
      <c r="R39" s="1">
        <f ca="1">IFERROR(__xludf.DUMMYFUNCTION("""COMPUTED_VALUE"""),101.7)</f>
        <v>101.7</v>
      </c>
      <c r="S39" s="1">
        <f ca="1">IFERROR(__xludf.DUMMYFUNCTION("""COMPUTED_VALUE"""),127)</f>
        <v>127</v>
      </c>
      <c r="T39" s="1">
        <f ca="1">IFERROR(__xludf.DUMMYFUNCTION("""COMPUTED_VALUE"""),-0.81)</f>
        <v>-0.81</v>
      </c>
      <c r="U39" s="1">
        <f ca="1">IFERROR(__xludf.DUMMYFUNCTION("""COMPUTED_VALUE"""),173)</f>
        <v>173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IFERROR(__xludf.DUMMYFUNCTION("""COMPUTED_VALUE"""),"Alabama10")</f>
        <v>Alabama10</v>
      </c>
      <c r="C40" s="1" t="str">
        <f ca="1">IFERROR(__xludf.DUMMYFUNCTION("""COMPUTED_VALUE"""),"SEC")</f>
        <v>SEC</v>
      </c>
      <c r="D40" s="1" t="str">
        <f ca="1">IFERROR(__xludf.DUMMYFUNCTION("""COMPUTED_VALUE"""),"17-12")</f>
        <v>17-12</v>
      </c>
      <c r="E40" s="1" t="str">
        <f ca="1">IFERROR(__xludf.DUMMYFUNCTION("""COMPUTED_VALUE"""),"+14.60")</f>
        <v>+14.60</v>
      </c>
      <c r="F40" s="1">
        <f ca="1">IFERROR(__xludf.DUMMYFUNCTION("""COMPUTED_VALUE"""),110.3)</f>
        <v>110.3</v>
      </c>
      <c r="G40" s="1">
        <f ca="1">IFERROR(__xludf.DUMMYFUNCTION("""COMPUTED_VALUE"""),39)</f>
        <v>39</v>
      </c>
      <c r="H40" s="1">
        <f ca="1">IFERROR(__xludf.DUMMYFUNCTION("""COMPUTED_VALUE"""),95.7)</f>
        <v>95.7</v>
      </c>
      <c r="I40" s="1">
        <f ca="1">IFERROR(__xludf.DUMMYFUNCTION("""COMPUTED_VALUE"""),54)</f>
        <v>54</v>
      </c>
      <c r="J40" s="1">
        <f ca="1">IFERROR(__xludf.DUMMYFUNCTION("""COMPUTED_VALUE"""),65.3)</f>
        <v>65.3</v>
      </c>
      <c r="K40" s="1">
        <f ca="1">IFERROR(__xludf.DUMMYFUNCTION("""COMPUTED_VALUE"""),243)</f>
        <v>243</v>
      </c>
      <c r="L40" s="1">
        <f ca="1">IFERROR(__xludf.DUMMYFUNCTION("""COMPUTED_VALUE"""),-0.015)</f>
        <v>-1.4999999999999999E-2</v>
      </c>
      <c r="M40" s="1">
        <f ca="1">IFERROR(__xludf.DUMMYFUNCTION("""COMPUTED_VALUE"""),205)</f>
        <v>205</v>
      </c>
      <c r="N40" s="1" t="str">
        <f ca="1">IFERROR(__xludf.DUMMYFUNCTION("""COMPUTED_VALUE"""),"+9.55")</f>
        <v>+9.55</v>
      </c>
      <c r="O40" s="1">
        <f ca="1">IFERROR(__xludf.DUMMYFUNCTION("""COMPUTED_VALUE"""),16)</f>
        <v>16</v>
      </c>
      <c r="P40" s="1">
        <f ca="1">IFERROR(__xludf.DUMMYFUNCTION("""COMPUTED_VALUE"""),106.6)</f>
        <v>106.6</v>
      </c>
      <c r="Q40" s="1">
        <f ca="1">IFERROR(__xludf.DUMMYFUNCTION("""COMPUTED_VALUE"""),32)</f>
        <v>32</v>
      </c>
      <c r="R40" s="1">
        <f ca="1">IFERROR(__xludf.DUMMYFUNCTION("""COMPUTED_VALUE"""),97.1)</f>
        <v>97.1</v>
      </c>
      <c r="S40" s="1">
        <f ca="1">IFERROR(__xludf.DUMMYFUNCTION("""COMPUTED_VALUE"""),11)</f>
        <v>11</v>
      </c>
      <c r="T40" s="1" t="str">
        <f ca="1">IFERROR(__xludf.DUMMYFUNCTION("""COMPUTED_VALUE"""),"+2.31")</f>
        <v>+2.31</v>
      </c>
      <c r="U40" s="1">
        <f ca="1">IFERROR(__xludf.DUMMYFUNCTION("""COMPUTED_VALUE"""),102)</f>
        <v>102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IFERROR(__xludf.DUMMYFUNCTION("""COMPUTED_VALUE"""),"Stanford4")</f>
        <v>Stanford4</v>
      </c>
      <c r="C41" s="1" t="str">
        <f ca="1">IFERROR(__xludf.DUMMYFUNCTION("""COMPUTED_VALUE"""),"P10")</f>
        <v>P10</v>
      </c>
      <c r="D41" s="1" t="str">
        <f ca="1">IFERROR(__xludf.DUMMYFUNCTION("""COMPUTED_VALUE"""),"24-9")</f>
        <v>24-9</v>
      </c>
      <c r="E41" s="1" t="str">
        <f ca="1">IFERROR(__xludf.DUMMYFUNCTION("""COMPUTED_VALUE"""),"+14.57")</f>
        <v>+14.57</v>
      </c>
      <c r="F41" s="1">
        <f ca="1">IFERROR(__xludf.DUMMYFUNCTION("""COMPUTED_VALUE"""),109.8)</f>
        <v>109.8</v>
      </c>
      <c r="G41" s="1">
        <f ca="1">IFERROR(__xludf.DUMMYFUNCTION("""COMPUTED_VALUE"""),46)</f>
        <v>46</v>
      </c>
      <c r="H41" s="1">
        <f ca="1">IFERROR(__xludf.DUMMYFUNCTION("""COMPUTED_VALUE"""),95.2)</f>
        <v>95.2</v>
      </c>
      <c r="I41" s="1">
        <f ca="1">IFERROR(__xludf.DUMMYFUNCTION("""COMPUTED_VALUE"""),49)</f>
        <v>49</v>
      </c>
      <c r="J41" s="1">
        <f ca="1">IFERROR(__xludf.DUMMYFUNCTION("""COMPUTED_VALUE"""),65.6)</f>
        <v>65.599999999999994</v>
      </c>
      <c r="K41" s="1">
        <f ca="1">IFERROR(__xludf.DUMMYFUNCTION("""COMPUTED_VALUE"""),226)</f>
        <v>226</v>
      </c>
      <c r="L41" s="1" t="str">
        <f ca="1">IFERROR(__xludf.DUMMYFUNCTION("""COMPUTED_VALUE"""),"+.066")</f>
        <v>+.066</v>
      </c>
      <c r="M41" s="1">
        <f ca="1">IFERROR(__xludf.DUMMYFUNCTION("""COMPUTED_VALUE"""),35)</f>
        <v>35</v>
      </c>
      <c r="N41" s="1" t="str">
        <f ca="1">IFERROR(__xludf.DUMMYFUNCTION("""COMPUTED_VALUE"""),"+7.26")</f>
        <v>+7.26</v>
      </c>
      <c r="O41" s="1">
        <f ca="1">IFERROR(__xludf.DUMMYFUNCTION("""COMPUTED_VALUE"""),53)</f>
        <v>53</v>
      </c>
      <c r="P41" s="1">
        <f ca="1">IFERROR(__xludf.DUMMYFUNCTION("""COMPUTED_VALUE"""),106.2)</f>
        <v>106.2</v>
      </c>
      <c r="Q41" s="1">
        <f ca="1">IFERROR(__xludf.DUMMYFUNCTION("""COMPUTED_VALUE"""),46)</f>
        <v>46</v>
      </c>
      <c r="R41" s="1">
        <f ca="1">IFERROR(__xludf.DUMMYFUNCTION("""COMPUTED_VALUE"""),98.9)</f>
        <v>98.9</v>
      </c>
      <c r="S41" s="1">
        <f ca="1">IFERROR(__xludf.DUMMYFUNCTION("""COMPUTED_VALUE"""),63)</f>
        <v>63</v>
      </c>
      <c r="T41" s="1" t="str">
        <f ca="1">IFERROR(__xludf.DUMMYFUNCTION("""COMPUTED_VALUE"""),"+3.75")</f>
        <v>+3.75</v>
      </c>
      <c r="U41" s="1">
        <f ca="1">IFERROR(__xludf.DUMMYFUNCTION("""COMPUTED_VALUE"""),66)</f>
        <v>66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IFERROR(__xludf.DUMMYFUNCTION("""COMPUTED_VALUE"""),"Dayton4")</f>
        <v>Dayton4</v>
      </c>
      <c r="C42" s="1" t="str">
        <f ca="1">IFERROR(__xludf.DUMMYFUNCTION("""COMPUTED_VALUE"""),"A10")</f>
        <v>A10</v>
      </c>
      <c r="D42" s="1" t="str">
        <f ca="1">IFERROR(__xludf.DUMMYFUNCTION("""COMPUTED_VALUE"""),"24-6")</f>
        <v>24-6</v>
      </c>
      <c r="E42" s="1" t="str">
        <f ca="1">IFERROR(__xludf.DUMMYFUNCTION("""COMPUTED_VALUE"""),"+14.53")</f>
        <v>+14.53</v>
      </c>
      <c r="F42" s="1">
        <f ca="1">IFERROR(__xludf.DUMMYFUNCTION("""COMPUTED_VALUE"""),116.4)</f>
        <v>116.4</v>
      </c>
      <c r="G42" s="1">
        <f ca="1">IFERROR(__xludf.DUMMYFUNCTION("""COMPUTED_VALUE"""),8)</f>
        <v>8</v>
      </c>
      <c r="H42" s="1">
        <f ca="1">IFERROR(__xludf.DUMMYFUNCTION("""COMPUTED_VALUE"""),101.9)</f>
        <v>101.9</v>
      </c>
      <c r="I42" s="1">
        <f ca="1">IFERROR(__xludf.DUMMYFUNCTION("""COMPUTED_VALUE"""),161)</f>
        <v>161</v>
      </c>
      <c r="J42" s="1">
        <f ca="1">IFERROR(__xludf.DUMMYFUNCTION("""COMPUTED_VALUE"""),64.4)</f>
        <v>64.400000000000006</v>
      </c>
      <c r="K42" s="1">
        <f ca="1">IFERROR(__xludf.DUMMYFUNCTION("""COMPUTED_VALUE"""),270)</f>
        <v>270</v>
      </c>
      <c r="L42" s="1" t="str">
        <f ca="1">IFERROR(__xludf.DUMMYFUNCTION("""COMPUTED_VALUE"""),"+.084")</f>
        <v>+.084</v>
      </c>
      <c r="M42" s="1">
        <f ca="1">IFERROR(__xludf.DUMMYFUNCTION("""COMPUTED_VALUE"""),14)</f>
        <v>14</v>
      </c>
      <c r="N42" s="1" t="str">
        <f ca="1">IFERROR(__xludf.DUMMYFUNCTION("""COMPUTED_VALUE"""),"+4.91")</f>
        <v>+4.91</v>
      </c>
      <c r="O42" s="1">
        <f ca="1">IFERROR(__xludf.DUMMYFUNCTION("""COMPUTED_VALUE"""),83)</f>
        <v>83</v>
      </c>
      <c r="P42" s="1">
        <f ca="1">IFERROR(__xludf.DUMMYFUNCTION("""COMPUTED_VALUE"""),104.4)</f>
        <v>104.4</v>
      </c>
      <c r="Q42" s="1">
        <f ca="1">IFERROR(__xludf.DUMMYFUNCTION("""COMPUTED_VALUE"""),99)</f>
        <v>99</v>
      </c>
      <c r="R42" s="1">
        <f ca="1">IFERROR(__xludf.DUMMYFUNCTION("""COMPUTED_VALUE"""),99.5)</f>
        <v>99.5</v>
      </c>
      <c r="S42" s="1">
        <f ca="1">IFERROR(__xludf.DUMMYFUNCTION("""COMPUTED_VALUE"""),75)</f>
        <v>75</v>
      </c>
      <c r="T42" s="1" t="str">
        <f ca="1">IFERROR(__xludf.DUMMYFUNCTION("""COMPUTED_VALUE"""),"+5.51")</f>
        <v>+5.51</v>
      </c>
      <c r="U42" s="1">
        <f ca="1">IFERROR(__xludf.DUMMYFUNCTION("""COMPUTED_VALUE"""),47)</f>
        <v>47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IFERROR(__xludf.DUMMYFUNCTION("""COMPUTED_VALUE"""),"Indiana7")</f>
        <v>Indiana7</v>
      </c>
      <c r="C45" s="1" t="str">
        <f ca="1">IFERROR(__xludf.DUMMYFUNCTION("""COMPUTED_VALUE"""),"B10")</f>
        <v>B10</v>
      </c>
      <c r="D45" s="1" t="str">
        <f ca="1">IFERROR(__xludf.DUMMYFUNCTION("""COMPUTED_VALUE"""),"21-13")</f>
        <v>21-13</v>
      </c>
      <c r="E45" s="1" t="str">
        <f ca="1">IFERROR(__xludf.DUMMYFUNCTION("""COMPUTED_VALUE"""),"+14.48")</f>
        <v>+14.48</v>
      </c>
      <c r="F45" s="1">
        <f ca="1">IFERROR(__xludf.DUMMYFUNCTION("""COMPUTED_VALUE"""),113.4)</f>
        <v>113.4</v>
      </c>
      <c r="G45" s="1">
        <f ca="1">IFERROR(__xludf.DUMMYFUNCTION("""COMPUTED_VALUE"""),20)</f>
        <v>20</v>
      </c>
      <c r="H45" s="1">
        <f ca="1">IFERROR(__xludf.DUMMYFUNCTION("""COMPUTED_VALUE"""),98.9)</f>
        <v>98.9</v>
      </c>
      <c r="I45" s="1">
        <f ca="1">IFERROR(__xludf.DUMMYFUNCTION("""COMPUTED_VALUE"""),102)</f>
        <v>102</v>
      </c>
      <c r="J45" s="1">
        <f ca="1">IFERROR(__xludf.DUMMYFUNCTION("""COMPUTED_VALUE"""),63.7)</f>
        <v>63.7</v>
      </c>
      <c r="K45" s="1">
        <f ca="1">IFERROR(__xludf.DUMMYFUNCTION("""COMPUTED_VALUE"""),284)</f>
        <v>284</v>
      </c>
      <c r="L45" s="1" t="str">
        <f ca="1">IFERROR(__xludf.DUMMYFUNCTION("""COMPUTED_VALUE"""),"+.050")</f>
        <v>+.050</v>
      </c>
      <c r="M45" s="1">
        <f ca="1">IFERROR(__xludf.DUMMYFUNCTION("""COMPUTED_VALUE"""),57)</f>
        <v>57</v>
      </c>
      <c r="N45" s="1" t="str">
        <f ca="1">IFERROR(__xludf.DUMMYFUNCTION("""COMPUTED_VALUE"""),"+10.49")</f>
        <v>+10.49</v>
      </c>
      <c r="O45" s="1">
        <f ca="1">IFERROR(__xludf.DUMMYFUNCTION("""COMPUTED_VALUE"""),8)</f>
        <v>8</v>
      </c>
      <c r="P45" s="1">
        <f ca="1">IFERROR(__xludf.DUMMYFUNCTION("""COMPUTED_VALUE"""),107.2)</f>
        <v>107.2</v>
      </c>
      <c r="Q45" s="1">
        <f ca="1">IFERROR(__xludf.DUMMYFUNCTION("""COMPUTED_VALUE"""),13)</f>
        <v>13</v>
      </c>
      <c r="R45" s="1">
        <f ca="1">IFERROR(__xludf.DUMMYFUNCTION("""COMPUTED_VALUE"""),96.8)</f>
        <v>96.8</v>
      </c>
      <c r="S45" s="1">
        <f ca="1">IFERROR(__xludf.DUMMYFUNCTION("""COMPUTED_VALUE"""),8)</f>
        <v>8</v>
      </c>
      <c r="T45" s="1" t="str">
        <f ca="1">IFERROR(__xludf.DUMMYFUNCTION("""COMPUTED_VALUE"""),"+9.29")</f>
        <v>+9.29</v>
      </c>
      <c r="U45" s="1">
        <f ca="1">IFERROR(__xludf.DUMMYFUNCTION("""COMPUTED_VALUE"""),20)</f>
        <v>20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IFERROR(__xludf.DUMMYFUNCTION("""COMPUTED_VALUE"""),"Oregon8")</f>
        <v>Oregon8</v>
      </c>
      <c r="C46" s="1" t="str">
        <f ca="1">IFERROR(__xludf.DUMMYFUNCTION("""COMPUTED_VALUE"""),"P10")</f>
        <v>P10</v>
      </c>
      <c r="D46" s="1" t="str">
        <f ca="1">IFERROR(__xludf.DUMMYFUNCTION("""COMPUTED_VALUE"""),"23-10")</f>
        <v>23-10</v>
      </c>
      <c r="E46" s="1" t="str">
        <f ca="1">IFERROR(__xludf.DUMMYFUNCTION("""COMPUTED_VALUE"""),"+14.25")</f>
        <v>+14.25</v>
      </c>
      <c r="F46" s="1">
        <f ca="1">IFERROR(__xludf.DUMMYFUNCTION("""COMPUTED_VALUE"""),111.4)</f>
        <v>111.4</v>
      </c>
      <c r="G46" s="1">
        <f ca="1">IFERROR(__xludf.DUMMYFUNCTION("""COMPUTED_VALUE"""),29)</f>
        <v>29</v>
      </c>
      <c r="H46" s="1">
        <f ca="1">IFERROR(__xludf.DUMMYFUNCTION("""COMPUTED_VALUE"""),97.1)</f>
        <v>97.1</v>
      </c>
      <c r="I46" s="1">
        <f ca="1">IFERROR(__xludf.DUMMYFUNCTION("""COMPUTED_VALUE"""),73)</f>
        <v>73</v>
      </c>
      <c r="J46" s="1">
        <f ca="1">IFERROR(__xludf.DUMMYFUNCTION("""COMPUTED_VALUE"""),71.2)</f>
        <v>71.2</v>
      </c>
      <c r="K46" s="1">
        <f ca="1">IFERROR(__xludf.DUMMYFUNCTION("""COMPUTED_VALUE"""),28)</f>
        <v>28</v>
      </c>
      <c r="L46" s="1" t="str">
        <f ca="1">IFERROR(__xludf.DUMMYFUNCTION("""COMPUTED_VALUE"""),"+.032")</f>
        <v>+.032</v>
      </c>
      <c r="M46" s="1">
        <f ca="1">IFERROR(__xludf.DUMMYFUNCTION("""COMPUTED_VALUE"""),87)</f>
        <v>87</v>
      </c>
      <c r="N46" s="1" t="str">
        <f ca="1">IFERROR(__xludf.DUMMYFUNCTION("""COMPUTED_VALUE"""),"+5.23")</f>
        <v>+5.23</v>
      </c>
      <c r="O46" s="1">
        <f ca="1">IFERROR(__xludf.DUMMYFUNCTION("""COMPUTED_VALUE"""),76)</f>
        <v>76</v>
      </c>
      <c r="P46" s="1">
        <f ca="1">IFERROR(__xludf.DUMMYFUNCTION("""COMPUTED_VALUE"""),105.1)</f>
        <v>105.1</v>
      </c>
      <c r="Q46" s="1">
        <f ca="1">IFERROR(__xludf.DUMMYFUNCTION("""COMPUTED_VALUE"""),73)</f>
        <v>73</v>
      </c>
      <c r="R46" s="1">
        <f ca="1">IFERROR(__xludf.DUMMYFUNCTION("""COMPUTED_VALUE"""),99.8)</f>
        <v>99.8</v>
      </c>
      <c r="S46" s="1">
        <f ca="1">IFERROR(__xludf.DUMMYFUNCTION("""COMPUTED_VALUE"""),85)</f>
        <v>85</v>
      </c>
      <c r="T46" s="1">
        <f ca="1">IFERROR(__xludf.DUMMYFUNCTION("""COMPUTED_VALUE"""),-4.45)</f>
        <v>-4.45</v>
      </c>
      <c r="U46" s="1">
        <f ca="1">IFERROR(__xludf.DUMMYFUNCTION("""COMPUTED_VALUE"""),262)</f>
        <v>262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IFERROR(__xludf.DUMMYFUNCTION("""COMPUTED_VALUE"""),"Georgia Tech")</f>
        <v>Georgia Tech</v>
      </c>
      <c r="C47" s="1" t="str">
        <f ca="1">IFERROR(__xludf.DUMMYFUNCTION("""COMPUTED_VALUE"""),"ACC")</f>
        <v>ACC</v>
      </c>
      <c r="D47" s="1" t="str">
        <f ca="1">IFERROR(__xludf.DUMMYFUNCTION("""COMPUTED_VALUE"""),"16-15")</f>
        <v>16-15</v>
      </c>
      <c r="E47" s="1" t="str">
        <f ca="1">IFERROR(__xludf.DUMMYFUNCTION("""COMPUTED_VALUE"""),"+14.23")</f>
        <v>+14.23</v>
      </c>
      <c r="F47" s="1">
        <f ca="1">IFERROR(__xludf.DUMMYFUNCTION("""COMPUTED_VALUE"""),109.1)</f>
        <v>109.1</v>
      </c>
      <c r="G47" s="1">
        <f ca="1">IFERROR(__xludf.DUMMYFUNCTION("""COMPUTED_VALUE"""),57)</f>
        <v>57</v>
      </c>
      <c r="H47" s="1">
        <f ca="1">IFERROR(__xludf.DUMMYFUNCTION("""COMPUTED_VALUE"""),94.8)</f>
        <v>94.8</v>
      </c>
      <c r="I47" s="1">
        <f ca="1">IFERROR(__xludf.DUMMYFUNCTION("""COMPUTED_VALUE"""),39)</f>
        <v>39</v>
      </c>
      <c r="J47" s="1">
        <f ca="1">IFERROR(__xludf.DUMMYFUNCTION("""COMPUTED_VALUE"""),69)</f>
        <v>69</v>
      </c>
      <c r="K47" s="1">
        <f ca="1">IFERROR(__xludf.DUMMYFUNCTION("""COMPUTED_VALUE"""),80)</f>
        <v>80</v>
      </c>
      <c r="L47" s="1">
        <f ca="1">IFERROR(__xludf.DUMMYFUNCTION("""COMPUTED_VALUE"""),-0.092)</f>
        <v>-9.1999999999999998E-2</v>
      </c>
      <c r="M47" s="1">
        <f ca="1">IFERROR(__xludf.DUMMYFUNCTION("""COMPUTED_VALUE"""),310)</f>
        <v>310</v>
      </c>
      <c r="N47" s="1" t="str">
        <f ca="1">IFERROR(__xludf.DUMMYFUNCTION("""COMPUTED_VALUE"""),"+9.23")</f>
        <v>+9.23</v>
      </c>
      <c r="O47" s="1">
        <f ca="1">IFERROR(__xludf.DUMMYFUNCTION("""COMPUTED_VALUE"""),20)</f>
        <v>20</v>
      </c>
      <c r="P47" s="1">
        <f ca="1">IFERROR(__xludf.DUMMYFUNCTION("""COMPUTED_VALUE"""),106.7)</f>
        <v>106.7</v>
      </c>
      <c r="Q47" s="1">
        <f ca="1">IFERROR(__xludf.DUMMYFUNCTION("""COMPUTED_VALUE"""),27)</f>
        <v>27</v>
      </c>
      <c r="R47" s="1">
        <f ca="1">IFERROR(__xludf.DUMMYFUNCTION("""COMPUTED_VALUE"""),97.5)</f>
        <v>97.5</v>
      </c>
      <c r="S47" s="1">
        <f ca="1">IFERROR(__xludf.DUMMYFUNCTION("""COMPUTED_VALUE"""),19)</f>
        <v>19</v>
      </c>
      <c r="T47" s="1">
        <f ca="1">IFERROR(__xludf.DUMMYFUNCTION("""COMPUTED_VALUE"""),-1.56)</f>
        <v>-1.56</v>
      </c>
      <c r="U47" s="1">
        <f ca="1">IFERROR(__xludf.DUMMYFUNCTION("""COMPUTED_VALUE"""),191)</f>
        <v>191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IFERROR(__xludf.DUMMYFUNCTION("""COMPUTED_VALUE"""),"Utah9")</f>
        <v>Utah9</v>
      </c>
      <c r="C48" s="1" t="str">
        <f ca="1">IFERROR(__xludf.DUMMYFUNCTION("""COMPUTED_VALUE"""),"MWC")</f>
        <v>MWC</v>
      </c>
      <c r="D48" s="1" t="str">
        <f ca="1">IFERROR(__xludf.DUMMYFUNCTION("""COMPUTED_VALUE"""),"25-8")</f>
        <v>25-8</v>
      </c>
      <c r="E48" s="1" t="str">
        <f ca="1">IFERROR(__xludf.DUMMYFUNCTION("""COMPUTED_VALUE"""),"+14.04")</f>
        <v>+14.04</v>
      </c>
      <c r="F48" s="1">
        <f ca="1">IFERROR(__xludf.DUMMYFUNCTION("""COMPUTED_VALUE"""),106.6)</f>
        <v>106.6</v>
      </c>
      <c r="G48" s="1">
        <f ca="1">IFERROR(__xludf.DUMMYFUNCTION("""COMPUTED_VALUE"""),91)</f>
        <v>91</v>
      </c>
      <c r="H48" s="1">
        <f ca="1">IFERROR(__xludf.DUMMYFUNCTION("""COMPUTED_VALUE"""),92.6)</f>
        <v>92.6</v>
      </c>
      <c r="I48" s="1">
        <f ca="1">IFERROR(__xludf.DUMMYFUNCTION("""COMPUTED_VALUE"""),23)</f>
        <v>23</v>
      </c>
      <c r="J48" s="1">
        <f ca="1">IFERROR(__xludf.DUMMYFUNCTION("""COMPUTED_VALUE"""),62.1)</f>
        <v>62.1</v>
      </c>
      <c r="K48" s="1">
        <f ca="1">IFERROR(__xludf.DUMMYFUNCTION("""COMPUTED_VALUE"""),308)</f>
        <v>308</v>
      </c>
      <c r="L48" s="1" t="str">
        <f ca="1">IFERROR(__xludf.DUMMYFUNCTION("""COMPUTED_VALUE"""),"+.069")</f>
        <v>+.069</v>
      </c>
      <c r="M48" s="1">
        <f ca="1">IFERROR(__xludf.DUMMYFUNCTION("""COMPUTED_VALUE"""),32)</f>
        <v>32</v>
      </c>
      <c r="N48" s="1" t="str">
        <f ca="1">IFERROR(__xludf.DUMMYFUNCTION("""COMPUTED_VALUE"""),"+5.24")</f>
        <v>+5.24</v>
      </c>
      <c r="O48" s="1">
        <f ca="1">IFERROR(__xludf.DUMMYFUNCTION("""COMPUTED_VALUE"""),75)</f>
        <v>75</v>
      </c>
      <c r="P48" s="1">
        <f ca="1">IFERROR(__xludf.DUMMYFUNCTION("""COMPUTED_VALUE"""),106.7)</f>
        <v>106.7</v>
      </c>
      <c r="Q48" s="1">
        <f ca="1">IFERROR(__xludf.DUMMYFUNCTION("""COMPUTED_VALUE"""),29)</f>
        <v>29</v>
      </c>
      <c r="R48" s="1">
        <f ca="1">IFERROR(__xludf.DUMMYFUNCTION("""COMPUTED_VALUE"""),101.5)</f>
        <v>101.5</v>
      </c>
      <c r="S48" s="1">
        <f ca="1">IFERROR(__xludf.DUMMYFUNCTION("""COMPUTED_VALUE"""),119)</f>
        <v>119</v>
      </c>
      <c r="T48" s="1" t="str">
        <f ca="1">IFERROR(__xludf.DUMMYFUNCTION("""COMPUTED_VALUE"""),"+1.55")</f>
        <v>+1.55</v>
      </c>
      <c r="U48" s="1">
        <f ca="1">IFERROR(__xludf.DUMMYFUNCTION("""COMPUTED_VALUE"""),117)</f>
        <v>117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IFERROR(__xludf.DUMMYFUNCTION("""COMPUTED_VALUE"""),"Providence")</f>
        <v>Providence</v>
      </c>
      <c r="C49" s="1" t="str">
        <f ca="1">IFERROR(__xludf.DUMMYFUNCTION("""COMPUTED_VALUE"""),"BE")</f>
        <v>BE</v>
      </c>
      <c r="D49" s="1" t="str">
        <f ca="1">IFERROR(__xludf.DUMMYFUNCTION("""COMPUTED_VALUE"""),"18-14")</f>
        <v>18-14</v>
      </c>
      <c r="E49" s="1" t="str">
        <f ca="1">IFERROR(__xludf.DUMMYFUNCTION("""COMPUTED_VALUE"""),"+13.85")</f>
        <v>+13.85</v>
      </c>
      <c r="F49" s="1">
        <f ca="1">IFERROR(__xludf.DUMMYFUNCTION("""COMPUTED_VALUE"""),108)</f>
        <v>108</v>
      </c>
      <c r="G49" s="1">
        <f ca="1">IFERROR(__xludf.DUMMYFUNCTION("""COMPUTED_VALUE"""),69)</f>
        <v>69</v>
      </c>
      <c r="H49" s="1">
        <f ca="1">IFERROR(__xludf.DUMMYFUNCTION("""COMPUTED_VALUE"""),94.1)</f>
        <v>94.1</v>
      </c>
      <c r="I49" s="1">
        <f ca="1">IFERROR(__xludf.DUMMYFUNCTION("""COMPUTED_VALUE"""),32)</f>
        <v>32</v>
      </c>
      <c r="J49" s="1">
        <f ca="1">IFERROR(__xludf.DUMMYFUNCTION("""COMPUTED_VALUE"""),67)</f>
        <v>67</v>
      </c>
      <c r="K49" s="1">
        <f ca="1">IFERROR(__xludf.DUMMYFUNCTION("""COMPUTED_VALUE"""),166)</f>
        <v>166</v>
      </c>
      <c r="L49" s="1">
        <f ca="1">IFERROR(__xludf.DUMMYFUNCTION("""COMPUTED_VALUE"""),-0.051)</f>
        <v>-5.0999999999999997E-2</v>
      </c>
      <c r="M49" s="1">
        <f ca="1">IFERROR(__xludf.DUMMYFUNCTION("""COMPUTED_VALUE"""),282)</f>
        <v>282</v>
      </c>
      <c r="N49" s="1" t="str">
        <f ca="1">IFERROR(__xludf.DUMMYFUNCTION("""COMPUTED_VALUE"""),"+7.91")</f>
        <v>+7.91</v>
      </c>
      <c r="O49" s="1">
        <f ca="1">IFERROR(__xludf.DUMMYFUNCTION("""COMPUTED_VALUE"""),43)</f>
        <v>43</v>
      </c>
      <c r="P49" s="1">
        <f ca="1">IFERROR(__xludf.DUMMYFUNCTION("""COMPUTED_VALUE"""),106.1)</f>
        <v>106.1</v>
      </c>
      <c r="Q49" s="1">
        <f ca="1">IFERROR(__xludf.DUMMYFUNCTION("""COMPUTED_VALUE"""),49)</f>
        <v>49</v>
      </c>
      <c r="R49" s="1">
        <f ca="1">IFERROR(__xludf.DUMMYFUNCTION("""COMPUTED_VALUE"""),98.2)</f>
        <v>98.2</v>
      </c>
      <c r="S49" s="1">
        <f ca="1">IFERROR(__xludf.DUMMYFUNCTION("""COMPUTED_VALUE"""),41)</f>
        <v>41</v>
      </c>
      <c r="T49" s="1" t="str">
        <f ca="1">IFERROR(__xludf.DUMMYFUNCTION("""COMPUTED_VALUE"""),"+1.44")</f>
        <v>+1.44</v>
      </c>
      <c r="U49" s="1">
        <f ca="1">IFERROR(__xludf.DUMMYFUNCTION("""COMPUTED_VALUE"""),120)</f>
        <v>120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IFERROR(__xludf.DUMMYFUNCTION("""COMPUTED_VALUE"""),"Auburn10")</f>
        <v>Auburn10</v>
      </c>
      <c r="C50" s="1" t="str">
        <f ca="1">IFERROR(__xludf.DUMMYFUNCTION("""COMPUTED_VALUE"""),"SEC")</f>
        <v>SEC</v>
      </c>
      <c r="D50" s="1" t="str">
        <f ca="1">IFERROR(__xludf.DUMMYFUNCTION("""COMPUTED_VALUE"""),"22-12")</f>
        <v>22-12</v>
      </c>
      <c r="E50" s="1" t="str">
        <f ca="1">IFERROR(__xludf.DUMMYFUNCTION("""COMPUTED_VALUE"""),"+13.63")</f>
        <v>+13.63</v>
      </c>
      <c r="F50" s="1">
        <f ca="1">IFERROR(__xludf.DUMMYFUNCTION("""COMPUTED_VALUE"""),107.7)</f>
        <v>107.7</v>
      </c>
      <c r="G50" s="1">
        <f ca="1">IFERROR(__xludf.DUMMYFUNCTION("""COMPUTED_VALUE"""),74)</f>
        <v>74</v>
      </c>
      <c r="H50" s="1">
        <f ca="1">IFERROR(__xludf.DUMMYFUNCTION("""COMPUTED_VALUE"""),94.1)</f>
        <v>94.1</v>
      </c>
      <c r="I50" s="1">
        <f ca="1">IFERROR(__xludf.DUMMYFUNCTION("""COMPUTED_VALUE"""),31)</f>
        <v>31</v>
      </c>
      <c r="J50" s="1">
        <f ca="1">IFERROR(__xludf.DUMMYFUNCTION("""COMPUTED_VALUE"""),66.6)</f>
        <v>66.599999999999994</v>
      </c>
      <c r="K50" s="1">
        <f ca="1">IFERROR(__xludf.DUMMYFUNCTION("""COMPUTED_VALUE"""),181)</f>
        <v>181</v>
      </c>
      <c r="L50" s="1" t="str">
        <f ca="1">IFERROR(__xludf.DUMMYFUNCTION("""COMPUTED_VALUE"""),"+.051")</f>
        <v>+.051</v>
      </c>
      <c r="M50" s="1">
        <f ca="1">IFERROR(__xludf.DUMMYFUNCTION("""COMPUTED_VALUE"""),52)</f>
        <v>52</v>
      </c>
      <c r="N50" s="1" t="str">
        <f ca="1">IFERROR(__xludf.DUMMYFUNCTION("""COMPUTED_VALUE"""),"+8.22")</f>
        <v>+8.22</v>
      </c>
      <c r="O50" s="1">
        <f ca="1">IFERROR(__xludf.DUMMYFUNCTION("""COMPUTED_VALUE"""),39)</f>
        <v>39</v>
      </c>
      <c r="P50" s="1">
        <f ca="1">IFERROR(__xludf.DUMMYFUNCTION("""COMPUTED_VALUE"""),106)</f>
        <v>106</v>
      </c>
      <c r="Q50" s="1">
        <f ca="1">IFERROR(__xludf.DUMMYFUNCTION("""COMPUTED_VALUE"""),55)</f>
        <v>55</v>
      </c>
      <c r="R50" s="1">
        <f ca="1">IFERROR(__xludf.DUMMYFUNCTION("""COMPUTED_VALUE"""),97.8)</f>
        <v>97.8</v>
      </c>
      <c r="S50" s="1">
        <f ca="1">IFERROR(__xludf.DUMMYFUNCTION("""COMPUTED_VALUE"""),27)</f>
        <v>27</v>
      </c>
      <c r="T50" s="1">
        <f ca="1">IFERROR(__xludf.DUMMYFUNCTION("""COMPUTED_VALUE"""),-4.71)</f>
        <v>-4.71</v>
      </c>
      <c r="U50" s="1">
        <f ca="1">IFERROR(__xludf.DUMMYFUNCTION("""COMPUTED_VALUE"""),267)</f>
        <v>267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IFERROR(__xludf.DUMMYFUNCTION("""COMPUTED_VALUE"""),"California8")</f>
        <v>California8</v>
      </c>
      <c r="C51" s="1" t="str">
        <f ca="1">IFERROR(__xludf.DUMMYFUNCTION("""COMPUTED_VALUE"""),"P10")</f>
        <v>P10</v>
      </c>
      <c r="D51" s="1" t="str">
        <f ca="1">IFERROR(__xludf.DUMMYFUNCTION("""COMPUTED_VALUE"""),"22-9")</f>
        <v>22-9</v>
      </c>
      <c r="E51" s="1" t="str">
        <f ca="1">IFERROR(__xludf.DUMMYFUNCTION("""COMPUTED_VALUE"""),"+13.59")</f>
        <v>+13.59</v>
      </c>
      <c r="F51" s="1">
        <f ca="1">IFERROR(__xludf.DUMMYFUNCTION("""COMPUTED_VALUE"""),109.9)</f>
        <v>109.9</v>
      </c>
      <c r="G51" s="1">
        <f ca="1">IFERROR(__xludf.DUMMYFUNCTION("""COMPUTED_VALUE"""),45)</f>
        <v>45</v>
      </c>
      <c r="H51" s="1">
        <f ca="1">IFERROR(__xludf.DUMMYFUNCTION("""COMPUTED_VALUE"""),96.3)</f>
        <v>96.3</v>
      </c>
      <c r="I51" s="1">
        <f ca="1">IFERROR(__xludf.DUMMYFUNCTION("""COMPUTED_VALUE"""),63)</f>
        <v>63</v>
      </c>
      <c r="J51" s="1">
        <f ca="1">IFERROR(__xludf.DUMMYFUNCTION("""COMPUTED_VALUE"""),65.9)</f>
        <v>65.900000000000006</v>
      </c>
      <c r="K51" s="1">
        <f ca="1">IFERROR(__xludf.DUMMYFUNCTION("""COMPUTED_VALUE"""),208)</f>
        <v>208</v>
      </c>
      <c r="L51" s="1" t="str">
        <f ca="1">IFERROR(__xludf.DUMMYFUNCTION("""COMPUTED_VALUE"""),"+.061")</f>
        <v>+.061</v>
      </c>
      <c r="M51" s="1">
        <f ca="1">IFERROR(__xludf.DUMMYFUNCTION("""COMPUTED_VALUE"""),42)</f>
        <v>42</v>
      </c>
      <c r="N51" s="1" t="str">
        <f ca="1">IFERROR(__xludf.DUMMYFUNCTION("""COMPUTED_VALUE"""),"+7.06")</f>
        <v>+7.06</v>
      </c>
      <c r="O51" s="1">
        <f ca="1">IFERROR(__xludf.DUMMYFUNCTION("""COMPUTED_VALUE"""),57)</f>
        <v>57</v>
      </c>
      <c r="P51" s="1">
        <f ca="1">IFERROR(__xludf.DUMMYFUNCTION("""COMPUTED_VALUE"""),106.7)</f>
        <v>106.7</v>
      </c>
      <c r="Q51" s="1">
        <f ca="1">IFERROR(__xludf.DUMMYFUNCTION("""COMPUTED_VALUE"""),31)</f>
        <v>31</v>
      </c>
      <c r="R51" s="1">
        <f ca="1">IFERROR(__xludf.DUMMYFUNCTION("""COMPUTED_VALUE"""),99.6)</f>
        <v>99.6</v>
      </c>
      <c r="S51" s="1">
        <f ca="1">IFERROR(__xludf.DUMMYFUNCTION("""COMPUTED_VALUE"""),79)</f>
        <v>79</v>
      </c>
      <c r="T51" s="1" t="str">
        <f ca="1">IFERROR(__xludf.DUMMYFUNCTION("""COMPUTED_VALUE"""),"+0.30")</f>
        <v>+0.30</v>
      </c>
      <c r="U51" s="1">
        <f ca="1">IFERROR(__xludf.DUMMYFUNCTION("""COMPUTED_VALUE"""),147)</f>
        <v>147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IFERROR(__xludf.DUMMYFUNCTION("""COMPUTED_VALUE"""),"Penn11")</f>
        <v>Penn11</v>
      </c>
      <c r="C52" s="1" t="str">
        <f ca="1">IFERROR(__xludf.DUMMYFUNCTION("""COMPUTED_VALUE"""),"Ivy")</f>
        <v>Ivy</v>
      </c>
      <c r="D52" s="1" t="str">
        <f ca="1">IFERROR(__xludf.DUMMYFUNCTION("""COMPUTED_VALUE"""),"22-6")</f>
        <v>22-6</v>
      </c>
      <c r="E52" s="1" t="str">
        <f ca="1">IFERROR(__xludf.DUMMYFUNCTION("""COMPUTED_VALUE"""),"+13.35")</f>
        <v>+13.35</v>
      </c>
      <c r="F52" s="1">
        <f ca="1">IFERROR(__xludf.DUMMYFUNCTION("""COMPUTED_VALUE"""),110.3)</f>
        <v>110.3</v>
      </c>
      <c r="G52" s="1">
        <f ca="1">IFERROR(__xludf.DUMMYFUNCTION("""COMPUTED_VALUE"""),41)</f>
        <v>41</v>
      </c>
      <c r="H52" s="1">
        <f ca="1">IFERROR(__xludf.DUMMYFUNCTION("""COMPUTED_VALUE"""),96.9)</f>
        <v>96.9</v>
      </c>
      <c r="I52" s="1">
        <f ca="1">IFERROR(__xludf.DUMMYFUNCTION("""COMPUTED_VALUE"""),68)</f>
        <v>68</v>
      </c>
      <c r="J52" s="1">
        <f ca="1">IFERROR(__xludf.DUMMYFUNCTION("""COMPUTED_VALUE"""),63.3)</f>
        <v>63.3</v>
      </c>
      <c r="K52" s="1">
        <f ca="1">IFERROR(__xludf.DUMMYFUNCTION("""COMPUTED_VALUE"""),290)</f>
        <v>290</v>
      </c>
      <c r="L52" s="1" t="str">
        <f ca="1">IFERROR(__xludf.DUMMYFUNCTION("""COMPUTED_VALUE"""),"+.035")</f>
        <v>+.035</v>
      </c>
      <c r="M52" s="1">
        <f ca="1">IFERROR(__xludf.DUMMYFUNCTION("""COMPUTED_VALUE"""),82)</f>
        <v>82</v>
      </c>
      <c r="N52" s="1">
        <f ca="1">IFERROR(__xludf.DUMMYFUNCTION("""COMPUTED_VALUE"""),-1.53)</f>
        <v>-1.53</v>
      </c>
      <c r="O52" s="1">
        <f ca="1">IFERROR(__xludf.DUMMYFUNCTION("""COMPUTED_VALUE"""),182)</f>
        <v>182</v>
      </c>
      <c r="P52" s="1">
        <f ca="1">IFERROR(__xludf.DUMMYFUNCTION("""COMPUTED_VALUE"""),100.4)</f>
        <v>100.4</v>
      </c>
      <c r="Q52" s="1">
        <f ca="1">IFERROR(__xludf.DUMMYFUNCTION("""COMPUTED_VALUE"""),221)</f>
        <v>221</v>
      </c>
      <c r="R52" s="1">
        <f ca="1">IFERROR(__xludf.DUMMYFUNCTION("""COMPUTED_VALUE"""),101.9)</f>
        <v>101.9</v>
      </c>
      <c r="S52" s="1">
        <f ca="1">IFERROR(__xludf.DUMMYFUNCTION("""COMPUTED_VALUE"""),132)</f>
        <v>132</v>
      </c>
      <c r="T52" s="1" t="str">
        <f ca="1">IFERROR(__xludf.DUMMYFUNCTION("""COMPUTED_VALUE"""),"+3.49")</f>
        <v>+3.49</v>
      </c>
      <c r="U52" s="1">
        <f ca="1">IFERROR(__xludf.DUMMYFUNCTION("""COMPUTED_VALUE"""),71)</f>
        <v>71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IFERROR(__xludf.DUMMYFUNCTION("""COMPUTED_VALUE"""),"Boston College")</f>
        <v>Boston College</v>
      </c>
      <c r="C53" s="1" t="str">
        <f ca="1">IFERROR(__xludf.DUMMYFUNCTION("""COMPUTED_VALUE"""),"BE")</f>
        <v>BE</v>
      </c>
      <c r="D53" s="1" t="str">
        <f ca="1">IFERROR(__xludf.DUMMYFUNCTION("""COMPUTED_VALUE"""),"19-12")</f>
        <v>19-12</v>
      </c>
      <c r="E53" s="1" t="str">
        <f ca="1">IFERROR(__xludf.DUMMYFUNCTION("""COMPUTED_VALUE"""),"+13.30")</f>
        <v>+13.30</v>
      </c>
      <c r="F53" s="1">
        <f ca="1">IFERROR(__xludf.DUMMYFUNCTION("""COMPUTED_VALUE"""),117.7)</f>
        <v>117.7</v>
      </c>
      <c r="G53" s="1">
        <f ca="1">IFERROR(__xludf.DUMMYFUNCTION("""COMPUTED_VALUE"""),4)</f>
        <v>4</v>
      </c>
      <c r="H53" s="1">
        <f ca="1">IFERROR(__xludf.DUMMYFUNCTION("""COMPUTED_VALUE"""),104.4)</f>
        <v>104.4</v>
      </c>
      <c r="I53" s="1">
        <f ca="1">IFERROR(__xludf.DUMMYFUNCTION("""COMPUTED_VALUE"""),203)</f>
        <v>203</v>
      </c>
      <c r="J53" s="1">
        <f ca="1">IFERROR(__xludf.DUMMYFUNCTION("""COMPUTED_VALUE"""),68.2)</f>
        <v>68.2</v>
      </c>
      <c r="K53" s="1">
        <f ca="1">IFERROR(__xludf.DUMMYFUNCTION("""COMPUTED_VALUE"""),112)</f>
        <v>112</v>
      </c>
      <c r="L53" s="1" t="str">
        <f ca="1">IFERROR(__xludf.DUMMYFUNCTION("""COMPUTED_VALUE"""),"+.034")</f>
        <v>+.034</v>
      </c>
      <c r="M53" s="1">
        <f ca="1">IFERROR(__xludf.DUMMYFUNCTION("""COMPUTED_VALUE"""),85)</f>
        <v>85</v>
      </c>
      <c r="N53" s="1" t="str">
        <f ca="1">IFERROR(__xludf.DUMMYFUNCTION("""COMPUTED_VALUE"""),"+8.51")</f>
        <v>+8.51</v>
      </c>
      <c r="O53" s="1">
        <f ca="1">IFERROR(__xludf.DUMMYFUNCTION("""COMPUTED_VALUE"""),33)</f>
        <v>33</v>
      </c>
      <c r="P53" s="1">
        <f ca="1">IFERROR(__xludf.DUMMYFUNCTION("""COMPUTED_VALUE"""),106.1)</f>
        <v>106.1</v>
      </c>
      <c r="Q53" s="1">
        <f ca="1">IFERROR(__xludf.DUMMYFUNCTION("""COMPUTED_VALUE"""),48)</f>
        <v>48</v>
      </c>
      <c r="R53" s="1">
        <f ca="1">IFERROR(__xludf.DUMMYFUNCTION("""COMPUTED_VALUE"""),97.6)</f>
        <v>97.6</v>
      </c>
      <c r="S53" s="1">
        <f ca="1">IFERROR(__xludf.DUMMYFUNCTION("""COMPUTED_VALUE"""),22)</f>
        <v>22</v>
      </c>
      <c r="T53" s="1" t="str">
        <f ca="1">IFERROR(__xludf.DUMMYFUNCTION("""COMPUTED_VALUE"""),"+2.55")</f>
        <v>+2.55</v>
      </c>
      <c r="U53" s="1">
        <f ca="1">IFERROR(__xludf.DUMMYFUNCTION("""COMPUTED_VALUE"""),93)</f>
        <v>93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IFERROR(__xludf.DUMMYFUNCTION("""COMPUTED_VALUE"""),"N.C. State9")</f>
        <v>N.C. State9</v>
      </c>
      <c r="C54" s="1" t="str">
        <f ca="1">IFERROR(__xludf.DUMMYFUNCTION("""COMPUTED_VALUE"""),"ACC")</f>
        <v>ACC</v>
      </c>
      <c r="D54" s="1" t="str">
        <f ca="1">IFERROR(__xludf.DUMMYFUNCTION("""COMPUTED_VALUE"""),"18-13")</f>
        <v>18-13</v>
      </c>
      <c r="E54" s="1" t="str">
        <f ca="1">IFERROR(__xludf.DUMMYFUNCTION("""COMPUTED_VALUE"""),"+13.18")</f>
        <v>+13.18</v>
      </c>
      <c r="F54" s="1">
        <f ca="1">IFERROR(__xludf.DUMMYFUNCTION("""COMPUTED_VALUE"""),111.2)</f>
        <v>111.2</v>
      </c>
      <c r="G54" s="1">
        <f ca="1">IFERROR(__xludf.DUMMYFUNCTION("""COMPUTED_VALUE"""),30)</f>
        <v>30</v>
      </c>
      <c r="H54" s="1">
        <f ca="1">IFERROR(__xludf.DUMMYFUNCTION("""COMPUTED_VALUE"""),98.1)</f>
        <v>98.1</v>
      </c>
      <c r="I54" s="1">
        <f ca="1">IFERROR(__xludf.DUMMYFUNCTION("""COMPUTED_VALUE"""),88)</f>
        <v>88</v>
      </c>
      <c r="J54" s="1">
        <f ca="1">IFERROR(__xludf.DUMMYFUNCTION("""COMPUTED_VALUE"""),65)</f>
        <v>65</v>
      </c>
      <c r="K54" s="1">
        <f ca="1">IFERROR(__xludf.DUMMYFUNCTION("""COMPUTED_VALUE"""),257)</f>
        <v>257</v>
      </c>
      <c r="L54" s="1">
        <f ca="1">IFERROR(__xludf.DUMMYFUNCTION("""COMPUTED_VALUE"""),-0.023)</f>
        <v>-2.3E-2</v>
      </c>
      <c r="M54" s="1">
        <f ca="1">IFERROR(__xludf.DUMMYFUNCTION("""COMPUTED_VALUE"""),223)</f>
        <v>223</v>
      </c>
      <c r="N54" s="1" t="str">
        <f ca="1">IFERROR(__xludf.DUMMYFUNCTION("""COMPUTED_VALUE"""),"+8.48")</f>
        <v>+8.48</v>
      </c>
      <c r="O54" s="1">
        <f ca="1">IFERROR(__xludf.DUMMYFUNCTION("""COMPUTED_VALUE"""),34)</f>
        <v>34</v>
      </c>
      <c r="P54" s="1">
        <f ca="1">IFERROR(__xludf.DUMMYFUNCTION("""COMPUTED_VALUE"""),106.9)</f>
        <v>106.9</v>
      </c>
      <c r="Q54" s="1">
        <f ca="1">IFERROR(__xludf.DUMMYFUNCTION("""COMPUTED_VALUE"""),22)</f>
        <v>22</v>
      </c>
      <c r="R54" s="1">
        <f ca="1">IFERROR(__xludf.DUMMYFUNCTION("""COMPUTED_VALUE"""),98.4)</f>
        <v>98.4</v>
      </c>
      <c r="S54" s="1">
        <f ca="1">IFERROR(__xludf.DUMMYFUNCTION("""COMPUTED_VALUE"""),49)</f>
        <v>49</v>
      </c>
      <c r="T54" s="1">
        <f ca="1">IFERROR(__xludf.DUMMYFUNCTION("""COMPUTED_VALUE"""),-6.48)</f>
        <v>-6.48</v>
      </c>
      <c r="U54" s="1">
        <f ca="1">IFERROR(__xludf.DUMMYFUNCTION("""COMPUTED_VALUE"""),292)</f>
        <v>292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IFERROR(__xludf.DUMMYFUNCTION("""COMPUTED_VALUE"""),"Tulsa13")</f>
        <v>Tulsa13</v>
      </c>
      <c r="C55" s="1" t="str">
        <f ca="1">IFERROR(__xludf.DUMMYFUNCTION("""COMPUTED_VALUE"""),"WAC")</f>
        <v>WAC</v>
      </c>
      <c r="D55" s="1" t="str">
        <f ca="1">IFERROR(__xludf.DUMMYFUNCTION("""COMPUTED_VALUE"""),"23-10")</f>
        <v>23-10</v>
      </c>
      <c r="E55" s="1" t="str">
        <f ca="1">IFERROR(__xludf.DUMMYFUNCTION("""COMPUTED_VALUE"""),"+13.04")</f>
        <v>+13.04</v>
      </c>
      <c r="F55" s="1">
        <f ca="1">IFERROR(__xludf.DUMMYFUNCTION("""COMPUTED_VALUE"""),107.9)</f>
        <v>107.9</v>
      </c>
      <c r="G55" s="1">
        <f ca="1">IFERROR(__xludf.DUMMYFUNCTION("""COMPUTED_VALUE"""),70)</f>
        <v>70</v>
      </c>
      <c r="H55" s="1">
        <f ca="1">IFERROR(__xludf.DUMMYFUNCTION("""COMPUTED_VALUE"""),94.9)</f>
        <v>94.9</v>
      </c>
      <c r="I55" s="1">
        <f ca="1">IFERROR(__xludf.DUMMYFUNCTION("""COMPUTED_VALUE"""),41)</f>
        <v>41</v>
      </c>
      <c r="J55" s="1">
        <f ca="1">IFERROR(__xludf.DUMMYFUNCTION("""COMPUTED_VALUE"""),67.4)</f>
        <v>67.400000000000006</v>
      </c>
      <c r="K55" s="1">
        <f ca="1">IFERROR(__xludf.DUMMYFUNCTION("""COMPUTED_VALUE"""),150)</f>
        <v>150</v>
      </c>
      <c r="L55" s="1">
        <f ca="1">IFERROR(__xludf.DUMMYFUNCTION("""COMPUTED_VALUE"""),-0.061)</f>
        <v>-6.0999999999999999E-2</v>
      </c>
      <c r="M55" s="1">
        <f ca="1">IFERROR(__xludf.DUMMYFUNCTION("""COMPUTED_VALUE"""),291)</f>
        <v>291</v>
      </c>
      <c r="N55" s="1" t="str">
        <f ca="1">IFERROR(__xludf.DUMMYFUNCTION("""COMPUTED_VALUE"""),"+1.05")</f>
        <v>+1.05</v>
      </c>
      <c r="O55" s="1">
        <f ca="1">IFERROR(__xludf.DUMMYFUNCTION("""COMPUTED_VALUE"""),139)</f>
        <v>139</v>
      </c>
      <c r="P55" s="1">
        <f ca="1">IFERROR(__xludf.DUMMYFUNCTION("""COMPUTED_VALUE"""),102.7)</f>
        <v>102.7</v>
      </c>
      <c r="Q55" s="1">
        <f ca="1">IFERROR(__xludf.DUMMYFUNCTION("""COMPUTED_VALUE"""),155)</f>
        <v>155</v>
      </c>
      <c r="R55" s="1">
        <f ca="1">IFERROR(__xludf.DUMMYFUNCTION("""COMPUTED_VALUE"""),101.7)</f>
        <v>101.7</v>
      </c>
      <c r="S55" s="1">
        <f ca="1">IFERROR(__xludf.DUMMYFUNCTION("""COMPUTED_VALUE"""),124)</f>
        <v>124</v>
      </c>
      <c r="T55" s="1" t="str">
        <f ca="1">IFERROR(__xludf.DUMMYFUNCTION("""COMPUTED_VALUE"""),"+4.16")</f>
        <v>+4.16</v>
      </c>
      <c r="U55" s="1">
        <f ca="1">IFERROR(__xludf.DUMMYFUNCTION("""COMPUTED_VALUE"""),62)</f>
        <v>62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IFERROR(__xludf.DUMMYFUNCTION("""COMPUTED_VALUE"""),"Milwaukee12")</f>
        <v>Milwaukee12</v>
      </c>
      <c r="C56" s="1" t="str">
        <f ca="1">IFERROR(__xludf.DUMMYFUNCTION("""COMPUTED_VALUE"""),"Horz")</f>
        <v>Horz</v>
      </c>
      <c r="D56" s="1" t="str">
        <f ca="1">IFERROR(__xludf.DUMMYFUNCTION("""COMPUTED_VALUE"""),"23-8")</f>
        <v>23-8</v>
      </c>
      <c r="E56" s="1" t="str">
        <f ca="1">IFERROR(__xludf.DUMMYFUNCTION("""COMPUTED_VALUE"""),"+12.97")</f>
        <v>+12.97</v>
      </c>
      <c r="F56" s="1">
        <f ca="1">IFERROR(__xludf.DUMMYFUNCTION("""COMPUTED_VALUE"""),109)</f>
        <v>109</v>
      </c>
      <c r="G56" s="1">
        <f ca="1">IFERROR(__xludf.DUMMYFUNCTION("""COMPUTED_VALUE"""),60)</f>
        <v>60</v>
      </c>
      <c r="H56" s="1">
        <f ca="1">IFERROR(__xludf.DUMMYFUNCTION("""COMPUTED_VALUE"""),96)</f>
        <v>96</v>
      </c>
      <c r="I56" s="1">
        <f ca="1">IFERROR(__xludf.DUMMYFUNCTION("""COMPUTED_VALUE"""),59)</f>
        <v>59</v>
      </c>
      <c r="J56" s="1">
        <f ca="1">IFERROR(__xludf.DUMMYFUNCTION("""COMPUTED_VALUE"""),71.2)</f>
        <v>71.2</v>
      </c>
      <c r="K56" s="1">
        <f ca="1">IFERROR(__xludf.DUMMYFUNCTION("""COMPUTED_VALUE"""),31)</f>
        <v>31</v>
      </c>
      <c r="L56" s="1" t="str">
        <f ca="1">IFERROR(__xludf.DUMMYFUNCTION("""COMPUTED_VALUE"""),"+.025")</f>
        <v>+.025</v>
      </c>
      <c r="M56" s="1">
        <f ca="1">IFERROR(__xludf.DUMMYFUNCTION("""COMPUTED_VALUE"""),101)</f>
        <v>101</v>
      </c>
      <c r="N56" s="1" t="str">
        <f ca="1">IFERROR(__xludf.DUMMYFUNCTION("""COMPUTED_VALUE"""),"+2.06")</f>
        <v>+2.06</v>
      </c>
      <c r="O56" s="1">
        <f ca="1">IFERROR(__xludf.DUMMYFUNCTION("""COMPUTED_VALUE"""),121)</f>
        <v>121</v>
      </c>
      <c r="P56" s="1">
        <f ca="1">IFERROR(__xludf.DUMMYFUNCTION("""COMPUTED_VALUE"""),104.8)</f>
        <v>104.8</v>
      </c>
      <c r="Q56" s="1">
        <f ca="1">IFERROR(__xludf.DUMMYFUNCTION("""COMPUTED_VALUE"""),79)</f>
        <v>79</v>
      </c>
      <c r="R56" s="1">
        <f ca="1">IFERROR(__xludf.DUMMYFUNCTION("""COMPUTED_VALUE"""),102.8)</f>
        <v>102.8</v>
      </c>
      <c r="S56" s="1">
        <f ca="1">IFERROR(__xludf.DUMMYFUNCTION("""COMPUTED_VALUE"""),172)</f>
        <v>172</v>
      </c>
      <c r="T56" s="1" t="str">
        <f ca="1">IFERROR(__xludf.DUMMYFUNCTION("""COMPUTED_VALUE"""),"+1.05")</f>
        <v>+1.05</v>
      </c>
      <c r="U56" s="1">
        <f ca="1">IFERROR(__xludf.DUMMYFUNCTION("""COMPUTED_VALUE"""),130)</f>
        <v>130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IFERROR(__xludf.DUMMYFUNCTION("""COMPUTED_VALUE"""),"Seton Hall")</f>
        <v>Seton Hall</v>
      </c>
      <c r="C57" s="1" t="str">
        <f ca="1">IFERROR(__xludf.DUMMYFUNCTION("""COMPUTED_VALUE"""),"BE")</f>
        <v>BE</v>
      </c>
      <c r="D57" s="1" t="str">
        <f ca="1">IFERROR(__xludf.DUMMYFUNCTION("""COMPUTED_VALUE"""),"17-13")</f>
        <v>17-13</v>
      </c>
      <c r="E57" s="1" t="str">
        <f ca="1">IFERROR(__xludf.DUMMYFUNCTION("""COMPUTED_VALUE"""),"+12.26")</f>
        <v>+12.26</v>
      </c>
      <c r="F57" s="1">
        <f ca="1">IFERROR(__xludf.DUMMYFUNCTION("""COMPUTED_VALUE"""),104.6)</f>
        <v>104.6</v>
      </c>
      <c r="G57" s="1">
        <f ca="1">IFERROR(__xludf.DUMMYFUNCTION("""COMPUTED_VALUE"""),122)</f>
        <v>122</v>
      </c>
      <c r="H57" s="1">
        <f ca="1">IFERROR(__xludf.DUMMYFUNCTION("""COMPUTED_VALUE"""),92.3)</f>
        <v>92.3</v>
      </c>
      <c r="I57" s="1">
        <f ca="1">IFERROR(__xludf.DUMMYFUNCTION("""COMPUTED_VALUE"""),20)</f>
        <v>20</v>
      </c>
      <c r="J57" s="1">
        <f ca="1">IFERROR(__xludf.DUMMYFUNCTION("""COMPUTED_VALUE"""),65.7)</f>
        <v>65.7</v>
      </c>
      <c r="K57" s="1">
        <f ca="1">IFERROR(__xludf.DUMMYFUNCTION("""COMPUTED_VALUE"""),223)</f>
        <v>223</v>
      </c>
      <c r="L57" s="1" t="str">
        <f ca="1">IFERROR(__xludf.DUMMYFUNCTION("""COMPUTED_VALUE"""),"+.022")</f>
        <v>+.022</v>
      </c>
      <c r="M57" s="1">
        <f ca="1">IFERROR(__xludf.DUMMYFUNCTION("""COMPUTED_VALUE"""),111)</f>
        <v>111</v>
      </c>
      <c r="N57" s="1" t="str">
        <f ca="1">IFERROR(__xludf.DUMMYFUNCTION("""COMPUTED_VALUE"""),"+9.26")</f>
        <v>+9.26</v>
      </c>
      <c r="O57" s="1">
        <f ca="1">IFERROR(__xludf.DUMMYFUNCTION("""COMPUTED_VALUE"""),19)</f>
        <v>19</v>
      </c>
      <c r="P57" s="1">
        <f ca="1">IFERROR(__xludf.DUMMYFUNCTION("""COMPUTED_VALUE"""),106.4)</f>
        <v>106.4</v>
      </c>
      <c r="Q57" s="1">
        <f ca="1">IFERROR(__xludf.DUMMYFUNCTION("""COMPUTED_VALUE"""),40)</f>
        <v>40</v>
      </c>
      <c r="R57" s="1">
        <f ca="1">IFERROR(__xludf.DUMMYFUNCTION("""COMPUTED_VALUE"""),97.1)</f>
        <v>97.1</v>
      </c>
      <c r="S57" s="1">
        <f ca="1">IFERROR(__xludf.DUMMYFUNCTION("""COMPUTED_VALUE"""),12)</f>
        <v>12</v>
      </c>
      <c r="T57" s="1">
        <f ca="1">IFERROR(__xludf.DUMMYFUNCTION("""COMPUTED_VALUE"""),-0.58)</f>
        <v>-0.57999999999999996</v>
      </c>
      <c r="U57" s="1">
        <f ca="1">IFERROR(__xludf.DUMMYFUNCTION("""COMPUTED_VALUE"""),167)</f>
        <v>167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IFERROR(__xludf.DUMMYFUNCTION("""COMPUTED_VALUE"""),"North Carolina")</f>
        <v>North Carolina</v>
      </c>
      <c r="C58" s="1" t="str">
        <f ca="1">IFERROR(__xludf.DUMMYFUNCTION("""COMPUTED_VALUE"""),"ACC")</f>
        <v>ACC</v>
      </c>
      <c r="D58" s="1" t="str">
        <f ca="1">IFERROR(__xludf.DUMMYFUNCTION("""COMPUTED_VALUE"""),"19-16")</f>
        <v>19-16</v>
      </c>
      <c r="E58" s="1" t="str">
        <f ca="1">IFERROR(__xludf.DUMMYFUNCTION("""COMPUTED_VALUE"""),"+12.15")</f>
        <v>+12.15</v>
      </c>
      <c r="F58" s="1">
        <f ca="1">IFERROR(__xludf.DUMMYFUNCTION("""COMPUTED_VALUE"""),107.9)</f>
        <v>107.9</v>
      </c>
      <c r="G58" s="1">
        <f ca="1">IFERROR(__xludf.DUMMYFUNCTION("""COMPUTED_VALUE"""),72)</f>
        <v>72</v>
      </c>
      <c r="H58" s="1">
        <f ca="1">IFERROR(__xludf.DUMMYFUNCTION("""COMPUTED_VALUE"""),95.8)</f>
        <v>95.8</v>
      </c>
      <c r="I58" s="1">
        <f ca="1">IFERROR(__xludf.DUMMYFUNCTION("""COMPUTED_VALUE"""),57)</f>
        <v>57</v>
      </c>
      <c r="J58" s="1">
        <f ca="1">IFERROR(__xludf.DUMMYFUNCTION("""COMPUTED_VALUE"""),68.3)</f>
        <v>68.3</v>
      </c>
      <c r="K58" s="1">
        <f ca="1">IFERROR(__xludf.DUMMYFUNCTION("""COMPUTED_VALUE"""),110)</f>
        <v>110</v>
      </c>
      <c r="L58" s="1" t="str">
        <f ca="1">IFERROR(__xludf.DUMMYFUNCTION("""COMPUTED_VALUE"""),"+.024")</f>
        <v>+.024</v>
      </c>
      <c r="M58" s="1">
        <f ca="1">IFERROR(__xludf.DUMMYFUNCTION("""COMPUTED_VALUE"""),104)</f>
        <v>104</v>
      </c>
      <c r="N58" s="1" t="str">
        <f ca="1">IFERROR(__xludf.DUMMYFUNCTION("""COMPUTED_VALUE"""),"+11.23")</f>
        <v>+11.23</v>
      </c>
      <c r="O58" s="1">
        <f ca="1">IFERROR(__xludf.DUMMYFUNCTION("""COMPUTED_VALUE"""),3)</f>
        <v>3</v>
      </c>
      <c r="P58" s="1">
        <f ca="1">IFERROR(__xludf.DUMMYFUNCTION("""COMPUTED_VALUE"""),107.5)</f>
        <v>107.5</v>
      </c>
      <c r="Q58" s="1">
        <f ca="1">IFERROR(__xludf.DUMMYFUNCTION("""COMPUTED_VALUE"""),7)</f>
        <v>7</v>
      </c>
      <c r="R58" s="1">
        <f ca="1">IFERROR(__xludf.DUMMYFUNCTION("""COMPUTED_VALUE"""),96.2)</f>
        <v>96.2</v>
      </c>
      <c r="S58" s="1">
        <f ca="1">IFERROR(__xludf.DUMMYFUNCTION("""COMPUTED_VALUE"""),3)</f>
        <v>3</v>
      </c>
      <c r="T58" s="1" t="str">
        <f ca="1">IFERROR(__xludf.DUMMYFUNCTION("""COMPUTED_VALUE"""),"+7.32")</f>
        <v>+7.32</v>
      </c>
      <c r="U58" s="1">
        <f ca="1">IFERROR(__xludf.DUMMYFUNCTION("""COMPUTED_VALUE"""),28)</f>
        <v>28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IFERROR(__xludf.DUMMYFUNCTION("""COMPUTED_VALUE"""),"Southern Illinois11")</f>
        <v>Southern Illinois11</v>
      </c>
      <c r="C59" s="1" t="str">
        <f ca="1">IFERROR(__xludf.DUMMYFUNCTION("""COMPUTED_VALUE"""),"MVC")</f>
        <v>MVC</v>
      </c>
      <c r="D59" s="1" t="str">
        <f ca="1">IFERROR(__xludf.DUMMYFUNCTION("""COMPUTED_VALUE"""),"24-7")</f>
        <v>24-7</v>
      </c>
      <c r="E59" s="1" t="str">
        <f ca="1">IFERROR(__xludf.DUMMYFUNCTION("""COMPUTED_VALUE"""),"+11.76")</f>
        <v>+11.76</v>
      </c>
      <c r="F59" s="1">
        <f ca="1">IFERROR(__xludf.DUMMYFUNCTION("""COMPUTED_VALUE"""),110.3)</f>
        <v>110.3</v>
      </c>
      <c r="G59" s="1">
        <f ca="1">IFERROR(__xludf.DUMMYFUNCTION("""COMPUTED_VALUE"""),40)</f>
        <v>40</v>
      </c>
      <c r="H59" s="1">
        <f ca="1">IFERROR(__xludf.DUMMYFUNCTION("""COMPUTED_VALUE"""),98.6)</f>
        <v>98.6</v>
      </c>
      <c r="I59" s="1">
        <f ca="1">IFERROR(__xludf.DUMMYFUNCTION("""COMPUTED_VALUE"""),96)</f>
        <v>96</v>
      </c>
      <c r="J59" s="1">
        <f ca="1">IFERROR(__xludf.DUMMYFUNCTION("""COMPUTED_VALUE"""),67.8)</f>
        <v>67.8</v>
      </c>
      <c r="K59" s="1">
        <f ca="1">IFERROR(__xludf.DUMMYFUNCTION("""COMPUTED_VALUE"""),125)</f>
        <v>125</v>
      </c>
      <c r="L59" s="1" t="str">
        <f ca="1">IFERROR(__xludf.DUMMYFUNCTION("""COMPUTED_VALUE"""),"+.063")</f>
        <v>+.063</v>
      </c>
      <c r="M59" s="1">
        <f ca="1">IFERROR(__xludf.DUMMYFUNCTION("""COMPUTED_VALUE"""),39)</f>
        <v>39</v>
      </c>
      <c r="N59" s="1" t="str">
        <f ca="1">IFERROR(__xludf.DUMMYFUNCTION("""COMPUTED_VALUE"""),"+1.97")</f>
        <v>+1.97</v>
      </c>
      <c r="O59" s="1">
        <f ca="1">IFERROR(__xludf.DUMMYFUNCTION("""COMPUTED_VALUE"""),124)</f>
        <v>124</v>
      </c>
      <c r="P59" s="1">
        <f ca="1">IFERROR(__xludf.DUMMYFUNCTION("""COMPUTED_VALUE"""),103.5)</f>
        <v>103.5</v>
      </c>
      <c r="Q59" s="1">
        <f ca="1">IFERROR(__xludf.DUMMYFUNCTION("""COMPUTED_VALUE"""),129)</f>
        <v>129</v>
      </c>
      <c r="R59" s="1">
        <f ca="1">IFERROR(__xludf.DUMMYFUNCTION("""COMPUTED_VALUE"""),101.5)</f>
        <v>101.5</v>
      </c>
      <c r="S59" s="1">
        <f ca="1">IFERROR(__xludf.DUMMYFUNCTION("""COMPUTED_VALUE"""),120)</f>
        <v>120</v>
      </c>
      <c r="T59" s="1" t="str">
        <f ca="1">IFERROR(__xludf.DUMMYFUNCTION("""COMPUTED_VALUE"""),"+3.35")</f>
        <v>+3.35</v>
      </c>
      <c r="U59" s="1">
        <f ca="1">IFERROR(__xludf.DUMMYFUNCTION("""COMPUTED_VALUE"""),79)</f>
        <v>79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IFERROR(__xludf.DUMMYFUNCTION("""COMPUTED_VALUE"""),"Western Kentucky13")</f>
        <v>Western Kentucky13</v>
      </c>
      <c r="C60" s="1" t="str">
        <f ca="1">IFERROR(__xludf.DUMMYFUNCTION("""COMPUTED_VALUE"""),"SB")</f>
        <v>SB</v>
      </c>
      <c r="D60" s="1" t="str">
        <f ca="1">IFERROR(__xludf.DUMMYFUNCTION("""COMPUTED_VALUE"""),"24-9")</f>
        <v>24-9</v>
      </c>
      <c r="E60" s="1" t="str">
        <f ca="1">IFERROR(__xludf.DUMMYFUNCTION("""COMPUTED_VALUE"""),"+11.75")</f>
        <v>+11.75</v>
      </c>
      <c r="F60" s="1">
        <f ca="1">IFERROR(__xludf.DUMMYFUNCTION("""COMPUTED_VALUE"""),108)</f>
        <v>108</v>
      </c>
      <c r="G60" s="1">
        <f ca="1">IFERROR(__xludf.DUMMYFUNCTION("""COMPUTED_VALUE"""),65)</f>
        <v>65</v>
      </c>
      <c r="H60" s="1">
        <f ca="1">IFERROR(__xludf.DUMMYFUNCTION("""COMPUTED_VALUE"""),96.3)</f>
        <v>96.3</v>
      </c>
      <c r="I60" s="1">
        <f ca="1">IFERROR(__xludf.DUMMYFUNCTION("""COMPUTED_VALUE"""),61)</f>
        <v>61</v>
      </c>
      <c r="J60" s="1">
        <f ca="1">IFERROR(__xludf.DUMMYFUNCTION("""COMPUTED_VALUE"""),67.2)</f>
        <v>67.2</v>
      </c>
      <c r="K60" s="1">
        <f ca="1">IFERROR(__xludf.DUMMYFUNCTION("""COMPUTED_VALUE"""),156)</f>
        <v>156</v>
      </c>
      <c r="L60" s="1" t="str">
        <f ca="1">IFERROR(__xludf.DUMMYFUNCTION("""COMPUTED_VALUE"""),"+.035")</f>
        <v>+.035</v>
      </c>
      <c r="M60" s="1">
        <f ca="1">IFERROR(__xludf.DUMMYFUNCTION("""COMPUTED_VALUE"""),78)</f>
        <v>78</v>
      </c>
      <c r="N60" s="1" t="str">
        <f ca="1">IFERROR(__xludf.DUMMYFUNCTION("""COMPUTED_VALUE"""),"+1.09")</f>
        <v>+1.09</v>
      </c>
      <c r="O60" s="1">
        <f ca="1">IFERROR(__xludf.DUMMYFUNCTION("""COMPUTED_VALUE"""),138)</f>
        <v>138</v>
      </c>
      <c r="P60" s="1">
        <f ca="1">IFERROR(__xludf.DUMMYFUNCTION("""COMPUTED_VALUE"""),103.1)</f>
        <v>103.1</v>
      </c>
      <c r="Q60" s="1">
        <f ca="1">IFERROR(__xludf.DUMMYFUNCTION("""COMPUTED_VALUE"""),143)</f>
        <v>143</v>
      </c>
      <c r="R60" s="1">
        <f ca="1">IFERROR(__xludf.DUMMYFUNCTION("""COMPUTED_VALUE"""),102)</f>
        <v>102</v>
      </c>
      <c r="S60" s="1">
        <f ca="1">IFERROR(__xludf.DUMMYFUNCTION("""COMPUTED_VALUE"""),137)</f>
        <v>137</v>
      </c>
      <c r="T60" s="1" t="str">
        <f ca="1">IFERROR(__xludf.DUMMYFUNCTION("""COMPUTED_VALUE"""),"+2.09")</f>
        <v>+2.09</v>
      </c>
      <c r="U60" s="1">
        <f ca="1">IFERROR(__xludf.DUMMYFUNCTION("""COMPUTED_VALUE"""),107)</f>
        <v>107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IFERROR(__xludf.DUMMYFUNCTION("""COMPUTED_VALUE"""),"Villanova")</f>
        <v>Villanova</v>
      </c>
      <c r="C61" s="1" t="str">
        <f ca="1">IFERROR(__xludf.DUMMYFUNCTION("""COMPUTED_VALUE"""),"BE")</f>
        <v>BE</v>
      </c>
      <c r="D61" s="1" t="str">
        <f ca="1">IFERROR(__xludf.DUMMYFUNCTION("""COMPUTED_VALUE"""),"15-16")</f>
        <v>15-16</v>
      </c>
      <c r="E61" s="1" t="str">
        <f ca="1">IFERROR(__xludf.DUMMYFUNCTION("""COMPUTED_VALUE"""),"+11.17")</f>
        <v>+11.17</v>
      </c>
      <c r="F61" s="1">
        <f ca="1">IFERROR(__xludf.DUMMYFUNCTION("""COMPUTED_VALUE"""),106.6)</f>
        <v>106.6</v>
      </c>
      <c r="G61" s="1">
        <f ca="1">IFERROR(__xludf.DUMMYFUNCTION("""COMPUTED_VALUE"""),93)</f>
        <v>93</v>
      </c>
      <c r="H61" s="1">
        <f ca="1">IFERROR(__xludf.DUMMYFUNCTION("""COMPUTED_VALUE"""),95.4)</f>
        <v>95.4</v>
      </c>
      <c r="I61" s="1">
        <f ca="1">IFERROR(__xludf.DUMMYFUNCTION("""COMPUTED_VALUE"""),51)</f>
        <v>51</v>
      </c>
      <c r="J61" s="1">
        <f ca="1">IFERROR(__xludf.DUMMYFUNCTION("""COMPUTED_VALUE"""),68.8)</f>
        <v>68.8</v>
      </c>
      <c r="K61" s="1">
        <f ca="1">IFERROR(__xludf.DUMMYFUNCTION("""COMPUTED_VALUE"""),86)</f>
        <v>86</v>
      </c>
      <c r="L61" s="1">
        <f ca="1">IFERROR(__xludf.DUMMYFUNCTION("""COMPUTED_VALUE"""),-0.059)</f>
        <v>-5.8999999999999997E-2</v>
      </c>
      <c r="M61" s="1">
        <f ca="1">IFERROR(__xludf.DUMMYFUNCTION("""COMPUTED_VALUE"""),289)</f>
        <v>289</v>
      </c>
      <c r="N61" s="1" t="str">
        <f ca="1">IFERROR(__xludf.DUMMYFUNCTION("""COMPUTED_VALUE"""),"+9.49")</f>
        <v>+9.49</v>
      </c>
      <c r="O61" s="1">
        <f ca="1">IFERROR(__xludf.DUMMYFUNCTION("""COMPUTED_VALUE"""),18)</f>
        <v>18</v>
      </c>
      <c r="P61" s="1">
        <f ca="1">IFERROR(__xludf.DUMMYFUNCTION("""COMPUTED_VALUE"""),107)</f>
        <v>107</v>
      </c>
      <c r="Q61" s="1">
        <f ca="1">IFERROR(__xludf.DUMMYFUNCTION("""COMPUTED_VALUE"""),20)</f>
        <v>20</v>
      </c>
      <c r="R61" s="1">
        <f ca="1">IFERROR(__xludf.DUMMYFUNCTION("""COMPUTED_VALUE"""),97.5)</f>
        <v>97.5</v>
      </c>
      <c r="S61" s="1">
        <f ca="1">IFERROR(__xludf.DUMMYFUNCTION("""COMPUTED_VALUE"""),20)</f>
        <v>20</v>
      </c>
      <c r="T61" s="1" t="str">
        <f ca="1">IFERROR(__xludf.DUMMYFUNCTION("""COMPUTED_VALUE"""),"+7.22")</f>
        <v>+7.22</v>
      </c>
      <c r="U61" s="1">
        <f ca="1">IFERROR(__xludf.DUMMYFUNCTION("""COMPUTED_VALUE"""),29)</f>
        <v>29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IFERROR(__xludf.DUMMYFUNCTION("""COMPUTED_VALUE"""),"Tennessee")</f>
        <v>Tennessee</v>
      </c>
      <c r="C62" s="1" t="str">
        <f ca="1">IFERROR(__xludf.DUMMYFUNCTION("""COMPUTED_VALUE"""),"SEC")</f>
        <v>SEC</v>
      </c>
      <c r="D62" s="1" t="str">
        <f ca="1">IFERROR(__xludf.DUMMYFUNCTION("""COMPUTED_VALUE"""),"17-12")</f>
        <v>17-12</v>
      </c>
      <c r="E62" s="1" t="str">
        <f ca="1">IFERROR(__xludf.DUMMYFUNCTION("""COMPUTED_VALUE"""),"+10.99")</f>
        <v>+10.99</v>
      </c>
      <c r="F62" s="1">
        <f ca="1">IFERROR(__xludf.DUMMYFUNCTION("""COMPUTED_VALUE"""),108)</f>
        <v>108</v>
      </c>
      <c r="G62" s="1">
        <f ca="1">IFERROR(__xludf.DUMMYFUNCTION("""COMPUTED_VALUE"""),66)</f>
        <v>66</v>
      </c>
      <c r="H62" s="1">
        <f ca="1">IFERROR(__xludf.DUMMYFUNCTION("""COMPUTED_VALUE"""),97)</f>
        <v>97</v>
      </c>
      <c r="I62" s="1">
        <f ca="1">IFERROR(__xludf.DUMMYFUNCTION("""COMPUTED_VALUE"""),71)</f>
        <v>71</v>
      </c>
      <c r="J62" s="1">
        <f ca="1">IFERROR(__xludf.DUMMYFUNCTION("""COMPUTED_VALUE"""),64.7)</f>
        <v>64.7</v>
      </c>
      <c r="K62" s="1">
        <f ca="1">IFERROR(__xludf.DUMMYFUNCTION("""COMPUTED_VALUE"""),268)</f>
        <v>268</v>
      </c>
      <c r="L62" s="1" t="str">
        <f ca="1">IFERROR(__xludf.DUMMYFUNCTION("""COMPUTED_VALUE"""),"+.026")</f>
        <v>+.026</v>
      </c>
      <c r="M62" s="1">
        <f ca="1">IFERROR(__xludf.DUMMYFUNCTION("""COMPUTED_VALUE"""),98)</f>
        <v>98</v>
      </c>
      <c r="N62" s="1" t="str">
        <f ca="1">IFERROR(__xludf.DUMMYFUNCTION("""COMPUTED_VALUE"""),"+8.54")</f>
        <v>+8.54</v>
      </c>
      <c r="O62" s="1">
        <f ca="1">IFERROR(__xludf.DUMMYFUNCTION("""COMPUTED_VALUE"""),32)</f>
        <v>32</v>
      </c>
      <c r="P62" s="1">
        <f ca="1">IFERROR(__xludf.DUMMYFUNCTION("""COMPUTED_VALUE"""),106.4)</f>
        <v>106.4</v>
      </c>
      <c r="Q62" s="1">
        <f ca="1">IFERROR(__xludf.DUMMYFUNCTION("""COMPUTED_VALUE"""),43)</f>
        <v>43</v>
      </c>
      <c r="R62" s="1">
        <f ca="1">IFERROR(__xludf.DUMMYFUNCTION("""COMPUTED_VALUE"""),97.8)</f>
        <v>97.8</v>
      </c>
      <c r="S62" s="1">
        <f ca="1">IFERROR(__xludf.DUMMYFUNCTION("""COMPUTED_VALUE"""),28)</f>
        <v>28</v>
      </c>
      <c r="T62" s="1">
        <f ca="1">IFERROR(__xludf.DUMMYFUNCTION("""COMPUTED_VALUE"""),-4.46)</f>
        <v>-4.46</v>
      </c>
      <c r="U62" s="1">
        <f ca="1">IFERROR(__xludf.DUMMYFUNCTION("""COMPUTED_VALUE"""),263)</f>
        <v>263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IFERROR(__xludf.DUMMYFUNCTION("""COMPUTED_VALUE"""),"Mississippi")</f>
        <v>Mississippi</v>
      </c>
      <c r="C63" s="1" t="str">
        <f ca="1">IFERROR(__xludf.DUMMYFUNCTION("""COMPUTED_VALUE"""),"SEC")</f>
        <v>SEC</v>
      </c>
      <c r="D63" s="1" t="str">
        <f ca="1">IFERROR(__xludf.DUMMYFUNCTION("""COMPUTED_VALUE"""),"14-15")</f>
        <v>14-15</v>
      </c>
      <c r="E63" s="1" t="str">
        <f ca="1">IFERROR(__xludf.DUMMYFUNCTION("""COMPUTED_VALUE"""),"+10.89")</f>
        <v>+10.89</v>
      </c>
      <c r="F63" s="1">
        <f ca="1">IFERROR(__xludf.DUMMYFUNCTION("""COMPUTED_VALUE"""),111.2)</f>
        <v>111.2</v>
      </c>
      <c r="G63" s="1">
        <f ca="1">IFERROR(__xludf.DUMMYFUNCTION("""COMPUTED_VALUE"""),31)</f>
        <v>31</v>
      </c>
      <c r="H63" s="1">
        <f ca="1">IFERROR(__xludf.DUMMYFUNCTION("""COMPUTED_VALUE"""),100.3)</f>
        <v>100.3</v>
      </c>
      <c r="I63" s="1">
        <f ca="1">IFERROR(__xludf.DUMMYFUNCTION("""COMPUTED_VALUE"""),130)</f>
        <v>130</v>
      </c>
      <c r="J63" s="1">
        <f ca="1">IFERROR(__xludf.DUMMYFUNCTION("""COMPUTED_VALUE"""),62.8)</f>
        <v>62.8</v>
      </c>
      <c r="K63" s="1">
        <f ca="1">IFERROR(__xludf.DUMMYFUNCTION("""COMPUTED_VALUE"""),298)</f>
        <v>298</v>
      </c>
      <c r="L63" s="1">
        <f ca="1">IFERROR(__xludf.DUMMYFUNCTION("""COMPUTED_VALUE"""),-0.099)</f>
        <v>-9.9000000000000005E-2</v>
      </c>
      <c r="M63" s="1">
        <f ca="1">IFERROR(__xludf.DUMMYFUNCTION("""COMPUTED_VALUE"""),313)</f>
        <v>313</v>
      </c>
      <c r="N63" s="1" t="str">
        <f ca="1">IFERROR(__xludf.DUMMYFUNCTION("""COMPUTED_VALUE"""),"+7.19")</f>
        <v>+7.19</v>
      </c>
      <c r="O63" s="1">
        <f ca="1">IFERROR(__xludf.DUMMYFUNCTION("""COMPUTED_VALUE"""),54)</f>
        <v>54</v>
      </c>
      <c r="P63" s="1">
        <f ca="1">IFERROR(__xludf.DUMMYFUNCTION("""COMPUTED_VALUE"""),103.9)</f>
        <v>103.9</v>
      </c>
      <c r="Q63" s="1">
        <f ca="1">IFERROR(__xludf.DUMMYFUNCTION("""COMPUTED_VALUE"""),117)</f>
        <v>117</v>
      </c>
      <c r="R63" s="1">
        <f ca="1">IFERROR(__xludf.DUMMYFUNCTION("""COMPUTED_VALUE"""),96.7)</f>
        <v>96.7</v>
      </c>
      <c r="S63" s="1">
        <f ca="1">IFERROR(__xludf.DUMMYFUNCTION("""COMPUTED_VALUE"""),6)</f>
        <v>6</v>
      </c>
      <c r="T63" s="1">
        <f ca="1">IFERROR(__xludf.DUMMYFUNCTION("""COMPUTED_VALUE"""),-7.96)</f>
        <v>-7.96</v>
      </c>
      <c r="U63" s="1">
        <f ca="1">IFERROR(__xludf.DUMMYFUNCTION("""COMPUTED_VALUE"""),306)</f>
        <v>306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IFERROR(__xludf.DUMMYFUNCTION("""COMPUTED_VALUE"""),"Kansas St.")</f>
        <v>Kansas St.</v>
      </c>
      <c r="C64" s="1" t="str">
        <f ca="1">IFERROR(__xludf.DUMMYFUNCTION("""COMPUTED_VALUE"""),"B12")</f>
        <v>B12</v>
      </c>
      <c r="D64" s="1" t="str">
        <f ca="1">IFERROR(__xludf.DUMMYFUNCTION("""COMPUTED_VALUE"""),"13-17")</f>
        <v>13-17</v>
      </c>
      <c r="E64" s="1" t="str">
        <f ca="1">IFERROR(__xludf.DUMMYFUNCTION("""COMPUTED_VALUE"""),"+10.87")</f>
        <v>+10.87</v>
      </c>
      <c r="F64" s="1">
        <f ca="1">IFERROR(__xludf.DUMMYFUNCTION("""COMPUTED_VALUE"""),107.9)</f>
        <v>107.9</v>
      </c>
      <c r="G64" s="1">
        <f ca="1">IFERROR(__xludf.DUMMYFUNCTION("""COMPUTED_VALUE"""),73)</f>
        <v>73</v>
      </c>
      <c r="H64" s="1">
        <f ca="1">IFERROR(__xludf.DUMMYFUNCTION("""COMPUTED_VALUE"""),97)</f>
        <v>97</v>
      </c>
      <c r="I64" s="1">
        <f ca="1">IFERROR(__xludf.DUMMYFUNCTION("""COMPUTED_VALUE"""),70)</f>
        <v>70</v>
      </c>
      <c r="J64" s="1">
        <f ca="1">IFERROR(__xludf.DUMMYFUNCTION("""COMPUTED_VALUE"""),65.7)</f>
        <v>65.7</v>
      </c>
      <c r="K64" s="1">
        <f ca="1">IFERROR(__xludf.DUMMYFUNCTION("""COMPUTED_VALUE"""),222)</f>
        <v>222</v>
      </c>
      <c r="L64" s="1">
        <f ca="1">IFERROR(__xludf.DUMMYFUNCTION("""COMPUTED_VALUE"""),-0.154)</f>
        <v>-0.154</v>
      </c>
      <c r="M64" s="1">
        <f ca="1">IFERROR(__xludf.DUMMYFUNCTION("""COMPUTED_VALUE"""),327)</f>
        <v>327</v>
      </c>
      <c r="N64" s="1" t="str">
        <f ca="1">IFERROR(__xludf.DUMMYFUNCTION("""COMPUTED_VALUE"""),"+6.95")</f>
        <v>+6.95</v>
      </c>
      <c r="O64" s="1">
        <f ca="1">IFERROR(__xludf.DUMMYFUNCTION("""COMPUTED_VALUE"""),59)</f>
        <v>59</v>
      </c>
      <c r="P64" s="1">
        <f ca="1">IFERROR(__xludf.DUMMYFUNCTION("""COMPUTED_VALUE"""),104.6)</f>
        <v>104.6</v>
      </c>
      <c r="Q64" s="1">
        <f ca="1">IFERROR(__xludf.DUMMYFUNCTION("""COMPUTED_VALUE"""),89)</f>
        <v>89</v>
      </c>
      <c r="R64" s="1">
        <f ca="1">IFERROR(__xludf.DUMMYFUNCTION("""COMPUTED_VALUE"""),97.6)</f>
        <v>97.6</v>
      </c>
      <c r="S64" s="1">
        <f ca="1">IFERROR(__xludf.DUMMYFUNCTION("""COMPUTED_VALUE"""),23)</f>
        <v>23</v>
      </c>
      <c r="T64" s="1">
        <f ca="1">IFERROR(__xludf.DUMMYFUNCTION("""COMPUTED_VALUE"""),-4.6)</f>
        <v>-4.5999999999999996</v>
      </c>
      <c r="U64" s="1">
        <f ca="1">IFERROR(__xludf.DUMMYFUNCTION("""COMPUTED_VALUE"""),266)</f>
        <v>266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IFERROR(__xludf.DUMMYFUNCTION("""COMPUTED_VALUE"""),"Michigan")</f>
        <v>Michigan</v>
      </c>
      <c r="C65" s="1" t="str">
        <f ca="1">IFERROR(__xludf.DUMMYFUNCTION("""COMPUTED_VALUE"""),"B10")</f>
        <v>B10</v>
      </c>
      <c r="D65" s="1" t="str">
        <f ca="1">IFERROR(__xludf.DUMMYFUNCTION("""COMPUTED_VALUE"""),"17-13")</f>
        <v>17-13</v>
      </c>
      <c r="E65" s="1" t="str">
        <f ca="1">IFERROR(__xludf.DUMMYFUNCTION("""COMPUTED_VALUE"""),"+10.71")</f>
        <v>+10.71</v>
      </c>
      <c r="F65" s="1">
        <f ca="1">IFERROR(__xludf.DUMMYFUNCTION("""COMPUTED_VALUE"""),109)</f>
        <v>109</v>
      </c>
      <c r="G65" s="1">
        <f ca="1">IFERROR(__xludf.DUMMYFUNCTION("""COMPUTED_VALUE"""),59)</f>
        <v>59</v>
      </c>
      <c r="H65" s="1">
        <f ca="1">IFERROR(__xludf.DUMMYFUNCTION("""COMPUTED_VALUE"""),98.3)</f>
        <v>98.3</v>
      </c>
      <c r="I65" s="1">
        <f ca="1">IFERROR(__xludf.DUMMYFUNCTION("""COMPUTED_VALUE"""),91)</f>
        <v>91</v>
      </c>
      <c r="J65" s="1">
        <f ca="1">IFERROR(__xludf.DUMMYFUNCTION("""COMPUTED_VALUE"""),65.1)</f>
        <v>65.099999999999994</v>
      </c>
      <c r="K65" s="1">
        <f ca="1">IFERROR(__xludf.DUMMYFUNCTION("""COMPUTED_VALUE"""),252)</f>
        <v>252</v>
      </c>
      <c r="L65" s="1" t="str">
        <f ca="1">IFERROR(__xludf.DUMMYFUNCTION("""COMPUTED_VALUE"""),"+.024")</f>
        <v>+.024</v>
      </c>
      <c r="M65" s="1">
        <f ca="1">IFERROR(__xludf.DUMMYFUNCTION("""COMPUTED_VALUE"""),107)</f>
        <v>107</v>
      </c>
      <c r="N65" s="1" t="str">
        <f ca="1">IFERROR(__xludf.DUMMYFUNCTION("""COMPUTED_VALUE"""),"+7.33")</f>
        <v>+7.33</v>
      </c>
      <c r="O65" s="1">
        <f ca="1">IFERROR(__xludf.DUMMYFUNCTION("""COMPUTED_VALUE"""),50)</f>
        <v>50</v>
      </c>
      <c r="P65" s="1">
        <f ca="1">IFERROR(__xludf.DUMMYFUNCTION("""COMPUTED_VALUE"""),106.1)</f>
        <v>106.1</v>
      </c>
      <c r="Q65" s="1">
        <f ca="1">IFERROR(__xludf.DUMMYFUNCTION("""COMPUTED_VALUE"""),51)</f>
        <v>51</v>
      </c>
      <c r="R65" s="1">
        <f ca="1">IFERROR(__xludf.DUMMYFUNCTION("""COMPUTED_VALUE"""),98.7)</f>
        <v>98.7</v>
      </c>
      <c r="S65" s="1">
        <f ca="1">IFERROR(__xludf.DUMMYFUNCTION("""COMPUTED_VALUE"""),59)</f>
        <v>59</v>
      </c>
      <c r="T65" s="1" t="str">
        <f ca="1">IFERROR(__xludf.DUMMYFUNCTION("""COMPUTED_VALUE"""),"+1.27")</f>
        <v>+1.27</v>
      </c>
      <c r="U65" s="1">
        <f ca="1">IFERROR(__xludf.DUMMYFUNCTION("""COMPUTED_VALUE"""),126)</f>
        <v>126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IFERROR(__xludf.DUMMYFUNCTION("""COMPUTED_VALUE"""),"Illinois Chicago")</f>
        <v>Illinois Chicago</v>
      </c>
      <c r="C66" s="1" t="str">
        <f ca="1">IFERROR(__xludf.DUMMYFUNCTION("""COMPUTED_VALUE"""),"Horz")</f>
        <v>Horz</v>
      </c>
      <c r="D66" s="1" t="str">
        <f ca="1">IFERROR(__xludf.DUMMYFUNCTION("""COMPUTED_VALUE"""),"21-9")</f>
        <v>21-9</v>
      </c>
      <c r="E66" s="1" t="str">
        <f ca="1">IFERROR(__xludf.DUMMYFUNCTION("""COMPUTED_VALUE"""),"+10.64")</f>
        <v>+10.64</v>
      </c>
      <c r="F66" s="1">
        <f ca="1">IFERROR(__xludf.DUMMYFUNCTION("""COMPUTED_VALUE"""),110.5)</f>
        <v>110.5</v>
      </c>
      <c r="G66" s="1">
        <f ca="1">IFERROR(__xludf.DUMMYFUNCTION("""COMPUTED_VALUE"""),38)</f>
        <v>38</v>
      </c>
      <c r="H66" s="1">
        <f ca="1">IFERROR(__xludf.DUMMYFUNCTION("""COMPUTED_VALUE"""),99.9)</f>
        <v>99.9</v>
      </c>
      <c r="I66" s="1">
        <f ca="1">IFERROR(__xludf.DUMMYFUNCTION("""COMPUTED_VALUE"""),123)</f>
        <v>123</v>
      </c>
      <c r="J66" s="1">
        <f ca="1">IFERROR(__xludf.DUMMYFUNCTION("""COMPUTED_VALUE"""),68.4)</f>
        <v>68.400000000000006</v>
      </c>
      <c r="K66" s="1">
        <f ca="1">IFERROR(__xludf.DUMMYFUNCTION("""COMPUTED_VALUE"""),106)</f>
        <v>106</v>
      </c>
      <c r="L66" s="1" t="str">
        <f ca="1">IFERROR(__xludf.DUMMYFUNCTION("""COMPUTED_VALUE"""),"+.024")</f>
        <v>+.024</v>
      </c>
      <c r="M66" s="1">
        <f ca="1">IFERROR(__xludf.DUMMYFUNCTION("""COMPUTED_VALUE"""),105)</f>
        <v>105</v>
      </c>
      <c r="N66" s="1" t="str">
        <f ca="1">IFERROR(__xludf.DUMMYFUNCTION("""COMPUTED_VALUE"""),"+1.02")</f>
        <v>+1.02</v>
      </c>
      <c r="O66" s="1">
        <f ca="1">IFERROR(__xludf.DUMMYFUNCTION("""COMPUTED_VALUE"""),140)</f>
        <v>140</v>
      </c>
      <c r="P66" s="1">
        <f ca="1">IFERROR(__xludf.DUMMYFUNCTION("""COMPUTED_VALUE"""),103.5)</f>
        <v>103.5</v>
      </c>
      <c r="Q66" s="1">
        <f ca="1">IFERROR(__xludf.DUMMYFUNCTION("""COMPUTED_VALUE"""),125)</f>
        <v>125</v>
      </c>
      <c r="R66" s="1">
        <f ca="1">IFERROR(__xludf.DUMMYFUNCTION("""COMPUTED_VALUE"""),102.5)</f>
        <v>102.5</v>
      </c>
      <c r="S66" s="1">
        <f ca="1">IFERROR(__xludf.DUMMYFUNCTION("""COMPUTED_VALUE"""),159)</f>
        <v>159</v>
      </c>
      <c r="T66" s="1">
        <f ca="1">IFERROR(__xludf.DUMMYFUNCTION("""COMPUTED_VALUE"""),-0.93)</f>
        <v>-0.93</v>
      </c>
      <c r="U66" s="1">
        <f ca="1">IFERROR(__xludf.DUMMYFUNCTION("""COMPUTED_VALUE"""),175)</f>
        <v>175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IFERROR(__xludf.DUMMYFUNCTION("""COMPUTED_VALUE"""),"Detroit")</f>
        <v>Detroit</v>
      </c>
      <c r="C67" s="1" t="str">
        <f ca="1">IFERROR(__xludf.DUMMYFUNCTION("""COMPUTED_VALUE"""),"Horz")</f>
        <v>Horz</v>
      </c>
      <c r="D67" s="1" t="str">
        <f ca="1">IFERROR(__xludf.DUMMYFUNCTION("""COMPUTED_VALUE"""),"18-12")</f>
        <v>18-12</v>
      </c>
      <c r="E67" s="1" t="str">
        <f ca="1">IFERROR(__xludf.DUMMYFUNCTION("""COMPUTED_VALUE"""),"+10.60")</f>
        <v>+10.60</v>
      </c>
      <c r="F67" s="1">
        <f ca="1">IFERROR(__xludf.DUMMYFUNCTION("""COMPUTED_VALUE"""),109.6)</f>
        <v>109.6</v>
      </c>
      <c r="G67" s="1">
        <f ca="1">IFERROR(__xludf.DUMMYFUNCTION("""COMPUTED_VALUE"""),48)</f>
        <v>48</v>
      </c>
      <c r="H67" s="1">
        <f ca="1">IFERROR(__xludf.DUMMYFUNCTION("""COMPUTED_VALUE"""),99)</f>
        <v>99</v>
      </c>
      <c r="I67" s="1">
        <f ca="1">IFERROR(__xludf.DUMMYFUNCTION("""COMPUTED_VALUE"""),105)</f>
        <v>105</v>
      </c>
      <c r="J67" s="1">
        <f ca="1">IFERROR(__xludf.DUMMYFUNCTION("""COMPUTED_VALUE"""),64.4)</f>
        <v>64.400000000000006</v>
      </c>
      <c r="K67" s="1">
        <f ca="1">IFERROR(__xludf.DUMMYFUNCTION("""COMPUTED_VALUE"""),272)</f>
        <v>272</v>
      </c>
      <c r="L67" s="1">
        <f ca="1">IFERROR(__xludf.DUMMYFUNCTION("""COMPUTED_VALUE"""),-0.089)</f>
        <v>-8.8999999999999996E-2</v>
      </c>
      <c r="M67" s="1">
        <f ca="1">IFERROR(__xludf.DUMMYFUNCTION("""COMPUTED_VALUE"""),309)</f>
        <v>309</v>
      </c>
      <c r="N67" s="1" t="str">
        <f ca="1">IFERROR(__xludf.DUMMYFUNCTION("""COMPUTED_VALUE"""),"+1.19")</f>
        <v>+1.19</v>
      </c>
      <c r="O67" s="1">
        <f ca="1">IFERROR(__xludf.DUMMYFUNCTION("""COMPUTED_VALUE"""),134)</f>
        <v>134</v>
      </c>
      <c r="P67" s="1">
        <f ca="1">IFERROR(__xludf.DUMMYFUNCTION("""COMPUTED_VALUE"""),103.8)</f>
        <v>103.8</v>
      </c>
      <c r="Q67" s="1">
        <f ca="1">IFERROR(__xludf.DUMMYFUNCTION("""COMPUTED_VALUE"""),121)</f>
        <v>121</v>
      </c>
      <c r="R67" s="1">
        <f ca="1">IFERROR(__xludf.DUMMYFUNCTION("""COMPUTED_VALUE"""),102.6)</f>
        <v>102.6</v>
      </c>
      <c r="S67" s="1">
        <f ca="1">IFERROR(__xludf.DUMMYFUNCTION("""COMPUTED_VALUE"""),162)</f>
        <v>162</v>
      </c>
      <c r="T67" s="1" t="str">
        <f ca="1">IFERROR(__xludf.DUMMYFUNCTION("""COMPUTED_VALUE"""),"+0.83")</f>
        <v>+0.83</v>
      </c>
      <c r="U67" s="1">
        <f ca="1">IFERROR(__xludf.DUMMYFUNCTION("""COMPUTED_VALUE"""),134)</f>
        <v>134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IFERROR(__xludf.DUMMYFUNCTION("""COMPUTED_VALUE"""),"Iowa St.")</f>
        <v>Iowa St.</v>
      </c>
      <c r="C68" s="1" t="str">
        <f ca="1">IFERROR(__xludf.DUMMYFUNCTION("""COMPUTED_VALUE"""),"B12")</f>
        <v>B12</v>
      </c>
      <c r="D68" s="1" t="str">
        <f ca="1">IFERROR(__xludf.DUMMYFUNCTION("""COMPUTED_VALUE"""),"16-14")</f>
        <v>16-14</v>
      </c>
      <c r="E68" s="1" t="str">
        <f ca="1">IFERROR(__xludf.DUMMYFUNCTION("""COMPUTED_VALUE"""),"+10.59")</f>
        <v>+10.59</v>
      </c>
      <c r="F68" s="1">
        <f ca="1">IFERROR(__xludf.DUMMYFUNCTION("""COMPUTED_VALUE"""),106.3)</f>
        <v>106.3</v>
      </c>
      <c r="G68" s="1">
        <f ca="1">IFERROR(__xludf.DUMMYFUNCTION("""COMPUTED_VALUE"""),98)</f>
        <v>98</v>
      </c>
      <c r="H68" s="1">
        <f ca="1">IFERROR(__xludf.DUMMYFUNCTION("""COMPUTED_VALUE"""),95.7)</f>
        <v>95.7</v>
      </c>
      <c r="I68" s="1">
        <f ca="1">IFERROR(__xludf.DUMMYFUNCTION("""COMPUTED_VALUE"""),53)</f>
        <v>53</v>
      </c>
      <c r="J68" s="1">
        <f ca="1">IFERROR(__xludf.DUMMYFUNCTION("""COMPUTED_VALUE"""),66.3)</f>
        <v>66.3</v>
      </c>
      <c r="K68" s="1">
        <f ca="1">IFERROR(__xludf.DUMMYFUNCTION("""COMPUTED_VALUE"""),192)</f>
        <v>192</v>
      </c>
      <c r="L68" s="1">
        <f ca="1">IFERROR(__xludf.DUMMYFUNCTION("""COMPUTED_VALUE"""),-0.045)</f>
        <v>-4.4999999999999998E-2</v>
      </c>
      <c r="M68" s="1">
        <f ca="1">IFERROR(__xludf.DUMMYFUNCTION("""COMPUTED_VALUE"""),276)</f>
        <v>276</v>
      </c>
      <c r="N68" s="1" t="str">
        <f ca="1">IFERROR(__xludf.DUMMYFUNCTION("""COMPUTED_VALUE"""),"+6.18")</f>
        <v>+6.18</v>
      </c>
      <c r="O68" s="1">
        <f ca="1">IFERROR(__xludf.DUMMYFUNCTION("""COMPUTED_VALUE"""),69)</f>
        <v>69</v>
      </c>
      <c r="P68" s="1">
        <f ca="1">IFERROR(__xludf.DUMMYFUNCTION("""COMPUTED_VALUE"""),104.5)</f>
        <v>104.5</v>
      </c>
      <c r="Q68" s="1">
        <f ca="1">IFERROR(__xludf.DUMMYFUNCTION("""COMPUTED_VALUE"""),98)</f>
        <v>98</v>
      </c>
      <c r="R68" s="1">
        <f ca="1">IFERROR(__xludf.DUMMYFUNCTION("""COMPUTED_VALUE"""),98.3)</f>
        <v>98.3</v>
      </c>
      <c r="S68" s="1">
        <f ca="1">IFERROR(__xludf.DUMMYFUNCTION("""COMPUTED_VALUE"""),46)</f>
        <v>46</v>
      </c>
      <c r="T68" s="1">
        <f ca="1">IFERROR(__xludf.DUMMYFUNCTION("""COMPUTED_VALUE"""),-11.54)</f>
        <v>-11.54</v>
      </c>
      <c r="U68" s="1">
        <f ca="1">IFERROR(__xludf.DUMMYFUNCTION("""COMPUTED_VALUE"""),320)</f>
        <v>320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IFERROR(__xludf.DUMMYFUNCTION("""COMPUTED_VALUE"""),"Louisiana Lafayette")</f>
        <v>Louisiana Lafayette</v>
      </c>
      <c r="C69" s="1" t="str">
        <f ca="1">IFERROR(__xludf.DUMMYFUNCTION("""COMPUTED_VALUE"""),"SB")</f>
        <v>SB</v>
      </c>
      <c r="D69" s="1" t="str">
        <f ca="1">IFERROR(__xludf.DUMMYFUNCTION("""COMPUTED_VALUE"""),"19-10")</f>
        <v>19-10</v>
      </c>
      <c r="E69" s="1" t="str">
        <f ca="1">IFERROR(__xludf.DUMMYFUNCTION("""COMPUTED_VALUE"""),"+10.52")</f>
        <v>+10.52</v>
      </c>
      <c r="F69" s="1">
        <f ca="1">IFERROR(__xludf.DUMMYFUNCTION("""COMPUTED_VALUE"""),107.9)</f>
        <v>107.9</v>
      </c>
      <c r="G69" s="1">
        <f ca="1">IFERROR(__xludf.DUMMYFUNCTION("""COMPUTED_VALUE"""),71)</f>
        <v>71</v>
      </c>
      <c r="H69" s="1">
        <f ca="1">IFERROR(__xludf.DUMMYFUNCTION("""COMPUTED_VALUE"""),97.4)</f>
        <v>97.4</v>
      </c>
      <c r="I69" s="1">
        <f ca="1">IFERROR(__xludf.DUMMYFUNCTION("""COMPUTED_VALUE"""),76)</f>
        <v>76</v>
      </c>
      <c r="J69" s="1">
        <f ca="1">IFERROR(__xludf.DUMMYFUNCTION("""COMPUTED_VALUE"""),69.8)</f>
        <v>69.8</v>
      </c>
      <c r="K69" s="1">
        <f ca="1">IFERROR(__xludf.DUMMYFUNCTION("""COMPUTED_VALUE"""),60)</f>
        <v>60</v>
      </c>
      <c r="L69" s="1">
        <f ca="1">IFERROR(__xludf.DUMMYFUNCTION("""COMPUTED_VALUE"""),-0.014)</f>
        <v>-1.4E-2</v>
      </c>
      <c r="M69" s="1">
        <f ca="1">IFERROR(__xludf.DUMMYFUNCTION("""COMPUTED_VALUE"""),202)</f>
        <v>202</v>
      </c>
      <c r="N69" s="1" t="str">
        <f ca="1">IFERROR(__xludf.DUMMYFUNCTION("""COMPUTED_VALUE"""),"+2.76")</f>
        <v>+2.76</v>
      </c>
      <c r="O69" s="1">
        <f ca="1">IFERROR(__xludf.DUMMYFUNCTION("""COMPUTED_VALUE"""),112)</f>
        <v>112</v>
      </c>
      <c r="P69" s="1">
        <f ca="1">IFERROR(__xludf.DUMMYFUNCTION("""COMPUTED_VALUE"""),103.4)</f>
        <v>103.4</v>
      </c>
      <c r="Q69" s="1">
        <f ca="1">IFERROR(__xludf.DUMMYFUNCTION("""COMPUTED_VALUE"""),134)</f>
        <v>134</v>
      </c>
      <c r="R69" s="1">
        <f ca="1">IFERROR(__xludf.DUMMYFUNCTION("""COMPUTED_VALUE"""),100.6)</f>
        <v>100.6</v>
      </c>
      <c r="S69" s="1">
        <f ca="1">IFERROR(__xludf.DUMMYFUNCTION("""COMPUTED_VALUE"""),97)</f>
        <v>97</v>
      </c>
      <c r="T69" s="1" t="str">
        <f ca="1">IFERROR(__xludf.DUMMYFUNCTION("""COMPUTED_VALUE"""),"+5.64")</f>
        <v>+5.64</v>
      </c>
      <c r="U69" s="1">
        <f ca="1">IFERROR(__xludf.DUMMYFUNCTION("""COMPUTED_VALUE"""),46)</f>
        <v>46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IFERROR(__xludf.DUMMYFUNCTION("""COMPUTED_VALUE"""),"Holy Cross14")</f>
        <v>Holy Cross14</v>
      </c>
      <c r="C70" s="1" t="str">
        <f ca="1">IFERROR(__xludf.DUMMYFUNCTION("""COMPUTED_VALUE"""),"Pat")</f>
        <v>Pat</v>
      </c>
      <c r="D70" s="1" t="str">
        <f ca="1">IFERROR(__xludf.DUMMYFUNCTION("""COMPUTED_VALUE"""),"25-5")</f>
        <v>25-5</v>
      </c>
      <c r="E70" s="1" t="str">
        <f ca="1">IFERROR(__xludf.DUMMYFUNCTION("""COMPUTED_VALUE"""),"+10.40")</f>
        <v>+10.40</v>
      </c>
      <c r="F70" s="1">
        <f ca="1">IFERROR(__xludf.DUMMYFUNCTION("""COMPUTED_VALUE"""),105.5)</f>
        <v>105.5</v>
      </c>
      <c r="G70" s="1">
        <f ca="1">IFERROR(__xludf.DUMMYFUNCTION("""COMPUTED_VALUE"""),107)</f>
        <v>107</v>
      </c>
      <c r="H70" s="1">
        <f ca="1">IFERROR(__xludf.DUMMYFUNCTION("""COMPUTED_VALUE"""),95.1)</f>
        <v>95.1</v>
      </c>
      <c r="I70" s="1">
        <f ca="1">IFERROR(__xludf.DUMMYFUNCTION("""COMPUTED_VALUE"""),45)</f>
        <v>45</v>
      </c>
      <c r="J70" s="1">
        <f ca="1">IFERROR(__xludf.DUMMYFUNCTION("""COMPUTED_VALUE"""),65.1)</f>
        <v>65.099999999999994</v>
      </c>
      <c r="K70" s="1">
        <f ca="1">IFERROR(__xludf.DUMMYFUNCTION("""COMPUTED_VALUE"""),250)</f>
        <v>250</v>
      </c>
      <c r="L70" s="1" t="str">
        <f ca="1">IFERROR(__xludf.DUMMYFUNCTION("""COMPUTED_VALUE"""),"+.065")</f>
        <v>+.065</v>
      </c>
      <c r="M70" s="1">
        <f ca="1">IFERROR(__xludf.DUMMYFUNCTION("""COMPUTED_VALUE"""),37)</f>
        <v>37</v>
      </c>
      <c r="N70" s="1">
        <f ca="1">IFERROR(__xludf.DUMMYFUNCTION("""COMPUTED_VALUE"""),-5.57)</f>
        <v>-5.57</v>
      </c>
      <c r="O70" s="1">
        <f ca="1">IFERROR(__xludf.DUMMYFUNCTION("""COMPUTED_VALUE"""),260)</f>
        <v>260</v>
      </c>
      <c r="P70" s="1">
        <f ca="1">IFERROR(__xludf.DUMMYFUNCTION("""COMPUTED_VALUE"""),99)</f>
        <v>99</v>
      </c>
      <c r="Q70" s="1">
        <f ca="1">IFERROR(__xludf.DUMMYFUNCTION("""COMPUTED_VALUE"""),258)</f>
        <v>258</v>
      </c>
      <c r="R70" s="1">
        <f ca="1">IFERROR(__xludf.DUMMYFUNCTION("""COMPUTED_VALUE"""),104.5)</f>
        <v>104.5</v>
      </c>
      <c r="S70" s="1">
        <f ca="1">IFERROR(__xludf.DUMMYFUNCTION("""COMPUTED_VALUE"""),252)</f>
        <v>252</v>
      </c>
      <c r="T70" s="1">
        <f ca="1">IFERROR(__xludf.DUMMYFUNCTION("""COMPUTED_VALUE"""),-0.64)</f>
        <v>-0.64</v>
      </c>
      <c r="U70" s="1">
        <f ca="1">IFERROR(__xludf.DUMMYFUNCTION("""COMPUTED_VALUE"""),170)</f>
        <v>170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IFERROR(__xludf.DUMMYFUNCTION("""COMPUTED_VALUE"""),"St. John's")</f>
        <v>St. John's</v>
      </c>
      <c r="C71" s="1" t="str">
        <f ca="1">IFERROR(__xludf.DUMMYFUNCTION("""COMPUTED_VALUE"""),"BE")</f>
        <v>BE</v>
      </c>
      <c r="D71" s="1" t="str">
        <f ca="1">IFERROR(__xludf.DUMMYFUNCTION("""COMPUTED_VALUE"""),"21-13")</f>
        <v>21-13</v>
      </c>
      <c r="E71" s="1" t="str">
        <f ca="1">IFERROR(__xludf.DUMMYFUNCTION("""COMPUTED_VALUE"""),"+10.06")</f>
        <v>+10.06</v>
      </c>
      <c r="F71" s="1">
        <f ca="1">IFERROR(__xludf.DUMMYFUNCTION("""COMPUTED_VALUE"""),105.4)</f>
        <v>105.4</v>
      </c>
      <c r="G71" s="1">
        <f ca="1">IFERROR(__xludf.DUMMYFUNCTION("""COMPUTED_VALUE"""),109)</f>
        <v>109</v>
      </c>
      <c r="H71" s="1">
        <f ca="1">IFERROR(__xludf.DUMMYFUNCTION("""COMPUTED_VALUE"""),95.3)</f>
        <v>95.3</v>
      </c>
      <c r="I71" s="1">
        <f ca="1">IFERROR(__xludf.DUMMYFUNCTION("""COMPUTED_VALUE"""),50)</f>
        <v>50</v>
      </c>
      <c r="J71" s="1">
        <f ca="1">IFERROR(__xludf.DUMMYFUNCTION("""COMPUTED_VALUE"""),67)</f>
        <v>67</v>
      </c>
      <c r="K71" s="1">
        <f ca="1">IFERROR(__xludf.DUMMYFUNCTION("""COMPUTED_VALUE"""),165)</f>
        <v>165</v>
      </c>
      <c r="L71" s="1" t="str">
        <f ca="1">IFERROR(__xludf.DUMMYFUNCTION("""COMPUTED_VALUE"""),"+.035")</f>
        <v>+.035</v>
      </c>
      <c r="M71" s="1">
        <f ca="1">IFERROR(__xludf.DUMMYFUNCTION("""COMPUTED_VALUE"""),77)</f>
        <v>77</v>
      </c>
      <c r="N71" s="1" t="str">
        <f ca="1">IFERROR(__xludf.DUMMYFUNCTION("""COMPUTED_VALUE"""),"+6.76")</f>
        <v>+6.76</v>
      </c>
      <c r="O71" s="1">
        <f ca="1">IFERROR(__xludf.DUMMYFUNCTION("""COMPUTED_VALUE"""),62)</f>
        <v>62</v>
      </c>
      <c r="P71" s="1">
        <f ca="1">IFERROR(__xludf.DUMMYFUNCTION("""COMPUTED_VALUE"""),106.2)</f>
        <v>106.2</v>
      </c>
      <c r="Q71" s="1">
        <f ca="1">IFERROR(__xludf.DUMMYFUNCTION("""COMPUTED_VALUE"""),45)</f>
        <v>45</v>
      </c>
      <c r="R71" s="1">
        <f ca="1">IFERROR(__xludf.DUMMYFUNCTION("""COMPUTED_VALUE"""),99.5)</f>
        <v>99.5</v>
      </c>
      <c r="S71" s="1">
        <f ca="1">IFERROR(__xludf.DUMMYFUNCTION("""COMPUTED_VALUE"""),74)</f>
        <v>74</v>
      </c>
      <c r="T71" s="1">
        <f ca="1">IFERROR(__xludf.DUMMYFUNCTION("""COMPUTED_VALUE"""),-0.51)</f>
        <v>-0.51</v>
      </c>
      <c r="U71" s="1">
        <f ca="1">IFERROR(__xludf.DUMMYFUNCTION("""COMPUTED_VALUE"""),163)</f>
        <v>163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IFERROR(__xludf.DUMMYFUNCTION("""COMPUTED_VALUE"""),"Manhattan14")</f>
        <v>Manhattan14</v>
      </c>
      <c r="C72" s="1" t="str">
        <f ca="1">IFERROR(__xludf.DUMMYFUNCTION("""COMPUTED_VALUE"""),"MAAC")</f>
        <v>MAAC</v>
      </c>
      <c r="D72" s="1" t="str">
        <f ca="1">IFERROR(__xludf.DUMMYFUNCTION("""COMPUTED_VALUE"""),"23-7")</f>
        <v>23-7</v>
      </c>
      <c r="E72" s="1" t="str">
        <f ca="1">IFERROR(__xludf.DUMMYFUNCTION("""COMPUTED_VALUE"""),"+10.04")</f>
        <v>+10.04</v>
      </c>
      <c r="F72" s="1">
        <f ca="1">IFERROR(__xludf.DUMMYFUNCTION("""COMPUTED_VALUE"""),105.5)</f>
        <v>105.5</v>
      </c>
      <c r="G72" s="1">
        <f ca="1">IFERROR(__xludf.DUMMYFUNCTION("""COMPUTED_VALUE"""),106)</f>
        <v>106</v>
      </c>
      <c r="H72" s="1">
        <f ca="1">IFERROR(__xludf.DUMMYFUNCTION("""COMPUTED_VALUE"""),95.4)</f>
        <v>95.4</v>
      </c>
      <c r="I72" s="1">
        <f ca="1">IFERROR(__xludf.DUMMYFUNCTION("""COMPUTED_VALUE"""),52)</f>
        <v>52</v>
      </c>
      <c r="J72" s="1">
        <f ca="1">IFERROR(__xludf.DUMMYFUNCTION("""COMPUTED_VALUE"""),68.1)</f>
        <v>68.099999999999994</v>
      </c>
      <c r="K72" s="1">
        <f ca="1">IFERROR(__xludf.DUMMYFUNCTION("""COMPUTED_VALUE"""),117)</f>
        <v>117</v>
      </c>
      <c r="L72" s="1" t="str">
        <f ca="1">IFERROR(__xludf.DUMMYFUNCTION("""COMPUTED_VALUE"""),"+.014")</f>
        <v>+.014</v>
      </c>
      <c r="M72" s="1">
        <f ca="1">IFERROR(__xludf.DUMMYFUNCTION("""COMPUTED_VALUE"""),125)</f>
        <v>125</v>
      </c>
      <c r="N72" s="1">
        <f ca="1">IFERROR(__xludf.DUMMYFUNCTION("""COMPUTED_VALUE"""),-1.71)</f>
        <v>-1.71</v>
      </c>
      <c r="O72" s="1">
        <f ca="1">IFERROR(__xludf.DUMMYFUNCTION("""COMPUTED_VALUE"""),184)</f>
        <v>184</v>
      </c>
      <c r="P72" s="1">
        <f ca="1">IFERROR(__xludf.DUMMYFUNCTION("""COMPUTED_VALUE"""),101.7)</f>
        <v>101.7</v>
      </c>
      <c r="Q72" s="1">
        <f ca="1">IFERROR(__xludf.DUMMYFUNCTION("""COMPUTED_VALUE"""),182)</f>
        <v>182</v>
      </c>
      <c r="R72" s="1">
        <f ca="1">IFERROR(__xludf.DUMMYFUNCTION("""COMPUTED_VALUE"""),103.4)</f>
        <v>103.4</v>
      </c>
      <c r="S72" s="1">
        <f ca="1">IFERROR(__xludf.DUMMYFUNCTION("""COMPUTED_VALUE"""),202)</f>
        <v>202</v>
      </c>
      <c r="T72" s="1" t="str">
        <f ca="1">IFERROR(__xludf.DUMMYFUNCTION("""COMPUTED_VALUE"""),"+2.52")</f>
        <v>+2.52</v>
      </c>
      <c r="U72" s="1">
        <f ca="1">IFERROR(__xludf.DUMMYFUNCTION("""COMPUTED_VALUE"""),94)</f>
        <v>94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IFERROR(__xludf.DUMMYFUNCTION("""COMPUTED_VALUE"""),"DePaul")</f>
        <v>DePaul</v>
      </c>
      <c r="C73" s="1" t="str">
        <f ca="1">IFERROR(__xludf.DUMMYFUNCTION("""COMPUTED_VALUE"""),"CUSA")</f>
        <v>CUSA</v>
      </c>
      <c r="D73" s="1" t="str">
        <f ca="1">IFERROR(__xludf.DUMMYFUNCTION("""COMPUTED_VALUE"""),"16-13")</f>
        <v>16-13</v>
      </c>
      <c r="E73" s="1" t="str">
        <f ca="1">IFERROR(__xludf.DUMMYFUNCTION("""COMPUTED_VALUE"""),"+10.04")</f>
        <v>+10.04</v>
      </c>
      <c r="F73" s="1">
        <f ca="1">IFERROR(__xludf.DUMMYFUNCTION("""COMPUTED_VALUE"""),105.1)</f>
        <v>105.1</v>
      </c>
      <c r="G73" s="1">
        <f ca="1">IFERROR(__xludf.DUMMYFUNCTION("""COMPUTED_VALUE"""),115)</f>
        <v>115</v>
      </c>
      <c r="H73" s="1">
        <f ca="1">IFERROR(__xludf.DUMMYFUNCTION("""COMPUTED_VALUE"""),95.1)</f>
        <v>95.1</v>
      </c>
      <c r="I73" s="1">
        <f ca="1">IFERROR(__xludf.DUMMYFUNCTION("""COMPUTED_VALUE"""),47)</f>
        <v>47</v>
      </c>
      <c r="J73" s="1">
        <f ca="1">IFERROR(__xludf.DUMMYFUNCTION("""COMPUTED_VALUE"""),65.8)</f>
        <v>65.8</v>
      </c>
      <c r="K73" s="1">
        <f ca="1">IFERROR(__xludf.DUMMYFUNCTION("""COMPUTED_VALUE"""),214)</f>
        <v>214</v>
      </c>
      <c r="L73" s="1">
        <f ca="1">IFERROR(__xludf.DUMMYFUNCTION("""COMPUTED_VALUE"""),-0.006)</f>
        <v>-6.0000000000000001E-3</v>
      </c>
      <c r="M73" s="1">
        <f ca="1">IFERROR(__xludf.DUMMYFUNCTION("""COMPUTED_VALUE"""),178)</f>
        <v>178</v>
      </c>
      <c r="N73" s="1" t="str">
        <f ca="1">IFERROR(__xludf.DUMMYFUNCTION("""COMPUTED_VALUE"""),"+6.47")</f>
        <v>+6.47</v>
      </c>
      <c r="O73" s="1">
        <f ca="1">IFERROR(__xludf.DUMMYFUNCTION("""COMPUTED_VALUE"""),63)</f>
        <v>63</v>
      </c>
      <c r="P73" s="1">
        <f ca="1">IFERROR(__xludf.DUMMYFUNCTION("""COMPUTED_VALUE"""),105.1)</f>
        <v>105.1</v>
      </c>
      <c r="Q73" s="1">
        <f ca="1">IFERROR(__xludf.DUMMYFUNCTION("""COMPUTED_VALUE"""),71)</f>
        <v>71</v>
      </c>
      <c r="R73" s="1">
        <f ca="1">IFERROR(__xludf.DUMMYFUNCTION("""COMPUTED_VALUE"""),98.6)</f>
        <v>98.6</v>
      </c>
      <c r="S73" s="1">
        <f ca="1">IFERROR(__xludf.DUMMYFUNCTION("""COMPUTED_VALUE"""),58)</f>
        <v>58</v>
      </c>
      <c r="T73" s="1" t="str">
        <f ca="1">IFERROR(__xludf.DUMMYFUNCTION("""COMPUTED_VALUE"""),"+1.87")</f>
        <v>+1.87</v>
      </c>
      <c r="U73" s="1">
        <f ca="1">IFERROR(__xludf.DUMMYFUNCTION("""COMPUTED_VALUE"""),110)</f>
        <v>110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IFERROR(__xludf.DUMMYFUNCTION("""COMPUTED_VALUE"""),"Central Michigan11")</f>
        <v>Central Michigan11</v>
      </c>
      <c r="C74" s="1" t="str">
        <f ca="1">IFERROR(__xludf.DUMMYFUNCTION("""COMPUTED_VALUE"""),"MAC")</f>
        <v>MAC</v>
      </c>
      <c r="D74" s="1" t="str">
        <f ca="1">IFERROR(__xludf.DUMMYFUNCTION("""COMPUTED_VALUE"""),"25-7")</f>
        <v>25-7</v>
      </c>
      <c r="E74" s="1" t="str">
        <f ca="1">IFERROR(__xludf.DUMMYFUNCTION("""COMPUTED_VALUE"""),"+10.01")</f>
        <v>+10.01</v>
      </c>
      <c r="F74" s="1">
        <f ca="1">IFERROR(__xludf.DUMMYFUNCTION("""COMPUTED_VALUE"""),109.5)</f>
        <v>109.5</v>
      </c>
      <c r="G74" s="1">
        <f ca="1">IFERROR(__xludf.DUMMYFUNCTION("""COMPUTED_VALUE"""),51)</f>
        <v>51</v>
      </c>
      <c r="H74" s="1">
        <f ca="1">IFERROR(__xludf.DUMMYFUNCTION("""COMPUTED_VALUE"""),99.4)</f>
        <v>99.4</v>
      </c>
      <c r="I74" s="1">
        <f ca="1">IFERROR(__xludf.DUMMYFUNCTION("""COMPUTED_VALUE"""),113)</f>
        <v>113</v>
      </c>
      <c r="J74" s="1">
        <f ca="1">IFERROR(__xludf.DUMMYFUNCTION("""COMPUTED_VALUE"""),71.7)</f>
        <v>71.7</v>
      </c>
      <c r="K74" s="1">
        <f ca="1">IFERROR(__xludf.DUMMYFUNCTION("""COMPUTED_VALUE"""),20)</f>
        <v>20</v>
      </c>
      <c r="L74" s="1" t="str">
        <f ca="1">IFERROR(__xludf.DUMMYFUNCTION("""COMPUTED_VALUE"""),"+.137")</f>
        <v>+.137</v>
      </c>
      <c r="M74" s="1">
        <f ca="1">IFERROR(__xludf.DUMMYFUNCTION("""COMPUTED_VALUE"""),3)</f>
        <v>3</v>
      </c>
      <c r="N74" s="1" t="str">
        <f ca="1">IFERROR(__xludf.DUMMYFUNCTION("""COMPUTED_VALUE"""),"+2.06")</f>
        <v>+2.06</v>
      </c>
      <c r="O74" s="1">
        <f ca="1">IFERROR(__xludf.DUMMYFUNCTION("""COMPUTED_VALUE"""),122)</f>
        <v>122</v>
      </c>
      <c r="P74" s="1">
        <f ca="1">IFERROR(__xludf.DUMMYFUNCTION("""COMPUTED_VALUE"""),104.3)</f>
        <v>104.3</v>
      </c>
      <c r="Q74" s="1">
        <f ca="1">IFERROR(__xludf.DUMMYFUNCTION("""COMPUTED_VALUE"""),102)</f>
        <v>102</v>
      </c>
      <c r="R74" s="1">
        <f ca="1">IFERROR(__xludf.DUMMYFUNCTION("""COMPUTED_VALUE"""),102.3)</f>
        <v>102.3</v>
      </c>
      <c r="S74" s="1">
        <f ca="1">IFERROR(__xludf.DUMMYFUNCTION("""COMPUTED_VALUE"""),152)</f>
        <v>152</v>
      </c>
      <c r="T74" s="1" t="str">
        <f ca="1">IFERROR(__xludf.DUMMYFUNCTION("""COMPUTED_VALUE"""),"+2.86")</f>
        <v>+2.86</v>
      </c>
      <c r="U74" s="1">
        <f ca="1">IFERROR(__xludf.DUMMYFUNCTION("""COMPUTED_VALUE"""),89)</f>
        <v>89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IFERROR(__xludf.DUMMYFUNCTION("""COMPUTED_VALUE"""),"UNLV")</f>
        <v>UNLV</v>
      </c>
      <c r="C75" s="1" t="str">
        <f ca="1">IFERROR(__xludf.DUMMYFUNCTION("""COMPUTED_VALUE"""),"MWC")</f>
        <v>MWC</v>
      </c>
      <c r="D75" s="1" t="str">
        <f ca="1">IFERROR(__xludf.DUMMYFUNCTION("""COMPUTED_VALUE"""),"21-11")</f>
        <v>21-11</v>
      </c>
      <c r="E75" s="1" t="str">
        <f ca="1">IFERROR(__xludf.DUMMYFUNCTION("""COMPUTED_VALUE"""),"+9.84")</f>
        <v>+9.84</v>
      </c>
      <c r="F75" s="1">
        <f ca="1">IFERROR(__xludf.DUMMYFUNCTION("""COMPUTED_VALUE"""),108.1)</f>
        <v>108.1</v>
      </c>
      <c r="G75" s="1">
        <f ca="1">IFERROR(__xludf.DUMMYFUNCTION("""COMPUTED_VALUE"""),63)</f>
        <v>63</v>
      </c>
      <c r="H75" s="1">
        <f ca="1">IFERROR(__xludf.DUMMYFUNCTION("""COMPUTED_VALUE"""),98.2)</f>
        <v>98.2</v>
      </c>
      <c r="I75" s="1">
        <f ca="1">IFERROR(__xludf.DUMMYFUNCTION("""COMPUTED_VALUE"""),90)</f>
        <v>90</v>
      </c>
      <c r="J75" s="1">
        <f ca="1">IFERROR(__xludf.DUMMYFUNCTION("""COMPUTED_VALUE"""),70.3)</f>
        <v>70.3</v>
      </c>
      <c r="K75" s="1">
        <f ca="1">IFERROR(__xludf.DUMMYFUNCTION("""COMPUTED_VALUE"""),49)</f>
        <v>49</v>
      </c>
      <c r="L75" s="1" t="str">
        <f ca="1">IFERROR(__xludf.DUMMYFUNCTION("""COMPUTED_VALUE"""),"+.022")</f>
        <v>+.022</v>
      </c>
      <c r="M75" s="1">
        <f ca="1">IFERROR(__xludf.DUMMYFUNCTION("""COMPUTED_VALUE"""),112)</f>
        <v>112</v>
      </c>
      <c r="N75" s="1" t="str">
        <f ca="1">IFERROR(__xludf.DUMMYFUNCTION("""COMPUTED_VALUE"""),"+3.16")</f>
        <v>+3.16</v>
      </c>
      <c r="O75" s="1">
        <f ca="1">IFERROR(__xludf.DUMMYFUNCTION("""COMPUTED_VALUE"""),105)</f>
        <v>105</v>
      </c>
      <c r="P75" s="1">
        <f ca="1">IFERROR(__xludf.DUMMYFUNCTION("""COMPUTED_VALUE"""),104.6)</f>
        <v>104.6</v>
      </c>
      <c r="Q75" s="1">
        <f ca="1">IFERROR(__xludf.DUMMYFUNCTION("""COMPUTED_VALUE"""),88)</f>
        <v>88</v>
      </c>
      <c r="R75" s="1">
        <f ca="1">IFERROR(__xludf.DUMMYFUNCTION("""COMPUTED_VALUE"""),101.4)</f>
        <v>101.4</v>
      </c>
      <c r="S75" s="1">
        <f ca="1">IFERROR(__xludf.DUMMYFUNCTION("""COMPUTED_VALUE"""),114)</f>
        <v>114</v>
      </c>
      <c r="T75" s="1" t="str">
        <f ca="1">IFERROR(__xludf.DUMMYFUNCTION("""COMPUTED_VALUE"""),"+0.20")</f>
        <v>+0.20</v>
      </c>
      <c r="U75" s="1">
        <f ca="1">IFERROR(__xludf.DUMMYFUNCTION("""COMPUTED_VALUE"""),152)</f>
        <v>152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IFERROR(__xludf.DUMMYFUNCTION("""COMPUTED_VALUE"""),"Minnesota")</f>
        <v>Minnesota</v>
      </c>
      <c r="C76" s="1" t="str">
        <f ca="1">IFERROR(__xludf.DUMMYFUNCTION("""COMPUTED_VALUE"""),"B10")</f>
        <v>B10</v>
      </c>
      <c r="D76" s="1" t="str">
        <f ca="1">IFERROR(__xludf.DUMMYFUNCTION("""COMPUTED_VALUE"""),"19-14")</f>
        <v>19-14</v>
      </c>
      <c r="E76" s="1" t="str">
        <f ca="1">IFERROR(__xludf.DUMMYFUNCTION("""COMPUTED_VALUE"""),"+9.68")</f>
        <v>+9.68</v>
      </c>
      <c r="F76" s="1">
        <f ca="1">IFERROR(__xludf.DUMMYFUNCTION("""COMPUTED_VALUE"""),107.4)</f>
        <v>107.4</v>
      </c>
      <c r="G76" s="1">
        <f ca="1">IFERROR(__xludf.DUMMYFUNCTION("""COMPUTED_VALUE"""),80)</f>
        <v>80</v>
      </c>
      <c r="H76" s="1">
        <f ca="1">IFERROR(__xludf.DUMMYFUNCTION("""COMPUTED_VALUE"""),97.7)</f>
        <v>97.7</v>
      </c>
      <c r="I76" s="1">
        <f ca="1">IFERROR(__xludf.DUMMYFUNCTION("""COMPUTED_VALUE"""),83)</f>
        <v>83</v>
      </c>
      <c r="J76" s="1">
        <f ca="1">IFERROR(__xludf.DUMMYFUNCTION("""COMPUTED_VALUE"""),70.7)</f>
        <v>70.7</v>
      </c>
      <c r="K76" s="1">
        <f ca="1">IFERROR(__xludf.DUMMYFUNCTION("""COMPUTED_VALUE"""),39)</f>
        <v>39</v>
      </c>
      <c r="L76" s="1" t="str">
        <f ca="1">IFERROR(__xludf.DUMMYFUNCTION("""COMPUTED_VALUE"""),"+.018")</f>
        <v>+.018</v>
      </c>
      <c r="M76" s="1">
        <f ca="1">IFERROR(__xludf.DUMMYFUNCTION("""COMPUTED_VALUE"""),121)</f>
        <v>121</v>
      </c>
      <c r="N76" s="1" t="str">
        <f ca="1">IFERROR(__xludf.DUMMYFUNCTION("""COMPUTED_VALUE"""),"+7.04")</f>
        <v>+7.04</v>
      </c>
      <c r="O76" s="1">
        <f ca="1">IFERROR(__xludf.DUMMYFUNCTION("""COMPUTED_VALUE"""),58)</f>
        <v>58</v>
      </c>
      <c r="P76" s="1">
        <f ca="1">IFERROR(__xludf.DUMMYFUNCTION("""COMPUTED_VALUE"""),105.9)</f>
        <v>105.9</v>
      </c>
      <c r="Q76" s="1">
        <f ca="1">IFERROR(__xludf.DUMMYFUNCTION("""COMPUTED_VALUE"""),57)</f>
        <v>57</v>
      </c>
      <c r="R76" s="1">
        <f ca="1">IFERROR(__xludf.DUMMYFUNCTION("""COMPUTED_VALUE"""),98.9)</f>
        <v>98.9</v>
      </c>
      <c r="S76" s="1">
        <f ca="1">IFERROR(__xludf.DUMMYFUNCTION("""COMPUTED_VALUE"""),61)</f>
        <v>61</v>
      </c>
      <c r="T76" s="1">
        <f ca="1">IFERROR(__xludf.DUMMYFUNCTION("""COMPUTED_VALUE"""),-2.99)</f>
        <v>-2.99</v>
      </c>
      <c r="U76" s="1">
        <f ca="1">IFERROR(__xludf.DUMMYFUNCTION("""COMPUTED_VALUE"""),226)</f>
        <v>226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IFERROR(__xludf.DUMMYFUNCTION("""COMPUTED_VALUE"""),"UAB")</f>
        <v>UAB</v>
      </c>
      <c r="C77" s="1" t="str">
        <f ca="1">IFERROR(__xludf.DUMMYFUNCTION("""COMPUTED_VALUE"""),"CUSA")</f>
        <v>CUSA</v>
      </c>
      <c r="D77" s="1" t="str">
        <f ca="1">IFERROR(__xludf.DUMMYFUNCTION("""COMPUTED_VALUE"""),"20-13")</f>
        <v>20-13</v>
      </c>
      <c r="E77" s="1" t="str">
        <f ca="1">IFERROR(__xludf.DUMMYFUNCTION("""COMPUTED_VALUE"""),"+9.45")</f>
        <v>+9.45</v>
      </c>
      <c r="F77" s="1">
        <f ca="1">IFERROR(__xludf.DUMMYFUNCTION("""COMPUTED_VALUE"""),105.2)</f>
        <v>105.2</v>
      </c>
      <c r="G77" s="1">
        <f ca="1">IFERROR(__xludf.DUMMYFUNCTION("""COMPUTED_VALUE"""),113)</f>
        <v>113</v>
      </c>
      <c r="H77" s="1">
        <f ca="1">IFERROR(__xludf.DUMMYFUNCTION("""COMPUTED_VALUE"""),95.8)</f>
        <v>95.8</v>
      </c>
      <c r="I77" s="1">
        <f ca="1">IFERROR(__xludf.DUMMYFUNCTION("""COMPUTED_VALUE"""),56)</f>
        <v>56</v>
      </c>
      <c r="J77" s="1">
        <f ca="1">IFERROR(__xludf.DUMMYFUNCTION("""COMPUTED_VALUE"""),73.9)</f>
        <v>73.900000000000006</v>
      </c>
      <c r="K77" s="1">
        <f ca="1">IFERROR(__xludf.DUMMYFUNCTION("""COMPUTED_VALUE"""),4)</f>
        <v>4</v>
      </c>
      <c r="L77" s="1">
        <f ca="1">IFERROR(__xludf.DUMMYFUNCTION("""COMPUTED_VALUE"""),-0.008)</f>
        <v>-8.0000000000000002E-3</v>
      </c>
      <c r="M77" s="1">
        <f ca="1">IFERROR(__xludf.DUMMYFUNCTION("""COMPUTED_VALUE"""),185)</f>
        <v>185</v>
      </c>
      <c r="N77" s="1" t="str">
        <f ca="1">IFERROR(__xludf.DUMMYFUNCTION("""COMPUTED_VALUE"""),"+3.89")</f>
        <v>+3.89</v>
      </c>
      <c r="O77" s="1">
        <f ca="1">IFERROR(__xludf.DUMMYFUNCTION("""COMPUTED_VALUE"""),94)</f>
        <v>94</v>
      </c>
      <c r="P77" s="1">
        <f ca="1">IFERROR(__xludf.DUMMYFUNCTION("""COMPUTED_VALUE"""),103.8)</f>
        <v>103.8</v>
      </c>
      <c r="Q77" s="1">
        <f ca="1">IFERROR(__xludf.DUMMYFUNCTION("""COMPUTED_VALUE"""),123)</f>
        <v>123</v>
      </c>
      <c r="R77" s="1">
        <f ca="1">IFERROR(__xludf.DUMMYFUNCTION("""COMPUTED_VALUE"""),99.9)</f>
        <v>99.9</v>
      </c>
      <c r="S77" s="1">
        <f ca="1">IFERROR(__xludf.DUMMYFUNCTION("""COMPUTED_VALUE"""),86)</f>
        <v>86</v>
      </c>
      <c r="T77" s="1">
        <f ca="1">IFERROR(__xludf.DUMMYFUNCTION("""COMPUTED_VALUE"""),-7)</f>
        <v>-7</v>
      </c>
      <c r="U77" s="1">
        <f ca="1">IFERROR(__xludf.DUMMYFUNCTION("""COMPUTED_VALUE"""),298)</f>
        <v>298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IFERROR(__xludf.DUMMYFUNCTION("""COMPUTED_VALUE"""),"Temple")</f>
        <v>Temple</v>
      </c>
      <c r="C78" s="1" t="str">
        <f ca="1">IFERROR(__xludf.DUMMYFUNCTION("""COMPUTED_VALUE"""),"A10")</f>
        <v>A10</v>
      </c>
      <c r="D78" s="1" t="str">
        <f ca="1">IFERROR(__xludf.DUMMYFUNCTION("""COMPUTED_VALUE"""),"18-16")</f>
        <v>18-16</v>
      </c>
      <c r="E78" s="1" t="str">
        <f ca="1">IFERROR(__xludf.DUMMYFUNCTION("""COMPUTED_VALUE"""),"+9.34")</f>
        <v>+9.34</v>
      </c>
      <c r="F78" s="1">
        <f ca="1">IFERROR(__xludf.DUMMYFUNCTION("""COMPUTED_VALUE"""),108)</f>
        <v>108</v>
      </c>
      <c r="G78" s="1">
        <f ca="1">IFERROR(__xludf.DUMMYFUNCTION("""COMPUTED_VALUE"""),68)</f>
        <v>68</v>
      </c>
      <c r="H78" s="1">
        <f ca="1">IFERROR(__xludf.DUMMYFUNCTION("""COMPUTED_VALUE"""),98.6)</f>
        <v>98.6</v>
      </c>
      <c r="I78" s="1">
        <f ca="1">IFERROR(__xludf.DUMMYFUNCTION("""COMPUTED_VALUE"""),97)</f>
        <v>97</v>
      </c>
      <c r="J78" s="1">
        <f ca="1">IFERROR(__xludf.DUMMYFUNCTION("""COMPUTED_VALUE"""),63.2)</f>
        <v>63.2</v>
      </c>
      <c r="K78" s="1">
        <f ca="1">IFERROR(__xludf.DUMMYFUNCTION("""COMPUTED_VALUE"""),291)</f>
        <v>291</v>
      </c>
      <c r="L78" s="1" t="str">
        <f ca="1">IFERROR(__xludf.DUMMYFUNCTION("""COMPUTED_VALUE"""),"+.028")</f>
        <v>+.028</v>
      </c>
      <c r="M78" s="1">
        <f ca="1">IFERROR(__xludf.DUMMYFUNCTION("""COMPUTED_VALUE"""),92)</f>
        <v>92</v>
      </c>
      <c r="N78" s="1" t="str">
        <f ca="1">IFERROR(__xludf.DUMMYFUNCTION("""COMPUTED_VALUE"""),"+8.08")</f>
        <v>+8.08</v>
      </c>
      <c r="O78" s="1">
        <f ca="1">IFERROR(__xludf.DUMMYFUNCTION("""COMPUTED_VALUE"""),40)</f>
        <v>40</v>
      </c>
      <c r="P78" s="1">
        <f ca="1">IFERROR(__xludf.DUMMYFUNCTION("""COMPUTED_VALUE"""),106.5)</f>
        <v>106.5</v>
      </c>
      <c r="Q78" s="1">
        <f ca="1">IFERROR(__xludf.DUMMYFUNCTION("""COMPUTED_VALUE"""),37)</f>
        <v>37</v>
      </c>
      <c r="R78" s="1">
        <f ca="1">IFERROR(__xludf.DUMMYFUNCTION("""COMPUTED_VALUE"""),98.4)</f>
        <v>98.4</v>
      </c>
      <c r="S78" s="1">
        <f ca="1">IFERROR(__xludf.DUMMYFUNCTION("""COMPUTED_VALUE"""),50)</f>
        <v>50</v>
      </c>
      <c r="T78" s="1" t="str">
        <f ca="1">IFERROR(__xludf.DUMMYFUNCTION("""COMPUTED_VALUE"""),"+12.80")</f>
        <v>+12.80</v>
      </c>
      <c r="U78" s="1">
        <f ca="1">IFERROR(__xludf.DUMMYFUNCTION("""COMPUTED_VALUE"""),7)</f>
        <v>7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IFERROR(__xludf.DUMMYFUNCTION("""COMPUTED_VALUE"""),"Ohio St.")</f>
        <v>Ohio St.</v>
      </c>
      <c r="C79" s="1" t="str">
        <f ca="1">IFERROR(__xludf.DUMMYFUNCTION("""COMPUTED_VALUE"""),"B10")</f>
        <v>B10</v>
      </c>
      <c r="D79" s="1" t="str">
        <f ca="1">IFERROR(__xludf.DUMMYFUNCTION("""COMPUTED_VALUE"""),"17-15")</f>
        <v>17-15</v>
      </c>
      <c r="E79" s="1" t="str">
        <f ca="1">IFERROR(__xludf.DUMMYFUNCTION("""COMPUTED_VALUE"""),"+8.93")</f>
        <v>+8.93</v>
      </c>
      <c r="F79" s="1">
        <f ca="1">IFERROR(__xludf.DUMMYFUNCTION("""COMPUTED_VALUE"""),103.2)</f>
        <v>103.2</v>
      </c>
      <c r="G79" s="1">
        <f ca="1">IFERROR(__xludf.DUMMYFUNCTION("""COMPUTED_VALUE"""),147)</f>
        <v>147</v>
      </c>
      <c r="H79" s="1">
        <f ca="1">IFERROR(__xludf.DUMMYFUNCTION("""COMPUTED_VALUE"""),94.3)</f>
        <v>94.3</v>
      </c>
      <c r="I79" s="1">
        <f ca="1">IFERROR(__xludf.DUMMYFUNCTION("""COMPUTED_VALUE"""),35)</f>
        <v>35</v>
      </c>
      <c r="J79" s="1">
        <f ca="1">IFERROR(__xludf.DUMMYFUNCTION("""COMPUTED_VALUE"""),64.2)</f>
        <v>64.2</v>
      </c>
      <c r="K79" s="1">
        <f ca="1">IFERROR(__xludf.DUMMYFUNCTION("""COMPUTED_VALUE"""),277)</f>
        <v>277</v>
      </c>
      <c r="L79" s="1" t="str">
        <f ca="1">IFERROR(__xludf.DUMMYFUNCTION("""COMPUTED_VALUE"""),"+.052")</f>
        <v>+.052</v>
      </c>
      <c r="M79" s="1">
        <f ca="1">IFERROR(__xludf.DUMMYFUNCTION("""COMPUTED_VALUE"""),50)</f>
        <v>50</v>
      </c>
      <c r="N79" s="1" t="str">
        <f ca="1">IFERROR(__xludf.DUMMYFUNCTION("""COMPUTED_VALUE"""),"+9.63")</f>
        <v>+9.63</v>
      </c>
      <c r="O79" s="1">
        <f ca="1">IFERROR(__xludf.DUMMYFUNCTION("""COMPUTED_VALUE"""),15)</f>
        <v>15</v>
      </c>
      <c r="P79" s="1">
        <f ca="1">IFERROR(__xludf.DUMMYFUNCTION("""COMPUTED_VALUE"""),107)</f>
        <v>107</v>
      </c>
      <c r="Q79" s="1">
        <f ca="1">IFERROR(__xludf.DUMMYFUNCTION("""COMPUTED_VALUE"""),19)</f>
        <v>19</v>
      </c>
      <c r="R79" s="1">
        <f ca="1">IFERROR(__xludf.DUMMYFUNCTION("""COMPUTED_VALUE"""),97.4)</f>
        <v>97.4</v>
      </c>
      <c r="S79" s="1">
        <f ca="1">IFERROR(__xludf.DUMMYFUNCTION("""COMPUTED_VALUE"""),18)</f>
        <v>18</v>
      </c>
      <c r="T79" s="1">
        <f ca="1">IFERROR(__xludf.DUMMYFUNCTION("""COMPUTED_VALUE"""),-0.59)</f>
        <v>-0.59</v>
      </c>
      <c r="U79" s="1">
        <f ca="1">IFERROR(__xludf.DUMMYFUNCTION("""COMPUTED_VALUE"""),168)</f>
        <v>168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IFERROR(__xludf.DUMMYFUNCTION("""COMPUTED_VALUE"""),"Weber St.12")</f>
        <v>Weber St.12</v>
      </c>
      <c r="C80" s="1" t="str">
        <f ca="1">IFERROR(__xludf.DUMMYFUNCTION("""COMPUTED_VALUE"""),"BSky")</f>
        <v>BSky</v>
      </c>
      <c r="D80" s="1" t="str">
        <f ca="1">IFERROR(__xludf.DUMMYFUNCTION("""COMPUTED_VALUE"""),"25-5")</f>
        <v>25-5</v>
      </c>
      <c r="E80" s="1" t="str">
        <f ca="1">IFERROR(__xludf.DUMMYFUNCTION("""COMPUTED_VALUE"""),"+8.88")</f>
        <v>+8.88</v>
      </c>
      <c r="F80" s="1">
        <f ca="1">IFERROR(__xludf.DUMMYFUNCTION("""COMPUTED_VALUE"""),111.4)</f>
        <v>111.4</v>
      </c>
      <c r="G80" s="1">
        <f ca="1">IFERROR(__xludf.DUMMYFUNCTION("""COMPUTED_VALUE"""),28)</f>
        <v>28</v>
      </c>
      <c r="H80" s="1">
        <f ca="1">IFERROR(__xludf.DUMMYFUNCTION("""COMPUTED_VALUE"""),102.5)</f>
        <v>102.5</v>
      </c>
      <c r="I80" s="1">
        <f ca="1">IFERROR(__xludf.DUMMYFUNCTION("""COMPUTED_VALUE"""),172)</f>
        <v>172</v>
      </c>
      <c r="J80" s="1">
        <f ca="1">IFERROR(__xludf.DUMMYFUNCTION("""COMPUTED_VALUE"""),66.5)</f>
        <v>66.5</v>
      </c>
      <c r="K80" s="1">
        <f ca="1">IFERROR(__xludf.DUMMYFUNCTION("""COMPUTED_VALUE"""),186)</f>
        <v>186</v>
      </c>
      <c r="L80" s="1" t="str">
        <f ca="1">IFERROR(__xludf.DUMMYFUNCTION("""COMPUTED_VALUE"""),"+.073")</f>
        <v>+.073</v>
      </c>
      <c r="M80" s="1">
        <f ca="1">IFERROR(__xludf.DUMMYFUNCTION("""COMPUTED_VALUE"""),26)</f>
        <v>26</v>
      </c>
      <c r="N80" s="1">
        <f ca="1">IFERROR(__xludf.DUMMYFUNCTION("""COMPUTED_VALUE"""),-1.73)</f>
        <v>-1.73</v>
      </c>
      <c r="O80" s="1">
        <f ca="1">IFERROR(__xludf.DUMMYFUNCTION("""COMPUTED_VALUE"""),185)</f>
        <v>185</v>
      </c>
      <c r="P80" s="1">
        <f ca="1">IFERROR(__xludf.DUMMYFUNCTION("""COMPUTED_VALUE"""),100.5)</f>
        <v>100.5</v>
      </c>
      <c r="Q80" s="1">
        <f ca="1">IFERROR(__xludf.DUMMYFUNCTION("""COMPUTED_VALUE"""),219)</f>
        <v>219</v>
      </c>
      <c r="R80" s="1">
        <f ca="1">IFERROR(__xludf.DUMMYFUNCTION("""COMPUTED_VALUE"""),102.2)</f>
        <v>102.2</v>
      </c>
      <c r="S80" s="1">
        <f ca="1">IFERROR(__xludf.DUMMYFUNCTION("""COMPUTED_VALUE"""),151)</f>
        <v>151</v>
      </c>
      <c r="T80" s="1" t="str">
        <f ca="1">IFERROR(__xludf.DUMMYFUNCTION("""COMPUTED_VALUE"""),"+1.29")</f>
        <v>+1.29</v>
      </c>
      <c r="U80" s="1">
        <f ca="1">IFERROR(__xludf.DUMMYFUNCTION("""COMPUTED_VALUE"""),124)</f>
        <v>124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IFERROR(__xludf.DUMMYFUNCTION("""COMPUTED_VALUE"""),"Florida St.")</f>
        <v>Florida St.</v>
      </c>
      <c r="C81" s="1" t="str">
        <f ca="1">IFERROR(__xludf.DUMMYFUNCTION("""COMPUTED_VALUE"""),"ACC")</f>
        <v>ACC</v>
      </c>
      <c r="D81" s="1" t="str">
        <f ca="1">IFERROR(__xludf.DUMMYFUNCTION("""COMPUTED_VALUE"""),"14-15")</f>
        <v>14-15</v>
      </c>
      <c r="E81" s="1" t="str">
        <f ca="1">IFERROR(__xludf.DUMMYFUNCTION("""COMPUTED_VALUE"""),"+8.84")</f>
        <v>+8.84</v>
      </c>
      <c r="F81" s="1">
        <f ca="1">IFERROR(__xludf.DUMMYFUNCTION("""COMPUTED_VALUE"""),100.9)</f>
        <v>100.9</v>
      </c>
      <c r="G81" s="1">
        <f ca="1">IFERROR(__xludf.DUMMYFUNCTION("""COMPUTED_VALUE"""),194)</f>
        <v>194</v>
      </c>
      <c r="H81" s="1">
        <f ca="1">IFERROR(__xludf.DUMMYFUNCTION("""COMPUTED_VALUE"""),92)</f>
        <v>92</v>
      </c>
      <c r="I81" s="1">
        <f ca="1">IFERROR(__xludf.DUMMYFUNCTION("""COMPUTED_VALUE"""),18)</f>
        <v>18</v>
      </c>
      <c r="J81" s="1">
        <f ca="1">IFERROR(__xludf.DUMMYFUNCTION("""COMPUTED_VALUE"""),67.5)</f>
        <v>67.5</v>
      </c>
      <c r="K81" s="1">
        <f ca="1">IFERROR(__xludf.DUMMYFUNCTION("""COMPUTED_VALUE"""),144)</f>
        <v>144</v>
      </c>
      <c r="L81" s="1">
        <f ca="1">IFERROR(__xludf.DUMMYFUNCTION("""COMPUTED_VALUE"""),-0.052)</f>
        <v>-5.1999999999999998E-2</v>
      </c>
      <c r="M81" s="1">
        <f ca="1">IFERROR(__xludf.DUMMYFUNCTION("""COMPUTED_VALUE"""),283)</f>
        <v>283</v>
      </c>
      <c r="N81" s="1" t="str">
        <f ca="1">IFERROR(__xludf.DUMMYFUNCTION("""COMPUTED_VALUE"""),"+7.40")</f>
        <v>+7.40</v>
      </c>
      <c r="O81" s="1">
        <f ca="1">IFERROR(__xludf.DUMMYFUNCTION("""COMPUTED_VALUE"""),48)</f>
        <v>48</v>
      </c>
      <c r="P81" s="1">
        <f ca="1">IFERROR(__xludf.DUMMYFUNCTION("""COMPUTED_VALUE"""),106.7)</f>
        <v>106.7</v>
      </c>
      <c r="Q81" s="1">
        <f ca="1">IFERROR(__xludf.DUMMYFUNCTION("""COMPUTED_VALUE"""),28)</f>
        <v>28</v>
      </c>
      <c r="R81" s="1">
        <f ca="1">IFERROR(__xludf.DUMMYFUNCTION("""COMPUTED_VALUE"""),99.3)</f>
        <v>99.3</v>
      </c>
      <c r="S81" s="1">
        <f ca="1">IFERROR(__xludf.DUMMYFUNCTION("""COMPUTED_VALUE"""),69)</f>
        <v>69</v>
      </c>
      <c r="T81" s="1">
        <f ca="1">IFERROR(__xludf.DUMMYFUNCTION("""COMPUTED_VALUE"""),-5.79)</f>
        <v>-5.79</v>
      </c>
      <c r="U81" s="1">
        <f ca="1">IFERROR(__xludf.DUMMYFUNCTION("""COMPUTED_VALUE"""),288)</f>
        <v>288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IFERROR(__xludf.DUMMYFUNCTION("""COMPUTED_VALUE"""),"Iowa")</f>
        <v>Iowa</v>
      </c>
      <c r="C82" s="1" t="str">
        <f ca="1">IFERROR(__xludf.DUMMYFUNCTION("""COMPUTED_VALUE"""),"B10")</f>
        <v>B10</v>
      </c>
      <c r="D82" s="1" t="str">
        <f ca="1">IFERROR(__xludf.DUMMYFUNCTION("""COMPUTED_VALUE"""),"17-14")</f>
        <v>17-14</v>
      </c>
      <c r="E82" s="1" t="str">
        <f ca="1">IFERROR(__xludf.DUMMYFUNCTION("""COMPUTED_VALUE"""),"+8.50")</f>
        <v>+8.50</v>
      </c>
      <c r="F82" s="1">
        <f ca="1">IFERROR(__xludf.DUMMYFUNCTION("""COMPUTED_VALUE"""),106.4)</f>
        <v>106.4</v>
      </c>
      <c r="G82" s="1">
        <f ca="1">IFERROR(__xludf.DUMMYFUNCTION("""COMPUTED_VALUE"""),96)</f>
        <v>96</v>
      </c>
      <c r="H82" s="1">
        <f ca="1">IFERROR(__xludf.DUMMYFUNCTION("""COMPUTED_VALUE"""),97.9)</f>
        <v>97.9</v>
      </c>
      <c r="I82" s="1">
        <f ca="1">IFERROR(__xludf.DUMMYFUNCTION("""COMPUTED_VALUE"""),85)</f>
        <v>85</v>
      </c>
      <c r="J82" s="1">
        <f ca="1">IFERROR(__xludf.DUMMYFUNCTION("""COMPUTED_VALUE"""),67.1)</f>
        <v>67.099999999999994</v>
      </c>
      <c r="K82" s="1">
        <f ca="1">IFERROR(__xludf.DUMMYFUNCTION("""COMPUTED_VALUE"""),160)</f>
        <v>160</v>
      </c>
      <c r="L82" s="1">
        <f ca="1">IFERROR(__xludf.DUMMYFUNCTION("""COMPUTED_VALUE"""),-0.018)</f>
        <v>-1.7999999999999999E-2</v>
      </c>
      <c r="M82" s="1">
        <f ca="1">IFERROR(__xludf.DUMMYFUNCTION("""COMPUTED_VALUE"""),209)</f>
        <v>209</v>
      </c>
      <c r="N82" s="1" t="str">
        <f ca="1">IFERROR(__xludf.DUMMYFUNCTION("""COMPUTED_VALUE"""),"+5.72")</f>
        <v>+5.72</v>
      </c>
      <c r="O82" s="1">
        <f ca="1">IFERROR(__xludf.DUMMYFUNCTION("""COMPUTED_VALUE"""),70)</f>
        <v>70</v>
      </c>
      <c r="P82" s="1">
        <f ca="1">IFERROR(__xludf.DUMMYFUNCTION("""COMPUTED_VALUE"""),104.5)</f>
        <v>104.5</v>
      </c>
      <c r="Q82" s="1">
        <f ca="1">IFERROR(__xludf.DUMMYFUNCTION("""COMPUTED_VALUE"""),93)</f>
        <v>93</v>
      </c>
      <c r="R82" s="1">
        <f ca="1">IFERROR(__xludf.DUMMYFUNCTION("""COMPUTED_VALUE"""),98.8)</f>
        <v>98.8</v>
      </c>
      <c r="S82" s="1">
        <f ca="1">IFERROR(__xludf.DUMMYFUNCTION("""COMPUTED_VALUE"""),60)</f>
        <v>60</v>
      </c>
      <c r="T82" s="1">
        <f ca="1">IFERROR(__xludf.DUMMYFUNCTION("""COMPUTED_VALUE"""),-5.05)</f>
        <v>-5.05</v>
      </c>
      <c r="U82" s="1">
        <f ca="1">IFERROR(__xludf.DUMMYFUNCTION("""COMPUTED_VALUE"""),272)</f>
        <v>272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IFERROR(__xludf.DUMMYFUNCTION("""COMPUTED_VALUE"""),"Saint Louis")</f>
        <v>Saint Louis</v>
      </c>
      <c r="C83" s="1" t="str">
        <f ca="1">IFERROR(__xludf.DUMMYFUNCTION("""COMPUTED_VALUE"""),"CUSA")</f>
        <v>CUSA</v>
      </c>
      <c r="D83" s="1" t="str">
        <f ca="1">IFERROR(__xludf.DUMMYFUNCTION("""COMPUTED_VALUE"""),"16-14")</f>
        <v>16-14</v>
      </c>
      <c r="E83" s="1" t="str">
        <f ca="1">IFERROR(__xludf.DUMMYFUNCTION("""COMPUTED_VALUE"""),"+8.34")</f>
        <v>+8.34</v>
      </c>
      <c r="F83" s="1">
        <f ca="1">IFERROR(__xludf.DUMMYFUNCTION("""COMPUTED_VALUE"""),104.1)</f>
        <v>104.1</v>
      </c>
      <c r="G83" s="1">
        <f ca="1">IFERROR(__xludf.DUMMYFUNCTION("""COMPUTED_VALUE"""),131)</f>
        <v>131</v>
      </c>
      <c r="H83" s="1">
        <f ca="1">IFERROR(__xludf.DUMMYFUNCTION("""COMPUTED_VALUE"""),95.8)</f>
        <v>95.8</v>
      </c>
      <c r="I83" s="1">
        <f ca="1">IFERROR(__xludf.DUMMYFUNCTION("""COMPUTED_VALUE"""),55)</f>
        <v>55</v>
      </c>
      <c r="J83" s="1">
        <f ca="1">IFERROR(__xludf.DUMMYFUNCTION("""COMPUTED_VALUE"""),58.9)</f>
        <v>58.9</v>
      </c>
      <c r="K83" s="1">
        <f ca="1">IFERROR(__xludf.DUMMYFUNCTION("""COMPUTED_VALUE"""),323)</f>
        <v>323</v>
      </c>
      <c r="L83" s="1" t="str">
        <f ca="1">IFERROR(__xludf.DUMMYFUNCTION("""COMPUTED_VALUE"""),"+.026")</f>
        <v>+.026</v>
      </c>
      <c r="M83" s="1">
        <f ca="1">IFERROR(__xludf.DUMMYFUNCTION("""COMPUTED_VALUE"""),100)</f>
        <v>100</v>
      </c>
      <c r="N83" s="1" t="str">
        <f ca="1">IFERROR(__xludf.DUMMYFUNCTION("""COMPUTED_VALUE"""),"+7.10")</f>
        <v>+7.10</v>
      </c>
      <c r="O83" s="1">
        <f ca="1">IFERROR(__xludf.DUMMYFUNCTION("""COMPUTED_VALUE"""),55)</f>
        <v>55</v>
      </c>
      <c r="P83" s="1">
        <f ca="1">IFERROR(__xludf.DUMMYFUNCTION("""COMPUTED_VALUE"""),106)</f>
        <v>106</v>
      </c>
      <c r="Q83" s="1">
        <f ca="1">IFERROR(__xludf.DUMMYFUNCTION("""COMPUTED_VALUE"""),53)</f>
        <v>53</v>
      </c>
      <c r="R83" s="1">
        <f ca="1">IFERROR(__xludf.DUMMYFUNCTION("""COMPUTED_VALUE"""),98.9)</f>
        <v>98.9</v>
      </c>
      <c r="S83" s="1">
        <f ca="1">IFERROR(__xludf.DUMMYFUNCTION("""COMPUTED_VALUE"""),64)</f>
        <v>64</v>
      </c>
      <c r="T83" s="1" t="str">
        <f ca="1">IFERROR(__xludf.DUMMYFUNCTION("""COMPUTED_VALUE"""),"+2.94")</f>
        <v>+2.94</v>
      </c>
      <c r="U83" s="1">
        <f ca="1">IFERROR(__xludf.DUMMYFUNCTION("""COMPUTED_VALUE"""),88)</f>
        <v>88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IFERROR(__xludf.DUMMYFUNCTION("""COMPUTED_VALUE"""),"San Diego13")</f>
        <v>San Diego13</v>
      </c>
      <c r="C84" s="1" t="str">
        <f ca="1">IFERROR(__xludf.DUMMYFUNCTION("""COMPUTED_VALUE"""),"WCC")</f>
        <v>WCC</v>
      </c>
      <c r="D84" s="1" t="str">
        <f ca="1">IFERROR(__xludf.DUMMYFUNCTION("""COMPUTED_VALUE"""),"17-12")</f>
        <v>17-12</v>
      </c>
      <c r="E84" s="1" t="str">
        <f ca="1">IFERROR(__xludf.DUMMYFUNCTION("""COMPUTED_VALUE"""),"+8.32")</f>
        <v>+8.32</v>
      </c>
      <c r="F84" s="1">
        <f ca="1">IFERROR(__xludf.DUMMYFUNCTION("""COMPUTED_VALUE"""),104.7)</f>
        <v>104.7</v>
      </c>
      <c r="G84" s="1">
        <f ca="1">IFERROR(__xludf.DUMMYFUNCTION("""COMPUTED_VALUE"""),119)</f>
        <v>119</v>
      </c>
      <c r="H84" s="1">
        <f ca="1">IFERROR(__xludf.DUMMYFUNCTION("""COMPUTED_VALUE"""),96.4)</f>
        <v>96.4</v>
      </c>
      <c r="I84" s="1">
        <f ca="1">IFERROR(__xludf.DUMMYFUNCTION("""COMPUTED_VALUE"""),64)</f>
        <v>64</v>
      </c>
      <c r="J84" s="1">
        <f ca="1">IFERROR(__xludf.DUMMYFUNCTION("""COMPUTED_VALUE"""),70.9)</f>
        <v>70.900000000000006</v>
      </c>
      <c r="K84" s="1">
        <f ca="1">IFERROR(__xludf.DUMMYFUNCTION("""COMPUTED_VALUE"""),34)</f>
        <v>34</v>
      </c>
      <c r="L84" s="1" t="str">
        <f ca="1">IFERROR(__xludf.DUMMYFUNCTION("""COMPUTED_VALUE"""),"+.003")</f>
        <v>+.003</v>
      </c>
      <c r="M84" s="1">
        <f ca="1">IFERROR(__xludf.DUMMYFUNCTION("""COMPUTED_VALUE"""),160)</f>
        <v>160</v>
      </c>
      <c r="N84" s="1" t="str">
        <f ca="1">IFERROR(__xludf.DUMMYFUNCTION("""COMPUTED_VALUE"""),"+3.37")</f>
        <v>+3.37</v>
      </c>
      <c r="O84" s="1">
        <f ca="1">IFERROR(__xludf.DUMMYFUNCTION("""COMPUTED_VALUE"""),100)</f>
        <v>100</v>
      </c>
      <c r="P84" s="1">
        <f ca="1">IFERROR(__xludf.DUMMYFUNCTION("""COMPUTED_VALUE"""),104.8)</f>
        <v>104.8</v>
      </c>
      <c r="Q84" s="1">
        <f ca="1">IFERROR(__xludf.DUMMYFUNCTION("""COMPUTED_VALUE"""),81)</f>
        <v>81</v>
      </c>
      <c r="R84" s="1">
        <f ca="1">IFERROR(__xludf.DUMMYFUNCTION("""COMPUTED_VALUE"""),101.4)</f>
        <v>101.4</v>
      </c>
      <c r="S84" s="1">
        <f ca="1">IFERROR(__xludf.DUMMYFUNCTION("""COMPUTED_VALUE"""),113)</f>
        <v>113</v>
      </c>
      <c r="T84" s="1" t="str">
        <f ca="1">IFERROR(__xludf.DUMMYFUNCTION("""COMPUTED_VALUE"""),"+6.03")</f>
        <v>+6.03</v>
      </c>
      <c r="U84" s="1">
        <f ca="1">IFERROR(__xludf.DUMMYFUNCTION("""COMPUTED_VALUE"""),37)</f>
        <v>37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IFERROR(__xludf.DUMMYFUNCTION("""COMPUTED_VALUE"""),"South Carolina")</f>
        <v>South Carolina</v>
      </c>
      <c r="C87" s="1" t="str">
        <f ca="1">IFERROR(__xludf.DUMMYFUNCTION("""COMPUTED_VALUE"""),"SEC")</f>
        <v>SEC</v>
      </c>
      <c r="D87" s="2">
        <f ca="1">IFERROR(__xludf.DUMMYFUNCTION("""COMPUTED_VALUE"""),44911)</f>
        <v>44911</v>
      </c>
      <c r="E87" s="1" t="str">
        <f ca="1">IFERROR(__xludf.DUMMYFUNCTION("""COMPUTED_VALUE"""),"+8.31")</f>
        <v>+8.31</v>
      </c>
      <c r="F87" s="1">
        <f ca="1">IFERROR(__xludf.DUMMYFUNCTION("""COMPUTED_VALUE"""),103.1)</f>
        <v>103.1</v>
      </c>
      <c r="G87" s="1">
        <f ca="1">IFERROR(__xludf.DUMMYFUNCTION("""COMPUTED_VALUE"""),150)</f>
        <v>150</v>
      </c>
      <c r="H87" s="1">
        <f ca="1">IFERROR(__xludf.DUMMYFUNCTION("""COMPUTED_VALUE"""),94.8)</f>
        <v>94.8</v>
      </c>
      <c r="I87" s="1">
        <f ca="1">IFERROR(__xludf.DUMMYFUNCTION("""COMPUTED_VALUE"""),38)</f>
        <v>38</v>
      </c>
      <c r="J87" s="1">
        <f ca="1">IFERROR(__xludf.DUMMYFUNCTION("""COMPUTED_VALUE"""),65.5)</f>
        <v>65.5</v>
      </c>
      <c r="K87" s="1">
        <f ca="1">IFERROR(__xludf.DUMMYFUNCTION("""COMPUTED_VALUE"""),235)</f>
        <v>235</v>
      </c>
      <c r="L87" s="1">
        <f ca="1">IFERROR(__xludf.DUMMYFUNCTION("""COMPUTED_VALUE"""),-0.028)</f>
        <v>-2.8000000000000001E-2</v>
      </c>
      <c r="M87" s="1">
        <f ca="1">IFERROR(__xludf.DUMMYFUNCTION("""COMPUTED_VALUE"""),239)</f>
        <v>239</v>
      </c>
      <c r="N87" s="1" t="str">
        <f ca="1">IFERROR(__xludf.DUMMYFUNCTION("""COMPUTED_VALUE"""),"+9.76")</f>
        <v>+9.76</v>
      </c>
      <c r="O87" s="1">
        <f ca="1">IFERROR(__xludf.DUMMYFUNCTION("""COMPUTED_VALUE"""),14)</f>
        <v>14</v>
      </c>
      <c r="P87" s="1">
        <f ca="1">IFERROR(__xludf.DUMMYFUNCTION("""COMPUTED_VALUE"""),108)</f>
        <v>108</v>
      </c>
      <c r="Q87" s="1">
        <f ca="1">IFERROR(__xludf.DUMMYFUNCTION("""COMPUTED_VALUE"""),5)</f>
        <v>5</v>
      </c>
      <c r="R87" s="1">
        <f ca="1">IFERROR(__xludf.DUMMYFUNCTION("""COMPUTED_VALUE"""),98.2)</f>
        <v>98.2</v>
      </c>
      <c r="S87" s="1">
        <f ca="1">IFERROR(__xludf.DUMMYFUNCTION("""COMPUTED_VALUE"""),42)</f>
        <v>42</v>
      </c>
      <c r="T87" s="1" t="str">
        <f ca="1">IFERROR(__xludf.DUMMYFUNCTION("""COMPUTED_VALUE"""),"+0.29")</f>
        <v>+0.29</v>
      </c>
      <c r="U87" s="1">
        <f ca="1">IFERROR(__xludf.DUMMYFUNCTION("""COMPUTED_VALUE"""),148)</f>
        <v>148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IFERROR(__xludf.DUMMYFUNCTION("""COMPUTED_VALUE"""),"Virginia")</f>
        <v>Virginia</v>
      </c>
      <c r="C88" s="1" t="str">
        <f ca="1">IFERROR(__xludf.DUMMYFUNCTION("""COMPUTED_VALUE"""),"ACC")</f>
        <v>ACC</v>
      </c>
      <c r="D88" s="1" t="str">
        <f ca="1">IFERROR(__xludf.DUMMYFUNCTION("""COMPUTED_VALUE"""),"16-16")</f>
        <v>16-16</v>
      </c>
      <c r="E88" s="1" t="str">
        <f ca="1">IFERROR(__xludf.DUMMYFUNCTION("""COMPUTED_VALUE"""),"+8.20")</f>
        <v>+8.20</v>
      </c>
      <c r="F88" s="1">
        <f ca="1">IFERROR(__xludf.DUMMYFUNCTION("""COMPUTED_VALUE"""),108.8)</f>
        <v>108.8</v>
      </c>
      <c r="G88" s="1">
        <f ca="1">IFERROR(__xludf.DUMMYFUNCTION("""COMPUTED_VALUE"""),61)</f>
        <v>61</v>
      </c>
      <c r="H88" s="1">
        <f ca="1">IFERROR(__xludf.DUMMYFUNCTION("""COMPUTED_VALUE"""),100.6)</f>
        <v>100.6</v>
      </c>
      <c r="I88" s="1">
        <f ca="1">IFERROR(__xludf.DUMMYFUNCTION("""COMPUTED_VALUE"""),135)</f>
        <v>135</v>
      </c>
      <c r="J88" s="1">
        <f ca="1">IFERROR(__xludf.DUMMYFUNCTION("""COMPUTED_VALUE"""),68.4)</f>
        <v>68.400000000000006</v>
      </c>
      <c r="K88" s="1">
        <f ca="1">IFERROR(__xludf.DUMMYFUNCTION("""COMPUTED_VALUE"""),101)</f>
        <v>101</v>
      </c>
      <c r="L88" s="1" t="str">
        <f ca="1">IFERROR(__xludf.DUMMYFUNCTION("""COMPUTED_VALUE"""),"+.026")</f>
        <v>+.026</v>
      </c>
      <c r="M88" s="1">
        <f ca="1">IFERROR(__xludf.DUMMYFUNCTION("""COMPUTED_VALUE"""),96)</f>
        <v>96</v>
      </c>
      <c r="N88" s="1" t="str">
        <f ca="1">IFERROR(__xludf.DUMMYFUNCTION("""COMPUTED_VALUE"""),"+10.13")</f>
        <v>+10.13</v>
      </c>
      <c r="O88" s="1">
        <f ca="1">IFERROR(__xludf.DUMMYFUNCTION("""COMPUTED_VALUE"""),12)</f>
        <v>12</v>
      </c>
      <c r="P88" s="1">
        <f ca="1">IFERROR(__xludf.DUMMYFUNCTION("""COMPUTED_VALUE"""),107.2)</f>
        <v>107.2</v>
      </c>
      <c r="Q88" s="1">
        <f ca="1">IFERROR(__xludf.DUMMYFUNCTION("""COMPUTED_VALUE"""),15)</f>
        <v>15</v>
      </c>
      <c r="R88" s="1">
        <f ca="1">IFERROR(__xludf.DUMMYFUNCTION("""COMPUTED_VALUE"""),97)</f>
        <v>97</v>
      </c>
      <c r="S88" s="1">
        <f ca="1">IFERROR(__xludf.DUMMYFUNCTION("""COMPUTED_VALUE"""),10)</f>
        <v>10</v>
      </c>
      <c r="T88" s="1" t="str">
        <f ca="1">IFERROR(__xludf.DUMMYFUNCTION("""COMPUTED_VALUE"""),"+2.09")</f>
        <v>+2.09</v>
      </c>
      <c r="U88" s="1">
        <f ca="1">IFERROR(__xludf.DUMMYFUNCTION("""COMPUTED_VALUE"""),108)</f>
        <v>108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IFERROR(__xludf.DUMMYFUNCTION("""COMPUTED_VALUE"""),"Nevada")</f>
        <v>Nevada</v>
      </c>
      <c r="C89" s="1" t="str">
        <f ca="1">IFERROR(__xludf.DUMMYFUNCTION("""COMPUTED_VALUE"""),"WAC")</f>
        <v>WAC</v>
      </c>
      <c r="D89" s="1" t="str">
        <f ca="1">IFERROR(__xludf.DUMMYFUNCTION("""COMPUTED_VALUE"""),"17-14")</f>
        <v>17-14</v>
      </c>
      <c r="E89" s="1" t="str">
        <f ca="1">IFERROR(__xludf.DUMMYFUNCTION("""COMPUTED_VALUE"""),"+8.19")</f>
        <v>+8.19</v>
      </c>
      <c r="F89" s="1">
        <f ca="1">IFERROR(__xludf.DUMMYFUNCTION("""COMPUTED_VALUE"""),108)</f>
        <v>108</v>
      </c>
      <c r="G89" s="1">
        <f ca="1">IFERROR(__xludf.DUMMYFUNCTION("""COMPUTED_VALUE"""),64)</f>
        <v>64</v>
      </c>
      <c r="H89" s="1">
        <f ca="1">IFERROR(__xludf.DUMMYFUNCTION("""COMPUTED_VALUE"""),99.9)</f>
        <v>99.9</v>
      </c>
      <c r="I89" s="1">
        <f ca="1">IFERROR(__xludf.DUMMYFUNCTION("""COMPUTED_VALUE"""),122)</f>
        <v>122</v>
      </c>
      <c r="J89" s="1">
        <f ca="1">IFERROR(__xludf.DUMMYFUNCTION("""COMPUTED_VALUE"""),68.8)</f>
        <v>68.8</v>
      </c>
      <c r="K89" s="1">
        <f ca="1">IFERROR(__xludf.DUMMYFUNCTION("""COMPUTED_VALUE"""),85)</f>
        <v>85</v>
      </c>
      <c r="L89" s="1">
        <f ca="1">IFERROR(__xludf.DUMMYFUNCTION("""COMPUTED_VALUE"""),-0.097)</f>
        <v>-9.7000000000000003E-2</v>
      </c>
      <c r="M89" s="1">
        <f ca="1">IFERROR(__xludf.DUMMYFUNCTION("""COMPUTED_VALUE"""),311)</f>
        <v>311</v>
      </c>
      <c r="N89" s="1" t="str">
        <f ca="1">IFERROR(__xludf.DUMMYFUNCTION("""COMPUTED_VALUE"""),"+2.30")</f>
        <v>+2.30</v>
      </c>
      <c r="O89" s="1">
        <f ca="1">IFERROR(__xludf.DUMMYFUNCTION("""COMPUTED_VALUE"""),118)</f>
        <v>118</v>
      </c>
      <c r="P89" s="1">
        <f ca="1">IFERROR(__xludf.DUMMYFUNCTION("""COMPUTED_VALUE"""),103.2)</f>
        <v>103.2</v>
      </c>
      <c r="Q89" s="1">
        <f ca="1">IFERROR(__xludf.DUMMYFUNCTION("""COMPUTED_VALUE"""),141)</f>
        <v>141</v>
      </c>
      <c r="R89" s="1">
        <f ca="1">IFERROR(__xludf.DUMMYFUNCTION("""COMPUTED_VALUE"""),100.9)</f>
        <v>100.9</v>
      </c>
      <c r="S89" s="1">
        <f ca="1">IFERROR(__xludf.DUMMYFUNCTION("""COMPUTED_VALUE"""),102)</f>
        <v>102</v>
      </c>
      <c r="T89" s="1" t="str">
        <f ca="1">IFERROR(__xludf.DUMMYFUNCTION("""COMPUTED_VALUE"""),"+4.98")</f>
        <v>+4.98</v>
      </c>
      <c r="U89" s="1">
        <f ca="1">IFERROR(__xludf.DUMMYFUNCTION("""COMPUTED_VALUE"""),53)</f>
        <v>53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IFERROR(__xludf.DUMMYFUNCTION("""COMPUTED_VALUE"""),"St. Bonaventure")</f>
        <v>St. Bonaventure</v>
      </c>
      <c r="C90" s="1" t="str">
        <f ca="1">IFERROR(__xludf.DUMMYFUNCTION("""COMPUTED_VALUE"""),"A10")</f>
        <v>A10</v>
      </c>
      <c r="D90" s="1" t="str">
        <f ca="1">IFERROR(__xludf.DUMMYFUNCTION("""COMPUTED_VALUE"""),"13-14")</f>
        <v>13-14</v>
      </c>
      <c r="E90" s="1" t="str">
        <f ca="1">IFERROR(__xludf.DUMMYFUNCTION("""COMPUTED_VALUE"""),"+8.07")</f>
        <v>+8.07</v>
      </c>
      <c r="F90" s="1">
        <f ca="1">IFERROR(__xludf.DUMMYFUNCTION("""COMPUTED_VALUE"""),112.8)</f>
        <v>112.8</v>
      </c>
      <c r="G90" s="1">
        <f ca="1">IFERROR(__xludf.DUMMYFUNCTION("""COMPUTED_VALUE"""),23)</f>
        <v>23</v>
      </c>
      <c r="H90" s="1">
        <f ca="1">IFERROR(__xludf.DUMMYFUNCTION("""COMPUTED_VALUE"""),104.8)</f>
        <v>104.8</v>
      </c>
      <c r="I90" s="1">
        <f ca="1">IFERROR(__xludf.DUMMYFUNCTION("""COMPUTED_VALUE"""),213)</f>
        <v>213</v>
      </c>
      <c r="J90" s="1">
        <f ca="1">IFERROR(__xludf.DUMMYFUNCTION("""COMPUTED_VALUE"""),71.3)</f>
        <v>71.3</v>
      </c>
      <c r="K90" s="1">
        <f ca="1">IFERROR(__xludf.DUMMYFUNCTION("""COMPUTED_VALUE"""),24)</f>
        <v>24</v>
      </c>
      <c r="L90" s="1">
        <f ca="1">IFERROR(__xludf.DUMMYFUNCTION("""COMPUTED_VALUE"""),-0.07)</f>
        <v>-7.0000000000000007E-2</v>
      </c>
      <c r="M90" s="1">
        <f ca="1">IFERROR(__xludf.DUMMYFUNCTION("""COMPUTED_VALUE"""),298)</f>
        <v>298</v>
      </c>
      <c r="N90" s="1" t="str">
        <f ca="1">IFERROR(__xludf.DUMMYFUNCTION("""COMPUTED_VALUE"""),"+5.51")</f>
        <v>+5.51</v>
      </c>
      <c r="O90" s="1">
        <f ca="1">IFERROR(__xludf.DUMMYFUNCTION("""COMPUTED_VALUE"""),73)</f>
        <v>73</v>
      </c>
      <c r="P90" s="1">
        <f ca="1">IFERROR(__xludf.DUMMYFUNCTION("""COMPUTED_VALUE"""),105.1)</f>
        <v>105.1</v>
      </c>
      <c r="Q90" s="1">
        <f ca="1">IFERROR(__xludf.DUMMYFUNCTION("""COMPUTED_VALUE"""),72)</f>
        <v>72</v>
      </c>
      <c r="R90" s="1">
        <f ca="1">IFERROR(__xludf.DUMMYFUNCTION("""COMPUTED_VALUE"""),99.6)</f>
        <v>99.6</v>
      </c>
      <c r="S90" s="1">
        <f ca="1">IFERROR(__xludf.DUMMYFUNCTION("""COMPUTED_VALUE"""),77)</f>
        <v>77</v>
      </c>
      <c r="T90" s="1" t="str">
        <f ca="1">IFERROR(__xludf.DUMMYFUNCTION("""COMPUTED_VALUE"""),"+6.97")</f>
        <v>+6.97</v>
      </c>
      <c r="U90" s="1">
        <f ca="1">IFERROR(__xludf.DUMMYFUNCTION("""COMPUTED_VALUE"""),32)</f>
        <v>32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IFERROR(__xludf.DUMMYFUNCTION("""COMPUTED_VALUE"""),"Southwest Missouri St.")</f>
        <v>Southwest Missouri St.</v>
      </c>
      <c r="C91" s="1" t="str">
        <f ca="1">IFERROR(__xludf.DUMMYFUNCTION("""COMPUTED_VALUE"""),"MVC")</f>
        <v>MVC</v>
      </c>
      <c r="D91" s="1" t="str">
        <f ca="1">IFERROR(__xludf.DUMMYFUNCTION("""COMPUTED_VALUE"""),"17-12")</f>
        <v>17-12</v>
      </c>
      <c r="E91" s="1" t="str">
        <f ca="1">IFERROR(__xludf.DUMMYFUNCTION("""COMPUTED_VALUE"""),"+8.04")</f>
        <v>+8.04</v>
      </c>
      <c r="F91" s="1">
        <f ca="1">IFERROR(__xludf.DUMMYFUNCTION("""COMPUTED_VALUE"""),100.6)</f>
        <v>100.6</v>
      </c>
      <c r="G91" s="1">
        <f ca="1">IFERROR(__xludf.DUMMYFUNCTION("""COMPUTED_VALUE"""),199)</f>
        <v>199</v>
      </c>
      <c r="H91" s="1">
        <f ca="1">IFERROR(__xludf.DUMMYFUNCTION("""COMPUTED_VALUE"""),92.5)</f>
        <v>92.5</v>
      </c>
      <c r="I91" s="1">
        <f ca="1">IFERROR(__xludf.DUMMYFUNCTION("""COMPUTED_VALUE"""),22)</f>
        <v>22</v>
      </c>
      <c r="J91" s="1">
        <f ca="1">IFERROR(__xludf.DUMMYFUNCTION("""COMPUTED_VALUE"""),63.5)</f>
        <v>63.5</v>
      </c>
      <c r="K91" s="1">
        <f ca="1">IFERROR(__xludf.DUMMYFUNCTION("""COMPUTED_VALUE"""),287)</f>
        <v>287</v>
      </c>
      <c r="L91" s="1">
        <f ca="1">IFERROR(__xludf.DUMMYFUNCTION("""COMPUTED_VALUE"""),-0.075)</f>
        <v>-7.4999999999999997E-2</v>
      </c>
      <c r="M91" s="1">
        <f ca="1">IFERROR(__xludf.DUMMYFUNCTION("""COMPUTED_VALUE"""),300)</f>
        <v>300</v>
      </c>
      <c r="N91" s="1">
        <f ca="1">IFERROR(__xludf.DUMMYFUNCTION("""COMPUTED_VALUE"""),0)</f>
        <v>0</v>
      </c>
      <c r="O91" s="1">
        <f ca="1">IFERROR(__xludf.DUMMYFUNCTION("""COMPUTED_VALUE"""),153)</f>
        <v>153</v>
      </c>
      <c r="P91" s="1">
        <f ca="1">IFERROR(__xludf.DUMMYFUNCTION("""COMPUTED_VALUE"""),103.9)</f>
        <v>103.9</v>
      </c>
      <c r="Q91" s="1">
        <f ca="1">IFERROR(__xludf.DUMMYFUNCTION("""COMPUTED_VALUE"""),118)</f>
        <v>118</v>
      </c>
      <c r="R91" s="1">
        <f ca="1">IFERROR(__xludf.DUMMYFUNCTION("""COMPUTED_VALUE"""),103.9)</f>
        <v>103.9</v>
      </c>
      <c r="S91" s="1">
        <f ca="1">IFERROR(__xludf.DUMMYFUNCTION("""COMPUTED_VALUE"""),217)</f>
        <v>217</v>
      </c>
      <c r="T91" s="1">
        <f ca="1">IFERROR(__xludf.DUMMYFUNCTION("""COMPUTED_VALUE"""),-1.54)</f>
        <v>-1.54</v>
      </c>
      <c r="U91" s="1">
        <f ca="1">IFERROR(__xludf.DUMMYFUNCTION("""COMPUTED_VALUE"""),190)</f>
        <v>190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IFERROR(__xludf.DUMMYFUNCTION("""COMPUTED_VALUE"""),"Western Michigan")</f>
        <v>Western Michigan</v>
      </c>
      <c r="C92" s="1" t="str">
        <f ca="1">IFERROR(__xludf.DUMMYFUNCTION("""COMPUTED_VALUE"""),"MAC")</f>
        <v>MAC</v>
      </c>
      <c r="D92" s="1" t="str">
        <f ca="1">IFERROR(__xludf.DUMMYFUNCTION("""COMPUTED_VALUE"""),"20-11")</f>
        <v>20-11</v>
      </c>
      <c r="E92" s="1" t="str">
        <f ca="1">IFERROR(__xludf.DUMMYFUNCTION("""COMPUTED_VALUE"""),"+7.66")</f>
        <v>+7.66</v>
      </c>
      <c r="F92" s="1">
        <f ca="1">IFERROR(__xludf.DUMMYFUNCTION("""COMPUTED_VALUE"""),101.7)</f>
        <v>101.7</v>
      </c>
      <c r="G92" s="1">
        <f ca="1">IFERROR(__xludf.DUMMYFUNCTION("""COMPUTED_VALUE"""),174)</f>
        <v>174</v>
      </c>
      <c r="H92" s="1">
        <f ca="1">IFERROR(__xludf.DUMMYFUNCTION("""COMPUTED_VALUE"""),94)</f>
        <v>94</v>
      </c>
      <c r="I92" s="1">
        <f ca="1">IFERROR(__xludf.DUMMYFUNCTION("""COMPUTED_VALUE"""),30)</f>
        <v>30</v>
      </c>
      <c r="J92" s="1">
        <f ca="1">IFERROR(__xludf.DUMMYFUNCTION("""COMPUTED_VALUE"""),65.3)</f>
        <v>65.3</v>
      </c>
      <c r="K92" s="1">
        <f ca="1">IFERROR(__xludf.DUMMYFUNCTION("""COMPUTED_VALUE"""),242)</f>
        <v>242</v>
      </c>
      <c r="L92" s="1" t="str">
        <f ca="1">IFERROR(__xludf.DUMMYFUNCTION("""COMPUTED_VALUE"""),"+.015")</f>
        <v>+.015</v>
      </c>
      <c r="M92" s="1">
        <f ca="1">IFERROR(__xludf.DUMMYFUNCTION("""COMPUTED_VALUE"""),124)</f>
        <v>124</v>
      </c>
      <c r="N92" s="1" t="str">
        <f ca="1">IFERROR(__xludf.DUMMYFUNCTION("""COMPUTED_VALUE"""),"+1.19")</f>
        <v>+1.19</v>
      </c>
      <c r="O92" s="1">
        <f ca="1">IFERROR(__xludf.DUMMYFUNCTION("""COMPUTED_VALUE"""),135)</f>
        <v>135</v>
      </c>
      <c r="P92" s="1">
        <f ca="1">IFERROR(__xludf.DUMMYFUNCTION("""COMPUTED_VALUE"""),104.5)</f>
        <v>104.5</v>
      </c>
      <c r="Q92" s="1">
        <f ca="1">IFERROR(__xludf.DUMMYFUNCTION("""COMPUTED_VALUE"""),91)</f>
        <v>91</v>
      </c>
      <c r="R92" s="1">
        <f ca="1">IFERROR(__xludf.DUMMYFUNCTION("""COMPUTED_VALUE"""),103.3)</f>
        <v>103.3</v>
      </c>
      <c r="S92" s="1">
        <f ca="1">IFERROR(__xludf.DUMMYFUNCTION("""COMPUTED_VALUE"""),198)</f>
        <v>198</v>
      </c>
      <c r="T92" s="1" t="str">
        <f ca="1">IFERROR(__xludf.DUMMYFUNCTION("""COMPUTED_VALUE"""),"+2.71")</f>
        <v>+2.71</v>
      </c>
      <c r="U92" s="1">
        <f ca="1">IFERROR(__xludf.DUMMYFUNCTION("""COMPUTED_VALUE"""),91)</f>
        <v>91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IFERROR(__xludf.DUMMYFUNCTION("""COMPUTED_VALUE"""),"New Mexico St.")</f>
        <v>New Mexico St.</v>
      </c>
      <c r="C93" s="1" t="str">
        <f ca="1">IFERROR(__xludf.DUMMYFUNCTION("""COMPUTED_VALUE"""),"SB")</f>
        <v>SB</v>
      </c>
      <c r="D93" s="1" t="str">
        <f ca="1">IFERROR(__xludf.DUMMYFUNCTION("""COMPUTED_VALUE"""),"19-9")</f>
        <v>19-9</v>
      </c>
      <c r="E93" s="1" t="str">
        <f ca="1">IFERROR(__xludf.DUMMYFUNCTION("""COMPUTED_VALUE"""),"+7.51")</f>
        <v>+7.51</v>
      </c>
      <c r="F93" s="1">
        <f ca="1">IFERROR(__xludf.DUMMYFUNCTION("""COMPUTED_VALUE"""),107.7)</f>
        <v>107.7</v>
      </c>
      <c r="G93" s="1">
        <f ca="1">IFERROR(__xludf.DUMMYFUNCTION("""COMPUTED_VALUE"""),78)</f>
        <v>78</v>
      </c>
      <c r="H93" s="1">
        <f ca="1">IFERROR(__xludf.DUMMYFUNCTION("""COMPUTED_VALUE"""),100.2)</f>
        <v>100.2</v>
      </c>
      <c r="I93" s="1">
        <f ca="1">IFERROR(__xludf.DUMMYFUNCTION("""COMPUTED_VALUE"""),128)</f>
        <v>128</v>
      </c>
      <c r="J93" s="1">
        <f ca="1">IFERROR(__xludf.DUMMYFUNCTION("""COMPUTED_VALUE"""),67.2)</f>
        <v>67.2</v>
      </c>
      <c r="K93" s="1">
        <f ca="1">IFERROR(__xludf.DUMMYFUNCTION("""COMPUTED_VALUE"""),157)</f>
        <v>157</v>
      </c>
      <c r="L93" s="1">
        <f ca="1">IFERROR(__xludf.DUMMYFUNCTION("""COMPUTED_VALUE"""),-0.005)</f>
        <v>-5.0000000000000001E-3</v>
      </c>
      <c r="M93" s="1">
        <f ca="1">IFERROR(__xludf.DUMMYFUNCTION("""COMPUTED_VALUE"""),176)</f>
        <v>176</v>
      </c>
      <c r="N93" s="1">
        <f ca="1">IFERROR(__xludf.DUMMYFUNCTION("""COMPUTED_VALUE"""),-0.93)</f>
        <v>-0.93</v>
      </c>
      <c r="O93" s="1">
        <f ca="1">IFERROR(__xludf.DUMMYFUNCTION("""COMPUTED_VALUE"""),169)</f>
        <v>169</v>
      </c>
      <c r="P93" s="1">
        <f ca="1">IFERROR(__xludf.DUMMYFUNCTION("""COMPUTED_VALUE"""),102)</f>
        <v>102</v>
      </c>
      <c r="Q93" s="1">
        <f ca="1">IFERROR(__xludf.DUMMYFUNCTION("""COMPUTED_VALUE"""),177)</f>
        <v>177</v>
      </c>
      <c r="R93" s="1">
        <f ca="1">IFERROR(__xludf.DUMMYFUNCTION("""COMPUTED_VALUE"""),102.9)</f>
        <v>102.9</v>
      </c>
      <c r="S93" s="1">
        <f ca="1">IFERROR(__xludf.DUMMYFUNCTION("""COMPUTED_VALUE"""),180)</f>
        <v>180</v>
      </c>
      <c r="T93" s="1">
        <f ca="1">IFERROR(__xludf.DUMMYFUNCTION("""COMPUTED_VALUE"""),-7.35)</f>
        <v>-7.35</v>
      </c>
      <c r="U93" s="1">
        <f ca="1">IFERROR(__xludf.DUMMYFUNCTION("""COMPUTED_VALUE"""),300)</f>
        <v>300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IFERROR(__xludf.DUMMYFUNCTION("""COMPUTED_VALUE"""),"Utah St.15")</f>
        <v>Utah St.15</v>
      </c>
      <c r="C94" s="1" t="str">
        <f ca="1">IFERROR(__xludf.DUMMYFUNCTION("""COMPUTED_VALUE"""),"BW")</f>
        <v>BW</v>
      </c>
      <c r="D94" s="1" t="str">
        <f ca="1">IFERROR(__xludf.DUMMYFUNCTION("""COMPUTED_VALUE"""),"22-9")</f>
        <v>22-9</v>
      </c>
      <c r="E94" s="1" t="str">
        <f ca="1">IFERROR(__xludf.DUMMYFUNCTION("""COMPUTED_VALUE"""),"+7.41")</f>
        <v>+7.41</v>
      </c>
      <c r="F94" s="1">
        <f ca="1">IFERROR(__xludf.DUMMYFUNCTION("""COMPUTED_VALUE"""),107.1)</f>
        <v>107.1</v>
      </c>
      <c r="G94" s="1">
        <f ca="1">IFERROR(__xludf.DUMMYFUNCTION("""COMPUTED_VALUE"""),85)</f>
        <v>85</v>
      </c>
      <c r="H94" s="1">
        <f ca="1">IFERROR(__xludf.DUMMYFUNCTION("""COMPUTED_VALUE"""),99.7)</f>
        <v>99.7</v>
      </c>
      <c r="I94" s="1">
        <f ca="1">IFERROR(__xludf.DUMMYFUNCTION("""COMPUTED_VALUE"""),117)</f>
        <v>117</v>
      </c>
      <c r="J94" s="1">
        <f ca="1">IFERROR(__xludf.DUMMYFUNCTION("""COMPUTED_VALUE"""),61)</f>
        <v>61</v>
      </c>
      <c r="K94" s="1">
        <f ca="1">IFERROR(__xludf.DUMMYFUNCTION("""COMPUTED_VALUE"""),315)</f>
        <v>315</v>
      </c>
      <c r="L94" s="1" t="str">
        <f ca="1">IFERROR(__xludf.DUMMYFUNCTION("""COMPUTED_VALUE"""),"+.003")</f>
        <v>+.003</v>
      </c>
      <c r="M94" s="1">
        <f ca="1">IFERROR(__xludf.DUMMYFUNCTION("""COMPUTED_VALUE"""),159)</f>
        <v>159</v>
      </c>
      <c r="N94" s="1">
        <f ca="1">IFERROR(__xludf.DUMMYFUNCTION("""COMPUTED_VALUE"""),-2)</f>
        <v>-2</v>
      </c>
      <c r="O94" s="1">
        <f ca="1">IFERROR(__xludf.DUMMYFUNCTION("""COMPUTED_VALUE"""),193)</f>
        <v>193</v>
      </c>
      <c r="P94" s="1">
        <f ca="1">IFERROR(__xludf.DUMMYFUNCTION("""COMPUTED_VALUE"""),101.1)</f>
        <v>101.1</v>
      </c>
      <c r="Q94" s="1">
        <f ca="1">IFERROR(__xludf.DUMMYFUNCTION("""COMPUTED_VALUE"""),198)</f>
        <v>198</v>
      </c>
      <c r="R94" s="1">
        <f ca="1">IFERROR(__xludf.DUMMYFUNCTION("""COMPUTED_VALUE"""),103.1)</f>
        <v>103.1</v>
      </c>
      <c r="S94" s="1">
        <f ca="1">IFERROR(__xludf.DUMMYFUNCTION("""COMPUTED_VALUE"""),188)</f>
        <v>188</v>
      </c>
      <c r="T94" s="1">
        <f ca="1">IFERROR(__xludf.DUMMYFUNCTION("""COMPUTED_VALUE"""),-0.07)</f>
        <v>-7.0000000000000007E-2</v>
      </c>
      <c r="U94" s="1">
        <f ca="1">IFERROR(__xludf.DUMMYFUNCTION("""COMPUTED_VALUE"""),155)</f>
        <v>155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IFERROR(__xludf.DUMMYFUNCTION("""COMPUTED_VALUE"""),"Texas A&amp;M")</f>
        <v>Texas A&amp;M</v>
      </c>
      <c r="C95" s="1" t="str">
        <f ca="1">IFERROR(__xludf.DUMMYFUNCTION("""COMPUTED_VALUE"""),"B12")</f>
        <v>B12</v>
      </c>
      <c r="D95" s="1" t="str">
        <f ca="1">IFERROR(__xludf.DUMMYFUNCTION("""COMPUTED_VALUE"""),"14-14")</f>
        <v>14-14</v>
      </c>
      <c r="E95" s="1" t="str">
        <f ca="1">IFERROR(__xludf.DUMMYFUNCTION("""COMPUTED_VALUE"""),"+6.97")</f>
        <v>+6.97</v>
      </c>
      <c r="F95" s="1">
        <f ca="1">IFERROR(__xludf.DUMMYFUNCTION("""COMPUTED_VALUE"""),104.4)</f>
        <v>104.4</v>
      </c>
      <c r="G95" s="1">
        <f ca="1">IFERROR(__xludf.DUMMYFUNCTION("""COMPUTED_VALUE"""),126)</f>
        <v>126</v>
      </c>
      <c r="H95" s="1">
        <f ca="1">IFERROR(__xludf.DUMMYFUNCTION("""COMPUTED_VALUE"""),97.4)</f>
        <v>97.4</v>
      </c>
      <c r="I95" s="1">
        <f ca="1">IFERROR(__xludf.DUMMYFUNCTION("""COMPUTED_VALUE"""),77)</f>
        <v>77</v>
      </c>
      <c r="J95" s="1">
        <f ca="1">IFERROR(__xludf.DUMMYFUNCTION("""COMPUTED_VALUE"""),70.4)</f>
        <v>70.400000000000006</v>
      </c>
      <c r="K95" s="1">
        <f ca="1">IFERROR(__xludf.DUMMYFUNCTION("""COMPUTED_VALUE"""),44)</f>
        <v>44</v>
      </c>
      <c r="L95" s="1" t="str">
        <f ca="1">IFERROR(__xludf.DUMMYFUNCTION("""COMPUTED_VALUE"""),"+.022")</f>
        <v>+.022</v>
      </c>
      <c r="M95" s="1">
        <f ca="1">IFERROR(__xludf.DUMMYFUNCTION("""COMPUTED_VALUE"""),113)</f>
        <v>113</v>
      </c>
      <c r="N95" s="1" t="str">
        <f ca="1">IFERROR(__xludf.DUMMYFUNCTION("""COMPUTED_VALUE"""),"+7.68")</f>
        <v>+7.68</v>
      </c>
      <c r="O95" s="1">
        <f ca="1">IFERROR(__xludf.DUMMYFUNCTION("""COMPUTED_VALUE"""),46)</f>
        <v>46</v>
      </c>
      <c r="P95" s="1">
        <f ca="1">IFERROR(__xludf.DUMMYFUNCTION("""COMPUTED_VALUE"""),106.2)</f>
        <v>106.2</v>
      </c>
      <c r="Q95" s="1">
        <f ca="1">IFERROR(__xludf.DUMMYFUNCTION("""COMPUTED_VALUE"""),47)</f>
        <v>47</v>
      </c>
      <c r="R95" s="1">
        <f ca="1">IFERROR(__xludf.DUMMYFUNCTION("""COMPUTED_VALUE"""),98.5)</f>
        <v>98.5</v>
      </c>
      <c r="S95" s="1">
        <f ca="1">IFERROR(__xludf.DUMMYFUNCTION("""COMPUTED_VALUE"""),51)</f>
        <v>51</v>
      </c>
      <c r="T95" s="1">
        <f ca="1">IFERROR(__xludf.DUMMYFUNCTION("""COMPUTED_VALUE"""),-5.28)</f>
        <v>-5.28</v>
      </c>
      <c r="U95" s="1">
        <f ca="1">IFERROR(__xludf.DUMMYFUNCTION("""COMPUTED_VALUE"""),280)</f>
        <v>280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IFERROR(__xludf.DUMMYFUNCTION("""COMPUTED_VALUE"""),"Vanderbilt")</f>
        <v>Vanderbilt</v>
      </c>
      <c r="C96" s="1" t="str">
        <f ca="1">IFERROR(__xludf.DUMMYFUNCTION("""COMPUTED_VALUE"""),"SEC")</f>
        <v>SEC</v>
      </c>
      <c r="D96" s="2">
        <f ca="1">IFERROR(__xludf.DUMMYFUNCTION("""COMPUTED_VALUE"""),44883)</f>
        <v>44883</v>
      </c>
      <c r="E96" s="1" t="str">
        <f ca="1">IFERROR(__xludf.DUMMYFUNCTION("""COMPUTED_VALUE"""),"+6.78")</f>
        <v>+6.78</v>
      </c>
      <c r="F96" s="1">
        <f ca="1">IFERROR(__xludf.DUMMYFUNCTION("""COMPUTED_VALUE"""),103.7)</f>
        <v>103.7</v>
      </c>
      <c r="G96" s="1">
        <f ca="1">IFERROR(__xludf.DUMMYFUNCTION("""COMPUTED_VALUE"""),135)</f>
        <v>135</v>
      </c>
      <c r="H96" s="1">
        <f ca="1">IFERROR(__xludf.DUMMYFUNCTION("""COMPUTED_VALUE"""),96.9)</f>
        <v>96.9</v>
      </c>
      <c r="I96" s="1">
        <f ca="1">IFERROR(__xludf.DUMMYFUNCTION("""COMPUTED_VALUE"""),69)</f>
        <v>69</v>
      </c>
      <c r="J96" s="1">
        <f ca="1">IFERROR(__xludf.DUMMYFUNCTION("""COMPUTED_VALUE"""),69.3)</f>
        <v>69.3</v>
      </c>
      <c r="K96" s="1">
        <f ca="1">IFERROR(__xludf.DUMMYFUNCTION("""COMPUTED_VALUE"""),68)</f>
        <v>68</v>
      </c>
      <c r="L96" s="1">
        <f ca="1">IFERROR(__xludf.DUMMYFUNCTION("""COMPUTED_VALUE"""),-0.049)</f>
        <v>-4.9000000000000002E-2</v>
      </c>
      <c r="M96" s="1">
        <f ca="1">IFERROR(__xludf.DUMMYFUNCTION("""COMPUTED_VALUE"""),278)</f>
        <v>278</v>
      </c>
      <c r="N96" s="1" t="str">
        <f ca="1">IFERROR(__xludf.DUMMYFUNCTION("""COMPUTED_VALUE"""),"+10.95")</f>
        <v>+10.95</v>
      </c>
      <c r="O96" s="1">
        <f ca="1">IFERROR(__xludf.DUMMYFUNCTION("""COMPUTED_VALUE"""),7)</f>
        <v>7</v>
      </c>
      <c r="P96" s="1">
        <f ca="1">IFERROR(__xludf.DUMMYFUNCTION("""COMPUTED_VALUE"""),108.4)</f>
        <v>108.4</v>
      </c>
      <c r="Q96" s="1">
        <f ca="1">IFERROR(__xludf.DUMMYFUNCTION("""COMPUTED_VALUE"""),4)</f>
        <v>4</v>
      </c>
      <c r="R96" s="1">
        <f ca="1">IFERROR(__xludf.DUMMYFUNCTION("""COMPUTED_VALUE"""),97.4)</f>
        <v>97.4</v>
      </c>
      <c r="S96" s="1">
        <f ca="1">IFERROR(__xludf.DUMMYFUNCTION("""COMPUTED_VALUE"""),17)</f>
        <v>17</v>
      </c>
      <c r="T96" s="1">
        <f ca="1">IFERROR(__xludf.DUMMYFUNCTION("""COMPUTED_VALUE"""),-1.35)</f>
        <v>-1.35</v>
      </c>
      <c r="U96" s="1">
        <f ca="1">IFERROR(__xludf.DUMMYFUNCTION("""COMPUTED_VALUE"""),185)</f>
        <v>185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IFERROR(__xludf.DUMMYFUNCTION("""COMPUTED_VALUE"""),"USC")</f>
        <v>USC</v>
      </c>
      <c r="C97" s="1" t="str">
        <f ca="1">IFERROR(__xludf.DUMMYFUNCTION("""COMPUTED_VALUE"""),"P10")</f>
        <v>P10</v>
      </c>
      <c r="D97" s="1" t="str">
        <f ca="1">IFERROR(__xludf.DUMMYFUNCTION("""COMPUTED_VALUE"""),"13-17")</f>
        <v>13-17</v>
      </c>
      <c r="E97" s="1" t="str">
        <f ca="1">IFERROR(__xludf.DUMMYFUNCTION("""COMPUTED_VALUE"""),"+6.74")</f>
        <v>+6.74</v>
      </c>
      <c r="F97" s="1">
        <f ca="1">IFERROR(__xludf.DUMMYFUNCTION("""COMPUTED_VALUE"""),105.2)</f>
        <v>105.2</v>
      </c>
      <c r="G97" s="1">
        <f ca="1">IFERROR(__xludf.DUMMYFUNCTION("""COMPUTED_VALUE"""),114)</f>
        <v>114</v>
      </c>
      <c r="H97" s="1">
        <f ca="1">IFERROR(__xludf.DUMMYFUNCTION("""COMPUTED_VALUE"""),98.4)</f>
        <v>98.4</v>
      </c>
      <c r="I97" s="1">
        <f ca="1">IFERROR(__xludf.DUMMYFUNCTION("""COMPUTED_VALUE"""),93)</f>
        <v>93</v>
      </c>
      <c r="J97" s="1">
        <f ca="1">IFERROR(__xludf.DUMMYFUNCTION("""COMPUTED_VALUE"""),73.3)</f>
        <v>73.3</v>
      </c>
      <c r="K97" s="1">
        <f ca="1">IFERROR(__xludf.DUMMYFUNCTION("""COMPUTED_VALUE"""),5)</f>
        <v>5</v>
      </c>
      <c r="L97" s="1">
        <f ca="1">IFERROR(__xludf.DUMMYFUNCTION("""COMPUTED_VALUE"""),-0.055)</f>
        <v>-5.5E-2</v>
      </c>
      <c r="M97" s="1">
        <f ca="1">IFERROR(__xludf.DUMMYFUNCTION("""COMPUTED_VALUE"""),284)</f>
        <v>284</v>
      </c>
      <c r="N97" s="1" t="str">
        <f ca="1">IFERROR(__xludf.DUMMYFUNCTION("""COMPUTED_VALUE"""),"+7.38")</f>
        <v>+7.38</v>
      </c>
      <c r="O97" s="1">
        <f ca="1">IFERROR(__xludf.DUMMYFUNCTION("""COMPUTED_VALUE"""),49)</f>
        <v>49</v>
      </c>
      <c r="P97" s="1">
        <f ca="1">IFERROR(__xludf.DUMMYFUNCTION("""COMPUTED_VALUE"""),106.6)</f>
        <v>106.6</v>
      </c>
      <c r="Q97" s="1">
        <f ca="1">IFERROR(__xludf.DUMMYFUNCTION("""COMPUTED_VALUE"""),35)</f>
        <v>35</v>
      </c>
      <c r="R97" s="1">
        <f ca="1">IFERROR(__xludf.DUMMYFUNCTION("""COMPUTED_VALUE"""),99.2)</f>
        <v>99.2</v>
      </c>
      <c r="S97" s="1">
        <f ca="1">IFERROR(__xludf.DUMMYFUNCTION("""COMPUTED_VALUE"""),66)</f>
        <v>66</v>
      </c>
      <c r="T97" s="1" t="str">
        <f ca="1">IFERROR(__xludf.DUMMYFUNCTION("""COMPUTED_VALUE"""),"+0.12")</f>
        <v>+0.12</v>
      </c>
      <c r="U97" s="1">
        <f ca="1">IFERROR(__xludf.DUMMYFUNCTION("""COMPUTED_VALUE"""),154)</f>
        <v>154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IFERROR(__xludf.DUMMYFUNCTION("""COMPUTED_VALUE"""),"San Diego St.")</f>
        <v>San Diego St.</v>
      </c>
      <c r="C98" s="1" t="str">
        <f ca="1">IFERROR(__xludf.DUMMYFUNCTION("""COMPUTED_VALUE"""),"MWC")</f>
        <v>MWC</v>
      </c>
      <c r="D98" s="1" t="str">
        <f ca="1">IFERROR(__xludf.DUMMYFUNCTION("""COMPUTED_VALUE"""),"15-13")</f>
        <v>15-13</v>
      </c>
      <c r="E98" s="1" t="str">
        <f ca="1">IFERROR(__xludf.DUMMYFUNCTION("""COMPUTED_VALUE"""),"+6.69")</f>
        <v>+6.69</v>
      </c>
      <c r="F98" s="1">
        <f ca="1">IFERROR(__xludf.DUMMYFUNCTION("""COMPUTED_VALUE"""),108)</f>
        <v>108</v>
      </c>
      <c r="G98" s="1">
        <f ca="1">IFERROR(__xludf.DUMMYFUNCTION("""COMPUTED_VALUE"""),67)</f>
        <v>67</v>
      </c>
      <c r="H98" s="1">
        <f ca="1">IFERROR(__xludf.DUMMYFUNCTION("""COMPUTED_VALUE"""),101.3)</f>
        <v>101.3</v>
      </c>
      <c r="I98" s="1">
        <f ca="1">IFERROR(__xludf.DUMMYFUNCTION("""COMPUTED_VALUE"""),149)</f>
        <v>149</v>
      </c>
      <c r="J98" s="1">
        <f ca="1">IFERROR(__xludf.DUMMYFUNCTION("""COMPUTED_VALUE"""),66.9)</f>
        <v>66.900000000000006</v>
      </c>
      <c r="K98" s="1">
        <f ca="1">IFERROR(__xludf.DUMMYFUNCTION("""COMPUTED_VALUE"""),171)</f>
        <v>171</v>
      </c>
      <c r="L98" s="1">
        <f ca="1">IFERROR(__xludf.DUMMYFUNCTION("""COMPUTED_VALUE"""),-0.023)</f>
        <v>-2.3E-2</v>
      </c>
      <c r="M98" s="1">
        <f ca="1">IFERROR(__xludf.DUMMYFUNCTION("""COMPUTED_VALUE"""),226)</f>
        <v>226</v>
      </c>
      <c r="N98" s="1" t="str">
        <f ca="1">IFERROR(__xludf.DUMMYFUNCTION("""COMPUTED_VALUE"""),"+3.61")</f>
        <v>+3.61</v>
      </c>
      <c r="O98" s="1">
        <f ca="1">IFERROR(__xludf.DUMMYFUNCTION("""COMPUTED_VALUE"""),99)</f>
        <v>99</v>
      </c>
      <c r="P98" s="1">
        <f ca="1">IFERROR(__xludf.DUMMYFUNCTION("""COMPUTED_VALUE"""),104.3)</f>
        <v>104.3</v>
      </c>
      <c r="Q98" s="1">
        <f ca="1">IFERROR(__xludf.DUMMYFUNCTION("""COMPUTED_VALUE"""),103)</f>
        <v>103</v>
      </c>
      <c r="R98" s="1">
        <f ca="1">IFERROR(__xludf.DUMMYFUNCTION("""COMPUTED_VALUE"""),100.7)</f>
        <v>100.7</v>
      </c>
      <c r="S98" s="1">
        <f ca="1">IFERROR(__xludf.DUMMYFUNCTION("""COMPUTED_VALUE"""),98)</f>
        <v>98</v>
      </c>
      <c r="T98" s="1">
        <f ca="1">IFERROR(__xludf.DUMMYFUNCTION("""COMPUTED_VALUE"""),-3.2)</f>
        <v>-3.2</v>
      </c>
      <c r="U98" s="1">
        <f ca="1">IFERROR(__xludf.DUMMYFUNCTION("""COMPUTED_VALUE"""),228)</f>
        <v>228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IFERROR(__xludf.DUMMYFUNCTION("""COMPUTED_VALUE"""),"Valparaiso")</f>
        <v>Valparaiso</v>
      </c>
      <c r="C99" s="1" t="str">
        <f ca="1">IFERROR(__xludf.DUMMYFUNCTION("""COMPUTED_VALUE"""),"MCon")</f>
        <v>MCon</v>
      </c>
      <c r="D99" s="1" t="str">
        <f ca="1">IFERROR(__xludf.DUMMYFUNCTION("""COMPUTED_VALUE"""),"20-11")</f>
        <v>20-11</v>
      </c>
      <c r="E99" s="1" t="str">
        <f ca="1">IFERROR(__xludf.DUMMYFUNCTION("""COMPUTED_VALUE"""),"+6.66")</f>
        <v>+6.66</v>
      </c>
      <c r="F99" s="1">
        <f ca="1">IFERROR(__xludf.DUMMYFUNCTION("""COMPUTED_VALUE"""),103.7)</f>
        <v>103.7</v>
      </c>
      <c r="G99" s="1">
        <f ca="1">IFERROR(__xludf.DUMMYFUNCTION("""COMPUTED_VALUE"""),134)</f>
        <v>134</v>
      </c>
      <c r="H99" s="1">
        <f ca="1">IFERROR(__xludf.DUMMYFUNCTION("""COMPUTED_VALUE"""),97.1)</f>
        <v>97.1</v>
      </c>
      <c r="I99" s="1">
        <f ca="1">IFERROR(__xludf.DUMMYFUNCTION("""COMPUTED_VALUE"""),72)</f>
        <v>72</v>
      </c>
      <c r="J99" s="1">
        <f ca="1">IFERROR(__xludf.DUMMYFUNCTION("""COMPUTED_VALUE"""),65.8)</f>
        <v>65.8</v>
      </c>
      <c r="K99" s="1">
        <f ca="1">IFERROR(__xludf.DUMMYFUNCTION("""COMPUTED_VALUE"""),215)</f>
        <v>215</v>
      </c>
      <c r="L99" s="1" t="str">
        <f ca="1">IFERROR(__xludf.DUMMYFUNCTION("""COMPUTED_VALUE"""),"+.021")</f>
        <v>+.021</v>
      </c>
      <c r="M99" s="1">
        <f ca="1">IFERROR(__xludf.DUMMYFUNCTION("""COMPUTED_VALUE"""),116)</f>
        <v>116</v>
      </c>
      <c r="N99" s="1">
        <f ca="1">IFERROR(__xludf.DUMMYFUNCTION("""COMPUTED_VALUE"""),-1.52)</f>
        <v>-1.52</v>
      </c>
      <c r="O99" s="1">
        <f ca="1">IFERROR(__xludf.DUMMYFUNCTION("""COMPUTED_VALUE"""),181)</f>
        <v>181</v>
      </c>
      <c r="P99" s="1">
        <f ca="1">IFERROR(__xludf.DUMMYFUNCTION("""COMPUTED_VALUE"""),102.6)</f>
        <v>102.6</v>
      </c>
      <c r="Q99" s="1">
        <f ca="1">IFERROR(__xludf.DUMMYFUNCTION("""COMPUTED_VALUE"""),158)</f>
        <v>158</v>
      </c>
      <c r="R99" s="1">
        <f ca="1">IFERROR(__xludf.DUMMYFUNCTION("""COMPUTED_VALUE"""),104.1)</f>
        <v>104.1</v>
      </c>
      <c r="S99" s="1">
        <f ca="1">IFERROR(__xludf.DUMMYFUNCTION("""COMPUTED_VALUE"""),233)</f>
        <v>233</v>
      </c>
      <c r="T99" s="1" t="str">
        <f ca="1">IFERROR(__xludf.DUMMYFUNCTION("""COMPUTED_VALUE"""),"+8.67")</f>
        <v>+8.67</v>
      </c>
      <c r="U99" s="1">
        <f ca="1">IFERROR(__xludf.DUMMYFUNCTION("""COMPUTED_VALUE"""),22)</f>
        <v>22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IFERROR(__xludf.DUMMYFUNCTION("""COMPUTED_VALUE"""),"Kent St.")</f>
        <v>Kent St.</v>
      </c>
      <c r="C100" s="1" t="str">
        <f ca="1">IFERROR(__xludf.DUMMYFUNCTION("""COMPUTED_VALUE"""),"MAC")</f>
        <v>MAC</v>
      </c>
      <c r="D100" s="1" t="str">
        <f ca="1">IFERROR(__xludf.DUMMYFUNCTION("""COMPUTED_VALUE"""),"20-10")</f>
        <v>20-10</v>
      </c>
      <c r="E100" s="1" t="str">
        <f ca="1">IFERROR(__xludf.DUMMYFUNCTION("""COMPUTED_VALUE"""),"+6.51")</f>
        <v>+6.51</v>
      </c>
      <c r="F100" s="1">
        <f ca="1">IFERROR(__xludf.DUMMYFUNCTION("""COMPUTED_VALUE"""),111.2)</f>
        <v>111.2</v>
      </c>
      <c r="G100" s="1">
        <f ca="1">IFERROR(__xludf.DUMMYFUNCTION("""COMPUTED_VALUE"""),32)</f>
        <v>32</v>
      </c>
      <c r="H100" s="1">
        <f ca="1">IFERROR(__xludf.DUMMYFUNCTION("""COMPUTED_VALUE"""),104.7)</f>
        <v>104.7</v>
      </c>
      <c r="I100" s="1">
        <f ca="1">IFERROR(__xludf.DUMMYFUNCTION("""COMPUTED_VALUE"""),210)</f>
        <v>210</v>
      </c>
      <c r="J100" s="1">
        <f ca="1">IFERROR(__xludf.DUMMYFUNCTION("""COMPUTED_VALUE"""),66.7)</f>
        <v>66.7</v>
      </c>
      <c r="K100" s="1">
        <f ca="1">IFERROR(__xludf.DUMMYFUNCTION("""COMPUTED_VALUE"""),179)</f>
        <v>179</v>
      </c>
      <c r="L100" s="1" t="str">
        <f ca="1">IFERROR(__xludf.DUMMYFUNCTION("""COMPUTED_VALUE"""),"+.023")</f>
        <v>+.023</v>
      </c>
      <c r="M100" s="1">
        <f ca="1">IFERROR(__xludf.DUMMYFUNCTION("""COMPUTED_VALUE"""),110)</f>
        <v>110</v>
      </c>
      <c r="N100" s="1" t="str">
        <f ca="1">IFERROR(__xludf.DUMMYFUNCTION("""COMPUTED_VALUE"""),"+0.52")</f>
        <v>+0.52</v>
      </c>
      <c r="O100" s="1">
        <f ca="1">IFERROR(__xludf.DUMMYFUNCTION("""COMPUTED_VALUE"""),144)</f>
        <v>144</v>
      </c>
      <c r="P100" s="1">
        <f ca="1">IFERROR(__xludf.DUMMYFUNCTION("""COMPUTED_VALUE"""),103.6)</f>
        <v>103.6</v>
      </c>
      <c r="Q100" s="1">
        <f ca="1">IFERROR(__xludf.DUMMYFUNCTION("""COMPUTED_VALUE"""),124)</f>
        <v>124</v>
      </c>
      <c r="R100" s="1">
        <f ca="1">IFERROR(__xludf.DUMMYFUNCTION("""COMPUTED_VALUE"""),103.1)</f>
        <v>103.1</v>
      </c>
      <c r="S100" s="1">
        <f ca="1">IFERROR(__xludf.DUMMYFUNCTION("""COMPUTED_VALUE"""),187)</f>
        <v>187</v>
      </c>
      <c r="T100" s="1" t="str">
        <f ca="1">IFERROR(__xludf.DUMMYFUNCTION("""COMPUTED_VALUE"""),"+3.36")</f>
        <v>+3.36</v>
      </c>
      <c r="U100" s="1">
        <f ca="1">IFERROR(__xludf.DUMMYFUNCTION("""COMPUTED_VALUE"""),78)</f>
        <v>78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IFERROR(__xludf.DUMMYFUNCTION("""COMPUTED_VALUE"""),"UC Santa Barbara")</f>
        <v>UC Santa Barbara</v>
      </c>
      <c r="C101" s="1" t="str">
        <f ca="1">IFERROR(__xludf.DUMMYFUNCTION("""COMPUTED_VALUE"""),"BW")</f>
        <v>BW</v>
      </c>
      <c r="D101" s="1" t="str">
        <f ca="1">IFERROR(__xludf.DUMMYFUNCTION("""COMPUTED_VALUE"""),"18-14")</f>
        <v>18-14</v>
      </c>
      <c r="E101" s="1" t="str">
        <f ca="1">IFERROR(__xludf.DUMMYFUNCTION("""COMPUTED_VALUE"""),"+6.46")</f>
        <v>+6.46</v>
      </c>
      <c r="F101" s="1">
        <f ca="1">IFERROR(__xludf.DUMMYFUNCTION("""COMPUTED_VALUE"""),104.2)</f>
        <v>104.2</v>
      </c>
      <c r="G101" s="1">
        <f ca="1">IFERROR(__xludf.DUMMYFUNCTION("""COMPUTED_VALUE"""),129)</f>
        <v>129</v>
      </c>
      <c r="H101" s="1">
        <f ca="1">IFERROR(__xludf.DUMMYFUNCTION("""COMPUTED_VALUE"""),97.7)</f>
        <v>97.7</v>
      </c>
      <c r="I101" s="1">
        <f ca="1">IFERROR(__xludf.DUMMYFUNCTION("""COMPUTED_VALUE"""),84)</f>
        <v>84</v>
      </c>
      <c r="J101" s="1">
        <f ca="1">IFERROR(__xludf.DUMMYFUNCTION("""COMPUTED_VALUE"""),61.4)</f>
        <v>61.4</v>
      </c>
      <c r="K101" s="1">
        <f ca="1">IFERROR(__xludf.DUMMYFUNCTION("""COMPUTED_VALUE"""),314)</f>
        <v>314</v>
      </c>
      <c r="L101" s="1">
        <f ca="1">IFERROR(__xludf.DUMMYFUNCTION("""COMPUTED_VALUE"""),-0.08)</f>
        <v>-0.08</v>
      </c>
      <c r="M101" s="1">
        <f ca="1">IFERROR(__xludf.DUMMYFUNCTION("""COMPUTED_VALUE"""),304)</f>
        <v>304</v>
      </c>
      <c r="N101" s="1">
        <f ca="1">IFERROR(__xludf.DUMMYFUNCTION("""COMPUTED_VALUE"""),-0.9)</f>
        <v>-0.9</v>
      </c>
      <c r="O101" s="1">
        <f ca="1">IFERROR(__xludf.DUMMYFUNCTION("""COMPUTED_VALUE"""),168)</f>
        <v>168</v>
      </c>
      <c r="P101" s="1">
        <f ca="1">IFERROR(__xludf.DUMMYFUNCTION("""COMPUTED_VALUE"""),102.1)</f>
        <v>102.1</v>
      </c>
      <c r="Q101" s="1">
        <f ca="1">IFERROR(__xludf.DUMMYFUNCTION("""COMPUTED_VALUE"""),173)</f>
        <v>173</v>
      </c>
      <c r="R101" s="1">
        <f ca="1">IFERROR(__xludf.DUMMYFUNCTION("""COMPUTED_VALUE"""),103)</f>
        <v>103</v>
      </c>
      <c r="S101" s="1">
        <f ca="1">IFERROR(__xludf.DUMMYFUNCTION("""COMPUTED_VALUE"""),182)</f>
        <v>182</v>
      </c>
      <c r="T101" s="1" t="str">
        <f ca="1">IFERROR(__xludf.DUMMYFUNCTION("""COMPUTED_VALUE"""),"+3.39")</f>
        <v>+3.39</v>
      </c>
      <c r="U101" s="1">
        <f ca="1">IFERROR(__xludf.DUMMYFUNCTION("""COMPUTED_VALUE"""),76)</f>
        <v>76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IFERROR(__xludf.DUMMYFUNCTION("""COMPUTED_VALUE"""),"Wyoming")</f>
        <v>Wyoming</v>
      </c>
      <c r="C102" s="1" t="str">
        <f ca="1">IFERROR(__xludf.DUMMYFUNCTION("""COMPUTED_VALUE"""),"MWC")</f>
        <v>MWC</v>
      </c>
      <c r="D102" s="1" t="str">
        <f ca="1">IFERROR(__xludf.DUMMYFUNCTION("""COMPUTED_VALUE"""),"21-11")</f>
        <v>21-11</v>
      </c>
      <c r="E102" s="1" t="str">
        <f ca="1">IFERROR(__xludf.DUMMYFUNCTION("""COMPUTED_VALUE"""),"+6.34")</f>
        <v>+6.34</v>
      </c>
      <c r="F102" s="1">
        <f ca="1">IFERROR(__xludf.DUMMYFUNCTION("""COMPUTED_VALUE"""),108.5)</f>
        <v>108.5</v>
      </c>
      <c r="G102" s="1">
        <f ca="1">IFERROR(__xludf.DUMMYFUNCTION("""COMPUTED_VALUE"""),62)</f>
        <v>62</v>
      </c>
      <c r="H102" s="1">
        <f ca="1">IFERROR(__xludf.DUMMYFUNCTION("""COMPUTED_VALUE"""),102.2)</f>
        <v>102.2</v>
      </c>
      <c r="I102" s="1">
        <f ca="1">IFERROR(__xludf.DUMMYFUNCTION("""COMPUTED_VALUE"""),168)</f>
        <v>168</v>
      </c>
      <c r="J102" s="1">
        <f ca="1">IFERROR(__xludf.DUMMYFUNCTION("""COMPUTED_VALUE"""),68)</f>
        <v>68</v>
      </c>
      <c r="K102" s="1">
        <f ca="1">IFERROR(__xludf.DUMMYFUNCTION("""COMPUTED_VALUE"""),121)</f>
        <v>121</v>
      </c>
      <c r="L102" s="1" t="str">
        <f ca="1">IFERROR(__xludf.DUMMYFUNCTION("""COMPUTED_VALUE"""),"+.082")</f>
        <v>+.082</v>
      </c>
      <c r="M102" s="1">
        <f ca="1">IFERROR(__xludf.DUMMYFUNCTION("""COMPUTED_VALUE"""),18)</f>
        <v>18</v>
      </c>
      <c r="N102" s="1" t="str">
        <f ca="1">IFERROR(__xludf.DUMMYFUNCTION("""COMPUTED_VALUE"""),"+3.04")</f>
        <v>+3.04</v>
      </c>
      <c r="O102" s="1">
        <f ca="1">IFERROR(__xludf.DUMMYFUNCTION("""COMPUTED_VALUE"""),108)</f>
        <v>108</v>
      </c>
      <c r="P102" s="1">
        <f ca="1">IFERROR(__xludf.DUMMYFUNCTION("""COMPUTED_VALUE"""),103.8)</f>
        <v>103.8</v>
      </c>
      <c r="Q102" s="1">
        <f ca="1">IFERROR(__xludf.DUMMYFUNCTION("""COMPUTED_VALUE"""),122)</f>
        <v>122</v>
      </c>
      <c r="R102" s="1">
        <f ca="1">IFERROR(__xludf.DUMMYFUNCTION("""COMPUTED_VALUE"""),100.7)</f>
        <v>100.7</v>
      </c>
      <c r="S102" s="1">
        <f ca="1">IFERROR(__xludf.DUMMYFUNCTION("""COMPUTED_VALUE"""),100)</f>
        <v>100</v>
      </c>
      <c r="T102" s="1">
        <f ca="1">IFERROR(__xludf.DUMMYFUNCTION("""COMPUTED_VALUE"""),-2.51)</f>
        <v>-2.5099999999999998</v>
      </c>
      <c r="U102" s="1">
        <f ca="1">IFERROR(__xludf.DUMMYFUNCTION("""COMPUTED_VALUE"""),216)</f>
        <v>216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IFERROR(__xludf.DUMMYFUNCTION("""COMPUTED_VALUE"""),"Richmond")</f>
        <v>Richmond</v>
      </c>
      <c r="C103" s="1" t="str">
        <f ca="1">IFERROR(__xludf.DUMMYFUNCTION("""COMPUTED_VALUE"""),"A10")</f>
        <v>A10</v>
      </c>
      <c r="D103" s="1" t="str">
        <f ca="1">IFERROR(__xludf.DUMMYFUNCTION("""COMPUTED_VALUE"""),"15-14")</f>
        <v>15-14</v>
      </c>
      <c r="E103" s="1" t="str">
        <f ca="1">IFERROR(__xludf.DUMMYFUNCTION("""COMPUTED_VALUE"""),"+6.28")</f>
        <v>+6.28</v>
      </c>
      <c r="F103" s="1">
        <f ca="1">IFERROR(__xludf.DUMMYFUNCTION("""COMPUTED_VALUE"""),101.4)</f>
        <v>101.4</v>
      </c>
      <c r="G103" s="1">
        <f ca="1">IFERROR(__xludf.DUMMYFUNCTION("""COMPUTED_VALUE"""),180)</f>
        <v>180</v>
      </c>
      <c r="H103" s="1">
        <f ca="1">IFERROR(__xludf.DUMMYFUNCTION("""COMPUTED_VALUE"""),95.2)</f>
        <v>95.2</v>
      </c>
      <c r="I103" s="1">
        <f ca="1">IFERROR(__xludf.DUMMYFUNCTION("""COMPUTED_VALUE"""),48)</f>
        <v>48</v>
      </c>
      <c r="J103" s="1">
        <f ca="1">IFERROR(__xludf.DUMMYFUNCTION("""COMPUTED_VALUE"""),62.1)</f>
        <v>62.1</v>
      </c>
      <c r="K103" s="1">
        <f ca="1">IFERROR(__xludf.DUMMYFUNCTION("""COMPUTED_VALUE"""),306)</f>
        <v>306</v>
      </c>
      <c r="L103" s="1">
        <f ca="1">IFERROR(__xludf.DUMMYFUNCTION("""COMPUTED_VALUE"""),-0.037)</f>
        <v>-3.6999999999999998E-2</v>
      </c>
      <c r="M103" s="1">
        <f ca="1">IFERROR(__xludf.DUMMYFUNCTION("""COMPUTED_VALUE"""),264)</f>
        <v>264</v>
      </c>
      <c r="N103" s="1" t="str">
        <f ca="1">IFERROR(__xludf.DUMMYFUNCTION("""COMPUTED_VALUE"""),"+3.77")</f>
        <v>+3.77</v>
      </c>
      <c r="O103" s="1">
        <f ca="1">IFERROR(__xludf.DUMMYFUNCTION("""COMPUTED_VALUE"""),95)</f>
        <v>95</v>
      </c>
      <c r="P103" s="1">
        <f ca="1">IFERROR(__xludf.DUMMYFUNCTION("""COMPUTED_VALUE"""),104.5)</f>
        <v>104.5</v>
      </c>
      <c r="Q103" s="1">
        <f ca="1">IFERROR(__xludf.DUMMYFUNCTION("""COMPUTED_VALUE"""),97)</f>
        <v>97</v>
      </c>
      <c r="R103" s="1">
        <f ca="1">IFERROR(__xludf.DUMMYFUNCTION("""COMPUTED_VALUE"""),100.7)</f>
        <v>100.7</v>
      </c>
      <c r="S103" s="1">
        <f ca="1">IFERROR(__xludf.DUMMYFUNCTION("""COMPUTED_VALUE"""),99)</f>
        <v>99</v>
      </c>
      <c r="T103" s="1" t="str">
        <f ca="1">IFERROR(__xludf.DUMMYFUNCTION("""COMPUTED_VALUE"""),"+0.67")</f>
        <v>+0.67</v>
      </c>
      <c r="U103" s="1">
        <f ca="1">IFERROR(__xludf.DUMMYFUNCTION("""COMPUTED_VALUE"""),137)</f>
        <v>137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IFERROR(__xludf.DUMMYFUNCTION("""COMPUTED_VALUE"""),"Fresno St.")</f>
        <v>Fresno St.</v>
      </c>
      <c r="C104" s="1" t="str">
        <f ca="1">IFERROR(__xludf.DUMMYFUNCTION("""COMPUTED_VALUE"""),"WAC")</f>
        <v>WAC</v>
      </c>
      <c r="D104" s="1" t="str">
        <f ca="1">IFERROR(__xludf.DUMMYFUNCTION("""COMPUTED_VALUE"""),"20-8")</f>
        <v>20-8</v>
      </c>
      <c r="E104" s="1" t="str">
        <f ca="1">IFERROR(__xludf.DUMMYFUNCTION("""COMPUTED_VALUE"""),"+6.26")</f>
        <v>+6.26</v>
      </c>
      <c r="F104" s="1">
        <f ca="1">IFERROR(__xludf.DUMMYFUNCTION("""COMPUTED_VALUE"""),105.2)</f>
        <v>105.2</v>
      </c>
      <c r="G104" s="1">
        <f ca="1">IFERROR(__xludf.DUMMYFUNCTION("""COMPUTED_VALUE"""),112)</f>
        <v>112</v>
      </c>
      <c r="H104" s="1">
        <f ca="1">IFERROR(__xludf.DUMMYFUNCTION("""COMPUTED_VALUE"""),98.9)</f>
        <v>98.9</v>
      </c>
      <c r="I104" s="1">
        <f ca="1">IFERROR(__xludf.DUMMYFUNCTION("""COMPUTED_VALUE"""),104)</f>
        <v>104</v>
      </c>
      <c r="J104" s="1">
        <f ca="1">IFERROR(__xludf.DUMMYFUNCTION("""COMPUTED_VALUE"""),65.7)</f>
        <v>65.7</v>
      </c>
      <c r="K104" s="1">
        <f ca="1">IFERROR(__xludf.DUMMYFUNCTION("""COMPUTED_VALUE"""),221)</f>
        <v>221</v>
      </c>
      <c r="L104" s="1" t="str">
        <f ca="1">IFERROR(__xludf.DUMMYFUNCTION("""COMPUTED_VALUE"""),"+.061")</f>
        <v>+.061</v>
      </c>
      <c r="M104" s="1">
        <f ca="1">IFERROR(__xludf.DUMMYFUNCTION("""COMPUTED_VALUE"""),43)</f>
        <v>43</v>
      </c>
      <c r="N104" s="1">
        <f ca="1">IFERROR(__xludf.DUMMYFUNCTION("""COMPUTED_VALUE"""),-0.82)</f>
        <v>-0.82</v>
      </c>
      <c r="O104" s="1">
        <f ca="1">IFERROR(__xludf.DUMMYFUNCTION("""COMPUTED_VALUE"""),165)</f>
        <v>165</v>
      </c>
      <c r="P104" s="1">
        <f ca="1">IFERROR(__xludf.DUMMYFUNCTION("""COMPUTED_VALUE"""),101.3)</f>
        <v>101.3</v>
      </c>
      <c r="Q104" s="1">
        <f ca="1">IFERROR(__xludf.DUMMYFUNCTION("""COMPUTED_VALUE"""),189)</f>
        <v>189</v>
      </c>
      <c r="R104" s="1">
        <f ca="1">IFERROR(__xludf.DUMMYFUNCTION("""COMPUTED_VALUE"""),102.1)</f>
        <v>102.1</v>
      </c>
      <c r="S104" s="1">
        <f ca="1">IFERROR(__xludf.DUMMYFUNCTION("""COMPUTED_VALUE"""),145)</f>
        <v>145</v>
      </c>
      <c r="T104" s="1">
        <f ca="1">IFERROR(__xludf.DUMMYFUNCTION("""COMPUTED_VALUE"""),-1.87)</f>
        <v>-1.87</v>
      </c>
      <c r="U104" s="1">
        <f ca="1">IFERROR(__xludf.DUMMYFUNCTION("""COMPUTED_VALUE"""),202)</f>
        <v>202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IFERROR(__xludf.DUMMYFUNCTION("""COMPUTED_VALUE"""),"Troy St.14")</f>
        <v>Troy St.14</v>
      </c>
      <c r="C105" s="1" t="str">
        <f ca="1">IFERROR(__xludf.DUMMYFUNCTION("""COMPUTED_VALUE"""),"ASun")</f>
        <v>ASun</v>
      </c>
      <c r="D105" s="1" t="str">
        <f ca="1">IFERROR(__xludf.DUMMYFUNCTION("""COMPUTED_VALUE"""),"25-6")</f>
        <v>25-6</v>
      </c>
      <c r="E105" s="1" t="str">
        <f ca="1">IFERROR(__xludf.DUMMYFUNCTION("""COMPUTED_VALUE"""),"+6.15")</f>
        <v>+6.15</v>
      </c>
      <c r="F105" s="1">
        <f ca="1">IFERROR(__xludf.DUMMYFUNCTION("""COMPUTED_VALUE"""),106.9)</f>
        <v>106.9</v>
      </c>
      <c r="G105" s="1">
        <f ca="1">IFERROR(__xludf.DUMMYFUNCTION("""COMPUTED_VALUE"""),88)</f>
        <v>88</v>
      </c>
      <c r="H105" s="1">
        <f ca="1">IFERROR(__xludf.DUMMYFUNCTION("""COMPUTED_VALUE"""),100.8)</f>
        <v>100.8</v>
      </c>
      <c r="I105" s="1">
        <f ca="1">IFERROR(__xludf.DUMMYFUNCTION("""COMPUTED_VALUE"""),140)</f>
        <v>140</v>
      </c>
      <c r="J105" s="1">
        <f ca="1">IFERROR(__xludf.DUMMYFUNCTION("""COMPUTED_VALUE"""),70.3)</f>
        <v>70.3</v>
      </c>
      <c r="K105" s="1">
        <f ca="1">IFERROR(__xludf.DUMMYFUNCTION("""COMPUTED_VALUE"""),47)</f>
        <v>47</v>
      </c>
      <c r="L105" s="1" t="str">
        <f ca="1">IFERROR(__xludf.DUMMYFUNCTION("""COMPUTED_VALUE"""),"+.105")</f>
        <v>+.105</v>
      </c>
      <c r="M105" s="1">
        <f ca="1">IFERROR(__xludf.DUMMYFUNCTION("""COMPUTED_VALUE"""),9)</f>
        <v>9</v>
      </c>
      <c r="N105" s="1">
        <f ca="1">IFERROR(__xludf.DUMMYFUNCTION("""COMPUTED_VALUE"""),-5.2)</f>
        <v>-5.2</v>
      </c>
      <c r="O105" s="1">
        <f ca="1">IFERROR(__xludf.DUMMYFUNCTION("""COMPUTED_VALUE"""),253)</f>
        <v>253</v>
      </c>
      <c r="P105" s="1">
        <f ca="1">IFERROR(__xludf.DUMMYFUNCTION("""COMPUTED_VALUE"""),99.3)</f>
        <v>99.3</v>
      </c>
      <c r="Q105" s="1">
        <f ca="1">IFERROR(__xludf.DUMMYFUNCTION("""COMPUTED_VALUE"""),251)</f>
        <v>251</v>
      </c>
      <c r="R105" s="1">
        <f ca="1">IFERROR(__xludf.DUMMYFUNCTION("""COMPUTED_VALUE"""),104.5)</f>
        <v>104.5</v>
      </c>
      <c r="S105" s="1">
        <f ca="1">IFERROR(__xludf.DUMMYFUNCTION("""COMPUTED_VALUE"""),248)</f>
        <v>248</v>
      </c>
      <c r="T105" s="1">
        <f ca="1">IFERROR(__xludf.DUMMYFUNCTION("""COMPUTED_VALUE"""),-2.77)</f>
        <v>-2.77</v>
      </c>
      <c r="U105" s="1">
        <f ca="1">IFERROR(__xludf.DUMMYFUNCTION("""COMPUTED_VALUE"""),222)</f>
        <v>222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IFERROR(__xludf.DUMMYFUNCTION("""COMPUTED_VALUE"""),"Miami FL")</f>
        <v>Miami FL</v>
      </c>
      <c r="C106" s="1" t="str">
        <f ca="1">IFERROR(__xludf.DUMMYFUNCTION("""COMPUTED_VALUE"""),"BE")</f>
        <v>BE</v>
      </c>
      <c r="D106" s="2">
        <f ca="1">IFERROR(__xludf.DUMMYFUNCTION("""COMPUTED_VALUE"""),44882)</f>
        <v>44882</v>
      </c>
      <c r="E106" s="1" t="str">
        <f ca="1">IFERROR(__xludf.DUMMYFUNCTION("""COMPUTED_VALUE"""),"+6.10")</f>
        <v>+6.10</v>
      </c>
      <c r="F106" s="1">
        <f ca="1">IFERROR(__xludf.DUMMYFUNCTION("""COMPUTED_VALUE"""),103.3)</f>
        <v>103.3</v>
      </c>
      <c r="G106" s="1">
        <f ca="1">IFERROR(__xludf.DUMMYFUNCTION("""COMPUTED_VALUE"""),146)</f>
        <v>146</v>
      </c>
      <c r="H106" s="1">
        <f ca="1">IFERROR(__xludf.DUMMYFUNCTION("""COMPUTED_VALUE"""),97.2)</f>
        <v>97.2</v>
      </c>
      <c r="I106" s="1">
        <f ca="1">IFERROR(__xludf.DUMMYFUNCTION("""COMPUTED_VALUE"""),74)</f>
        <v>74</v>
      </c>
      <c r="J106" s="1">
        <f ca="1">IFERROR(__xludf.DUMMYFUNCTION("""COMPUTED_VALUE"""),65.8)</f>
        <v>65.8</v>
      </c>
      <c r="K106" s="1">
        <f ca="1">IFERROR(__xludf.DUMMYFUNCTION("""COMPUTED_VALUE"""),212)</f>
        <v>212</v>
      </c>
      <c r="L106" s="1">
        <f ca="1">IFERROR(__xludf.DUMMYFUNCTION("""COMPUTED_VALUE"""),-0.118)</f>
        <v>-0.11799999999999999</v>
      </c>
      <c r="M106" s="1">
        <f ca="1">IFERROR(__xludf.DUMMYFUNCTION("""COMPUTED_VALUE"""),324)</f>
        <v>324</v>
      </c>
      <c r="N106" s="1" t="str">
        <f ca="1">IFERROR(__xludf.DUMMYFUNCTION("""COMPUTED_VALUE"""),"+6.88")</f>
        <v>+6.88</v>
      </c>
      <c r="O106" s="1">
        <f ca="1">IFERROR(__xludf.DUMMYFUNCTION("""COMPUTED_VALUE"""),60)</f>
        <v>60</v>
      </c>
      <c r="P106" s="1">
        <f ca="1">IFERROR(__xludf.DUMMYFUNCTION("""COMPUTED_VALUE"""),104.8)</f>
        <v>104.8</v>
      </c>
      <c r="Q106" s="1">
        <f ca="1">IFERROR(__xludf.DUMMYFUNCTION("""COMPUTED_VALUE"""),82)</f>
        <v>82</v>
      </c>
      <c r="R106" s="1">
        <f ca="1">IFERROR(__xludf.DUMMYFUNCTION("""COMPUTED_VALUE"""),97.9)</f>
        <v>97.9</v>
      </c>
      <c r="S106" s="1">
        <f ca="1">IFERROR(__xludf.DUMMYFUNCTION("""COMPUTED_VALUE"""),31)</f>
        <v>31</v>
      </c>
      <c r="T106" s="1">
        <f ca="1">IFERROR(__xludf.DUMMYFUNCTION("""COMPUTED_VALUE"""),-3.73)</f>
        <v>-3.73</v>
      </c>
      <c r="U106" s="1">
        <f ca="1">IFERROR(__xludf.DUMMYFUNCTION("""COMPUTED_VALUE"""),246)</f>
        <v>246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IFERROR(__xludf.DUMMYFUNCTION("""COMPUTED_VALUE"""),"Rutgers")</f>
        <v>Rutgers</v>
      </c>
      <c r="C107" s="1" t="str">
        <f ca="1">IFERROR(__xludf.DUMMYFUNCTION("""COMPUTED_VALUE"""),"BE")</f>
        <v>BE</v>
      </c>
      <c r="D107" s="2">
        <f ca="1">IFERROR(__xludf.DUMMYFUNCTION("""COMPUTED_VALUE"""),44911)</f>
        <v>44911</v>
      </c>
      <c r="E107" s="1" t="str">
        <f ca="1">IFERROR(__xludf.DUMMYFUNCTION("""COMPUTED_VALUE"""),"+6.01")</f>
        <v>+6.01</v>
      </c>
      <c r="F107" s="1">
        <f ca="1">IFERROR(__xludf.DUMMYFUNCTION("""COMPUTED_VALUE"""),100.9)</f>
        <v>100.9</v>
      </c>
      <c r="G107" s="1">
        <f ca="1">IFERROR(__xludf.DUMMYFUNCTION("""COMPUTED_VALUE"""),193)</f>
        <v>193</v>
      </c>
      <c r="H107" s="1">
        <f ca="1">IFERROR(__xludf.DUMMYFUNCTION("""COMPUTED_VALUE"""),94.9)</f>
        <v>94.9</v>
      </c>
      <c r="I107" s="1">
        <f ca="1">IFERROR(__xludf.DUMMYFUNCTION("""COMPUTED_VALUE"""),44)</f>
        <v>44</v>
      </c>
      <c r="J107" s="1">
        <f ca="1">IFERROR(__xludf.DUMMYFUNCTION("""COMPUTED_VALUE"""),68.7)</f>
        <v>68.7</v>
      </c>
      <c r="K107" s="1">
        <f ca="1">IFERROR(__xludf.DUMMYFUNCTION("""COMPUTED_VALUE"""),91)</f>
        <v>91</v>
      </c>
      <c r="L107" s="1">
        <f ca="1">IFERROR(__xludf.DUMMYFUNCTION("""COMPUTED_VALUE"""),-0.041)</f>
        <v>-4.1000000000000002E-2</v>
      </c>
      <c r="M107" s="1">
        <f ca="1">IFERROR(__xludf.DUMMYFUNCTION("""COMPUTED_VALUE"""),270)</f>
        <v>270</v>
      </c>
      <c r="N107" s="1" t="str">
        <f ca="1">IFERROR(__xludf.DUMMYFUNCTION("""COMPUTED_VALUE"""),"+8.36")</f>
        <v>+8.36</v>
      </c>
      <c r="O107" s="1">
        <f ca="1">IFERROR(__xludf.DUMMYFUNCTION("""COMPUTED_VALUE"""),35)</f>
        <v>35</v>
      </c>
      <c r="P107" s="1">
        <f ca="1">IFERROR(__xludf.DUMMYFUNCTION("""COMPUTED_VALUE"""),106.4)</f>
        <v>106.4</v>
      </c>
      <c r="Q107" s="1">
        <f ca="1">IFERROR(__xludf.DUMMYFUNCTION("""COMPUTED_VALUE"""),42)</f>
        <v>42</v>
      </c>
      <c r="R107" s="1">
        <f ca="1">IFERROR(__xludf.DUMMYFUNCTION("""COMPUTED_VALUE"""),98)</f>
        <v>98</v>
      </c>
      <c r="S107" s="1">
        <f ca="1">IFERROR(__xludf.DUMMYFUNCTION("""COMPUTED_VALUE"""),37)</f>
        <v>37</v>
      </c>
      <c r="T107" s="1">
        <f ca="1">IFERROR(__xludf.DUMMYFUNCTION("""COMPUTED_VALUE"""),-5.21)</f>
        <v>-5.21</v>
      </c>
      <c r="U107" s="1">
        <f ca="1">IFERROR(__xludf.DUMMYFUNCTION("""COMPUTED_VALUE"""),277)</f>
        <v>277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IFERROR(__xludf.DUMMYFUNCTION("""COMPUTED_VALUE"""),"Baylor")</f>
        <v>Baylor</v>
      </c>
      <c r="C108" s="1" t="str">
        <f ca="1">IFERROR(__xludf.DUMMYFUNCTION("""COMPUTED_VALUE"""),"B12")</f>
        <v>B12</v>
      </c>
      <c r="D108" s="1" t="str">
        <f ca="1">IFERROR(__xludf.DUMMYFUNCTION("""COMPUTED_VALUE"""),"14-14")</f>
        <v>14-14</v>
      </c>
      <c r="E108" s="1" t="str">
        <f ca="1">IFERROR(__xludf.DUMMYFUNCTION("""COMPUTED_VALUE"""),"+5.97")</f>
        <v>+5.97</v>
      </c>
      <c r="F108" s="1">
        <f ca="1">IFERROR(__xludf.DUMMYFUNCTION("""COMPUTED_VALUE"""),106.6)</f>
        <v>106.6</v>
      </c>
      <c r="G108" s="1">
        <f ca="1">IFERROR(__xludf.DUMMYFUNCTION("""COMPUTED_VALUE"""),92)</f>
        <v>92</v>
      </c>
      <c r="H108" s="1">
        <f ca="1">IFERROR(__xludf.DUMMYFUNCTION("""COMPUTED_VALUE"""),100.7)</f>
        <v>100.7</v>
      </c>
      <c r="I108" s="1">
        <f ca="1">IFERROR(__xludf.DUMMYFUNCTION("""COMPUTED_VALUE"""),137)</f>
        <v>137</v>
      </c>
      <c r="J108" s="1">
        <f ca="1">IFERROR(__xludf.DUMMYFUNCTION("""COMPUTED_VALUE"""),65.6)</f>
        <v>65.599999999999994</v>
      </c>
      <c r="K108" s="1">
        <f ca="1">IFERROR(__xludf.DUMMYFUNCTION("""COMPUTED_VALUE"""),225)</f>
        <v>225</v>
      </c>
      <c r="L108" s="1">
        <f ca="1">IFERROR(__xludf.DUMMYFUNCTION("""COMPUTED_VALUE"""),-0.006)</f>
        <v>-6.0000000000000001E-3</v>
      </c>
      <c r="M108" s="1">
        <f ca="1">IFERROR(__xludf.DUMMYFUNCTION("""COMPUTED_VALUE"""),177)</f>
        <v>177</v>
      </c>
      <c r="N108" s="1" t="str">
        <f ca="1">IFERROR(__xludf.DUMMYFUNCTION("""COMPUTED_VALUE"""),"+5.20")</f>
        <v>+5.20</v>
      </c>
      <c r="O108" s="1">
        <f ca="1">IFERROR(__xludf.DUMMYFUNCTION("""COMPUTED_VALUE"""),77)</f>
        <v>77</v>
      </c>
      <c r="P108" s="1">
        <f ca="1">IFERROR(__xludf.DUMMYFUNCTION("""COMPUTED_VALUE"""),103.5)</f>
        <v>103.5</v>
      </c>
      <c r="Q108" s="1">
        <f ca="1">IFERROR(__xludf.DUMMYFUNCTION("""COMPUTED_VALUE"""),130)</f>
        <v>130</v>
      </c>
      <c r="R108" s="1">
        <f ca="1">IFERROR(__xludf.DUMMYFUNCTION("""COMPUTED_VALUE"""),98.3)</f>
        <v>98.3</v>
      </c>
      <c r="S108" s="1">
        <f ca="1">IFERROR(__xludf.DUMMYFUNCTION("""COMPUTED_VALUE"""),44)</f>
        <v>44</v>
      </c>
      <c r="T108" s="1">
        <f ca="1">IFERROR(__xludf.DUMMYFUNCTION("""COMPUTED_VALUE"""),-12.74)</f>
        <v>-12.74</v>
      </c>
      <c r="U108" s="1">
        <f ca="1">IFERROR(__xludf.DUMMYFUNCTION("""COMPUTED_VALUE"""),324)</f>
        <v>324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IFERROR(__xludf.DUMMYFUNCTION("""COMPUTED_VALUE"""),"Charlotte")</f>
        <v>Charlotte</v>
      </c>
      <c r="C109" s="1" t="str">
        <f ca="1">IFERROR(__xludf.DUMMYFUNCTION("""COMPUTED_VALUE"""),"CUSA")</f>
        <v>CUSA</v>
      </c>
      <c r="D109" s="1" t="str">
        <f ca="1">IFERROR(__xludf.DUMMYFUNCTION("""COMPUTED_VALUE"""),"13-16")</f>
        <v>13-16</v>
      </c>
      <c r="E109" s="1" t="str">
        <f ca="1">IFERROR(__xludf.DUMMYFUNCTION("""COMPUTED_VALUE"""),"+5.97")</f>
        <v>+5.97</v>
      </c>
      <c r="F109" s="1">
        <f ca="1">IFERROR(__xludf.DUMMYFUNCTION("""COMPUTED_VALUE"""),104.5)</f>
        <v>104.5</v>
      </c>
      <c r="G109" s="1">
        <f ca="1">IFERROR(__xludf.DUMMYFUNCTION("""COMPUTED_VALUE"""),125)</f>
        <v>125</v>
      </c>
      <c r="H109" s="1">
        <f ca="1">IFERROR(__xludf.DUMMYFUNCTION("""COMPUTED_VALUE"""),98.5)</f>
        <v>98.5</v>
      </c>
      <c r="I109" s="1">
        <f ca="1">IFERROR(__xludf.DUMMYFUNCTION("""COMPUTED_VALUE"""),94)</f>
        <v>94</v>
      </c>
      <c r="J109" s="1">
        <f ca="1">IFERROR(__xludf.DUMMYFUNCTION("""COMPUTED_VALUE"""),65.8)</f>
        <v>65.8</v>
      </c>
      <c r="K109" s="1">
        <f ca="1">IFERROR(__xludf.DUMMYFUNCTION("""COMPUTED_VALUE"""),217)</f>
        <v>217</v>
      </c>
      <c r="L109" s="1">
        <f ca="1">IFERROR(__xludf.DUMMYFUNCTION("""COMPUTED_VALUE"""),-0.007)</f>
        <v>-7.0000000000000001E-3</v>
      </c>
      <c r="M109" s="1">
        <f ca="1">IFERROR(__xludf.DUMMYFUNCTION("""COMPUTED_VALUE"""),182)</f>
        <v>182</v>
      </c>
      <c r="N109" s="1" t="str">
        <f ca="1">IFERROR(__xludf.DUMMYFUNCTION("""COMPUTED_VALUE"""),"+7.57")</f>
        <v>+7.57</v>
      </c>
      <c r="O109" s="1">
        <f ca="1">IFERROR(__xludf.DUMMYFUNCTION("""COMPUTED_VALUE"""),47)</f>
        <v>47</v>
      </c>
      <c r="P109" s="1">
        <f ca="1">IFERROR(__xludf.DUMMYFUNCTION("""COMPUTED_VALUE"""),105.7)</f>
        <v>105.7</v>
      </c>
      <c r="Q109" s="1">
        <f ca="1">IFERROR(__xludf.DUMMYFUNCTION("""COMPUTED_VALUE"""),63)</f>
        <v>63</v>
      </c>
      <c r="R109" s="1">
        <f ca="1">IFERROR(__xludf.DUMMYFUNCTION("""COMPUTED_VALUE"""),98.1)</f>
        <v>98.1</v>
      </c>
      <c r="S109" s="1">
        <f ca="1">IFERROR(__xludf.DUMMYFUNCTION("""COMPUTED_VALUE"""),38)</f>
        <v>38</v>
      </c>
      <c r="T109" s="1" t="str">
        <f ca="1">IFERROR(__xludf.DUMMYFUNCTION("""COMPUTED_VALUE"""),"+4.65")</f>
        <v>+4.65</v>
      </c>
      <c r="U109" s="1">
        <f ca="1">IFERROR(__xludf.DUMMYFUNCTION("""COMPUTED_VALUE"""),58)</f>
        <v>58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IFERROR(__xludf.DUMMYFUNCTION("""COMPUTED_VALUE"""),"Colorado St.14")</f>
        <v>Colorado St.14</v>
      </c>
      <c r="C110" s="1" t="str">
        <f ca="1">IFERROR(__xludf.DUMMYFUNCTION("""COMPUTED_VALUE"""),"MWC")</f>
        <v>MWC</v>
      </c>
      <c r="D110" s="1" t="str">
        <f ca="1">IFERROR(__xludf.DUMMYFUNCTION("""COMPUTED_VALUE"""),"17-14")</f>
        <v>17-14</v>
      </c>
      <c r="E110" s="1" t="str">
        <f ca="1">IFERROR(__xludf.DUMMYFUNCTION("""COMPUTED_VALUE"""),"+5.96")</f>
        <v>+5.96</v>
      </c>
      <c r="F110" s="1">
        <f ca="1">IFERROR(__xludf.DUMMYFUNCTION("""COMPUTED_VALUE"""),110.6)</f>
        <v>110.6</v>
      </c>
      <c r="G110" s="1">
        <f ca="1">IFERROR(__xludf.DUMMYFUNCTION("""COMPUTED_VALUE"""),37)</f>
        <v>37</v>
      </c>
      <c r="H110" s="1">
        <f ca="1">IFERROR(__xludf.DUMMYFUNCTION("""COMPUTED_VALUE"""),104.6)</f>
        <v>104.6</v>
      </c>
      <c r="I110" s="1">
        <f ca="1">IFERROR(__xludf.DUMMYFUNCTION("""COMPUTED_VALUE"""),205)</f>
        <v>205</v>
      </c>
      <c r="J110" s="1">
        <f ca="1">IFERROR(__xludf.DUMMYFUNCTION("""COMPUTED_VALUE"""),67.1)</f>
        <v>67.099999999999994</v>
      </c>
      <c r="K110" s="1">
        <f ca="1">IFERROR(__xludf.DUMMYFUNCTION("""COMPUTED_VALUE"""),162)</f>
        <v>162</v>
      </c>
      <c r="L110" s="1" t="str">
        <f ca="1">IFERROR(__xludf.DUMMYFUNCTION("""COMPUTED_VALUE"""),"+.031")</f>
        <v>+.031</v>
      </c>
      <c r="M110" s="1">
        <f ca="1">IFERROR(__xludf.DUMMYFUNCTION("""COMPUTED_VALUE"""),88)</f>
        <v>88</v>
      </c>
      <c r="N110" s="1" t="str">
        <f ca="1">IFERROR(__xludf.DUMMYFUNCTION("""COMPUTED_VALUE"""),"+4.39")</f>
        <v>+4.39</v>
      </c>
      <c r="O110" s="1">
        <f ca="1">IFERROR(__xludf.DUMMYFUNCTION("""COMPUTED_VALUE"""),89)</f>
        <v>89</v>
      </c>
      <c r="P110" s="1">
        <f ca="1">IFERROR(__xludf.DUMMYFUNCTION("""COMPUTED_VALUE"""),104.6)</f>
        <v>104.6</v>
      </c>
      <c r="Q110" s="1">
        <f ca="1">IFERROR(__xludf.DUMMYFUNCTION("""COMPUTED_VALUE"""),86)</f>
        <v>86</v>
      </c>
      <c r="R110" s="1">
        <f ca="1">IFERROR(__xludf.DUMMYFUNCTION("""COMPUTED_VALUE"""),100.2)</f>
        <v>100.2</v>
      </c>
      <c r="S110" s="1">
        <f ca="1">IFERROR(__xludf.DUMMYFUNCTION("""COMPUTED_VALUE"""),92)</f>
        <v>92</v>
      </c>
      <c r="T110" s="1">
        <f ca="1">IFERROR(__xludf.DUMMYFUNCTION("""COMPUTED_VALUE"""),-3.45)</f>
        <v>-3.45</v>
      </c>
      <c r="U110" s="1">
        <f ca="1">IFERROR(__xludf.DUMMYFUNCTION("""COMPUTED_VALUE"""),235)</f>
        <v>235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IFERROR(__xludf.DUMMYFUNCTION("""COMPUTED_VALUE"""),"Clemson")</f>
        <v>Clemson</v>
      </c>
      <c r="C111" s="1" t="str">
        <f ca="1">IFERROR(__xludf.DUMMYFUNCTION("""COMPUTED_VALUE"""),"ACC")</f>
        <v>ACC</v>
      </c>
      <c r="D111" s="1" t="str">
        <f ca="1">IFERROR(__xludf.DUMMYFUNCTION("""COMPUTED_VALUE"""),"15-13")</f>
        <v>15-13</v>
      </c>
      <c r="E111" s="1" t="str">
        <f ca="1">IFERROR(__xludf.DUMMYFUNCTION("""COMPUTED_VALUE"""),"+5.75")</f>
        <v>+5.75</v>
      </c>
      <c r="F111" s="1">
        <f ca="1">IFERROR(__xludf.DUMMYFUNCTION("""COMPUTED_VALUE"""),107.3)</f>
        <v>107.3</v>
      </c>
      <c r="G111" s="1">
        <f ca="1">IFERROR(__xludf.DUMMYFUNCTION("""COMPUTED_VALUE"""),82)</f>
        <v>82</v>
      </c>
      <c r="H111" s="1">
        <f ca="1">IFERROR(__xludf.DUMMYFUNCTION("""COMPUTED_VALUE"""),101.6)</f>
        <v>101.6</v>
      </c>
      <c r="I111" s="1">
        <f ca="1">IFERROR(__xludf.DUMMYFUNCTION("""COMPUTED_VALUE"""),152)</f>
        <v>152</v>
      </c>
      <c r="J111" s="1">
        <f ca="1">IFERROR(__xludf.DUMMYFUNCTION("""COMPUTED_VALUE"""),63.6)</f>
        <v>63.6</v>
      </c>
      <c r="K111" s="1">
        <f ca="1">IFERROR(__xludf.DUMMYFUNCTION("""COMPUTED_VALUE"""),285)</f>
        <v>285</v>
      </c>
      <c r="L111" s="1" t="str">
        <f ca="1">IFERROR(__xludf.DUMMYFUNCTION("""COMPUTED_VALUE"""),"+.026")</f>
        <v>+.026</v>
      </c>
      <c r="M111" s="1">
        <f ca="1">IFERROR(__xludf.DUMMYFUNCTION("""COMPUTED_VALUE"""),94)</f>
        <v>94</v>
      </c>
      <c r="N111" s="1" t="str">
        <f ca="1">IFERROR(__xludf.DUMMYFUNCTION("""COMPUTED_VALUE"""),"+5.05")</f>
        <v>+5.05</v>
      </c>
      <c r="O111" s="1">
        <f ca="1">IFERROR(__xludf.DUMMYFUNCTION("""COMPUTED_VALUE"""),80)</f>
        <v>80</v>
      </c>
      <c r="P111" s="1">
        <f ca="1">IFERROR(__xludf.DUMMYFUNCTION("""COMPUTED_VALUE"""),104)</f>
        <v>104</v>
      </c>
      <c r="Q111" s="1">
        <f ca="1">IFERROR(__xludf.DUMMYFUNCTION("""COMPUTED_VALUE"""),112)</f>
        <v>112</v>
      </c>
      <c r="R111" s="1">
        <f ca="1">IFERROR(__xludf.DUMMYFUNCTION("""COMPUTED_VALUE"""),99)</f>
        <v>99</v>
      </c>
      <c r="S111" s="1">
        <f ca="1">IFERROR(__xludf.DUMMYFUNCTION("""COMPUTED_VALUE"""),65)</f>
        <v>65</v>
      </c>
      <c r="T111" s="1">
        <f ca="1">IFERROR(__xludf.DUMMYFUNCTION("""COMPUTED_VALUE"""),-12.32)</f>
        <v>-12.32</v>
      </c>
      <c r="U111" s="1">
        <f ca="1">IFERROR(__xludf.DUMMYFUNCTION("""COMPUTED_VALUE"""),323)</f>
        <v>323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IFERROR(__xludf.DUMMYFUNCTION("""COMPUTED_VALUE"""),"Murray St.")</f>
        <v>Murray St.</v>
      </c>
      <c r="C112" s="1" t="str">
        <f ca="1">IFERROR(__xludf.DUMMYFUNCTION("""COMPUTED_VALUE"""),"OVC")</f>
        <v>OVC</v>
      </c>
      <c r="D112" s="1" t="str">
        <f ca="1">IFERROR(__xludf.DUMMYFUNCTION("""COMPUTED_VALUE"""),"15-12")</f>
        <v>15-12</v>
      </c>
      <c r="E112" s="1" t="str">
        <f ca="1">IFERROR(__xludf.DUMMYFUNCTION("""COMPUTED_VALUE"""),"+5.53")</f>
        <v>+5.53</v>
      </c>
      <c r="F112" s="1">
        <f ca="1">IFERROR(__xludf.DUMMYFUNCTION("""COMPUTED_VALUE"""),107.3)</f>
        <v>107.3</v>
      </c>
      <c r="G112" s="1">
        <f ca="1">IFERROR(__xludf.DUMMYFUNCTION("""COMPUTED_VALUE"""),81)</f>
        <v>81</v>
      </c>
      <c r="H112" s="1">
        <f ca="1">IFERROR(__xludf.DUMMYFUNCTION("""COMPUTED_VALUE"""),101.8)</f>
        <v>101.8</v>
      </c>
      <c r="I112" s="1">
        <f ca="1">IFERROR(__xludf.DUMMYFUNCTION("""COMPUTED_VALUE"""),157)</f>
        <v>157</v>
      </c>
      <c r="J112" s="1">
        <f ca="1">IFERROR(__xludf.DUMMYFUNCTION("""COMPUTED_VALUE"""),65.5)</f>
        <v>65.5</v>
      </c>
      <c r="K112" s="1">
        <f ca="1">IFERROR(__xludf.DUMMYFUNCTION("""COMPUTED_VALUE"""),233)</f>
        <v>233</v>
      </c>
      <c r="L112" s="1">
        <f ca="1">IFERROR(__xludf.DUMMYFUNCTION("""COMPUTED_VALUE"""),-0.082)</f>
        <v>-8.2000000000000003E-2</v>
      </c>
      <c r="M112" s="1">
        <f ca="1">IFERROR(__xludf.DUMMYFUNCTION("""COMPUTED_VALUE"""),306)</f>
        <v>306</v>
      </c>
      <c r="N112" s="1">
        <f ca="1">IFERROR(__xludf.DUMMYFUNCTION("""COMPUTED_VALUE"""),-1.81)</f>
        <v>-1.81</v>
      </c>
      <c r="O112" s="1">
        <f ca="1">IFERROR(__xludf.DUMMYFUNCTION("""COMPUTED_VALUE"""),189)</f>
        <v>189</v>
      </c>
      <c r="P112" s="1">
        <f ca="1">IFERROR(__xludf.DUMMYFUNCTION("""COMPUTED_VALUE"""),102.8)</f>
        <v>102.8</v>
      </c>
      <c r="Q112" s="1">
        <f ca="1">IFERROR(__xludf.DUMMYFUNCTION("""COMPUTED_VALUE"""),152)</f>
        <v>152</v>
      </c>
      <c r="R112" s="1">
        <f ca="1">IFERROR(__xludf.DUMMYFUNCTION("""COMPUTED_VALUE"""),104.6)</f>
        <v>104.6</v>
      </c>
      <c r="S112" s="1">
        <f ca="1">IFERROR(__xludf.DUMMYFUNCTION("""COMPUTED_VALUE"""),256)</f>
        <v>256</v>
      </c>
      <c r="T112" s="1" t="str">
        <f ca="1">IFERROR(__xludf.DUMMYFUNCTION("""COMPUTED_VALUE"""),"+7.12")</f>
        <v>+7.12</v>
      </c>
      <c r="U112" s="1">
        <f ca="1">IFERROR(__xludf.DUMMYFUNCTION("""COMPUTED_VALUE"""),31)</f>
        <v>31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IFERROR(__xludf.DUMMYFUNCTION("""COMPUTED_VALUE"""),"UCLA")</f>
        <v>UCLA</v>
      </c>
      <c r="C113" s="1" t="str">
        <f ca="1">IFERROR(__xludf.DUMMYFUNCTION("""COMPUTED_VALUE"""),"P10")</f>
        <v>P10</v>
      </c>
      <c r="D113" s="2">
        <f ca="1">IFERROR(__xludf.DUMMYFUNCTION("""COMPUTED_VALUE"""),44853)</f>
        <v>44853</v>
      </c>
      <c r="E113" s="1" t="str">
        <f ca="1">IFERROR(__xludf.DUMMYFUNCTION("""COMPUTED_VALUE"""),"+5.46")</f>
        <v>+5.46</v>
      </c>
      <c r="F113" s="1">
        <f ca="1">IFERROR(__xludf.DUMMYFUNCTION("""COMPUTED_VALUE"""),107.2)</f>
        <v>107.2</v>
      </c>
      <c r="G113" s="1">
        <f ca="1">IFERROR(__xludf.DUMMYFUNCTION("""COMPUTED_VALUE"""),84)</f>
        <v>84</v>
      </c>
      <c r="H113" s="1">
        <f ca="1">IFERROR(__xludf.DUMMYFUNCTION("""COMPUTED_VALUE"""),101.7)</f>
        <v>101.7</v>
      </c>
      <c r="I113" s="1">
        <f ca="1">IFERROR(__xludf.DUMMYFUNCTION("""COMPUTED_VALUE"""),156)</f>
        <v>156</v>
      </c>
      <c r="J113" s="1">
        <f ca="1">IFERROR(__xludf.DUMMYFUNCTION("""COMPUTED_VALUE"""),69.3)</f>
        <v>69.3</v>
      </c>
      <c r="K113" s="1">
        <f ca="1">IFERROR(__xludf.DUMMYFUNCTION("""COMPUTED_VALUE"""),69)</f>
        <v>69</v>
      </c>
      <c r="L113" s="1">
        <f ca="1">IFERROR(__xludf.DUMMYFUNCTION("""COMPUTED_VALUE"""),-0.065)</f>
        <v>-6.5000000000000002E-2</v>
      </c>
      <c r="M113" s="1">
        <f ca="1">IFERROR(__xludf.DUMMYFUNCTION("""COMPUTED_VALUE"""),294)</f>
        <v>294</v>
      </c>
      <c r="N113" s="1" t="str">
        <f ca="1">IFERROR(__xludf.DUMMYFUNCTION("""COMPUTED_VALUE"""),"+9.15")</f>
        <v>+9.15</v>
      </c>
      <c r="O113" s="1">
        <f ca="1">IFERROR(__xludf.DUMMYFUNCTION("""COMPUTED_VALUE"""),21)</f>
        <v>21</v>
      </c>
      <c r="P113" s="1">
        <f ca="1">IFERROR(__xludf.DUMMYFUNCTION("""COMPUTED_VALUE"""),107)</f>
        <v>107</v>
      </c>
      <c r="Q113" s="1">
        <f ca="1">IFERROR(__xludf.DUMMYFUNCTION("""COMPUTED_VALUE"""),21)</f>
        <v>21</v>
      </c>
      <c r="R113" s="1">
        <f ca="1">IFERROR(__xludf.DUMMYFUNCTION("""COMPUTED_VALUE"""),97.8)</f>
        <v>97.8</v>
      </c>
      <c r="S113" s="1">
        <f ca="1">IFERROR(__xludf.DUMMYFUNCTION("""COMPUTED_VALUE"""),29)</f>
        <v>29</v>
      </c>
      <c r="T113" s="1" t="str">
        <f ca="1">IFERROR(__xludf.DUMMYFUNCTION("""COMPUTED_VALUE"""),"+4.89")</f>
        <v>+4.89</v>
      </c>
      <c r="U113" s="1">
        <f ca="1">IFERROR(__xludf.DUMMYFUNCTION("""COMPUTED_VALUE"""),54)</f>
        <v>54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IFERROR(__xludf.DUMMYFUNCTION("""COMPUTED_VALUE"""),"Tulane")</f>
        <v>Tulane</v>
      </c>
      <c r="C114" s="1" t="str">
        <f ca="1">IFERROR(__xludf.DUMMYFUNCTION("""COMPUTED_VALUE"""),"CUSA")</f>
        <v>CUSA</v>
      </c>
      <c r="D114" s="1" t="str">
        <f ca="1">IFERROR(__xludf.DUMMYFUNCTION("""COMPUTED_VALUE"""),"15-15")</f>
        <v>15-15</v>
      </c>
      <c r="E114" s="1" t="str">
        <f ca="1">IFERROR(__xludf.DUMMYFUNCTION("""COMPUTED_VALUE"""),"+5.36")</f>
        <v>+5.36</v>
      </c>
      <c r="F114" s="1">
        <f ca="1">IFERROR(__xludf.DUMMYFUNCTION("""COMPUTED_VALUE"""),106.8)</f>
        <v>106.8</v>
      </c>
      <c r="G114" s="1">
        <f ca="1">IFERROR(__xludf.DUMMYFUNCTION("""COMPUTED_VALUE"""),90)</f>
        <v>90</v>
      </c>
      <c r="H114" s="1">
        <f ca="1">IFERROR(__xludf.DUMMYFUNCTION("""COMPUTED_VALUE"""),101.4)</f>
        <v>101.4</v>
      </c>
      <c r="I114" s="1">
        <f ca="1">IFERROR(__xludf.DUMMYFUNCTION("""COMPUTED_VALUE"""),151)</f>
        <v>151</v>
      </c>
      <c r="J114" s="1">
        <f ca="1">IFERROR(__xludf.DUMMYFUNCTION("""COMPUTED_VALUE"""),65.5)</f>
        <v>65.5</v>
      </c>
      <c r="K114" s="1">
        <f ca="1">IFERROR(__xludf.DUMMYFUNCTION("""COMPUTED_VALUE"""),236)</f>
        <v>236</v>
      </c>
      <c r="L114" s="1">
        <f ca="1">IFERROR(__xludf.DUMMYFUNCTION("""COMPUTED_VALUE"""),-0.064)</f>
        <v>-6.4000000000000001E-2</v>
      </c>
      <c r="M114" s="1">
        <f ca="1">IFERROR(__xludf.DUMMYFUNCTION("""COMPUTED_VALUE"""),293)</f>
        <v>293</v>
      </c>
      <c r="N114" s="1" t="str">
        <f ca="1">IFERROR(__xludf.DUMMYFUNCTION("""COMPUTED_VALUE"""),"+3.03")</f>
        <v>+3.03</v>
      </c>
      <c r="O114" s="1">
        <f ca="1">IFERROR(__xludf.DUMMYFUNCTION("""COMPUTED_VALUE"""),109)</f>
        <v>109</v>
      </c>
      <c r="P114" s="1">
        <f ca="1">IFERROR(__xludf.DUMMYFUNCTION("""COMPUTED_VALUE"""),102.4)</f>
        <v>102.4</v>
      </c>
      <c r="Q114" s="1">
        <f ca="1">IFERROR(__xludf.DUMMYFUNCTION("""COMPUTED_VALUE"""),162)</f>
        <v>162</v>
      </c>
      <c r="R114" s="1">
        <f ca="1">IFERROR(__xludf.DUMMYFUNCTION("""COMPUTED_VALUE"""),99.4)</f>
        <v>99.4</v>
      </c>
      <c r="S114" s="1">
        <f ca="1">IFERROR(__xludf.DUMMYFUNCTION("""COMPUTED_VALUE"""),73)</f>
        <v>73</v>
      </c>
      <c r="T114" s="1">
        <f ca="1">IFERROR(__xludf.DUMMYFUNCTION("""COMPUTED_VALUE"""),-2.33)</f>
        <v>-2.33</v>
      </c>
      <c r="U114" s="1">
        <f ca="1">IFERROR(__xludf.DUMMYFUNCTION("""COMPUTED_VALUE"""),215)</f>
        <v>215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IFERROR(__xludf.DUMMYFUNCTION("""COMPUTED_VALUE"""),"Eastern Washington")</f>
        <v>Eastern Washington</v>
      </c>
      <c r="C115" s="1" t="str">
        <f ca="1">IFERROR(__xludf.DUMMYFUNCTION("""COMPUTED_VALUE"""),"BSky")</f>
        <v>BSky</v>
      </c>
      <c r="D115" s="1" t="str">
        <f ca="1">IFERROR(__xludf.DUMMYFUNCTION("""COMPUTED_VALUE"""),"17-13")</f>
        <v>17-13</v>
      </c>
      <c r="E115" s="1" t="str">
        <f ca="1">IFERROR(__xludf.DUMMYFUNCTION("""COMPUTED_VALUE"""),"+5.29")</f>
        <v>+5.29</v>
      </c>
      <c r="F115" s="1">
        <f ca="1">IFERROR(__xludf.DUMMYFUNCTION("""COMPUTED_VALUE"""),102.9)</f>
        <v>102.9</v>
      </c>
      <c r="G115" s="1">
        <f ca="1">IFERROR(__xludf.DUMMYFUNCTION("""COMPUTED_VALUE"""),155)</f>
        <v>155</v>
      </c>
      <c r="H115" s="1">
        <f ca="1">IFERROR(__xludf.DUMMYFUNCTION("""COMPUTED_VALUE"""),97.6)</f>
        <v>97.6</v>
      </c>
      <c r="I115" s="1">
        <f ca="1">IFERROR(__xludf.DUMMYFUNCTION("""COMPUTED_VALUE"""),81)</f>
        <v>81</v>
      </c>
      <c r="J115" s="1">
        <f ca="1">IFERROR(__xludf.DUMMYFUNCTION("""COMPUTED_VALUE"""),67.9)</f>
        <v>67.900000000000006</v>
      </c>
      <c r="K115" s="1">
        <f ca="1">IFERROR(__xludf.DUMMYFUNCTION("""COMPUTED_VALUE"""),123)</f>
        <v>123</v>
      </c>
      <c r="L115" s="1">
        <f ca="1">IFERROR(__xludf.DUMMYFUNCTION("""COMPUTED_VALUE"""),-0.031)</f>
        <v>-3.1E-2</v>
      </c>
      <c r="M115" s="1">
        <f ca="1">IFERROR(__xludf.DUMMYFUNCTION("""COMPUTED_VALUE"""),250)</f>
        <v>250</v>
      </c>
      <c r="N115" s="1" t="str">
        <f ca="1">IFERROR(__xludf.DUMMYFUNCTION("""COMPUTED_VALUE"""),"+0.29")</f>
        <v>+0.29</v>
      </c>
      <c r="O115" s="1">
        <f ca="1">IFERROR(__xludf.DUMMYFUNCTION("""COMPUTED_VALUE"""),147)</f>
        <v>147</v>
      </c>
      <c r="P115" s="1">
        <f ca="1">IFERROR(__xludf.DUMMYFUNCTION("""COMPUTED_VALUE"""),101.4)</f>
        <v>101.4</v>
      </c>
      <c r="Q115" s="1">
        <f ca="1">IFERROR(__xludf.DUMMYFUNCTION("""COMPUTED_VALUE"""),187)</f>
        <v>187</v>
      </c>
      <c r="R115" s="1">
        <f ca="1">IFERROR(__xludf.DUMMYFUNCTION("""COMPUTED_VALUE"""),101.1)</f>
        <v>101.1</v>
      </c>
      <c r="S115" s="1">
        <f ca="1">IFERROR(__xludf.DUMMYFUNCTION("""COMPUTED_VALUE"""),108)</f>
        <v>108</v>
      </c>
      <c r="T115" s="1" t="str">
        <f ca="1">IFERROR(__xludf.DUMMYFUNCTION("""COMPUTED_VALUE"""),"+3.79")</f>
        <v>+3.79</v>
      </c>
      <c r="U115" s="1">
        <f ca="1">IFERROR(__xludf.DUMMYFUNCTION("""COMPUTED_VALUE"""),64)</f>
        <v>64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IFERROR(__xludf.DUMMYFUNCTION("""COMPUTED_VALUE"""),"George Washington")</f>
        <v>George Washington</v>
      </c>
      <c r="C116" s="1" t="str">
        <f ca="1">IFERROR(__xludf.DUMMYFUNCTION("""COMPUTED_VALUE"""),"A10")</f>
        <v>A10</v>
      </c>
      <c r="D116" s="2">
        <f ca="1">IFERROR(__xludf.DUMMYFUNCTION("""COMPUTED_VALUE"""),44912)</f>
        <v>44912</v>
      </c>
      <c r="E116" s="1" t="str">
        <f ca="1">IFERROR(__xludf.DUMMYFUNCTION("""COMPUTED_VALUE"""),"+5.18")</f>
        <v>+5.18</v>
      </c>
      <c r="F116" s="1">
        <f ca="1">IFERROR(__xludf.DUMMYFUNCTION("""COMPUTED_VALUE"""),107.2)</f>
        <v>107.2</v>
      </c>
      <c r="G116" s="1">
        <f ca="1">IFERROR(__xludf.DUMMYFUNCTION("""COMPUTED_VALUE"""),83)</f>
        <v>83</v>
      </c>
      <c r="H116" s="1">
        <f ca="1">IFERROR(__xludf.DUMMYFUNCTION("""COMPUTED_VALUE"""),102.1)</f>
        <v>102.1</v>
      </c>
      <c r="I116" s="1">
        <f ca="1">IFERROR(__xludf.DUMMYFUNCTION("""COMPUTED_VALUE"""),163)</f>
        <v>163</v>
      </c>
      <c r="J116" s="1">
        <f ca="1">IFERROR(__xludf.DUMMYFUNCTION("""COMPUTED_VALUE"""),68.6)</f>
        <v>68.599999999999994</v>
      </c>
      <c r="K116" s="1">
        <f ca="1">IFERROR(__xludf.DUMMYFUNCTION("""COMPUTED_VALUE"""),96)</f>
        <v>96</v>
      </c>
      <c r="L116" s="1">
        <f ca="1">IFERROR(__xludf.DUMMYFUNCTION("""COMPUTED_VALUE"""),-0.078)</f>
        <v>-7.8E-2</v>
      </c>
      <c r="M116" s="1">
        <f ca="1">IFERROR(__xludf.DUMMYFUNCTION("""COMPUTED_VALUE"""),302)</f>
        <v>302</v>
      </c>
      <c r="N116" s="1" t="str">
        <f ca="1">IFERROR(__xludf.DUMMYFUNCTION("""COMPUTED_VALUE"""),"+5.12")</f>
        <v>+5.12</v>
      </c>
      <c r="O116" s="1">
        <f ca="1">IFERROR(__xludf.DUMMYFUNCTION("""COMPUTED_VALUE"""),79)</f>
        <v>79</v>
      </c>
      <c r="P116" s="1">
        <f ca="1">IFERROR(__xludf.DUMMYFUNCTION("""COMPUTED_VALUE"""),104)</f>
        <v>104</v>
      </c>
      <c r="Q116" s="1">
        <f ca="1">IFERROR(__xludf.DUMMYFUNCTION("""COMPUTED_VALUE"""),113)</f>
        <v>113</v>
      </c>
      <c r="R116" s="1">
        <f ca="1">IFERROR(__xludf.DUMMYFUNCTION("""COMPUTED_VALUE"""),98.9)</f>
        <v>98.9</v>
      </c>
      <c r="S116" s="1">
        <f ca="1">IFERROR(__xludf.DUMMYFUNCTION("""COMPUTED_VALUE"""),62)</f>
        <v>62</v>
      </c>
      <c r="T116" s="1" t="str">
        <f ca="1">IFERROR(__xludf.DUMMYFUNCTION("""COMPUTED_VALUE"""),"+2.41")</f>
        <v>+2.41</v>
      </c>
      <c r="U116" s="1">
        <f ca="1">IFERROR(__xludf.DUMMYFUNCTION("""COMPUTED_VALUE"""),97)</f>
        <v>97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IFERROR(__xludf.DUMMYFUNCTION("""COMPUTED_VALUE"""),"Drexel")</f>
        <v>Drexel</v>
      </c>
      <c r="C117" s="1" t="str">
        <f ca="1">IFERROR(__xludf.DUMMYFUNCTION("""COMPUTED_VALUE"""),"CAA")</f>
        <v>CAA</v>
      </c>
      <c r="D117" s="1" t="str">
        <f ca="1">IFERROR(__xludf.DUMMYFUNCTION("""COMPUTED_VALUE"""),"18-12")</f>
        <v>18-12</v>
      </c>
      <c r="E117" s="1" t="str">
        <f ca="1">IFERROR(__xludf.DUMMYFUNCTION("""COMPUTED_VALUE"""),"+5.02")</f>
        <v>+5.02</v>
      </c>
      <c r="F117" s="1">
        <f ca="1">IFERROR(__xludf.DUMMYFUNCTION("""COMPUTED_VALUE"""),101.7)</f>
        <v>101.7</v>
      </c>
      <c r="G117" s="1">
        <f ca="1">IFERROR(__xludf.DUMMYFUNCTION("""COMPUTED_VALUE"""),173)</f>
        <v>173</v>
      </c>
      <c r="H117" s="1">
        <f ca="1">IFERROR(__xludf.DUMMYFUNCTION("""COMPUTED_VALUE"""),96.7)</f>
        <v>96.7</v>
      </c>
      <c r="I117" s="1">
        <f ca="1">IFERROR(__xludf.DUMMYFUNCTION("""COMPUTED_VALUE"""),65)</f>
        <v>65</v>
      </c>
      <c r="J117" s="1">
        <f ca="1">IFERROR(__xludf.DUMMYFUNCTION("""COMPUTED_VALUE"""),67.6)</f>
        <v>67.599999999999994</v>
      </c>
      <c r="K117" s="1">
        <f ca="1">IFERROR(__xludf.DUMMYFUNCTION("""COMPUTED_VALUE"""),138)</f>
        <v>138</v>
      </c>
      <c r="L117" s="1" t="str">
        <f ca="1">IFERROR(__xludf.DUMMYFUNCTION("""COMPUTED_VALUE"""),"+.013")</f>
        <v>+.013</v>
      </c>
      <c r="M117" s="1">
        <f ca="1">IFERROR(__xludf.DUMMYFUNCTION("""COMPUTED_VALUE"""),129)</f>
        <v>129</v>
      </c>
      <c r="N117" s="1" t="str">
        <f ca="1">IFERROR(__xludf.DUMMYFUNCTION("""COMPUTED_VALUE"""),"+0.21")</f>
        <v>+0.21</v>
      </c>
      <c r="O117" s="1">
        <f ca="1">IFERROR(__xludf.DUMMYFUNCTION("""COMPUTED_VALUE"""),150)</f>
        <v>150</v>
      </c>
      <c r="P117" s="1">
        <f ca="1">IFERROR(__xludf.DUMMYFUNCTION("""COMPUTED_VALUE"""),101.2)</f>
        <v>101.2</v>
      </c>
      <c r="Q117" s="1">
        <f ca="1">IFERROR(__xludf.DUMMYFUNCTION("""COMPUTED_VALUE"""),192)</f>
        <v>192</v>
      </c>
      <c r="R117" s="1">
        <f ca="1">IFERROR(__xludf.DUMMYFUNCTION("""COMPUTED_VALUE"""),101)</f>
        <v>101</v>
      </c>
      <c r="S117" s="1">
        <f ca="1">IFERROR(__xludf.DUMMYFUNCTION("""COMPUTED_VALUE"""),106)</f>
        <v>106</v>
      </c>
      <c r="T117" s="1" t="str">
        <f ca="1">IFERROR(__xludf.DUMMYFUNCTION("""COMPUTED_VALUE"""),"+4.16")</f>
        <v>+4.16</v>
      </c>
      <c r="U117" s="1">
        <f ca="1">IFERROR(__xludf.DUMMYFUNCTION("""COMPUTED_VALUE"""),61)</f>
        <v>61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IFERROR(__xludf.DUMMYFUNCTION("""COMPUTED_VALUE"""),"Rice")</f>
        <v>Rice</v>
      </c>
      <c r="C118" s="1" t="str">
        <f ca="1">IFERROR(__xludf.DUMMYFUNCTION("""COMPUTED_VALUE"""),"WAC")</f>
        <v>WAC</v>
      </c>
      <c r="D118" s="1" t="str">
        <f ca="1">IFERROR(__xludf.DUMMYFUNCTION("""COMPUTED_VALUE"""),"17-10")</f>
        <v>17-10</v>
      </c>
      <c r="E118" s="1" t="str">
        <f ca="1">IFERROR(__xludf.DUMMYFUNCTION("""COMPUTED_VALUE"""),"+4.73")</f>
        <v>+4.73</v>
      </c>
      <c r="F118" s="1">
        <f ca="1">IFERROR(__xludf.DUMMYFUNCTION("""COMPUTED_VALUE"""),105.8)</f>
        <v>105.8</v>
      </c>
      <c r="G118" s="1">
        <f ca="1">IFERROR(__xludf.DUMMYFUNCTION("""COMPUTED_VALUE"""),102)</f>
        <v>102</v>
      </c>
      <c r="H118" s="1">
        <f ca="1">IFERROR(__xludf.DUMMYFUNCTION("""COMPUTED_VALUE"""),101.1)</f>
        <v>101.1</v>
      </c>
      <c r="I118" s="1">
        <f ca="1">IFERROR(__xludf.DUMMYFUNCTION("""COMPUTED_VALUE"""),144)</f>
        <v>144</v>
      </c>
      <c r="J118" s="1">
        <f ca="1">IFERROR(__xludf.DUMMYFUNCTION("""COMPUTED_VALUE"""),69.2)</f>
        <v>69.2</v>
      </c>
      <c r="K118" s="1">
        <f ca="1">IFERROR(__xludf.DUMMYFUNCTION("""COMPUTED_VALUE"""),73)</f>
        <v>73</v>
      </c>
      <c r="L118" s="1" t="str">
        <f ca="1">IFERROR(__xludf.DUMMYFUNCTION("""COMPUTED_VALUE"""),"+.063")</f>
        <v>+.063</v>
      </c>
      <c r="M118" s="1">
        <f ca="1">IFERROR(__xludf.DUMMYFUNCTION("""COMPUTED_VALUE"""),40)</f>
        <v>40</v>
      </c>
      <c r="N118" s="1" t="str">
        <f ca="1">IFERROR(__xludf.DUMMYFUNCTION("""COMPUTED_VALUE"""),"+0.02")</f>
        <v>+0.02</v>
      </c>
      <c r="O118" s="1">
        <f ca="1">IFERROR(__xludf.DUMMYFUNCTION("""COMPUTED_VALUE"""),152)</f>
        <v>152</v>
      </c>
      <c r="P118" s="1">
        <f ca="1">IFERROR(__xludf.DUMMYFUNCTION("""COMPUTED_VALUE"""),101)</f>
        <v>101</v>
      </c>
      <c r="Q118" s="1">
        <f ca="1">IFERROR(__xludf.DUMMYFUNCTION("""COMPUTED_VALUE"""),200)</f>
        <v>200</v>
      </c>
      <c r="R118" s="1">
        <f ca="1">IFERROR(__xludf.DUMMYFUNCTION("""COMPUTED_VALUE"""),101)</f>
        <v>101</v>
      </c>
      <c r="S118" s="1">
        <f ca="1">IFERROR(__xludf.DUMMYFUNCTION("""COMPUTED_VALUE"""),105)</f>
        <v>105</v>
      </c>
      <c r="T118" s="1">
        <f ca="1">IFERROR(__xludf.DUMMYFUNCTION("""COMPUTED_VALUE"""),-0.21)</f>
        <v>-0.21</v>
      </c>
      <c r="U118" s="1">
        <f ca="1">IFERROR(__xludf.DUMMYFUNCTION("""COMPUTED_VALUE"""),158)</f>
        <v>158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IFERROR(__xludf.DUMMYFUNCTION("""COMPUTED_VALUE"""),"West Virginia")</f>
        <v>West Virginia</v>
      </c>
      <c r="C119" s="1" t="str">
        <f ca="1">IFERROR(__xludf.DUMMYFUNCTION("""COMPUTED_VALUE"""),"BE")</f>
        <v>BE</v>
      </c>
      <c r="D119" s="1" t="str">
        <f ca="1">IFERROR(__xludf.DUMMYFUNCTION("""COMPUTED_VALUE"""),"14-15")</f>
        <v>14-15</v>
      </c>
      <c r="E119" s="1" t="str">
        <f ca="1">IFERROR(__xludf.DUMMYFUNCTION("""COMPUTED_VALUE"""),"+4.71")</f>
        <v>+4.71</v>
      </c>
      <c r="F119" s="1">
        <f ca="1">IFERROR(__xludf.DUMMYFUNCTION("""COMPUTED_VALUE"""),104.7)</f>
        <v>104.7</v>
      </c>
      <c r="G119" s="1">
        <f ca="1">IFERROR(__xludf.DUMMYFUNCTION("""COMPUTED_VALUE"""),120)</f>
        <v>120</v>
      </c>
      <c r="H119" s="1">
        <f ca="1">IFERROR(__xludf.DUMMYFUNCTION("""COMPUTED_VALUE"""),99.9)</f>
        <v>99.9</v>
      </c>
      <c r="I119" s="1">
        <f ca="1">IFERROR(__xludf.DUMMYFUNCTION("""COMPUTED_VALUE"""),126)</f>
        <v>126</v>
      </c>
      <c r="J119" s="1">
        <f ca="1">IFERROR(__xludf.DUMMYFUNCTION("""COMPUTED_VALUE"""),65)</f>
        <v>65</v>
      </c>
      <c r="K119" s="1">
        <f ca="1">IFERROR(__xludf.DUMMYFUNCTION("""COMPUTED_VALUE"""),253)</f>
        <v>253</v>
      </c>
      <c r="L119" s="1" t="str">
        <f ca="1">IFERROR(__xludf.DUMMYFUNCTION("""COMPUTED_VALUE"""),"+.055")</f>
        <v>+.055</v>
      </c>
      <c r="M119" s="1">
        <f ca="1">IFERROR(__xludf.DUMMYFUNCTION("""COMPUTED_VALUE"""),49)</f>
        <v>49</v>
      </c>
      <c r="N119" s="1" t="str">
        <f ca="1">IFERROR(__xludf.DUMMYFUNCTION("""COMPUTED_VALUE"""),"+7.74")</f>
        <v>+7.74</v>
      </c>
      <c r="O119" s="1">
        <f ca="1">IFERROR(__xludf.DUMMYFUNCTION("""COMPUTED_VALUE"""),45)</f>
        <v>45</v>
      </c>
      <c r="P119" s="1">
        <f ca="1">IFERROR(__xludf.DUMMYFUNCTION("""COMPUTED_VALUE"""),106)</f>
        <v>106</v>
      </c>
      <c r="Q119" s="1">
        <f ca="1">IFERROR(__xludf.DUMMYFUNCTION("""COMPUTED_VALUE"""),54)</f>
        <v>54</v>
      </c>
      <c r="R119" s="1">
        <f ca="1">IFERROR(__xludf.DUMMYFUNCTION("""COMPUTED_VALUE"""),98.3)</f>
        <v>98.3</v>
      </c>
      <c r="S119" s="1">
        <f ca="1">IFERROR(__xludf.DUMMYFUNCTION("""COMPUTED_VALUE"""),45)</f>
        <v>45</v>
      </c>
      <c r="T119" s="1">
        <f ca="1">IFERROR(__xludf.DUMMYFUNCTION("""COMPUTED_VALUE"""),-3.49)</f>
        <v>-3.49</v>
      </c>
      <c r="U119" s="1">
        <f ca="1">IFERROR(__xludf.DUMMYFUNCTION("""COMPUTED_VALUE"""),238)</f>
        <v>238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IFERROR(__xludf.DUMMYFUNCTION("""COMPUTED_VALUE"""),"South Florida")</f>
        <v>South Florida</v>
      </c>
      <c r="C120" s="1" t="str">
        <f ca="1">IFERROR(__xludf.DUMMYFUNCTION("""COMPUTED_VALUE"""),"CUSA")</f>
        <v>CUSA</v>
      </c>
      <c r="D120" s="1" t="str">
        <f ca="1">IFERROR(__xludf.DUMMYFUNCTION("""COMPUTED_VALUE"""),"14-14")</f>
        <v>14-14</v>
      </c>
      <c r="E120" s="1" t="str">
        <f ca="1">IFERROR(__xludf.DUMMYFUNCTION("""COMPUTED_VALUE"""),"+4.49")</f>
        <v>+4.49</v>
      </c>
      <c r="F120" s="1">
        <f ca="1">IFERROR(__xludf.DUMMYFUNCTION("""COMPUTED_VALUE"""),101.3)</f>
        <v>101.3</v>
      </c>
      <c r="G120" s="1">
        <f ca="1">IFERROR(__xludf.DUMMYFUNCTION("""COMPUTED_VALUE"""),184)</f>
        <v>184</v>
      </c>
      <c r="H120" s="1">
        <f ca="1">IFERROR(__xludf.DUMMYFUNCTION("""COMPUTED_VALUE"""),96.8)</f>
        <v>96.8</v>
      </c>
      <c r="I120" s="1">
        <f ca="1">IFERROR(__xludf.DUMMYFUNCTION("""COMPUTED_VALUE"""),67)</f>
        <v>67</v>
      </c>
      <c r="J120" s="1">
        <f ca="1">IFERROR(__xludf.DUMMYFUNCTION("""COMPUTED_VALUE"""),67.9)</f>
        <v>67.900000000000006</v>
      </c>
      <c r="K120" s="1">
        <f ca="1">IFERROR(__xludf.DUMMYFUNCTION("""COMPUTED_VALUE"""),124)</f>
        <v>124</v>
      </c>
      <c r="L120" s="1" t="str">
        <f ca="1">IFERROR(__xludf.DUMMYFUNCTION("""COMPUTED_VALUE"""),"+.007")</f>
        <v>+.007</v>
      </c>
      <c r="M120" s="1">
        <f ca="1">IFERROR(__xludf.DUMMYFUNCTION("""COMPUTED_VALUE"""),143)</f>
        <v>143</v>
      </c>
      <c r="N120" s="1" t="str">
        <f ca="1">IFERROR(__xludf.DUMMYFUNCTION("""COMPUTED_VALUE"""),"+4.25")</f>
        <v>+4.25</v>
      </c>
      <c r="O120" s="1">
        <f ca="1">IFERROR(__xludf.DUMMYFUNCTION("""COMPUTED_VALUE"""),90)</f>
        <v>90</v>
      </c>
      <c r="P120" s="1">
        <f ca="1">IFERROR(__xludf.DUMMYFUNCTION("""COMPUTED_VALUE"""),104)</f>
        <v>104</v>
      </c>
      <c r="Q120" s="1">
        <f ca="1">IFERROR(__xludf.DUMMYFUNCTION("""COMPUTED_VALUE"""),114)</f>
        <v>114</v>
      </c>
      <c r="R120" s="1">
        <f ca="1">IFERROR(__xludf.DUMMYFUNCTION("""COMPUTED_VALUE"""),99.7)</f>
        <v>99.7</v>
      </c>
      <c r="S120" s="1">
        <f ca="1">IFERROR(__xludf.DUMMYFUNCTION("""COMPUTED_VALUE"""),83)</f>
        <v>83</v>
      </c>
      <c r="T120" s="1" t="str">
        <f ca="1">IFERROR(__xludf.DUMMYFUNCTION("""COMPUTED_VALUE"""),"+1.29")</f>
        <v>+1.29</v>
      </c>
      <c r="U120" s="1">
        <f ca="1">IFERROR(__xludf.DUMMYFUNCTION("""COMPUTED_VALUE"""),125)</f>
        <v>125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IFERROR(__xludf.DUMMYFUNCTION("""COMPUTED_VALUE"""),"Hawaii")</f>
        <v>Hawaii</v>
      </c>
      <c r="C121" s="1" t="str">
        <f ca="1">IFERROR(__xludf.DUMMYFUNCTION("""COMPUTED_VALUE"""),"WAC")</f>
        <v>WAC</v>
      </c>
      <c r="D121" s="1" t="str">
        <f ca="1">IFERROR(__xludf.DUMMYFUNCTION("""COMPUTED_VALUE"""),"19-12")</f>
        <v>19-12</v>
      </c>
      <c r="E121" s="1" t="str">
        <f ca="1">IFERROR(__xludf.DUMMYFUNCTION("""COMPUTED_VALUE"""),"+4.33")</f>
        <v>+4.33</v>
      </c>
      <c r="F121" s="1">
        <f ca="1">IFERROR(__xludf.DUMMYFUNCTION("""COMPUTED_VALUE"""),102.9)</f>
        <v>102.9</v>
      </c>
      <c r="G121" s="1">
        <f ca="1">IFERROR(__xludf.DUMMYFUNCTION("""COMPUTED_VALUE"""),156)</f>
        <v>156</v>
      </c>
      <c r="H121" s="1">
        <f ca="1">IFERROR(__xludf.DUMMYFUNCTION("""COMPUTED_VALUE"""),98.5)</f>
        <v>98.5</v>
      </c>
      <c r="I121" s="1">
        <f ca="1">IFERROR(__xludf.DUMMYFUNCTION("""COMPUTED_VALUE"""),95)</f>
        <v>95</v>
      </c>
      <c r="J121" s="1">
        <f ca="1">IFERROR(__xludf.DUMMYFUNCTION("""COMPUTED_VALUE"""),65.8)</f>
        <v>65.8</v>
      </c>
      <c r="K121" s="1">
        <f ca="1">IFERROR(__xludf.DUMMYFUNCTION("""COMPUTED_VALUE"""),213)</f>
        <v>213</v>
      </c>
      <c r="L121" s="1" t="str">
        <f ca="1">IFERROR(__xludf.DUMMYFUNCTION("""COMPUTED_VALUE"""),"+.057")</f>
        <v>+.057</v>
      </c>
      <c r="M121" s="1">
        <f ca="1">IFERROR(__xludf.DUMMYFUNCTION("""COMPUTED_VALUE"""),45)</f>
        <v>45</v>
      </c>
      <c r="N121" s="1" t="str">
        <f ca="1">IFERROR(__xludf.DUMMYFUNCTION("""COMPUTED_VALUE"""),"+1.30")</f>
        <v>+1.30</v>
      </c>
      <c r="O121" s="1">
        <f ca="1">IFERROR(__xludf.DUMMYFUNCTION("""COMPUTED_VALUE"""),132)</f>
        <v>132</v>
      </c>
      <c r="P121" s="1">
        <f ca="1">IFERROR(__xludf.DUMMYFUNCTION("""COMPUTED_VALUE"""),103.4)</f>
        <v>103.4</v>
      </c>
      <c r="Q121" s="1">
        <f ca="1">IFERROR(__xludf.DUMMYFUNCTION("""COMPUTED_VALUE"""),135)</f>
        <v>135</v>
      </c>
      <c r="R121" s="1">
        <f ca="1">IFERROR(__xludf.DUMMYFUNCTION("""COMPUTED_VALUE"""),102.1)</f>
        <v>102.1</v>
      </c>
      <c r="S121" s="1">
        <f ca="1">IFERROR(__xludf.DUMMYFUNCTION("""COMPUTED_VALUE"""),138)</f>
        <v>138</v>
      </c>
      <c r="T121" s="1">
        <f ca="1">IFERROR(__xludf.DUMMYFUNCTION("""COMPUTED_VALUE"""),-1.42)</f>
        <v>-1.42</v>
      </c>
      <c r="U121" s="1">
        <f ca="1">IFERROR(__xludf.DUMMYFUNCTION("""COMPUTED_VALUE"""),187)</f>
        <v>187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IFERROR(__xludf.DUMMYFUNCTION("""COMPUTED_VALUE"""),"Rhode Island")</f>
        <v>Rhode Island</v>
      </c>
      <c r="C122" s="1" t="str">
        <f ca="1">IFERROR(__xludf.DUMMYFUNCTION("""COMPUTED_VALUE"""),"A10")</f>
        <v>A10</v>
      </c>
      <c r="D122" s="1" t="str">
        <f ca="1">IFERROR(__xludf.DUMMYFUNCTION("""COMPUTED_VALUE"""),"19-12")</f>
        <v>19-12</v>
      </c>
      <c r="E122" s="1" t="str">
        <f ca="1">IFERROR(__xludf.DUMMYFUNCTION("""COMPUTED_VALUE"""),"+4.33")</f>
        <v>+4.33</v>
      </c>
      <c r="F122" s="1">
        <f ca="1">IFERROR(__xludf.DUMMYFUNCTION("""COMPUTED_VALUE"""),101.6)</f>
        <v>101.6</v>
      </c>
      <c r="G122" s="1">
        <f ca="1">IFERROR(__xludf.DUMMYFUNCTION("""COMPUTED_VALUE"""),176)</f>
        <v>176</v>
      </c>
      <c r="H122" s="1">
        <f ca="1">IFERROR(__xludf.DUMMYFUNCTION("""COMPUTED_VALUE"""),97.3)</f>
        <v>97.3</v>
      </c>
      <c r="I122" s="1">
        <f ca="1">IFERROR(__xludf.DUMMYFUNCTION("""COMPUTED_VALUE"""),75)</f>
        <v>75</v>
      </c>
      <c r="J122" s="1">
        <f ca="1">IFERROR(__xludf.DUMMYFUNCTION("""COMPUTED_VALUE"""),68.5)</f>
        <v>68.5</v>
      </c>
      <c r="K122" s="1">
        <f ca="1">IFERROR(__xludf.DUMMYFUNCTION("""COMPUTED_VALUE"""),100)</f>
        <v>100</v>
      </c>
      <c r="L122" s="1" t="str">
        <f ca="1">IFERROR(__xludf.DUMMYFUNCTION("""COMPUTED_VALUE"""),"+.112")</f>
        <v>+.112</v>
      </c>
      <c r="M122" s="1">
        <f ca="1">IFERROR(__xludf.DUMMYFUNCTION("""COMPUTED_VALUE"""),7)</f>
        <v>7</v>
      </c>
      <c r="N122" s="1" t="str">
        <f ca="1">IFERROR(__xludf.DUMMYFUNCTION("""COMPUTED_VALUE"""),"+3.30")</f>
        <v>+3.30</v>
      </c>
      <c r="O122" s="1">
        <f ca="1">IFERROR(__xludf.DUMMYFUNCTION("""COMPUTED_VALUE"""),102)</f>
        <v>102</v>
      </c>
      <c r="P122" s="1">
        <f ca="1">IFERROR(__xludf.DUMMYFUNCTION("""COMPUTED_VALUE"""),104.4)</f>
        <v>104.4</v>
      </c>
      <c r="Q122" s="1">
        <f ca="1">IFERROR(__xludf.DUMMYFUNCTION("""COMPUTED_VALUE"""),100)</f>
        <v>100</v>
      </c>
      <c r="R122" s="1">
        <f ca="1">IFERROR(__xludf.DUMMYFUNCTION("""COMPUTED_VALUE"""),101.1)</f>
        <v>101.1</v>
      </c>
      <c r="S122" s="1">
        <f ca="1">IFERROR(__xludf.DUMMYFUNCTION("""COMPUTED_VALUE"""),107)</f>
        <v>107</v>
      </c>
      <c r="T122" s="1" t="str">
        <f ca="1">IFERROR(__xludf.DUMMYFUNCTION("""COMPUTED_VALUE"""),"+0.92")</f>
        <v>+0.92</v>
      </c>
      <c r="U122" s="1">
        <f ca="1">IFERROR(__xludf.DUMMYFUNCTION("""COMPUTED_VALUE"""),132)</f>
        <v>132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IFERROR(__xludf.DUMMYFUNCTION("""COMPUTED_VALUE"""),"George Mason")</f>
        <v>George Mason</v>
      </c>
      <c r="C123" s="1" t="str">
        <f ca="1">IFERROR(__xludf.DUMMYFUNCTION("""COMPUTED_VALUE"""),"CAA")</f>
        <v>CAA</v>
      </c>
      <c r="D123" s="1" t="str">
        <f ca="1">IFERROR(__xludf.DUMMYFUNCTION("""COMPUTED_VALUE"""),"16-12")</f>
        <v>16-12</v>
      </c>
      <c r="E123" s="1" t="str">
        <f ca="1">IFERROR(__xludf.DUMMYFUNCTION("""COMPUTED_VALUE"""),"+4.26")</f>
        <v>+4.26</v>
      </c>
      <c r="F123" s="1">
        <f ca="1">IFERROR(__xludf.DUMMYFUNCTION("""COMPUTED_VALUE"""),98.1)</f>
        <v>98.1</v>
      </c>
      <c r="G123" s="1">
        <f ca="1">IFERROR(__xludf.DUMMYFUNCTION("""COMPUTED_VALUE"""),241)</f>
        <v>241</v>
      </c>
      <c r="H123" s="1">
        <f ca="1">IFERROR(__xludf.DUMMYFUNCTION("""COMPUTED_VALUE"""),93.8)</f>
        <v>93.8</v>
      </c>
      <c r="I123" s="1">
        <f ca="1">IFERROR(__xludf.DUMMYFUNCTION("""COMPUTED_VALUE"""),27)</f>
        <v>27</v>
      </c>
      <c r="J123" s="1">
        <f ca="1">IFERROR(__xludf.DUMMYFUNCTION("""COMPUTED_VALUE"""),64.9)</f>
        <v>64.900000000000006</v>
      </c>
      <c r="K123" s="1">
        <f ca="1">IFERROR(__xludf.DUMMYFUNCTION("""COMPUTED_VALUE"""),262)</f>
        <v>262</v>
      </c>
      <c r="L123" s="1">
        <f ca="1">IFERROR(__xludf.DUMMYFUNCTION("""COMPUTED_VALUE"""),-0.022)</f>
        <v>-2.1999999999999999E-2</v>
      </c>
      <c r="M123" s="1">
        <f ca="1">IFERROR(__xludf.DUMMYFUNCTION("""COMPUTED_VALUE"""),222)</f>
        <v>222</v>
      </c>
      <c r="N123" s="1">
        <f ca="1">IFERROR(__xludf.DUMMYFUNCTION("""COMPUTED_VALUE"""),-1.21)</f>
        <v>-1.21</v>
      </c>
      <c r="O123" s="1">
        <f ca="1">IFERROR(__xludf.DUMMYFUNCTION("""COMPUTED_VALUE"""),178)</f>
        <v>178</v>
      </c>
      <c r="P123" s="1">
        <f ca="1">IFERROR(__xludf.DUMMYFUNCTION("""COMPUTED_VALUE"""),100.9)</f>
        <v>100.9</v>
      </c>
      <c r="Q123" s="1">
        <f ca="1">IFERROR(__xludf.DUMMYFUNCTION("""COMPUTED_VALUE"""),204)</f>
        <v>204</v>
      </c>
      <c r="R123" s="1">
        <f ca="1">IFERROR(__xludf.DUMMYFUNCTION("""COMPUTED_VALUE"""),102.1)</f>
        <v>102.1</v>
      </c>
      <c r="S123" s="1">
        <f ca="1">IFERROR(__xludf.DUMMYFUNCTION("""COMPUTED_VALUE"""),142)</f>
        <v>142</v>
      </c>
      <c r="T123" s="1" t="str">
        <f ca="1">IFERROR(__xludf.DUMMYFUNCTION("""COMPUTED_VALUE"""),"+3.68")</f>
        <v>+3.68</v>
      </c>
      <c r="U123" s="1">
        <f ca="1">IFERROR(__xludf.DUMMYFUNCTION("""COMPUTED_VALUE"""),67)</f>
        <v>67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IFERROR(__xludf.DUMMYFUNCTION("""COMPUTED_VALUE"""),"San Francisco")</f>
        <v>San Francisco</v>
      </c>
      <c r="C124" s="1" t="str">
        <f ca="1">IFERROR(__xludf.DUMMYFUNCTION("""COMPUTED_VALUE"""),"WCC")</f>
        <v>WCC</v>
      </c>
      <c r="D124" s="1" t="str">
        <f ca="1">IFERROR(__xludf.DUMMYFUNCTION("""COMPUTED_VALUE"""),"14-14")</f>
        <v>14-14</v>
      </c>
      <c r="E124" s="1" t="str">
        <f ca="1">IFERROR(__xludf.DUMMYFUNCTION("""COMPUTED_VALUE"""),"+4.19")</f>
        <v>+4.19</v>
      </c>
      <c r="F124" s="1">
        <f ca="1">IFERROR(__xludf.DUMMYFUNCTION("""COMPUTED_VALUE"""),109.1)</f>
        <v>109.1</v>
      </c>
      <c r="G124" s="1">
        <f ca="1">IFERROR(__xludf.DUMMYFUNCTION("""COMPUTED_VALUE"""),55)</f>
        <v>55</v>
      </c>
      <c r="H124" s="1">
        <f ca="1">IFERROR(__xludf.DUMMYFUNCTION("""COMPUTED_VALUE"""),104.9)</f>
        <v>104.9</v>
      </c>
      <c r="I124" s="1">
        <f ca="1">IFERROR(__xludf.DUMMYFUNCTION("""COMPUTED_VALUE"""),219)</f>
        <v>219</v>
      </c>
      <c r="J124" s="1">
        <f ca="1">IFERROR(__xludf.DUMMYFUNCTION("""COMPUTED_VALUE"""),63.2)</f>
        <v>63.2</v>
      </c>
      <c r="K124" s="1">
        <f ca="1">IFERROR(__xludf.DUMMYFUNCTION("""COMPUTED_VALUE"""),293)</f>
        <v>293</v>
      </c>
      <c r="L124" s="1">
        <f ca="1">IFERROR(__xludf.DUMMYFUNCTION("""COMPUTED_VALUE"""),-0.02)</f>
        <v>-0.02</v>
      </c>
      <c r="M124" s="1">
        <f ca="1">IFERROR(__xludf.DUMMYFUNCTION("""COMPUTED_VALUE"""),215)</f>
        <v>215</v>
      </c>
      <c r="N124" s="1" t="str">
        <f ca="1">IFERROR(__xludf.DUMMYFUNCTION("""COMPUTED_VALUE"""),"+2.16")</f>
        <v>+2.16</v>
      </c>
      <c r="O124" s="1">
        <f ca="1">IFERROR(__xludf.DUMMYFUNCTION("""COMPUTED_VALUE"""),120)</f>
        <v>120</v>
      </c>
      <c r="P124" s="1">
        <f ca="1">IFERROR(__xludf.DUMMYFUNCTION("""COMPUTED_VALUE"""),103)</f>
        <v>103</v>
      </c>
      <c r="Q124" s="1">
        <f ca="1">IFERROR(__xludf.DUMMYFUNCTION("""COMPUTED_VALUE"""),146)</f>
        <v>146</v>
      </c>
      <c r="R124" s="1">
        <f ca="1">IFERROR(__xludf.DUMMYFUNCTION("""COMPUTED_VALUE"""),100.8)</f>
        <v>100.8</v>
      </c>
      <c r="S124" s="1">
        <f ca="1">IFERROR(__xludf.DUMMYFUNCTION("""COMPUTED_VALUE"""),101)</f>
        <v>101</v>
      </c>
      <c r="T124" s="1" t="str">
        <f ca="1">IFERROR(__xludf.DUMMYFUNCTION("""COMPUTED_VALUE"""),"+3.15")</f>
        <v>+3.15</v>
      </c>
      <c r="U124" s="1">
        <f ca="1">IFERROR(__xludf.DUMMYFUNCTION("""COMPUTED_VALUE"""),84)</f>
        <v>84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IFERROR(__xludf.DUMMYFUNCTION("""COMPUTED_VALUE"""),"UC Irvine")</f>
        <v>UC Irvine</v>
      </c>
      <c r="C125" s="1" t="str">
        <f ca="1">IFERROR(__xludf.DUMMYFUNCTION("""COMPUTED_VALUE"""),"BW")</f>
        <v>BW</v>
      </c>
      <c r="D125" s="1" t="str">
        <f ca="1">IFERROR(__xludf.DUMMYFUNCTION("""COMPUTED_VALUE"""),"19-9")</f>
        <v>19-9</v>
      </c>
      <c r="E125" s="1" t="str">
        <f ca="1">IFERROR(__xludf.DUMMYFUNCTION("""COMPUTED_VALUE"""),"+4.10")</f>
        <v>+4.10</v>
      </c>
      <c r="F125" s="1">
        <f ca="1">IFERROR(__xludf.DUMMYFUNCTION("""COMPUTED_VALUE"""),103.6)</f>
        <v>103.6</v>
      </c>
      <c r="G125" s="1">
        <f ca="1">IFERROR(__xludf.DUMMYFUNCTION("""COMPUTED_VALUE"""),137)</f>
        <v>137</v>
      </c>
      <c r="H125" s="1">
        <f ca="1">IFERROR(__xludf.DUMMYFUNCTION("""COMPUTED_VALUE"""),99.5)</f>
        <v>99.5</v>
      </c>
      <c r="I125" s="1">
        <f ca="1">IFERROR(__xludf.DUMMYFUNCTION("""COMPUTED_VALUE"""),115)</f>
        <v>115</v>
      </c>
      <c r="J125" s="1">
        <f ca="1">IFERROR(__xludf.DUMMYFUNCTION("""COMPUTED_VALUE"""),65.5)</f>
        <v>65.5</v>
      </c>
      <c r="K125" s="1">
        <f ca="1">IFERROR(__xludf.DUMMYFUNCTION("""COMPUTED_VALUE"""),237)</f>
        <v>237</v>
      </c>
      <c r="L125" s="1" t="str">
        <f ca="1">IFERROR(__xludf.DUMMYFUNCTION("""COMPUTED_VALUE"""),"+.077")</f>
        <v>+.077</v>
      </c>
      <c r="M125" s="1">
        <f ca="1">IFERROR(__xludf.DUMMYFUNCTION("""COMPUTED_VALUE"""),23)</f>
        <v>23</v>
      </c>
      <c r="N125" s="1">
        <f ca="1">IFERROR(__xludf.DUMMYFUNCTION("""COMPUTED_VALUE"""),-2.03)</f>
        <v>-2.0299999999999998</v>
      </c>
      <c r="O125" s="1">
        <f ca="1">IFERROR(__xludf.DUMMYFUNCTION("""COMPUTED_VALUE"""),196)</f>
        <v>196</v>
      </c>
      <c r="P125" s="1">
        <f ca="1">IFERROR(__xludf.DUMMYFUNCTION("""COMPUTED_VALUE"""),100.8)</f>
        <v>100.8</v>
      </c>
      <c r="Q125" s="1">
        <f ca="1">IFERROR(__xludf.DUMMYFUNCTION("""COMPUTED_VALUE"""),209)</f>
        <v>209</v>
      </c>
      <c r="R125" s="1">
        <f ca="1">IFERROR(__xludf.DUMMYFUNCTION("""COMPUTED_VALUE"""),102.9)</f>
        <v>102.9</v>
      </c>
      <c r="S125" s="1">
        <f ca="1">IFERROR(__xludf.DUMMYFUNCTION("""COMPUTED_VALUE"""),178)</f>
        <v>178</v>
      </c>
      <c r="T125" s="1" t="str">
        <f ca="1">IFERROR(__xludf.DUMMYFUNCTION("""COMPUTED_VALUE"""),"+2.39")</f>
        <v>+2.39</v>
      </c>
      <c r="U125" s="1">
        <f ca="1">IFERROR(__xludf.DUMMYFUNCTION("""COMPUTED_VALUE"""),98)</f>
        <v>98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IFERROR(__xludf.DUMMYFUNCTION("""COMPUTED_VALUE"""),"College of Charleston")</f>
        <v>College of Charleston</v>
      </c>
      <c r="C126" s="1" t="str">
        <f ca="1">IFERROR(__xludf.DUMMYFUNCTION("""COMPUTED_VALUE"""),"SC")</f>
        <v>SC</v>
      </c>
      <c r="D126" s="1" t="str">
        <f ca="1">IFERROR(__xludf.DUMMYFUNCTION("""COMPUTED_VALUE"""),"23-8")</f>
        <v>23-8</v>
      </c>
      <c r="E126" s="1" t="str">
        <f ca="1">IFERROR(__xludf.DUMMYFUNCTION("""COMPUTED_VALUE"""),"+4.08")</f>
        <v>+4.08</v>
      </c>
      <c r="F126" s="1">
        <f ca="1">IFERROR(__xludf.DUMMYFUNCTION("""COMPUTED_VALUE"""),102.5)</f>
        <v>102.5</v>
      </c>
      <c r="G126" s="1">
        <f ca="1">IFERROR(__xludf.DUMMYFUNCTION("""COMPUTED_VALUE"""),159)</f>
        <v>159</v>
      </c>
      <c r="H126" s="1">
        <f ca="1">IFERROR(__xludf.DUMMYFUNCTION("""COMPUTED_VALUE"""),98.4)</f>
        <v>98.4</v>
      </c>
      <c r="I126" s="1">
        <f ca="1">IFERROR(__xludf.DUMMYFUNCTION("""COMPUTED_VALUE"""),92)</f>
        <v>92</v>
      </c>
      <c r="J126" s="1">
        <f ca="1">IFERROR(__xludf.DUMMYFUNCTION("""COMPUTED_VALUE"""),67.1)</f>
        <v>67.099999999999994</v>
      </c>
      <c r="K126" s="1">
        <f ca="1">IFERROR(__xludf.DUMMYFUNCTION("""COMPUTED_VALUE"""),161)</f>
        <v>161</v>
      </c>
      <c r="L126" s="1" t="str">
        <f ca="1">IFERROR(__xludf.DUMMYFUNCTION("""COMPUTED_VALUE"""),"+.079")</f>
        <v>+.079</v>
      </c>
      <c r="M126" s="1">
        <f ca="1">IFERROR(__xludf.DUMMYFUNCTION("""COMPUTED_VALUE"""),22)</f>
        <v>22</v>
      </c>
      <c r="N126" s="1">
        <f ca="1">IFERROR(__xludf.DUMMYFUNCTION("""COMPUTED_VALUE"""),-2.83)</f>
        <v>-2.83</v>
      </c>
      <c r="O126" s="1">
        <f ca="1">IFERROR(__xludf.DUMMYFUNCTION("""COMPUTED_VALUE"""),214)</f>
        <v>214</v>
      </c>
      <c r="P126" s="1">
        <f ca="1">IFERROR(__xludf.DUMMYFUNCTION("""COMPUTED_VALUE"""),101.2)</f>
        <v>101.2</v>
      </c>
      <c r="Q126" s="1">
        <f ca="1">IFERROR(__xludf.DUMMYFUNCTION("""COMPUTED_VALUE"""),193)</f>
        <v>193</v>
      </c>
      <c r="R126" s="1">
        <f ca="1">IFERROR(__xludf.DUMMYFUNCTION("""COMPUTED_VALUE"""),104.1)</f>
        <v>104.1</v>
      </c>
      <c r="S126" s="1">
        <f ca="1">IFERROR(__xludf.DUMMYFUNCTION("""COMPUTED_VALUE"""),229)</f>
        <v>229</v>
      </c>
      <c r="T126" s="1">
        <f ca="1">IFERROR(__xludf.DUMMYFUNCTION("""COMPUTED_VALUE"""),-0.13)</f>
        <v>-0.13</v>
      </c>
      <c r="U126" s="1">
        <f ca="1">IFERROR(__xludf.DUMMYFUNCTION("""COMPUTED_VALUE"""),156)</f>
        <v>156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IFERROR(__xludf.DUMMYFUNCTION("""COMPUTED_VALUE"""),"VCU")</f>
        <v>VCU</v>
      </c>
      <c r="C129" s="1" t="str">
        <f ca="1">IFERROR(__xludf.DUMMYFUNCTION("""COMPUTED_VALUE"""),"CAA")</f>
        <v>CAA</v>
      </c>
      <c r="D129" s="1" t="str">
        <f ca="1">IFERROR(__xludf.DUMMYFUNCTION("""COMPUTED_VALUE"""),"18-10")</f>
        <v>18-10</v>
      </c>
      <c r="E129" s="1" t="str">
        <f ca="1">IFERROR(__xludf.DUMMYFUNCTION("""COMPUTED_VALUE"""),"+4.06")</f>
        <v>+4.06</v>
      </c>
      <c r="F129" s="1">
        <f ca="1">IFERROR(__xludf.DUMMYFUNCTION("""COMPUTED_VALUE"""),103.4)</f>
        <v>103.4</v>
      </c>
      <c r="G129" s="1">
        <f ca="1">IFERROR(__xludf.DUMMYFUNCTION("""COMPUTED_VALUE"""),144)</f>
        <v>144</v>
      </c>
      <c r="H129" s="1">
        <f ca="1">IFERROR(__xludf.DUMMYFUNCTION("""COMPUTED_VALUE"""),99.3)</f>
        <v>99.3</v>
      </c>
      <c r="I129" s="1">
        <f ca="1">IFERROR(__xludf.DUMMYFUNCTION("""COMPUTED_VALUE"""),111)</f>
        <v>111</v>
      </c>
      <c r="J129" s="1">
        <f ca="1">IFERROR(__xludf.DUMMYFUNCTION("""COMPUTED_VALUE"""),69.1)</f>
        <v>69.099999999999994</v>
      </c>
      <c r="K129" s="1">
        <f ca="1">IFERROR(__xludf.DUMMYFUNCTION("""COMPUTED_VALUE"""),78)</f>
        <v>78</v>
      </c>
      <c r="L129" s="1">
        <f ca="1">IFERROR(__xludf.DUMMYFUNCTION("""COMPUTED_VALUE"""),-0.009)</f>
        <v>-8.9999999999999993E-3</v>
      </c>
      <c r="M129" s="1">
        <f ca="1">IFERROR(__xludf.DUMMYFUNCTION("""COMPUTED_VALUE"""),189)</f>
        <v>189</v>
      </c>
      <c r="N129" s="1">
        <f ca="1">IFERROR(__xludf.DUMMYFUNCTION("""COMPUTED_VALUE"""),-4.26)</f>
        <v>-4.26</v>
      </c>
      <c r="O129" s="1">
        <f ca="1">IFERROR(__xludf.DUMMYFUNCTION("""COMPUTED_VALUE"""),240)</f>
        <v>240</v>
      </c>
      <c r="P129" s="1">
        <f ca="1">IFERROR(__xludf.DUMMYFUNCTION("""COMPUTED_VALUE"""),98.7)</f>
        <v>98.7</v>
      </c>
      <c r="Q129" s="1">
        <f ca="1">IFERROR(__xludf.DUMMYFUNCTION("""COMPUTED_VALUE"""),267)</f>
        <v>267</v>
      </c>
      <c r="R129" s="1">
        <f ca="1">IFERROR(__xludf.DUMMYFUNCTION("""COMPUTED_VALUE"""),103)</f>
        <v>103</v>
      </c>
      <c r="S129" s="1">
        <f ca="1">IFERROR(__xludf.DUMMYFUNCTION("""COMPUTED_VALUE"""),183)</f>
        <v>183</v>
      </c>
      <c r="T129" s="1">
        <f ca="1">IFERROR(__xludf.DUMMYFUNCTION("""COMPUTED_VALUE"""),-6.63)</f>
        <v>-6.63</v>
      </c>
      <c r="U129" s="1">
        <f ca="1">IFERROR(__xludf.DUMMYFUNCTION("""COMPUTED_VALUE"""),297)</f>
        <v>297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IFERROR(__xludf.DUMMYFUNCTION("""COMPUTED_VALUE"""),"Siena")</f>
        <v>Siena</v>
      </c>
      <c r="C130" s="1" t="str">
        <f ca="1">IFERROR(__xludf.DUMMYFUNCTION("""COMPUTED_VALUE"""),"MAAC")</f>
        <v>MAAC</v>
      </c>
      <c r="D130" s="1" t="str">
        <f ca="1">IFERROR(__xludf.DUMMYFUNCTION("""COMPUTED_VALUE"""),"21-11")</f>
        <v>21-11</v>
      </c>
      <c r="E130" s="1" t="str">
        <f ca="1">IFERROR(__xludf.DUMMYFUNCTION("""COMPUTED_VALUE"""),"+3.89")</f>
        <v>+3.89</v>
      </c>
      <c r="F130" s="1">
        <f ca="1">IFERROR(__xludf.DUMMYFUNCTION("""COMPUTED_VALUE"""),105.3)</f>
        <v>105.3</v>
      </c>
      <c r="G130" s="1">
        <f ca="1">IFERROR(__xludf.DUMMYFUNCTION("""COMPUTED_VALUE"""),110)</f>
        <v>110</v>
      </c>
      <c r="H130" s="1">
        <f ca="1">IFERROR(__xludf.DUMMYFUNCTION("""COMPUTED_VALUE"""),101.4)</f>
        <v>101.4</v>
      </c>
      <c r="I130" s="1">
        <f ca="1">IFERROR(__xludf.DUMMYFUNCTION("""COMPUTED_VALUE"""),150)</f>
        <v>150</v>
      </c>
      <c r="J130" s="1">
        <f ca="1">IFERROR(__xludf.DUMMYFUNCTION("""COMPUTED_VALUE"""),68.9)</f>
        <v>68.900000000000006</v>
      </c>
      <c r="K130" s="1">
        <f ca="1">IFERROR(__xludf.DUMMYFUNCTION("""COMPUTED_VALUE"""),83)</f>
        <v>83</v>
      </c>
      <c r="L130" s="1">
        <f ca="1">IFERROR(__xludf.DUMMYFUNCTION("""COMPUTED_VALUE"""),-0.013)</f>
        <v>-1.2999999999999999E-2</v>
      </c>
      <c r="M130" s="1">
        <f ca="1">IFERROR(__xludf.DUMMYFUNCTION("""COMPUTED_VALUE"""),199)</f>
        <v>199</v>
      </c>
      <c r="N130" s="1">
        <f ca="1">IFERROR(__xludf.DUMMYFUNCTION("""COMPUTED_VALUE"""),-2.78)</f>
        <v>-2.78</v>
      </c>
      <c r="O130" s="1">
        <f ca="1">IFERROR(__xludf.DUMMYFUNCTION("""COMPUTED_VALUE"""),213)</f>
        <v>213</v>
      </c>
      <c r="P130" s="1">
        <f ca="1">IFERROR(__xludf.DUMMYFUNCTION("""COMPUTED_VALUE"""),100.7)</f>
        <v>100.7</v>
      </c>
      <c r="Q130" s="1">
        <f ca="1">IFERROR(__xludf.DUMMYFUNCTION("""COMPUTED_VALUE"""),211)</f>
        <v>211</v>
      </c>
      <c r="R130" s="1">
        <f ca="1">IFERROR(__xludf.DUMMYFUNCTION("""COMPUTED_VALUE"""),103.5)</f>
        <v>103.5</v>
      </c>
      <c r="S130" s="1">
        <f ca="1">IFERROR(__xludf.DUMMYFUNCTION("""COMPUTED_VALUE"""),207)</f>
        <v>207</v>
      </c>
      <c r="T130" s="1">
        <f ca="1">IFERROR(__xludf.DUMMYFUNCTION("""COMPUTED_VALUE"""),-2.16)</f>
        <v>-2.16</v>
      </c>
      <c r="U130" s="1">
        <f ca="1">IFERROR(__xludf.DUMMYFUNCTION("""COMPUTED_VALUE"""),208)</f>
        <v>208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IFERROR(__xludf.DUMMYFUNCTION("""COMPUTED_VALUE"""),"Tennessee Tech")</f>
        <v>Tennessee Tech</v>
      </c>
      <c r="C131" s="1" t="str">
        <f ca="1">IFERROR(__xludf.DUMMYFUNCTION("""COMPUTED_VALUE"""),"OVC")</f>
        <v>OVC</v>
      </c>
      <c r="D131" s="1" t="str">
        <f ca="1">IFERROR(__xludf.DUMMYFUNCTION("""COMPUTED_VALUE"""),"17-12")</f>
        <v>17-12</v>
      </c>
      <c r="E131" s="1" t="str">
        <f ca="1">IFERROR(__xludf.DUMMYFUNCTION("""COMPUTED_VALUE"""),"+3.86")</f>
        <v>+3.86</v>
      </c>
      <c r="F131" s="1">
        <f ca="1">IFERROR(__xludf.DUMMYFUNCTION("""COMPUTED_VALUE"""),102.8)</f>
        <v>102.8</v>
      </c>
      <c r="G131" s="1">
        <f ca="1">IFERROR(__xludf.DUMMYFUNCTION("""COMPUTED_VALUE"""),157)</f>
        <v>157</v>
      </c>
      <c r="H131" s="1">
        <f ca="1">IFERROR(__xludf.DUMMYFUNCTION("""COMPUTED_VALUE"""),99)</f>
        <v>99</v>
      </c>
      <c r="I131" s="1">
        <f ca="1">IFERROR(__xludf.DUMMYFUNCTION("""COMPUTED_VALUE"""),106)</f>
        <v>106</v>
      </c>
      <c r="J131" s="1">
        <f ca="1">IFERROR(__xludf.DUMMYFUNCTION("""COMPUTED_VALUE"""),68.7)</f>
        <v>68.7</v>
      </c>
      <c r="K131" s="1">
        <f ca="1">IFERROR(__xludf.DUMMYFUNCTION("""COMPUTED_VALUE"""),87)</f>
        <v>87</v>
      </c>
      <c r="L131" s="1">
        <f ca="1">IFERROR(__xludf.DUMMYFUNCTION("""COMPUTED_VALUE"""),-0.016)</f>
        <v>-1.6E-2</v>
      </c>
      <c r="M131" s="1">
        <f ca="1">IFERROR(__xludf.DUMMYFUNCTION("""COMPUTED_VALUE"""),207)</f>
        <v>207</v>
      </c>
      <c r="N131" s="1">
        <f ca="1">IFERROR(__xludf.DUMMYFUNCTION("""COMPUTED_VALUE"""),-2.02)</f>
        <v>-2.02</v>
      </c>
      <c r="O131" s="1">
        <f ca="1">IFERROR(__xludf.DUMMYFUNCTION("""COMPUTED_VALUE"""),195)</f>
        <v>195</v>
      </c>
      <c r="P131" s="1">
        <f ca="1">IFERROR(__xludf.DUMMYFUNCTION("""COMPUTED_VALUE"""),102.7)</f>
        <v>102.7</v>
      </c>
      <c r="Q131" s="1">
        <f ca="1">IFERROR(__xludf.DUMMYFUNCTION("""COMPUTED_VALUE"""),153)</f>
        <v>153</v>
      </c>
      <c r="R131" s="1">
        <f ca="1">IFERROR(__xludf.DUMMYFUNCTION("""COMPUTED_VALUE"""),104.8)</f>
        <v>104.8</v>
      </c>
      <c r="S131" s="1">
        <f ca="1">IFERROR(__xludf.DUMMYFUNCTION("""COMPUTED_VALUE"""),263)</f>
        <v>263</v>
      </c>
      <c r="T131" s="1" t="str">
        <f ca="1">IFERROR(__xludf.DUMMYFUNCTION("""COMPUTED_VALUE"""),"+5.87")</f>
        <v>+5.87</v>
      </c>
      <c r="U131" s="1">
        <f ca="1">IFERROR(__xludf.DUMMYFUNCTION("""COMPUTED_VALUE"""),41)</f>
        <v>41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IFERROR(__xludf.DUMMYFUNCTION("""COMPUTED_VALUE"""),"Loyola Chicago")</f>
        <v>Loyola Chicago</v>
      </c>
      <c r="C132" s="1" t="str">
        <f ca="1">IFERROR(__xludf.DUMMYFUNCTION("""COMPUTED_VALUE"""),"Horz")</f>
        <v>Horz</v>
      </c>
      <c r="D132" s="1" t="str">
        <f ca="1">IFERROR(__xludf.DUMMYFUNCTION("""COMPUTED_VALUE"""),"15-16")</f>
        <v>15-16</v>
      </c>
      <c r="E132" s="1" t="str">
        <f ca="1">IFERROR(__xludf.DUMMYFUNCTION("""COMPUTED_VALUE"""),"+3.85")</f>
        <v>+3.85</v>
      </c>
      <c r="F132" s="1">
        <f ca="1">IFERROR(__xludf.DUMMYFUNCTION("""COMPUTED_VALUE"""),105.7)</f>
        <v>105.7</v>
      </c>
      <c r="G132" s="1">
        <f ca="1">IFERROR(__xludf.DUMMYFUNCTION("""COMPUTED_VALUE"""),103)</f>
        <v>103</v>
      </c>
      <c r="H132" s="1">
        <f ca="1">IFERROR(__xludf.DUMMYFUNCTION("""COMPUTED_VALUE"""),101.9)</f>
        <v>101.9</v>
      </c>
      <c r="I132" s="1">
        <f ca="1">IFERROR(__xludf.DUMMYFUNCTION("""COMPUTED_VALUE"""),159)</f>
        <v>159</v>
      </c>
      <c r="J132" s="1">
        <f ca="1">IFERROR(__xludf.DUMMYFUNCTION("""COMPUTED_VALUE"""),70.1)</f>
        <v>70.099999999999994</v>
      </c>
      <c r="K132" s="1">
        <f ca="1">IFERROR(__xludf.DUMMYFUNCTION("""COMPUTED_VALUE"""),52)</f>
        <v>52</v>
      </c>
      <c r="L132" s="1">
        <f ca="1">IFERROR(__xludf.DUMMYFUNCTION("""COMPUTED_VALUE"""),-0.015)</f>
        <v>-1.4999999999999999E-2</v>
      </c>
      <c r="M132" s="1">
        <f ca="1">IFERROR(__xludf.DUMMYFUNCTION("""COMPUTED_VALUE"""),204)</f>
        <v>204</v>
      </c>
      <c r="N132" s="1" t="str">
        <f ca="1">IFERROR(__xludf.DUMMYFUNCTION("""COMPUTED_VALUE"""),"+2.80")</f>
        <v>+2.80</v>
      </c>
      <c r="O132" s="1">
        <f ca="1">IFERROR(__xludf.DUMMYFUNCTION("""COMPUTED_VALUE"""),111)</f>
        <v>111</v>
      </c>
      <c r="P132" s="1">
        <f ca="1">IFERROR(__xludf.DUMMYFUNCTION("""COMPUTED_VALUE"""),104.5)</f>
        <v>104.5</v>
      </c>
      <c r="Q132" s="1">
        <f ca="1">IFERROR(__xludf.DUMMYFUNCTION("""COMPUTED_VALUE"""),96)</f>
        <v>96</v>
      </c>
      <c r="R132" s="1">
        <f ca="1">IFERROR(__xludf.DUMMYFUNCTION("""COMPUTED_VALUE"""),101.7)</f>
        <v>101.7</v>
      </c>
      <c r="S132" s="1">
        <f ca="1">IFERROR(__xludf.DUMMYFUNCTION("""COMPUTED_VALUE"""),126)</f>
        <v>126</v>
      </c>
      <c r="T132" s="1" t="str">
        <f ca="1">IFERROR(__xludf.DUMMYFUNCTION("""COMPUTED_VALUE"""),"+4.20")</f>
        <v>+4.20</v>
      </c>
      <c r="U132" s="1">
        <f ca="1">IFERROR(__xludf.DUMMYFUNCTION("""COMPUTED_VALUE"""),60)</f>
        <v>60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IFERROR(__xludf.DUMMYFUNCTION("""COMPUTED_VALUE"""),"Boston University")</f>
        <v>Boston University</v>
      </c>
      <c r="C133" s="1" t="str">
        <f ca="1">IFERROR(__xludf.DUMMYFUNCTION("""COMPUTED_VALUE"""),"AE")</f>
        <v>AE</v>
      </c>
      <c r="D133" s="1" t="str">
        <f ca="1">IFERROR(__xludf.DUMMYFUNCTION("""COMPUTED_VALUE"""),"20-11")</f>
        <v>20-11</v>
      </c>
      <c r="E133" s="1" t="str">
        <f ca="1">IFERROR(__xludf.DUMMYFUNCTION("""COMPUTED_VALUE"""),"+3.64")</f>
        <v>+3.64</v>
      </c>
      <c r="F133" s="1">
        <f ca="1">IFERROR(__xludf.DUMMYFUNCTION("""COMPUTED_VALUE"""),102.4)</f>
        <v>102.4</v>
      </c>
      <c r="G133" s="1">
        <f ca="1">IFERROR(__xludf.DUMMYFUNCTION("""COMPUTED_VALUE"""),161)</f>
        <v>161</v>
      </c>
      <c r="H133" s="1">
        <f ca="1">IFERROR(__xludf.DUMMYFUNCTION("""COMPUTED_VALUE"""),98.7)</f>
        <v>98.7</v>
      </c>
      <c r="I133" s="1">
        <f ca="1">IFERROR(__xludf.DUMMYFUNCTION("""COMPUTED_VALUE"""),100)</f>
        <v>100</v>
      </c>
      <c r="J133" s="1">
        <f ca="1">IFERROR(__xludf.DUMMYFUNCTION("""COMPUTED_VALUE"""),64.4)</f>
        <v>64.400000000000006</v>
      </c>
      <c r="K133" s="1">
        <f ca="1">IFERROR(__xludf.DUMMYFUNCTION("""COMPUTED_VALUE"""),274)</f>
        <v>274</v>
      </c>
      <c r="L133" s="1" t="str">
        <f ca="1">IFERROR(__xludf.DUMMYFUNCTION("""COMPUTED_VALUE"""),"+.013")</f>
        <v>+.013</v>
      </c>
      <c r="M133" s="1">
        <f ca="1">IFERROR(__xludf.DUMMYFUNCTION("""COMPUTED_VALUE"""),133)</f>
        <v>133</v>
      </c>
      <c r="N133" s="1">
        <f ca="1">IFERROR(__xludf.DUMMYFUNCTION("""COMPUTED_VALUE"""),-3.75)</f>
        <v>-3.75</v>
      </c>
      <c r="O133" s="1">
        <f ca="1">IFERROR(__xludf.DUMMYFUNCTION("""COMPUTED_VALUE"""),232)</f>
        <v>232</v>
      </c>
      <c r="P133" s="1">
        <f ca="1">IFERROR(__xludf.DUMMYFUNCTION("""COMPUTED_VALUE"""),99.6)</f>
        <v>99.6</v>
      </c>
      <c r="Q133" s="1">
        <f ca="1">IFERROR(__xludf.DUMMYFUNCTION("""COMPUTED_VALUE"""),238)</f>
        <v>238</v>
      </c>
      <c r="R133" s="1">
        <f ca="1">IFERROR(__xludf.DUMMYFUNCTION("""COMPUTED_VALUE"""),103.4)</f>
        <v>103.4</v>
      </c>
      <c r="S133" s="1">
        <f ca="1">IFERROR(__xludf.DUMMYFUNCTION("""COMPUTED_VALUE"""),200)</f>
        <v>200</v>
      </c>
      <c r="T133" s="1" t="str">
        <f ca="1">IFERROR(__xludf.DUMMYFUNCTION("""COMPUTED_VALUE"""),"+5.48")</f>
        <v>+5.48</v>
      </c>
      <c r="U133" s="1">
        <f ca="1">IFERROR(__xludf.DUMMYFUNCTION("""COMPUTED_VALUE"""),48)</f>
        <v>48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IFERROR(__xludf.DUMMYFUNCTION("""COMPUTED_VALUE"""),"Middle Tennessee St.")</f>
        <v>Middle Tennessee St.</v>
      </c>
      <c r="C134" s="1" t="str">
        <f ca="1">IFERROR(__xludf.DUMMYFUNCTION("""COMPUTED_VALUE"""),"SB")</f>
        <v>SB</v>
      </c>
      <c r="D134" s="1" t="str">
        <f ca="1">IFERROR(__xludf.DUMMYFUNCTION("""COMPUTED_VALUE"""),"14-14")</f>
        <v>14-14</v>
      </c>
      <c r="E134" s="1" t="str">
        <f ca="1">IFERROR(__xludf.DUMMYFUNCTION("""COMPUTED_VALUE"""),"+3.36")</f>
        <v>+3.36</v>
      </c>
      <c r="F134" s="1">
        <f ca="1">IFERROR(__xludf.DUMMYFUNCTION("""COMPUTED_VALUE"""),103.8)</f>
        <v>103.8</v>
      </c>
      <c r="G134" s="1">
        <f ca="1">IFERROR(__xludf.DUMMYFUNCTION("""COMPUTED_VALUE"""),133)</f>
        <v>133</v>
      </c>
      <c r="H134" s="1">
        <f ca="1">IFERROR(__xludf.DUMMYFUNCTION("""COMPUTED_VALUE"""),100.5)</f>
        <v>100.5</v>
      </c>
      <c r="I134" s="1">
        <f ca="1">IFERROR(__xludf.DUMMYFUNCTION("""COMPUTED_VALUE"""),131)</f>
        <v>131</v>
      </c>
      <c r="J134" s="1">
        <f ca="1">IFERROR(__xludf.DUMMYFUNCTION("""COMPUTED_VALUE"""),66)</f>
        <v>66</v>
      </c>
      <c r="K134" s="1">
        <f ca="1">IFERROR(__xludf.DUMMYFUNCTION("""COMPUTED_VALUE"""),206)</f>
        <v>206</v>
      </c>
      <c r="L134" s="1">
        <f ca="1">IFERROR(__xludf.DUMMYFUNCTION("""COMPUTED_VALUE"""),-0.006)</f>
        <v>-6.0000000000000001E-3</v>
      </c>
      <c r="M134" s="1">
        <f ca="1">IFERROR(__xludf.DUMMYFUNCTION("""COMPUTED_VALUE"""),180)</f>
        <v>180</v>
      </c>
      <c r="N134" s="1" t="str">
        <f ca="1">IFERROR(__xludf.DUMMYFUNCTION("""COMPUTED_VALUE"""),"+1.85")</f>
        <v>+1.85</v>
      </c>
      <c r="O134" s="1">
        <f ca="1">IFERROR(__xludf.DUMMYFUNCTION("""COMPUTED_VALUE"""),125)</f>
        <v>125</v>
      </c>
      <c r="P134" s="1">
        <f ca="1">IFERROR(__xludf.DUMMYFUNCTION("""COMPUTED_VALUE"""),103.3)</f>
        <v>103.3</v>
      </c>
      <c r="Q134" s="1">
        <f ca="1">IFERROR(__xludf.DUMMYFUNCTION("""COMPUTED_VALUE"""),136)</f>
        <v>136</v>
      </c>
      <c r="R134" s="1">
        <f ca="1">IFERROR(__xludf.DUMMYFUNCTION("""COMPUTED_VALUE"""),101.5)</f>
        <v>101.5</v>
      </c>
      <c r="S134" s="1">
        <f ca="1">IFERROR(__xludf.DUMMYFUNCTION("""COMPUTED_VALUE"""),116)</f>
        <v>116</v>
      </c>
      <c r="T134" s="1" t="str">
        <f ca="1">IFERROR(__xludf.DUMMYFUNCTION("""COMPUTED_VALUE"""),"+1.08")</f>
        <v>+1.08</v>
      </c>
      <c r="U134" s="1">
        <f ca="1">IFERROR(__xludf.DUMMYFUNCTION("""COMPUTED_VALUE"""),129)</f>
        <v>129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IFERROR(__xludf.DUMMYFUNCTION("""COMPUTED_VALUE"""),"Chattanooga")</f>
        <v>Chattanooga</v>
      </c>
      <c r="C135" s="1" t="str">
        <f ca="1">IFERROR(__xludf.DUMMYFUNCTION("""COMPUTED_VALUE"""),"SC")</f>
        <v>SC</v>
      </c>
      <c r="D135" s="1" t="str">
        <f ca="1">IFERROR(__xludf.DUMMYFUNCTION("""COMPUTED_VALUE"""),"19-9")</f>
        <v>19-9</v>
      </c>
      <c r="E135" s="1" t="str">
        <f ca="1">IFERROR(__xludf.DUMMYFUNCTION("""COMPUTED_VALUE"""),"+3.34")</f>
        <v>+3.34</v>
      </c>
      <c r="F135" s="1">
        <f ca="1">IFERROR(__xludf.DUMMYFUNCTION("""COMPUTED_VALUE"""),110.6)</f>
        <v>110.6</v>
      </c>
      <c r="G135" s="1">
        <f ca="1">IFERROR(__xludf.DUMMYFUNCTION("""COMPUTED_VALUE"""),36)</f>
        <v>36</v>
      </c>
      <c r="H135" s="1">
        <f ca="1">IFERROR(__xludf.DUMMYFUNCTION("""COMPUTED_VALUE"""),107.3)</f>
        <v>107.3</v>
      </c>
      <c r="I135" s="1">
        <f ca="1">IFERROR(__xludf.DUMMYFUNCTION("""COMPUTED_VALUE"""),258)</f>
        <v>258</v>
      </c>
      <c r="J135" s="1">
        <f ca="1">IFERROR(__xludf.DUMMYFUNCTION("""COMPUTED_VALUE"""),69.2)</f>
        <v>69.2</v>
      </c>
      <c r="K135" s="1">
        <f ca="1">IFERROR(__xludf.DUMMYFUNCTION("""COMPUTED_VALUE"""),72)</f>
        <v>72</v>
      </c>
      <c r="L135" s="1" t="str">
        <f ca="1">IFERROR(__xludf.DUMMYFUNCTION("""COMPUTED_VALUE"""),"+.034")</f>
        <v>+.034</v>
      </c>
      <c r="M135" s="1">
        <f ca="1">IFERROR(__xludf.DUMMYFUNCTION("""COMPUTED_VALUE"""),83)</f>
        <v>83</v>
      </c>
      <c r="N135" s="1">
        <f ca="1">IFERROR(__xludf.DUMMYFUNCTION("""COMPUTED_VALUE"""),-3.7)</f>
        <v>-3.7</v>
      </c>
      <c r="O135" s="1">
        <f ca="1">IFERROR(__xludf.DUMMYFUNCTION("""COMPUTED_VALUE"""),231)</f>
        <v>231</v>
      </c>
      <c r="P135" s="1">
        <f ca="1">IFERROR(__xludf.DUMMYFUNCTION("""COMPUTED_VALUE"""),100.7)</f>
        <v>100.7</v>
      </c>
      <c r="Q135" s="1">
        <f ca="1">IFERROR(__xludf.DUMMYFUNCTION("""COMPUTED_VALUE"""),213)</f>
        <v>213</v>
      </c>
      <c r="R135" s="1">
        <f ca="1">IFERROR(__xludf.DUMMYFUNCTION("""COMPUTED_VALUE"""),104.4)</f>
        <v>104.4</v>
      </c>
      <c r="S135" s="1">
        <f ca="1">IFERROR(__xludf.DUMMYFUNCTION("""COMPUTED_VALUE"""),241)</f>
        <v>241</v>
      </c>
      <c r="T135" s="1" t="str">
        <f ca="1">IFERROR(__xludf.DUMMYFUNCTION("""COMPUTED_VALUE"""),"+1.75")</f>
        <v>+1.75</v>
      </c>
      <c r="U135" s="1">
        <f ca="1">IFERROR(__xludf.DUMMYFUNCTION("""COMPUTED_VALUE"""),116)</f>
        <v>116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IFERROR(__xludf.DUMMYFUNCTION("""COMPUTED_VALUE"""),"Oregon St.")</f>
        <v>Oregon St.</v>
      </c>
      <c r="C136" s="1" t="str">
        <f ca="1">IFERROR(__xludf.DUMMYFUNCTION("""COMPUTED_VALUE"""),"P10")</f>
        <v>P10</v>
      </c>
      <c r="D136" s="2">
        <f ca="1">IFERROR(__xludf.DUMMYFUNCTION("""COMPUTED_VALUE"""),44910)</f>
        <v>44910</v>
      </c>
      <c r="E136" s="1" t="str">
        <f ca="1">IFERROR(__xludf.DUMMYFUNCTION("""COMPUTED_VALUE"""),"+3.21")</f>
        <v>+3.21</v>
      </c>
      <c r="F136" s="1">
        <f ca="1">IFERROR(__xludf.DUMMYFUNCTION("""COMPUTED_VALUE"""),100.7)</f>
        <v>100.7</v>
      </c>
      <c r="G136" s="1">
        <f ca="1">IFERROR(__xludf.DUMMYFUNCTION("""COMPUTED_VALUE"""),196)</f>
        <v>196</v>
      </c>
      <c r="H136" s="1">
        <f ca="1">IFERROR(__xludf.DUMMYFUNCTION("""COMPUTED_VALUE"""),97.5)</f>
        <v>97.5</v>
      </c>
      <c r="I136" s="1">
        <f ca="1">IFERROR(__xludf.DUMMYFUNCTION("""COMPUTED_VALUE"""),79)</f>
        <v>79</v>
      </c>
      <c r="J136" s="1">
        <f ca="1">IFERROR(__xludf.DUMMYFUNCTION("""COMPUTED_VALUE"""),66.9)</f>
        <v>66.900000000000006</v>
      </c>
      <c r="K136" s="1">
        <f ca="1">IFERROR(__xludf.DUMMYFUNCTION("""COMPUTED_VALUE"""),172)</f>
        <v>172</v>
      </c>
      <c r="L136" s="1" t="str">
        <f ca="1">IFERROR(__xludf.DUMMYFUNCTION("""COMPUTED_VALUE"""),"+.006")</f>
        <v>+.006</v>
      </c>
      <c r="M136" s="1">
        <f ca="1">IFERROR(__xludf.DUMMYFUNCTION("""COMPUTED_VALUE"""),146)</f>
        <v>146</v>
      </c>
      <c r="N136" s="1" t="str">
        <f ca="1">IFERROR(__xludf.DUMMYFUNCTION("""COMPUTED_VALUE"""),"+5.55")</f>
        <v>+5.55</v>
      </c>
      <c r="O136" s="1">
        <f ca="1">IFERROR(__xludf.DUMMYFUNCTION("""COMPUTED_VALUE"""),72)</f>
        <v>72</v>
      </c>
      <c r="P136" s="1">
        <f ca="1">IFERROR(__xludf.DUMMYFUNCTION("""COMPUTED_VALUE"""),104.9)</f>
        <v>104.9</v>
      </c>
      <c r="Q136" s="1">
        <f ca="1">IFERROR(__xludf.DUMMYFUNCTION("""COMPUTED_VALUE"""),78)</f>
        <v>78</v>
      </c>
      <c r="R136" s="1">
        <f ca="1">IFERROR(__xludf.DUMMYFUNCTION("""COMPUTED_VALUE"""),99.4)</f>
        <v>99.4</v>
      </c>
      <c r="S136" s="1">
        <f ca="1">IFERROR(__xludf.DUMMYFUNCTION("""COMPUTED_VALUE"""),71)</f>
        <v>71</v>
      </c>
      <c r="T136" s="1">
        <f ca="1">IFERROR(__xludf.DUMMYFUNCTION("""COMPUTED_VALUE"""),-6.57)</f>
        <v>-6.57</v>
      </c>
      <c r="U136" s="1">
        <f ca="1">IFERROR(__xludf.DUMMYFUNCTION("""COMPUTED_VALUE"""),295)</f>
        <v>295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IFERROR(__xludf.DUMMYFUNCTION("""COMPUTED_VALUE"""),"UCF")</f>
        <v>UCF</v>
      </c>
      <c r="C137" s="1" t="str">
        <f ca="1">IFERROR(__xludf.DUMMYFUNCTION("""COMPUTED_VALUE"""),"ASun")</f>
        <v>ASun</v>
      </c>
      <c r="D137" s="1" t="str">
        <f ca="1">IFERROR(__xludf.DUMMYFUNCTION("""COMPUTED_VALUE"""),"20-11")</f>
        <v>20-11</v>
      </c>
      <c r="E137" s="1" t="str">
        <f ca="1">IFERROR(__xludf.DUMMYFUNCTION("""COMPUTED_VALUE"""),"+3.18")</f>
        <v>+3.18</v>
      </c>
      <c r="F137" s="1">
        <f ca="1">IFERROR(__xludf.DUMMYFUNCTION("""COMPUTED_VALUE"""),102.9)</f>
        <v>102.9</v>
      </c>
      <c r="G137" s="1">
        <f ca="1">IFERROR(__xludf.DUMMYFUNCTION("""COMPUTED_VALUE"""),154)</f>
        <v>154</v>
      </c>
      <c r="H137" s="1">
        <f ca="1">IFERROR(__xludf.DUMMYFUNCTION("""COMPUTED_VALUE"""),99.7)</f>
        <v>99.7</v>
      </c>
      <c r="I137" s="1">
        <f ca="1">IFERROR(__xludf.DUMMYFUNCTION("""COMPUTED_VALUE"""),118)</f>
        <v>118</v>
      </c>
      <c r="J137" s="1">
        <f ca="1">IFERROR(__xludf.DUMMYFUNCTION("""COMPUTED_VALUE"""),65.4)</f>
        <v>65.400000000000006</v>
      </c>
      <c r="K137" s="1">
        <f ca="1">IFERROR(__xludf.DUMMYFUNCTION("""COMPUTED_VALUE"""),239)</f>
        <v>239</v>
      </c>
      <c r="L137" s="1">
        <f ca="1">IFERROR(__xludf.DUMMYFUNCTION("""COMPUTED_VALUE"""),-0.032)</f>
        <v>-3.2000000000000001E-2</v>
      </c>
      <c r="M137" s="1">
        <f ca="1">IFERROR(__xludf.DUMMYFUNCTION("""COMPUTED_VALUE"""),255)</f>
        <v>255</v>
      </c>
      <c r="N137" s="1">
        <f ca="1">IFERROR(__xludf.DUMMYFUNCTION("""COMPUTED_VALUE"""),-5.67)</f>
        <v>-5.67</v>
      </c>
      <c r="O137" s="1">
        <f ca="1">IFERROR(__xludf.DUMMYFUNCTION("""COMPUTED_VALUE"""),262)</f>
        <v>262</v>
      </c>
      <c r="P137" s="1">
        <f ca="1">IFERROR(__xludf.DUMMYFUNCTION("""COMPUTED_VALUE"""),99.7)</f>
        <v>99.7</v>
      </c>
      <c r="Q137" s="1">
        <f ca="1">IFERROR(__xludf.DUMMYFUNCTION("""COMPUTED_VALUE"""),237)</f>
        <v>237</v>
      </c>
      <c r="R137" s="1">
        <f ca="1">IFERROR(__xludf.DUMMYFUNCTION("""COMPUTED_VALUE"""),105.3)</f>
        <v>105.3</v>
      </c>
      <c r="S137" s="1">
        <f ca="1">IFERROR(__xludf.DUMMYFUNCTION("""COMPUTED_VALUE"""),280)</f>
        <v>280</v>
      </c>
      <c r="T137" s="1">
        <f ca="1">IFERROR(__xludf.DUMMYFUNCTION("""COMPUTED_VALUE"""),-4.35)</f>
        <v>-4.3499999999999996</v>
      </c>
      <c r="U137" s="1">
        <f ca="1">IFERROR(__xludf.DUMMYFUNCTION("""COMPUTED_VALUE"""),261)</f>
        <v>261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IFERROR(__xludf.DUMMYFUNCTION("""COMPUTED_VALUE"""),"Washington")</f>
        <v>Washington</v>
      </c>
      <c r="C138" s="1" t="str">
        <f ca="1">IFERROR(__xludf.DUMMYFUNCTION("""COMPUTED_VALUE"""),"P10")</f>
        <v>P10</v>
      </c>
      <c r="D138" s="2">
        <f ca="1">IFERROR(__xludf.DUMMYFUNCTION("""COMPUTED_VALUE"""),44851)</f>
        <v>44851</v>
      </c>
      <c r="E138" s="1" t="str">
        <f ca="1">IFERROR(__xludf.DUMMYFUNCTION("""COMPUTED_VALUE"""),"+3.12")</f>
        <v>+3.12</v>
      </c>
      <c r="F138" s="1">
        <f ca="1">IFERROR(__xludf.DUMMYFUNCTION("""COMPUTED_VALUE"""),102.6)</f>
        <v>102.6</v>
      </c>
      <c r="G138" s="1">
        <f ca="1">IFERROR(__xludf.DUMMYFUNCTION("""COMPUTED_VALUE"""),158)</f>
        <v>158</v>
      </c>
      <c r="H138" s="1">
        <f ca="1">IFERROR(__xludf.DUMMYFUNCTION("""COMPUTED_VALUE"""),99.4)</f>
        <v>99.4</v>
      </c>
      <c r="I138" s="1">
        <f ca="1">IFERROR(__xludf.DUMMYFUNCTION("""COMPUTED_VALUE"""),112)</f>
        <v>112</v>
      </c>
      <c r="J138" s="1">
        <f ca="1">IFERROR(__xludf.DUMMYFUNCTION("""COMPUTED_VALUE"""),70.1)</f>
        <v>70.099999999999994</v>
      </c>
      <c r="K138" s="1">
        <f ca="1">IFERROR(__xludf.DUMMYFUNCTION("""COMPUTED_VALUE"""),51)</f>
        <v>51</v>
      </c>
      <c r="L138" s="1">
        <f ca="1">IFERROR(__xludf.DUMMYFUNCTION("""COMPUTED_VALUE"""),-0.057)</f>
        <v>-5.7000000000000002E-2</v>
      </c>
      <c r="M138" s="1">
        <f ca="1">IFERROR(__xludf.DUMMYFUNCTION("""COMPUTED_VALUE"""),287)</f>
        <v>287</v>
      </c>
      <c r="N138" s="1" t="str">
        <f ca="1">IFERROR(__xludf.DUMMYFUNCTION("""COMPUTED_VALUE"""),"+6.39")</f>
        <v>+6.39</v>
      </c>
      <c r="O138" s="1">
        <f ca="1">IFERROR(__xludf.DUMMYFUNCTION("""COMPUTED_VALUE"""),65)</f>
        <v>65</v>
      </c>
      <c r="P138" s="1">
        <f ca="1">IFERROR(__xludf.DUMMYFUNCTION("""COMPUTED_VALUE"""),105.7)</f>
        <v>105.7</v>
      </c>
      <c r="Q138" s="1">
        <f ca="1">IFERROR(__xludf.DUMMYFUNCTION("""COMPUTED_VALUE"""),62)</f>
        <v>62</v>
      </c>
      <c r="R138" s="1">
        <f ca="1">IFERROR(__xludf.DUMMYFUNCTION("""COMPUTED_VALUE"""),99.3)</f>
        <v>99.3</v>
      </c>
      <c r="S138" s="1">
        <f ca="1">IFERROR(__xludf.DUMMYFUNCTION("""COMPUTED_VALUE"""),70)</f>
        <v>70</v>
      </c>
      <c r="T138" s="1">
        <f ca="1">IFERROR(__xludf.DUMMYFUNCTION("""COMPUTED_VALUE"""),-1.7)</f>
        <v>-1.7</v>
      </c>
      <c r="U138" s="1">
        <f ca="1">IFERROR(__xludf.DUMMYFUNCTION("""COMPUTED_VALUE"""),194)</f>
        <v>194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IFERROR(__xludf.DUMMYFUNCTION("""COMPUTED_VALUE"""),"Wichita St.")</f>
        <v>Wichita St.</v>
      </c>
      <c r="C139" s="1" t="str">
        <f ca="1">IFERROR(__xludf.DUMMYFUNCTION("""COMPUTED_VALUE"""),"MVC")</f>
        <v>MVC</v>
      </c>
      <c r="D139" s="1" t="str">
        <f ca="1">IFERROR(__xludf.DUMMYFUNCTION("""COMPUTED_VALUE"""),"18-12")</f>
        <v>18-12</v>
      </c>
      <c r="E139" s="1" t="str">
        <f ca="1">IFERROR(__xludf.DUMMYFUNCTION("""COMPUTED_VALUE"""),"+3.05")</f>
        <v>+3.05</v>
      </c>
      <c r="F139" s="1">
        <f ca="1">IFERROR(__xludf.DUMMYFUNCTION("""COMPUTED_VALUE"""),107.7)</f>
        <v>107.7</v>
      </c>
      <c r="G139" s="1">
        <f ca="1">IFERROR(__xludf.DUMMYFUNCTION("""COMPUTED_VALUE"""),76)</f>
        <v>76</v>
      </c>
      <c r="H139" s="1">
        <f ca="1">IFERROR(__xludf.DUMMYFUNCTION("""COMPUTED_VALUE"""),104.6)</f>
        <v>104.6</v>
      </c>
      <c r="I139" s="1">
        <f ca="1">IFERROR(__xludf.DUMMYFUNCTION("""COMPUTED_VALUE"""),207)</f>
        <v>207</v>
      </c>
      <c r="J139" s="1">
        <f ca="1">IFERROR(__xludf.DUMMYFUNCTION("""COMPUTED_VALUE"""),67.7)</f>
        <v>67.7</v>
      </c>
      <c r="K139" s="1">
        <f ca="1">IFERROR(__xludf.DUMMYFUNCTION("""COMPUTED_VALUE"""),129)</f>
        <v>129</v>
      </c>
      <c r="L139" s="1" t="str">
        <f ca="1">IFERROR(__xludf.DUMMYFUNCTION("""COMPUTED_VALUE"""),"+.050")</f>
        <v>+.050</v>
      </c>
      <c r="M139" s="1">
        <f ca="1">IFERROR(__xludf.DUMMYFUNCTION("""COMPUTED_VALUE"""),55)</f>
        <v>55</v>
      </c>
      <c r="N139" s="1" t="str">
        <f ca="1">IFERROR(__xludf.DUMMYFUNCTION("""COMPUTED_VALUE"""),"+0.07")</f>
        <v>+0.07</v>
      </c>
      <c r="O139" s="1">
        <f ca="1">IFERROR(__xludf.DUMMYFUNCTION("""COMPUTED_VALUE"""),151)</f>
        <v>151</v>
      </c>
      <c r="P139" s="1">
        <f ca="1">IFERROR(__xludf.DUMMYFUNCTION("""COMPUTED_VALUE"""),101.7)</f>
        <v>101.7</v>
      </c>
      <c r="Q139" s="1">
        <f ca="1">IFERROR(__xludf.DUMMYFUNCTION("""COMPUTED_VALUE"""),184)</f>
        <v>184</v>
      </c>
      <c r="R139" s="1">
        <f ca="1">IFERROR(__xludf.DUMMYFUNCTION("""COMPUTED_VALUE"""),101.6)</f>
        <v>101.6</v>
      </c>
      <c r="S139" s="1">
        <f ca="1">IFERROR(__xludf.DUMMYFUNCTION("""COMPUTED_VALUE"""),122)</f>
        <v>122</v>
      </c>
      <c r="T139" s="1">
        <f ca="1">IFERROR(__xludf.DUMMYFUNCTION("""COMPUTED_VALUE"""),-6.53)</f>
        <v>-6.53</v>
      </c>
      <c r="U139" s="1">
        <f ca="1">IFERROR(__xludf.DUMMYFUNCTION("""COMPUTED_VALUE"""),294)</f>
        <v>294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IFERROR(__xludf.DUMMYFUNCTION("""COMPUTED_VALUE"""),"Toledo")</f>
        <v>Toledo</v>
      </c>
      <c r="C140" s="1" t="str">
        <f ca="1">IFERROR(__xludf.DUMMYFUNCTION("""COMPUTED_VALUE"""),"MAC")</f>
        <v>MAC</v>
      </c>
      <c r="D140" s="1" t="str">
        <f ca="1">IFERROR(__xludf.DUMMYFUNCTION("""COMPUTED_VALUE"""),"13-16")</f>
        <v>13-16</v>
      </c>
      <c r="E140" s="1" t="str">
        <f ca="1">IFERROR(__xludf.DUMMYFUNCTION("""COMPUTED_VALUE"""),"+3.03")</f>
        <v>+3.03</v>
      </c>
      <c r="F140" s="1">
        <f ca="1">IFERROR(__xludf.DUMMYFUNCTION("""COMPUTED_VALUE"""),103.6)</f>
        <v>103.6</v>
      </c>
      <c r="G140" s="1">
        <f ca="1">IFERROR(__xludf.DUMMYFUNCTION("""COMPUTED_VALUE"""),139)</f>
        <v>139</v>
      </c>
      <c r="H140" s="1">
        <f ca="1">IFERROR(__xludf.DUMMYFUNCTION("""COMPUTED_VALUE"""),100.6)</f>
        <v>100.6</v>
      </c>
      <c r="I140" s="1">
        <f ca="1">IFERROR(__xludf.DUMMYFUNCTION("""COMPUTED_VALUE"""),133)</f>
        <v>133</v>
      </c>
      <c r="J140" s="1">
        <f ca="1">IFERROR(__xludf.DUMMYFUNCTION("""COMPUTED_VALUE"""),67.2)</f>
        <v>67.2</v>
      </c>
      <c r="K140" s="1">
        <f ca="1">IFERROR(__xludf.DUMMYFUNCTION("""COMPUTED_VALUE"""),154)</f>
        <v>154</v>
      </c>
      <c r="L140" s="1">
        <f ca="1">IFERROR(__xludf.DUMMYFUNCTION("""COMPUTED_VALUE"""),-0.043)</f>
        <v>-4.2999999999999997E-2</v>
      </c>
      <c r="M140" s="1">
        <f ca="1">IFERROR(__xludf.DUMMYFUNCTION("""COMPUTED_VALUE"""),272)</f>
        <v>272</v>
      </c>
      <c r="N140" s="1" t="str">
        <f ca="1">IFERROR(__xludf.DUMMYFUNCTION("""COMPUTED_VALUE"""),"+2.63")</f>
        <v>+2.63</v>
      </c>
      <c r="O140" s="1">
        <f ca="1">IFERROR(__xludf.DUMMYFUNCTION("""COMPUTED_VALUE"""),113)</f>
        <v>113</v>
      </c>
      <c r="P140" s="1">
        <f ca="1">IFERROR(__xludf.DUMMYFUNCTION("""COMPUTED_VALUE"""),104.6)</f>
        <v>104.6</v>
      </c>
      <c r="Q140" s="1">
        <f ca="1">IFERROR(__xludf.DUMMYFUNCTION("""COMPUTED_VALUE"""),85)</f>
        <v>85</v>
      </c>
      <c r="R140" s="1">
        <f ca="1">IFERROR(__xludf.DUMMYFUNCTION("""COMPUTED_VALUE"""),102)</f>
        <v>102</v>
      </c>
      <c r="S140" s="1">
        <f ca="1">IFERROR(__xludf.DUMMYFUNCTION("""COMPUTED_VALUE"""),136)</f>
        <v>136</v>
      </c>
      <c r="T140" s="1" t="str">
        <f ca="1">IFERROR(__xludf.DUMMYFUNCTION("""COMPUTED_VALUE"""),"+5.44")</f>
        <v>+5.44</v>
      </c>
      <c r="U140" s="1">
        <f ca="1">IFERROR(__xludf.DUMMYFUNCTION("""COMPUTED_VALUE"""),49)</f>
        <v>49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IFERROR(__xludf.DUMMYFUNCTION("""COMPUTED_VALUE"""),"Princeton")</f>
        <v>Princeton</v>
      </c>
      <c r="C141" s="1" t="str">
        <f ca="1">IFERROR(__xludf.DUMMYFUNCTION("""COMPUTED_VALUE"""),"Ivy")</f>
        <v>Ivy</v>
      </c>
      <c r="D141" s="1" t="str">
        <f ca="1">IFERROR(__xludf.DUMMYFUNCTION("""COMPUTED_VALUE"""),"15-11")</f>
        <v>15-11</v>
      </c>
      <c r="E141" s="1" t="str">
        <f ca="1">IFERROR(__xludf.DUMMYFUNCTION("""COMPUTED_VALUE"""),"+2.99")</f>
        <v>+2.99</v>
      </c>
      <c r="F141" s="1">
        <f ca="1">IFERROR(__xludf.DUMMYFUNCTION("""COMPUTED_VALUE"""),109.2)</f>
        <v>109.2</v>
      </c>
      <c r="G141" s="1">
        <f ca="1">IFERROR(__xludf.DUMMYFUNCTION("""COMPUTED_VALUE"""),54)</f>
        <v>54</v>
      </c>
      <c r="H141" s="1">
        <f ca="1">IFERROR(__xludf.DUMMYFUNCTION("""COMPUTED_VALUE"""),106.2)</f>
        <v>106.2</v>
      </c>
      <c r="I141" s="1">
        <f ca="1">IFERROR(__xludf.DUMMYFUNCTION("""COMPUTED_VALUE"""),241)</f>
        <v>241</v>
      </c>
      <c r="J141" s="1">
        <f ca="1">IFERROR(__xludf.DUMMYFUNCTION("""COMPUTED_VALUE"""),59.9)</f>
        <v>59.9</v>
      </c>
      <c r="K141" s="1">
        <f ca="1">IFERROR(__xludf.DUMMYFUNCTION("""COMPUTED_VALUE"""),319)</f>
        <v>319</v>
      </c>
      <c r="L141" s="1">
        <f ca="1">IFERROR(__xludf.DUMMYFUNCTION("""COMPUTED_VALUE"""),-0.027)</f>
        <v>-2.7E-2</v>
      </c>
      <c r="M141" s="1">
        <f ca="1">IFERROR(__xludf.DUMMYFUNCTION("""COMPUTED_VALUE"""),235)</f>
        <v>235</v>
      </c>
      <c r="N141" s="1">
        <f ca="1">IFERROR(__xludf.DUMMYFUNCTION("""COMPUTED_VALUE"""),-1.98)</f>
        <v>-1.98</v>
      </c>
      <c r="O141" s="1">
        <f ca="1">IFERROR(__xludf.DUMMYFUNCTION("""COMPUTED_VALUE"""),192)</f>
        <v>192</v>
      </c>
      <c r="P141" s="1">
        <f ca="1">IFERROR(__xludf.DUMMYFUNCTION("""COMPUTED_VALUE"""),99.7)</f>
        <v>99.7</v>
      </c>
      <c r="Q141" s="1">
        <f ca="1">IFERROR(__xludf.DUMMYFUNCTION("""COMPUTED_VALUE"""),234)</f>
        <v>234</v>
      </c>
      <c r="R141" s="1">
        <f ca="1">IFERROR(__xludf.DUMMYFUNCTION("""COMPUTED_VALUE"""),101.7)</f>
        <v>101.7</v>
      </c>
      <c r="S141" s="1">
        <f ca="1">IFERROR(__xludf.DUMMYFUNCTION("""COMPUTED_VALUE"""),128)</f>
        <v>128</v>
      </c>
      <c r="T141" s="1" t="str">
        <f ca="1">IFERROR(__xludf.DUMMYFUNCTION("""COMPUTED_VALUE"""),"+3.33")</f>
        <v>+3.33</v>
      </c>
      <c r="U141" s="1">
        <f ca="1">IFERROR(__xludf.DUMMYFUNCTION("""COMPUTED_VALUE"""),80)</f>
        <v>80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IFERROR(__xludf.DUMMYFUNCTION("""COMPUTED_VALUE"""),"Arkansas")</f>
        <v>Arkansas</v>
      </c>
      <c r="C142" s="1" t="str">
        <f ca="1">IFERROR(__xludf.DUMMYFUNCTION("""COMPUTED_VALUE"""),"SEC")</f>
        <v>SEC</v>
      </c>
      <c r="D142" s="2">
        <f ca="1">IFERROR(__xludf.DUMMYFUNCTION("""COMPUTED_VALUE"""),44823)</f>
        <v>44823</v>
      </c>
      <c r="E142" s="1" t="str">
        <f ca="1">IFERROR(__xludf.DUMMYFUNCTION("""COMPUTED_VALUE"""),"+2.95")</f>
        <v>+2.95</v>
      </c>
      <c r="F142" s="1">
        <f ca="1">IFERROR(__xludf.DUMMYFUNCTION("""COMPUTED_VALUE"""),98)</f>
        <v>98</v>
      </c>
      <c r="G142" s="1">
        <f ca="1">IFERROR(__xludf.DUMMYFUNCTION("""COMPUTED_VALUE"""),243)</f>
        <v>243</v>
      </c>
      <c r="H142" s="1">
        <f ca="1">IFERROR(__xludf.DUMMYFUNCTION("""COMPUTED_VALUE"""),95.1)</f>
        <v>95.1</v>
      </c>
      <c r="I142" s="1">
        <f ca="1">IFERROR(__xludf.DUMMYFUNCTION("""COMPUTED_VALUE"""),46)</f>
        <v>46</v>
      </c>
      <c r="J142" s="1">
        <f ca="1">IFERROR(__xludf.DUMMYFUNCTION("""COMPUTED_VALUE"""),65.8)</f>
        <v>65.8</v>
      </c>
      <c r="K142" s="1">
        <f ca="1">IFERROR(__xludf.DUMMYFUNCTION("""COMPUTED_VALUE"""),211)</f>
        <v>211</v>
      </c>
      <c r="L142" s="1">
        <f ca="1">IFERROR(__xludf.DUMMYFUNCTION("""COMPUTED_VALUE"""),-0.038)</f>
        <v>-3.7999999999999999E-2</v>
      </c>
      <c r="M142" s="1">
        <f ca="1">IFERROR(__xludf.DUMMYFUNCTION("""COMPUTED_VALUE"""),266)</f>
        <v>266</v>
      </c>
      <c r="N142" s="1" t="str">
        <f ca="1">IFERROR(__xludf.DUMMYFUNCTION("""COMPUTED_VALUE"""),"+10.25")</f>
        <v>+10.25</v>
      </c>
      <c r="O142" s="1">
        <f ca="1">IFERROR(__xludf.DUMMYFUNCTION("""COMPUTED_VALUE"""),11)</f>
        <v>11</v>
      </c>
      <c r="P142" s="1">
        <f ca="1">IFERROR(__xludf.DUMMYFUNCTION("""COMPUTED_VALUE"""),107.4)</f>
        <v>107.4</v>
      </c>
      <c r="Q142" s="1">
        <f ca="1">IFERROR(__xludf.DUMMYFUNCTION("""COMPUTED_VALUE"""),8)</f>
        <v>8</v>
      </c>
      <c r="R142" s="1">
        <f ca="1">IFERROR(__xludf.DUMMYFUNCTION("""COMPUTED_VALUE"""),97.2)</f>
        <v>97.2</v>
      </c>
      <c r="S142" s="1">
        <f ca="1">IFERROR(__xludf.DUMMYFUNCTION("""COMPUTED_VALUE"""),14)</f>
        <v>14</v>
      </c>
      <c r="T142" s="1" t="str">
        <f ca="1">IFERROR(__xludf.DUMMYFUNCTION("""COMPUTED_VALUE"""),"+0.58")</f>
        <v>+0.58</v>
      </c>
      <c r="U142" s="1">
        <f ca="1">IFERROR(__xludf.DUMMYFUNCTION("""COMPUTED_VALUE"""),141)</f>
        <v>141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IFERROR(__xludf.DUMMYFUNCTION("""COMPUTED_VALUE"""),"Austin Peay13")</f>
        <v>Austin Peay13</v>
      </c>
      <c r="C143" s="1" t="str">
        <f ca="1">IFERROR(__xludf.DUMMYFUNCTION("""COMPUTED_VALUE"""),"OVC")</f>
        <v>OVC</v>
      </c>
      <c r="D143" s="1" t="str">
        <f ca="1">IFERROR(__xludf.DUMMYFUNCTION("""COMPUTED_VALUE"""),"20-8")</f>
        <v>20-8</v>
      </c>
      <c r="E143" s="1" t="str">
        <f ca="1">IFERROR(__xludf.DUMMYFUNCTION("""COMPUTED_VALUE"""),"+2.65")</f>
        <v>+2.65</v>
      </c>
      <c r="F143" s="1">
        <f ca="1">IFERROR(__xludf.DUMMYFUNCTION("""COMPUTED_VALUE"""),100.7)</f>
        <v>100.7</v>
      </c>
      <c r="G143" s="1">
        <f ca="1">IFERROR(__xludf.DUMMYFUNCTION("""COMPUTED_VALUE"""),197)</f>
        <v>197</v>
      </c>
      <c r="H143" s="1">
        <f ca="1">IFERROR(__xludf.DUMMYFUNCTION("""COMPUTED_VALUE"""),98)</f>
        <v>98</v>
      </c>
      <c r="I143" s="1">
        <f ca="1">IFERROR(__xludf.DUMMYFUNCTION("""COMPUTED_VALUE"""),86)</f>
        <v>86</v>
      </c>
      <c r="J143" s="1">
        <f ca="1">IFERROR(__xludf.DUMMYFUNCTION("""COMPUTED_VALUE"""),64.4)</f>
        <v>64.400000000000006</v>
      </c>
      <c r="K143" s="1">
        <f ca="1">IFERROR(__xludf.DUMMYFUNCTION("""COMPUTED_VALUE"""),273)</f>
        <v>273</v>
      </c>
      <c r="L143" s="1" t="str">
        <f ca="1">IFERROR(__xludf.DUMMYFUNCTION("""COMPUTED_VALUE"""),"+.171")</f>
        <v>+.171</v>
      </c>
      <c r="M143" s="1">
        <f ca="1">IFERROR(__xludf.DUMMYFUNCTION("""COMPUTED_VALUE"""),1)</f>
        <v>1</v>
      </c>
      <c r="N143" s="1">
        <f ca="1">IFERROR(__xludf.DUMMYFUNCTION("""COMPUTED_VALUE"""),-0.97)</f>
        <v>-0.97</v>
      </c>
      <c r="O143" s="1">
        <f ca="1">IFERROR(__xludf.DUMMYFUNCTION("""COMPUTED_VALUE"""),170)</f>
        <v>170</v>
      </c>
      <c r="P143" s="1">
        <f ca="1">IFERROR(__xludf.DUMMYFUNCTION("""COMPUTED_VALUE"""),104.2)</f>
        <v>104.2</v>
      </c>
      <c r="Q143" s="1">
        <f ca="1">IFERROR(__xludf.DUMMYFUNCTION("""COMPUTED_VALUE"""),109)</f>
        <v>109</v>
      </c>
      <c r="R143" s="1">
        <f ca="1">IFERROR(__xludf.DUMMYFUNCTION("""COMPUTED_VALUE"""),105.1)</f>
        <v>105.1</v>
      </c>
      <c r="S143" s="1">
        <f ca="1">IFERROR(__xludf.DUMMYFUNCTION("""COMPUTED_VALUE"""),279)</f>
        <v>279</v>
      </c>
      <c r="T143" s="1" t="str">
        <f ca="1">IFERROR(__xludf.DUMMYFUNCTION("""COMPUTED_VALUE"""),"+7.41")</f>
        <v>+7.41</v>
      </c>
      <c r="U143" s="1">
        <f ca="1">IFERROR(__xludf.DUMMYFUNCTION("""COMPUTED_VALUE"""),27)</f>
        <v>27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IFERROR(__xludf.DUMMYFUNCTION("""COMPUTED_VALUE"""),"Denver")</f>
        <v>Denver</v>
      </c>
      <c r="C144" s="1" t="str">
        <f ca="1">IFERROR(__xludf.DUMMYFUNCTION("""COMPUTED_VALUE"""),"SB")</f>
        <v>SB</v>
      </c>
      <c r="D144" s="1" t="str">
        <f ca="1">IFERROR(__xludf.DUMMYFUNCTION("""COMPUTED_VALUE"""),"17-15")</f>
        <v>17-15</v>
      </c>
      <c r="E144" s="1" t="str">
        <f ca="1">IFERROR(__xludf.DUMMYFUNCTION("""COMPUTED_VALUE"""),"+2.53")</f>
        <v>+2.53</v>
      </c>
      <c r="F144" s="1">
        <f ca="1">IFERROR(__xludf.DUMMYFUNCTION("""COMPUTED_VALUE"""),102.4)</f>
        <v>102.4</v>
      </c>
      <c r="G144" s="1">
        <f ca="1">IFERROR(__xludf.DUMMYFUNCTION("""COMPUTED_VALUE"""),162)</f>
        <v>162</v>
      </c>
      <c r="H144" s="1">
        <f ca="1">IFERROR(__xludf.DUMMYFUNCTION("""COMPUTED_VALUE"""),99.8)</f>
        <v>99.8</v>
      </c>
      <c r="I144" s="1">
        <f ca="1">IFERROR(__xludf.DUMMYFUNCTION("""COMPUTED_VALUE"""),121)</f>
        <v>121</v>
      </c>
      <c r="J144" s="1">
        <f ca="1">IFERROR(__xludf.DUMMYFUNCTION("""COMPUTED_VALUE"""),67.3)</f>
        <v>67.3</v>
      </c>
      <c r="K144" s="1">
        <f ca="1">IFERROR(__xludf.DUMMYFUNCTION("""COMPUTED_VALUE"""),153)</f>
        <v>153</v>
      </c>
      <c r="L144" s="1">
        <f ca="1">IFERROR(__xludf.DUMMYFUNCTION("""COMPUTED_VALUE"""),-0.027)</f>
        <v>-2.7E-2</v>
      </c>
      <c r="M144" s="1">
        <f ca="1">IFERROR(__xludf.DUMMYFUNCTION("""COMPUTED_VALUE"""),232)</f>
        <v>232</v>
      </c>
      <c r="N144" s="1">
        <f ca="1">IFERROR(__xludf.DUMMYFUNCTION("""COMPUTED_VALUE"""),-0.56)</f>
        <v>-0.56000000000000005</v>
      </c>
      <c r="O144" s="1">
        <f ca="1">IFERROR(__xludf.DUMMYFUNCTION("""COMPUTED_VALUE"""),161)</f>
        <v>161</v>
      </c>
      <c r="P144" s="1">
        <f ca="1">IFERROR(__xludf.DUMMYFUNCTION("""COMPUTED_VALUE"""),102.8)</f>
        <v>102.8</v>
      </c>
      <c r="Q144" s="1">
        <f ca="1">IFERROR(__xludf.DUMMYFUNCTION("""COMPUTED_VALUE"""),150)</f>
        <v>150</v>
      </c>
      <c r="R144" s="1">
        <f ca="1">IFERROR(__xludf.DUMMYFUNCTION("""COMPUTED_VALUE"""),103.4)</f>
        <v>103.4</v>
      </c>
      <c r="S144" s="1">
        <f ca="1">IFERROR(__xludf.DUMMYFUNCTION("""COMPUTED_VALUE"""),201)</f>
        <v>201</v>
      </c>
      <c r="T144" s="1">
        <f ca="1">IFERROR(__xludf.DUMMYFUNCTION("""COMPUTED_VALUE"""),-3.69)</f>
        <v>-3.69</v>
      </c>
      <c r="U144" s="1">
        <f ca="1">IFERROR(__xludf.DUMMYFUNCTION("""COMPUTED_VALUE"""),244)</f>
        <v>244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IFERROR(__xludf.DUMMYFUNCTION("""COMPUTED_VALUE"""),"Northern Illinois")</f>
        <v>Northern Illinois</v>
      </c>
      <c r="C145" s="1" t="str">
        <f ca="1">IFERROR(__xludf.DUMMYFUNCTION("""COMPUTED_VALUE"""),"MAC")</f>
        <v>MAC</v>
      </c>
      <c r="D145" s="1" t="str">
        <f ca="1">IFERROR(__xludf.DUMMYFUNCTION("""COMPUTED_VALUE"""),"17-14")</f>
        <v>17-14</v>
      </c>
      <c r="E145" s="1" t="str">
        <f ca="1">IFERROR(__xludf.DUMMYFUNCTION("""COMPUTED_VALUE"""),"+2.52")</f>
        <v>+2.52</v>
      </c>
      <c r="F145" s="1">
        <f ca="1">IFERROR(__xludf.DUMMYFUNCTION("""COMPUTED_VALUE"""),104.6)</f>
        <v>104.6</v>
      </c>
      <c r="G145" s="1">
        <f ca="1">IFERROR(__xludf.DUMMYFUNCTION("""COMPUTED_VALUE"""),123)</f>
        <v>123</v>
      </c>
      <c r="H145" s="1">
        <f ca="1">IFERROR(__xludf.DUMMYFUNCTION("""COMPUTED_VALUE"""),102.1)</f>
        <v>102.1</v>
      </c>
      <c r="I145" s="1">
        <f ca="1">IFERROR(__xludf.DUMMYFUNCTION("""COMPUTED_VALUE"""),162)</f>
        <v>162</v>
      </c>
      <c r="J145" s="1">
        <f ca="1">IFERROR(__xludf.DUMMYFUNCTION("""COMPUTED_VALUE"""),64.8)</f>
        <v>64.8</v>
      </c>
      <c r="K145" s="1">
        <f ca="1">IFERROR(__xludf.DUMMYFUNCTION("""COMPUTED_VALUE"""),264)</f>
        <v>264</v>
      </c>
      <c r="L145" s="1" t="str">
        <f ca="1">IFERROR(__xludf.DUMMYFUNCTION("""COMPUTED_VALUE"""),"+.050")</f>
        <v>+.050</v>
      </c>
      <c r="M145" s="1">
        <f ca="1">IFERROR(__xludf.DUMMYFUNCTION("""COMPUTED_VALUE"""),54)</f>
        <v>54</v>
      </c>
      <c r="N145" s="1" t="str">
        <f ca="1">IFERROR(__xludf.DUMMYFUNCTION("""COMPUTED_VALUE"""),"+1.28")</f>
        <v>+1.28</v>
      </c>
      <c r="O145" s="1">
        <f ca="1">IFERROR(__xludf.DUMMYFUNCTION("""COMPUTED_VALUE"""),133)</f>
        <v>133</v>
      </c>
      <c r="P145" s="1">
        <f ca="1">IFERROR(__xludf.DUMMYFUNCTION("""COMPUTED_VALUE"""),103.8)</f>
        <v>103.8</v>
      </c>
      <c r="Q145" s="1">
        <f ca="1">IFERROR(__xludf.DUMMYFUNCTION("""COMPUTED_VALUE"""),120)</f>
        <v>120</v>
      </c>
      <c r="R145" s="1">
        <f ca="1">IFERROR(__xludf.DUMMYFUNCTION("""COMPUTED_VALUE"""),102.6)</f>
        <v>102.6</v>
      </c>
      <c r="S145" s="1">
        <f ca="1">IFERROR(__xludf.DUMMYFUNCTION("""COMPUTED_VALUE"""),161)</f>
        <v>161</v>
      </c>
      <c r="T145" s="1" t="str">
        <f ca="1">IFERROR(__xludf.DUMMYFUNCTION("""COMPUTED_VALUE"""),"+3.42")</f>
        <v>+3.42</v>
      </c>
      <c r="U145" s="1">
        <f ca="1">IFERROR(__xludf.DUMMYFUNCTION("""COMPUTED_VALUE"""),75)</f>
        <v>75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IFERROR(__xludf.DUMMYFUNCTION("""COMPUTED_VALUE"""),"Nebraska")</f>
        <v>Nebraska</v>
      </c>
      <c r="C146" s="1" t="str">
        <f ca="1">IFERROR(__xludf.DUMMYFUNCTION("""COMPUTED_VALUE"""),"B12")</f>
        <v>B12</v>
      </c>
      <c r="D146" s="2">
        <f ca="1">IFERROR(__xludf.DUMMYFUNCTION("""COMPUTED_VALUE"""),44883)</f>
        <v>44883</v>
      </c>
      <c r="E146" s="1" t="str">
        <f ca="1">IFERROR(__xludf.DUMMYFUNCTION("""COMPUTED_VALUE"""),"+2.47")</f>
        <v>+2.47</v>
      </c>
      <c r="F146" s="1">
        <f ca="1">IFERROR(__xludf.DUMMYFUNCTION("""COMPUTED_VALUE"""),97.4)</f>
        <v>97.4</v>
      </c>
      <c r="G146" s="1">
        <f ca="1">IFERROR(__xludf.DUMMYFUNCTION("""COMPUTED_VALUE"""),252)</f>
        <v>252</v>
      </c>
      <c r="H146" s="1">
        <f ca="1">IFERROR(__xludf.DUMMYFUNCTION("""COMPUTED_VALUE"""),94.9)</f>
        <v>94.9</v>
      </c>
      <c r="I146" s="1">
        <f ca="1">IFERROR(__xludf.DUMMYFUNCTION("""COMPUTED_VALUE"""),42)</f>
        <v>42</v>
      </c>
      <c r="J146" s="1">
        <f ca="1">IFERROR(__xludf.DUMMYFUNCTION("""COMPUTED_VALUE"""),66.6)</f>
        <v>66.599999999999994</v>
      </c>
      <c r="K146" s="1">
        <f ca="1">IFERROR(__xludf.DUMMYFUNCTION("""COMPUTED_VALUE"""),183)</f>
        <v>183</v>
      </c>
      <c r="L146" s="1" t="str">
        <f ca="1">IFERROR(__xludf.DUMMYFUNCTION("""COMPUTED_VALUE"""),"+.014")</f>
        <v>+.014</v>
      </c>
      <c r="M146" s="1">
        <f ca="1">IFERROR(__xludf.DUMMYFUNCTION("""COMPUTED_VALUE"""),127)</f>
        <v>127</v>
      </c>
      <c r="N146" s="1" t="str">
        <f ca="1">IFERROR(__xludf.DUMMYFUNCTION("""COMPUTED_VALUE"""),"+8.97")</f>
        <v>+8.97</v>
      </c>
      <c r="O146" s="1">
        <f ca="1">IFERROR(__xludf.DUMMYFUNCTION("""COMPUTED_VALUE"""),25)</f>
        <v>25</v>
      </c>
      <c r="P146" s="1">
        <f ca="1">IFERROR(__xludf.DUMMYFUNCTION("""COMPUTED_VALUE"""),106.9)</f>
        <v>106.9</v>
      </c>
      <c r="Q146" s="1">
        <f ca="1">IFERROR(__xludf.DUMMYFUNCTION("""COMPUTED_VALUE"""),25)</f>
        <v>25</v>
      </c>
      <c r="R146" s="1">
        <f ca="1">IFERROR(__xludf.DUMMYFUNCTION("""COMPUTED_VALUE"""),97.9)</f>
        <v>97.9</v>
      </c>
      <c r="S146" s="1">
        <f ca="1">IFERROR(__xludf.DUMMYFUNCTION("""COMPUTED_VALUE"""),32)</f>
        <v>32</v>
      </c>
      <c r="T146" s="1">
        <f ca="1">IFERROR(__xludf.DUMMYFUNCTION("""COMPUTED_VALUE"""),-1.84)</f>
        <v>-1.84</v>
      </c>
      <c r="U146" s="1">
        <f ca="1">IFERROR(__xludf.DUMMYFUNCTION("""COMPUTED_VALUE"""),201)</f>
        <v>201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IFERROR(__xludf.DUMMYFUNCTION("""COMPUTED_VALUE"""),"Miami OH")</f>
        <v>Miami OH</v>
      </c>
      <c r="C147" s="1" t="str">
        <f ca="1">IFERROR(__xludf.DUMMYFUNCTION("""COMPUTED_VALUE"""),"MAC")</f>
        <v>MAC</v>
      </c>
      <c r="D147" s="2">
        <f ca="1">IFERROR(__xludf.DUMMYFUNCTION("""COMPUTED_VALUE"""),44910)</f>
        <v>44910</v>
      </c>
      <c r="E147" s="1" t="str">
        <f ca="1">IFERROR(__xludf.DUMMYFUNCTION("""COMPUTED_VALUE"""),"+2.42")</f>
        <v>+2.42</v>
      </c>
      <c r="F147" s="1">
        <f ca="1">IFERROR(__xludf.DUMMYFUNCTION("""COMPUTED_VALUE"""),101.1)</f>
        <v>101.1</v>
      </c>
      <c r="G147" s="1">
        <f ca="1">IFERROR(__xludf.DUMMYFUNCTION("""COMPUTED_VALUE"""),190)</f>
        <v>190</v>
      </c>
      <c r="H147" s="1">
        <f ca="1">IFERROR(__xludf.DUMMYFUNCTION("""COMPUTED_VALUE"""),98.7)</f>
        <v>98.7</v>
      </c>
      <c r="I147" s="1">
        <f ca="1">IFERROR(__xludf.DUMMYFUNCTION("""COMPUTED_VALUE"""),99)</f>
        <v>99</v>
      </c>
      <c r="J147" s="1">
        <f ca="1">IFERROR(__xludf.DUMMYFUNCTION("""COMPUTED_VALUE"""),56.7)</f>
        <v>56.7</v>
      </c>
      <c r="K147" s="1">
        <f ca="1">IFERROR(__xludf.DUMMYFUNCTION("""COMPUTED_VALUE"""),326)</f>
        <v>326</v>
      </c>
      <c r="L147" s="1">
        <f ca="1">IFERROR(__xludf.DUMMYFUNCTION("""COMPUTED_VALUE"""),-0.027)</f>
        <v>-2.7E-2</v>
      </c>
      <c r="M147" s="1">
        <f ca="1">IFERROR(__xludf.DUMMYFUNCTION("""COMPUTED_VALUE"""),231)</f>
        <v>231</v>
      </c>
      <c r="N147" s="1" t="str">
        <f ca="1">IFERROR(__xludf.DUMMYFUNCTION("""COMPUTED_VALUE"""),"+3.12")</f>
        <v>+3.12</v>
      </c>
      <c r="O147" s="1">
        <f ca="1">IFERROR(__xludf.DUMMYFUNCTION("""COMPUTED_VALUE"""),106)</f>
        <v>106</v>
      </c>
      <c r="P147" s="1">
        <f ca="1">IFERROR(__xludf.DUMMYFUNCTION("""COMPUTED_VALUE"""),105.8)</f>
        <v>105.8</v>
      </c>
      <c r="Q147" s="1">
        <f ca="1">IFERROR(__xludf.DUMMYFUNCTION("""COMPUTED_VALUE"""),59)</f>
        <v>59</v>
      </c>
      <c r="R147" s="1">
        <f ca="1">IFERROR(__xludf.DUMMYFUNCTION("""COMPUTED_VALUE"""),102.7)</f>
        <v>102.7</v>
      </c>
      <c r="S147" s="1">
        <f ca="1">IFERROR(__xludf.DUMMYFUNCTION("""COMPUTED_VALUE"""),167)</f>
        <v>167</v>
      </c>
      <c r="T147" s="1" t="str">
        <f ca="1">IFERROR(__xludf.DUMMYFUNCTION("""COMPUTED_VALUE"""),"+13.04")</f>
        <v>+13.04</v>
      </c>
      <c r="U147" s="1">
        <f ca="1">IFERROR(__xludf.DUMMYFUNCTION("""COMPUTED_VALUE"""),4)</f>
        <v>4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IFERROR(__xludf.DUMMYFUNCTION("""COMPUTED_VALUE"""),"SMU")</f>
        <v>SMU</v>
      </c>
      <c r="C148" s="1" t="str">
        <f ca="1">IFERROR(__xludf.DUMMYFUNCTION("""COMPUTED_VALUE"""),"WAC")</f>
        <v>WAC</v>
      </c>
      <c r="D148" s="1" t="str">
        <f ca="1">IFERROR(__xludf.DUMMYFUNCTION("""COMPUTED_VALUE"""),"17-13")</f>
        <v>17-13</v>
      </c>
      <c r="E148" s="1" t="str">
        <f ca="1">IFERROR(__xludf.DUMMYFUNCTION("""COMPUTED_VALUE"""),"+2.36")</f>
        <v>+2.36</v>
      </c>
      <c r="F148" s="1">
        <f ca="1">IFERROR(__xludf.DUMMYFUNCTION("""COMPUTED_VALUE"""),103.6)</f>
        <v>103.6</v>
      </c>
      <c r="G148" s="1">
        <f ca="1">IFERROR(__xludf.DUMMYFUNCTION("""COMPUTED_VALUE"""),140)</f>
        <v>140</v>
      </c>
      <c r="H148" s="1">
        <f ca="1">IFERROR(__xludf.DUMMYFUNCTION("""COMPUTED_VALUE"""),101.2)</f>
        <v>101.2</v>
      </c>
      <c r="I148" s="1">
        <f ca="1">IFERROR(__xludf.DUMMYFUNCTION("""COMPUTED_VALUE"""),146)</f>
        <v>146</v>
      </c>
      <c r="J148" s="1">
        <f ca="1">IFERROR(__xludf.DUMMYFUNCTION("""COMPUTED_VALUE"""),68.2)</f>
        <v>68.2</v>
      </c>
      <c r="K148" s="1">
        <f ca="1">IFERROR(__xludf.DUMMYFUNCTION("""COMPUTED_VALUE"""),114)</f>
        <v>114</v>
      </c>
      <c r="L148" s="1" t="str">
        <f ca="1">IFERROR(__xludf.DUMMYFUNCTION("""COMPUTED_VALUE"""),"+.070")</f>
        <v>+.070</v>
      </c>
      <c r="M148" s="1">
        <f ca="1">IFERROR(__xludf.DUMMYFUNCTION("""COMPUTED_VALUE"""),28)</f>
        <v>28</v>
      </c>
      <c r="N148" s="1" t="str">
        <f ca="1">IFERROR(__xludf.DUMMYFUNCTION("""COMPUTED_VALUE"""),"+1.45")</f>
        <v>+1.45</v>
      </c>
      <c r="O148" s="1">
        <f ca="1">IFERROR(__xludf.DUMMYFUNCTION("""COMPUTED_VALUE"""),129)</f>
        <v>129</v>
      </c>
      <c r="P148" s="1">
        <f ca="1">IFERROR(__xludf.DUMMYFUNCTION("""COMPUTED_VALUE"""),102.7)</f>
        <v>102.7</v>
      </c>
      <c r="Q148" s="1">
        <f ca="1">IFERROR(__xludf.DUMMYFUNCTION("""COMPUTED_VALUE"""),154)</f>
        <v>154</v>
      </c>
      <c r="R148" s="1">
        <f ca="1">IFERROR(__xludf.DUMMYFUNCTION("""COMPUTED_VALUE"""),101.3)</f>
        <v>101.3</v>
      </c>
      <c r="S148" s="1">
        <f ca="1">IFERROR(__xludf.DUMMYFUNCTION("""COMPUTED_VALUE"""),110)</f>
        <v>110</v>
      </c>
      <c r="T148" s="1" t="str">
        <f ca="1">IFERROR(__xludf.DUMMYFUNCTION("""COMPUTED_VALUE"""),"+3.56")</f>
        <v>+3.56</v>
      </c>
      <c r="U148" s="1">
        <f ca="1">IFERROR(__xludf.DUMMYFUNCTION("""COMPUTED_VALUE"""),70)</f>
        <v>70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IFERROR(__xludf.DUMMYFUNCTION("""COMPUTED_VALUE"""),"Virginia Tech")</f>
        <v>Virginia Tech</v>
      </c>
      <c r="C149" s="1" t="str">
        <f ca="1">IFERROR(__xludf.DUMMYFUNCTION("""COMPUTED_VALUE"""),"BE")</f>
        <v>BE</v>
      </c>
      <c r="D149" s="2">
        <f ca="1">IFERROR(__xludf.DUMMYFUNCTION("""COMPUTED_VALUE"""),44883)</f>
        <v>44883</v>
      </c>
      <c r="E149" s="1" t="str">
        <f ca="1">IFERROR(__xludf.DUMMYFUNCTION("""COMPUTED_VALUE"""),"+2.34")</f>
        <v>+2.34</v>
      </c>
      <c r="F149" s="1">
        <f ca="1">IFERROR(__xludf.DUMMYFUNCTION("""COMPUTED_VALUE"""),106.3)</f>
        <v>106.3</v>
      </c>
      <c r="G149" s="1">
        <f ca="1">IFERROR(__xludf.DUMMYFUNCTION("""COMPUTED_VALUE"""),97)</f>
        <v>97</v>
      </c>
      <c r="H149" s="1">
        <f ca="1">IFERROR(__xludf.DUMMYFUNCTION("""COMPUTED_VALUE"""),104)</f>
        <v>104</v>
      </c>
      <c r="I149" s="1">
        <f ca="1">IFERROR(__xludf.DUMMYFUNCTION("""COMPUTED_VALUE"""),191)</f>
        <v>191</v>
      </c>
      <c r="J149" s="1">
        <f ca="1">IFERROR(__xludf.DUMMYFUNCTION("""COMPUTED_VALUE"""),66.8)</f>
        <v>66.8</v>
      </c>
      <c r="K149" s="1">
        <f ca="1">IFERROR(__xludf.DUMMYFUNCTION("""COMPUTED_VALUE"""),176)</f>
        <v>176</v>
      </c>
      <c r="L149" s="1">
        <f ca="1">IFERROR(__xludf.DUMMYFUNCTION("""COMPUTED_VALUE"""),-0.044)</f>
        <v>-4.3999999999999997E-2</v>
      </c>
      <c r="M149" s="1">
        <f ca="1">IFERROR(__xludf.DUMMYFUNCTION("""COMPUTED_VALUE"""),274)</f>
        <v>274</v>
      </c>
      <c r="N149" s="1" t="str">
        <f ca="1">IFERROR(__xludf.DUMMYFUNCTION("""COMPUTED_VALUE"""),"+6.28")</f>
        <v>+6.28</v>
      </c>
      <c r="O149" s="1">
        <f ca="1">IFERROR(__xludf.DUMMYFUNCTION("""COMPUTED_VALUE"""),66)</f>
        <v>66</v>
      </c>
      <c r="P149" s="1">
        <f ca="1">IFERROR(__xludf.DUMMYFUNCTION("""COMPUTED_VALUE"""),105.5)</f>
        <v>105.5</v>
      </c>
      <c r="Q149" s="1">
        <f ca="1">IFERROR(__xludf.DUMMYFUNCTION("""COMPUTED_VALUE"""),65)</f>
        <v>65</v>
      </c>
      <c r="R149" s="1">
        <f ca="1">IFERROR(__xludf.DUMMYFUNCTION("""COMPUTED_VALUE"""),99.3)</f>
        <v>99.3</v>
      </c>
      <c r="S149" s="1">
        <f ca="1">IFERROR(__xludf.DUMMYFUNCTION("""COMPUTED_VALUE"""),67)</f>
        <v>67</v>
      </c>
      <c r="T149" s="1">
        <f ca="1">IFERROR(__xludf.DUMMYFUNCTION("""COMPUTED_VALUE"""),-3.48)</f>
        <v>-3.48</v>
      </c>
      <c r="U149" s="1">
        <f ca="1">IFERROR(__xludf.DUMMYFUNCTION("""COMPUTED_VALUE"""),236)</f>
        <v>236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IFERROR(__xludf.DUMMYFUNCTION("""COMPUTED_VALUE"""),"Saint Mary's")</f>
        <v>Saint Mary's</v>
      </c>
      <c r="C150" s="1" t="str">
        <f ca="1">IFERROR(__xludf.DUMMYFUNCTION("""COMPUTED_VALUE"""),"WCC")</f>
        <v>WCC</v>
      </c>
      <c r="D150" s="1" t="str">
        <f ca="1">IFERROR(__xludf.DUMMYFUNCTION("""COMPUTED_VALUE"""),"14-15")</f>
        <v>14-15</v>
      </c>
      <c r="E150" s="1" t="str">
        <f ca="1">IFERROR(__xludf.DUMMYFUNCTION("""COMPUTED_VALUE"""),"+2.18")</f>
        <v>+2.18</v>
      </c>
      <c r="F150" s="1">
        <f ca="1">IFERROR(__xludf.DUMMYFUNCTION("""COMPUTED_VALUE"""),98.5)</f>
        <v>98.5</v>
      </c>
      <c r="G150" s="1">
        <f ca="1">IFERROR(__xludf.DUMMYFUNCTION("""COMPUTED_VALUE"""),232)</f>
        <v>232</v>
      </c>
      <c r="H150" s="1">
        <f ca="1">IFERROR(__xludf.DUMMYFUNCTION("""COMPUTED_VALUE"""),96.3)</f>
        <v>96.3</v>
      </c>
      <c r="I150" s="1">
        <f ca="1">IFERROR(__xludf.DUMMYFUNCTION("""COMPUTED_VALUE"""),62)</f>
        <v>62</v>
      </c>
      <c r="J150" s="1">
        <f ca="1">IFERROR(__xludf.DUMMYFUNCTION("""COMPUTED_VALUE"""),65.6)</f>
        <v>65.599999999999994</v>
      </c>
      <c r="K150" s="1">
        <f ca="1">IFERROR(__xludf.DUMMYFUNCTION("""COMPUTED_VALUE"""),230)</f>
        <v>230</v>
      </c>
      <c r="L150" s="1">
        <f ca="1">IFERROR(__xludf.DUMMYFUNCTION("""COMPUTED_VALUE"""),-0.045)</f>
        <v>-4.4999999999999998E-2</v>
      </c>
      <c r="M150" s="1">
        <f ca="1">IFERROR(__xludf.DUMMYFUNCTION("""COMPUTED_VALUE"""),275)</f>
        <v>275</v>
      </c>
      <c r="N150" s="1" t="str">
        <f ca="1">IFERROR(__xludf.DUMMYFUNCTION("""COMPUTED_VALUE"""),"+0.42")</f>
        <v>+0.42</v>
      </c>
      <c r="O150" s="1">
        <f ca="1">IFERROR(__xludf.DUMMYFUNCTION("""COMPUTED_VALUE"""),146)</f>
        <v>146</v>
      </c>
      <c r="P150" s="1">
        <f ca="1">IFERROR(__xludf.DUMMYFUNCTION("""COMPUTED_VALUE"""),102.8)</f>
        <v>102.8</v>
      </c>
      <c r="Q150" s="1">
        <f ca="1">IFERROR(__xludf.DUMMYFUNCTION("""COMPUTED_VALUE"""),151)</f>
        <v>151</v>
      </c>
      <c r="R150" s="1">
        <f ca="1">IFERROR(__xludf.DUMMYFUNCTION("""COMPUTED_VALUE"""),102.4)</f>
        <v>102.4</v>
      </c>
      <c r="S150" s="1">
        <f ca="1">IFERROR(__xludf.DUMMYFUNCTION("""COMPUTED_VALUE"""),153)</f>
        <v>153</v>
      </c>
      <c r="T150" s="1">
        <f ca="1">IFERROR(__xludf.DUMMYFUNCTION("""COMPUTED_VALUE"""),-1.56)</f>
        <v>-1.56</v>
      </c>
      <c r="U150" s="1">
        <f ca="1">IFERROR(__xludf.DUMMYFUNCTION("""COMPUTED_VALUE"""),192)</f>
        <v>192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IFERROR(__xludf.DUMMYFUNCTION("""COMPUTED_VALUE"""),"Davidson")</f>
        <v>Davidson</v>
      </c>
      <c r="C151" s="1" t="str">
        <f ca="1">IFERROR(__xludf.DUMMYFUNCTION("""COMPUTED_VALUE"""),"SC")</f>
        <v>SC</v>
      </c>
      <c r="D151" s="1" t="str">
        <f ca="1">IFERROR(__xludf.DUMMYFUNCTION("""COMPUTED_VALUE"""),"14-10")</f>
        <v>14-10</v>
      </c>
      <c r="E151" s="1" t="str">
        <f ca="1">IFERROR(__xludf.DUMMYFUNCTION("""COMPUTED_VALUE"""),"+2.18")</f>
        <v>+2.18</v>
      </c>
      <c r="F151" s="1">
        <f ca="1">IFERROR(__xludf.DUMMYFUNCTION("""COMPUTED_VALUE"""),103.2)</f>
        <v>103.2</v>
      </c>
      <c r="G151" s="1">
        <f ca="1">IFERROR(__xludf.DUMMYFUNCTION("""COMPUTED_VALUE"""),148)</f>
        <v>148</v>
      </c>
      <c r="H151" s="1">
        <f ca="1">IFERROR(__xludf.DUMMYFUNCTION("""COMPUTED_VALUE"""),101)</f>
        <v>101</v>
      </c>
      <c r="I151" s="1">
        <f ca="1">IFERROR(__xludf.DUMMYFUNCTION("""COMPUTED_VALUE"""),143)</f>
        <v>143</v>
      </c>
      <c r="J151" s="1">
        <f ca="1">IFERROR(__xludf.DUMMYFUNCTION("""COMPUTED_VALUE"""),70.3)</f>
        <v>70.3</v>
      </c>
      <c r="K151" s="1">
        <f ca="1">IFERROR(__xludf.DUMMYFUNCTION("""COMPUTED_VALUE"""),48)</f>
        <v>48</v>
      </c>
      <c r="L151" s="1" t="str">
        <f ca="1">IFERROR(__xludf.DUMMYFUNCTION("""COMPUTED_VALUE"""),"+.004")</f>
        <v>+.004</v>
      </c>
      <c r="M151" s="1">
        <f ca="1">IFERROR(__xludf.DUMMYFUNCTION("""COMPUTED_VALUE"""),154)</f>
        <v>154</v>
      </c>
      <c r="N151" s="1">
        <f ca="1">IFERROR(__xludf.DUMMYFUNCTION("""COMPUTED_VALUE"""),-2.28)</f>
        <v>-2.2799999999999998</v>
      </c>
      <c r="O151" s="1">
        <f ca="1">IFERROR(__xludf.DUMMYFUNCTION("""COMPUTED_VALUE"""),204)</f>
        <v>204</v>
      </c>
      <c r="P151" s="1">
        <f ca="1">IFERROR(__xludf.DUMMYFUNCTION("""COMPUTED_VALUE"""),101)</f>
        <v>101</v>
      </c>
      <c r="Q151" s="1">
        <f ca="1">IFERROR(__xludf.DUMMYFUNCTION("""COMPUTED_VALUE"""),201)</f>
        <v>201</v>
      </c>
      <c r="R151" s="1">
        <f ca="1">IFERROR(__xludf.DUMMYFUNCTION("""COMPUTED_VALUE"""),103.3)</f>
        <v>103.3</v>
      </c>
      <c r="S151" s="1">
        <f ca="1">IFERROR(__xludf.DUMMYFUNCTION("""COMPUTED_VALUE"""),197)</f>
        <v>197</v>
      </c>
      <c r="T151" s="1" t="str">
        <f ca="1">IFERROR(__xludf.DUMMYFUNCTION("""COMPUTED_VALUE"""),"+11.96")</f>
        <v>+11.96</v>
      </c>
      <c r="U151" s="1">
        <f ca="1">IFERROR(__xludf.DUMMYFUNCTION("""COMPUTED_VALUE"""),9)</f>
        <v>9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IFERROR(__xludf.DUMMYFUNCTION("""COMPUTED_VALUE"""),"Stephen F. Austin")</f>
        <v>Stephen F. Austin</v>
      </c>
      <c r="C152" s="1" t="str">
        <f ca="1">IFERROR(__xludf.DUMMYFUNCTION("""COMPUTED_VALUE"""),"Slnd")</f>
        <v>Slnd</v>
      </c>
      <c r="D152" s="1" t="str">
        <f ca="1">IFERROR(__xludf.DUMMYFUNCTION("""COMPUTED_VALUE"""),"19-8")</f>
        <v>19-8</v>
      </c>
      <c r="E152" s="1" t="str">
        <f ca="1">IFERROR(__xludf.DUMMYFUNCTION("""COMPUTED_VALUE"""),"+2.14")</f>
        <v>+2.14</v>
      </c>
      <c r="F152" s="1">
        <f ca="1">IFERROR(__xludf.DUMMYFUNCTION("""COMPUTED_VALUE"""),105.6)</f>
        <v>105.6</v>
      </c>
      <c r="G152" s="1">
        <f ca="1">IFERROR(__xludf.DUMMYFUNCTION("""COMPUTED_VALUE"""),104)</f>
        <v>104</v>
      </c>
      <c r="H152" s="1">
        <f ca="1">IFERROR(__xludf.DUMMYFUNCTION("""COMPUTED_VALUE"""),103.5)</f>
        <v>103.5</v>
      </c>
      <c r="I152" s="1">
        <f ca="1">IFERROR(__xludf.DUMMYFUNCTION("""COMPUTED_VALUE"""),189)</f>
        <v>189</v>
      </c>
      <c r="J152" s="1">
        <f ca="1">IFERROR(__xludf.DUMMYFUNCTION("""COMPUTED_VALUE"""),62.6)</f>
        <v>62.6</v>
      </c>
      <c r="K152" s="1">
        <f ca="1">IFERROR(__xludf.DUMMYFUNCTION("""COMPUTED_VALUE"""),300)</f>
        <v>300</v>
      </c>
      <c r="L152" s="1" t="str">
        <f ca="1">IFERROR(__xludf.DUMMYFUNCTION("""COMPUTED_VALUE"""),"+.003")</f>
        <v>+.003</v>
      </c>
      <c r="M152" s="1">
        <f ca="1">IFERROR(__xludf.DUMMYFUNCTION("""COMPUTED_VALUE"""),155)</f>
        <v>155</v>
      </c>
      <c r="N152" s="1">
        <f ca="1">IFERROR(__xludf.DUMMYFUNCTION("""COMPUTED_VALUE"""),-8.51)</f>
        <v>-8.51</v>
      </c>
      <c r="O152" s="1">
        <f ca="1">IFERROR(__xludf.DUMMYFUNCTION("""COMPUTED_VALUE"""),293)</f>
        <v>293</v>
      </c>
      <c r="P152" s="1">
        <f ca="1">IFERROR(__xludf.DUMMYFUNCTION("""COMPUTED_VALUE"""),96.6)</f>
        <v>96.6</v>
      </c>
      <c r="Q152" s="1">
        <f ca="1">IFERROR(__xludf.DUMMYFUNCTION("""COMPUTED_VALUE"""),306)</f>
        <v>306</v>
      </c>
      <c r="R152" s="1">
        <f ca="1">IFERROR(__xludf.DUMMYFUNCTION("""COMPUTED_VALUE"""),105.1)</f>
        <v>105.1</v>
      </c>
      <c r="S152" s="1">
        <f ca="1">IFERROR(__xludf.DUMMYFUNCTION("""COMPUTED_VALUE"""),278)</f>
        <v>278</v>
      </c>
      <c r="T152" s="1">
        <f ca="1">IFERROR(__xludf.DUMMYFUNCTION("""COMPUTED_VALUE"""),-5.36)</f>
        <v>-5.36</v>
      </c>
      <c r="U152" s="1">
        <f ca="1">IFERROR(__xludf.DUMMYFUNCTION("""COMPUTED_VALUE"""),283)</f>
        <v>283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IFERROR(__xludf.DUMMYFUNCTION("""COMPUTED_VALUE"""),"Bradley")</f>
        <v>Bradley</v>
      </c>
      <c r="C153" s="1" t="str">
        <f ca="1">IFERROR(__xludf.DUMMYFUNCTION("""COMPUTED_VALUE"""),"MVC")</f>
        <v>MVC</v>
      </c>
      <c r="D153" s="2">
        <f ca="1">IFERROR(__xludf.DUMMYFUNCTION("""COMPUTED_VALUE"""),44913)</f>
        <v>44913</v>
      </c>
      <c r="E153" s="1" t="str">
        <f ca="1">IFERROR(__xludf.DUMMYFUNCTION("""COMPUTED_VALUE"""),"+1.95")</f>
        <v>+1.95</v>
      </c>
      <c r="F153" s="1">
        <f ca="1">IFERROR(__xludf.DUMMYFUNCTION("""COMPUTED_VALUE"""),103.1)</f>
        <v>103.1</v>
      </c>
      <c r="G153" s="1">
        <f ca="1">IFERROR(__xludf.DUMMYFUNCTION("""COMPUTED_VALUE"""),152)</f>
        <v>152</v>
      </c>
      <c r="H153" s="1">
        <f ca="1">IFERROR(__xludf.DUMMYFUNCTION("""COMPUTED_VALUE"""),101.2)</f>
        <v>101.2</v>
      </c>
      <c r="I153" s="1">
        <f ca="1">IFERROR(__xludf.DUMMYFUNCTION("""COMPUTED_VALUE"""),145)</f>
        <v>145</v>
      </c>
      <c r="J153" s="1">
        <f ca="1">IFERROR(__xludf.DUMMYFUNCTION("""COMPUTED_VALUE"""),68.6)</f>
        <v>68.599999999999994</v>
      </c>
      <c r="K153" s="1">
        <f ca="1">IFERROR(__xludf.DUMMYFUNCTION("""COMPUTED_VALUE"""),93)</f>
        <v>93</v>
      </c>
      <c r="L153" s="1">
        <f ca="1">IFERROR(__xludf.DUMMYFUNCTION("""COMPUTED_VALUE"""),-0.125)</f>
        <v>-0.125</v>
      </c>
      <c r="M153" s="1">
        <f ca="1">IFERROR(__xludf.DUMMYFUNCTION("""COMPUTED_VALUE"""),325)</f>
        <v>325</v>
      </c>
      <c r="N153" s="1" t="str">
        <f ca="1">IFERROR(__xludf.DUMMYFUNCTION("""COMPUTED_VALUE"""),"+1.11")</f>
        <v>+1.11</v>
      </c>
      <c r="O153" s="1">
        <f ca="1">IFERROR(__xludf.DUMMYFUNCTION("""COMPUTED_VALUE"""),137)</f>
        <v>137</v>
      </c>
      <c r="P153" s="1">
        <f ca="1">IFERROR(__xludf.DUMMYFUNCTION("""COMPUTED_VALUE"""),103.9)</f>
        <v>103.9</v>
      </c>
      <c r="Q153" s="1">
        <f ca="1">IFERROR(__xludf.DUMMYFUNCTION("""COMPUTED_VALUE"""),116)</f>
        <v>116</v>
      </c>
      <c r="R153" s="1">
        <f ca="1">IFERROR(__xludf.DUMMYFUNCTION("""COMPUTED_VALUE"""),102.8)</f>
        <v>102.8</v>
      </c>
      <c r="S153" s="1">
        <f ca="1">IFERROR(__xludf.DUMMYFUNCTION("""COMPUTED_VALUE"""),175)</f>
        <v>175</v>
      </c>
      <c r="T153" s="1" t="str">
        <f ca="1">IFERROR(__xludf.DUMMYFUNCTION("""COMPUTED_VALUE"""),"+1.41")</f>
        <v>+1.41</v>
      </c>
      <c r="U153" s="1">
        <f ca="1">IFERROR(__xludf.DUMMYFUNCTION("""COMPUTED_VALUE"""),122)</f>
        <v>122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IFERROR(__xludf.DUMMYFUNCTION("""COMPUTED_VALUE"""),"American")</f>
        <v>American</v>
      </c>
      <c r="C154" s="1" t="str">
        <f ca="1">IFERROR(__xludf.DUMMYFUNCTION("""COMPUTED_VALUE"""),"Pat")</f>
        <v>Pat</v>
      </c>
      <c r="D154" s="1" t="str">
        <f ca="1">IFERROR(__xludf.DUMMYFUNCTION("""COMPUTED_VALUE"""),"16-14")</f>
        <v>16-14</v>
      </c>
      <c r="E154" s="1" t="str">
        <f ca="1">IFERROR(__xludf.DUMMYFUNCTION("""COMPUTED_VALUE"""),"+1.95")</f>
        <v>+1.95</v>
      </c>
      <c r="F154" s="1">
        <f ca="1">IFERROR(__xludf.DUMMYFUNCTION("""COMPUTED_VALUE"""),103.6)</f>
        <v>103.6</v>
      </c>
      <c r="G154" s="1">
        <f ca="1">IFERROR(__xludf.DUMMYFUNCTION("""COMPUTED_VALUE"""),141)</f>
        <v>141</v>
      </c>
      <c r="H154" s="1">
        <f ca="1">IFERROR(__xludf.DUMMYFUNCTION("""COMPUTED_VALUE"""),101.6)</f>
        <v>101.6</v>
      </c>
      <c r="I154" s="1">
        <f ca="1">IFERROR(__xludf.DUMMYFUNCTION("""COMPUTED_VALUE"""),153)</f>
        <v>153</v>
      </c>
      <c r="J154" s="1">
        <f ca="1">IFERROR(__xludf.DUMMYFUNCTION("""COMPUTED_VALUE"""),62.9)</f>
        <v>62.9</v>
      </c>
      <c r="K154" s="1">
        <f ca="1">IFERROR(__xludf.DUMMYFUNCTION("""COMPUTED_VALUE"""),297)</f>
        <v>297</v>
      </c>
      <c r="L154" s="1">
        <f ca="1">IFERROR(__xludf.DUMMYFUNCTION("""COMPUTED_VALUE"""),-0.101)</f>
        <v>-0.10100000000000001</v>
      </c>
      <c r="M154" s="1">
        <f ca="1">IFERROR(__xludf.DUMMYFUNCTION("""COMPUTED_VALUE"""),314)</f>
        <v>314</v>
      </c>
      <c r="N154" s="1">
        <f ca="1">IFERROR(__xludf.DUMMYFUNCTION("""COMPUTED_VALUE"""),-5.66)</f>
        <v>-5.66</v>
      </c>
      <c r="O154" s="1">
        <f ca="1">IFERROR(__xludf.DUMMYFUNCTION("""COMPUTED_VALUE"""),261)</f>
        <v>261</v>
      </c>
      <c r="P154" s="1">
        <f ca="1">IFERROR(__xludf.DUMMYFUNCTION("""COMPUTED_VALUE"""),98)</f>
        <v>98</v>
      </c>
      <c r="Q154" s="1">
        <f ca="1">IFERROR(__xludf.DUMMYFUNCTION("""COMPUTED_VALUE"""),281)</f>
        <v>281</v>
      </c>
      <c r="R154" s="1">
        <f ca="1">IFERROR(__xludf.DUMMYFUNCTION("""COMPUTED_VALUE"""),103.6)</f>
        <v>103.6</v>
      </c>
      <c r="S154" s="1">
        <f ca="1">IFERROR(__xludf.DUMMYFUNCTION("""COMPUTED_VALUE"""),208)</f>
        <v>208</v>
      </c>
      <c r="T154" s="1">
        <f ca="1">IFERROR(__xludf.DUMMYFUNCTION("""COMPUTED_VALUE"""),-2.26)</f>
        <v>-2.2599999999999998</v>
      </c>
      <c r="U154" s="1">
        <f ca="1">IFERROR(__xludf.DUMMYFUNCTION("""COMPUTED_VALUE"""),212)</f>
        <v>212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IFERROR(__xludf.DUMMYFUNCTION("""COMPUTED_VALUE"""),"East Tennessee St.15")</f>
        <v>East Tennessee St.15</v>
      </c>
      <c r="C155" s="1" t="str">
        <f ca="1">IFERROR(__xludf.DUMMYFUNCTION("""COMPUTED_VALUE"""),"SC")</f>
        <v>SC</v>
      </c>
      <c r="D155" s="1" t="str">
        <f ca="1">IFERROR(__xludf.DUMMYFUNCTION("""COMPUTED_VALUE"""),"17-11")</f>
        <v>17-11</v>
      </c>
      <c r="E155" s="1" t="str">
        <f ca="1">IFERROR(__xludf.DUMMYFUNCTION("""COMPUTED_VALUE"""),"+1.75")</f>
        <v>+1.75</v>
      </c>
      <c r="F155" s="1">
        <f ca="1">IFERROR(__xludf.DUMMYFUNCTION("""COMPUTED_VALUE"""),101.3)</f>
        <v>101.3</v>
      </c>
      <c r="G155" s="1">
        <f ca="1">IFERROR(__xludf.DUMMYFUNCTION("""COMPUTED_VALUE"""),186)</f>
        <v>186</v>
      </c>
      <c r="H155" s="1">
        <f ca="1">IFERROR(__xludf.DUMMYFUNCTION("""COMPUTED_VALUE"""),99.6)</f>
        <v>99.6</v>
      </c>
      <c r="I155" s="1">
        <f ca="1">IFERROR(__xludf.DUMMYFUNCTION("""COMPUTED_VALUE"""),116)</f>
        <v>116</v>
      </c>
      <c r="J155" s="1">
        <f ca="1">IFERROR(__xludf.DUMMYFUNCTION("""COMPUTED_VALUE"""),75.2)</f>
        <v>75.2</v>
      </c>
      <c r="K155" s="1">
        <f ca="1">IFERROR(__xludf.DUMMYFUNCTION("""COMPUTED_VALUE"""),3)</f>
        <v>3</v>
      </c>
      <c r="L155" s="1" t="str">
        <f ca="1">IFERROR(__xludf.DUMMYFUNCTION("""COMPUTED_VALUE"""),"+.036")</f>
        <v>+.036</v>
      </c>
      <c r="M155" s="1">
        <f ca="1">IFERROR(__xludf.DUMMYFUNCTION("""COMPUTED_VALUE"""),76)</f>
        <v>76</v>
      </c>
      <c r="N155" s="1">
        <f ca="1">IFERROR(__xludf.DUMMYFUNCTION("""COMPUTED_VALUE"""),-1.8)</f>
        <v>-1.8</v>
      </c>
      <c r="O155" s="1">
        <f ca="1">IFERROR(__xludf.DUMMYFUNCTION("""COMPUTED_VALUE"""),188)</f>
        <v>188</v>
      </c>
      <c r="P155" s="1">
        <f ca="1">IFERROR(__xludf.DUMMYFUNCTION("""COMPUTED_VALUE"""),102.1)</f>
        <v>102.1</v>
      </c>
      <c r="Q155" s="1">
        <f ca="1">IFERROR(__xludf.DUMMYFUNCTION("""COMPUTED_VALUE"""),169)</f>
        <v>169</v>
      </c>
      <c r="R155" s="1">
        <f ca="1">IFERROR(__xludf.DUMMYFUNCTION("""COMPUTED_VALUE"""),103.9)</f>
        <v>103.9</v>
      </c>
      <c r="S155" s="1">
        <f ca="1">IFERROR(__xludf.DUMMYFUNCTION("""COMPUTED_VALUE"""),219)</f>
        <v>219</v>
      </c>
      <c r="T155" s="1" t="str">
        <f ca="1">IFERROR(__xludf.DUMMYFUNCTION("""COMPUTED_VALUE"""),"+4.80")</f>
        <v>+4.80</v>
      </c>
      <c r="U155" s="1">
        <f ca="1">IFERROR(__xludf.DUMMYFUNCTION("""COMPUTED_VALUE"""),57)</f>
        <v>57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IFERROR(__xludf.DUMMYFUNCTION("""COMPUTED_VALUE"""),"Pepperdine")</f>
        <v>Pepperdine</v>
      </c>
      <c r="C156" s="1" t="str">
        <f ca="1">IFERROR(__xludf.DUMMYFUNCTION("""COMPUTED_VALUE"""),"WCC")</f>
        <v>WCC</v>
      </c>
      <c r="D156" s="1" t="str">
        <f ca="1">IFERROR(__xludf.DUMMYFUNCTION("""COMPUTED_VALUE"""),"15-13")</f>
        <v>15-13</v>
      </c>
      <c r="E156" s="1" t="str">
        <f ca="1">IFERROR(__xludf.DUMMYFUNCTION("""COMPUTED_VALUE"""),"+1.69")</f>
        <v>+1.69</v>
      </c>
      <c r="F156" s="1">
        <f ca="1">IFERROR(__xludf.DUMMYFUNCTION("""COMPUTED_VALUE"""),110.2)</f>
        <v>110.2</v>
      </c>
      <c r="G156" s="1">
        <f ca="1">IFERROR(__xludf.DUMMYFUNCTION("""COMPUTED_VALUE"""),42)</f>
        <v>42</v>
      </c>
      <c r="H156" s="1">
        <f ca="1">IFERROR(__xludf.DUMMYFUNCTION("""COMPUTED_VALUE"""),108.5)</f>
        <v>108.5</v>
      </c>
      <c r="I156" s="1">
        <f ca="1">IFERROR(__xludf.DUMMYFUNCTION("""COMPUTED_VALUE"""),279)</f>
        <v>279</v>
      </c>
      <c r="J156" s="1">
        <f ca="1">IFERROR(__xludf.DUMMYFUNCTION("""COMPUTED_VALUE"""),70.8)</f>
        <v>70.8</v>
      </c>
      <c r="K156" s="1">
        <f ca="1">IFERROR(__xludf.DUMMYFUNCTION("""COMPUTED_VALUE"""),35)</f>
        <v>35</v>
      </c>
      <c r="L156" s="1" t="str">
        <f ca="1">IFERROR(__xludf.DUMMYFUNCTION("""COMPUTED_VALUE"""),"+.042")</f>
        <v>+.042</v>
      </c>
      <c r="M156" s="1">
        <f ca="1">IFERROR(__xludf.DUMMYFUNCTION("""COMPUTED_VALUE"""),69)</f>
        <v>69</v>
      </c>
      <c r="N156" s="1" t="str">
        <f ca="1">IFERROR(__xludf.DUMMYFUNCTION("""COMPUTED_VALUE"""),"+1.33")</f>
        <v>+1.33</v>
      </c>
      <c r="O156" s="1">
        <f ca="1">IFERROR(__xludf.DUMMYFUNCTION("""COMPUTED_VALUE"""),131)</f>
        <v>131</v>
      </c>
      <c r="P156" s="1">
        <f ca="1">IFERROR(__xludf.DUMMYFUNCTION("""COMPUTED_VALUE"""),102.9)</f>
        <v>102.9</v>
      </c>
      <c r="Q156" s="1">
        <f ca="1">IFERROR(__xludf.DUMMYFUNCTION("""COMPUTED_VALUE"""),148)</f>
        <v>148</v>
      </c>
      <c r="R156" s="1">
        <f ca="1">IFERROR(__xludf.DUMMYFUNCTION("""COMPUTED_VALUE"""),101.6)</f>
        <v>101.6</v>
      </c>
      <c r="S156" s="1">
        <f ca="1">IFERROR(__xludf.DUMMYFUNCTION("""COMPUTED_VALUE"""),123)</f>
        <v>123</v>
      </c>
      <c r="T156" s="1" t="str">
        <f ca="1">IFERROR(__xludf.DUMMYFUNCTION("""COMPUTED_VALUE"""),"+1.19")</f>
        <v>+1.19</v>
      </c>
      <c r="U156" s="1">
        <f ca="1">IFERROR(__xludf.DUMMYFUNCTION("""COMPUTED_VALUE"""),127)</f>
        <v>127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IFERROR(__xludf.DUMMYFUNCTION("""COMPUTED_VALUE"""),"Arkansas Little Rock")</f>
        <v>Arkansas Little Rock</v>
      </c>
      <c r="C157" s="1" t="str">
        <f ca="1">IFERROR(__xludf.DUMMYFUNCTION("""COMPUTED_VALUE"""),"SB")</f>
        <v>SB</v>
      </c>
      <c r="D157" s="1" t="str">
        <f ca="1">IFERROR(__xludf.DUMMYFUNCTION("""COMPUTED_VALUE"""),"16-12")</f>
        <v>16-12</v>
      </c>
      <c r="E157" s="1" t="str">
        <f ca="1">IFERROR(__xludf.DUMMYFUNCTION("""COMPUTED_VALUE"""),"+1.63")</f>
        <v>+1.63</v>
      </c>
      <c r="F157" s="1">
        <f ca="1">IFERROR(__xludf.DUMMYFUNCTION("""COMPUTED_VALUE"""),102.3)</f>
        <v>102.3</v>
      </c>
      <c r="G157" s="1">
        <f ca="1">IFERROR(__xludf.DUMMYFUNCTION("""COMPUTED_VALUE"""),163)</f>
        <v>163</v>
      </c>
      <c r="H157" s="1">
        <f ca="1">IFERROR(__xludf.DUMMYFUNCTION("""COMPUTED_VALUE"""),100.7)</f>
        <v>100.7</v>
      </c>
      <c r="I157" s="1">
        <f ca="1">IFERROR(__xludf.DUMMYFUNCTION("""COMPUTED_VALUE"""),138)</f>
        <v>138</v>
      </c>
      <c r="J157" s="1">
        <f ca="1">IFERROR(__xludf.DUMMYFUNCTION("""COMPUTED_VALUE"""),66.1)</f>
        <v>66.099999999999994</v>
      </c>
      <c r="K157" s="1">
        <f ca="1">IFERROR(__xludf.DUMMYFUNCTION("""COMPUTED_VALUE"""),205)</f>
        <v>205</v>
      </c>
      <c r="L157" s="1" t="str">
        <f ca="1">IFERROR(__xludf.DUMMYFUNCTION("""COMPUTED_VALUE"""),"+.035")</f>
        <v>+.035</v>
      </c>
      <c r="M157" s="1">
        <f ca="1">IFERROR(__xludf.DUMMYFUNCTION("""COMPUTED_VALUE"""),81)</f>
        <v>81</v>
      </c>
      <c r="N157" s="1">
        <f ca="1">IFERROR(__xludf.DUMMYFUNCTION("""COMPUTED_VALUE"""),-0.5)</f>
        <v>-0.5</v>
      </c>
      <c r="O157" s="1">
        <f ca="1">IFERROR(__xludf.DUMMYFUNCTION("""COMPUTED_VALUE"""),160)</f>
        <v>160</v>
      </c>
      <c r="P157" s="1">
        <f ca="1">IFERROR(__xludf.DUMMYFUNCTION("""COMPUTED_VALUE"""),102)</f>
        <v>102</v>
      </c>
      <c r="Q157" s="1">
        <f ca="1">IFERROR(__xludf.DUMMYFUNCTION("""COMPUTED_VALUE"""),175)</f>
        <v>175</v>
      </c>
      <c r="R157" s="1">
        <f ca="1">IFERROR(__xludf.DUMMYFUNCTION("""COMPUTED_VALUE"""),102.5)</f>
        <v>102.5</v>
      </c>
      <c r="S157" s="1">
        <f ca="1">IFERROR(__xludf.DUMMYFUNCTION("""COMPUTED_VALUE"""),157)</f>
        <v>157</v>
      </c>
      <c r="T157" s="1">
        <f ca="1">IFERROR(__xludf.DUMMYFUNCTION("""COMPUTED_VALUE"""),-3.58)</f>
        <v>-3.58</v>
      </c>
      <c r="U157" s="1">
        <f ca="1">IFERROR(__xludf.DUMMYFUNCTION("""COMPUTED_VALUE"""),241)</f>
        <v>241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IFERROR(__xludf.DUMMYFUNCTION("""COMPUTED_VALUE"""),"Vermont16")</f>
        <v>Vermont16</v>
      </c>
      <c r="C158" s="1" t="str">
        <f ca="1">IFERROR(__xludf.DUMMYFUNCTION("""COMPUTED_VALUE"""),"AE")</f>
        <v>AE</v>
      </c>
      <c r="D158" s="1" t="str">
        <f ca="1">IFERROR(__xludf.DUMMYFUNCTION("""COMPUTED_VALUE"""),"19-11")</f>
        <v>19-11</v>
      </c>
      <c r="E158" s="1" t="str">
        <f ca="1">IFERROR(__xludf.DUMMYFUNCTION("""COMPUTED_VALUE"""),"+1.57")</f>
        <v>+1.57</v>
      </c>
      <c r="F158" s="1">
        <f ca="1">IFERROR(__xludf.DUMMYFUNCTION("""COMPUTED_VALUE"""),101.1)</f>
        <v>101.1</v>
      </c>
      <c r="G158" s="1">
        <f ca="1">IFERROR(__xludf.DUMMYFUNCTION("""COMPUTED_VALUE"""),191)</f>
        <v>191</v>
      </c>
      <c r="H158" s="1">
        <f ca="1">IFERROR(__xludf.DUMMYFUNCTION("""COMPUTED_VALUE"""),99.5)</f>
        <v>99.5</v>
      </c>
      <c r="I158" s="1">
        <f ca="1">IFERROR(__xludf.DUMMYFUNCTION("""COMPUTED_VALUE"""),114)</f>
        <v>114</v>
      </c>
      <c r="J158" s="1">
        <f ca="1">IFERROR(__xludf.DUMMYFUNCTION("""COMPUTED_VALUE"""),64.4)</f>
        <v>64.400000000000006</v>
      </c>
      <c r="K158" s="1">
        <f ca="1">IFERROR(__xludf.DUMMYFUNCTION("""COMPUTED_VALUE"""),271)</f>
        <v>271</v>
      </c>
      <c r="L158" s="1" t="str">
        <f ca="1">IFERROR(__xludf.DUMMYFUNCTION("""COMPUTED_VALUE"""),"+.019")</f>
        <v>+.019</v>
      </c>
      <c r="M158" s="1">
        <f ca="1">IFERROR(__xludf.DUMMYFUNCTION("""COMPUTED_VALUE"""),119)</f>
        <v>119</v>
      </c>
      <c r="N158" s="1">
        <f ca="1">IFERROR(__xludf.DUMMYFUNCTION("""COMPUTED_VALUE"""),-5.14)</f>
        <v>-5.14</v>
      </c>
      <c r="O158" s="1">
        <f ca="1">IFERROR(__xludf.DUMMYFUNCTION("""COMPUTED_VALUE"""),251)</f>
        <v>251</v>
      </c>
      <c r="P158" s="1">
        <f ca="1">IFERROR(__xludf.DUMMYFUNCTION("""COMPUTED_VALUE"""),99.3)</f>
        <v>99.3</v>
      </c>
      <c r="Q158" s="1">
        <f ca="1">IFERROR(__xludf.DUMMYFUNCTION("""COMPUTED_VALUE"""),249)</f>
        <v>249</v>
      </c>
      <c r="R158" s="1">
        <f ca="1">IFERROR(__xludf.DUMMYFUNCTION("""COMPUTED_VALUE"""),104.4)</f>
        <v>104.4</v>
      </c>
      <c r="S158" s="1">
        <f ca="1">IFERROR(__xludf.DUMMYFUNCTION("""COMPUTED_VALUE"""),245)</f>
        <v>245</v>
      </c>
      <c r="T158" s="1">
        <f ca="1">IFERROR(__xludf.DUMMYFUNCTION("""COMPUTED_VALUE"""),-2.29)</f>
        <v>-2.29</v>
      </c>
      <c r="U158" s="1">
        <f ca="1">IFERROR(__xludf.DUMMYFUNCTION("""COMPUTED_VALUE"""),213)</f>
        <v>213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IFERROR(__xludf.DUMMYFUNCTION("""COMPUTED_VALUE"""),"Morehead St.")</f>
        <v>Morehead St.</v>
      </c>
      <c r="C159" s="1" t="str">
        <f ca="1">IFERROR(__xludf.DUMMYFUNCTION("""COMPUTED_VALUE"""),"OVC")</f>
        <v>OVC</v>
      </c>
      <c r="D159" s="1" t="str">
        <f ca="1">IFERROR(__xludf.DUMMYFUNCTION("""COMPUTED_VALUE"""),"17-9")</f>
        <v>17-9</v>
      </c>
      <c r="E159" s="1" t="str">
        <f ca="1">IFERROR(__xludf.DUMMYFUNCTION("""COMPUTED_VALUE"""),"+1.53")</f>
        <v>+1.53</v>
      </c>
      <c r="F159" s="1">
        <f ca="1">IFERROR(__xludf.DUMMYFUNCTION("""COMPUTED_VALUE"""),109.6)</f>
        <v>109.6</v>
      </c>
      <c r="G159" s="1">
        <f ca="1">IFERROR(__xludf.DUMMYFUNCTION("""COMPUTED_VALUE"""),47)</f>
        <v>47</v>
      </c>
      <c r="H159" s="1">
        <f ca="1">IFERROR(__xludf.DUMMYFUNCTION("""COMPUTED_VALUE"""),108.1)</f>
        <v>108.1</v>
      </c>
      <c r="I159" s="1">
        <f ca="1">IFERROR(__xludf.DUMMYFUNCTION("""COMPUTED_VALUE"""),272)</f>
        <v>272</v>
      </c>
      <c r="J159" s="1">
        <f ca="1">IFERROR(__xludf.DUMMYFUNCTION("""COMPUTED_VALUE"""),67.6)</f>
        <v>67.599999999999994</v>
      </c>
      <c r="K159" s="1">
        <f ca="1">IFERROR(__xludf.DUMMYFUNCTION("""COMPUTED_VALUE"""),136)</f>
        <v>136</v>
      </c>
      <c r="L159" s="1" t="str">
        <f ca="1">IFERROR(__xludf.DUMMYFUNCTION("""COMPUTED_VALUE"""),"+.048")</f>
        <v>+.048</v>
      </c>
      <c r="M159" s="1">
        <f ca="1">IFERROR(__xludf.DUMMYFUNCTION("""COMPUTED_VALUE"""),64)</f>
        <v>64</v>
      </c>
      <c r="N159" s="1">
        <f ca="1">IFERROR(__xludf.DUMMYFUNCTION("""COMPUTED_VALUE"""),-3.68)</f>
        <v>-3.68</v>
      </c>
      <c r="O159" s="1">
        <f ca="1">IFERROR(__xludf.DUMMYFUNCTION("""COMPUTED_VALUE"""),229)</f>
        <v>229</v>
      </c>
      <c r="P159" s="1">
        <f ca="1">IFERROR(__xludf.DUMMYFUNCTION("""COMPUTED_VALUE"""),101.9)</f>
        <v>101.9</v>
      </c>
      <c r="Q159" s="1">
        <f ca="1">IFERROR(__xludf.DUMMYFUNCTION("""COMPUTED_VALUE"""),179)</f>
        <v>179</v>
      </c>
      <c r="R159" s="1">
        <f ca="1">IFERROR(__xludf.DUMMYFUNCTION("""COMPUTED_VALUE"""),105.6)</f>
        <v>105.6</v>
      </c>
      <c r="S159" s="1">
        <f ca="1">IFERROR(__xludf.DUMMYFUNCTION("""COMPUTED_VALUE"""),286)</f>
        <v>286</v>
      </c>
      <c r="T159" s="1" t="str">
        <f ca="1">IFERROR(__xludf.DUMMYFUNCTION("""COMPUTED_VALUE"""),"+1.84")</f>
        <v>+1.84</v>
      </c>
      <c r="U159" s="1">
        <f ca="1">IFERROR(__xludf.DUMMYFUNCTION("""COMPUTED_VALUE"""),111)</f>
        <v>111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IFERROR(__xludf.DUMMYFUNCTION("""COMPUTED_VALUE"""),"Air Force")</f>
        <v>Air Force</v>
      </c>
      <c r="C160" s="1" t="str">
        <f ca="1">IFERROR(__xludf.DUMMYFUNCTION("""COMPUTED_VALUE"""),"MWC")</f>
        <v>MWC</v>
      </c>
      <c r="D160" s="2">
        <f ca="1">IFERROR(__xludf.DUMMYFUNCTION("""COMPUTED_VALUE"""),44911)</f>
        <v>44911</v>
      </c>
      <c r="E160" s="1" t="str">
        <f ca="1">IFERROR(__xludf.DUMMYFUNCTION("""COMPUTED_VALUE"""),"+1.27")</f>
        <v>+1.27</v>
      </c>
      <c r="F160" s="1">
        <f ca="1">IFERROR(__xludf.DUMMYFUNCTION("""COMPUTED_VALUE"""),105.2)</f>
        <v>105.2</v>
      </c>
      <c r="G160" s="1">
        <f ca="1">IFERROR(__xludf.DUMMYFUNCTION("""COMPUTED_VALUE"""),111)</f>
        <v>111</v>
      </c>
      <c r="H160" s="1">
        <f ca="1">IFERROR(__xludf.DUMMYFUNCTION("""COMPUTED_VALUE"""),104)</f>
        <v>104</v>
      </c>
      <c r="I160" s="1">
        <f ca="1">IFERROR(__xludf.DUMMYFUNCTION("""COMPUTED_VALUE"""),192)</f>
        <v>192</v>
      </c>
      <c r="J160" s="1">
        <f ca="1">IFERROR(__xludf.DUMMYFUNCTION("""COMPUTED_VALUE"""),52.9)</f>
        <v>52.9</v>
      </c>
      <c r="K160" s="1">
        <f ca="1">IFERROR(__xludf.DUMMYFUNCTION("""COMPUTED_VALUE"""),327)</f>
        <v>327</v>
      </c>
      <c r="L160" s="1">
        <f ca="1">IFERROR(__xludf.DUMMYFUNCTION("""COMPUTED_VALUE"""),-0.074)</f>
        <v>-7.3999999999999996E-2</v>
      </c>
      <c r="M160" s="1">
        <f ca="1">IFERROR(__xludf.DUMMYFUNCTION("""COMPUTED_VALUE"""),299)</f>
        <v>299</v>
      </c>
      <c r="N160" s="1" t="str">
        <f ca="1">IFERROR(__xludf.DUMMYFUNCTION("""COMPUTED_VALUE"""),"+1.99")</f>
        <v>+1.99</v>
      </c>
      <c r="O160" s="1">
        <f ca="1">IFERROR(__xludf.DUMMYFUNCTION("""COMPUTED_VALUE"""),123)</f>
        <v>123</v>
      </c>
      <c r="P160" s="1">
        <f ca="1">IFERROR(__xludf.DUMMYFUNCTION("""COMPUTED_VALUE"""),104.1)</f>
        <v>104.1</v>
      </c>
      <c r="Q160" s="1">
        <f ca="1">IFERROR(__xludf.DUMMYFUNCTION("""COMPUTED_VALUE"""),111)</f>
        <v>111</v>
      </c>
      <c r="R160" s="1">
        <f ca="1">IFERROR(__xludf.DUMMYFUNCTION("""COMPUTED_VALUE"""),102.1)</f>
        <v>102.1</v>
      </c>
      <c r="S160" s="1">
        <f ca="1">IFERROR(__xludf.DUMMYFUNCTION("""COMPUTED_VALUE"""),140)</f>
        <v>140</v>
      </c>
      <c r="T160" s="1">
        <f ca="1">IFERROR(__xludf.DUMMYFUNCTION("""COMPUTED_VALUE"""),-6.08)</f>
        <v>-6.08</v>
      </c>
      <c r="U160" s="1">
        <f ca="1">IFERROR(__xludf.DUMMYFUNCTION("""COMPUTED_VALUE"""),290)</f>
        <v>290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IFERROR(__xludf.DUMMYFUNCTION("""COMPUTED_VALUE"""),"Oral Roberts")</f>
        <v>Oral Roberts</v>
      </c>
      <c r="C161" s="1" t="str">
        <f ca="1">IFERROR(__xludf.DUMMYFUNCTION("""COMPUTED_VALUE"""),"MCon")</f>
        <v>MCon</v>
      </c>
      <c r="D161" s="1" t="str">
        <f ca="1">IFERROR(__xludf.DUMMYFUNCTION("""COMPUTED_VALUE"""),"17-10")</f>
        <v>17-10</v>
      </c>
      <c r="E161" s="1" t="str">
        <f ca="1">IFERROR(__xludf.DUMMYFUNCTION("""COMPUTED_VALUE"""),"+1.21")</f>
        <v>+1.21</v>
      </c>
      <c r="F161" s="1">
        <f ca="1">IFERROR(__xludf.DUMMYFUNCTION("""COMPUTED_VALUE"""),104.6)</f>
        <v>104.6</v>
      </c>
      <c r="G161" s="1">
        <f ca="1">IFERROR(__xludf.DUMMYFUNCTION("""COMPUTED_VALUE"""),121)</f>
        <v>121</v>
      </c>
      <c r="H161" s="1">
        <f ca="1">IFERROR(__xludf.DUMMYFUNCTION("""COMPUTED_VALUE"""),103.4)</f>
        <v>103.4</v>
      </c>
      <c r="I161" s="1">
        <f ca="1">IFERROR(__xludf.DUMMYFUNCTION("""COMPUTED_VALUE"""),188)</f>
        <v>188</v>
      </c>
      <c r="J161" s="1">
        <f ca="1">IFERROR(__xludf.DUMMYFUNCTION("""COMPUTED_VALUE"""),68.1)</f>
        <v>68.099999999999994</v>
      </c>
      <c r="K161" s="1">
        <f ca="1">IFERROR(__xludf.DUMMYFUNCTION("""COMPUTED_VALUE"""),116)</f>
        <v>116</v>
      </c>
      <c r="L161" s="1">
        <f ca="1">IFERROR(__xludf.DUMMYFUNCTION("""COMPUTED_VALUE"""),-0.03)</f>
        <v>-0.03</v>
      </c>
      <c r="M161" s="1">
        <f ca="1">IFERROR(__xludf.DUMMYFUNCTION("""COMPUTED_VALUE"""),243)</f>
        <v>243</v>
      </c>
      <c r="N161" s="1">
        <f ca="1">IFERROR(__xludf.DUMMYFUNCTION("""COMPUTED_VALUE"""),-6.92)</f>
        <v>-6.92</v>
      </c>
      <c r="O161" s="1">
        <f ca="1">IFERROR(__xludf.DUMMYFUNCTION("""COMPUTED_VALUE"""),274)</f>
        <v>274</v>
      </c>
      <c r="P161" s="1">
        <f ca="1">IFERROR(__xludf.DUMMYFUNCTION("""COMPUTED_VALUE"""),100.3)</f>
        <v>100.3</v>
      </c>
      <c r="Q161" s="1">
        <f ca="1">IFERROR(__xludf.DUMMYFUNCTION("""COMPUTED_VALUE"""),227)</f>
        <v>227</v>
      </c>
      <c r="R161" s="1">
        <f ca="1">IFERROR(__xludf.DUMMYFUNCTION("""COMPUTED_VALUE"""),107.2)</f>
        <v>107.2</v>
      </c>
      <c r="S161" s="1">
        <f ca="1">IFERROR(__xludf.DUMMYFUNCTION("""COMPUTED_VALUE"""),310)</f>
        <v>310</v>
      </c>
      <c r="T161" s="1">
        <f ca="1">IFERROR(__xludf.DUMMYFUNCTION("""COMPUTED_VALUE"""),-5.13)</f>
        <v>-5.13</v>
      </c>
      <c r="U161" s="1">
        <f ca="1">IFERROR(__xludf.DUMMYFUNCTION("""COMPUTED_VALUE"""),274)</f>
        <v>274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IFERROR(__xludf.DUMMYFUNCTION("""COMPUTED_VALUE"""),"Fairfield")</f>
        <v>Fairfield</v>
      </c>
      <c r="C162" s="1" t="str">
        <f ca="1">IFERROR(__xludf.DUMMYFUNCTION("""COMPUTED_VALUE"""),"MAAC")</f>
        <v>MAAC</v>
      </c>
      <c r="D162" s="1" t="str">
        <f ca="1">IFERROR(__xludf.DUMMYFUNCTION("""COMPUTED_VALUE"""),"19-12")</f>
        <v>19-12</v>
      </c>
      <c r="E162" s="1" t="str">
        <f ca="1">IFERROR(__xludf.DUMMYFUNCTION("""COMPUTED_VALUE"""),"+0.94")</f>
        <v>+0.94</v>
      </c>
      <c r="F162" s="1">
        <f ca="1">IFERROR(__xludf.DUMMYFUNCTION("""COMPUTED_VALUE"""),99.2)</f>
        <v>99.2</v>
      </c>
      <c r="G162" s="1">
        <f ca="1">IFERROR(__xludf.DUMMYFUNCTION("""COMPUTED_VALUE"""),220)</f>
        <v>220</v>
      </c>
      <c r="H162" s="1">
        <f ca="1">IFERROR(__xludf.DUMMYFUNCTION("""COMPUTED_VALUE"""),98.2)</f>
        <v>98.2</v>
      </c>
      <c r="I162" s="1">
        <f ca="1">IFERROR(__xludf.DUMMYFUNCTION("""COMPUTED_VALUE"""),89)</f>
        <v>89</v>
      </c>
      <c r="J162" s="1">
        <f ca="1">IFERROR(__xludf.DUMMYFUNCTION("""COMPUTED_VALUE"""),69.2)</f>
        <v>69.2</v>
      </c>
      <c r="K162" s="1">
        <f ca="1">IFERROR(__xludf.DUMMYFUNCTION("""COMPUTED_VALUE"""),77)</f>
        <v>77</v>
      </c>
      <c r="L162" s="1" t="str">
        <f ca="1">IFERROR(__xludf.DUMMYFUNCTION("""COMPUTED_VALUE"""),"+.082")</f>
        <v>+.082</v>
      </c>
      <c r="M162" s="1">
        <f ca="1">IFERROR(__xludf.DUMMYFUNCTION("""COMPUTED_VALUE"""),17)</f>
        <v>17</v>
      </c>
      <c r="N162" s="1">
        <f ca="1">IFERROR(__xludf.DUMMYFUNCTION("""COMPUTED_VALUE"""),-1.34)</f>
        <v>-1.34</v>
      </c>
      <c r="O162" s="1">
        <f ca="1">IFERROR(__xludf.DUMMYFUNCTION("""COMPUTED_VALUE"""),179)</f>
        <v>179</v>
      </c>
      <c r="P162" s="1">
        <f ca="1">IFERROR(__xludf.DUMMYFUNCTION("""COMPUTED_VALUE"""),102.1)</f>
        <v>102.1</v>
      </c>
      <c r="Q162" s="1">
        <f ca="1">IFERROR(__xludf.DUMMYFUNCTION("""COMPUTED_VALUE"""),171)</f>
        <v>171</v>
      </c>
      <c r="R162" s="1">
        <f ca="1">IFERROR(__xludf.DUMMYFUNCTION("""COMPUTED_VALUE"""),103.5)</f>
        <v>103.5</v>
      </c>
      <c r="S162" s="1">
        <f ca="1">IFERROR(__xludf.DUMMYFUNCTION("""COMPUTED_VALUE"""),205)</f>
        <v>205</v>
      </c>
      <c r="T162" s="1" t="str">
        <f ca="1">IFERROR(__xludf.DUMMYFUNCTION("""COMPUTED_VALUE"""),"+1.75")</f>
        <v>+1.75</v>
      </c>
      <c r="U162" s="1">
        <f ca="1">IFERROR(__xludf.DUMMYFUNCTION("""COMPUTED_VALUE"""),115)</f>
        <v>115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IFERROR(__xludf.DUMMYFUNCTION("""COMPUTED_VALUE"""),"Yale")</f>
        <v>Yale</v>
      </c>
      <c r="C163" s="1" t="str">
        <f ca="1">IFERROR(__xludf.DUMMYFUNCTION("""COMPUTED_VALUE"""),"Ivy")</f>
        <v>Ivy</v>
      </c>
      <c r="D163" s="1" t="str">
        <f ca="1">IFERROR(__xludf.DUMMYFUNCTION("""COMPUTED_VALUE"""),"13-13")</f>
        <v>13-13</v>
      </c>
      <c r="E163" s="1" t="str">
        <f ca="1">IFERROR(__xludf.DUMMYFUNCTION("""COMPUTED_VALUE"""),"+0.85")</f>
        <v>+0.85</v>
      </c>
      <c r="F163" s="1">
        <f ca="1">IFERROR(__xludf.DUMMYFUNCTION("""COMPUTED_VALUE"""),100.1)</f>
        <v>100.1</v>
      </c>
      <c r="G163" s="1">
        <f ca="1">IFERROR(__xludf.DUMMYFUNCTION("""COMPUTED_VALUE"""),206)</f>
        <v>206</v>
      </c>
      <c r="H163" s="1">
        <f ca="1">IFERROR(__xludf.DUMMYFUNCTION("""COMPUTED_VALUE"""),99.2)</f>
        <v>99.2</v>
      </c>
      <c r="I163" s="1">
        <f ca="1">IFERROR(__xludf.DUMMYFUNCTION("""COMPUTED_VALUE"""),108)</f>
        <v>108</v>
      </c>
      <c r="J163" s="1">
        <f ca="1">IFERROR(__xludf.DUMMYFUNCTION("""COMPUTED_VALUE"""),68.7)</f>
        <v>68.7</v>
      </c>
      <c r="K163" s="1">
        <f ca="1">IFERROR(__xludf.DUMMYFUNCTION("""COMPUTED_VALUE"""),90)</f>
        <v>90</v>
      </c>
      <c r="L163" s="1">
        <f ca="1">IFERROR(__xludf.DUMMYFUNCTION("""COMPUTED_VALUE"""),-0.038)</f>
        <v>-3.7999999999999999E-2</v>
      </c>
      <c r="M163" s="1">
        <f ca="1">IFERROR(__xludf.DUMMYFUNCTION("""COMPUTED_VALUE"""),267)</f>
        <v>267</v>
      </c>
      <c r="N163" s="1">
        <f ca="1">IFERROR(__xludf.DUMMYFUNCTION("""COMPUTED_VALUE"""),-1.02)</f>
        <v>-1.02</v>
      </c>
      <c r="O163" s="1">
        <f ca="1">IFERROR(__xludf.DUMMYFUNCTION("""COMPUTED_VALUE"""),174)</f>
        <v>174</v>
      </c>
      <c r="P163" s="1">
        <f ca="1">IFERROR(__xludf.DUMMYFUNCTION("""COMPUTED_VALUE"""),100.9)</f>
        <v>100.9</v>
      </c>
      <c r="Q163" s="1">
        <f ca="1">IFERROR(__xludf.DUMMYFUNCTION("""COMPUTED_VALUE"""),203)</f>
        <v>203</v>
      </c>
      <c r="R163" s="1">
        <f ca="1">IFERROR(__xludf.DUMMYFUNCTION("""COMPUTED_VALUE"""),101.9)</f>
        <v>101.9</v>
      </c>
      <c r="S163" s="1">
        <f ca="1">IFERROR(__xludf.DUMMYFUNCTION("""COMPUTED_VALUE"""),133)</f>
        <v>133</v>
      </c>
      <c r="T163" s="1" t="str">
        <f ca="1">IFERROR(__xludf.DUMMYFUNCTION("""COMPUTED_VALUE"""),"+5.21")</f>
        <v>+5.21</v>
      </c>
      <c r="U163" s="1">
        <f ca="1">IFERROR(__xludf.DUMMYFUNCTION("""COMPUTED_VALUE"""),51)</f>
        <v>51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IFERROR(__xludf.DUMMYFUNCTION("""COMPUTED_VALUE"""),"South Alabama")</f>
        <v>South Alabama</v>
      </c>
      <c r="C164" s="1" t="str">
        <f ca="1">IFERROR(__xludf.DUMMYFUNCTION("""COMPUTED_VALUE"""),"SB")</f>
        <v>SB</v>
      </c>
      <c r="D164" s="2">
        <f ca="1">IFERROR(__xludf.DUMMYFUNCTION("""COMPUTED_VALUE"""),44909)</f>
        <v>44909</v>
      </c>
      <c r="E164" s="1" t="str">
        <f ca="1">IFERROR(__xludf.DUMMYFUNCTION("""COMPUTED_VALUE"""),"+0.85")</f>
        <v>+0.85</v>
      </c>
      <c r="F164" s="1">
        <f ca="1">IFERROR(__xludf.DUMMYFUNCTION("""COMPUTED_VALUE"""),105.4)</f>
        <v>105.4</v>
      </c>
      <c r="G164" s="1">
        <f ca="1">IFERROR(__xludf.DUMMYFUNCTION("""COMPUTED_VALUE"""),108)</f>
        <v>108</v>
      </c>
      <c r="H164" s="1">
        <f ca="1">IFERROR(__xludf.DUMMYFUNCTION("""COMPUTED_VALUE"""),104.6)</f>
        <v>104.6</v>
      </c>
      <c r="I164" s="1">
        <f ca="1">IFERROR(__xludf.DUMMYFUNCTION("""COMPUTED_VALUE"""),204)</f>
        <v>204</v>
      </c>
      <c r="J164" s="1">
        <f ca="1">IFERROR(__xludf.DUMMYFUNCTION("""COMPUTED_VALUE"""),65.7)</f>
        <v>65.7</v>
      </c>
      <c r="K164" s="1">
        <f ca="1">IFERROR(__xludf.DUMMYFUNCTION("""COMPUTED_VALUE"""),224)</f>
        <v>224</v>
      </c>
      <c r="L164" s="1">
        <f ca="1">IFERROR(__xludf.DUMMYFUNCTION("""COMPUTED_VALUE"""),-0.001)</f>
        <v>-1E-3</v>
      </c>
      <c r="M164" s="1">
        <f ca="1">IFERROR(__xludf.DUMMYFUNCTION("""COMPUTED_VALUE"""),166)</f>
        <v>166</v>
      </c>
      <c r="N164" s="1" t="str">
        <f ca="1">IFERROR(__xludf.DUMMYFUNCTION("""COMPUTED_VALUE"""),"+2.51")</f>
        <v>+2.51</v>
      </c>
      <c r="O164" s="1">
        <f ca="1">IFERROR(__xludf.DUMMYFUNCTION("""COMPUTED_VALUE"""),114)</f>
        <v>114</v>
      </c>
      <c r="P164" s="1">
        <f ca="1">IFERROR(__xludf.DUMMYFUNCTION("""COMPUTED_VALUE"""),103.9)</f>
        <v>103.9</v>
      </c>
      <c r="Q164" s="1">
        <f ca="1">IFERROR(__xludf.DUMMYFUNCTION("""COMPUTED_VALUE"""),119)</f>
        <v>119</v>
      </c>
      <c r="R164" s="1">
        <f ca="1">IFERROR(__xludf.DUMMYFUNCTION("""COMPUTED_VALUE"""),101.3)</f>
        <v>101.3</v>
      </c>
      <c r="S164" s="1">
        <f ca="1">IFERROR(__xludf.DUMMYFUNCTION("""COMPUTED_VALUE"""),112)</f>
        <v>112</v>
      </c>
      <c r="T164" s="1" t="str">
        <f ca="1">IFERROR(__xludf.DUMMYFUNCTION("""COMPUTED_VALUE"""),"+3.10")</f>
        <v>+3.10</v>
      </c>
      <c r="U164" s="1">
        <f ca="1">IFERROR(__xludf.DUMMYFUNCTION("""COMPUTED_VALUE"""),85)</f>
        <v>85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IFERROR(__xludf.DUMMYFUNCTION("""COMPUTED_VALUE"""),"Sam Houston St.15")</f>
        <v>Sam Houston St.15</v>
      </c>
      <c r="C165" s="1" t="str">
        <f ca="1">IFERROR(__xludf.DUMMYFUNCTION("""COMPUTED_VALUE"""),"Slnd")</f>
        <v>Slnd</v>
      </c>
      <c r="D165" s="1" t="str">
        <f ca="1">IFERROR(__xludf.DUMMYFUNCTION("""COMPUTED_VALUE"""),"21-7")</f>
        <v>21-7</v>
      </c>
      <c r="E165" s="1" t="str">
        <f ca="1">IFERROR(__xludf.DUMMYFUNCTION("""COMPUTED_VALUE"""),"+0.82")</f>
        <v>+0.82</v>
      </c>
      <c r="F165" s="1">
        <f ca="1">IFERROR(__xludf.DUMMYFUNCTION("""COMPUTED_VALUE"""),101.5)</f>
        <v>101.5</v>
      </c>
      <c r="G165" s="1">
        <f ca="1">IFERROR(__xludf.DUMMYFUNCTION("""COMPUTED_VALUE"""),179)</f>
        <v>179</v>
      </c>
      <c r="H165" s="1">
        <f ca="1">IFERROR(__xludf.DUMMYFUNCTION("""COMPUTED_VALUE"""),100.6)</f>
        <v>100.6</v>
      </c>
      <c r="I165" s="1">
        <f ca="1">IFERROR(__xludf.DUMMYFUNCTION("""COMPUTED_VALUE"""),136)</f>
        <v>136</v>
      </c>
      <c r="J165" s="1">
        <f ca="1">IFERROR(__xludf.DUMMYFUNCTION("""COMPUTED_VALUE"""),67.2)</f>
        <v>67.2</v>
      </c>
      <c r="K165" s="1">
        <f ca="1">IFERROR(__xludf.DUMMYFUNCTION("""COMPUTED_VALUE"""),158)</f>
        <v>158</v>
      </c>
      <c r="L165" s="1" t="str">
        <f ca="1">IFERROR(__xludf.DUMMYFUNCTION("""COMPUTED_VALUE"""),"+.088")</f>
        <v>+.088</v>
      </c>
      <c r="M165" s="1">
        <f ca="1">IFERROR(__xludf.DUMMYFUNCTION("""COMPUTED_VALUE"""),13)</f>
        <v>13</v>
      </c>
      <c r="N165" s="1">
        <f ca="1">IFERROR(__xludf.DUMMYFUNCTION("""COMPUTED_VALUE"""),-7.41)</f>
        <v>-7.41</v>
      </c>
      <c r="O165" s="1">
        <f ca="1">IFERROR(__xludf.DUMMYFUNCTION("""COMPUTED_VALUE"""),280)</f>
        <v>280</v>
      </c>
      <c r="P165" s="1">
        <f ca="1">IFERROR(__xludf.DUMMYFUNCTION("""COMPUTED_VALUE"""),97)</f>
        <v>97</v>
      </c>
      <c r="Q165" s="1">
        <f ca="1">IFERROR(__xludf.DUMMYFUNCTION("""COMPUTED_VALUE"""),296)</f>
        <v>296</v>
      </c>
      <c r="R165" s="1">
        <f ca="1">IFERROR(__xludf.DUMMYFUNCTION("""COMPUTED_VALUE"""),104.4)</f>
        <v>104.4</v>
      </c>
      <c r="S165" s="1">
        <f ca="1">IFERROR(__xludf.DUMMYFUNCTION("""COMPUTED_VALUE"""),246)</f>
        <v>246</v>
      </c>
      <c r="T165" s="1">
        <f ca="1">IFERROR(__xludf.DUMMYFUNCTION("""COMPUTED_VALUE"""),-2)</f>
        <v>-2</v>
      </c>
      <c r="U165" s="1">
        <f ca="1">IFERROR(__xludf.DUMMYFUNCTION("""COMPUTED_VALUE"""),204)</f>
        <v>204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IFERROR(__xludf.DUMMYFUNCTION("""COMPUTED_VALUE"""),"Brown")</f>
        <v>Brown</v>
      </c>
      <c r="C166" s="1" t="str">
        <f ca="1">IFERROR(__xludf.DUMMYFUNCTION("""COMPUTED_VALUE"""),"Ivy")</f>
        <v>Ivy</v>
      </c>
      <c r="D166" s="1" t="str">
        <f ca="1">IFERROR(__xludf.DUMMYFUNCTION("""COMPUTED_VALUE"""),"17-12")</f>
        <v>17-12</v>
      </c>
      <c r="E166" s="1" t="str">
        <f ca="1">IFERROR(__xludf.DUMMYFUNCTION("""COMPUTED_VALUE"""),"+0.76")</f>
        <v>+0.76</v>
      </c>
      <c r="F166" s="1">
        <f ca="1">IFERROR(__xludf.DUMMYFUNCTION("""COMPUTED_VALUE"""),105.6)</f>
        <v>105.6</v>
      </c>
      <c r="G166" s="1">
        <f ca="1">IFERROR(__xludf.DUMMYFUNCTION("""COMPUTED_VALUE"""),105)</f>
        <v>105</v>
      </c>
      <c r="H166" s="1">
        <f ca="1">IFERROR(__xludf.DUMMYFUNCTION("""COMPUTED_VALUE"""),104.8)</f>
        <v>104.8</v>
      </c>
      <c r="I166" s="1">
        <f ca="1">IFERROR(__xludf.DUMMYFUNCTION("""COMPUTED_VALUE"""),215)</f>
        <v>215</v>
      </c>
      <c r="J166" s="1">
        <f ca="1">IFERROR(__xludf.DUMMYFUNCTION("""COMPUTED_VALUE"""),70.6)</f>
        <v>70.599999999999994</v>
      </c>
      <c r="K166" s="1">
        <f ca="1">IFERROR(__xludf.DUMMYFUNCTION("""COMPUTED_VALUE"""),41)</f>
        <v>41</v>
      </c>
      <c r="L166" s="1" t="str">
        <f ca="1">IFERROR(__xludf.DUMMYFUNCTION("""COMPUTED_VALUE"""),"+.042")</f>
        <v>+.042</v>
      </c>
      <c r="M166" s="1">
        <f ca="1">IFERROR(__xludf.DUMMYFUNCTION("""COMPUTED_VALUE"""),70)</f>
        <v>70</v>
      </c>
      <c r="N166" s="1">
        <f ca="1">IFERROR(__xludf.DUMMYFUNCTION("""COMPUTED_VALUE"""),-2.43)</f>
        <v>-2.4300000000000002</v>
      </c>
      <c r="O166" s="1">
        <f ca="1">IFERROR(__xludf.DUMMYFUNCTION("""COMPUTED_VALUE"""),208)</f>
        <v>208</v>
      </c>
      <c r="P166" s="1">
        <f ca="1">IFERROR(__xludf.DUMMYFUNCTION("""COMPUTED_VALUE"""),100.7)</f>
        <v>100.7</v>
      </c>
      <c r="Q166" s="1">
        <f ca="1">IFERROR(__xludf.DUMMYFUNCTION("""COMPUTED_VALUE"""),215)</f>
        <v>215</v>
      </c>
      <c r="R166" s="1">
        <f ca="1">IFERROR(__xludf.DUMMYFUNCTION("""COMPUTED_VALUE"""),103.1)</f>
        <v>103.1</v>
      </c>
      <c r="S166" s="1">
        <f ca="1">IFERROR(__xludf.DUMMYFUNCTION("""COMPUTED_VALUE"""),190)</f>
        <v>190</v>
      </c>
      <c r="T166" s="1">
        <f ca="1">IFERROR(__xludf.DUMMYFUNCTION("""COMPUTED_VALUE"""),-0.2)</f>
        <v>-0.2</v>
      </c>
      <c r="U166" s="1">
        <f ca="1">IFERROR(__xludf.DUMMYFUNCTION("""COMPUTED_VALUE"""),157)</f>
        <v>157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IFERROR(__xludf.DUMMYFUNCTION("""COMPUTED_VALUE"""),"Iona")</f>
        <v>Iona</v>
      </c>
      <c r="C167" s="1" t="str">
        <f ca="1">IFERROR(__xludf.DUMMYFUNCTION("""COMPUTED_VALUE"""),"MAAC")</f>
        <v>MAAC</v>
      </c>
      <c r="D167" s="1" t="str">
        <f ca="1">IFERROR(__xludf.DUMMYFUNCTION("""COMPUTED_VALUE"""),"17-12")</f>
        <v>17-12</v>
      </c>
      <c r="E167" s="1" t="str">
        <f ca="1">IFERROR(__xludf.DUMMYFUNCTION("""COMPUTED_VALUE"""),"+0.55")</f>
        <v>+0.55</v>
      </c>
      <c r="F167" s="1">
        <f ca="1">IFERROR(__xludf.DUMMYFUNCTION("""COMPUTED_VALUE"""),102.2)</f>
        <v>102.2</v>
      </c>
      <c r="G167" s="1">
        <f ca="1">IFERROR(__xludf.DUMMYFUNCTION("""COMPUTED_VALUE"""),165)</f>
        <v>165</v>
      </c>
      <c r="H167" s="1">
        <f ca="1">IFERROR(__xludf.DUMMYFUNCTION("""COMPUTED_VALUE"""),101.7)</f>
        <v>101.7</v>
      </c>
      <c r="I167" s="1">
        <f ca="1">IFERROR(__xludf.DUMMYFUNCTION("""COMPUTED_VALUE"""),154)</f>
        <v>154</v>
      </c>
      <c r="J167" s="1">
        <f ca="1">IFERROR(__xludf.DUMMYFUNCTION("""COMPUTED_VALUE"""),69)</f>
        <v>69</v>
      </c>
      <c r="K167" s="1">
        <f ca="1">IFERROR(__xludf.DUMMYFUNCTION("""COMPUTED_VALUE"""),82)</f>
        <v>82</v>
      </c>
      <c r="L167" s="1">
        <f ca="1">IFERROR(__xludf.DUMMYFUNCTION("""COMPUTED_VALUE"""),-0.033)</f>
        <v>-3.3000000000000002E-2</v>
      </c>
      <c r="M167" s="1">
        <f ca="1">IFERROR(__xludf.DUMMYFUNCTION("""COMPUTED_VALUE"""),257)</f>
        <v>257</v>
      </c>
      <c r="N167" s="1">
        <f ca="1">IFERROR(__xludf.DUMMYFUNCTION("""COMPUTED_VALUE"""),-4.38)</f>
        <v>-4.38</v>
      </c>
      <c r="O167" s="1">
        <f ca="1">IFERROR(__xludf.DUMMYFUNCTION("""COMPUTED_VALUE"""),241)</f>
        <v>241</v>
      </c>
      <c r="P167" s="1">
        <f ca="1">IFERROR(__xludf.DUMMYFUNCTION("""COMPUTED_VALUE"""),100.7)</f>
        <v>100.7</v>
      </c>
      <c r="Q167" s="1">
        <f ca="1">IFERROR(__xludf.DUMMYFUNCTION("""COMPUTED_VALUE"""),214)</f>
        <v>214</v>
      </c>
      <c r="R167" s="1">
        <f ca="1">IFERROR(__xludf.DUMMYFUNCTION("""COMPUTED_VALUE"""),105)</f>
        <v>105</v>
      </c>
      <c r="S167" s="1">
        <f ca="1">IFERROR(__xludf.DUMMYFUNCTION("""COMPUTED_VALUE"""),276)</f>
        <v>276</v>
      </c>
      <c r="T167" s="1">
        <f ca="1">IFERROR(__xludf.DUMMYFUNCTION("""COMPUTED_VALUE"""),-3.76)</f>
        <v>-3.76</v>
      </c>
      <c r="U167" s="1">
        <f ca="1">IFERROR(__xludf.DUMMYFUNCTION("""COMPUTED_VALUE"""),248)</f>
        <v>248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IFERROR(__xludf.DUMMYFUNCTION("""COMPUTED_VALUE"""),"Arkansas St.")</f>
        <v>Arkansas St.</v>
      </c>
      <c r="C168" s="1" t="str">
        <f ca="1">IFERROR(__xludf.DUMMYFUNCTION("""COMPUTED_VALUE"""),"SB")</f>
        <v>SB</v>
      </c>
      <c r="D168" s="2">
        <f ca="1">IFERROR(__xludf.DUMMYFUNCTION("""COMPUTED_VALUE"""),44880)</f>
        <v>44880</v>
      </c>
      <c r="E168" s="1" t="str">
        <f ca="1">IFERROR(__xludf.DUMMYFUNCTION("""COMPUTED_VALUE"""),"+0.48")</f>
        <v>+0.48</v>
      </c>
      <c r="F168" s="1">
        <f ca="1">IFERROR(__xludf.DUMMYFUNCTION("""COMPUTED_VALUE"""),107.7)</f>
        <v>107.7</v>
      </c>
      <c r="G168" s="1">
        <f ca="1">IFERROR(__xludf.DUMMYFUNCTION("""COMPUTED_VALUE"""),77)</f>
        <v>77</v>
      </c>
      <c r="H168" s="1">
        <f ca="1">IFERROR(__xludf.DUMMYFUNCTION("""COMPUTED_VALUE"""),107.2)</f>
        <v>107.2</v>
      </c>
      <c r="I168" s="1">
        <f ca="1">IFERROR(__xludf.DUMMYFUNCTION("""COMPUTED_VALUE"""),256)</f>
        <v>256</v>
      </c>
      <c r="J168" s="1">
        <f ca="1">IFERROR(__xludf.DUMMYFUNCTION("""COMPUTED_VALUE"""),66.5)</f>
        <v>66.5</v>
      </c>
      <c r="K168" s="1">
        <f ca="1">IFERROR(__xludf.DUMMYFUNCTION("""COMPUTED_VALUE"""),185)</f>
        <v>185</v>
      </c>
      <c r="L168" s="1">
        <f ca="1">IFERROR(__xludf.DUMMYFUNCTION("""COMPUTED_VALUE"""),-0.101)</f>
        <v>-0.10100000000000001</v>
      </c>
      <c r="M168" s="1">
        <f ca="1">IFERROR(__xludf.DUMMYFUNCTION("""COMPUTED_VALUE"""),318)</f>
        <v>318</v>
      </c>
      <c r="N168" s="1">
        <f ca="1">IFERROR(__xludf.DUMMYFUNCTION("""COMPUTED_VALUE"""),-0.48)</f>
        <v>-0.48</v>
      </c>
      <c r="O168" s="1">
        <f ca="1">IFERROR(__xludf.DUMMYFUNCTION("""COMPUTED_VALUE"""),158)</f>
        <v>158</v>
      </c>
      <c r="P168" s="1">
        <f ca="1">IFERROR(__xludf.DUMMYFUNCTION("""COMPUTED_VALUE"""),101.6)</f>
        <v>101.6</v>
      </c>
      <c r="Q168" s="1">
        <f ca="1">IFERROR(__xludf.DUMMYFUNCTION("""COMPUTED_VALUE"""),186)</f>
        <v>186</v>
      </c>
      <c r="R168" s="1">
        <f ca="1">IFERROR(__xludf.DUMMYFUNCTION("""COMPUTED_VALUE"""),102.1)</f>
        <v>102.1</v>
      </c>
      <c r="S168" s="1">
        <f ca="1">IFERROR(__xludf.DUMMYFUNCTION("""COMPUTED_VALUE"""),141)</f>
        <v>141</v>
      </c>
      <c r="T168" s="1">
        <f ca="1">IFERROR(__xludf.DUMMYFUNCTION("""COMPUTED_VALUE"""),-4.53)</f>
        <v>-4.53</v>
      </c>
      <c r="U168" s="1">
        <f ca="1">IFERROR(__xludf.DUMMYFUNCTION("""COMPUTED_VALUE"""),264)</f>
        <v>264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IFERROR(__xludf.DUMMYFUNCTION("""COMPUTED_VALUE"""),"IUPUI16")</f>
        <v>IUPUI16</v>
      </c>
      <c r="C171" s="1" t="str">
        <f ca="1">IFERROR(__xludf.DUMMYFUNCTION("""COMPUTED_VALUE"""),"MCon")</f>
        <v>MCon</v>
      </c>
      <c r="D171" s="1" t="str">
        <f ca="1">IFERROR(__xludf.DUMMYFUNCTION("""COMPUTED_VALUE"""),"19-14")</f>
        <v>19-14</v>
      </c>
      <c r="E171" s="1" t="str">
        <f ca="1">IFERROR(__xludf.DUMMYFUNCTION("""COMPUTED_VALUE"""),"+0.46")</f>
        <v>+0.46</v>
      </c>
      <c r="F171" s="1">
        <f ca="1">IFERROR(__xludf.DUMMYFUNCTION("""COMPUTED_VALUE"""),102.9)</f>
        <v>102.9</v>
      </c>
      <c r="G171" s="1">
        <f ca="1">IFERROR(__xludf.DUMMYFUNCTION("""COMPUTED_VALUE"""),153)</f>
        <v>153</v>
      </c>
      <c r="H171" s="1">
        <f ca="1">IFERROR(__xludf.DUMMYFUNCTION("""COMPUTED_VALUE"""),102.5)</f>
        <v>102.5</v>
      </c>
      <c r="I171" s="1">
        <f ca="1">IFERROR(__xludf.DUMMYFUNCTION("""COMPUTED_VALUE"""),171)</f>
        <v>171</v>
      </c>
      <c r="J171" s="1">
        <f ca="1">IFERROR(__xludf.DUMMYFUNCTION("""COMPUTED_VALUE"""),67)</f>
        <v>67</v>
      </c>
      <c r="K171" s="1">
        <f ca="1">IFERROR(__xludf.DUMMYFUNCTION("""COMPUTED_VALUE"""),164)</f>
        <v>164</v>
      </c>
      <c r="L171" s="1" t="str">
        <f ca="1">IFERROR(__xludf.DUMMYFUNCTION("""COMPUTED_VALUE"""),"+.071")</f>
        <v>+.071</v>
      </c>
      <c r="M171" s="1">
        <f ca="1">IFERROR(__xludf.DUMMYFUNCTION("""COMPUTED_VALUE"""),27)</f>
        <v>27</v>
      </c>
      <c r="N171" s="1">
        <f ca="1">IFERROR(__xludf.DUMMYFUNCTION("""COMPUTED_VALUE"""),-2.19)</f>
        <v>-2.19</v>
      </c>
      <c r="O171" s="1">
        <f ca="1">IFERROR(__xludf.DUMMYFUNCTION("""COMPUTED_VALUE"""),201)</f>
        <v>201</v>
      </c>
      <c r="P171" s="1">
        <f ca="1">IFERROR(__xludf.DUMMYFUNCTION("""COMPUTED_VALUE"""),102.6)</f>
        <v>102.6</v>
      </c>
      <c r="Q171" s="1">
        <f ca="1">IFERROR(__xludf.DUMMYFUNCTION("""COMPUTED_VALUE"""),157)</f>
        <v>157</v>
      </c>
      <c r="R171" s="1">
        <f ca="1">IFERROR(__xludf.DUMMYFUNCTION("""COMPUTED_VALUE"""),104.8)</f>
        <v>104.8</v>
      </c>
      <c r="S171" s="1">
        <f ca="1">IFERROR(__xludf.DUMMYFUNCTION("""COMPUTED_VALUE"""),265)</f>
        <v>265</v>
      </c>
      <c r="T171" s="1" t="str">
        <f ca="1">IFERROR(__xludf.DUMMYFUNCTION("""COMPUTED_VALUE"""),"+2.79")</f>
        <v>+2.79</v>
      </c>
      <c r="U171" s="1">
        <f ca="1">IFERROR(__xludf.DUMMYFUNCTION("""COMPUTED_VALUE"""),90)</f>
        <v>90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IFERROR(__xludf.DUMMYFUNCTION("""COMPUTED_VALUE"""),"Old Dominion")</f>
        <v>Old Dominion</v>
      </c>
      <c r="C172" s="1" t="str">
        <f ca="1">IFERROR(__xludf.DUMMYFUNCTION("""COMPUTED_VALUE"""),"CAA")</f>
        <v>CAA</v>
      </c>
      <c r="D172" s="2">
        <f ca="1">IFERROR(__xludf.DUMMYFUNCTION("""COMPUTED_VALUE"""),44910)</f>
        <v>44910</v>
      </c>
      <c r="E172" s="1" t="str">
        <f ca="1">IFERROR(__xludf.DUMMYFUNCTION("""COMPUTED_VALUE"""),"+0.30")</f>
        <v>+0.30</v>
      </c>
      <c r="F172" s="1">
        <f ca="1">IFERROR(__xludf.DUMMYFUNCTION("""COMPUTED_VALUE"""),99.2)</f>
        <v>99.2</v>
      </c>
      <c r="G172" s="1">
        <f ca="1">IFERROR(__xludf.DUMMYFUNCTION("""COMPUTED_VALUE"""),219)</f>
        <v>219</v>
      </c>
      <c r="H172" s="1">
        <f ca="1">IFERROR(__xludf.DUMMYFUNCTION("""COMPUTED_VALUE"""),98.9)</f>
        <v>98.9</v>
      </c>
      <c r="I172" s="1">
        <f ca="1">IFERROR(__xludf.DUMMYFUNCTION("""COMPUTED_VALUE"""),103)</f>
        <v>103</v>
      </c>
      <c r="J172" s="1">
        <f ca="1">IFERROR(__xludf.DUMMYFUNCTION("""COMPUTED_VALUE"""),66.6)</f>
        <v>66.599999999999994</v>
      </c>
      <c r="K172" s="1">
        <f ca="1">IFERROR(__xludf.DUMMYFUNCTION("""COMPUTED_VALUE"""),182)</f>
        <v>182</v>
      </c>
      <c r="L172" s="1">
        <f ca="1">IFERROR(__xludf.DUMMYFUNCTION("""COMPUTED_VALUE"""),-0.113)</f>
        <v>-0.113</v>
      </c>
      <c r="M172" s="1">
        <f ca="1">IFERROR(__xludf.DUMMYFUNCTION("""COMPUTED_VALUE"""),320)</f>
        <v>320</v>
      </c>
      <c r="N172" s="1">
        <f ca="1">IFERROR(__xludf.DUMMYFUNCTION("""COMPUTED_VALUE"""),-2.22)</f>
        <v>-2.2200000000000002</v>
      </c>
      <c r="O172" s="1">
        <f ca="1">IFERROR(__xludf.DUMMYFUNCTION("""COMPUTED_VALUE"""),203)</f>
        <v>203</v>
      </c>
      <c r="P172" s="1">
        <f ca="1">IFERROR(__xludf.DUMMYFUNCTION("""COMPUTED_VALUE"""),100)</f>
        <v>100</v>
      </c>
      <c r="Q172" s="1">
        <f ca="1">IFERROR(__xludf.DUMMYFUNCTION("""COMPUTED_VALUE"""),232)</f>
        <v>232</v>
      </c>
      <c r="R172" s="1">
        <f ca="1">IFERROR(__xludf.DUMMYFUNCTION("""COMPUTED_VALUE"""),102.2)</f>
        <v>102.2</v>
      </c>
      <c r="S172" s="1">
        <f ca="1">IFERROR(__xludf.DUMMYFUNCTION("""COMPUTED_VALUE"""),148)</f>
        <v>148</v>
      </c>
      <c r="T172" s="1">
        <f ca="1">IFERROR(__xludf.DUMMYFUNCTION("""COMPUTED_VALUE"""),-1.4)</f>
        <v>-1.4</v>
      </c>
      <c r="U172" s="1">
        <f ca="1">IFERROR(__xludf.DUMMYFUNCTION("""COMPUTED_VALUE"""),186)</f>
        <v>186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IFERROR(__xludf.DUMMYFUNCTION("""COMPUTED_VALUE"""),"La Salle")</f>
        <v>La Salle</v>
      </c>
      <c r="C173" s="1" t="str">
        <f ca="1">IFERROR(__xludf.DUMMYFUNCTION("""COMPUTED_VALUE"""),"A10")</f>
        <v>A10</v>
      </c>
      <c r="D173" s="2">
        <f ca="1">IFERROR(__xludf.DUMMYFUNCTION("""COMPUTED_VALUE"""),44912)</f>
        <v>44912</v>
      </c>
      <c r="E173" s="1" t="str">
        <f ca="1">IFERROR(__xludf.DUMMYFUNCTION("""COMPUTED_VALUE"""),"+0.27")</f>
        <v>+0.27</v>
      </c>
      <c r="F173" s="1">
        <f ca="1">IFERROR(__xludf.DUMMYFUNCTION("""COMPUTED_VALUE"""),102.4)</f>
        <v>102.4</v>
      </c>
      <c r="G173" s="1">
        <f ca="1">IFERROR(__xludf.DUMMYFUNCTION("""COMPUTED_VALUE"""),160)</f>
        <v>160</v>
      </c>
      <c r="H173" s="1">
        <f ca="1">IFERROR(__xludf.DUMMYFUNCTION("""COMPUTED_VALUE"""),102.1)</f>
        <v>102.1</v>
      </c>
      <c r="I173" s="1">
        <f ca="1">IFERROR(__xludf.DUMMYFUNCTION("""COMPUTED_VALUE"""),164)</f>
        <v>164</v>
      </c>
      <c r="J173" s="1">
        <f ca="1">IFERROR(__xludf.DUMMYFUNCTION("""COMPUTED_VALUE"""),67.6)</f>
        <v>67.599999999999994</v>
      </c>
      <c r="K173" s="1">
        <f ca="1">IFERROR(__xludf.DUMMYFUNCTION("""COMPUTED_VALUE"""),137)</f>
        <v>137</v>
      </c>
      <c r="L173" s="1" t="str">
        <f ca="1">IFERROR(__xludf.DUMMYFUNCTION("""COMPUTED_VALUE"""),"+.001")</f>
        <v>+.001</v>
      </c>
      <c r="M173" s="1">
        <f ca="1">IFERROR(__xludf.DUMMYFUNCTION("""COMPUTED_VALUE"""),165)</f>
        <v>165</v>
      </c>
      <c r="N173" s="1" t="str">
        <f ca="1">IFERROR(__xludf.DUMMYFUNCTION("""COMPUTED_VALUE"""),"+3.98")</f>
        <v>+3.98</v>
      </c>
      <c r="O173" s="1">
        <f ca="1">IFERROR(__xludf.DUMMYFUNCTION("""COMPUTED_VALUE"""),92)</f>
        <v>92</v>
      </c>
      <c r="P173" s="1">
        <f ca="1">IFERROR(__xludf.DUMMYFUNCTION("""COMPUTED_VALUE"""),104.3)</f>
        <v>104.3</v>
      </c>
      <c r="Q173" s="1">
        <f ca="1">IFERROR(__xludf.DUMMYFUNCTION("""COMPUTED_VALUE"""),104)</f>
        <v>104</v>
      </c>
      <c r="R173" s="1">
        <f ca="1">IFERROR(__xludf.DUMMYFUNCTION("""COMPUTED_VALUE"""),100.3)</f>
        <v>100.3</v>
      </c>
      <c r="S173" s="1">
        <f ca="1">IFERROR(__xludf.DUMMYFUNCTION("""COMPUTED_VALUE"""),93)</f>
        <v>93</v>
      </c>
      <c r="T173" s="1">
        <f ca="1">IFERROR(__xludf.DUMMYFUNCTION("""COMPUTED_VALUE"""),-0.37)</f>
        <v>-0.37</v>
      </c>
      <c r="U173" s="1">
        <f ca="1">IFERROR(__xludf.DUMMYFUNCTION("""COMPUTED_VALUE"""),160)</f>
        <v>160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IFERROR(__xludf.DUMMYFUNCTION("""COMPUTED_VALUE"""),"East Carolina")</f>
        <v>East Carolina</v>
      </c>
      <c r="C174" s="1" t="str">
        <f ca="1">IFERROR(__xludf.DUMMYFUNCTION("""COMPUTED_VALUE"""),"CUSA")</f>
        <v>CUSA</v>
      </c>
      <c r="D174" s="2">
        <f ca="1">IFERROR(__xludf.DUMMYFUNCTION("""COMPUTED_VALUE"""),44849)</f>
        <v>44849</v>
      </c>
      <c r="E174" s="1" t="str">
        <f ca="1">IFERROR(__xludf.DUMMYFUNCTION("""COMPUTED_VALUE"""),"+0.22")</f>
        <v>+0.22</v>
      </c>
      <c r="F174" s="1">
        <f ca="1">IFERROR(__xludf.DUMMYFUNCTION("""COMPUTED_VALUE"""),99.3)</f>
        <v>99.3</v>
      </c>
      <c r="G174" s="1">
        <f ca="1">IFERROR(__xludf.DUMMYFUNCTION("""COMPUTED_VALUE"""),216)</f>
        <v>216</v>
      </c>
      <c r="H174" s="1">
        <f ca="1">IFERROR(__xludf.DUMMYFUNCTION("""COMPUTED_VALUE"""),99.1)</f>
        <v>99.1</v>
      </c>
      <c r="I174" s="1">
        <f ca="1">IFERROR(__xludf.DUMMYFUNCTION("""COMPUTED_VALUE"""),107)</f>
        <v>107</v>
      </c>
      <c r="J174" s="1">
        <f ca="1">IFERROR(__xludf.DUMMYFUNCTION("""COMPUTED_VALUE"""),65.2)</f>
        <v>65.2</v>
      </c>
      <c r="K174" s="1">
        <f ca="1">IFERROR(__xludf.DUMMYFUNCTION("""COMPUTED_VALUE"""),249)</f>
        <v>249</v>
      </c>
      <c r="L174" s="1">
        <f ca="1">IFERROR(__xludf.DUMMYFUNCTION("""COMPUTED_VALUE"""),-0.018)</f>
        <v>-1.7999999999999999E-2</v>
      </c>
      <c r="M174" s="1">
        <f ca="1">IFERROR(__xludf.DUMMYFUNCTION("""COMPUTED_VALUE"""),210)</f>
        <v>210</v>
      </c>
      <c r="N174" s="1" t="str">
        <f ca="1">IFERROR(__xludf.DUMMYFUNCTION("""COMPUTED_VALUE"""),"+5.61")</f>
        <v>+5.61</v>
      </c>
      <c r="O174" s="1">
        <f ca="1">IFERROR(__xludf.DUMMYFUNCTION("""COMPUTED_VALUE"""),71)</f>
        <v>71</v>
      </c>
      <c r="P174" s="1">
        <f ca="1">IFERROR(__xludf.DUMMYFUNCTION("""COMPUTED_VALUE"""),105.2)</f>
        <v>105.2</v>
      </c>
      <c r="Q174" s="1">
        <f ca="1">IFERROR(__xludf.DUMMYFUNCTION("""COMPUTED_VALUE"""),70)</f>
        <v>70</v>
      </c>
      <c r="R174" s="1">
        <f ca="1">IFERROR(__xludf.DUMMYFUNCTION("""COMPUTED_VALUE"""),99.6)</f>
        <v>99.6</v>
      </c>
      <c r="S174" s="1">
        <f ca="1">IFERROR(__xludf.DUMMYFUNCTION("""COMPUTED_VALUE"""),76)</f>
        <v>76</v>
      </c>
      <c r="T174" s="1">
        <f ca="1">IFERROR(__xludf.DUMMYFUNCTION("""COMPUTED_VALUE"""),-5.49)</f>
        <v>-5.49</v>
      </c>
      <c r="U174" s="1">
        <f ca="1">IFERROR(__xludf.DUMMYFUNCTION("""COMPUTED_VALUE"""),286)</f>
        <v>286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IFERROR(__xludf.DUMMYFUNCTION("""COMPUTED_VALUE"""),"Belmont")</f>
        <v>Belmont</v>
      </c>
      <c r="C175" s="1" t="str">
        <f ca="1">IFERROR(__xludf.DUMMYFUNCTION("""COMPUTED_VALUE"""),"ASun")</f>
        <v>ASun</v>
      </c>
      <c r="D175" s="1" t="str">
        <f ca="1">IFERROR(__xludf.DUMMYFUNCTION("""COMPUTED_VALUE"""),"17-12")</f>
        <v>17-12</v>
      </c>
      <c r="E175" s="1" t="str">
        <f ca="1">IFERROR(__xludf.DUMMYFUNCTION("""COMPUTED_VALUE"""),"+0.18")</f>
        <v>+0.18</v>
      </c>
      <c r="F175" s="1">
        <f ca="1">IFERROR(__xludf.DUMMYFUNCTION("""COMPUTED_VALUE"""),103.2)</f>
        <v>103.2</v>
      </c>
      <c r="G175" s="1">
        <f ca="1">IFERROR(__xludf.DUMMYFUNCTION("""COMPUTED_VALUE"""),149)</f>
        <v>149</v>
      </c>
      <c r="H175" s="1">
        <f ca="1">IFERROR(__xludf.DUMMYFUNCTION("""COMPUTED_VALUE"""),103)</f>
        <v>103</v>
      </c>
      <c r="I175" s="1">
        <f ca="1">IFERROR(__xludf.DUMMYFUNCTION("""COMPUTED_VALUE"""),180)</f>
        <v>180</v>
      </c>
      <c r="J175" s="1">
        <f ca="1">IFERROR(__xludf.DUMMYFUNCTION("""COMPUTED_VALUE"""),67.2)</f>
        <v>67.2</v>
      </c>
      <c r="K175" s="1">
        <f ca="1">IFERROR(__xludf.DUMMYFUNCTION("""COMPUTED_VALUE"""),155)</f>
        <v>155</v>
      </c>
      <c r="L175" s="1" t="str">
        <f ca="1">IFERROR(__xludf.DUMMYFUNCTION("""COMPUTED_VALUE"""),"+.020")</f>
        <v>+.020</v>
      </c>
      <c r="M175" s="1">
        <f ca="1">IFERROR(__xludf.DUMMYFUNCTION("""COMPUTED_VALUE"""),118)</f>
        <v>118</v>
      </c>
      <c r="N175" s="1">
        <f ca="1">IFERROR(__xludf.DUMMYFUNCTION("""COMPUTED_VALUE"""),-3.17)</f>
        <v>-3.17</v>
      </c>
      <c r="O175" s="1">
        <f ca="1">IFERROR(__xludf.DUMMYFUNCTION("""COMPUTED_VALUE"""),220)</f>
        <v>220</v>
      </c>
      <c r="P175" s="1">
        <f ca="1">IFERROR(__xludf.DUMMYFUNCTION("""COMPUTED_VALUE"""),101.1)</f>
        <v>101.1</v>
      </c>
      <c r="Q175" s="1">
        <f ca="1">IFERROR(__xludf.DUMMYFUNCTION("""COMPUTED_VALUE"""),197)</f>
        <v>197</v>
      </c>
      <c r="R175" s="1">
        <f ca="1">IFERROR(__xludf.DUMMYFUNCTION("""COMPUTED_VALUE"""),104.3)</f>
        <v>104.3</v>
      </c>
      <c r="S175" s="1">
        <f ca="1">IFERROR(__xludf.DUMMYFUNCTION("""COMPUTED_VALUE"""),239)</f>
        <v>239</v>
      </c>
      <c r="T175" s="1" t="str">
        <f ca="1">IFERROR(__xludf.DUMMYFUNCTION("""COMPUTED_VALUE"""),"+5.99")</f>
        <v>+5.99</v>
      </c>
      <c r="U175" s="1">
        <f ca="1">IFERROR(__xludf.DUMMYFUNCTION("""COMPUTED_VALUE"""),40)</f>
        <v>40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IFERROR(__xludf.DUMMYFUNCTION("""COMPUTED_VALUE"""),"Southern Miss")</f>
        <v>Southern Miss</v>
      </c>
      <c r="C176" s="1" t="str">
        <f ca="1">IFERROR(__xludf.DUMMYFUNCTION("""COMPUTED_VALUE"""),"CUSA")</f>
        <v>CUSA</v>
      </c>
      <c r="D176" s="1" t="str">
        <f ca="1">IFERROR(__xludf.DUMMYFUNCTION("""COMPUTED_VALUE"""),"13-16")</f>
        <v>13-16</v>
      </c>
      <c r="E176" s="1" t="str">
        <f ca="1">IFERROR(__xludf.DUMMYFUNCTION("""COMPUTED_VALUE"""),"+0.16")</f>
        <v>+0.16</v>
      </c>
      <c r="F176" s="1">
        <f ca="1">IFERROR(__xludf.DUMMYFUNCTION("""COMPUTED_VALUE"""),98.9)</f>
        <v>98.9</v>
      </c>
      <c r="G176" s="1">
        <f ca="1">IFERROR(__xludf.DUMMYFUNCTION("""COMPUTED_VALUE"""),224)</f>
        <v>224</v>
      </c>
      <c r="H176" s="1">
        <f ca="1">IFERROR(__xludf.DUMMYFUNCTION("""COMPUTED_VALUE"""),98.8)</f>
        <v>98.8</v>
      </c>
      <c r="I176" s="1">
        <f ca="1">IFERROR(__xludf.DUMMYFUNCTION("""COMPUTED_VALUE"""),101)</f>
        <v>101</v>
      </c>
      <c r="J176" s="1">
        <f ca="1">IFERROR(__xludf.DUMMYFUNCTION("""COMPUTED_VALUE"""),67.4)</f>
        <v>67.400000000000006</v>
      </c>
      <c r="K176" s="1">
        <f ca="1">IFERROR(__xludf.DUMMYFUNCTION("""COMPUTED_VALUE"""),147)</f>
        <v>147</v>
      </c>
      <c r="L176" s="1" t="str">
        <f ca="1">IFERROR(__xludf.DUMMYFUNCTION("""COMPUTED_VALUE"""),"+.049")</f>
        <v>+.049</v>
      </c>
      <c r="M176" s="1">
        <f ca="1">IFERROR(__xludf.DUMMYFUNCTION("""COMPUTED_VALUE"""),60)</f>
        <v>60</v>
      </c>
      <c r="N176" s="1" t="str">
        <f ca="1">IFERROR(__xludf.DUMMYFUNCTION("""COMPUTED_VALUE"""),"+3.62")</f>
        <v>+3.62</v>
      </c>
      <c r="O176" s="1">
        <f ca="1">IFERROR(__xludf.DUMMYFUNCTION("""COMPUTED_VALUE"""),98)</f>
        <v>98</v>
      </c>
      <c r="P176" s="1">
        <f ca="1">IFERROR(__xludf.DUMMYFUNCTION("""COMPUTED_VALUE"""),103.5)</f>
        <v>103.5</v>
      </c>
      <c r="Q176" s="1">
        <f ca="1">IFERROR(__xludf.DUMMYFUNCTION("""COMPUTED_VALUE"""),131)</f>
        <v>131</v>
      </c>
      <c r="R176" s="1">
        <f ca="1">IFERROR(__xludf.DUMMYFUNCTION("""COMPUTED_VALUE"""),99.8)</f>
        <v>99.8</v>
      </c>
      <c r="S176" s="1">
        <f ca="1">IFERROR(__xludf.DUMMYFUNCTION("""COMPUTED_VALUE"""),84)</f>
        <v>84</v>
      </c>
      <c r="T176" s="1">
        <f ca="1">IFERROR(__xludf.DUMMYFUNCTION("""COMPUTED_VALUE"""),-1.79)</f>
        <v>-1.79</v>
      </c>
      <c r="U176" s="1">
        <f ca="1">IFERROR(__xludf.DUMMYFUNCTION("""COMPUTED_VALUE"""),197)</f>
        <v>197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IFERROR(__xludf.DUMMYFUNCTION("""COMPUTED_VALUE"""),"Northwestern")</f>
        <v>Northwestern</v>
      </c>
      <c r="C177" s="1" t="str">
        <f ca="1">IFERROR(__xludf.DUMMYFUNCTION("""COMPUTED_VALUE"""),"B10")</f>
        <v>B10</v>
      </c>
      <c r="D177" s="2">
        <f ca="1">IFERROR(__xludf.DUMMYFUNCTION("""COMPUTED_VALUE"""),44912)</f>
        <v>44912</v>
      </c>
      <c r="E177" s="1" t="str">
        <f ca="1">IFERROR(__xludf.DUMMYFUNCTION("""COMPUTED_VALUE"""),"+0.05")</f>
        <v>+0.05</v>
      </c>
      <c r="F177" s="1">
        <f ca="1">IFERROR(__xludf.DUMMYFUNCTION("""COMPUTED_VALUE"""),105)</f>
        <v>105</v>
      </c>
      <c r="G177" s="1">
        <f ca="1">IFERROR(__xludf.DUMMYFUNCTION("""COMPUTED_VALUE"""),117)</f>
        <v>117</v>
      </c>
      <c r="H177" s="1">
        <f ca="1">IFERROR(__xludf.DUMMYFUNCTION("""COMPUTED_VALUE"""),104.9)</f>
        <v>104.9</v>
      </c>
      <c r="I177" s="1">
        <f ca="1">IFERROR(__xludf.DUMMYFUNCTION("""COMPUTED_VALUE"""),218)</f>
        <v>218</v>
      </c>
      <c r="J177" s="1">
        <f ca="1">IFERROR(__xludf.DUMMYFUNCTION("""COMPUTED_VALUE"""),60.4)</f>
        <v>60.4</v>
      </c>
      <c r="K177" s="1">
        <f ca="1">IFERROR(__xludf.DUMMYFUNCTION("""COMPUTED_VALUE"""),317)</f>
        <v>317</v>
      </c>
      <c r="L177" s="1">
        <f ca="1">IFERROR(__xludf.DUMMYFUNCTION("""COMPUTED_VALUE"""),-0.003)</f>
        <v>-3.0000000000000001E-3</v>
      </c>
      <c r="M177" s="1">
        <f ca="1">IFERROR(__xludf.DUMMYFUNCTION("""COMPUTED_VALUE"""),169)</f>
        <v>169</v>
      </c>
      <c r="N177" s="1" t="str">
        <f ca="1">IFERROR(__xludf.DUMMYFUNCTION("""COMPUTED_VALUE"""),"+4.99")</f>
        <v>+4.99</v>
      </c>
      <c r="O177" s="1">
        <f ca="1">IFERROR(__xludf.DUMMYFUNCTION("""COMPUTED_VALUE"""),82)</f>
        <v>82</v>
      </c>
      <c r="P177" s="1">
        <f ca="1">IFERROR(__xludf.DUMMYFUNCTION("""COMPUTED_VALUE"""),104.7)</f>
        <v>104.7</v>
      </c>
      <c r="Q177" s="1">
        <f ca="1">IFERROR(__xludf.DUMMYFUNCTION("""COMPUTED_VALUE"""),83)</f>
        <v>83</v>
      </c>
      <c r="R177" s="1">
        <f ca="1">IFERROR(__xludf.DUMMYFUNCTION("""COMPUTED_VALUE"""),99.7)</f>
        <v>99.7</v>
      </c>
      <c r="S177" s="1">
        <f ca="1">IFERROR(__xludf.DUMMYFUNCTION("""COMPUTED_VALUE"""),82)</f>
        <v>82</v>
      </c>
      <c r="T177" s="1">
        <f ca="1">IFERROR(__xludf.DUMMYFUNCTION("""COMPUTED_VALUE"""),-11.03)</f>
        <v>-11.03</v>
      </c>
      <c r="U177" s="1">
        <f ca="1">IFERROR(__xludf.DUMMYFUNCTION("""COMPUTED_VALUE"""),319)</f>
        <v>319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IFERROR(__xludf.DUMMYFUNCTION("""COMPUTED_VALUE"""),"Ohio")</f>
        <v>Ohio</v>
      </c>
      <c r="C178" s="1" t="str">
        <f ca="1">IFERROR(__xludf.DUMMYFUNCTION("""COMPUTED_VALUE"""),"MAC")</f>
        <v>MAC</v>
      </c>
      <c r="D178" s="1" t="str">
        <f ca="1">IFERROR(__xludf.DUMMYFUNCTION("""COMPUTED_VALUE"""),"14-16")</f>
        <v>14-16</v>
      </c>
      <c r="E178" s="1">
        <f ca="1">IFERROR(__xludf.DUMMYFUNCTION("""COMPUTED_VALUE"""),-0.22)</f>
        <v>-0.22</v>
      </c>
      <c r="F178" s="1">
        <f ca="1">IFERROR(__xludf.DUMMYFUNCTION("""COMPUTED_VALUE"""),104.5)</f>
        <v>104.5</v>
      </c>
      <c r="G178" s="1">
        <f ca="1">IFERROR(__xludf.DUMMYFUNCTION("""COMPUTED_VALUE"""),124)</f>
        <v>124</v>
      </c>
      <c r="H178" s="1">
        <f ca="1">IFERROR(__xludf.DUMMYFUNCTION("""COMPUTED_VALUE"""),104.7)</f>
        <v>104.7</v>
      </c>
      <c r="I178" s="1">
        <f ca="1">IFERROR(__xludf.DUMMYFUNCTION("""COMPUTED_VALUE"""),212)</f>
        <v>212</v>
      </c>
      <c r="J178" s="1">
        <f ca="1">IFERROR(__xludf.DUMMYFUNCTION("""COMPUTED_VALUE"""),65.6)</f>
        <v>65.599999999999994</v>
      </c>
      <c r="K178" s="1">
        <f ca="1">IFERROR(__xludf.DUMMYFUNCTION("""COMPUTED_VALUE"""),229)</f>
        <v>229</v>
      </c>
      <c r="L178" s="1" t="str">
        <f ca="1">IFERROR(__xludf.DUMMYFUNCTION("""COMPUTED_VALUE"""),"+.090")</f>
        <v>+.090</v>
      </c>
      <c r="M178" s="1">
        <f ca="1">IFERROR(__xludf.DUMMYFUNCTION("""COMPUTED_VALUE"""),12)</f>
        <v>12</v>
      </c>
      <c r="N178" s="1" t="str">
        <f ca="1">IFERROR(__xludf.DUMMYFUNCTION("""COMPUTED_VALUE"""),"+3.25")</f>
        <v>+3.25</v>
      </c>
      <c r="O178" s="1">
        <f ca="1">IFERROR(__xludf.DUMMYFUNCTION("""COMPUTED_VALUE"""),104)</f>
        <v>104</v>
      </c>
      <c r="P178" s="1">
        <f ca="1">IFERROR(__xludf.DUMMYFUNCTION("""COMPUTED_VALUE"""),105.3)</f>
        <v>105.3</v>
      </c>
      <c r="Q178" s="1">
        <f ca="1">IFERROR(__xludf.DUMMYFUNCTION("""COMPUTED_VALUE"""),68)</f>
        <v>68</v>
      </c>
      <c r="R178" s="1">
        <f ca="1">IFERROR(__xludf.DUMMYFUNCTION("""COMPUTED_VALUE"""),102.1)</f>
        <v>102.1</v>
      </c>
      <c r="S178" s="1">
        <f ca="1">IFERROR(__xludf.DUMMYFUNCTION("""COMPUTED_VALUE"""),143)</f>
        <v>143</v>
      </c>
      <c r="T178" s="1" t="str">
        <f ca="1">IFERROR(__xludf.DUMMYFUNCTION("""COMPUTED_VALUE"""),"+10.46")</f>
        <v>+10.46</v>
      </c>
      <c r="U178" s="1">
        <f ca="1">IFERROR(__xludf.DUMMYFUNCTION("""COMPUTED_VALUE"""),17)</f>
        <v>17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IFERROR(__xludf.DUMMYFUNCTION("""COMPUTED_VALUE"""),"Ball St.")</f>
        <v>Ball St.</v>
      </c>
      <c r="C179" s="1" t="str">
        <f ca="1">IFERROR(__xludf.DUMMYFUNCTION("""COMPUTED_VALUE"""),"MAC")</f>
        <v>MAC</v>
      </c>
      <c r="D179" s="1" t="str">
        <f ca="1">IFERROR(__xludf.DUMMYFUNCTION("""COMPUTED_VALUE"""),"13-17")</f>
        <v>13-17</v>
      </c>
      <c r="E179" s="1">
        <f ca="1">IFERROR(__xludf.DUMMYFUNCTION("""COMPUTED_VALUE"""),-0.35)</f>
        <v>-0.35</v>
      </c>
      <c r="F179" s="1">
        <f ca="1">IFERROR(__xludf.DUMMYFUNCTION("""COMPUTED_VALUE"""),106.5)</f>
        <v>106.5</v>
      </c>
      <c r="G179" s="1">
        <f ca="1">IFERROR(__xludf.DUMMYFUNCTION("""COMPUTED_VALUE"""),94)</f>
        <v>94</v>
      </c>
      <c r="H179" s="1">
        <f ca="1">IFERROR(__xludf.DUMMYFUNCTION("""COMPUTED_VALUE"""),106.8)</f>
        <v>106.8</v>
      </c>
      <c r="I179" s="1">
        <f ca="1">IFERROR(__xludf.DUMMYFUNCTION("""COMPUTED_VALUE"""),251)</f>
        <v>251</v>
      </c>
      <c r="J179" s="1">
        <f ca="1">IFERROR(__xludf.DUMMYFUNCTION("""COMPUTED_VALUE"""),70.1)</f>
        <v>70.099999999999994</v>
      </c>
      <c r="K179" s="1">
        <f ca="1">IFERROR(__xludf.DUMMYFUNCTION("""COMPUTED_VALUE"""),54)</f>
        <v>54</v>
      </c>
      <c r="L179" s="1" t="str">
        <f ca="1">IFERROR(__xludf.DUMMYFUNCTION("""COMPUTED_VALUE"""),"+.012")</f>
        <v>+.012</v>
      </c>
      <c r="M179" s="1">
        <f ca="1">IFERROR(__xludf.DUMMYFUNCTION("""COMPUTED_VALUE"""),135)</f>
        <v>135</v>
      </c>
      <c r="N179" s="1" t="str">
        <f ca="1">IFERROR(__xludf.DUMMYFUNCTION("""COMPUTED_VALUE"""),"+2.41")</f>
        <v>+2.41</v>
      </c>
      <c r="O179" s="1">
        <f ca="1">IFERROR(__xludf.DUMMYFUNCTION("""COMPUTED_VALUE"""),116)</f>
        <v>116</v>
      </c>
      <c r="P179" s="1">
        <f ca="1">IFERROR(__xludf.DUMMYFUNCTION("""COMPUTED_VALUE"""),104.2)</f>
        <v>104.2</v>
      </c>
      <c r="Q179" s="1">
        <f ca="1">IFERROR(__xludf.DUMMYFUNCTION("""COMPUTED_VALUE"""),108)</f>
        <v>108</v>
      </c>
      <c r="R179" s="1">
        <f ca="1">IFERROR(__xludf.DUMMYFUNCTION("""COMPUTED_VALUE"""),101.8)</f>
        <v>101.8</v>
      </c>
      <c r="S179" s="1">
        <f ca="1">IFERROR(__xludf.DUMMYFUNCTION("""COMPUTED_VALUE"""),129)</f>
        <v>129</v>
      </c>
      <c r="T179" s="1" t="str">
        <f ca="1">IFERROR(__xludf.DUMMYFUNCTION("""COMPUTED_VALUE"""),"+5.76")</f>
        <v>+5.76</v>
      </c>
      <c r="U179" s="1">
        <f ca="1">IFERROR(__xludf.DUMMYFUNCTION("""COMPUTED_VALUE"""),45)</f>
        <v>45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IFERROR(__xludf.DUMMYFUNCTION("""COMPUTED_VALUE"""),"TCU")</f>
        <v>TCU</v>
      </c>
      <c r="C180" s="1" t="str">
        <f ca="1">IFERROR(__xludf.DUMMYFUNCTION("""COMPUTED_VALUE"""),"CUSA")</f>
        <v>CUSA</v>
      </c>
      <c r="D180" s="2">
        <f ca="1">IFERROR(__xludf.DUMMYFUNCTION("""COMPUTED_VALUE"""),44823)</f>
        <v>44823</v>
      </c>
      <c r="E180" s="1">
        <f ca="1">IFERROR(__xludf.DUMMYFUNCTION("""COMPUTED_VALUE"""),-0.41)</f>
        <v>-0.41</v>
      </c>
      <c r="F180" s="1">
        <f ca="1">IFERROR(__xludf.DUMMYFUNCTION("""COMPUTED_VALUE"""),106)</f>
        <v>106</v>
      </c>
      <c r="G180" s="1">
        <f ca="1">IFERROR(__xludf.DUMMYFUNCTION("""COMPUTED_VALUE"""),99)</f>
        <v>99</v>
      </c>
      <c r="H180" s="1">
        <f ca="1">IFERROR(__xludf.DUMMYFUNCTION("""COMPUTED_VALUE"""),106.5)</f>
        <v>106.5</v>
      </c>
      <c r="I180" s="1">
        <f ca="1">IFERROR(__xludf.DUMMYFUNCTION("""COMPUTED_VALUE"""),243)</f>
        <v>243</v>
      </c>
      <c r="J180" s="1">
        <f ca="1">IFERROR(__xludf.DUMMYFUNCTION("""COMPUTED_VALUE"""),71.3)</f>
        <v>71.3</v>
      </c>
      <c r="K180" s="1">
        <f ca="1">IFERROR(__xludf.DUMMYFUNCTION("""COMPUTED_VALUE"""),27)</f>
        <v>27</v>
      </c>
      <c r="L180" s="1">
        <f ca="1">IFERROR(__xludf.DUMMYFUNCTION("""COMPUTED_VALUE"""),-0.027)</f>
        <v>-2.7E-2</v>
      </c>
      <c r="M180" s="1">
        <f ca="1">IFERROR(__xludf.DUMMYFUNCTION("""COMPUTED_VALUE"""),237)</f>
        <v>237</v>
      </c>
      <c r="N180" s="1" t="str">
        <f ca="1">IFERROR(__xludf.DUMMYFUNCTION("""COMPUTED_VALUE"""),"+4.80")</f>
        <v>+4.80</v>
      </c>
      <c r="O180" s="1">
        <f ca="1">IFERROR(__xludf.DUMMYFUNCTION("""COMPUTED_VALUE"""),85)</f>
        <v>85</v>
      </c>
      <c r="P180" s="1">
        <f ca="1">IFERROR(__xludf.DUMMYFUNCTION("""COMPUTED_VALUE"""),104.2)</f>
        <v>104.2</v>
      </c>
      <c r="Q180" s="1">
        <f ca="1">IFERROR(__xludf.DUMMYFUNCTION("""COMPUTED_VALUE"""),106)</f>
        <v>106</v>
      </c>
      <c r="R180" s="1">
        <f ca="1">IFERROR(__xludf.DUMMYFUNCTION("""COMPUTED_VALUE"""),99.4)</f>
        <v>99.4</v>
      </c>
      <c r="S180" s="1">
        <f ca="1">IFERROR(__xludf.DUMMYFUNCTION("""COMPUTED_VALUE"""),72)</f>
        <v>72</v>
      </c>
      <c r="T180" s="1" t="str">
        <f ca="1">IFERROR(__xludf.DUMMYFUNCTION("""COMPUTED_VALUE"""),"+0.43")</f>
        <v>+0.43</v>
      </c>
      <c r="U180" s="1">
        <f ca="1">IFERROR(__xludf.DUMMYFUNCTION("""COMPUTED_VALUE"""),146)</f>
        <v>146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IFERROR(__xludf.DUMMYFUNCTION("""COMPUTED_VALUE"""),"Delaware")</f>
        <v>Delaware</v>
      </c>
      <c r="C181" s="1" t="str">
        <f ca="1">IFERROR(__xludf.DUMMYFUNCTION("""COMPUTED_VALUE"""),"CAA")</f>
        <v>CAA</v>
      </c>
      <c r="D181" s="1" t="str">
        <f ca="1">IFERROR(__xludf.DUMMYFUNCTION("""COMPUTED_VALUE"""),"15-14")</f>
        <v>15-14</v>
      </c>
      <c r="E181" s="1">
        <f ca="1">IFERROR(__xludf.DUMMYFUNCTION("""COMPUTED_VALUE"""),-0.43)</f>
        <v>-0.43</v>
      </c>
      <c r="F181" s="1">
        <f ca="1">IFERROR(__xludf.DUMMYFUNCTION("""COMPUTED_VALUE"""),99.5)</f>
        <v>99.5</v>
      </c>
      <c r="G181" s="1">
        <f ca="1">IFERROR(__xludf.DUMMYFUNCTION("""COMPUTED_VALUE"""),212)</f>
        <v>212</v>
      </c>
      <c r="H181" s="1">
        <f ca="1">IFERROR(__xludf.DUMMYFUNCTION("""COMPUTED_VALUE"""),99.9)</f>
        <v>99.9</v>
      </c>
      <c r="I181" s="1">
        <f ca="1">IFERROR(__xludf.DUMMYFUNCTION("""COMPUTED_VALUE"""),125)</f>
        <v>125</v>
      </c>
      <c r="J181" s="1">
        <f ca="1">IFERROR(__xludf.DUMMYFUNCTION("""COMPUTED_VALUE"""),69)</f>
        <v>69</v>
      </c>
      <c r="K181" s="1">
        <f ca="1">IFERROR(__xludf.DUMMYFUNCTION("""COMPUTED_VALUE"""),79)</f>
        <v>79</v>
      </c>
      <c r="L181" s="1" t="str">
        <f ca="1">IFERROR(__xludf.DUMMYFUNCTION("""COMPUTED_VALUE"""),"+.007")</f>
        <v>+.007</v>
      </c>
      <c r="M181" s="1">
        <f ca="1">IFERROR(__xludf.DUMMYFUNCTION("""COMPUTED_VALUE"""),144)</f>
        <v>144</v>
      </c>
      <c r="N181" s="1">
        <f ca="1">IFERROR(__xludf.DUMMYFUNCTION("""COMPUTED_VALUE"""),-0.98)</f>
        <v>-0.98</v>
      </c>
      <c r="O181" s="1">
        <f ca="1">IFERROR(__xludf.DUMMYFUNCTION("""COMPUTED_VALUE"""),171)</f>
        <v>171</v>
      </c>
      <c r="P181" s="1">
        <f ca="1">IFERROR(__xludf.DUMMYFUNCTION("""COMPUTED_VALUE"""),100.5)</f>
        <v>100.5</v>
      </c>
      <c r="Q181" s="1">
        <f ca="1">IFERROR(__xludf.DUMMYFUNCTION("""COMPUTED_VALUE"""),220)</f>
        <v>220</v>
      </c>
      <c r="R181" s="1">
        <f ca="1">IFERROR(__xludf.DUMMYFUNCTION("""COMPUTED_VALUE"""),101.5)</f>
        <v>101.5</v>
      </c>
      <c r="S181" s="1">
        <f ca="1">IFERROR(__xludf.DUMMYFUNCTION("""COMPUTED_VALUE"""),118)</f>
        <v>118</v>
      </c>
      <c r="T181" s="1" t="str">
        <f ca="1">IFERROR(__xludf.DUMMYFUNCTION("""COMPUTED_VALUE"""),"+0.47")</f>
        <v>+0.47</v>
      </c>
      <c r="U181" s="1">
        <f ca="1">IFERROR(__xludf.DUMMYFUNCTION("""COMPUTED_VALUE"""),143)</f>
        <v>143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IFERROR(__xludf.DUMMYFUNCTION("""COMPUTED_VALUE"""),"New Orleans")</f>
        <v>New Orleans</v>
      </c>
      <c r="C182" s="1" t="str">
        <f ca="1">IFERROR(__xludf.DUMMYFUNCTION("""COMPUTED_VALUE"""),"SB")</f>
        <v>SB</v>
      </c>
      <c r="D182" s="1" t="str">
        <f ca="1">IFERROR(__xludf.DUMMYFUNCTION("""COMPUTED_VALUE"""),"13-14")</f>
        <v>13-14</v>
      </c>
      <c r="E182" s="1">
        <f ca="1">IFERROR(__xludf.DUMMYFUNCTION("""COMPUTED_VALUE"""),-0.49)</f>
        <v>-0.49</v>
      </c>
      <c r="F182" s="1">
        <f ca="1">IFERROR(__xludf.DUMMYFUNCTION("""COMPUTED_VALUE"""),101.7)</f>
        <v>101.7</v>
      </c>
      <c r="G182" s="1">
        <f ca="1">IFERROR(__xludf.DUMMYFUNCTION("""COMPUTED_VALUE"""),175)</f>
        <v>175</v>
      </c>
      <c r="H182" s="1">
        <f ca="1">IFERROR(__xludf.DUMMYFUNCTION("""COMPUTED_VALUE"""),102.2)</f>
        <v>102.2</v>
      </c>
      <c r="I182" s="1">
        <f ca="1">IFERROR(__xludf.DUMMYFUNCTION("""COMPUTED_VALUE"""),167)</f>
        <v>167</v>
      </c>
      <c r="J182" s="1">
        <f ca="1">IFERROR(__xludf.DUMMYFUNCTION("""COMPUTED_VALUE"""),66.3)</f>
        <v>66.3</v>
      </c>
      <c r="K182" s="1">
        <f ca="1">IFERROR(__xludf.DUMMYFUNCTION("""COMPUTED_VALUE"""),193)</f>
        <v>193</v>
      </c>
      <c r="L182" s="1" t="str">
        <f ca="1">IFERROR(__xludf.DUMMYFUNCTION("""COMPUTED_VALUE"""),"+.005")</f>
        <v>+.005</v>
      </c>
      <c r="M182" s="1">
        <f ca="1">IFERROR(__xludf.DUMMYFUNCTION("""COMPUTED_VALUE"""),150)</f>
        <v>150</v>
      </c>
      <c r="N182" s="1">
        <f ca="1">IFERROR(__xludf.DUMMYFUNCTION("""COMPUTED_VALUE"""),-0.03)</f>
        <v>-0.03</v>
      </c>
      <c r="O182" s="1">
        <f ca="1">IFERROR(__xludf.DUMMYFUNCTION("""COMPUTED_VALUE"""),154)</f>
        <v>154</v>
      </c>
      <c r="P182" s="1">
        <f ca="1">IFERROR(__xludf.DUMMYFUNCTION("""COMPUTED_VALUE"""),102.5)</f>
        <v>102.5</v>
      </c>
      <c r="Q182" s="1">
        <f ca="1">IFERROR(__xludf.DUMMYFUNCTION("""COMPUTED_VALUE"""),160)</f>
        <v>160</v>
      </c>
      <c r="R182" s="1">
        <f ca="1">IFERROR(__xludf.DUMMYFUNCTION("""COMPUTED_VALUE"""),102.5)</f>
        <v>102.5</v>
      </c>
      <c r="S182" s="1">
        <f ca="1">IFERROR(__xludf.DUMMYFUNCTION("""COMPUTED_VALUE"""),156)</f>
        <v>156</v>
      </c>
      <c r="T182" s="1">
        <f ca="1">IFERROR(__xludf.DUMMYFUNCTION("""COMPUTED_VALUE"""),-3.24)</f>
        <v>-3.24</v>
      </c>
      <c r="U182" s="1">
        <f ca="1">IFERROR(__xludf.DUMMYFUNCTION("""COMPUTED_VALUE"""),230)</f>
        <v>230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IFERROR(__xludf.DUMMYFUNCTION("""COMPUTED_VALUE"""),"Appalachian St.")</f>
        <v>Appalachian St.</v>
      </c>
      <c r="C183" s="1" t="str">
        <f ca="1">IFERROR(__xludf.DUMMYFUNCTION("""COMPUTED_VALUE"""),"SC")</f>
        <v>SC</v>
      </c>
      <c r="D183" s="1" t="str">
        <f ca="1">IFERROR(__xludf.DUMMYFUNCTION("""COMPUTED_VALUE"""),"16-10")</f>
        <v>16-10</v>
      </c>
      <c r="E183" s="1">
        <f ca="1">IFERROR(__xludf.DUMMYFUNCTION("""COMPUTED_VALUE"""),-0.69)</f>
        <v>-0.69</v>
      </c>
      <c r="F183" s="1">
        <f ca="1">IFERROR(__xludf.DUMMYFUNCTION("""COMPUTED_VALUE"""),103.5)</f>
        <v>103.5</v>
      </c>
      <c r="G183" s="1">
        <f ca="1">IFERROR(__xludf.DUMMYFUNCTION("""COMPUTED_VALUE"""),142)</f>
        <v>142</v>
      </c>
      <c r="H183" s="1">
        <f ca="1">IFERROR(__xludf.DUMMYFUNCTION("""COMPUTED_VALUE"""),104.2)</f>
        <v>104.2</v>
      </c>
      <c r="I183" s="1">
        <f ca="1">IFERROR(__xludf.DUMMYFUNCTION("""COMPUTED_VALUE"""),199)</f>
        <v>199</v>
      </c>
      <c r="J183" s="1">
        <f ca="1">IFERROR(__xludf.DUMMYFUNCTION("""COMPUTED_VALUE"""),76.1)</f>
        <v>76.099999999999994</v>
      </c>
      <c r="K183" s="1">
        <f ca="1">IFERROR(__xludf.DUMMYFUNCTION("""COMPUTED_VALUE"""),1)</f>
        <v>1</v>
      </c>
      <c r="L183" s="1" t="str">
        <f ca="1">IFERROR(__xludf.DUMMYFUNCTION("""COMPUTED_VALUE"""),"+.081")</f>
        <v>+.081</v>
      </c>
      <c r="M183" s="1">
        <f ca="1">IFERROR(__xludf.DUMMYFUNCTION("""COMPUTED_VALUE"""),20)</f>
        <v>20</v>
      </c>
      <c r="N183" s="1">
        <f ca="1">IFERROR(__xludf.DUMMYFUNCTION("""COMPUTED_VALUE"""),-3.5)</f>
        <v>-3.5</v>
      </c>
      <c r="O183" s="1">
        <f ca="1">IFERROR(__xludf.DUMMYFUNCTION("""COMPUTED_VALUE"""),224)</f>
        <v>224</v>
      </c>
      <c r="P183" s="1">
        <f ca="1">IFERROR(__xludf.DUMMYFUNCTION("""COMPUTED_VALUE"""),100.6)</f>
        <v>100.6</v>
      </c>
      <c r="Q183" s="1">
        <f ca="1">IFERROR(__xludf.DUMMYFUNCTION("""COMPUTED_VALUE"""),216)</f>
        <v>216</v>
      </c>
      <c r="R183" s="1">
        <f ca="1">IFERROR(__xludf.DUMMYFUNCTION("""COMPUTED_VALUE"""),104.1)</f>
        <v>104.1</v>
      </c>
      <c r="S183" s="1">
        <f ca="1">IFERROR(__xludf.DUMMYFUNCTION("""COMPUTED_VALUE"""),234)</f>
        <v>234</v>
      </c>
      <c r="T183" s="1" t="str">
        <f ca="1">IFERROR(__xludf.DUMMYFUNCTION("""COMPUTED_VALUE"""),"+3.37")</f>
        <v>+3.37</v>
      </c>
      <c r="U183" s="1">
        <f ca="1">IFERROR(__xludf.DUMMYFUNCTION("""COMPUTED_VALUE"""),77)</f>
        <v>77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IFERROR(__xludf.DUMMYFUNCTION("""COMPUTED_VALUE"""),"Marshall")</f>
        <v>Marshall</v>
      </c>
      <c r="C184" s="1" t="str">
        <f ca="1">IFERROR(__xludf.DUMMYFUNCTION("""COMPUTED_VALUE"""),"MAC")</f>
        <v>MAC</v>
      </c>
      <c r="D184" s="1" t="str">
        <f ca="1">IFERROR(__xludf.DUMMYFUNCTION("""COMPUTED_VALUE"""),"13-15")</f>
        <v>13-15</v>
      </c>
      <c r="E184" s="1">
        <f ca="1">IFERROR(__xludf.DUMMYFUNCTION("""COMPUTED_VALUE"""),-0.77)</f>
        <v>-0.77</v>
      </c>
      <c r="F184" s="1">
        <f ca="1">IFERROR(__xludf.DUMMYFUNCTION("""COMPUTED_VALUE"""),102.2)</f>
        <v>102.2</v>
      </c>
      <c r="G184" s="1">
        <f ca="1">IFERROR(__xludf.DUMMYFUNCTION("""COMPUTED_VALUE"""),166)</f>
        <v>166</v>
      </c>
      <c r="H184" s="1">
        <f ca="1">IFERROR(__xludf.DUMMYFUNCTION("""COMPUTED_VALUE"""),102.9)</f>
        <v>102.9</v>
      </c>
      <c r="I184" s="1">
        <f ca="1">IFERROR(__xludf.DUMMYFUNCTION("""COMPUTED_VALUE"""),178)</f>
        <v>178</v>
      </c>
      <c r="J184" s="1">
        <f ca="1">IFERROR(__xludf.DUMMYFUNCTION("""COMPUTED_VALUE"""),67.5)</f>
        <v>67.5</v>
      </c>
      <c r="K184" s="1">
        <f ca="1">IFERROR(__xludf.DUMMYFUNCTION("""COMPUTED_VALUE"""),143)</f>
        <v>143</v>
      </c>
      <c r="L184" s="1">
        <f ca="1">IFERROR(__xludf.DUMMYFUNCTION("""COMPUTED_VALUE"""),-0.027)</f>
        <v>-2.7E-2</v>
      </c>
      <c r="M184" s="1">
        <f ca="1">IFERROR(__xludf.DUMMYFUNCTION("""COMPUTED_VALUE"""),236)</f>
        <v>236</v>
      </c>
      <c r="N184" s="1">
        <f ca="1">IFERROR(__xludf.DUMMYFUNCTION("""COMPUTED_VALUE"""),-0.61)</f>
        <v>-0.61</v>
      </c>
      <c r="O184" s="1">
        <f ca="1">IFERROR(__xludf.DUMMYFUNCTION("""COMPUTED_VALUE"""),162)</f>
        <v>162</v>
      </c>
      <c r="P184" s="1">
        <f ca="1">IFERROR(__xludf.DUMMYFUNCTION("""COMPUTED_VALUE"""),103.4)</f>
        <v>103.4</v>
      </c>
      <c r="Q184" s="1">
        <f ca="1">IFERROR(__xludf.DUMMYFUNCTION("""COMPUTED_VALUE"""),132)</f>
        <v>132</v>
      </c>
      <c r="R184" s="1">
        <f ca="1">IFERROR(__xludf.DUMMYFUNCTION("""COMPUTED_VALUE"""),104)</f>
        <v>104</v>
      </c>
      <c r="S184" s="1">
        <f ca="1">IFERROR(__xludf.DUMMYFUNCTION("""COMPUTED_VALUE"""),223)</f>
        <v>223</v>
      </c>
      <c r="T184" s="1">
        <f ca="1">IFERROR(__xludf.DUMMYFUNCTION("""COMPUTED_VALUE"""),-2.9)</f>
        <v>-2.9</v>
      </c>
      <c r="U184" s="1">
        <f ca="1">IFERROR(__xludf.DUMMYFUNCTION("""COMPUTED_VALUE"""),223)</f>
        <v>223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IFERROR(__xludf.DUMMYFUNCTION("""COMPUTED_VALUE"""),"Mercer")</f>
        <v>Mercer</v>
      </c>
      <c r="C185" s="1" t="str">
        <f ca="1">IFERROR(__xludf.DUMMYFUNCTION("""COMPUTED_VALUE"""),"ASun")</f>
        <v>ASun</v>
      </c>
      <c r="D185" s="1" t="str">
        <f ca="1">IFERROR(__xludf.DUMMYFUNCTION("""COMPUTED_VALUE"""),"22-6")</f>
        <v>22-6</v>
      </c>
      <c r="E185" s="1">
        <f ca="1">IFERROR(__xludf.DUMMYFUNCTION("""COMPUTED_VALUE"""),-0.84)</f>
        <v>-0.84</v>
      </c>
      <c r="F185" s="1">
        <f ca="1">IFERROR(__xludf.DUMMYFUNCTION("""COMPUTED_VALUE"""),106.4)</f>
        <v>106.4</v>
      </c>
      <c r="G185" s="1">
        <f ca="1">IFERROR(__xludf.DUMMYFUNCTION("""COMPUTED_VALUE"""),95)</f>
        <v>95</v>
      </c>
      <c r="H185" s="1">
        <f ca="1">IFERROR(__xludf.DUMMYFUNCTION("""COMPUTED_VALUE"""),107.3)</f>
        <v>107.3</v>
      </c>
      <c r="I185" s="1">
        <f ca="1">IFERROR(__xludf.DUMMYFUNCTION("""COMPUTED_VALUE"""),257)</f>
        <v>257</v>
      </c>
      <c r="J185" s="1">
        <f ca="1">IFERROR(__xludf.DUMMYFUNCTION("""COMPUTED_VALUE"""),69.5)</f>
        <v>69.5</v>
      </c>
      <c r="K185" s="1">
        <f ca="1">IFERROR(__xludf.DUMMYFUNCTION("""COMPUTED_VALUE"""),65)</f>
        <v>65</v>
      </c>
      <c r="L185" s="1" t="str">
        <f ca="1">IFERROR(__xludf.DUMMYFUNCTION("""COMPUTED_VALUE"""),"+.170")</f>
        <v>+.170</v>
      </c>
      <c r="M185" s="1">
        <f ca="1">IFERROR(__xludf.DUMMYFUNCTION("""COMPUTED_VALUE"""),2)</f>
        <v>2</v>
      </c>
      <c r="N185" s="1">
        <f ca="1">IFERROR(__xludf.DUMMYFUNCTION("""COMPUTED_VALUE"""),-9.07)</f>
        <v>-9.07</v>
      </c>
      <c r="O185" s="1">
        <f ca="1">IFERROR(__xludf.DUMMYFUNCTION("""COMPUTED_VALUE"""),299)</f>
        <v>299</v>
      </c>
      <c r="P185" s="1">
        <f ca="1">IFERROR(__xludf.DUMMYFUNCTION("""COMPUTED_VALUE"""),96.5)</f>
        <v>96.5</v>
      </c>
      <c r="Q185" s="1">
        <f ca="1">IFERROR(__xludf.DUMMYFUNCTION("""COMPUTED_VALUE"""),308)</f>
        <v>308</v>
      </c>
      <c r="R185" s="1">
        <f ca="1">IFERROR(__xludf.DUMMYFUNCTION("""COMPUTED_VALUE"""),105.5)</f>
        <v>105.5</v>
      </c>
      <c r="S185" s="1">
        <f ca="1">IFERROR(__xludf.DUMMYFUNCTION("""COMPUTED_VALUE"""),283)</f>
        <v>283</v>
      </c>
      <c r="T185" s="1">
        <f ca="1">IFERROR(__xludf.DUMMYFUNCTION("""COMPUTED_VALUE"""),-12.14)</f>
        <v>-12.14</v>
      </c>
      <c r="U185" s="1">
        <f ca="1">IFERROR(__xludf.DUMMYFUNCTION("""COMPUTED_VALUE"""),321)</f>
        <v>321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IFERROR(__xludf.DUMMYFUNCTION("""COMPUTED_VALUE"""),"Pacific")</f>
        <v>Pacific</v>
      </c>
      <c r="C186" s="1" t="str">
        <f ca="1">IFERROR(__xludf.DUMMYFUNCTION("""COMPUTED_VALUE"""),"BW")</f>
        <v>BW</v>
      </c>
      <c r="D186" s="2">
        <f ca="1">IFERROR(__xludf.DUMMYFUNCTION("""COMPUTED_VALUE"""),44911)</f>
        <v>44911</v>
      </c>
      <c r="E186" s="1">
        <f ca="1">IFERROR(__xludf.DUMMYFUNCTION("""COMPUTED_VALUE"""),-0.86)</f>
        <v>-0.86</v>
      </c>
      <c r="F186" s="1">
        <f ca="1">IFERROR(__xludf.DUMMYFUNCTION("""COMPUTED_VALUE"""),99.9)</f>
        <v>99.9</v>
      </c>
      <c r="G186" s="1">
        <f ca="1">IFERROR(__xludf.DUMMYFUNCTION("""COMPUTED_VALUE"""),207)</f>
        <v>207</v>
      </c>
      <c r="H186" s="1">
        <f ca="1">IFERROR(__xludf.DUMMYFUNCTION("""COMPUTED_VALUE"""),100.8)</f>
        <v>100.8</v>
      </c>
      <c r="I186" s="1">
        <f ca="1">IFERROR(__xludf.DUMMYFUNCTION("""COMPUTED_VALUE"""),139)</f>
        <v>139</v>
      </c>
      <c r="J186" s="1">
        <f ca="1">IFERROR(__xludf.DUMMYFUNCTION("""COMPUTED_VALUE"""),66.3)</f>
        <v>66.3</v>
      </c>
      <c r="K186" s="1">
        <f ca="1">IFERROR(__xludf.DUMMYFUNCTION("""COMPUTED_VALUE"""),191)</f>
        <v>191</v>
      </c>
      <c r="L186" s="1">
        <f ca="1">IFERROR(__xludf.DUMMYFUNCTION("""COMPUTED_VALUE"""),-0.066)</f>
        <v>-6.6000000000000003E-2</v>
      </c>
      <c r="M186" s="1">
        <f ca="1">IFERROR(__xludf.DUMMYFUNCTION("""COMPUTED_VALUE"""),296)</f>
        <v>296</v>
      </c>
      <c r="N186" s="1">
        <f ca="1">IFERROR(__xludf.DUMMYFUNCTION("""COMPUTED_VALUE"""),-1.06)</f>
        <v>-1.06</v>
      </c>
      <c r="O186" s="1">
        <f ca="1">IFERROR(__xludf.DUMMYFUNCTION("""COMPUTED_VALUE"""),175)</f>
        <v>175</v>
      </c>
      <c r="P186" s="1">
        <f ca="1">IFERROR(__xludf.DUMMYFUNCTION("""COMPUTED_VALUE"""),101.6)</f>
        <v>101.6</v>
      </c>
      <c r="Q186" s="1">
        <f ca="1">IFERROR(__xludf.DUMMYFUNCTION("""COMPUTED_VALUE"""),185)</f>
        <v>185</v>
      </c>
      <c r="R186" s="1">
        <f ca="1">IFERROR(__xludf.DUMMYFUNCTION("""COMPUTED_VALUE"""),102.7)</f>
        <v>102.7</v>
      </c>
      <c r="S186" s="1">
        <f ca="1">IFERROR(__xludf.DUMMYFUNCTION("""COMPUTED_VALUE"""),165)</f>
        <v>165</v>
      </c>
      <c r="T186" s="1" t="str">
        <f ca="1">IFERROR(__xludf.DUMMYFUNCTION("""COMPUTED_VALUE"""),"+3.27")</f>
        <v>+3.27</v>
      </c>
      <c r="U186" s="1">
        <f ca="1">IFERROR(__xludf.DUMMYFUNCTION("""COMPUTED_VALUE"""),82)</f>
        <v>82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IFERROR(__xludf.DUMMYFUNCTION("""COMPUTED_VALUE"""),"Niagara")</f>
        <v>Niagara</v>
      </c>
      <c r="C187" s="1" t="str">
        <f ca="1">IFERROR(__xludf.DUMMYFUNCTION("""COMPUTED_VALUE"""),"MAAC")</f>
        <v>MAAC</v>
      </c>
      <c r="D187" s="1" t="str">
        <f ca="1">IFERROR(__xludf.DUMMYFUNCTION("""COMPUTED_VALUE"""),"17-12")</f>
        <v>17-12</v>
      </c>
      <c r="E187" s="1">
        <f ca="1">IFERROR(__xludf.DUMMYFUNCTION("""COMPUTED_VALUE"""),-0.9)</f>
        <v>-0.9</v>
      </c>
      <c r="F187" s="1">
        <f ca="1">IFERROR(__xludf.DUMMYFUNCTION("""COMPUTED_VALUE"""),109.5)</f>
        <v>109.5</v>
      </c>
      <c r="G187" s="1">
        <f ca="1">IFERROR(__xludf.DUMMYFUNCTION("""COMPUTED_VALUE"""),50)</f>
        <v>50</v>
      </c>
      <c r="H187" s="1">
        <f ca="1">IFERROR(__xludf.DUMMYFUNCTION("""COMPUTED_VALUE"""),110.4)</f>
        <v>110.4</v>
      </c>
      <c r="I187" s="1">
        <f ca="1">IFERROR(__xludf.DUMMYFUNCTION("""COMPUTED_VALUE"""),296)</f>
        <v>296</v>
      </c>
      <c r="J187" s="1">
        <f ca="1">IFERROR(__xludf.DUMMYFUNCTION("""COMPUTED_VALUE"""),66.5)</f>
        <v>66.5</v>
      </c>
      <c r="K187" s="1">
        <f ca="1">IFERROR(__xludf.DUMMYFUNCTION("""COMPUTED_VALUE"""),184)</f>
        <v>184</v>
      </c>
      <c r="L187" s="1" t="str">
        <f ca="1">IFERROR(__xludf.DUMMYFUNCTION("""COMPUTED_VALUE"""),"+.091")</f>
        <v>+.091</v>
      </c>
      <c r="M187" s="1">
        <f ca="1">IFERROR(__xludf.DUMMYFUNCTION("""COMPUTED_VALUE"""),11)</f>
        <v>11</v>
      </c>
      <c r="N187" s="1">
        <f ca="1">IFERROR(__xludf.DUMMYFUNCTION("""COMPUTED_VALUE"""),-1.84)</f>
        <v>-1.84</v>
      </c>
      <c r="O187" s="1">
        <f ca="1">IFERROR(__xludf.DUMMYFUNCTION("""COMPUTED_VALUE"""),190)</f>
        <v>190</v>
      </c>
      <c r="P187" s="1">
        <f ca="1">IFERROR(__xludf.DUMMYFUNCTION("""COMPUTED_VALUE"""),100.4)</f>
        <v>100.4</v>
      </c>
      <c r="Q187" s="1">
        <f ca="1">IFERROR(__xludf.DUMMYFUNCTION("""COMPUTED_VALUE"""),223)</f>
        <v>223</v>
      </c>
      <c r="R187" s="1">
        <f ca="1">IFERROR(__xludf.DUMMYFUNCTION("""COMPUTED_VALUE"""),102.2)</f>
        <v>102.2</v>
      </c>
      <c r="S187" s="1">
        <f ca="1">IFERROR(__xludf.DUMMYFUNCTION("""COMPUTED_VALUE"""),150)</f>
        <v>150</v>
      </c>
      <c r="T187" s="1" t="str">
        <f ca="1">IFERROR(__xludf.DUMMYFUNCTION("""COMPUTED_VALUE"""),"+0.23")</f>
        <v>+0.23</v>
      </c>
      <c r="U187" s="1">
        <f ca="1">IFERROR(__xludf.DUMMYFUNCTION("""COMPUTED_VALUE"""),150)</f>
        <v>150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IFERROR(__xludf.DUMMYFUNCTION("""COMPUTED_VALUE"""),"Akron")</f>
        <v>Akron</v>
      </c>
      <c r="C188" s="1" t="str">
        <f ca="1">IFERROR(__xludf.DUMMYFUNCTION("""COMPUTED_VALUE"""),"MAC")</f>
        <v>MAC</v>
      </c>
      <c r="D188" s="1" t="str">
        <f ca="1">IFERROR(__xludf.DUMMYFUNCTION("""COMPUTED_VALUE"""),"14-14")</f>
        <v>14-14</v>
      </c>
      <c r="E188" s="1">
        <f ca="1">IFERROR(__xludf.DUMMYFUNCTION("""COMPUTED_VALUE"""),-0.92)</f>
        <v>-0.92</v>
      </c>
      <c r="F188" s="1">
        <f ca="1">IFERROR(__xludf.DUMMYFUNCTION("""COMPUTED_VALUE"""),110)</f>
        <v>110</v>
      </c>
      <c r="G188" s="1">
        <f ca="1">IFERROR(__xludf.DUMMYFUNCTION("""COMPUTED_VALUE"""),44)</f>
        <v>44</v>
      </c>
      <c r="H188" s="1">
        <f ca="1">IFERROR(__xludf.DUMMYFUNCTION("""COMPUTED_VALUE"""),110.9)</f>
        <v>110.9</v>
      </c>
      <c r="I188" s="1">
        <f ca="1">IFERROR(__xludf.DUMMYFUNCTION("""COMPUTED_VALUE"""),302)</f>
        <v>302</v>
      </c>
      <c r="J188" s="1">
        <f ca="1">IFERROR(__xludf.DUMMYFUNCTION("""COMPUTED_VALUE"""),67)</f>
        <v>67</v>
      </c>
      <c r="K188" s="1">
        <f ca="1">IFERROR(__xludf.DUMMYFUNCTION("""COMPUTED_VALUE"""),168)</f>
        <v>168</v>
      </c>
      <c r="L188" s="1">
        <f ca="1">IFERROR(__xludf.DUMMYFUNCTION("""COMPUTED_VALUE"""),-0.025)</f>
        <v>-2.5000000000000001E-2</v>
      </c>
      <c r="M188" s="1">
        <f ca="1">IFERROR(__xludf.DUMMYFUNCTION("""COMPUTED_VALUE"""),230)</f>
        <v>230</v>
      </c>
      <c r="N188" s="1">
        <f ca="1">IFERROR(__xludf.DUMMYFUNCTION("""COMPUTED_VALUE"""),-1.77)</f>
        <v>-1.77</v>
      </c>
      <c r="O188" s="1">
        <f ca="1">IFERROR(__xludf.DUMMYFUNCTION("""COMPUTED_VALUE"""),187)</f>
        <v>187</v>
      </c>
      <c r="P188" s="1">
        <f ca="1">IFERROR(__xludf.DUMMYFUNCTION("""COMPUTED_VALUE"""),102.3)</f>
        <v>102.3</v>
      </c>
      <c r="Q188" s="1">
        <f ca="1">IFERROR(__xludf.DUMMYFUNCTION("""COMPUTED_VALUE"""),168)</f>
        <v>168</v>
      </c>
      <c r="R188" s="1">
        <f ca="1">IFERROR(__xludf.DUMMYFUNCTION("""COMPUTED_VALUE"""),104)</f>
        <v>104</v>
      </c>
      <c r="S188" s="1">
        <f ca="1">IFERROR(__xludf.DUMMYFUNCTION("""COMPUTED_VALUE"""),227)</f>
        <v>227</v>
      </c>
      <c r="T188" s="1">
        <f ca="1">IFERROR(__xludf.DUMMYFUNCTION("""COMPUTED_VALUE"""),-6.51)</f>
        <v>-6.51</v>
      </c>
      <c r="U188" s="1">
        <f ca="1">IFERROR(__xludf.DUMMYFUNCTION("""COMPUTED_VALUE"""),293)</f>
        <v>293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IFERROR(__xludf.DUMMYFUNCTION("""COMPUTED_VALUE"""),"Wagner15")</f>
        <v>Wagner15</v>
      </c>
      <c r="C189" s="1" t="str">
        <f ca="1">IFERROR(__xludf.DUMMYFUNCTION("""COMPUTED_VALUE"""),"NEC")</f>
        <v>NEC</v>
      </c>
      <c r="D189" s="1" t="str">
        <f ca="1">IFERROR(__xludf.DUMMYFUNCTION("""COMPUTED_VALUE"""),"21-11")</f>
        <v>21-11</v>
      </c>
      <c r="E189" s="1">
        <f ca="1">IFERROR(__xludf.DUMMYFUNCTION("""COMPUTED_VALUE"""),-1.16)</f>
        <v>-1.1599999999999999</v>
      </c>
      <c r="F189" s="1">
        <f ca="1">IFERROR(__xludf.DUMMYFUNCTION("""COMPUTED_VALUE"""),104.7)</f>
        <v>104.7</v>
      </c>
      <c r="G189" s="1">
        <f ca="1">IFERROR(__xludf.DUMMYFUNCTION("""COMPUTED_VALUE"""),118)</f>
        <v>118</v>
      </c>
      <c r="H189" s="1">
        <f ca="1">IFERROR(__xludf.DUMMYFUNCTION("""COMPUTED_VALUE"""),105.9)</f>
        <v>105.9</v>
      </c>
      <c r="I189" s="1">
        <f ca="1">IFERROR(__xludf.DUMMYFUNCTION("""COMPUTED_VALUE"""),238)</f>
        <v>238</v>
      </c>
      <c r="J189" s="1">
        <f ca="1">IFERROR(__xludf.DUMMYFUNCTION("""COMPUTED_VALUE"""),67.6)</f>
        <v>67.599999999999994</v>
      </c>
      <c r="K189" s="1">
        <f ca="1">IFERROR(__xludf.DUMMYFUNCTION("""COMPUTED_VALUE"""),134)</f>
        <v>134</v>
      </c>
      <c r="L189" s="1" t="str">
        <f ca="1">IFERROR(__xludf.DUMMYFUNCTION("""COMPUTED_VALUE"""),"+.049")</f>
        <v>+.049</v>
      </c>
      <c r="M189" s="1">
        <f ca="1">IFERROR(__xludf.DUMMYFUNCTION("""COMPUTED_VALUE"""),61)</f>
        <v>61</v>
      </c>
      <c r="N189" s="1">
        <f ca="1">IFERROR(__xludf.DUMMYFUNCTION("""COMPUTED_VALUE"""),-7.45)</f>
        <v>-7.45</v>
      </c>
      <c r="O189" s="1">
        <f ca="1">IFERROR(__xludf.DUMMYFUNCTION("""COMPUTED_VALUE"""),282)</f>
        <v>282</v>
      </c>
      <c r="P189" s="1">
        <f ca="1">IFERROR(__xludf.DUMMYFUNCTION("""COMPUTED_VALUE"""),98.9)</f>
        <v>98.9</v>
      </c>
      <c r="Q189" s="1">
        <f ca="1">IFERROR(__xludf.DUMMYFUNCTION("""COMPUTED_VALUE"""),261)</f>
        <v>261</v>
      </c>
      <c r="R189" s="1">
        <f ca="1">IFERROR(__xludf.DUMMYFUNCTION("""COMPUTED_VALUE"""),106.3)</f>
        <v>106.3</v>
      </c>
      <c r="S189" s="1">
        <f ca="1">IFERROR(__xludf.DUMMYFUNCTION("""COMPUTED_VALUE"""),294)</f>
        <v>294</v>
      </c>
      <c r="T189" s="1" t="str">
        <f ca="1">IFERROR(__xludf.DUMMYFUNCTION("""COMPUTED_VALUE"""),"+2.39")</f>
        <v>+2.39</v>
      </c>
      <c r="U189" s="1">
        <f ca="1">IFERROR(__xludf.DUMMYFUNCTION("""COMPUTED_VALUE"""),99)</f>
        <v>99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IFERROR(__xludf.DUMMYFUNCTION("""COMPUTED_VALUE"""),"Eastern Illinois")</f>
        <v>Eastern Illinois</v>
      </c>
      <c r="C190" s="1" t="str">
        <f ca="1">IFERROR(__xludf.DUMMYFUNCTION("""COMPUTED_VALUE"""),"OVC")</f>
        <v>OVC</v>
      </c>
      <c r="D190" s="1" t="str">
        <f ca="1">IFERROR(__xludf.DUMMYFUNCTION("""COMPUTED_VALUE"""),"13-15")</f>
        <v>13-15</v>
      </c>
      <c r="E190" s="1">
        <f ca="1">IFERROR(__xludf.DUMMYFUNCTION("""COMPUTED_VALUE"""),-1.29)</f>
        <v>-1.29</v>
      </c>
      <c r="F190" s="1">
        <f ca="1">IFERROR(__xludf.DUMMYFUNCTION("""COMPUTED_VALUE"""),106.8)</f>
        <v>106.8</v>
      </c>
      <c r="G190" s="1">
        <f ca="1">IFERROR(__xludf.DUMMYFUNCTION("""COMPUTED_VALUE"""),89)</f>
        <v>89</v>
      </c>
      <c r="H190" s="1">
        <f ca="1">IFERROR(__xludf.DUMMYFUNCTION("""COMPUTED_VALUE"""),108.1)</f>
        <v>108.1</v>
      </c>
      <c r="I190" s="1">
        <f ca="1">IFERROR(__xludf.DUMMYFUNCTION("""COMPUTED_VALUE"""),273)</f>
        <v>273</v>
      </c>
      <c r="J190" s="1">
        <f ca="1">IFERROR(__xludf.DUMMYFUNCTION("""COMPUTED_VALUE"""),69.8)</f>
        <v>69.8</v>
      </c>
      <c r="K190" s="1">
        <f ca="1">IFERROR(__xludf.DUMMYFUNCTION("""COMPUTED_VALUE"""),62)</f>
        <v>62</v>
      </c>
      <c r="L190" s="1">
        <f ca="1">IFERROR(__xludf.DUMMYFUNCTION("""COMPUTED_VALUE"""),-0.008)</f>
        <v>-8.0000000000000002E-3</v>
      </c>
      <c r="M190" s="1">
        <f ca="1">IFERROR(__xludf.DUMMYFUNCTION("""COMPUTED_VALUE"""),187)</f>
        <v>187</v>
      </c>
      <c r="N190" s="1">
        <f ca="1">IFERROR(__xludf.DUMMYFUNCTION("""COMPUTED_VALUE"""),-0.82)</f>
        <v>-0.82</v>
      </c>
      <c r="O190" s="1">
        <f ca="1">IFERROR(__xludf.DUMMYFUNCTION("""COMPUTED_VALUE"""),166)</f>
        <v>166</v>
      </c>
      <c r="P190" s="1">
        <f ca="1">IFERROR(__xludf.DUMMYFUNCTION("""COMPUTED_VALUE"""),103.2)</f>
        <v>103.2</v>
      </c>
      <c r="Q190" s="1">
        <f ca="1">IFERROR(__xludf.DUMMYFUNCTION("""COMPUTED_VALUE"""),139)</f>
        <v>139</v>
      </c>
      <c r="R190" s="1">
        <f ca="1">IFERROR(__xludf.DUMMYFUNCTION("""COMPUTED_VALUE"""),104)</f>
        <v>104</v>
      </c>
      <c r="S190" s="1">
        <f ca="1">IFERROR(__xludf.DUMMYFUNCTION("""COMPUTED_VALUE"""),226)</f>
        <v>226</v>
      </c>
      <c r="T190" s="1" t="str">
        <f ca="1">IFERROR(__xludf.DUMMYFUNCTION("""COMPUTED_VALUE"""),"+6.02")</f>
        <v>+6.02</v>
      </c>
      <c r="U190" s="1">
        <f ca="1">IFERROR(__xludf.DUMMYFUNCTION("""COMPUTED_VALUE"""),38)</f>
        <v>38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IFERROR(__xludf.DUMMYFUNCTION("""COMPUTED_VALUE"""),"Cal Poly")</f>
        <v>Cal Poly</v>
      </c>
      <c r="C191" s="1" t="str">
        <f ca="1">IFERROR(__xludf.DUMMYFUNCTION("""COMPUTED_VALUE"""),"BW")</f>
        <v>BW</v>
      </c>
      <c r="D191" s="1" t="str">
        <f ca="1">IFERROR(__xludf.DUMMYFUNCTION("""COMPUTED_VALUE"""),"15-14")</f>
        <v>15-14</v>
      </c>
      <c r="E191" s="1">
        <f ca="1">IFERROR(__xludf.DUMMYFUNCTION("""COMPUTED_VALUE"""),-1.38)</f>
        <v>-1.38</v>
      </c>
      <c r="F191" s="1">
        <f ca="1">IFERROR(__xludf.DUMMYFUNCTION("""COMPUTED_VALUE"""),98.4)</f>
        <v>98.4</v>
      </c>
      <c r="G191" s="1">
        <f ca="1">IFERROR(__xludf.DUMMYFUNCTION("""COMPUTED_VALUE"""),234)</f>
        <v>234</v>
      </c>
      <c r="H191" s="1">
        <f ca="1">IFERROR(__xludf.DUMMYFUNCTION("""COMPUTED_VALUE"""),99.7)</f>
        <v>99.7</v>
      </c>
      <c r="I191" s="1">
        <f ca="1">IFERROR(__xludf.DUMMYFUNCTION("""COMPUTED_VALUE"""),119)</f>
        <v>119</v>
      </c>
      <c r="J191" s="1">
        <f ca="1">IFERROR(__xludf.DUMMYFUNCTION("""COMPUTED_VALUE"""),69.2)</f>
        <v>69.2</v>
      </c>
      <c r="K191" s="1">
        <f ca="1">IFERROR(__xludf.DUMMYFUNCTION("""COMPUTED_VALUE"""),75)</f>
        <v>75</v>
      </c>
      <c r="L191" s="1" t="str">
        <f ca="1">IFERROR(__xludf.DUMMYFUNCTION("""COMPUTED_VALUE"""),"+.045")</f>
        <v>+.045</v>
      </c>
      <c r="M191" s="1">
        <f ca="1">IFERROR(__xludf.DUMMYFUNCTION("""COMPUTED_VALUE"""),65)</f>
        <v>65</v>
      </c>
      <c r="N191" s="1">
        <f ca="1">IFERROR(__xludf.DUMMYFUNCTION("""COMPUTED_VALUE"""),-1.64)</f>
        <v>-1.64</v>
      </c>
      <c r="O191" s="1">
        <f ca="1">IFERROR(__xludf.DUMMYFUNCTION("""COMPUTED_VALUE"""),183)</f>
        <v>183</v>
      </c>
      <c r="P191" s="1">
        <f ca="1">IFERROR(__xludf.DUMMYFUNCTION("""COMPUTED_VALUE"""),101.2)</f>
        <v>101.2</v>
      </c>
      <c r="Q191" s="1">
        <f ca="1">IFERROR(__xludf.DUMMYFUNCTION("""COMPUTED_VALUE"""),194)</f>
        <v>194</v>
      </c>
      <c r="R191" s="1">
        <f ca="1">IFERROR(__xludf.DUMMYFUNCTION("""COMPUTED_VALUE"""),102.8)</f>
        <v>102.8</v>
      </c>
      <c r="S191" s="1">
        <f ca="1">IFERROR(__xludf.DUMMYFUNCTION("""COMPUTED_VALUE"""),176)</f>
        <v>176</v>
      </c>
      <c r="T191" s="1" t="str">
        <f ca="1">IFERROR(__xludf.DUMMYFUNCTION("""COMPUTED_VALUE"""),"+0.71")</f>
        <v>+0.71</v>
      </c>
      <c r="U191" s="1">
        <f ca="1">IFERROR(__xludf.DUMMYFUNCTION("""COMPUTED_VALUE"""),136)</f>
        <v>136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IFERROR(__xludf.DUMMYFUNCTION("""COMPUTED_VALUE"""),"Evansville")</f>
        <v>Evansville</v>
      </c>
      <c r="C192" s="1" t="str">
        <f ca="1">IFERROR(__xludf.DUMMYFUNCTION("""COMPUTED_VALUE"""),"MVC")</f>
        <v>MVC</v>
      </c>
      <c r="D192" s="2">
        <f ca="1">IFERROR(__xludf.DUMMYFUNCTION("""COMPUTED_VALUE"""),44911)</f>
        <v>44911</v>
      </c>
      <c r="E192" s="1">
        <f ca="1">IFERROR(__xludf.DUMMYFUNCTION("""COMPUTED_VALUE"""),-1.55)</f>
        <v>-1.55</v>
      </c>
      <c r="F192" s="1">
        <f ca="1">IFERROR(__xludf.DUMMYFUNCTION("""COMPUTED_VALUE"""),105.9)</f>
        <v>105.9</v>
      </c>
      <c r="G192" s="1">
        <f ca="1">IFERROR(__xludf.DUMMYFUNCTION("""COMPUTED_VALUE"""),101)</f>
        <v>101</v>
      </c>
      <c r="H192" s="1">
        <f ca="1">IFERROR(__xludf.DUMMYFUNCTION("""COMPUTED_VALUE"""),107.5)</f>
        <v>107.5</v>
      </c>
      <c r="I192" s="1">
        <f ca="1">IFERROR(__xludf.DUMMYFUNCTION("""COMPUTED_VALUE"""),263)</f>
        <v>263</v>
      </c>
      <c r="J192" s="1">
        <f ca="1">IFERROR(__xludf.DUMMYFUNCTION("""COMPUTED_VALUE"""),67.5)</f>
        <v>67.5</v>
      </c>
      <c r="K192" s="1">
        <f ca="1">IFERROR(__xludf.DUMMYFUNCTION("""COMPUTED_VALUE"""),141)</f>
        <v>141</v>
      </c>
      <c r="L192" s="1" t="str">
        <f ca="1">IFERROR(__xludf.DUMMYFUNCTION("""COMPUTED_VALUE"""),"+.048")</f>
        <v>+.048</v>
      </c>
      <c r="M192" s="1">
        <f ca="1">IFERROR(__xludf.DUMMYFUNCTION("""COMPUTED_VALUE"""),63)</f>
        <v>63</v>
      </c>
      <c r="N192" s="1" t="str">
        <f ca="1">IFERROR(__xludf.DUMMYFUNCTION("""COMPUTED_VALUE"""),"+3.33")</f>
        <v>+3.33</v>
      </c>
      <c r="O192" s="1">
        <f ca="1">IFERROR(__xludf.DUMMYFUNCTION("""COMPUTED_VALUE"""),101)</f>
        <v>101</v>
      </c>
      <c r="P192" s="1">
        <f ca="1">IFERROR(__xludf.DUMMYFUNCTION("""COMPUTED_VALUE"""),104.5)</f>
        <v>104.5</v>
      </c>
      <c r="Q192" s="1">
        <f ca="1">IFERROR(__xludf.DUMMYFUNCTION("""COMPUTED_VALUE"""),94)</f>
        <v>94</v>
      </c>
      <c r="R192" s="1">
        <f ca="1">IFERROR(__xludf.DUMMYFUNCTION("""COMPUTED_VALUE"""),101.2)</f>
        <v>101.2</v>
      </c>
      <c r="S192" s="1">
        <f ca="1">IFERROR(__xludf.DUMMYFUNCTION("""COMPUTED_VALUE"""),109)</f>
        <v>109</v>
      </c>
      <c r="T192" s="1" t="str">
        <f ca="1">IFERROR(__xludf.DUMMYFUNCTION("""COMPUTED_VALUE"""),"+6.65")</f>
        <v>+6.65</v>
      </c>
      <c r="U192" s="1">
        <f ca="1">IFERROR(__xludf.DUMMYFUNCTION("""COMPUTED_VALUE"""),34)</f>
        <v>34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IFERROR(__xludf.DUMMYFUNCTION("""COMPUTED_VALUE"""),"Boise St.")</f>
        <v>Boise St.</v>
      </c>
      <c r="C193" s="1" t="str">
        <f ca="1">IFERROR(__xludf.DUMMYFUNCTION("""COMPUTED_VALUE"""),"WAC")</f>
        <v>WAC</v>
      </c>
      <c r="D193" s="2">
        <f ca="1">IFERROR(__xludf.DUMMYFUNCTION("""COMPUTED_VALUE"""),44911)</f>
        <v>44911</v>
      </c>
      <c r="E193" s="1">
        <f ca="1">IFERROR(__xludf.DUMMYFUNCTION("""COMPUTED_VALUE"""),-1.56)</f>
        <v>-1.56</v>
      </c>
      <c r="F193" s="1">
        <f ca="1">IFERROR(__xludf.DUMMYFUNCTION("""COMPUTED_VALUE"""),96)</f>
        <v>96</v>
      </c>
      <c r="G193" s="1">
        <f ca="1">IFERROR(__xludf.DUMMYFUNCTION("""COMPUTED_VALUE"""),263)</f>
        <v>263</v>
      </c>
      <c r="H193" s="1">
        <f ca="1">IFERROR(__xludf.DUMMYFUNCTION("""COMPUTED_VALUE"""),97.5)</f>
        <v>97.5</v>
      </c>
      <c r="I193" s="1">
        <f ca="1">IFERROR(__xludf.DUMMYFUNCTION("""COMPUTED_VALUE"""),80)</f>
        <v>80</v>
      </c>
      <c r="J193" s="1">
        <f ca="1">IFERROR(__xludf.DUMMYFUNCTION("""COMPUTED_VALUE"""),66.7)</f>
        <v>66.7</v>
      </c>
      <c r="K193" s="1">
        <f ca="1">IFERROR(__xludf.DUMMYFUNCTION("""COMPUTED_VALUE"""),178)</f>
        <v>178</v>
      </c>
      <c r="L193" s="1">
        <f ca="1">IFERROR(__xludf.DUMMYFUNCTION("""COMPUTED_VALUE"""),-0.032)</f>
        <v>-3.2000000000000001E-2</v>
      </c>
      <c r="M193" s="1">
        <f ca="1">IFERROR(__xludf.DUMMYFUNCTION("""COMPUTED_VALUE"""),253)</f>
        <v>253</v>
      </c>
      <c r="N193" s="1">
        <f ca="1">IFERROR(__xludf.DUMMYFUNCTION("""COMPUTED_VALUE"""),-0.89)</f>
        <v>-0.89</v>
      </c>
      <c r="O193" s="1">
        <f ca="1">IFERROR(__xludf.DUMMYFUNCTION("""COMPUTED_VALUE"""),167)</f>
        <v>167</v>
      </c>
      <c r="P193" s="1">
        <f ca="1">IFERROR(__xludf.DUMMYFUNCTION("""COMPUTED_VALUE"""),101.8)</f>
        <v>101.8</v>
      </c>
      <c r="Q193" s="1">
        <f ca="1">IFERROR(__xludf.DUMMYFUNCTION("""COMPUTED_VALUE"""),180)</f>
        <v>180</v>
      </c>
      <c r="R193" s="1">
        <f ca="1">IFERROR(__xludf.DUMMYFUNCTION("""COMPUTED_VALUE"""),102.7)</f>
        <v>102.7</v>
      </c>
      <c r="S193" s="1">
        <f ca="1">IFERROR(__xludf.DUMMYFUNCTION("""COMPUTED_VALUE"""),166)</f>
        <v>166</v>
      </c>
      <c r="T193" s="1">
        <f ca="1">IFERROR(__xludf.DUMMYFUNCTION("""COMPUTED_VALUE"""),-4.15)</f>
        <v>-4.1500000000000004</v>
      </c>
      <c r="U193" s="1">
        <f ca="1">IFERROR(__xludf.DUMMYFUNCTION("""COMPUTED_VALUE"""),256)</f>
        <v>256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IFERROR(__xludf.DUMMYFUNCTION("""COMPUTED_VALUE"""),"Bowling Green")</f>
        <v>Bowling Green</v>
      </c>
      <c r="C194" s="1" t="str">
        <f ca="1">IFERROR(__xludf.DUMMYFUNCTION("""COMPUTED_VALUE"""),"MAC")</f>
        <v>MAC</v>
      </c>
      <c r="D194" s="2">
        <f ca="1">IFERROR(__xludf.DUMMYFUNCTION("""COMPUTED_VALUE"""),44881)</f>
        <v>44881</v>
      </c>
      <c r="E194" s="1">
        <f ca="1">IFERROR(__xludf.DUMMYFUNCTION("""COMPUTED_VALUE"""),-1.88)</f>
        <v>-1.88</v>
      </c>
      <c r="F194" s="1">
        <f ca="1">IFERROR(__xludf.DUMMYFUNCTION("""COMPUTED_VALUE"""),98.7)</f>
        <v>98.7</v>
      </c>
      <c r="G194" s="1">
        <f ca="1">IFERROR(__xludf.DUMMYFUNCTION("""COMPUTED_VALUE"""),230)</f>
        <v>230</v>
      </c>
      <c r="H194" s="1">
        <f ca="1">IFERROR(__xludf.DUMMYFUNCTION("""COMPUTED_VALUE"""),100.6)</f>
        <v>100.6</v>
      </c>
      <c r="I194" s="1">
        <f ca="1">IFERROR(__xludf.DUMMYFUNCTION("""COMPUTED_VALUE"""),134)</f>
        <v>134</v>
      </c>
      <c r="J194" s="1">
        <f ca="1">IFERROR(__xludf.DUMMYFUNCTION("""COMPUTED_VALUE"""),66.1)</f>
        <v>66.099999999999994</v>
      </c>
      <c r="K194" s="1">
        <f ca="1">IFERROR(__xludf.DUMMYFUNCTION("""COMPUTED_VALUE"""),202)</f>
        <v>202</v>
      </c>
      <c r="L194" s="1" t="str">
        <f ca="1">IFERROR(__xludf.DUMMYFUNCTION("""COMPUTED_VALUE"""),"+.050")</f>
        <v>+.050</v>
      </c>
      <c r="M194" s="1">
        <f ca="1">IFERROR(__xludf.DUMMYFUNCTION("""COMPUTED_VALUE"""),58)</f>
        <v>58</v>
      </c>
      <c r="N194" s="1" t="str">
        <f ca="1">IFERROR(__xludf.DUMMYFUNCTION("""COMPUTED_VALUE"""),"+3.27")</f>
        <v>+3.27</v>
      </c>
      <c r="O194" s="1">
        <f ca="1">IFERROR(__xludf.DUMMYFUNCTION("""COMPUTED_VALUE"""),103)</f>
        <v>103</v>
      </c>
      <c r="P194" s="1">
        <f ca="1">IFERROR(__xludf.DUMMYFUNCTION("""COMPUTED_VALUE"""),105.7)</f>
        <v>105.7</v>
      </c>
      <c r="Q194" s="1">
        <f ca="1">IFERROR(__xludf.DUMMYFUNCTION("""COMPUTED_VALUE"""),61)</f>
        <v>61</v>
      </c>
      <c r="R194" s="1">
        <f ca="1">IFERROR(__xludf.DUMMYFUNCTION("""COMPUTED_VALUE"""),102.5)</f>
        <v>102.5</v>
      </c>
      <c r="S194" s="1">
        <f ca="1">IFERROR(__xludf.DUMMYFUNCTION("""COMPUTED_VALUE"""),155)</f>
        <v>155</v>
      </c>
      <c r="T194" s="1" t="str">
        <f ca="1">IFERROR(__xludf.DUMMYFUNCTION("""COMPUTED_VALUE"""),"+8.25")</f>
        <v>+8.25</v>
      </c>
      <c r="U194" s="1">
        <f ca="1">IFERROR(__xludf.DUMMYFUNCTION("""COMPUTED_VALUE"""),25)</f>
        <v>25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IFERROR(__xludf.DUMMYFUNCTION("""COMPUTED_VALUE"""),"Oakland")</f>
        <v>Oakland</v>
      </c>
      <c r="C195" s="1" t="str">
        <f ca="1">IFERROR(__xludf.DUMMYFUNCTION("""COMPUTED_VALUE"""),"MCon")</f>
        <v>MCon</v>
      </c>
      <c r="D195" s="1" t="str">
        <f ca="1">IFERROR(__xludf.DUMMYFUNCTION("""COMPUTED_VALUE"""),"15-11")</f>
        <v>15-11</v>
      </c>
      <c r="E195" s="1">
        <f ca="1">IFERROR(__xludf.DUMMYFUNCTION("""COMPUTED_VALUE"""),-2.07)</f>
        <v>-2.0699999999999998</v>
      </c>
      <c r="F195" s="1">
        <f ca="1">IFERROR(__xludf.DUMMYFUNCTION("""COMPUTED_VALUE"""),103.7)</f>
        <v>103.7</v>
      </c>
      <c r="G195" s="1">
        <f ca="1">IFERROR(__xludf.DUMMYFUNCTION("""COMPUTED_VALUE"""),136)</f>
        <v>136</v>
      </c>
      <c r="H195" s="1">
        <f ca="1">IFERROR(__xludf.DUMMYFUNCTION("""COMPUTED_VALUE"""),105.7)</f>
        <v>105.7</v>
      </c>
      <c r="I195" s="1">
        <f ca="1">IFERROR(__xludf.DUMMYFUNCTION("""COMPUTED_VALUE"""),231)</f>
        <v>231</v>
      </c>
      <c r="J195" s="1">
        <f ca="1">IFERROR(__xludf.DUMMYFUNCTION("""COMPUTED_VALUE"""),71.3)</f>
        <v>71.3</v>
      </c>
      <c r="K195" s="1">
        <f ca="1">IFERROR(__xludf.DUMMYFUNCTION("""COMPUTED_VALUE"""),25)</f>
        <v>25</v>
      </c>
      <c r="L195" s="1" t="str">
        <f ca="1">IFERROR(__xludf.DUMMYFUNCTION("""COMPUTED_VALUE"""),"+.007")</f>
        <v>+.007</v>
      </c>
      <c r="M195" s="1">
        <f ca="1">IFERROR(__xludf.DUMMYFUNCTION("""COMPUTED_VALUE"""),142)</f>
        <v>142</v>
      </c>
      <c r="N195" s="1">
        <f ca="1">IFERROR(__xludf.DUMMYFUNCTION("""COMPUTED_VALUE"""),-6.76)</f>
        <v>-6.76</v>
      </c>
      <c r="O195" s="1">
        <f ca="1">IFERROR(__xludf.DUMMYFUNCTION("""COMPUTED_VALUE"""),273)</f>
        <v>273</v>
      </c>
      <c r="P195" s="1">
        <f ca="1">IFERROR(__xludf.DUMMYFUNCTION("""COMPUTED_VALUE"""),100.1)</f>
        <v>100.1</v>
      </c>
      <c r="Q195" s="1">
        <f ca="1">IFERROR(__xludf.DUMMYFUNCTION("""COMPUTED_VALUE"""),229)</f>
        <v>229</v>
      </c>
      <c r="R195" s="1">
        <f ca="1">IFERROR(__xludf.DUMMYFUNCTION("""COMPUTED_VALUE"""),106.9)</f>
        <v>106.9</v>
      </c>
      <c r="S195" s="1">
        <f ca="1">IFERROR(__xludf.DUMMYFUNCTION("""COMPUTED_VALUE"""),306)</f>
        <v>306</v>
      </c>
      <c r="T195" s="1">
        <f ca="1">IFERROR(__xludf.DUMMYFUNCTION("""COMPUTED_VALUE"""),-4.99)</f>
        <v>-4.99</v>
      </c>
      <c r="U195" s="1">
        <f ca="1">IFERROR(__xludf.DUMMYFUNCTION("""COMPUTED_VALUE"""),271)</f>
        <v>271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IFERROR(__xludf.DUMMYFUNCTION("""COMPUTED_VALUE"""),"Idaho St.")</f>
        <v>Idaho St.</v>
      </c>
      <c r="C196" s="1" t="str">
        <f ca="1">IFERROR(__xludf.DUMMYFUNCTION("""COMPUTED_VALUE"""),"BSky")</f>
        <v>BSky</v>
      </c>
      <c r="D196" s="1" t="str">
        <f ca="1">IFERROR(__xludf.DUMMYFUNCTION("""COMPUTED_VALUE"""),"13-14")</f>
        <v>13-14</v>
      </c>
      <c r="E196" s="1">
        <f ca="1">IFERROR(__xludf.DUMMYFUNCTION("""COMPUTED_VALUE"""),-2.21)</f>
        <v>-2.21</v>
      </c>
      <c r="F196" s="1">
        <f ca="1">IFERROR(__xludf.DUMMYFUNCTION("""COMPUTED_VALUE"""),99.6)</f>
        <v>99.6</v>
      </c>
      <c r="G196" s="1">
        <f ca="1">IFERROR(__xludf.DUMMYFUNCTION("""COMPUTED_VALUE"""),208)</f>
        <v>208</v>
      </c>
      <c r="H196" s="1">
        <f ca="1">IFERROR(__xludf.DUMMYFUNCTION("""COMPUTED_VALUE"""),101.8)</f>
        <v>101.8</v>
      </c>
      <c r="I196" s="1">
        <f ca="1">IFERROR(__xludf.DUMMYFUNCTION("""COMPUTED_VALUE"""),158)</f>
        <v>158</v>
      </c>
      <c r="J196" s="1">
        <f ca="1">IFERROR(__xludf.DUMMYFUNCTION("""COMPUTED_VALUE"""),70.4)</f>
        <v>70.400000000000006</v>
      </c>
      <c r="K196" s="1">
        <f ca="1">IFERROR(__xludf.DUMMYFUNCTION("""COMPUTED_VALUE"""),46)</f>
        <v>46</v>
      </c>
      <c r="L196" s="1" t="str">
        <f ca="1">IFERROR(__xludf.DUMMYFUNCTION("""COMPUTED_VALUE"""),"+.013")</f>
        <v>+.013</v>
      </c>
      <c r="M196" s="1">
        <f ca="1">IFERROR(__xludf.DUMMYFUNCTION("""COMPUTED_VALUE"""),131)</f>
        <v>131</v>
      </c>
      <c r="N196" s="1">
        <f ca="1">IFERROR(__xludf.DUMMYFUNCTION("""COMPUTED_VALUE"""),-2.05)</f>
        <v>-2.0499999999999998</v>
      </c>
      <c r="O196" s="1">
        <f ca="1">IFERROR(__xludf.DUMMYFUNCTION("""COMPUTED_VALUE"""),198)</f>
        <v>198</v>
      </c>
      <c r="P196" s="1">
        <f ca="1">IFERROR(__xludf.DUMMYFUNCTION("""COMPUTED_VALUE"""),100.6)</f>
        <v>100.6</v>
      </c>
      <c r="Q196" s="1">
        <f ca="1">IFERROR(__xludf.DUMMYFUNCTION("""COMPUTED_VALUE"""),217)</f>
        <v>217</v>
      </c>
      <c r="R196" s="1">
        <f ca="1">IFERROR(__xludf.DUMMYFUNCTION("""COMPUTED_VALUE"""),102.6)</f>
        <v>102.6</v>
      </c>
      <c r="S196" s="1">
        <f ca="1">IFERROR(__xludf.DUMMYFUNCTION("""COMPUTED_VALUE"""),164)</f>
        <v>164</v>
      </c>
      <c r="T196" s="1">
        <f ca="1">IFERROR(__xludf.DUMMYFUNCTION("""COMPUTED_VALUE"""),-0.42)</f>
        <v>-0.42</v>
      </c>
      <c r="U196" s="1">
        <f ca="1">IFERROR(__xludf.DUMMYFUNCTION("""COMPUTED_VALUE"""),162)</f>
        <v>162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IFERROR(__xludf.DUMMYFUNCTION("""COMPUTED_VALUE"""),"New Mexico")</f>
        <v>New Mexico</v>
      </c>
      <c r="C197" s="1" t="str">
        <f ca="1">IFERROR(__xludf.DUMMYFUNCTION("""COMPUTED_VALUE"""),"MWC")</f>
        <v>MWC</v>
      </c>
      <c r="D197" s="2">
        <f ca="1">IFERROR(__xludf.DUMMYFUNCTION("""COMPUTED_VALUE"""),44822)</f>
        <v>44822</v>
      </c>
      <c r="E197" s="1">
        <f ca="1">IFERROR(__xludf.DUMMYFUNCTION("""COMPUTED_VALUE"""),-2.27)</f>
        <v>-2.27</v>
      </c>
      <c r="F197" s="1">
        <f ca="1">IFERROR(__xludf.DUMMYFUNCTION("""COMPUTED_VALUE"""),107.7)</f>
        <v>107.7</v>
      </c>
      <c r="G197" s="1">
        <f ca="1">IFERROR(__xludf.DUMMYFUNCTION("""COMPUTED_VALUE"""),75)</f>
        <v>75</v>
      </c>
      <c r="H197" s="1">
        <f ca="1">IFERROR(__xludf.DUMMYFUNCTION("""COMPUTED_VALUE"""),110)</f>
        <v>110</v>
      </c>
      <c r="I197" s="1">
        <f ca="1">IFERROR(__xludf.DUMMYFUNCTION("""COMPUTED_VALUE"""),293)</f>
        <v>293</v>
      </c>
      <c r="J197" s="1">
        <f ca="1">IFERROR(__xludf.DUMMYFUNCTION("""COMPUTED_VALUE"""),65.6)</f>
        <v>65.599999999999994</v>
      </c>
      <c r="K197" s="1">
        <f ca="1">IFERROR(__xludf.DUMMYFUNCTION("""COMPUTED_VALUE"""),228)</f>
        <v>228</v>
      </c>
      <c r="L197" s="1">
        <f ca="1">IFERROR(__xludf.DUMMYFUNCTION("""COMPUTED_VALUE"""),-0.023)</f>
        <v>-2.3E-2</v>
      </c>
      <c r="M197" s="1">
        <f ca="1">IFERROR(__xludf.DUMMYFUNCTION("""COMPUTED_VALUE"""),225)</f>
        <v>225</v>
      </c>
      <c r="N197" s="1" t="str">
        <f ca="1">IFERROR(__xludf.DUMMYFUNCTION("""COMPUTED_VALUE"""),"+3.68")</f>
        <v>+3.68</v>
      </c>
      <c r="O197" s="1">
        <f ca="1">IFERROR(__xludf.DUMMYFUNCTION("""COMPUTED_VALUE"""),97)</f>
        <v>97</v>
      </c>
      <c r="P197" s="1">
        <f ca="1">IFERROR(__xludf.DUMMYFUNCTION("""COMPUTED_VALUE"""),104.6)</f>
        <v>104.6</v>
      </c>
      <c r="Q197" s="1">
        <f ca="1">IFERROR(__xludf.DUMMYFUNCTION("""COMPUTED_VALUE"""),90)</f>
        <v>90</v>
      </c>
      <c r="R197" s="1">
        <f ca="1">IFERROR(__xludf.DUMMYFUNCTION("""COMPUTED_VALUE"""),100.9)</f>
        <v>100.9</v>
      </c>
      <c r="S197" s="1">
        <f ca="1">IFERROR(__xludf.DUMMYFUNCTION("""COMPUTED_VALUE"""),104)</f>
        <v>104</v>
      </c>
      <c r="T197" s="1">
        <f ca="1">IFERROR(__xludf.DUMMYFUNCTION("""COMPUTED_VALUE"""),-4.24)</f>
        <v>-4.24</v>
      </c>
      <c r="U197" s="1">
        <f ca="1">IFERROR(__xludf.DUMMYFUNCTION("""COMPUTED_VALUE"""),259)</f>
        <v>259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IFERROR(__xludf.DUMMYFUNCTION("""COMPUTED_VALUE"""),"Louisiana Tech")</f>
        <v>Louisiana Tech</v>
      </c>
      <c r="C198" s="1" t="str">
        <f ca="1">IFERROR(__xludf.DUMMYFUNCTION("""COMPUTED_VALUE"""),"WAC")</f>
        <v>WAC</v>
      </c>
      <c r="D198" s="2">
        <f ca="1">IFERROR(__xludf.DUMMYFUNCTION("""COMPUTED_VALUE"""),44849)</f>
        <v>44849</v>
      </c>
      <c r="E198" s="1">
        <f ca="1">IFERROR(__xludf.DUMMYFUNCTION("""COMPUTED_VALUE"""),-2.35)</f>
        <v>-2.35</v>
      </c>
      <c r="F198" s="1">
        <f ca="1">IFERROR(__xludf.DUMMYFUNCTION("""COMPUTED_VALUE"""),101.8)</f>
        <v>101.8</v>
      </c>
      <c r="G198" s="1">
        <f ca="1">IFERROR(__xludf.DUMMYFUNCTION("""COMPUTED_VALUE"""),171)</f>
        <v>171</v>
      </c>
      <c r="H198" s="1">
        <f ca="1">IFERROR(__xludf.DUMMYFUNCTION("""COMPUTED_VALUE"""),104.1)</f>
        <v>104.1</v>
      </c>
      <c r="I198" s="1">
        <f ca="1">IFERROR(__xludf.DUMMYFUNCTION("""COMPUTED_VALUE"""),197)</f>
        <v>197</v>
      </c>
      <c r="J198" s="1">
        <f ca="1">IFERROR(__xludf.DUMMYFUNCTION("""COMPUTED_VALUE"""),67.6)</f>
        <v>67.599999999999994</v>
      </c>
      <c r="K198" s="1">
        <f ca="1">IFERROR(__xludf.DUMMYFUNCTION("""COMPUTED_VALUE"""),135)</f>
        <v>135</v>
      </c>
      <c r="L198" s="1" t="str">
        <f ca="1">IFERROR(__xludf.DUMMYFUNCTION("""COMPUTED_VALUE"""),"+.035")</f>
        <v>+.035</v>
      </c>
      <c r="M198" s="1">
        <f ca="1">IFERROR(__xludf.DUMMYFUNCTION("""COMPUTED_VALUE"""),80)</f>
        <v>80</v>
      </c>
      <c r="N198" s="1" t="str">
        <f ca="1">IFERROR(__xludf.DUMMYFUNCTION("""COMPUTED_VALUE"""),"+3.04")</f>
        <v>+3.04</v>
      </c>
      <c r="O198" s="1">
        <f ca="1">IFERROR(__xludf.DUMMYFUNCTION("""COMPUTED_VALUE"""),107)</f>
        <v>107</v>
      </c>
      <c r="P198" s="1">
        <f ca="1">IFERROR(__xludf.DUMMYFUNCTION("""COMPUTED_VALUE"""),103.3)</f>
        <v>103.3</v>
      </c>
      <c r="Q198" s="1">
        <f ca="1">IFERROR(__xludf.DUMMYFUNCTION("""COMPUTED_VALUE"""),138)</f>
        <v>138</v>
      </c>
      <c r="R198" s="1">
        <f ca="1">IFERROR(__xludf.DUMMYFUNCTION("""COMPUTED_VALUE"""),100.2)</f>
        <v>100.2</v>
      </c>
      <c r="S198" s="1">
        <f ca="1">IFERROR(__xludf.DUMMYFUNCTION("""COMPUTED_VALUE"""),91)</f>
        <v>91</v>
      </c>
      <c r="T198" s="1" t="str">
        <f ca="1">IFERROR(__xludf.DUMMYFUNCTION("""COMPUTED_VALUE"""),"+12.10")</f>
        <v>+12.10</v>
      </c>
      <c r="U198" s="1">
        <f ca="1">IFERROR(__xludf.DUMMYFUNCTION("""COMPUTED_VALUE"""),8)</f>
        <v>8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IFERROR(__xludf.DUMMYFUNCTION("""COMPUTED_VALUE"""),"Cal St. Northridge")</f>
        <v>Cal St. Northridge</v>
      </c>
      <c r="C199" s="1" t="str">
        <f ca="1">IFERROR(__xludf.DUMMYFUNCTION("""COMPUTED_VALUE"""),"BW")</f>
        <v>BW</v>
      </c>
      <c r="D199" s="1" t="str">
        <f ca="1">IFERROR(__xludf.DUMMYFUNCTION("""COMPUTED_VALUE"""),"13-15")</f>
        <v>13-15</v>
      </c>
      <c r="E199" s="1">
        <f ca="1">IFERROR(__xludf.DUMMYFUNCTION("""COMPUTED_VALUE"""),-2.53)</f>
        <v>-2.5299999999999998</v>
      </c>
      <c r="F199" s="1">
        <f ca="1">IFERROR(__xludf.DUMMYFUNCTION("""COMPUTED_VALUE"""),100.6)</f>
        <v>100.6</v>
      </c>
      <c r="G199" s="1">
        <f ca="1">IFERROR(__xludf.DUMMYFUNCTION("""COMPUTED_VALUE"""),198)</f>
        <v>198</v>
      </c>
      <c r="H199" s="1">
        <f ca="1">IFERROR(__xludf.DUMMYFUNCTION("""COMPUTED_VALUE"""),103.1)</f>
        <v>103.1</v>
      </c>
      <c r="I199" s="1">
        <f ca="1">IFERROR(__xludf.DUMMYFUNCTION("""COMPUTED_VALUE"""),183)</f>
        <v>183</v>
      </c>
      <c r="J199" s="1">
        <f ca="1">IFERROR(__xludf.DUMMYFUNCTION("""COMPUTED_VALUE"""),67.8)</f>
        <v>67.8</v>
      </c>
      <c r="K199" s="1">
        <f ca="1">IFERROR(__xludf.DUMMYFUNCTION("""COMPUTED_VALUE"""),126)</f>
        <v>126</v>
      </c>
      <c r="L199" s="1">
        <f ca="1">IFERROR(__xludf.DUMMYFUNCTION("""COMPUTED_VALUE"""),-0.019)</f>
        <v>-1.9E-2</v>
      </c>
      <c r="M199" s="1">
        <f ca="1">IFERROR(__xludf.DUMMYFUNCTION("""COMPUTED_VALUE"""),213)</f>
        <v>213</v>
      </c>
      <c r="N199" s="1">
        <f ca="1">IFERROR(__xludf.DUMMYFUNCTION("""COMPUTED_VALUE"""),-2.31)</f>
        <v>-2.31</v>
      </c>
      <c r="O199" s="1">
        <f ca="1">IFERROR(__xludf.DUMMYFUNCTION("""COMPUTED_VALUE"""),205)</f>
        <v>205</v>
      </c>
      <c r="P199" s="1">
        <f ca="1">IFERROR(__xludf.DUMMYFUNCTION("""COMPUTED_VALUE"""),100.6)</f>
        <v>100.6</v>
      </c>
      <c r="Q199" s="1">
        <f ca="1">IFERROR(__xludf.DUMMYFUNCTION("""COMPUTED_VALUE"""),218)</f>
        <v>218</v>
      </c>
      <c r="R199" s="1">
        <f ca="1">IFERROR(__xludf.DUMMYFUNCTION("""COMPUTED_VALUE"""),102.9)</f>
        <v>102.9</v>
      </c>
      <c r="S199" s="1">
        <f ca="1">IFERROR(__xludf.DUMMYFUNCTION("""COMPUTED_VALUE"""),177)</f>
        <v>177</v>
      </c>
      <c r="T199" s="1">
        <f ca="1">IFERROR(__xludf.DUMMYFUNCTION("""COMPUTED_VALUE"""),-0.95)</f>
        <v>-0.95</v>
      </c>
      <c r="U199" s="1">
        <f ca="1">IFERROR(__xludf.DUMMYFUNCTION("""COMPUTED_VALUE"""),176)</f>
        <v>176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IFERROR(__xludf.DUMMYFUNCTION("""COMPUTED_VALUE"""),"Northern Arizona")</f>
        <v>Northern Arizona</v>
      </c>
      <c r="C200" s="1" t="str">
        <f ca="1">IFERROR(__xludf.DUMMYFUNCTION("""COMPUTED_VALUE"""),"BSky")</f>
        <v>BSky</v>
      </c>
      <c r="D200" s="1" t="str">
        <f ca="1">IFERROR(__xludf.DUMMYFUNCTION("""COMPUTED_VALUE"""),"13-13")</f>
        <v>13-13</v>
      </c>
      <c r="E200" s="1">
        <f ca="1">IFERROR(__xludf.DUMMYFUNCTION("""COMPUTED_VALUE"""),-2.6)</f>
        <v>-2.6</v>
      </c>
      <c r="F200" s="1">
        <f ca="1">IFERROR(__xludf.DUMMYFUNCTION("""COMPUTED_VALUE"""),99.5)</f>
        <v>99.5</v>
      </c>
      <c r="G200" s="1">
        <f ca="1">IFERROR(__xludf.DUMMYFUNCTION("""COMPUTED_VALUE"""),211)</f>
        <v>211</v>
      </c>
      <c r="H200" s="1">
        <f ca="1">IFERROR(__xludf.DUMMYFUNCTION("""COMPUTED_VALUE"""),102.1)</f>
        <v>102.1</v>
      </c>
      <c r="I200" s="1">
        <f ca="1">IFERROR(__xludf.DUMMYFUNCTION("""COMPUTED_VALUE"""),165)</f>
        <v>165</v>
      </c>
      <c r="J200" s="1">
        <f ca="1">IFERROR(__xludf.DUMMYFUNCTION("""COMPUTED_VALUE"""),68.1)</f>
        <v>68.099999999999994</v>
      </c>
      <c r="K200" s="1">
        <f ca="1">IFERROR(__xludf.DUMMYFUNCTION("""COMPUTED_VALUE"""),115)</f>
        <v>115</v>
      </c>
      <c r="L200" s="1" t="str">
        <f ca="1">IFERROR(__xludf.DUMMYFUNCTION("""COMPUTED_VALUE"""),"+.005")</f>
        <v>+.005</v>
      </c>
      <c r="M200" s="1">
        <f ca="1">IFERROR(__xludf.DUMMYFUNCTION("""COMPUTED_VALUE"""),148)</f>
        <v>148</v>
      </c>
      <c r="N200" s="1">
        <f ca="1">IFERROR(__xludf.DUMMYFUNCTION("""COMPUTED_VALUE"""),-3.7)</f>
        <v>-3.7</v>
      </c>
      <c r="O200" s="1">
        <f ca="1">IFERROR(__xludf.DUMMYFUNCTION("""COMPUTED_VALUE"""),230)</f>
        <v>230</v>
      </c>
      <c r="P200" s="1">
        <f ca="1">IFERROR(__xludf.DUMMYFUNCTION("""COMPUTED_VALUE"""),100.7)</f>
        <v>100.7</v>
      </c>
      <c r="Q200" s="1">
        <f ca="1">IFERROR(__xludf.DUMMYFUNCTION("""COMPUTED_VALUE"""),212)</f>
        <v>212</v>
      </c>
      <c r="R200" s="1">
        <f ca="1">IFERROR(__xludf.DUMMYFUNCTION("""COMPUTED_VALUE"""),104.4)</f>
        <v>104.4</v>
      </c>
      <c r="S200" s="1">
        <f ca="1">IFERROR(__xludf.DUMMYFUNCTION("""COMPUTED_VALUE"""),243)</f>
        <v>243</v>
      </c>
      <c r="T200" s="1">
        <f ca="1">IFERROR(__xludf.DUMMYFUNCTION("""COMPUTED_VALUE"""),-5.22)</f>
        <v>-5.22</v>
      </c>
      <c r="U200" s="1">
        <f ca="1">IFERROR(__xludf.DUMMYFUNCTION("""COMPUTED_VALUE"""),278)</f>
        <v>278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IFERROR(__xludf.DUMMYFUNCTION("""COMPUTED_VALUE"""),"Jacksonville St.")</f>
        <v>Jacksonville St.</v>
      </c>
      <c r="C201" s="1" t="str">
        <f ca="1">IFERROR(__xludf.DUMMYFUNCTION("""COMPUTED_VALUE"""),"ASun")</f>
        <v>ASun</v>
      </c>
      <c r="D201" s="1" t="str">
        <f ca="1">IFERROR(__xludf.DUMMYFUNCTION("""COMPUTED_VALUE"""),"19-10")</f>
        <v>19-10</v>
      </c>
      <c r="E201" s="1">
        <f ca="1">IFERROR(__xludf.DUMMYFUNCTION("""COMPUTED_VALUE"""),-2.72)</f>
        <v>-2.72</v>
      </c>
      <c r="F201" s="1">
        <f ca="1">IFERROR(__xludf.DUMMYFUNCTION("""COMPUTED_VALUE"""),103.5)</f>
        <v>103.5</v>
      </c>
      <c r="G201" s="1">
        <f ca="1">IFERROR(__xludf.DUMMYFUNCTION("""COMPUTED_VALUE"""),143)</f>
        <v>143</v>
      </c>
      <c r="H201" s="1">
        <f ca="1">IFERROR(__xludf.DUMMYFUNCTION("""COMPUTED_VALUE"""),106.2)</f>
        <v>106.2</v>
      </c>
      <c r="I201" s="1">
        <f ca="1">IFERROR(__xludf.DUMMYFUNCTION("""COMPUTED_VALUE"""),240)</f>
        <v>240</v>
      </c>
      <c r="J201" s="1">
        <f ca="1">IFERROR(__xludf.DUMMYFUNCTION("""COMPUTED_VALUE"""),68.4)</f>
        <v>68.400000000000006</v>
      </c>
      <c r="K201" s="1">
        <f ca="1">IFERROR(__xludf.DUMMYFUNCTION("""COMPUTED_VALUE"""),102)</f>
        <v>102</v>
      </c>
      <c r="L201" s="1" t="str">
        <f ca="1">IFERROR(__xludf.DUMMYFUNCTION("""COMPUTED_VALUE"""),"+.065")</f>
        <v>+.065</v>
      </c>
      <c r="M201" s="1">
        <f ca="1">IFERROR(__xludf.DUMMYFUNCTION("""COMPUTED_VALUE"""),38)</f>
        <v>38</v>
      </c>
      <c r="N201" s="1">
        <f ca="1">IFERROR(__xludf.DUMMYFUNCTION("""COMPUTED_VALUE"""),-7.69)</f>
        <v>-7.69</v>
      </c>
      <c r="O201" s="1">
        <f ca="1">IFERROR(__xludf.DUMMYFUNCTION("""COMPUTED_VALUE"""),287)</f>
        <v>287</v>
      </c>
      <c r="P201" s="1">
        <f ca="1">IFERROR(__xludf.DUMMYFUNCTION("""COMPUTED_VALUE"""),98)</f>
        <v>98</v>
      </c>
      <c r="Q201" s="1">
        <f ca="1">IFERROR(__xludf.DUMMYFUNCTION("""COMPUTED_VALUE"""),280)</f>
        <v>280</v>
      </c>
      <c r="R201" s="1">
        <f ca="1">IFERROR(__xludf.DUMMYFUNCTION("""COMPUTED_VALUE"""),105.7)</f>
        <v>105.7</v>
      </c>
      <c r="S201" s="1">
        <f ca="1">IFERROR(__xludf.DUMMYFUNCTION("""COMPUTED_VALUE"""),289)</f>
        <v>289</v>
      </c>
      <c r="T201" s="1">
        <f ca="1">IFERROR(__xludf.DUMMYFUNCTION("""COMPUTED_VALUE"""),-7.67)</f>
        <v>-7.67</v>
      </c>
      <c r="U201" s="1">
        <f ca="1">IFERROR(__xludf.DUMMYFUNCTION("""COMPUTED_VALUE"""),304)</f>
        <v>304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IFERROR(__xludf.DUMMYFUNCTION("""COMPUTED_VALUE"""),"UT Arlington")</f>
        <v>UT Arlington</v>
      </c>
      <c r="C202" s="1" t="str">
        <f ca="1">IFERROR(__xludf.DUMMYFUNCTION("""COMPUTED_VALUE"""),"Slnd")</f>
        <v>Slnd</v>
      </c>
      <c r="D202" s="1" t="str">
        <f ca="1">IFERROR(__xludf.DUMMYFUNCTION("""COMPUTED_VALUE"""),"14-13")</f>
        <v>14-13</v>
      </c>
      <c r="E202" s="1">
        <f ca="1">IFERROR(__xludf.DUMMYFUNCTION("""COMPUTED_VALUE"""),-2.73)</f>
        <v>-2.73</v>
      </c>
      <c r="F202" s="1">
        <f ca="1">IFERROR(__xludf.DUMMYFUNCTION("""COMPUTED_VALUE"""),97.8)</f>
        <v>97.8</v>
      </c>
      <c r="G202" s="1">
        <f ca="1">IFERROR(__xludf.DUMMYFUNCTION("""COMPUTED_VALUE"""),246)</f>
        <v>246</v>
      </c>
      <c r="H202" s="1">
        <f ca="1">IFERROR(__xludf.DUMMYFUNCTION("""COMPUTED_VALUE"""),100.5)</f>
        <v>100.5</v>
      </c>
      <c r="I202" s="1">
        <f ca="1">IFERROR(__xludf.DUMMYFUNCTION("""COMPUTED_VALUE"""),132)</f>
        <v>132</v>
      </c>
      <c r="J202" s="1">
        <f ca="1">IFERROR(__xludf.DUMMYFUNCTION("""COMPUTED_VALUE"""),62.2)</f>
        <v>62.2</v>
      </c>
      <c r="K202" s="1">
        <f ca="1">IFERROR(__xludf.DUMMYFUNCTION("""COMPUTED_VALUE"""),304)</f>
        <v>304</v>
      </c>
      <c r="L202" s="1" t="str">
        <f ca="1">IFERROR(__xludf.DUMMYFUNCTION("""COMPUTED_VALUE"""),"+.007")</f>
        <v>+.007</v>
      </c>
      <c r="M202" s="1">
        <f ca="1">IFERROR(__xludf.DUMMYFUNCTION("""COMPUTED_VALUE"""),141)</f>
        <v>141</v>
      </c>
      <c r="N202" s="1">
        <f ca="1">IFERROR(__xludf.DUMMYFUNCTION("""COMPUTED_VALUE"""),-5.69)</f>
        <v>-5.69</v>
      </c>
      <c r="O202" s="1">
        <f ca="1">IFERROR(__xludf.DUMMYFUNCTION("""COMPUTED_VALUE"""),263)</f>
        <v>263</v>
      </c>
      <c r="P202" s="1">
        <f ca="1">IFERROR(__xludf.DUMMYFUNCTION("""COMPUTED_VALUE"""),98)</f>
        <v>98</v>
      </c>
      <c r="Q202" s="1">
        <f ca="1">IFERROR(__xludf.DUMMYFUNCTION("""COMPUTED_VALUE"""),279)</f>
        <v>279</v>
      </c>
      <c r="R202" s="1">
        <f ca="1">IFERROR(__xludf.DUMMYFUNCTION("""COMPUTED_VALUE"""),103.7)</f>
        <v>103.7</v>
      </c>
      <c r="S202" s="1">
        <f ca="1">IFERROR(__xludf.DUMMYFUNCTION("""COMPUTED_VALUE"""),209)</f>
        <v>209</v>
      </c>
      <c r="T202" s="1" t="str">
        <f ca="1">IFERROR(__xludf.DUMMYFUNCTION("""COMPUTED_VALUE"""),"+11.02")</f>
        <v>+11.02</v>
      </c>
      <c r="U202" s="1">
        <f ca="1">IFERROR(__xludf.DUMMYFUNCTION("""COMPUTED_VALUE"""),14)</f>
        <v>14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IFERROR(__xludf.DUMMYFUNCTION("""COMPUTED_VALUE"""),"Montana")</f>
        <v>Montana</v>
      </c>
      <c r="C203" s="1" t="str">
        <f ca="1">IFERROR(__xludf.DUMMYFUNCTION("""COMPUTED_VALUE"""),"BSky")</f>
        <v>BSky</v>
      </c>
      <c r="D203" s="2">
        <f ca="1">IFERROR(__xludf.DUMMYFUNCTION("""COMPUTED_VALUE"""),44911)</f>
        <v>44911</v>
      </c>
      <c r="E203" s="1">
        <f ca="1">IFERROR(__xludf.DUMMYFUNCTION("""COMPUTED_VALUE"""),-2.75)</f>
        <v>-2.75</v>
      </c>
      <c r="F203" s="1">
        <f ca="1">IFERROR(__xludf.DUMMYFUNCTION("""COMPUTED_VALUE"""),104.3)</f>
        <v>104.3</v>
      </c>
      <c r="G203" s="1">
        <f ca="1">IFERROR(__xludf.DUMMYFUNCTION("""COMPUTED_VALUE"""),127)</f>
        <v>127</v>
      </c>
      <c r="H203" s="1">
        <f ca="1">IFERROR(__xludf.DUMMYFUNCTION("""COMPUTED_VALUE"""),107.1)</f>
        <v>107.1</v>
      </c>
      <c r="I203" s="1">
        <f ca="1">IFERROR(__xludf.DUMMYFUNCTION("""COMPUTED_VALUE"""),254)</f>
        <v>254</v>
      </c>
      <c r="J203" s="1">
        <f ca="1">IFERROR(__xludf.DUMMYFUNCTION("""COMPUTED_VALUE"""),66.1)</f>
        <v>66.099999999999994</v>
      </c>
      <c r="K203" s="1">
        <f ca="1">IFERROR(__xludf.DUMMYFUNCTION("""COMPUTED_VALUE"""),204)</f>
        <v>204</v>
      </c>
      <c r="L203" s="1">
        <f ca="1">IFERROR(__xludf.DUMMYFUNCTION("""COMPUTED_VALUE"""),-0.02)</f>
        <v>-0.02</v>
      </c>
      <c r="M203" s="1">
        <f ca="1">IFERROR(__xludf.DUMMYFUNCTION("""COMPUTED_VALUE"""),217)</f>
        <v>217</v>
      </c>
      <c r="N203" s="1">
        <f ca="1">IFERROR(__xludf.DUMMYFUNCTION("""COMPUTED_VALUE"""),-1.12)</f>
        <v>-1.1200000000000001</v>
      </c>
      <c r="O203" s="1">
        <f ca="1">IFERROR(__xludf.DUMMYFUNCTION("""COMPUTED_VALUE"""),176)</f>
        <v>176</v>
      </c>
      <c r="P203" s="1">
        <f ca="1">IFERROR(__xludf.DUMMYFUNCTION("""COMPUTED_VALUE"""),100.8)</f>
        <v>100.8</v>
      </c>
      <c r="Q203" s="1">
        <f ca="1">IFERROR(__xludf.DUMMYFUNCTION("""COMPUTED_VALUE"""),210)</f>
        <v>210</v>
      </c>
      <c r="R203" s="1">
        <f ca="1">IFERROR(__xludf.DUMMYFUNCTION("""COMPUTED_VALUE"""),101.9)</f>
        <v>101.9</v>
      </c>
      <c r="S203" s="1">
        <f ca="1">IFERROR(__xludf.DUMMYFUNCTION("""COMPUTED_VALUE"""),134)</f>
        <v>134</v>
      </c>
      <c r="T203" s="1" t="str">
        <f ca="1">IFERROR(__xludf.DUMMYFUNCTION("""COMPUTED_VALUE"""),"+2.42")</f>
        <v>+2.42</v>
      </c>
      <c r="U203" s="1">
        <f ca="1">IFERROR(__xludf.DUMMYFUNCTION("""COMPUTED_VALUE"""),96)</f>
        <v>96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IFERROR(__xludf.DUMMYFUNCTION("""COMPUTED_VALUE"""),"Northern Iowa")</f>
        <v>Northern Iowa</v>
      </c>
      <c r="C204" s="1" t="str">
        <f ca="1">IFERROR(__xludf.DUMMYFUNCTION("""COMPUTED_VALUE"""),"MVC")</f>
        <v>MVC</v>
      </c>
      <c r="D204" s="2">
        <f ca="1">IFERROR(__xludf.DUMMYFUNCTION("""COMPUTED_VALUE"""),44851)</f>
        <v>44851</v>
      </c>
      <c r="E204" s="1">
        <f ca="1">IFERROR(__xludf.DUMMYFUNCTION("""COMPUTED_VALUE"""),-2.78)</f>
        <v>-2.78</v>
      </c>
      <c r="F204" s="1">
        <f ca="1">IFERROR(__xludf.DUMMYFUNCTION("""COMPUTED_VALUE"""),102)</f>
        <v>102</v>
      </c>
      <c r="G204" s="1">
        <f ca="1">IFERROR(__xludf.DUMMYFUNCTION("""COMPUTED_VALUE"""),169)</f>
        <v>169</v>
      </c>
      <c r="H204" s="1">
        <f ca="1">IFERROR(__xludf.DUMMYFUNCTION("""COMPUTED_VALUE"""),104.8)</f>
        <v>104.8</v>
      </c>
      <c r="I204" s="1">
        <f ca="1">IFERROR(__xludf.DUMMYFUNCTION("""COMPUTED_VALUE"""),214)</f>
        <v>214</v>
      </c>
      <c r="J204" s="1">
        <f ca="1">IFERROR(__xludf.DUMMYFUNCTION("""COMPUTED_VALUE"""),64.6)</f>
        <v>64.599999999999994</v>
      </c>
      <c r="K204" s="1">
        <f ca="1">IFERROR(__xludf.DUMMYFUNCTION("""COMPUTED_VALUE"""),269)</f>
        <v>269</v>
      </c>
      <c r="L204" s="1">
        <f ca="1">IFERROR(__xludf.DUMMYFUNCTION("""COMPUTED_VALUE"""),-0.01)</f>
        <v>-0.01</v>
      </c>
      <c r="M204" s="1">
        <f ca="1">IFERROR(__xludf.DUMMYFUNCTION("""COMPUTED_VALUE"""),190)</f>
        <v>190</v>
      </c>
      <c r="N204" s="1" t="str">
        <f ca="1">IFERROR(__xludf.DUMMYFUNCTION("""COMPUTED_VALUE"""),"+1.61")</f>
        <v>+1.61</v>
      </c>
      <c r="O204" s="1">
        <f ca="1">IFERROR(__xludf.DUMMYFUNCTION("""COMPUTED_VALUE"""),128)</f>
        <v>128</v>
      </c>
      <c r="P204" s="1">
        <f ca="1">IFERROR(__xludf.DUMMYFUNCTION("""COMPUTED_VALUE"""),103.3)</f>
        <v>103.3</v>
      </c>
      <c r="Q204" s="1">
        <f ca="1">IFERROR(__xludf.DUMMYFUNCTION("""COMPUTED_VALUE"""),137)</f>
        <v>137</v>
      </c>
      <c r="R204" s="1">
        <f ca="1">IFERROR(__xludf.DUMMYFUNCTION("""COMPUTED_VALUE"""),101.7)</f>
        <v>101.7</v>
      </c>
      <c r="S204" s="1">
        <f ca="1">IFERROR(__xludf.DUMMYFUNCTION("""COMPUTED_VALUE"""),125)</f>
        <v>125</v>
      </c>
      <c r="T204" s="1" t="str">
        <f ca="1">IFERROR(__xludf.DUMMYFUNCTION("""COMPUTED_VALUE"""),"+3.61")</f>
        <v>+3.61</v>
      </c>
      <c r="U204" s="1">
        <f ca="1">IFERROR(__xludf.DUMMYFUNCTION("""COMPUTED_VALUE"""),69)</f>
        <v>69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IFERROR(__xludf.DUMMYFUNCTION("""COMPUTED_VALUE"""),"Massachusetts")</f>
        <v>Massachusetts</v>
      </c>
      <c r="C205" s="1" t="str">
        <f ca="1">IFERROR(__xludf.DUMMYFUNCTION("""COMPUTED_VALUE"""),"A10")</f>
        <v>A10</v>
      </c>
      <c r="D205" s="2">
        <f ca="1">IFERROR(__xludf.DUMMYFUNCTION("""COMPUTED_VALUE"""),44852)</f>
        <v>44852</v>
      </c>
      <c r="E205" s="1">
        <f ca="1">IFERROR(__xludf.DUMMYFUNCTION("""COMPUTED_VALUE"""),-3.25)</f>
        <v>-3.25</v>
      </c>
      <c r="F205" s="1">
        <f ca="1">IFERROR(__xludf.DUMMYFUNCTION("""COMPUTED_VALUE"""),96.5)</f>
        <v>96.5</v>
      </c>
      <c r="G205" s="1">
        <f ca="1">IFERROR(__xludf.DUMMYFUNCTION("""COMPUTED_VALUE"""),259)</f>
        <v>259</v>
      </c>
      <c r="H205" s="1">
        <f ca="1">IFERROR(__xludf.DUMMYFUNCTION("""COMPUTED_VALUE"""),99.8)</f>
        <v>99.8</v>
      </c>
      <c r="I205" s="1">
        <f ca="1">IFERROR(__xludf.DUMMYFUNCTION("""COMPUTED_VALUE"""),120)</f>
        <v>120</v>
      </c>
      <c r="J205" s="1">
        <f ca="1">IFERROR(__xludf.DUMMYFUNCTION("""COMPUTED_VALUE"""),64.9)</f>
        <v>64.900000000000006</v>
      </c>
      <c r="K205" s="1">
        <f ca="1">IFERROR(__xludf.DUMMYFUNCTION("""COMPUTED_VALUE"""),258)</f>
        <v>258</v>
      </c>
      <c r="L205" s="1">
        <f ca="1">IFERROR(__xludf.DUMMYFUNCTION("""COMPUTED_VALUE"""),-0.011)</f>
        <v>-1.0999999999999999E-2</v>
      </c>
      <c r="M205" s="1">
        <f ca="1">IFERROR(__xludf.DUMMYFUNCTION("""COMPUTED_VALUE"""),191)</f>
        <v>191</v>
      </c>
      <c r="N205" s="1" t="str">
        <f ca="1">IFERROR(__xludf.DUMMYFUNCTION("""COMPUTED_VALUE"""),"+3.75")</f>
        <v>+3.75</v>
      </c>
      <c r="O205" s="1">
        <f ca="1">IFERROR(__xludf.DUMMYFUNCTION("""COMPUTED_VALUE"""),96)</f>
        <v>96</v>
      </c>
      <c r="P205" s="1">
        <f ca="1">IFERROR(__xludf.DUMMYFUNCTION("""COMPUTED_VALUE"""),104.6)</f>
        <v>104.6</v>
      </c>
      <c r="Q205" s="1">
        <f ca="1">IFERROR(__xludf.DUMMYFUNCTION("""COMPUTED_VALUE"""),87)</f>
        <v>87</v>
      </c>
      <c r="R205" s="1">
        <f ca="1">IFERROR(__xludf.DUMMYFUNCTION("""COMPUTED_VALUE"""),100.9)</f>
        <v>100.9</v>
      </c>
      <c r="S205" s="1">
        <f ca="1">IFERROR(__xludf.DUMMYFUNCTION("""COMPUTED_VALUE"""),103)</f>
        <v>103</v>
      </c>
      <c r="T205" s="1" t="str">
        <f ca="1">IFERROR(__xludf.DUMMYFUNCTION("""COMPUTED_VALUE"""),"+0.55")</f>
        <v>+0.55</v>
      </c>
      <c r="U205" s="1">
        <f ca="1">IFERROR(__xludf.DUMMYFUNCTION("""COMPUTED_VALUE"""),142)</f>
        <v>142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IFERROR(__xludf.DUMMYFUNCTION("""COMPUTED_VALUE"""),"Southwest Texas St.")</f>
        <v>Southwest Texas St.</v>
      </c>
      <c r="C206" s="1" t="str">
        <f ca="1">IFERROR(__xludf.DUMMYFUNCTION("""COMPUTED_VALUE"""),"Slnd")</f>
        <v>Slnd</v>
      </c>
      <c r="D206" s="1" t="str">
        <f ca="1">IFERROR(__xludf.DUMMYFUNCTION("""COMPUTED_VALUE"""),"15-12")</f>
        <v>15-12</v>
      </c>
      <c r="E206" s="1">
        <f ca="1">IFERROR(__xludf.DUMMYFUNCTION("""COMPUTED_VALUE"""),-3.28)</f>
        <v>-3.28</v>
      </c>
      <c r="F206" s="1">
        <f ca="1">IFERROR(__xludf.DUMMYFUNCTION("""COMPUTED_VALUE"""),101.4)</f>
        <v>101.4</v>
      </c>
      <c r="G206" s="1">
        <f ca="1">IFERROR(__xludf.DUMMYFUNCTION("""COMPUTED_VALUE"""),182)</f>
        <v>182</v>
      </c>
      <c r="H206" s="1">
        <f ca="1">IFERROR(__xludf.DUMMYFUNCTION("""COMPUTED_VALUE"""),104.7)</f>
        <v>104.7</v>
      </c>
      <c r="I206" s="1">
        <f ca="1">IFERROR(__xludf.DUMMYFUNCTION("""COMPUTED_VALUE"""),209)</f>
        <v>209</v>
      </c>
      <c r="J206" s="1">
        <f ca="1">IFERROR(__xludf.DUMMYFUNCTION("""COMPUTED_VALUE"""),67.4)</f>
        <v>67.400000000000006</v>
      </c>
      <c r="K206" s="1">
        <f ca="1">IFERROR(__xludf.DUMMYFUNCTION("""COMPUTED_VALUE"""),148)</f>
        <v>148</v>
      </c>
      <c r="L206" s="1">
        <f ca="1">IFERROR(__xludf.DUMMYFUNCTION("""COMPUTED_VALUE"""),-0.035)</f>
        <v>-3.5000000000000003E-2</v>
      </c>
      <c r="M206" s="1">
        <f ca="1">IFERROR(__xludf.DUMMYFUNCTION("""COMPUTED_VALUE"""),261)</f>
        <v>261</v>
      </c>
      <c r="N206" s="1">
        <f ca="1">IFERROR(__xludf.DUMMYFUNCTION("""COMPUTED_VALUE"""),-7.56)</f>
        <v>-7.56</v>
      </c>
      <c r="O206" s="1">
        <f ca="1">IFERROR(__xludf.DUMMYFUNCTION("""COMPUTED_VALUE"""),283)</f>
        <v>283</v>
      </c>
      <c r="P206" s="1">
        <f ca="1">IFERROR(__xludf.DUMMYFUNCTION("""COMPUTED_VALUE"""),96.4)</f>
        <v>96.4</v>
      </c>
      <c r="Q206" s="1">
        <f ca="1">IFERROR(__xludf.DUMMYFUNCTION("""COMPUTED_VALUE"""),310)</f>
        <v>310</v>
      </c>
      <c r="R206" s="1">
        <f ca="1">IFERROR(__xludf.DUMMYFUNCTION("""COMPUTED_VALUE"""),103.9)</f>
        <v>103.9</v>
      </c>
      <c r="S206" s="1">
        <f ca="1">IFERROR(__xludf.DUMMYFUNCTION("""COMPUTED_VALUE"""),221)</f>
        <v>221</v>
      </c>
      <c r="T206" s="1">
        <f ca="1">IFERROR(__xludf.DUMMYFUNCTION("""COMPUTED_VALUE"""),-1.1)</f>
        <v>-1.1000000000000001</v>
      </c>
      <c r="U206" s="1">
        <f ca="1">IFERROR(__xludf.DUMMYFUNCTION("""COMPUTED_VALUE"""),181)</f>
        <v>181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IFERROR(__xludf.DUMMYFUNCTION("""COMPUTED_VALUE"""),"Maine")</f>
        <v>Maine</v>
      </c>
      <c r="C207" s="1" t="str">
        <f ca="1">IFERROR(__xludf.DUMMYFUNCTION("""COMPUTED_VALUE"""),"AE")</f>
        <v>AE</v>
      </c>
      <c r="D207" s="2">
        <f ca="1">IFERROR(__xludf.DUMMYFUNCTION("""COMPUTED_VALUE"""),44911)</f>
        <v>44911</v>
      </c>
      <c r="E207" s="1">
        <f ca="1">IFERROR(__xludf.DUMMYFUNCTION("""COMPUTED_VALUE"""),-3.32)</f>
        <v>-3.32</v>
      </c>
      <c r="F207" s="1">
        <f ca="1">IFERROR(__xludf.DUMMYFUNCTION("""COMPUTED_VALUE"""),99.5)</f>
        <v>99.5</v>
      </c>
      <c r="G207" s="1">
        <f ca="1">IFERROR(__xludf.DUMMYFUNCTION("""COMPUTED_VALUE"""),209)</f>
        <v>209</v>
      </c>
      <c r="H207" s="1">
        <f ca="1">IFERROR(__xludf.DUMMYFUNCTION("""COMPUTED_VALUE"""),102.9)</f>
        <v>102.9</v>
      </c>
      <c r="I207" s="1">
        <f ca="1">IFERROR(__xludf.DUMMYFUNCTION("""COMPUTED_VALUE"""),175)</f>
        <v>175</v>
      </c>
      <c r="J207" s="1">
        <f ca="1">IFERROR(__xludf.DUMMYFUNCTION("""COMPUTED_VALUE"""),68.3)</f>
        <v>68.3</v>
      </c>
      <c r="K207" s="1">
        <f ca="1">IFERROR(__xludf.DUMMYFUNCTION("""COMPUTED_VALUE"""),108)</f>
        <v>108</v>
      </c>
      <c r="L207" s="1">
        <f ca="1">IFERROR(__xludf.DUMMYFUNCTION("""COMPUTED_VALUE"""),-0.099)</f>
        <v>-9.9000000000000005E-2</v>
      </c>
      <c r="M207" s="1">
        <f ca="1">IFERROR(__xludf.DUMMYFUNCTION("""COMPUTED_VALUE"""),312)</f>
        <v>312</v>
      </c>
      <c r="N207" s="1">
        <f ca="1">IFERROR(__xludf.DUMMYFUNCTION("""COMPUTED_VALUE"""),-5.43)</f>
        <v>-5.43</v>
      </c>
      <c r="O207" s="1">
        <f ca="1">IFERROR(__xludf.DUMMYFUNCTION("""COMPUTED_VALUE"""),258)</f>
        <v>258</v>
      </c>
      <c r="P207" s="1">
        <f ca="1">IFERROR(__xludf.DUMMYFUNCTION("""COMPUTED_VALUE"""),99.6)</f>
        <v>99.6</v>
      </c>
      <c r="Q207" s="1">
        <f ca="1">IFERROR(__xludf.DUMMYFUNCTION("""COMPUTED_VALUE"""),240)</f>
        <v>240</v>
      </c>
      <c r="R207" s="1">
        <f ca="1">IFERROR(__xludf.DUMMYFUNCTION("""COMPUTED_VALUE"""),105)</f>
        <v>105</v>
      </c>
      <c r="S207" s="1">
        <f ca="1">IFERROR(__xludf.DUMMYFUNCTION("""COMPUTED_VALUE"""),274)</f>
        <v>274</v>
      </c>
      <c r="T207" s="1">
        <f ca="1">IFERROR(__xludf.DUMMYFUNCTION("""COMPUTED_VALUE"""),-2.02)</f>
        <v>-2.02</v>
      </c>
      <c r="U207" s="1">
        <f ca="1">IFERROR(__xludf.DUMMYFUNCTION("""COMPUTED_VALUE"""),205)</f>
        <v>205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IFERROR(__xludf.DUMMYFUNCTION("""COMPUTED_VALUE"""),"Binghamton")</f>
        <v>Binghamton</v>
      </c>
      <c r="C208" s="1" t="str">
        <f ca="1">IFERROR(__xludf.DUMMYFUNCTION("""COMPUTED_VALUE"""),"AE")</f>
        <v>AE</v>
      </c>
      <c r="D208" s="1" t="str">
        <f ca="1">IFERROR(__xludf.DUMMYFUNCTION("""COMPUTED_VALUE"""),"14-13")</f>
        <v>14-13</v>
      </c>
      <c r="E208" s="1">
        <f ca="1">IFERROR(__xludf.DUMMYFUNCTION("""COMPUTED_VALUE"""),-3.57)</f>
        <v>-3.57</v>
      </c>
      <c r="F208" s="1">
        <f ca="1">IFERROR(__xludf.DUMMYFUNCTION("""COMPUTED_VALUE"""),96.7)</f>
        <v>96.7</v>
      </c>
      <c r="G208" s="1">
        <f ca="1">IFERROR(__xludf.DUMMYFUNCTION("""COMPUTED_VALUE"""),258)</f>
        <v>258</v>
      </c>
      <c r="H208" s="1">
        <f ca="1">IFERROR(__xludf.DUMMYFUNCTION("""COMPUTED_VALUE"""),100.3)</f>
        <v>100.3</v>
      </c>
      <c r="I208" s="1">
        <f ca="1">IFERROR(__xludf.DUMMYFUNCTION("""COMPUTED_VALUE"""),129)</f>
        <v>129</v>
      </c>
      <c r="J208" s="1">
        <f ca="1">IFERROR(__xludf.DUMMYFUNCTION("""COMPUTED_VALUE"""),66.1)</f>
        <v>66.099999999999994</v>
      </c>
      <c r="K208" s="1">
        <f ca="1">IFERROR(__xludf.DUMMYFUNCTION("""COMPUTED_VALUE"""),203)</f>
        <v>203</v>
      </c>
      <c r="L208" s="1" t="str">
        <f ca="1">IFERROR(__xludf.DUMMYFUNCTION("""COMPUTED_VALUE"""),"+.007")</f>
        <v>+.007</v>
      </c>
      <c r="M208" s="1">
        <f ca="1">IFERROR(__xludf.DUMMYFUNCTION("""COMPUTED_VALUE"""),145)</f>
        <v>145</v>
      </c>
      <c r="N208" s="1">
        <f ca="1">IFERROR(__xludf.DUMMYFUNCTION("""COMPUTED_VALUE"""),-5.23)</f>
        <v>-5.23</v>
      </c>
      <c r="O208" s="1">
        <f ca="1">IFERROR(__xludf.DUMMYFUNCTION("""COMPUTED_VALUE"""),254)</f>
        <v>254</v>
      </c>
      <c r="P208" s="1">
        <f ca="1">IFERROR(__xludf.DUMMYFUNCTION("""COMPUTED_VALUE"""),99.3)</f>
        <v>99.3</v>
      </c>
      <c r="Q208" s="1">
        <f ca="1">IFERROR(__xludf.DUMMYFUNCTION("""COMPUTED_VALUE"""),250)</f>
        <v>250</v>
      </c>
      <c r="R208" s="1">
        <f ca="1">IFERROR(__xludf.DUMMYFUNCTION("""COMPUTED_VALUE"""),104.5)</f>
        <v>104.5</v>
      </c>
      <c r="S208" s="1">
        <f ca="1">IFERROR(__xludf.DUMMYFUNCTION("""COMPUTED_VALUE"""),251)</f>
        <v>251</v>
      </c>
      <c r="T208" s="1">
        <f ca="1">IFERROR(__xludf.DUMMYFUNCTION("""COMPUTED_VALUE"""),-2.15)</f>
        <v>-2.15</v>
      </c>
      <c r="U208" s="1">
        <f ca="1">IFERROR(__xludf.DUMMYFUNCTION("""COMPUTED_VALUE"""),207)</f>
        <v>207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IFERROR(__xludf.DUMMYFUNCTION("""COMPUTED_VALUE"""),"Hartford")</f>
        <v>Hartford</v>
      </c>
      <c r="C209" s="1" t="str">
        <f ca="1">IFERROR(__xludf.DUMMYFUNCTION("""COMPUTED_VALUE"""),"AE")</f>
        <v>AE</v>
      </c>
      <c r="D209" s="1" t="str">
        <f ca="1">IFERROR(__xludf.DUMMYFUNCTION("""COMPUTED_VALUE"""),"15-13")</f>
        <v>15-13</v>
      </c>
      <c r="E209" s="1">
        <f ca="1">IFERROR(__xludf.DUMMYFUNCTION("""COMPUTED_VALUE"""),-3.68)</f>
        <v>-3.68</v>
      </c>
      <c r="F209" s="1">
        <f ca="1">IFERROR(__xludf.DUMMYFUNCTION("""COMPUTED_VALUE"""),98.2)</f>
        <v>98.2</v>
      </c>
      <c r="G209" s="1">
        <f ca="1">IFERROR(__xludf.DUMMYFUNCTION("""COMPUTED_VALUE"""),239)</f>
        <v>239</v>
      </c>
      <c r="H209" s="1">
        <f ca="1">IFERROR(__xludf.DUMMYFUNCTION("""COMPUTED_VALUE"""),101.9)</f>
        <v>101.9</v>
      </c>
      <c r="I209" s="1">
        <f ca="1">IFERROR(__xludf.DUMMYFUNCTION("""COMPUTED_VALUE"""),160)</f>
        <v>160</v>
      </c>
      <c r="J209" s="1">
        <f ca="1">IFERROR(__xludf.DUMMYFUNCTION("""COMPUTED_VALUE"""),64.1)</f>
        <v>64.099999999999994</v>
      </c>
      <c r="K209" s="1">
        <f ca="1">IFERROR(__xludf.DUMMYFUNCTION("""COMPUTED_VALUE"""),280)</f>
        <v>280</v>
      </c>
      <c r="L209" s="1" t="str">
        <f ca="1">IFERROR(__xludf.DUMMYFUNCTION("""COMPUTED_VALUE"""),"+.024")</f>
        <v>+.024</v>
      </c>
      <c r="M209" s="1">
        <f ca="1">IFERROR(__xludf.DUMMYFUNCTION("""COMPUTED_VALUE"""),108)</f>
        <v>108</v>
      </c>
      <c r="N209" s="1">
        <f ca="1">IFERROR(__xludf.DUMMYFUNCTION("""COMPUTED_VALUE"""),-6.37)</f>
        <v>-6.37</v>
      </c>
      <c r="O209" s="1">
        <f ca="1">IFERROR(__xludf.DUMMYFUNCTION("""COMPUTED_VALUE"""),271)</f>
        <v>271</v>
      </c>
      <c r="P209" s="1">
        <f ca="1">IFERROR(__xludf.DUMMYFUNCTION("""COMPUTED_VALUE"""),98.2)</f>
        <v>98.2</v>
      </c>
      <c r="Q209" s="1">
        <f ca="1">IFERROR(__xludf.DUMMYFUNCTION("""COMPUTED_VALUE"""),273)</f>
        <v>273</v>
      </c>
      <c r="R209" s="1">
        <f ca="1">IFERROR(__xludf.DUMMYFUNCTION("""COMPUTED_VALUE"""),104.6)</f>
        <v>104.6</v>
      </c>
      <c r="S209" s="1">
        <f ca="1">IFERROR(__xludf.DUMMYFUNCTION("""COMPUTED_VALUE"""),257)</f>
        <v>257</v>
      </c>
      <c r="T209" s="1">
        <f ca="1">IFERROR(__xludf.DUMMYFUNCTION("""COMPUTED_VALUE"""),-4.04)</f>
        <v>-4.04</v>
      </c>
      <c r="U209" s="1">
        <f ca="1">IFERROR(__xludf.DUMMYFUNCTION("""COMPUTED_VALUE"""),255)</f>
        <v>255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IFERROR(__xludf.DUMMYFUNCTION("""COMPUTED_VALUE"""),"Wofford")</f>
        <v>Wofford</v>
      </c>
      <c r="C210" s="1" t="str">
        <f ca="1">IFERROR(__xludf.DUMMYFUNCTION("""COMPUTED_VALUE"""),"SC")</f>
        <v>SC</v>
      </c>
      <c r="D210" s="2">
        <f ca="1">IFERROR(__xludf.DUMMYFUNCTION("""COMPUTED_VALUE"""),44849)</f>
        <v>44849</v>
      </c>
      <c r="E210" s="1">
        <f ca="1">IFERROR(__xludf.DUMMYFUNCTION("""COMPUTED_VALUE"""),-3.75)</f>
        <v>-3.75</v>
      </c>
      <c r="F210" s="1">
        <f ca="1">IFERROR(__xludf.DUMMYFUNCTION("""COMPUTED_VALUE"""),104.2)</f>
        <v>104.2</v>
      </c>
      <c r="G210" s="1">
        <f ca="1">IFERROR(__xludf.DUMMYFUNCTION("""COMPUTED_VALUE"""),128)</f>
        <v>128</v>
      </c>
      <c r="H210" s="1">
        <f ca="1">IFERROR(__xludf.DUMMYFUNCTION("""COMPUTED_VALUE"""),108)</f>
        <v>108</v>
      </c>
      <c r="I210" s="1">
        <f ca="1">IFERROR(__xludf.DUMMYFUNCTION("""COMPUTED_VALUE"""),270)</f>
        <v>270</v>
      </c>
      <c r="J210" s="1">
        <f ca="1">IFERROR(__xludf.DUMMYFUNCTION("""COMPUTED_VALUE"""),68.4)</f>
        <v>68.400000000000006</v>
      </c>
      <c r="K210" s="1">
        <f ca="1">IFERROR(__xludf.DUMMYFUNCTION("""COMPUTED_VALUE"""),105)</f>
        <v>105</v>
      </c>
      <c r="L210" s="1" t="str">
        <f ca="1">IFERROR(__xludf.DUMMYFUNCTION("""COMPUTED_VALUE"""),"+.016")</f>
        <v>+.016</v>
      </c>
      <c r="M210" s="1">
        <f ca="1">IFERROR(__xludf.DUMMYFUNCTION("""COMPUTED_VALUE"""),122)</f>
        <v>122</v>
      </c>
      <c r="N210" s="1">
        <f ca="1">IFERROR(__xludf.DUMMYFUNCTION("""COMPUTED_VALUE"""),-0.27)</f>
        <v>-0.27</v>
      </c>
      <c r="O210" s="1">
        <f ca="1">IFERROR(__xludf.DUMMYFUNCTION("""COMPUTED_VALUE"""),156)</f>
        <v>156</v>
      </c>
      <c r="P210" s="1">
        <f ca="1">IFERROR(__xludf.DUMMYFUNCTION("""COMPUTED_VALUE"""),102.5)</f>
        <v>102.5</v>
      </c>
      <c r="Q210" s="1">
        <f ca="1">IFERROR(__xludf.DUMMYFUNCTION("""COMPUTED_VALUE"""),161)</f>
        <v>161</v>
      </c>
      <c r="R210" s="1">
        <f ca="1">IFERROR(__xludf.DUMMYFUNCTION("""COMPUTED_VALUE"""),102.7)</f>
        <v>102.7</v>
      </c>
      <c r="S210" s="1">
        <f ca="1">IFERROR(__xludf.DUMMYFUNCTION("""COMPUTED_VALUE"""),170)</f>
        <v>170</v>
      </c>
      <c r="T210" s="1" t="str">
        <f ca="1">IFERROR(__xludf.DUMMYFUNCTION("""COMPUTED_VALUE"""),"+12.94")</f>
        <v>+12.94</v>
      </c>
      <c r="U210" s="1">
        <f ca="1">IFERROR(__xludf.DUMMYFUNCTION("""COMPUTED_VALUE"""),6)</f>
        <v>6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IFERROR(__xludf.DUMMYFUNCTION("""COMPUTED_VALUE"""),"Green Bay")</f>
        <v>Green Bay</v>
      </c>
      <c r="C213" s="1" t="str">
        <f ca="1">IFERROR(__xludf.DUMMYFUNCTION("""COMPUTED_VALUE"""),"Horz")</f>
        <v>Horz</v>
      </c>
      <c r="D213" s="2">
        <f ca="1">IFERROR(__xludf.DUMMYFUNCTION("""COMPUTED_VALUE"""),44823)</f>
        <v>44823</v>
      </c>
      <c r="E213" s="1">
        <f ca="1">IFERROR(__xludf.DUMMYFUNCTION("""COMPUTED_VALUE"""),-3.76)</f>
        <v>-3.76</v>
      </c>
      <c r="F213" s="1">
        <f ca="1">IFERROR(__xludf.DUMMYFUNCTION("""COMPUTED_VALUE"""),103.3)</f>
        <v>103.3</v>
      </c>
      <c r="G213" s="1">
        <f ca="1">IFERROR(__xludf.DUMMYFUNCTION("""COMPUTED_VALUE"""),145)</f>
        <v>145</v>
      </c>
      <c r="H213" s="1">
        <f ca="1">IFERROR(__xludf.DUMMYFUNCTION("""COMPUTED_VALUE"""),107.1)</f>
        <v>107.1</v>
      </c>
      <c r="I213" s="1">
        <f ca="1">IFERROR(__xludf.DUMMYFUNCTION("""COMPUTED_VALUE"""),255)</f>
        <v>255</v>
      </c>
      <c r="J213" s="1">
        <f ca="1">IFERROR(__xludf.DUMMYFUNCTION("""COMPUTED_VALUE"""),64.9)</f>
        <v>64.900000000000006</v>
      </c>
      <c r="K213" s="1">
        <f ca="1">IFERROR(__xludf.DUMMYFUNCTION("""COMPUTED_VALUE"""),259)</f>
        <v>259</v>
      </c>
      <c r="L213" s="1">
        <f ca="1">IFERROR(__xludf.DUMMYFUNCTION("""COMPUTED_VALUE"""),-0.062)</f>
        <v>-6.2E-2</v>
      </c>
      <c r="M213" s="1">
        <f ca="1">IFERROR(__xludf.DUMMYFUNCTION("""COMPUTED_VALUE"""),292)</f>
        <v>292</v>
      </c>
      <c r="N213" s="1" t="str">
        <f ca="1">IFERROR(__xludf.DUMMYFUNCTION("""COMPUTED_VALUE"""),"+1.65")</f>
        <v>+1.65</v>
      </c>
      <c r="O213" s="1">
        <f ca="1">IFERROR(__xludf.DUMMYFUNCTION("""COMPUTED_VALUE"""),127)</f>
        <v>127</v>
      </c>
      <c r="P213" s="1">
        <f ca="1">IFERROR(__xludf.DUMMYFUNCTION("""COMPUTED_VALUE"""),104.2)</f>
        <v>104.2</v>
      </c>
      <c r="Q213" s="1">
        <f ca="1">IFERROR(__xludf.DUMMYFUNCTION("""COMPUTED_VALUE"""),107)</f>
        <v>107</v>
      </c>
      <c r="R213" s="1">
        <f ca="1">IFERROR(__xludf.DUMMYFUNCTION("""COMPUTED_VALUE"""),102.5)</f>
        <v>102.5</v>
      </c>
      <c r="S213" s="1">
        <f ca="1">IFERROR(__xludf.DUMMYFUNCTION("""COMPUTED_VALUE"""),158)</f>
        <v>158</v>
      </c>
      <c r="T213" s="1" t="str">
        <f ca="1">IFERROR(__xludf.DUMMYFUNCTION("""COMPUTED_VALUE"""),"+0.95")</f>
        <v>+0.95</v>
      </c>
      <c r="U213" s="1">
        <f ca="1">IFERROR(__xludf.DUMMYFUNCTION("""COMPUTED_VALUE"""),131)</f>
        <v>131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IFERROR(__xludf.DUMMYFUNCTION("""COMPUTED_VALUE"""),"Canisius")</f>
        <v>Canisius</v>
      </c>
      <c r="C214" s="1" t="str">
        <f ca="1">IFERROR(__xludf.DUMMYFUNCTION("""COMPUTED_VALUE"""),"MAAC")</f>
        <v>MAAC</v>
      </c>
      <c r="D214" s="2">
        <f ca="1">IFERROR(__xludf.DUMMYFUNCTION("""COMPUTED_VALUE"""),44852)</f>
        <v>44852</v>
      </c>
      <c r="E214" s="1">
        <f ca="1">IFERROR(__xludf.DUMMYFUNCTION("""COMPUTED_VALUE"""),-3.77)</f>
        <v>-3.77</v>
      </c>
      <c r="F214" s="1">
        <f ca="1">IFERROR(__xludf.DUMMYFUNCTION("""COMPUTED_VALUE"""),99.3)</f>
        <v>99.3</v>
      </c>
      <c r="G214" s="1">
        <f ca="1">IFERROR(__xludf.DUMMYFUNCTION("""COMPUTED_VALUE"""),218)</f>
        <v>218</v>
      </c>
      <c r="H214" s="1">
        <f ca="1">IFERROR(__xludf.DUMMYFUNCTION("""COMPUTED_VALUE"""),103)</f>
        <v>103</v>
      </c>
      <c r="I214" s="1">
        <f ca="1">IFERROR(__xludf.DUMMYFUNCTION("""COMPUTED_VALUE"""),182)</f>
        <v>182</v>
      </c>
      <c r="J214" s="1">
        <f ca="1">IFERROR(__xludf.DUMMYFUNCTION("""COMPUTED_VALUE"""),68.6)</f>
        <v>68.599999999999994</v>
      </c>
      <c r="K214" s="1">
        <f ca="1">IFERROR(__xludf.DUMMYFUNCTION("""COMPUTED_VALUE"""),97)</f>
        <v>97</v>
      </c>
      <c r="L214" s="1">
        <f ca="1">IFERROR(__xludf.DUMMYFUNCTION("""COMPUTED_VALUE"""),-0.116)</f>
        <v>-0.11600000000000001</v>
      </c>
      <c r="M214" s="1">
        <f ca="1">IFERROR(__xludf.DUMMYFUNCTION("""COMPUTED_VALUE"""),321)</f>
        <v>321</v>
      </c>
      <c r="N214" s="1">
        <f ca="1">IFERROR(__xludf.DUMMYFUNCTION("""COMPUTED_VALUE"""),-2.57)</f>
        <v>-2.57</v>
      </c>
      <c r="O214" s="1">
        <f ca="1">IFERROR(__xludf.DUMMYFUNCTION("""COMPUTED_VALUE"""),210)</f>
        <v>210</v>
      </c>
      <c r="P214" s="1">
        <f ca="1">IFERROR(__xludf.DUMMYFUNCTION("""COMPUTED_VALUE"""),101.2)</f>
        <v>101.2</v>
      </c>
      <c r="Q214" s="1">
        <f ca="1">IFERROR(__xludf.DUMMYFUNCTION("""COMPUTED_VALUE"""),196)</f>
        <v>196</v>
      </c>
      <c r="R214" s="1">
        <f ca="1">IFERROR(__xludf.DUMMYFUNCTION("""COMPUTED_VALUE"""),103.7)</f>
        <v>103.7</v>
      </c>
      <c r="S214" s="1">
        <f ca="1">IFERROR(__xludf.DUMMYFUNCTION("""COMPUTED_VALUE"""),210)</f>
        <v>210</v>
      </c>
      <c r="T214" s="1">
        <f ca="1">IFERROR(__xludf.DUMMYFUNCTION("""COMPUTED_VALUE"""),-0.42)</f>
        <v>-0.42</v>
      </c>
      <c r="U214" s="1">
        <f ca="1">IFERROR(__xludf.DUMMYFUNCTION("""COMPUTED_VALUE"""),161)</f>
        <v>161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IFERROR(__xludf.DUMMYFUNCTION("""COMPUTED_VALUE"""),"Eastern Michigan")</f>
        <v>Eastern Michigan</v>
      </c>
      <c r="C215" s="1" t="str">
        <f ca="1">IFERROR(__xludf.DUMMYFUNCTION("""COMPUTED_VALUE"""),"MAC")</f>
        <v>MAC</v>
      </c>
      <c r="D215" s="2">
        <f ca="1">IFERROR(__xludf.DUMMYFUNCTION("""COMPUTED_VALUE"""),44909)</f>
        <v>44909</v>
      </c>
      <c r="E215" s="1">
        <f ca="1">IFERROR(__xludf.DUMMYFUNCTION("""COMPUTED_VALUE"""),-3.86)</f>
        <v>-3.86</v>
      </c>
      <c r="F215" s="1">
        <f ca="1">IFERROR(__xludf.DUMMYFUNCTION("""COMPUTED_VALUE"""),104)</f>
        <v>104</v>
      </c>
      <c r="G215" s="1">
        <f ca="1">IFERROR(__xludf.DUMMYFUNCTION("""COMPUTED_VALUE"""),132)</f>
        <v>132</v>
      </c>
      <c r="H215" s="1">
        <f ca="1">IFERROR(__xludf.DUMMYFUNCTION("""COMPUTED_VALUE"""),107.8)</f>
        <v>107.8</v>
      </c>
      <c r="I215" s="1">
        <f ca="1">IFERROR(__xludf.DUMMYFUNCTION("""COMPUTED_VALUE"""),267)</f>
        <v>267</v>
      </c>
      <c r="J215" s="1">
        <f ca="1">IFERROR(__xludf.DUMMYFUNCTION("""COMPUTED_VALUE"""),72.8)</f>
        <v>72.8</v>
      </c>
      <c r="K215" s="1">
        <f ca="1">IFERROR(__xludf.DUMMYFUNCTION("""COMPUTED_VALUE"""),8)</f>
        <v>8</v>
      </c>
      <c r="L215" s="1" t="str">
        <f ca="1">IFERROR(__xludf.DUMMYFUNCTION("""COMPUTED_VALUE"""),"+.057")</f>
        <v>+.057</v>
      </c>
      <c r="M215" s="1">
        <f ca="1">IFERROR(__xludf.DUMMYFUNCTION("""COMPUTED_VALUE"""),47)</f>
        <v>47</v>
      </c>
      <c r="N215" s="1">
        <f ca="1">IFERROR(__xludf.DUMMYFUNCTION("""COMPUTED_VALUE"""),-1.01)</f>
        <v>-1.01</v>
      </c>
      <c r="O215" s="1">
        <f ca="1">IFERROR(__xludf.DUMMYFUNCTION("""COMPUTED_VALUE"""),173)</f>
        <v>173</v>
      </c>
      <c r="P215" s="1">
        <f ca="1">IFERROR(__xludf.DUMMYFUNCTION("""COMPUTED_VALUE"""),102.1)</f>
        <v>102.1</v>
      </c>
      <c r="Q215" s="1">
        <f ca="1">IFERROR(__xludf.DUMMYFUNCTION("""COMPUTED_VALUE"""),172)</f>
        <v>172</v>
      </c>
      <c r="R215" s="1">
        <f ca="1">IFERROR(__xludf.DUMMYFUNCTION("""COMPUTED_VALUE"""),103.1)</f>
        <v>103.1</v>
      </c>
      <c r="S215" s="1">
        <f ca="1">IFERROR(__xludf.DUMMYFUNCTION("""COMPUTED_VALUE"""),189)</f>
        <v>189</v>
      </c>
      <c r="T215" s="1">
        <f ca="1">IFERROR(__xludf.DUMMYFUNCTION("""COMPUTED_VALUE"""),-7.61)</f>
        <v>-7.61</v>
      </c>
      <c r="U215" s="1">
        <f ca="1">IFERROR(__xludf.DUMMYFUNCTION("""COMPUTED_VALUE"""),302)</f>
        <v>302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IFERROR(__xludf.DUMMYFUNCTION("""COMPUTED_VALUE"""),"Loyola Marymount")</f>
        <v>Loyola Marymount</v>
      </c>
      <c r="C216" s="1" t="str">
        <f ca="1">IFERROR(__xludf.DUMMYFUNCTION("""COMPUTED_VALUE"""),"WCC")</f>
        <v>WCC</v>
      </c>
      <c r="D216" s="2">
        <f ca="1">IFERROR(__xludf.DUMMYFUNCTION("""COMPUTED_VALUE"""),44884)</f>
        <v>44884</v>
      </c>
      <c r="E216" s="1">
        <f ca="1">IFERROR(__xludf.DUMMYFUNCTION("""COMPUTED_VALUE"""),-4.09)</f>
        <v>-4.09</v>
      </c>
      <c r="F216" s="1">
        <f ca="1">IFERROR(__xludf.DUMMYFUNCTION("""COMPUTED_VALUE"""),98.4)</f>
        <v>98.4</v>
      </c>
      <c r="G216" s="1">
        <f ca="1">IFERROR(__xludf.DUMMYFUNCTION("""COMPUTED_VALUE"""),233)</f>
        <v>233</v>
      </c>
      <c r="H216" s="1">
        <f ca="1">IFERROR(__xludf.DUMMYFUNCTION("""COMPUTED_VALUE"""),102.5)</f>
        <v>102.5</v>
      </c>
      <c r="I216" s="1">
        <f ca="1">IFERROR(__xludf.DUMMYFUNCTION("""COMPUTED_VALUE"""),173)</f>
        <v>173</v>
      </c>
      <c r="J216" s="1">
        <f ca="1">IFERROR(__xludf.DUMMYFUNCTION("""COMPUTED_VALUE"""),69.8)</f>
        <v>69.8</v>
      </c>
      <c r="K216" s="1">
        <f ca="1">IFERROR(__xludf.DUMMYFUNCTION("""COMPUTED_VALUE"""),59)</f>
        <v>59</v>
      </c>
      <c r="L216" s="1">
        <f ca="1">IFERROR(__xludf.DUMMYFUNCTION("""COMPUTED_VALUE"""),-0.021)</f>
        <v>-2.1000000000000001E-2</v>
      </c>
      <c r="M216" s="1">
        <f ca="1">IFERROR(__xludf.DUMMYFUNCTION("""COMPUTED_VALUE"""),219)</f>
        <v>219</v>
      </c>
      <c r="N216" s="1" t="str">
        <f ca="1">IFERROR(__xludf.DUMMYFUNCTION("""COMPUTED_VALUE"""),"+0.23")</f>
        <v>+0.23</v>
      </c>
      <c r="O216" s="1">
        <f ca="1">IFERROR(__xludf.DUMMYFUNCTION("""COMPUTED_VALUE"""),149)</f>
        <v>149</v>
      </c>
      <c r="P216" s="1">
        <f ca="1">IFERROR(__xludf.DUMMYFUNCTION("""COMPUTED_VALUE"""),103.2)</f>
        <v>103.2</v>
      </c>
      <c r="Q216" s="1">
        <f ca="1">IFERROR(__xludf.DUMMYFUNCTION("""COMPUTED_VALUE"""),140)</f>
        <v>140</v>
      </c>
      <c r="R216" s="1">
        <f ca="1">IFERROR(__xludf.DUMMYFUNCTION("""COMPUTED_VALUE"""),103)</f>
        <v>103</v>
      </c>
      <c r="S216" s="1">
        <f ca="1">IFERROR(__xludf.DUMMYFUNCTION("""COMPUTED_VALUE"""),181)</f>
        <v>181</v>
      </c>
      <c r="T216" s="1">
        <f ca="1">IFERROR(__xludf.DUMMYFUNCTION("""COMPUTED_VALUE"""),-1.78)</f>
        <v>-1.78</v>
      </c>
      <c r="U216" s="1">
        <f ca="1">IFERROR(__xludf.DUMMYFUNCTION("""COMPUTED_VALUE"""),196)</f>
        <v>196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IFERROR(__xludf.DUMMYFUNCTION("""COMPUTED_VALUE"""),"Samford")</f>
        <v>Samford</v>
      </c>
      <c r="C217" s="1" t="str">
        <f ca="1">IFERROR(__xludf.DUMMYFUNCTION("""COMPUTED_VALUE"""),"ASun")</f>
        <v>ASun</v>
      </c>
      <c r="D217" s="2">
        <f ca="1">IFERROR(__xludf.DUMMYFUNCTION("""COMPUTED_VALUE"""),44910)</f>
        <v>44910</v>
      </c>
      <c r="E217" s="1">
        <f ca="1">IFERROR(__xludf.DUMMYFUNCTION("""COMPUTED_VALUE"""),-4.16)</f>
        <v>-4.16</v>
      </c>
      <c r="F217" s="1">
        <f ca="1">IFERROR(__xludf.DUMMYFUNCTION("""COMPUTED_VALUE"""),101)</f>
        <v>101</v>
      </c>
      <c r="G217" s="1">
        <f ca="1">IFERROR(__xludf.DUMMYFUNCTION("""COMPUTED_VALUE"""),192)</f>
        <v>192</v>
      </c>
      <c r="H217" s="1">
        <f ca="1">IFERROR(__xludf.DUMMYFUNCTION("""COMPUTED_VALUE"""),105.1)</f>
        <v>105.1</v>
      </c>
      <c r="I217" s="1">
        <f ca="1">IFERROR(__xludf.DUMMYFUNCTION("""COMPUTED_VALUE"""),222)</f>
        <v>222</v>
      </c>
      <c r="J217" s="1">
        <f ca="1">IFERROR(__xludf.DUMMYFUNCTION("""COMPUTED_VALUE"""),58.8)</f>
        <v>58.8</v>
      </c>
      <c r="K217" s="1">
        <f ca="1">IFERROR(__xludf.DUMMYFUNCTION("""COMPUTED_VALUE"""),324)</f>
        <v>324</v>
      </c>
      <c r="L217" s="1">
        <f ca="1">IFERROR(__xludf.DUMMYFUNCTION("""COMPUTED_VALUE"""),-0.008)</f>
        <v>-8.0000000000000002E-3</v>
      </c>
      <c r="M217" s="1">
        <f ca="1">IFERROR(__xludf.DUMMYFUNCTION("""COMPUTED_VALUE"""),186)</f>
        <v>186</v>
      </c>
      <c r="N217" s="1">
        <f ca="1">IFERROR(__xludf.DUMMYFUNCTION("""COMPUTED_VALUE"""),-2.42)</f>
        <v>-2.42</v>
      </c>
      <c r="O217" s="1">
        <f ca="1">IFERROR(__xludf.DUMMYFUNCTION("""COMPUTED_VALUE"""),207)</f>
        <v>207</v>
      </c>
      <c r="P217" s="1">
        <f ca="1">IFERROR(__xludf.DUMMYFUNCTION("""COMPUTED_VALUE"""),102.1)</f>
        <v>102.1</v>
      </c>
      <c r="Q217" s="1">
        <f ca="1">IFERROR(__xludf.DUMMYFUNCTION("""COMPUTED_VALUE"""),170)</f>
        <v>170</v>
      </c>
      <c r="R217" s="1">
        <f ca="1">IFERROR(__xludf.DUMMYFUNCTION("""COMPUTED_VALUE"""),104.5)</f>
        <v>104.5</v>
      </c>
      <c r="S217" s="1">
        <f ca="1">IFERROR(__xludf.DUMMYFUNCTION("""COMPUTED_VALUE"""),253)</f>
        <v>253</v>
      </c>
      <c r="T217" s="1" t="str">
        <f ca="1">IFERROR(__xludf.DUMMYFUNCTION("""COMPUTED_VALUE"""),"+6.06")</f>
        <v>+6.06</v>
      </c>
      <c r="U217" s="1">
        <f ca="1">IFERROR(__xludf.DUMMYFUNCTION("""COMPUTED_VALUE"""),36)</f>
        <v>36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IFERROR(__xludf.DUMMYFUNCTION("""COMPUTED_VALUE"""),"Duquesne")</f>
        <v>Duquesne</v>
      </c>
      <c r="C218" s="1" t="str">
        <f ca="1">IFERROR(__xludf.DUMMYFUNCTION("""COMPUTED_VALUE"""),"A10")</f>
        <v>A10</v>
      </c>
      <c r="D218" s="2">
        <f ca="1">IFERROR(__xludf.DUMMYFUNCTION("""COMPUTED_VALUE"""),44825)</f>
        <v>44825</v>
      </c>
      <c r="E218" s="1">
        <f ca="1">IFERROR(__xludf.DUMMYFUNCTION("""COMPUTED_VALUE"""),-4.17)</f>
        <v>-4.17</v>
      </c>
      <c r="F218" s="1">
        <f ca="1">IFERROR(__xludf.DUMMYFUNCTION("""COMPUTED_VALUE"""),99.4)</f>
        <v>99.4</v>
      </c>
      <c r="G218" s="1">
        <f ca="1">IFERROR(__xludf.DUMMYFUNCTION("""COMPUTED_VALUE"""),215)</f>
        <v>215</v>
      </c>
      <c r="H218" s="1">
        <f ca="1">IFERROR(__xludf.DUMMYFUNCTION("""COMPUTED_VALUE"""),103.5)</f>
        <v>103.5</v>
      </c>
      <c r="I218" s="1">
        <f ca="1">IFERROR(__xludf.DUMMYFUNCTION("""COMPUTED_VALUE"""),190)</f>
        <v>190</v>
      </c>
      <c r="J218" s="1">
        <f ca="1">IFERROR(__xludf.DUMMYFUNCTION("""COMPUTED_VALUE"""),68)</f>
        <v>68</v>
      </c>
      <c r="K218" s="1">
        <f ca="1">IFERROR(__xludf.DUMMYFUNCTION("""COMPUTED_VALUE"""),119)</f>
        <v>119</v>
      </c>
      <c r="L218" s="1">
        <f ca="1">IFERROR(__xludf.DUMMYFUNCTION("""COMPUTED_VALUE"""),-0.015)</f>
        <v>-1.4999999999999999E-2</v>
      </c>
      <c r="M218" s="1">
        <f ca="1">IFERROR(__xludf.DUMMYFUNCTION("""COMPUTED_VALUE"""),203)</f>
        <v>203</v>
      </c>
      <c r="N218" s="1" t="str">
        <f ca="1">IFERROR(__xludf.DUMMYFUNCTION("""COMPUTED_VALUE"""),"+2.98")</f>
        <v>+2.98</v>
      </c>
      <c r="O218" s="1">
        <f ca="1">IFERROR(__xludf.DUMMYFUNCTION("""COMPUTED_VALUE"""),110)</f>
        <v>110</v>
      </c>
      <c r="P218" s="1">
        <f ca="1">IFERROR(__xludf.DUMMYFUNCTION("""COMPUTED_VALUE"""),103.5)</f>
        <v>103.5</v>
      </c>
      <c r="Q218" s="1">
        <f ca="1">IFERROR(__xludf.DUMMYFUNCTION("""COMPUTED_VALUE"""),126)</f>
        <v>126</v>
      </c>
      <c r="R218" s="1">
        <f ca="1">IFERROR(__xludf.DUMMYFUNCTION("""COMPUTED_VALUE"""),100.5)</f>
        <v>100.5</v>
      </c>
      <c r="S218" s="1">
        <f ca="1">IFERROR(__xludf.DUMMYFUNCTION("""COMPUTED_VALUE"""),96)</f>
        <v>96</v>
      </c>
      <c r="T218" s="1">
        <f ca="1">IFERROR(__xludf.DUMMYFUNCTION("""COMPUTED_VALUE"""),-3.32)</f>
        <v>-3.32</v>
      </c>
      <c r="U218" s="1">
        <f ca="1">IFERROR(__xludf.DUMMYFUNCTION("""COMPUTED_VALUE"""),233)</f>
        <v>233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IFERROR(__xludf.DUMMYFUNCTION("""COMPUTED_VALUE"""),"Portland")</f>
        <v>Portland</v>
      </c>
      <c r="C219" s="1" t="str">
        <f ca="1">IFERROR(__xludf.DUMMYFUNCTION("""COMPUTED_VALUE"""),"WCC")</f>
        <v>WCC</v>
      </c>
      <c r="D219" s="2">
        <f ca="1">IFERROR(__xludf.DUMMYFUNCTION("""COMPUTED_VALUE"""),44851)</f>
        <v>44851</v>
      </c>
      <c r="E219" s="1">
        <f ca="1">IFERROR(__xludf.DUMMYFUNCTION("""COMPUTED_VALUE"""),-4.25)</f>
        <v>-4.25</v>
      </c>
      <c r="F219" s="1">
        <f ca="1">IFERROR(__xludf.DUMMYFUNCTION("""COMPUTED_VALUE"""),98.7)</f>
        <v>98.7</v>
      </c>
      <c r="G219" s="1">
        <f ca="1">IFERROR(__xludf.DUMMYFUNCTION("""COMPUTED_VALUE"""),229)</f>
        <v>229</v>
      </c>
      <c r="H219" s="1">
        <f ca="1">IFERROR(__xludf.DUMMYFUNCTION("""COMPUTED_VALUE"""),103)</f>
        <v>103</v>
      </c>
      <c r="I219" s="1">
        <f ca="1">IFERROR(__xludf.DUMMYFUNCTION("""COMPUTED_VALUE"""),179)</f>
        <v>179</v>
      </c>
      <c r="J219" s="1">
        <f ca="1">IFERROR(__xludf.DUMMYFUNCTION("""COMPUTED_VALUE"""),68.2)</f>
        <v>68.2</v>
      </c>
      <c r="K219" s="1">
        <f ca="1">IFERROR(__xludf.DUMMYFUNCTION("""COMPUTED_VALUE"""),113)</f>
        <v>113</v>
      </c>
      <c r="L219" s="1" t="str">
        <f ca="1">IFERROR(__xludf.DUMMYFUNCTION("""COMPUTED_VALUE"""),"+.011")</f>
        <v>+.011</v>
      </c>
      <c r="M219" s="1">
        <f ca="1">IFERROR(__xludf.DUMMYFUNCTION("""COMPUTED_VALUE"""),137)</f>
        <v>137</v>
      </c>
      <c r="N219" s="1" t="str">
        <f ca="1">IFERROR(__xludf.DUMMYFUNCTION("""COMPUTED_VALUE"""),"+1.38")</f>
        <v>+1.38</v>
      </c>
      <c r="O219" s="1">
        <f ca="1">IFERROR(__xludf.DUMMYFUNCTION("""COMPUTED_VALUE"""),130)</f>
        <v>130</v>
      </c>
      <c r="P219" s="1">
        <f ca="1">IFERROR(__xludf.DUMMYFUNCTION("""COMPUTED_VALUE"""),102.9)</f>
        <v>102.9</v>
      </c>
      <c r="Q219" s="1">
        <f ca="1">IFERROR(__xludf.DUMMYFUNCTION("""COMPUTED_VALUE"""),147)</f>
        <v>147</v>
      </c>
      <c r="R219" s="1">
        <f ca="1">IFERROR(__xludf.DUMMYFUNCTION("""COMPUTED_VALUE"""),101.6)</f>
        <v>101.6</v>
      </c>
      <c r="S219" s="1">
        <f ca="1">IFERROR(__xludf.DUMMYFUNCTION("""COMPUTED_VALUE"""),121)</f>
        <v>121</v>
      </c>
      <c r="T219" s="1" t="str">
        <f ca="1">IFERROR(__xludf.DUMMYFUNCTION("""COMPUTED_VALUE"""),"+0.81")</f>
        <v>+0.81</v>
      </c>
      <c r="U219" s="1">
        <f ca="1">IFERROR(__xludf.DUMMYFUNCTION("""COMPUTED_VALUE"""),135)</f>
        <v>135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IFERROR(__xludf.DUMMYFUNCTION("""COMPUTED_VALUE"""),"Washington St.")</f>
        <v>Washington St.</v>
      </c>
      <c r="C220" s="1" t="str">
        <f ca="1">IFERROR(__xludf.DUMMYFUNCTION("""COMPUTED_VALUE"""),"P10")</f>
        <v>P10</v>
      </c>
      <c r="D220" s="2">
        <f ca="1">IFERROR(__xludf.DUMMYFUNCTION("""COMPUTED_VALUE"""),44762)</f>
        <v>44762</v>
      </c>
      <c r="E220" s="1">
        <f ca="1">IFERROR(__xludf.DUMMYFUNCTION("""COMPUTED_VALUE"""),-4.29)</f>
        <v>-4.29</v>
      </c>
      <c r="F220" s="1">
        <f ca="1">IFERROR(__xludf.DUMMYFUNCTION("""COMPUTED_VALUE"""),101.5)</f>
        <v>101.5</v>
      </c>
      <c r="G220" s="1">
        <f ca="1">IFERROR(__xludf.DUMMYFUNCTION("""COMPUTED_VALUE"""),177)</f>
        <v>177</v>
      </c>
      <c r="H220" s="1">
        <f ca="1">IFERROR(__xludf.DUMMYFUNCTION("""COMPUTED_VALUE"""),105.8)</f>
        <v>105.8</v>
      </c>
      <c r="I220" s="1">
        <f ca="1">IFERROR(__xludf.DUMMYFUNCTION("""COMPUTED_VALUE"""),233)</f>
        <v>233</v>
      </c>
      <c r="J220" s="1">
        <f ca="1">IFERROR(__xludf.DUMMYFUNCTION("""COMPUTED_VALUE"""),68.7)</f>
        <v>68.7</v>
      </c>
      <c r="K220" s="1">
        <f ca="1">IFERROR(__xludf.DUMMYFUNCTION("""COMPUTED_VALUE"""),89)</f>
        <v>89</v>
      </c>
      <c r="L220" s="1">
        <f ca="1">IFERROR(__xludf.DUMMYFUNCTION("""COMPUTED_VALUE"""),-0.012)</f>
        <v>-1.2E-2</v>
      </c>
      <c r="M220" s="1">
        <f ca="1">IFERROR(__xludf.DUMMYFUNCTION("""COMPUTED_VALUE"""),196)</f>
        <v>196</v>
      </c>
      <c r="N220" s="1" t="str">
        <f ca="1">IFERROR(__xludf.DUMMYFUNCTION("""COMPUTED_VALUE"""),"+6.23")</f>
        <v>+6.23</v>
      </c>
      <c r="O220" s="1">
        <f ca="1">IFERROR(__xludf.DUMMYFUNCTION("""COMPUTED_VALUE"""),68)</f>
        <v>68</v>
      </c>
      <c r="P220" s="1">
        <f ca="1">IFERROR(__xludf.DUMMYFUNCTION("""COMPUTED_VALUE"""),106.4)</f>
        <v>106.4</v>
      </c>
      <c r="Q220" s="1">
        <f ca="1">IFERROR(__xludf.DUMMYFUNCTION("""COMPUTED_VALUE"""),38)</f>
        <v>38</v>
      </c>
      <c r="R220" s="1">
        <f ca="1">IFERROR(__xludf.DUMMYFUNCTION("""COMPUTED_VALUE"""),100.2)</f>
        <v>100.2</v>
      </c>
      <c r="S220" s="1">
        <f ca="1">IFERROR(__xludf.DUMMYFUNCTION("""COMPUTED_VALUE"""),89)</f>
        <v>89</v>
      </c>
      <c r="T220" s="1">
        <f ca="1">IFERROR(__xludf.DUMMYFUNCTION("""COMPUTED_VALUE"""),-4.27)</f>
        <v>-4.2699999999999996</v>
      </c>
      <c r="U220" s="1">
        <f ca="1">IFERROR(__xludf.DUMMYFUNCTION("""COMPUTED_VALUE"""),260)</f>
        <v>260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IFERROR(__xludf.DUMMYFUNCTION("""COMPUTED_VALUE"""),"Penn St.")</f>
        <v>Penn St.</v>
      </c>
      <c r="C221" s="1" t="str">
        <f ca="1">IFERROR(__xludf.DUMMYFUNCTION("""COMPUTED_VALUE"""),"B10")</f>
        <v>B10</v>
      </c>
      <c r="D221" s="2">
        <f ca="1">IFERROR(__xludf.DUMMYFUNCTION("""COMPUTED_VALUE"""),44763)</f>
        <v>44763</v>
      </c>
      <c r="E221" s="1">
        <f ca="1">IFERROR(__xludf.DUMMYFUNCTION("""COMPUTED_VALUE"""),-4.58)</f>
        <v>-4.58</v>
      </c>
      <c r="F221" s="1">
        <f ca="1">IFERROR(__xludf.DUMMYFUNCTION("""COMPUTED_VALUE"""),98.6)</f>
        <v>98.6</v>
      </c>
      <c r="G221" s="1">
        <f ca="1">IFERROR(__xludf.DUMMYFUNCTION("""COMPUTED_VALUE"""),231)</f>
        <v>231</v>
      </c>
      <c r="H221" s="1">
        <f ca="1">IFERROR(__xludf.DUMMYFUNCTION("""COMPUTED_VALUE"""),103.2)</f>
        <v>103.2</v>
      </c>
      <c r="I221" s="1">
        <f ca="1">IFERROR(__xludf.DUMMYFUNCTION("""COMPUTED_VALUE"""),185)</f>
        <v>185</v>
      </c>
      <c r="J221" s="1">
        <f ca="1">IFERROR(__xludf.DUMMYFUNCTION("""COMPUTED_VALUE"""),67.6)</f>
        <v>67.599999999999994</v>
      </c>
      <c r="K221" s="1">
        <f ca="1">IFERROR(__xludf.DUMMYFUNCTION("""COMPUTED_VALUE"""),133)</f>
        <v>133</v>
      </c>
      <c r="L221" s="1">
        <f ca="1">IFERROR(__xludf.DUMMYFUNCTION("""COMPUTED_VALUE"""),-0.004)</f>
        <v>-4.0000000000000001E-3</v>
      </c>
      <c r="M221" s="1">
        <f ca="1">IFERROR(__xludf.DUMMYFUNCTION("""COMPUTED_VALUE"""),171)</f>
        <v>171</v>
      </c>
      <c r="N221" s="1" t="str">
        <f ca="1">IFERROR(__xludf.DUMMYFUNCTION("""COMPUTED_VALUE"""),"+8.26")</f>
        <v>+8.26</v>
      </c>
      <c r="O221" s="1">
        <f ca="1">IFERROR(__xludf.DUMMYFUNCTION("""COMPUTED_VALUE"""),37)</f>
        <v>37</v>
      </c>
      <c r="P221" s="1">
        <f ca="1">IFERROR(__xludf.DUMMYFUNCTION("""COMPUTED_VALUE"""),106.4)</f>
        <v>106.4</v>
      </c>
      <c r="Q221" s="1">
        <f ca="1">IFERROR(__xludf.DUMMYFUNCTION("""COMPUTED_VALUE"""),39)</f>
        <v>39</v>
      </c>
      <c r="R221" s="1">
        <f ca="1">IFERROR(__xludf.DUMMYFUNCTION("""COMPUTED_VALUE"""),98.2)</f>
        <v>98.2</v>
      </c>
      <c r="S221" s="1">
        <f ca="1">IFERROR(__xludf.DUMMYFUNCTION("""COMPUTED_VALUE"""),39)</f>
        <v>39</v>
      </c>
      <c r="T221" s="1">
        <f ca="1">IFERROR(__xludf.DUMMYFUNCTION("""COMPUTED_VALUE"""),-1.64)</f>
        <v>-1.64</v>
      </c>
      <c r="U221" s="1">
        <f ca="1">IFERROR(__xludf.DUMMYFUNCTION("""COMPUTED_VALUE"""),193)</f>
        <v>193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IFERROR(__xludf.DUMMYFUNCTION("""COMPUTED_VALUE"""),"Idaho")</f>
        <v>Idaho</v>
      </c>
      <c r="C222" s="1" t="str">
        <f ca="1">IFERROR(__xludf.DUMMYFUNCTION("""COMPUTED_VALUE"""),"BW")</f>
        <v>BW</v>
      </c>
      <c r="D222" s="2">
        <f ca="1">IFERROR(__xludf.DUMMYFUNCTION("""COMPUTED_VALUE"""),44910)</f>
        <v>44910</v>
      </c>
      <c r="E222" s="1">
        <f ca="1">IFERROR(__xludf.DUMMYFUNCTION("""COMPUTED_VALUE"""),-4.61)</f>
        <v>-4.6100000000000003</v>
      </c>
      <c r="F222" s="1">
        <f ca="1">IFERROR(__xludf.DUMMYFUNCTION("""COMPUTED_VALUE"""),96.4)</f>
        <v>96.4</v>
      </c>
      <c r="G222" s="1">
        <f ca="1">IFERROR(__xludf.DUMMYFUNCTION("""COMPUTED_VALUE"""),261)</f>
        <v>261</v>
      </c>
      <c r="H222" s="1">
        <f ca="1">IFERROR(__xludf.DUMMYFUNCTION("""COMPUTED_VALUE"""),101)</f>
        <v>101</v>
      </c>
      <c r="I222" s="1">
        <f ca="1">IFERROR(__xludf.DUMMYFUNCTION("""COMPUTED_VALUE"""),142)</f>
        <v>142</v>
      </c>
      <c r="J222" s="1">
        <f ca="1">IFERROR(__xludf.DUMMYFUNCTION("""COMPUTED_VALUE"""),62.3)</f>
        <v>62.3</v>
      </c>
      <c r="K222" s="1">
        <f ca="1">IFERROR(__xludf.DUMMYFUNCTION("""COMPUTED_VALUE"""),301)</f>
        <v>301</v>
      </c>
      <c r="L222" s="1" t="str">
        <f ca="1">IFERROR(__xludf.DUMMYFUNCTION("""COMPUTED_VALUE"""),"+.012")</f>
        <v>+.012</v>
      </c>
      <c r="M222" s="1">
        <f ca="1">IFERROR(__xludf.DUMMYFUNCTION("""COMPUTED_VALUE"""),134)</f>
        <v>134</v>
      </c>
      <c r="N222" s="1">
        <f ca="1">IFERROR(__xludf.DUMMYFUNCTION("""COMPUTED_VALUE"""),-2.9)</f>
        <v>-2.9</v>
      </c>
      <c r="O222" s="1">
        <f ca="1">IFERROR(__xludf.DUMMYFUNCTION("""COMPUTED_VALUE"""),216)</f>
        <v>216</v>
      </c>
      <c r="P222" s="1">
        <f ca="1">IFERROR(__xludf.DUMMYFUNCTION("""COMPUTED_VALUE"""),100.3)</f>
        <v>100.3</v>
      </c>
      <c r="Q222" s="1">
        <f ca="1">IFERROR(__xludf.DUMMYFUNCTION("""COMPUTED_VALUE"""),225)</f>
        <v>225</v>
      </c>
      <c r="R222" s="1">
        <f ca="1">IFERROR(__xludf.DUMMYFUNCTION("""COMPUTED_VALUE"""),103.2)</f>
        <v>103.2</v>
      </c>
      <c r="S222" s="1">
        <f ca="1">IFERROR(__xludf.DUMMYFUNCTION("""COMPUTED_VALUE"""),195)</f>
        <v>195</v>
      </c>
      <c r="T222" s="1">
        <f ca="1">IFERROR(__xludf.DUMMYFUNCTION("""COMPUTED_VALUE"""),-2.74)</f>
        <v>-2.74</v>
      </c>
      <c r="U222" s="1">
        <f ca="1">IFERROR(__xludf.DUMMYFUNCTION("""COMPUTED_VALUE"""),221)</f>
        <v>221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IFERROR(__xludf.DUMMYFUNCTION("""COMPUTED_VALUE"""),"McNeese St.")</f>
        <v>McNeese St.</v>
      </c>
      <c r="C223" s="1" t="str">
        <f ca="1">IFERROR(__xludf.DUMMYFUNCTION("""COMPUTED_VALUE"""),"Slnd")</f>
        <v>Slnd</v>
      </c>
      <c r="D223" s="1" t="str">
        <f ca="1">IFERROR(__xludf.DUMMYFUNCTION("""COMPUTED_VALUE"""),"13-14")</f>
        <v>13-14</v>
      </c>
      <c r="E223" s="1">
        <f ca="1">IFERROR(__xludf.DUMMYFUNCTION("""COMPUTED_VALUE"""),-4.78)</f>
        <v>-4.78</v>
      </c>
      <c r="F223" s="1">
        <f ca="1">IFERROR(__xludf.DUMMYFUNCTION("""COMPUTED_VALUE"""),100.4)</f>
        <v>100.4</v>
      </c>
      <c r="G223" s="1">
        <f ca="1">IFERROR(__xludf.DUMMYFUNCTION("""COMPUTED_VALUE"""),203)</f>
        <v>203</v>
      </c>
      <c r="H223" s="1">
        <f ca="1">IFERROR(__xludf.DUMMYFUNCTION("""COMPUTED_VALUE"""),105.2)</f>
        <v>105.2</v>
      </c>
      <c r="I223" s="1">
        <f ca="1">IFERROR(__xludf.DUMMYFUNCTION("""COMPUTED_VALUE"""),226)</f>
        <v>226</v>
      </c>
      <c r="J223" s="1">
        <f ca="1">IFERROR(__xludf.DUMMYFUNCTION("""COMPUTED_VALUE"""),67.9)</f>
        <v>67.900000000000006</v>
      </c>
      <c r="K223" s="1">
        <f ca="1">IFERROR(__xludf.DUMMYFUNCTION("""COMPUTED_VALUE"""),122)</f>
        <v>122</v>
      </c>
      <c r="L223" s="1" t="str">
        <f ca="1">IFERROR(__xludf.DUMMYFUNCTION("""COMPUTED_VALUE"""),"+.014")</f>
        <v>+.014</v>
      </c>
      <c r="M223" s="1">
        <f ca="1">IFERROR(__xludf.DUMMYFUNCTION("""COMPUTED_VALUE"""),126)</f>
        <v>126</v>
      </c>
      <c r="N223" s="1">
        <f ca="1">IFERROR(__xludf.DUMMYFUNCTION("""COMPUTED_VALUE"""),-4.74)</f>
        <v>-4.74</v>
      </c>
      <c r="O223" s="1">
        <f ca="1">IFERROR(__xludf.DUMMYFUNCTION("""COMPUTED_VALUE"""),244)</f>
        <v>244</v>
      </c>
      <c r="P223" s="1">
        <f ca="1">IFERROR(__xludf.DUMMYFUNCTION("""COMPUTED_VALUE"""),97.8)</f>
        <v>97.8</v>
      </c>
      <c r="Q223" s="1">
        <f ca="1">IFERROR(__xludf.DUMMYFUNCTION("""COMPUTED_VALUE"""),284)</f>
        <v>284</v>
      </c>
      <c r="R223" s="1">
        <f ca="1">IFERROR(__xludf.DUMMYFUNCTION("""COMPUTED_VALUE"""),102.6)</f>
        <v>102.6</v>
      </c>
      <c r="S223" s="1">
        <f ca="1">IFERROR(__xludf.DUMMYFUNCTION("""COMPUTED_VALUE"""),160)</f>
        <v>160</v>
      </c>
      <c r="T223" s="1" t="str">
        <f ca="1">IFERROR(__xludf.DUMMYFUNCTION("""COMPUTED_VALUE"""),"+15.53")</f>
        <v>+15.53</v>
      </c>
      <c r="U223" s="1">
        <f ca="1">IFERROR(__xludf.DUMMYFUNCTION("""COMPUTED_VALUE"""),2)</f>
        <v>2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IFERROR(__xludf.DUMMYFUNCTION("""COMPUTED_VALUE"""),"Houston")</f>
        <v>Houston</v>
      </c>
      <c r="C224" s="1" t="str">
        <f ca="1">IFERROR(__xludf.DUMMYFUNCTION("""COMPUTED_VALUE"""),"CUSA")</f>
        <v>CUSA</v>
      </c>
      <c r="D224" s="2">
        <f ca="1">IFERROR(__xludf.DUMMYFUNCTION("""COMPUTED_VALUE"""),44793)</f>
        <v>44793</v>
      </c>
      <c r="E224" s="1">
        <f ca="1">IFERROR(__xludf.DUMMYFUNCTION("""COMPUTED_VALUE"""),-4.84)</f>
        <v>-4.84</v>
      </c>
      <c r="F224" s="1">
        <f ca="1">IFERROR(__xludf.DUMMYFUNCTION("""COMPUTED_VALUE"""),93.2)</f>
        <v>93.2</v>
      </c>
      <c r="G224" s="1">
        <f ca="1">IFERROR(__xludf.DUMMYFUNCTION("""COMPUTED_VALUE"""),289)</f>
        <v>289</v>
      </c>
      <c r="H224" s="1">
        <f ca="1">IFERROR(__xludf.DUMMYFUNCTION("""COMPUTED_VALUE"""),98)</f>
        <v>98</v>
      </c>
      <c r="I224" s="1">
        <f ca="1">IFERROR(__xludf.DUMMYFUNCTION("""COMPUTED_VALUE"""),87)</f>
        <v>87</v>
      </c>
      <c r="J224" s="1">
        <f ca="1">IFERROR(__xludf.DUMMYFUNCTION("""COMPUTED_VALUE"""),63.2)</f>
        <v>63.2</v>
      </c>
      <c r="K224" s="1">
        <f ca="1">IFERROR(__xludf.DUMMYFUNCTION("""COMPUTED_VALUE"""),292)</f>
        <v>292</v>
      </c>
      <c r="L224" s="1" t="str">
        <f ca="1">IFERROR(__xludf.DUMMYFUNCTION("""COMPUTED_VALUE"""),"+.021")</f>
        <v>+.021</v>
      </c>
      <c r="M224" s="1">
        <f ca="1">IFERROR(__xludf.DUMMYFUNCTION("""COMPUTED_VALUE"""),115)</f>
        <v>115</v>
      </c>
      <c r="N224" s="1" t="str">
        <f ca="1">IFERROR(__xludf.DUMMYFUNCTION("""COMPUTED_VALUE"""),"+5.03")</f>
        <v>+5.03</v>
      </c>
      <c r="O224" s="1">
        <f ca="1">IFERROR(__xludf.DUMMYFUNCTION("""COMPUTED_VALUE"""),81)</f>
        <v>81</v>
      </c>
      <c r="P224" s="1">
        <f ca="1">IFERROR(__xludf.DUMMYFUNCTION("""COMPUTED_VALUE"""),104.7)</f>
        <v>104.7</v>
      </c>
      <c r="Q224" s="1">
        <f ca="1">IFERROR(__xludf.DUMMYFUNCTION("""COMPUTED_VALUE"""),84)</f>
        <v>84</v>
      </c>
      <c r="R224" s="1">
        <f ca="1">IFERROR(__xludf.DUMMYFUNCTION("""COMPUTED_VALUE"""),99.6)</f>
        <v>99.6</v>
      </c>
      <c r="S224" s="1">
        <f ca="1">IFERROR(__xludf.DUMMYFUNCTION("""COMPUTED_VALUE"""),81)</f>
        <v>81</v>
      </c>
      <c r="T224" s="1" t="str">
        <f ca="1">IFERROR(__xludf.DUMMYFUNCTION("""COMPUTED_VALUE"""),"+2.44")</f>
        <v>+2.44</v>
      </c>
      <c r="U224" s="1">
        <f ca="1">IFERROR(__xludf.DUMMYFUNCTION("""COMPUTED_VALUE"""),95)</f>
        <v>95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IFERROR(__xludf.DUMMYFUNCTION("""COMPUTED_VALUE"""),"Marist")</f>
        <v>Marist</v>
      </c>
      <c r="C225" s="1" t="str">
        <f ca="1">IFERROR(__xludf.DUMMYFUNCTION("""COMPUTED_VALUE"""),"MAAC")</f>
        <v>MAAC</v>
      </c>
      <c r="D225" s="1" t="str">
        <f ca="1">IFERROR(__xludf.DUMMYFUNCTION("""COMPUTED_VALUE"""),"13-16")</f>
        <v>13-16</v>
      </c>
      <c r="E225" s="1">
        <f ca="1">IFERROR(__xludf.DUMMYFUNCTION("""COMPUTED_VALUE"""),-5.31)</f>
        <v>-5.31</v>
      </c>
      <c r="F225" s="1">
        <f ca="1">IFERROR(__xludf.DUMMYFUNCTION("""COMPUTED_VALUE"""),101.4)</f>
        <v>101.4</v>
      </c>
      <c r="G225" s="1">
        <f ca="1">IFERROR(__xludf.DUMMYFUNCTION("""COMPUTED_VALUE"""),183)</f>
        <v>183</v>
      </c>
      <c r="H225" s="1">
        <f ca="1">IFERROR(__xludf.DUMMYFUNCTION("""COMPUTED_VALUE"""),106.7)</f>
        <v>106.7</v>
      </c>
      <c r="I225" s="1">
        <f ca="1">IFERROR(__xludf.DUMMYFUNCTION("""COMPUTED_VALUE"""),247)</f>
        <v>247</v>
      </c>
      <c r="J225" s="1">
        <f ca="1">IFERROR(__xludf.DUMMYFUNCTION("""COMPUTED_VALUE"""),68.6)</f>
        <v>68.599999999999994</v>
      </c>
      <c r="K225" s="1">
        <f ca="1">IFERROR(__xludf.DUMMYFUNCTION("""COMPUTED_VALUE"""),95)</f>
        <v>95</v>
      </c>
      <c r="L225" s="1" t="str">
        <f ca="1">IFERROR(__xludf.DUMMYFUNCTION("""COMPUTED_VALUE"""),"+.052")</f>
        <v>+.052</v>
      </c>
      <c r="M225" s="1">
        <f ca="1">IFERROR(__xludf.DUMMYFUNCTION("""COMPUTED_VALUE"""),51)</f>
        <v>51</v>
      </c>
      <c r="N225" s="1">
        <f ca="1">IFERROR(__xludf.DUMMYFUNCTION("""COMPUTED_VALUE"""),-2.01)</f>
        <v>-2.0099999999999998</v>
      </c>
      <c r="O225" s="1">
        <f ca="1">IFERROR(__xludf.DUMMYFUNCTION("""COMPUTED_VALUE"""),194)</f>
        <v>194</v>
      </c>
      <c r="P225" s="1">
        <f ca="1">IFERROR(__xludf.DUMMYFUNCTION("""COMPUTED_VALUE"""),101.2)</f>
        <v>101.2</v>
      </c>
      <c r="Q225" s="1">
        <f ca="1">IFERROR(__xludf.DUMMYFUNCTION("""COMPUTED_VALUE"""),195)</f>
        <v>195</v>
      </c>
      <c r="R225" s="1">
        <f ca="1">IFERROR(__xludf.DUMMYFUNCTION("""COMPUTED_VALUE"""),103.2)</f>
        <v>103.2</v>
      </c>
      <c r="S225" s="1">
        <f ca="1">IFERROR(__xludf.DUMMYFUNCTION("""COMPUTED_VALUE"""),193)</f>
        <v>193</v>
      </c>
      <c r="T225" s="1">
        <f ca="1">IFERROR(__xludf.DUMMYFUNCTION("""COMPUTED_VALUE"""),-0.6)</f>
        <v>-0.6</v>
      </c>
      <c r="U225" s="1">
        <f ca="1">IFERROR(__xludf.DUMMYFUNCTION("""COMPUTED_VALUE"""),169)</f>
        <v>169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IFERROR(__xludf.DUMMYFUNCTION("""COMPUTED_VALUE"""),"Northeastern")</f>
        <v>Northeastern</v>
      </c>
      <c r="C226" s="1" t="str">
        <f ca="1">IFERROR(__xludf.DUMMYFUNCTION("""COMPUTED_VALUE"""),"AE")</f>
        <v>AE</v>
      </c>
      <c r="D226" s="1" t="str">
        <f ca="1">IFERROR(__xludf.DUMMYFUNCTION("""COMPUTED_VALUE"""),"14-15")</f>
        <v>14-15</v>
      </c>
      <c r="E226" s="1">
        <f ca="1">IFERROR(__xludf.DUMMYFUNCTION("""COMPUTED_VALUE"""),-5.33)</f>
        <v>-5.33</v>
      </c>
      <c r="F226" s="1">
        <f ca="1">IFERROR(__xludf.DUMMYFUNCTION("""COMPUTED_VALUE"""),98.9)</f>
        <v>98.9</v>
      </c>
      <c r="G226" s="1">
        <f ca="1">IFERROR(__xludf.DUMMYFUNCTION("""COMPUTED_VALUE"""),225)</f>
        <v>225</v>
      </c>
      <c r="H226" s="1">
        <f ca="1">IFERROR(__xludf.DUMMYFUNCTION("""COMPUTED_VALUE"""),104.2)</f>
        <v>104.2</v>
      </c>
      <c r="I226" s="1">
        <f ca="1">IFERROR(__xludf.DUMMYFUNCTION("""COMPUTED_VALUE"""),200)</f>
        <v>200</v>
      </c>
      <c r="J226" s="1">
        <f ca="1">IFERROR(__xludf.DUMMYFUNCTION("""COMPUTED_VALUE"""),70.1)</f>
        <v>70.099999999999994</v>
      </c>
      <c r="K226" s="1">
        <f ca="1">IFERROR(__xludf.DUMMYFUNCTION("""COMPUTED_VALUE"""),53)</f>
        <v>53</v>
      </c>
      <c r="L226" s="1">
        <f ca="1">IFERROR(__xludf.DUMMYFUNCTION("""COMPUTED_VALUE"""),-0.004)</f>
        <v>-4.0000000000000001E-3</v>
      </c>
      <c r="M226" s="1">
        <f ca="1">IFERROR(__xludf.DUMMYFUNCTION("""COMPUTED_VALUE"""),173)</f>
        <v>173</v>
      </c>
      <c r="N226" s="1">
        <f ca="1">IFERROR(__xludf.DUMMYFUNCTION("""COMPUTED_VALUE"""),-4.88)</f>
        <v>-4.88</v>
      </c>
      <c r="O226" s="1">
        <f ca="1">IFERROR(__xludf.DUMMYFUNCTION("""COMPUTED_VALUE"""),247)</f>
        <v>247</v>
      </c>
      <c r="P226" s="1">
        <f ca="1">IFERROR(__xludf.DUMMYFUNCTION("""COMPUTED_VALUE"""),99.4)</f>
        <v>99.4</v>
      </c>
      <c r="Q226" s="1">
        <f ca="1">IFERROR(__xludf.DUMMYFUNCTION("""COMPUTED_VALUE"""),246)</f>
        <v>246</v>
      </c>
      <c r="R226" s="1">
        <f ca="1">IFERROR(__xludf.DUMMYFUNCTION("""COMPUTED_VALUE"""),104.3)</f>
        <v>104.3</v>
      </c>
      <c r="S226" s="1">
        <f ca="1">IFERROR(__xludf.DUMMYFUNCTION("""COMPUTED_VALUE"""),237)</f>
        <v>237</v>
      </c>
      <c r="T226" s="1">
        <f ca="1">IFERROR(__xludf.DUMMYFUNCTION("""COMPUTED_VALUE"""),-1.47)</f>
        <v>-1.47</v>
      </c>
      <c r="U226" s="1">
        <f ca="1">IFERROR(__xludf.DUMMYFUNCTION("""COMPUTED_VALUE"""),189)</f>
        <v>189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IFERROR(__xludf.DUMMYFUNCTION("""COMPUTED_VALUE"""),"Illinois St.")</f>
        <v>Illinois St.</v>
      </c>
      <c r="C227" s="1" t="str">
        <f ca="1">IFERROR(__xludf.DUMMYFUNCTION("""COMPUTED_VALUE"""),"MVC")</f>
        <v>MVC</v>
      </c>
      <c r="D227" s="2">
        <f ca="1">IFERROR(__xludf.DUMMYFUNCTION("""COMPUTED_VALUE"""),44794)</f>
        <v>44794</v>
      </c>
      <c r="E227" s="1">
        <f ca="1">IFERROR(__xludf.DUMMYFUNCTION("""COMPUTED_VALUE"""),-5.44)</f>
        <v>-5.44</v>
      </c>
      <c r="F227" s="1">
        <f ca="1">IFERROR(__xludf.DUMMYFUNCTION("""COMPUTED_VALUE"""),99.4)</f>
        <v>99.4</v>
      </c>
      <c r="G227" s="1">
        <f ca="1">IFERROR(__xludf.DUMMYFUNCTION("""COMPUTED_VALUE"""),214)</f>
        <v>214</v>
      </c>
      <c r="H227" s="1">
        <f ca="1">IFERROR(__xludf.DUMMYFUNCTION("""COMPUTED_VALUE"""),104.9)</f>
        <v>104.9</v>
      </c>
      <c r="I227" s="1">
        <f ca="1">IFERROR(__xludf.DUMMYFUNCTION("""COMPUTED_VALUE"""),217)</f>
        <v>217</v>
      </c>
      <c r="J227" s="1">
        <f ca="1">IFERROR(__xludf.DUMMYFUNCTION("""COMPUTED_VALUE"""),65.2)</f>
        <v>65.2</v>
      </c>
      <c r="K227" s="1">
        <f ca="1">IFERROR(__xludf.DUMMYFUNCTION("""COMPUTED_VALUE"""),247)</f>
        <v>247</v>
      </c>
      <c r="L227" s="1">
        <f ca="1">IFERROR(__xludf.DUMMYFUNCTION("""COMPUTED_VALUE"""),-0.05)</f>
        <v>-0.05</v>
      </c>
      <c r="M227" s="1">
        <f ca="1">IFERROR(__xludf.DUMMYFUNCTION("""COMPUTED_VALUE"""),281)</f>
        <v>281</v>
      </c>
      <c r="N227" s="1" t="str">
        <f ca="1">IFERROR(__xludf.DUMMYFUNCTION("""COMPUTED_VALUE"""),"+2.34")</f>
        <v>+2.34</v>
      </c>
      <c r="O227" s="1">
        <f ca="1">IFERROR(__xludf.DUMMYFUNCTION("""COMPUTED_VALUE"""),117)</f>
        <v>117</v>
      </c>
      <c r="P227" s="1">
        <f ca="1">IFERROR(__xludf.DUMMYFUNCTION("""COMPUTED_VALUE"""),104.5)</f>
        <v>104.5</v>
      </c>
      <c r="Q227" s="1">
        <f ca="1">IFERROR(__xludf.DUMMYFUNCTION("""COMPUTED_VALUE"""),92)</f>
        <v>92</v>
      </c>
      <c r="R227" s="1">
        <f ca="1">IFERROR(__xludf.DUMMYFUNCTION("""COMPUTED_VALUE"""),102.2)</f>
        <v>102.2</v>
      </c>
      <c r="S227" s="1">
        <f ca="1">IFERROR(__xludf.DUMMYFUNCTION("""COMPUTED_VALUE"""),147)</f>
        <v>147</v>
      </c>
      <c r="T227" s="1" t="str">
        <f ca="1">IFERROR(__xludf.DUMMYFUNCTION("""COMPUTED_VALUE"""),"+3.46")</f>
        <v>+3.46</v>
      </c>
      <c r="U227" s="1">
        <f ca="1">IFERROR(__xludf.DUMMYFUNCTION("""COMPUTED_VALUE"""),73)</f>
        <v>73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IFERROR(__xludf.DUMMYFUNCTION("""COMPUTED_VALUE"""),"Wright St.")</f>
        <v>Wright St.</v>
      </c>
      <c r="C228" s="1" t="str">
        <f ca="1">IFERROR(__xludf.DUMMYFUNCTION("""COMPUTED_VALUE"""),"Horz")</f>
        <v>Horz</v>
      </c>
      <c r="D228" s="2">
        <f ca="1">IFERROR(__xludf.DUMMYFUNCTION("""COMPUTED_VALUE"""),44822)</f>
        <v>44822</v>
      </c>
      <c r="E228" s="1">
        <f ca="1">IFERROR(__xludf.DUMMYFUNCTION("""COMPUTED_VALUE"""),-5.65)</f>
        <v>-5.65</v>
      </c>
      <c r="F228" s="1">
        <f ca="1">IFERROR(__xludf.DUMMYFUNCTION("""COMPUTED_VALUE"""),102.1)</f>
        <v>102.1</v>
      </c>
      <c r="G228" s="1">
        <f ca="1">IFERROR(__xludf.DUMMYFUNCTION("""COMPUTED_VALUE"""),167)</f>
        <v>167</v>
      </c>
      <c r="H228" s="1">
        <f ca="1">IFERROR(__xludf.DUMMYFUNCTION("""COMPUTED_VALUE"""),107.7)</f>
        <v>107.7</v>
      </c>
      <c r="I228" s="1">
        <f ca="1">IFERROR(__xludf.DUMMYFUNCTION("""COMPUTED_VALUE"""),266)</f>
        <v>266</v>
      </c>
      <c r="J228" s="1">
        <f ca="1">IFERROR(__xludf.DUMMYFUNCTION("""COMPUTED_VALUE"""),66)</f>
        <v>66</v>
      </c>
      <c r="K228" s="1">
        <f ca="1">IFERROR(__xludf.DUMMYFUNCTION("""COMPUTED_VALUE"""),207)</f>
        <v>207</v>
      </c>
      <c r="L228" s="1" t="str">
        <f ca="1">IFERROR(__xludf.DUMMYFUNCTION("""COMPUTED_VALUE"""),"+.016")</f>
        <v>+.016</v>
      </c>
      <c r="M228" s="1">
        <f ca="1">IFERROR(__xludf.DUMMYFUNCTION("""COMPUTED_VALUE"""),123)</f>
        <v>123</v>
      </c>
      <c r="N228" s="1" t="str">
        <f ca="1">IFERROR(__xludf.DUMMYFUNCTION("""COMPUTED_VALUE"""),"+1.17")</f>
        <v>+1.17</v>
      </c>
      <c r="O228" s="1">
        <f ca="1">IFERROR(__xludf.DUMMYFUNCTION("""COMPUTED_VALUE"""),136)</f>
        <v>136</v>
      </c>
      <c r="P228" s="1">
        <f ca="1">IFERROR(__xludf.DUMMYFUNCTION("""COMPUTED_VALUE"""),104.1)</f>
        <v>104.1</v>
      </c>
      <c r="Q228" s="1">
        <f ca="1">IFERROR(__xludf.DUMMYFUNCTION("""COMPUTED_VALUE"""),110)</f>
        <v>110</v>
      </c>
      <c r="R228" s="1">
        <f ca="1">IFERROR(__xludf.DUMMYFUNCTION("""COMPUTED_VALUE"""),103)</f>
        <v>103</v>
      </c>
      <c r="S228" s="1">
        <f ca="1">IFERROR(__xludf.DUMMYFUNCTION("""COMPUTED_VALUE"""),184)</f>
        <v>184</v>
      </c>
      <c r="T228" s="1">
        <f ca="1">IFERROR(__xludf.DUMMYFUNCTION("""COMPUTED_VALUE"""),-3.53)</f>
        <v>-3.53</v>
      </c>
      <c r="U228" s="1">
        <f ca="1">IFERROR(__xludf.DUMMYFUNCTION("""COMPUTED_VALUE"""),240)</f>
        <v>240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IFERROR(__xludf.DUMMYFUNCTION("""COMPUTED_VALUE"""),"James Madison")</f>
        <v>James Madison</v>
      </c>
      <c r="C229" s="1" t="str">
        <f ca="1">IFERROR(__xludf.DUMMYFUNCTION("""COMPUTED_VALUE"""),"CAA")</f>
        <v>CAA</v>
      </c>
      <c r="D229" s="2">
        <f ca="1">IFERROR(__xludf.DUMMYFUNCTION("""COMPUTED_VALUE"""),44912)</f>
        <v>44912</v>
      </c>
      <c r="E229" s="1">
        <f ca="1">IFERROR(__xludf.DUMMYFUNCTION("""COMPUTED_VALUE"""),-5.66)</f>
        <v>-5.66</v>
      </c>
      <c r="F229" s="1">
        <f ca="1">IFERROR(__xludf.DUMMYFUNCTION("""COMPUTED_VALUE"""),99.5)</f>
        <v>99.5</v>
      </c>
      <c r="G229" s="1">
        <f ca="1">IFERROR(__xludf.DUMMYFUNCTION("""COMPUTED_VALUE"""),210)</f>
        <v>210</v>
      </c>
      <c r="H229" s="1">
        <f ca="1">IFERROR(__xludf.DUMMYFUNCTION("""COMPUTED_VALUE"""),105.2)</f>
        <v>105.2</v>
      </c>
      <c r="I229" s="1">
        <f ca="1">IFERROR(__xludf.DUMMYFUNCTION("""COMPUTED_VALUE"""),225)</f>
        <v>225</v>
      </c>
      <c r="J229" s="1">
        <f ca="1">IFERROR(__xludf.DUMMYFUNCTION("""COMPUTED_VALUE"""),66.2)</f>
        <v>66.2</v>
      </c>
      <c r="K229" s="1">
        <f ca="1">IFERROR(__xludf.DUMMYFUNCTION("""COMPUTED_VALUE"""),196)</f>
        <v>196</v>
      </c>
      <c r="L229" s="1">
        <f ca="1">IFERROR(__xludf.DUMMYFUNCTION("""COMPUTED_VALUE"""),-0.003)</f>
        <v>-3.0000000000000001E-3</v>
      </c>
      <c r="M229" s="1">
        <f ca="1">IFERROR(__xludf.DUMMYFUNCTION("""COMPUTED_VALUE"""),170)</f>
        <v>170</v>
      </c>
      <c r="N229" s="1">
        <f ca="1">IFERROR(__xludf.DUMMYFUNCTION("""COMPUTED_VALUE"""),-2.59)</f>
        <v>-2.59</v>
      </c>
      <c r="O229" s="1">
        <f ca="1">IFERROR(__xludf.DUMMYFUNCTION("""COMPUTED_VALUE"""),211)</f>
        <v>211</v>
      </c>
      <c r="P229" s="1">
        <f ca="1">IFERROR(__xludf.DUMMYFUNCTION("""COMPUTED_VALUE"""),99.5)</f>
        <v>99.5</v>
      </c>
      <c r="Q229" s="1">
        <f ca="1">IFERROR(__xludf.DUMMYFUNCTION("""COMPUTED_VALUE"""),242)</f>
        <v>242</v>
      </c>
      <c r="R229" s="1">
        <f ca="1">IFERROR(__xludf.DUMMYFUNCTION("""COMPUTED_VALUE"""),102.1)</f>
        <v>102.1</v>
      </c>
      <c r="S229" s="1">
        <f ca="1">IFERROR(__xludf.DUMMYFUNCTION("""COMPUTED_VALUE"""),139)</f>
        <v>139</v>
      </c>
      <c r="T229" s="1">
        <f ca="1">IFERROR(__xludf.DUMMYFUNCTION("""COMPUTED_VALUE"""),-2.25)</f>
        <v>-2.25</v>
      </c>
      <c r="U229" s="1">
        <f ca="1">IFERROR(__xludf.DUMMYFUNCTION("""COMPUTED_VALUE"""),211)</f>
        <v>211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IFERROR(__xludf.DUMMYFUNCTION("""COMPUTED_VALUE"""),"Harvard")</f>
        <v>Harvard</v>
      </c>
      <c r="C230" s="1" t="str">
        <f ca="1">IFERROR(__xludf.DUMMYFUNCTION("""COMPUTED_VALUE"""),"Ivy")</f>
        <v>Ivy</v>
      </c>
      <c r="D230" s="2">
        <f ca="1">IFERROR(__xludf.DUMMYFUNCTION("""COMPUTED_VALUE"""),44910)</f>
        <v>44910</v>
      </c>
      <c r="E230" s="1">
        <f ca="1">IFERROR(__xludf.DUMMYFUNCTION("""COMPUTED_VALUE"""),-5.69)</f>
        <v>-5.69</v>
      </c>
      <c r="F230" s="1">
        <f ca="1">IFERROR(__xludf.DUMMYFUNCTION("""COMPUTED_VALUE"""),98.3)</f>
        <v>98.3</v>
      </c>
      <c r="G230" s="1">
        <f ca="1">IFERROR(__xludf.DUMMYFUNCTION("""COMPUTED_VALUE"""),236)</f>
        <v>236</v>
      </c>
      <c r="H230" s="1">
        <f ca="1">IFERROR(__xludf.DUMMYFUNCTION("""COMPUTED_VALUE"""),104)</f>
        <v>104</v>
      </c>
      <c r="I230" s="1">
        <f ca="1">IFERROR(__xludf.DUMMYFUNCTION("""COMPUTED_VALUE"""),194)</f>
        <v>194</v>
      </c>
      <c r="J230" s="1">
        <f ca="1">IFERROR(__xludf.DUMMYFUNCTION("""COMPUTED_VALUE"""),71.9)</f>
        <v>71.900000000000006</v>
      </c>
      <c r="K230" s="1">
        <f ca="1">IFERROR(__xludf.DUMMYFUNCTION("""COMPUTED_VALUE"""),19)</f>
        <v>19</v>
      </c>
      <c r="L230" s="1">
        <f ca="1">IFERROR(__xludf.DUMMYFUNCTION("""COMPUTED_VALUE"""),-0.006)</f>
        <v>-6.0000000000000001E-3</v>
      </c>
      <c r="M230" s="1">
        <f ca="1">IFERROR(__xludf.DUMMYFUNCTION("""COMPUTED_VALUE"""),179)</f>
        <v>179</v>
      </c>
      <c r="N230" s="1">
        <f ca="1">IFERROR(__xludf.DUMMYFUNCTION("""COMPUTED_VALUE"""),-3.06)</f>
        <v>-3.06</v>
      </c>
      <c r="O230" s="1">
        <f ca="1">IFERROR(__xludf.DUMMYFUNCTION("""COMPUTED_VALUE"""),219)</f>
        <v>219</v>
      </c>
      <c r="P230" s="1">
        <f ca="1">IFERROR(__xludf.DUMMYFUNCTION("""COMPUTED_VALUE"""),100.3)</f>
        <v>100.3</v>
      </c>
      <c r="Q230" s="1">
        <f ca="1">IFERROR(__xludf.DUMMYFUNCTION("""COMPUTED_VALUE"""),226)</f>
        <v>226</v>
      </c>
      <c r="R230" s="1">
        <f ca="1">IFERROR(__xludf.DUMMYFUNCTION("""COMPUTED_VALUE"""),103.3)</f>
        <v>103.3</v>
      </c>
      <c r="S230" s="1">
        <f ca="1">IFERROR(__xludf.DUMMYFUNCTION("""COMPUTED_VALUE"""),199)</f>
        <v>199</v>
      </c>
      <c r="T230" s="1">
        <f ca="1">IFERROR(__xludf.DUMMYFUNCTION("""COMPUTED_VALUE"""),-1.06)</f>
        <v>-1.06</v>
      </c>
      <c r="U230" s="1">
        <f ca="1">IFERROR(__xludf.DUMMYFUNCTION("""COMPUTED_VALUE"""),180)</f>
        <v>180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IFERROR(__xludf.DUMMYFUNCTION("""COMPUTED_VALUE"""),"Montana St.")</f>
        <v>Montana St.</v>
      </c>
      <c r="C231" s="1" t="str">
        <f ca="1">IFERROR(__xludf.DUMMYFUNCTION("""COMPUTED_VALUE"""),"BSky")</f>
        <v>BSky</v>
      </c>
      <c r="D231" s="2">
        <f ca="1">IFERROR(__xludf.DUMMYFUNCTION("""COMPUTED_VALUE"""),44820)</f>
        <v>44820</v>
      </c>
      <c r="E231" s="1">
        <f ca="1">IFERROR(__xludf.DUMMYFUNCTION("""COMPUTED_VALUE"""),-5.7)</f>
        <v>-5.7</v>
      </c>
      <c r="F231" s="1">
        <f ca="1">IFERROR(__xludf.DUMMYFUNCTION("""COMPUTED_VALUE"""),100.2)</f>
        <v>100.2</v>
      </c>
      <c r="G231" s="1">
        <f ca="1">IFERROR(__xludf.DUMMYFUNCTION("""COMPUTED_VALUE"""),205)</f>
        <v>205</v>
      </c>
      <c r="H231" s="1">
        <f ca="1">IFERROR(__xludf.DUMMYFUNCTION("""COMPUTED_VALUE"""),105.9)</f>
        <v>105.9</v>
      </c>
      <c r="I231" s="1">
        <f ca="1">IFERROR(__xludf.DUMMYFUNCTION("""COMPUTED_VALUE"""),237)</f>
        <v>237</v>
      </c>
      <c r="J231" s="1">
        <f ca="1">IFERROR(__xludf.DUMMYFUNCTION("""COMPUTED_VALUE"""),61.9)</f>
        <v>61.9</v>
      </c>
      <c r="K231" s="1">
        <f ca="1">IFERROR(__xludf.DUMMYFUNCTION("""COMPUTED_VALUE"""),311)</f>
        <v>311</v>
      </c>
      <c r="L231" s="1">
        <f ca="1">IFERROR(__xludf.DUMMYFUNCTION("""COMPUTED_VALUE"""),-0.04)</f>
        <v>-0.04</v>
      </c>
      <c r="M231" s="1">
        <f ca="1">IFERROR(__xludf.DUMMYFUNCTION("""COMPUTED_VALUE"""),269)</f>
        <v>269</v>
      </c>
      <c r="N231" s="1">
        <f ca="1">IFERROR(__xludf.DUMMYFUNCTION("""COMPUTED_VALUE"""),-2.06)</f>
        <v>-2.06</v>
      </c>
      <c r="O231" s="1">
        <f ca="1">IFERROR(__xludf.DUMMYFUNCTION("""COMPUTED_VALUE"""),199)</f>
        <v>199</v>
      </c>
      <c r="P231" s="1">
        <f ca="1">IFERROR(__xludf.DUMMYFUNCTION("""COMPUTED_VALUE"""),100.1)</f>
        <v>100.1</v>
      </c>
      <c r="Q231" s="1">
        <f ca="1">IFERROR(__xludf.DUMMYFUNCTION("""COMPUTED_VALUE"""),230)</f>
        <v>230</v>
      </c>
      <c r="R231" s="1">
        <f ca="1">IFERROR(__xludf.DUMMYFUNCTION("""COMPUTED_VALUE"""),102.1)</f>
        <v>102.1</v>
      </c>
      <c r="S231" s="1">
        <f ca="1">IFERROR(__xludf.DUMMYFUNCTION("""COMPUTED_VALUE"""),146)</f>
        <v>146</v>
      </c>
      <c r="T231" s="1">
        <f ca="1">IFERROR(__xludf.DUMMYFUNCTION("""COMPUTED_VALUE"""),-1.24)</f>
        <v>-1.24</v>
      </c>
      <c r="U231" s="1">
        <f ca="1">IFERROR(__xludf.DUMMYFUNCTION("""COMPUTED_VALUE"""),184)</f>
        <v>184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IFERROR(__xludf.DUMMYFUNCTION("""COMPUTED_VALUE"""),"Bucknell")</f>
        <v>Bucknell</v>
      </c>
      <c r="C232" s="1" t="str">
        <f ca="1">IFERROR(__xludf.DUMMYFUNCTION("""COMPUTED_VALUE"""),"Pat")</f>
        <v>Pat</v>
      </c>
      <c r="D232" s="1" t="str">
        <f ca="1">IFERROR(__xludf.DUMMYFUNCTION("""COMPUTED_VALUE"""),"14-15")</f>
        <v>14-15</v>
      </c>
      <c r="E232" s="1">
        <f ca="1">IFERROR(__xludf.DUMMYFUNCTION("""COMPUTED_VALUE"""),-5.75)</f>
        <v>-5.75</v>
      </c>
      <c r="F232" s="1">
        <f ca="1">IFERROR(__xludf.DUMMYFUNCTION("""COMPUTED_VALUE"""),91.1)</f>
        <v>91.1</v>
      </c>
      <c r="G232" s="1">
        <f ca="1">IFERROR(__xludf.DUMMYFUNCTION("""COMPUTED_VALUE"""),301)</f>
        <v>301</v>
      </c>
      <c r="H232" s="1">
        <f ca="1">IFERROR(__xludf.DUMMYFUNCTION("""COMPUTED_VALUE"""),96.8)</f>
        <v>96.8</v>
      </c>
      <c r="I232" s="1">
        <f ca="1">IFERROR(__xludf.DUMMYFUNCTION("""COMPUTED_VALUE"""),66)</f>
        <v>66</v>
      </c>
      <c r="J232" s="1">
        <f ca="1">IFERROR(__xludf.DUMMYFUNCTION("""COMPUTED_VALUE"""),63.3)</f>
        <v>63.3</v>
      </c>
      <c r="K232" s="1">
        <f ca="1">IFERROR(__xludf.DUMMYFUNCTION("""COMPUTED_VALUE"""),289)</f>
        <v>289</v>
      </c>
      <c r="L232" s="1">
        <f ca="1">IFERROR(__xludf.DUMMYFUNCTION("""COMPUTED_VALUE"""),-0.005)</f>
        <v>-5.0000000000000001E-3</v>
      </c>
      <c r="M232" s="1">
        <f ca="1">IFERROR(__xludf.DUMMYFUNCTION("""COMPUTED_VALUE"""),175)</f>
        <v>175</v>
      </c>
      <c r="N232" s="1">
        <f ca="1">IFERROR(__xludf.DUMMYFUNCTION("""COMPUTED_VALUE"""),-5.32)</f>
        <v>-5.32</v>
      </c>
      <c r="O232" s="1">
        <f ca="1">IFERROR(__xludf.DUMMYFUNCTION("""COMPUTED_VALUE"""),256)</f>
        <v>256</v>
      </c>
      <c r="P232" s="1">
        <f ca="1">IFERROR(__xludf.DUMMYFUNCTION("""COMPUTED_VALUE"""),99.3)</f>
        <v>99.3</v>
      </c>
      <c r="Q232" s="1">
        <f ca="1">IFERROR(__xludf.DUMMYFUNCTION("""COMPUTED_VALUE"""),248)</f>
        <v>248</v>
      </c>
      <c r="R232" s="1">
        <f ca="1">IFERROR(__xludf.DUMMYFUNCTION("""COMPUTED_VALUE"""),104.6)</f>
        <v>104.6</v>
      </c>
      <c r="S232" s="1">
        <f ca="1">IFERROR(__xludf.DUMMYFUNCTION("""COMPUTED_VALUE"""),258)</f>
        <v>258</v>
      </c>
      <c r="T232" s="1">
        <f ca="1">IFERROR(__xludf.DUMMYFUNCTION("""COMPUTED_VALUE"""),-3.51)</f>
        <v>-3.51</v>
      </c>
      <c r="U232" s="1">
        <f ca="1">IFERROR(__xludf.DUMMYFUNCTION("""COMPUTED_VALUE"""),239)</f>
        <v>239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IFERROR(__xludf.DUMMYFUNCTION("""COMPUTED_VALUE"""),"Rider")</f>
        <v>Rider</v>
      </c>
      <c r="C233" s="1" t="str">
        <f ca="1">IFERROR(__xludf.DUMMYFUNCTION("""COMPUTED_VALUE"""),"MAAC")</f>
        <v>MAAC</v>
      </c>
      <c r="D233" s="2">
        <f ca="1">IFERROR(__xludf.DUMMYFUNCTION("""COMPUTED_VALUE"""),44911)</f>
        <v>44911</v>
      </c>
      <c r="E233" s="1">
        <f ca="1">IFERROR(__xludf.DUMMYFUNCTION("""COMPUTED_VALUE"""),-5.79)</f>
        <v>-5.79</v>
      </c>
      <c r="F233" s="1">
        <f ca="1">IFERROR(__xludf.DUMMYFUNCTION("""COMPUTED_VALUE"""),99.2)</f>
        <v>99.2</v>
      </c>
      <c r="G233" s="1">
        <f ca="1">IFERROR(__xludf.DUMMYFUNCTION("""COMPUTED_VALUE"""),221)</f>
        <v>221</v>
      </c>
      <c r="H233" s="1">
        <f ca="1">IFERROR(__xludf.DUMMYFUNCTION("""COMPUTED_VALUE"""),104.9)</f>
        <v>104.9</v>
      </c>
      <c r="I233" s="1">
        <f ca="1">IFERROR(__xludf.DUMMYFUNCTION("""COMPUTED_VALUE"""),220)</f>
        <v>220</v>
      </c>
      <c r="J233" s="1">
        <f ca="1">IFERROR(__xludf.DUMMYFUNCTION("""COMPUTED_VALUE"""),63.2)</f>
        <v>63.2</v>
      </c>
      <c r="K233" s="1">
        <f ca="1">IFERROR(__xludf.DUMMYFUNCTION("""COMPUTED_VALUE"""),295)</f>
        <v>295</v>
      </c>
      <c r="L233" s="1">
        <f ca="1">IFERROR(__xludf.DUMMYFUNCTION("""COMPUTED_VALUE"""),-0.013)</f>
        <v>-1.2999999999999999E-2</v>
      </c>
      <c r="M233" s="1">
        <f ca="1">IFERROR(__xludf.DUMMYFUNCTION("""COMPUTED_VALUE"""),200)</f>
        <v>200</v>
      </c>
      <c r="N233" s="1">
        <f ca="1">IFERROR(__xludf.DUMMYFUNCTION("""COMPUTED_VALUE"""),-4.05)</f>
        <v>-4.05</v>
      </c>
      <c r="O233" s="1">
        <f ca="1">IFERROR(__xludf.DUMMYFUNCTION("""COMPUTED_VALUE"""),238)</f>
        <v>238</v>
      </c>
      <c r="P233" s="1">
        <f ca="1">IFERROR(__xludf.DUMMYFUNCTION("""COMPUTED_VALUE"""),100)</f>
        <v>100</v>
      </c>
      <c r="Q233" s="1">
        <f ca="1">IFERROR(__xludf.DUMMYFUNCTION("""COMPUTED_VALUE"""),231)</f>
        <v>231</v>
      </c>
      <c r="R233" s="1">
        <f ca="1">IFERROR(__xludf.DUMMYFUNCTION("""COMPUTED_VALUE"""),104)</f>
        <v>104</v>
      </c>
      <c r="S233" s="1">
        <f ca="1">IFERROR(__xludf.DUMMYFUNCTION("""COMPUTED_VALUE"""),225)</f>
        <v>225</v>
      </c>
      <c r="T233" s="1">
        <f ca="1">IFERROR(__xludf.DUMMYFUNCTION("""COMPUTED_VALUE"""),-5.43)</f>
        <v>-5.43</v>
      </c>
      <c r="U233" s="1">
        <f ca="1">IFERROR(__xludf.DUMMYFUNCTION("""COMPUTED_VALUE"""),285)</f>
        <v>285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IFERROR(__xludf.DUMMYFUNCTION("""COMPUTED_VALUE"""),"Winthrop")</f>
        <v>Winthrop</v>
      </c>
      <c r="C234" s="1" t="str">
        <f ca="1">IFERROR(__xludf.DUMMYFUNCTION("""COMPUTED_VALUE"""),"BSth")</f>
        <v>BSth</v>
      </c>
      <c r="D234" s="1" t="str">
        <f ca="1">IFERROR(__xludf.DUMMYFUNCTION("""COMPUTED_VALUE"""),"18-10")</f>
        <v>18-10</v>
      </c>
      <c r="E234" s="1">
        <f ca="1">IFERROR(__xludf.DUMMYFUNCTION("""COMPUTED_VALUE"""),-5.81)</f>
        <v>-5.81</v>
      </c>
      <c r="F234" s="1">
        <f ca="1">IFERROR(__xludf.DUMMYFUNCTION("""COMPUTED_VALUE"""),97.1)</f>
        <v>97.1</v>
      </c>
      <c r="G234" s="1">
        <f ca="1">IFERROR(__xludf.DUMMYFUNCTION("""COMPUTED_VALUE"""),255)</f>
        <v>255</v>
      </c>
      <c r="H234" s="1">
        <f ca="1">IFERROR(__xludf.DUMMYFUNCTION("""COMPUTED_VALUE"""),102.9)</f>
        <v>102.9</v>
      </c>
      <c r="I234" s="1">
        <f ca="1">IFERROR(__xludf.DUMMYFUNCTION("""COMPUTED_VALUE"""),176)</f>
        <v>176</v>
      </c>
      <c r="J234" s="1">
        <f ca="1">IFERROR(__xludf.DUMMYFUNCTION("""COMPUTED_VALUE"""),67.4)</f>
        <v>67.400000000000006</v>
      </c>
      <c r="K234" s="1">
        <f ca="1">IFERROR(__xludf.DUMMYFUNCTION("""COMPUTED_VALUE"""),149)</f>
        <v>149</v>
      </c>
      <c r="L234" s="1" t="str">
        <f ca="1">IFERROR(__xludf.DUMMYFUNCTION("""COMPUTED_VALUE"""),"+.055")</f>
        <v>+.055</v>
      </c>
      <c r="M234" s="1">
        <f ca="1">IFERROR(__xludf.DUMMYFUNCTION("""COMPUTED_VALUE"""),48)</f>
        <v>48</v>
      </c>
      <c r="N234" s="1">
        <f ca="1">IFERROR(__xludf.DUMMYFUNCTION("""COMPUTED_VALUE"""),-11.23)</f>
        <v>-11.23</v>
      </c>
      <c r="O234" s="1">
        <f ca="1">IFERROR(__xludf.DUMMYFUNCTION("""COMPUTED_VALUE"""),313)</f>
        <v>313</v>
      </c>
      <c r="P234" s="1">
        <f ca="1">IFERROR(__xludf.DUMMYFUNCTION("""COMPUTED_VALUE"""),96.3)</f>
        <v>96.3</v>
      </c>
      <c r="Q234" s="1">
        <f ca="1">IFERROR(__xludf.DUMMYFUNCTION("""COMPUTED_VALUE"""),312)</f>
        <v>312</v>
      </c>
      <c r="R234" s="1">
        <f ca="1">IFERROR(__xludf.DUMMYFUNCTION("""COMPUTED_VALUE"""),107.5)</f>
        <v>107.5</v>
      </c>
      <c r="S234" s="1">
        <f ca="1">IFERROR(__xludf.DUMMYFUNCTION("""COMPUTED_VALUE"""),316)</f>
        <v>316</v>
      </c>
      <c r="T234" s="1">
        <f ca="1">IFERROR(__xludf.DUMMYFUNCTION("""COMPUTED_VALUE"""),-4.03)</f>
        <v>-4.03</v>
      </c>
      <c r="U234" s="1">
        <f ca="1">IFERROR(__xludf.DUMMYFUNCTION("""COMPUTED_VALUE"""),254)</f>
        <v>254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IFERROR(__xludf.DUMMYFUNCTION("""COMPUTED_VALUE"""),"Lehigh")</f>
        <v>Lehigh</v>
      </c>
      <c r="C235" s="1" t="str">
        <f ca="1">IFERROR(__xludf.DUMMYFUNCTION("""COMPUTED_VALUE"""),"Pat")</f>
        <v>Pat</v>
      </c>
      <c r="D235" s="1" t="str">
        <f ca="1">IFERROR(__xludf.DUMMYFUNCTION("""COMPUTED_VALUE"""),"14-12")</f>
        <v>14-12</v>
      </c>
      <c r="E235" s="1">
        <f ca="1">IFERROR(__xludf.DUMMYFUNCTION("""COMPUTED_VALUE"""),-5.94)</f>
        <v>-5.94</v>
      </c>
      <c r="F235" s="1">
        <f ca="1">IFERROR(__xludf.DUMMYFUNCTION("""COMPUTED_VALUE"""),98.3)</f>
        <v>98.3</v>
      </c>
      <c r="G235" s="1">
        <f ca="1">IFERROR(__xludf.DUMMYFUNCTION("""COMPUTED_VALUE"""),237)</f>
        <v>237</v>
      </c>
      <c r="H235" s="1">
        <f ca="1">IFERROR(__xludf.DUMMYFUNCTION("""COMPUTED_VALUE"""),104.2)</f>
        <v>104.2</v>
      </c>
      <c r="I235" s="1">
        <f ca="1">IFERROR(__xludf.DUMMYFUNCTION("""COMPUTED_VALUE"""),201)</f>
        <v>201</v>
      </c>
      <c r="J235" s="1">
        <f ca="1">IFERROR(__xludf.DUMMYFUNCTION("""COMPUTED_VALUE"""),65.2)</f>
        <v>65.2</v>
      </c>
      <c r="K235" s="1">
        <f ca="1">IFERROR(__xludf.DUMMYFUNCTION("""COMPUTED_VALUE"""),246)</f>
        <v>246</v>
      </c>
      <c r="L235" s="1" t="str">
        <f ca="1">IFERROR(__xludf.DUMMYFUNCTION("""COMPUTED_VALUE"""),"+.030")</f>
        <v>+.030</v>
      </c>
      <c r="M235" s="1">
        <f ca="1">IFERROR(__xludf.DUMMYFUNCTION("""COMPUTED_VALUE"""),91)</f>
        <v>91</v>
      </c>
      <c r="N235" s="1">
        <f ca="1">IFERROR(__xludf.DUMMYFUNCTION("""COMPUTED_VALUE"""),-7.43)</f>
        <v>-7.43</v>
      </c>
      <c r="O235" s="1">
        <f ca="1">IFERROR(__xludf.DUMMYFUNCTION("""COMPUTED_VALUE"""),281)</f>
        <v>281</v>
      </c>
      <c r="P235" s="1">
        <f ca="1">IFERROR(__xludf.DUMMYFUNCTION("""COMPUTED_VALUE"""),96.4)</f>
        <v>96.4</v>
      </c>
      <c r="Q235" s="1">
        <f ca="1">IFERROR(__xludf.DUMMYFUNCTION("""COMPUTED_VALUE"""),309)</f>
        <v>309</v>
      </c>
      <c r="R235" s="1">
        <f ca="1">IFERROR(__xludf.DUMMYFUNCTION("""COMPUTED_VALUE"""),103.8)</f>
        <v>103.8</v>
      </c>
      <c r="S235" s="1">
        <f ca="1">IFERROR(__xludf.DUMMYFUNCTION("""COMPUTED_VALUE"""),214)</f>
        <v>214</v>
      </c>
      <c r="T235" s="1">
        <f ca="1">IFERROR(__xludf.DUMMYFUNCTION("""COMPUTED_VALUE"""),-7.08)</f>
        <v>-7.08</v>
      </c>
      <c r="U235" s="1">
        <f ca="1">IFERROR(__xludf.DUMMYFUNCTION("""COMPUTED_VALUE"""),299)</f>
        <v>299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IFERROR(__xludf.DUMMYFUNCTION("""COMPUTED_VALUE"""),"Georgia St.")</f>
        <v>Georgia St.</v>
      </c>
      <c r="C236" s="1" t="str">
        <f ca="1">IFERROR(__xludf.DUMMYFUNCTION("""COMPUTED_VALUE"""),"ASun")</f>
        <v>ASun</v>
      </c>
      <c r="D236" s="1" t="str">
        <f ca="1">IFERROR(__xludf.DUMMYFUNCTION("""COMPUTED_VALUE"""),"13-15")</f>
        <v>13-15</v>
      </c>
      <c r="E236" s="1">
        <f ca="1">IFERROR(__xludf.DUMMYFUNCTION("""COMPUTED_VALUE"""),-6.14)</f>
        <v>-6.14</v>
      </c>
      <c r="F236" s="1">
        <f ca="1">IFERROR(__xludf.DUMMYFUNCTION("""COMPUTED_VALUE"""),101.5)</f>
        <v>101.5</v>
      </c>
      <c r="G236" s="1">
        <f ca="1">IFERROR(__xludf.DUMMYFUNCTION("""COMPUTED_VALUE"""),178)</f>
        <v>178</v>
      </c>
      <c r="H236" s="1">
        <f ca="1">IFERROR(__xludf.DUMMYFUNCTION("""COMPUTED_VALUE"""),107.6)</f>
        <v>107.6</v>
      </c>
      <c r="I236" s="1">
        <f ca="1">IFERROR(__xludf.DUMMYFUNCTION("""COMPUTED_VALUE"""),265)</f>
        <v>265</v>
      </c>
      <c r="J236" s="1">
        <f ca="1">IFERROR(__xludf.DUMMYFUNCTION("""COMPUTED_VALUE"""),66.7)</f>
        <v>66.7</v>
      </c>
      <c r="K236" s="1">
        <f ca="1">IFERROR(__xludf.DUMMYFUNCTION("""COMPUTED_VALUE"""),180)</f>
        <v>180</v>
      </c>
      <c r="L236" s="1">
        <f ca="1">IFERROR(__xludf.DUMMYFUNCTION("""COMPUTED_VALUE"""),-0.033)</f>
        <v>-3.3000000000000002E-2</v>
      </c>
      <c r="M236" s="1">
        <f ca="1">IFERROR(__xludf.DUMMYFUNCTION("""COMPUTED_VALUE"""),258)</f>
        <v>258</v>
      </c>
      <c r="N236" s="1">
        <f ca="1">IFERROR(__xludf.DUMMYFUNCTION("""COMPUTED_VALUE"""),-6.32)</f>
        <v>-6.32</v>
      </c>
      <c r="O236" s="1">
        <f ca="1">IFERROR(__xludf.DUMMYFUNCTION("""COMPUTED_VALUE"""),270)</f>
        <v>270</v>
      </c>
      <c r="P236" s="1">
        <f ca="1">IFERROR(__xludf.DUMMYFUNCTION("""COMPUTED_VALUE"""),98.7)</f>
        <v>98.7</v>
      </c>
      <c r="Q236" s="1">
        <f ca="1">IFERROR(__xludf.DUMMYFUNCTION("""COMPUTED_VALUE"""),266)</f>
        <v>266</v>
      </c>
      <c r="R236" s="1">
        <f ca="1">IFERROR(__xludf.DUMMYFUNCTION("""COMPUTED_VALUE"""),105.1)</f>
        <v>105.1</v>
      </c>
      <c r="S236" s="1">
        <f ca="1">IFERROR(__xludf.DUMMYFUNCTION("""COMPUTED_VALUE"""),277)</f>
        <v>277</v>
      </c>
      <c r="T236" s="1">
        <f ca="1">IFERROR(__xludf.DUMMYFUNCTION("""COMPUTED_VALUE"""),-3.35)</f>
        <v>-3.35</v>
      </c>
      <c r="U236" s="1">
        <f ca="1">IFERROR(__xludf.DUMMYFUNCTION("""COMPUTED_VALUE"""),234)</f>
        <v>234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IFERROR(__xludf.DUMMYFUNCTION("""COMPUTED_VALUE"""),"Drake")</f>
        <v>Drake</v>
      </c>
      <c r="C237" s="1" t="str">
        <f ca="1">IFERROR(__xludf.DUMMYFUNCTION("""COMPUTED_VALUE"""),"MVC")</f>
        <v>MVC</v>
      </c>
      <c r="D237" s="2">
        <f ca="1">IFERROR(__xludf.DUMMYFUNCTION("""COMPUTED_VALUE"""),44793)</f>
        <v>44793</v>
      </c>
      <c r="E237" s="1">
        <f ca="1">IFERROR(__xludf.DUMMYFUNCTION("""COMPUTED_VALUE"""),-6.22)</f>
        <v>-6.22</v>
      </c>
      <c r="F237" s="1">
        <f ca="1">IFERROR(__xludf.DUMMYFUNCTION("""COMPUTED_VALUE"""),101.7)</f>
        <v>101.7</v>
      </c>
      <c r="G237" s="1">
        <f ca="1">IFERROR(__xludf.DUMMYFUNCTION("""COMPUTED_VALUE"""),172)</f>
        <v>172</v>
      </c>
      <c r="H237" s="1">
        <f ca="1">IFERROR(__xludf.DUMMYFUNCTION("""COMPUTED_VALUE"""),107.9)</f>
        <v>107.9</v>
      </c>
      <c r="I237" s="1">
        <f ca="1">IFERROR(__xludf.DUMMYFUNCTION("""COMPUTED_VALUE"""),269)</f>
        <v>269</v>
      </c>
      <c r="J237" s="1">
        <f ca="1">IFERROR(__xludf.DUMMYFUNCTION("""COMPUTED_VALUE"""),62.3)</f>
        <v>62.3</v>
      </c>
      <c r="K237" s="1">
        <f ca="1">IFERROR(__xludf.DUMMYFUNCTION("""COMPUTED_VALUE"""),302)</f>
        <v>302</v>
      </c>
      <c r="L237" s="1">
        <f ca="1">IFERROR(__xludf.DUMMYFUNCTION("""COMPUTED_VALUE"""),-0.024)</f>
        <v>-2.4E-2</v>
      </c>
      <c r="M237" s="1">
        <f ca="1">IFERROR(__xludf.DUMMYFUNCTION("""COMPUTED_VALUE"""),227)</f>
        <v>227</v>
      </c>
      <c r="N237" s="1" t="str">
        <f ca="1">IFERROR(__xludf.DUMMYFUNCTION("""COMPUTED_VALUE"""),"+1.66")</f>
        <v>+1.66</v>
      </c>
      <c r="O237" s="1">
        <f ca="1">IFERROR(__xludf.DUMMYFUNCTION("""COMPUTED_VALUE"""),126)</f>
        <v>126</v>
      </c>
      <c r="P237" s="1">
        <f ca="1">IFERROR(__xludf.DUMMYFUNCTION("""COMPUTED_VALUE"""),103.1)</f>
        <v>103.1</v>
      </c>
      <c r="Q237" s="1">
        <f ca="1">IFERROR(__xludf.DUMMYFUNCTION("""COMPUTED_VALUE"""),142)</f>
        <v>142</v>
      </c>
      <c r="R237" s="1">
        <f ca="1">IFERROR(__xludf.DUMMYFUNCTION("""COMPUTED_VALUE"""),101.5)</f>
        <v>101.5</v>
      </c>
      <c r="S237" s="1">
        <f ca="1">IFERROR(__xludf.DUMMYFUNCTION("""COMPUTED_VALUE"""),117)</f>
        <v>117</v>
      </c>
      <c r="T237" s="1" t="str">
        <f ca="1">IFERROR(__xludf.DUMMYFUNCTION("""COMPUTED_VALUE"""),"+2.37")</f>
        <v>+2.37</v>
      </c>
      <c r="U237" s="1">
        <f ca="1">IFERROR(__xludf.DUMMYFUNCTION("""COMPUTED_VALUE"""),101)</f>
        <v>101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IFERROR(__xludf.DUMMYFUNCTION("""COMPUTED_VALUE"""),"Santa Clara")</f>
        <v>Santa Clara</v>
      </c>
      <c r="C238" s="1" t="str">
        <f ca="1">IFERROR(__xludf.DUMMYFUNCTION("""COMPUTED_VALUE"""),"WCC")</f>
        <v>WCC</v>
      </c>
      <c r="D238" s="2">
        <f ca="1">IFERROR(__xludf.DUMMYFUNCTION("""COMPUTED_VALUE"""),44910)</f>
        <v>44910</v>
      </c>
      <c r="E238" s="1">
        <f ca="1">IFERROR(__xludf.DUMMYFUNCTION("""COMPUTED_VALUE"""),-6.25)</f>
        <v>-6.25</v>
      </c>
      <c r="F238" s="1">
        <f ca="1">IFERROR(__xludf.DUMMYFUNCTION("""COMPUTED_VALUE"""),96.9)</f>
        <v>96.9</v>
      </c>
      <c r="G238" s="1">
        <f ca="1">IFERROR(__xludf.DUMMYFUNCTION("""COMPUTED_VALUE"""),256)</f>
        <v>256</v>
      </c>
      <c r="H238" s="1">
        <f ca="1">IFERROR(__xludf.DUMMYFUNCTION("""COMPUTED_VALUE"""),103.2)</f>
        <v>103.2</v>
      </c>
      <c r="I238" s="1">
        <f ca="1">IFERROR(__xludf.DUMMYFUNCTION("""COMPUTED_VALUE"""),184)</f>
        <v>184</v>
      </c>
      <c r="J238" s="1">
        <f ca="1">IFERROR(__xludf.DUMMYFUNCTION("""COMPUTED_VALUE"""),65.1)</f>
        <v>65.099999999999994</v>
      </c>
      <c r="K238" s="1">
        <f ca="1">IFERROR(__xludf.DUMMYFUNCTION("""COMPUTED_VALUE"""),251)</f>
        <v>251</v>
      </c>
      <c r="L238" s="1" t="str">
        <f ca="1">IFERROR(__xludf.DUMMYFUNCTION("""COMPUTED_VALUE"""),"+.083")</f>
        <v>+.083</v>
      </c>
      <c r="M238" s="1">
        <f ca="1">IFERROR(__xludf.DUMMYFUNCTION("""COMPUTED_VALUE"""),15)</f>
        <v>15</v>
      </c>
      <c r="N238" s="1">
        <f ca="1">IFERROR(__xludf.DUMMYFUNCTION("""COMPUTED_VALUE"""),-0.77)</f>
        <v>-0.77</v>
      </c>
      <c r="O238" s="1">
        <f ca="1">IFERROR(__xludf.DUMMYFUNCTION("""COMPUTED_VALUE"""),164)</f>
        <v>164</v>
      </c>
      <c r="P238" s="1">
        <f ca="1">IFERROR(__xludf.DUMMYFUNCTION("""COMPUTED_VALUE"""),102.4)</f>
        <v>102.4</v>
      </c>
      <c r="Q238" s="1">
        <f ca="1">IFERROR(__xludf.DUMMYFUNCTION("""COMPUTED_VALUE"""),164)</f>
        <v>164</v>
      </c>
      <c r="R238" s="1">
        <f ca="1">IFERROR(__xludf.DUMMYFUNCTION("""COMPUTED_VALUE"""),103.2)</f>
        <v>103.2</v>
      </c>
      <c r="S238" s="1">
        <f ca="1">IFERROR(__xludf.DUMMYFUNCTION("""COMPUTED_VALUE"""),192)</f>
        <v>192</v>
      </c>
      <c r="T238" s="1">
        <f ca="1">IFERROR(__xludf.DUMMYFUNCTION("""COMPUTED_VALUE"""),-5.27)</f>
        <v>-5.27</v>
      </c>
      <c r="U238" s="1">
        <f ca="1">IFERROR(__xludf.DUMMYFUNCTION("""COMPUTED_VALUE"""),279)</f>
        <v>279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IFERROR(__xludf.DUMMYFUNCTION("""COMPUTED_VALUE"""),"FIU")</f>
        <v>FIU</v>
      </c>
      <c r="C239" s="1" t="str">
        <f ca="1">IFERROR(__xludf.DUMMYFUNCTION("""COMPUTED_VALUE"""),"SB")</f>
        <v>SB</v>
      </c>
      <c r="D239" s="2">
        <f ca="1">IFERROR(__xludf.DUMMYFUNCTION("""COMPUTED_VALUE"""),44763)</f>
        <v>44763</v>
      </c>
      <c r="E239" s="1">
        <f ca="1">IFERROR(__xludf.DUMMYFUNCTION("""COMPUTED_VALUE"""),-6.29)</f>
        <v>-6.29</v>
      </c>
      <c r="F239" s="1">
        <f ca="1">IFERROR(__xludf.DUMMYFUNCTION("""COMPUTED_VALUE"""),95)</f>
        <v>95</v>
      </c>
      <c r="G239" s="1">
        <f ca="1">IFERROR(__xludf.DUMMYFUNCTION("""COMPUTED_VALUE"""),272)</f>
        <v>272</v>
      </c>
      <c r="H239" s="1">
        <f ca="1">IFERROR(__xludf.DUMMYFUNCTION("""COMPUTED_VALUE"""),101.3)</f>
        <v>101.3</v>
      </c>
      <c r="I239" s="1">
        <f ca="1">IFERROR(__xludf.DUMMYFUNCTION("""COMPUTED_VALUE"""),148)</f>
        <v>148</v>
      </c>
      <c r="J239" s="1">
        <f ca="1">IFERROR(__xludf.DUMMYFUNCTION("""COMPUTED_VALUE"""),61.6)</f>
        <v>61.6</v>
      </c>
      <c r="K239" s="1">
        <f ca="1">IFERROR(__xludf.DUMMYFUNCTION("""COMPUTED_VALUE"""),313)</f>
        <v>313</v>
      </c>
      <c r="L239" s="1">
        <f ca="1">IFERROR(__xludf.DUMMYFUNCTION("""COMPUTED_VALUE"""),-0.101)</f>
        <v>-0.10100000000000001</v>
      </c>
      <c r="M239" s="1">
        <f ca="1">IFERROR(__xludf.DUMMYFUNCTION("""COMPUTED_VALUE"""),315)</f>
        <v>315</v>
      </c>
      <c r="N239" s="1" t="str">
        <f ca="1">IFERROR(__xludf.DUMMYFUNCTION("""COMPUTED_VALUE"""),"+0.88")</f>
        <v>+0.88</v>
      </c>
      <c r="O239" s="1">
        <f ca="1">IFERROR(__xludf.DUMMYFUNCTION("""COMPUTED_VALUE"""),141)</f>
        <v>141</v>
      </c>
      <c r="P239" s="1">
        <f ca="1">IFERROR(__xludf.DUMMYFUNCTION("""COMPUTED_VALUE"""),103.1)</f>
        <v>103.1</v>
      </c>
      <c r="Q239" s="1">
        <f ca="1">IFERROR(__xludf.DUMMYFUNCTION("""COMPUTED_VALUE"""),144)</f>
        <v>144</v>
      </c>
      <c r="R239" s="1">
        <f ca="1">IFERROR(__xludf.DUMMYFUNCTION("""COMPUTED_VALUE"""),102.2)</f>
        <v>102.2</v>
      </c>
      <c r="S239" s="1">
        <f ca="1">IFERROR(__xludf.DUMMYFUNCTION("""COMPUTED_VALUE"""),149)</f>
        <v>149</v>
      </c>
      <c r="T239" s="1">
        <f ca="1">IFERROR(__xludf.DUMMYFUNCTION("""COMPUTED_VALUE"""),-2.98)</f>
        <v>-2.98</v>
      </c>
      <c r="U239" s="1">
        <f ca="1">IFERROR(__xludf.DUMMYFUNCTION("""COMPUTED_VALUE"""),225)</f>
        <v>225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IFERROR(__xludf.DUMMYFUNCTION("""COMPUTED_VALUE"""),"Birmingham Southern")</f>
        <v>Birmingham Southern</v>
      </c>
      <c r="C240" s="1" t="str">
        <f ca="1">IFERROR(__xludf.DUMMYFUNCTION("""COMPUTED_VALUE"""),"BSth")</f>
        <v>BSth</v>
      </c>
      <c r="D240" s="1" t="str">
        <f ca="1">IFERROR(__xludf.DUMMYFUNCTION("""COMPUTED_VALUE"""),"17-9")</f>
        <v>17-9</v>
      </c>
      <c r="E240" s="1">
        <f ca="1">IFERROR(__xludf.DUMMYFUNCTION("""COMPUTED_VALUE"""),-6.59)</f>
        <v>-6.59</v>
      </c>
      <c r="F240" s="1">
        <f ca="1">IFERROR(__xludf.DUMMYFUNCTION("""COMPUTED_VALUE"""),100.5)</f>
        <v>100.5</v>
      </c>
      <c r="G240" s="1">
        <f ca="1">IFERROR(__xludf.DUMMYFUNCTION("""COMPUTED_VALUE"""),201)</f>
        <v>201</v>
      </c>
      <c r="H240" s="1">
        <f ca="1">IFERROR(__xludf.DUMMYFUNCTION("""COMPUTED_VALUE"""),107.1)</f>
        <v>107.1</v>
      </c>
      <c r="I240" s="1">
        <f ca="1">IFERROR(__xludf.DUMMYFUNCTION("""COMPUTED_VALUE"""),253)</f>
        <v>253</v>
      </c>
      <c r="J240" s="1">
        <f ca="1">IFERROR(__xludf.DUMMYFUNCTION("""COMPUTED_VALUE"""),63.4)</f>
        <v>63.4</v>
      </c>
      <c r="K240" s="1">
        <f ca="1">IFERROR(__xludf.DUMMYFUNCTION("""COMPUTED_VALUE"""),288)</f>
        <v>288</v>
      </c>
      <c r="L240" s="1" t="str">
        <f ca="1">IFERROR(__xludf.DUMMYFUNCTION("""COMPUTED_VALUE"""),"+.035")</f>
        <v>+.035</v>
      </c>
      <c r="M240" s="1">
        <f ca="1">IFERROR(__xludf.DUMMYFUNCTION("""COMPUTED_VALUE"""),79)</f>
        <v>79</v>
      </c>
      <c r="N240" s="1">
        <f ca="1">IFERROR(__xludf.DUMMYFUNCTION("""COMPUTED_VALUE"""),-12.1)</f>
        <v>-12.1</v>
      </c>
      <c r="O240" s="1">
        <f ca="1">IFERROR(__xludf.DUMMYFUNCTION("""COMPUTED_VALUE"""),316)</f>
        <v>316</v>
      </c>
      <c r="P240" s="1">
        <f ca="1">IFERROR(__xludf.DUMMYFUNCTION("""COMPUTED_VALUE"""),94.7)</f>
        <v>94.7</v>
      </c>
      <c r="Q240" s="1">
        <f ca="1">IFERROR(__xludf.DUMMYFUNCTION("""COMPUTED_VALUE"""),321)</f>
        <v>321</v>
      </c>
      <c r="R240" s="1">
        <f ca="1">IFERROR(__xludf.DUMMYFUNCTION("""COMPUTED_VALUE"""),106.8)</f>
        <v>106.8</v>
      </c>
      <c r="S240" s="1">
        <f ca="1">IFERROR(__xludf.DUMMYFUNCTION("""COMPUTED_VALUE"""),304)</f>
        <v>304</v>
      </c>
      <c r="T240" s="1">
        <f ca="1">IFERROR(__xludf.DUMMYFUNCTION("""COMPUTED_VALUE"""),-8.06)</f>
        <v>-8.06</v>
      </c>
      <c r="U240" s="1">
        <f ca="1">IFERROR(__xludf.DUMMYFUNCTION("""COMPUTED_VALUE"""),307)</f>
        <v>307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IFERROR(__xludf.DUMMYFUNCTION("""COMPUTED_VALUE"""),"Quinnipiac")</f>
        <v>Quinnipiac</v>
      </c>
      <c r="C241" s="1" t="str">
        <f ca="1">IFERROR(__xludf.DUMMYFUNCTION("""COMPUTED_VALUE"""),"NEC")</f>
        <v>NEC</v>
      </c>
      <c r="D241" s="1" t="str">
        <f ca="1">IFERROR(__xludf.DUMMYFUNCTION("""COMPUTED_VALUE"""),"16-12")</f>
        <v>16-12</v>
      </c>
      <c r="E241" s="1">
        <f ca="1">IFERROR(__xludf.DUMMYFUNCTION("""COMPUTED_VALUE"""),-6.72)</f>
        <v>-6.72</v>
      </c>
      <c r="F241" s="1">
        <f ca="1">IFERROR(__xludf.DUMMYFUNCTION("""COMPUTED_VALUE"""),99.1)</f>
        <v>99.1</v>
      </c>
      <c r="G241" s="1">
        <f ca="1">IFERROR(__xludf.DUMMYFUNCTION("""COMPUTED_VALUE"""),222)</f>
        <v>222</v>
      </c>
      <c r="H241" s="1">
        <f ca="1">IFERROR(__xludf.DUMMYFUNCTION("""COMPUTED_VALUE"""),105.8)</f>
        <v>105.8</v>
      </c>
      <c r="I241" s="1">
        <f ca="1">IFERROR(__xludf.DUMMYFUNCTION("""COMPUTED_VALUE"""),236)</f>
        <v>236</v>
      </c>
      <c r="J241" s="1">
        <f ca="1">IFERROR(__xludf.DUMMYFUNCTION("""COMPUTED_VALUE"""),71)</f>
        <v>71</v>
      </c>
      <c r="K241" s="1">
        <f ca="1">IFERROR(__xludf.DUMMYFUNCTION("""COMPUTED_VALUE"""),33)</f>
        <v>33</v>
      </c>
      <c r="L241" s="1" t="str">
        <f ca="1">IFERROR(__xludf.DUMMYFUNCTION("""COMPUTED_VALUE"""),"+.044")</f>
        <v>+.044</v>
      </c>
      <c r="M241" s="1">
        <f ca="1">IFERROR(__xludf.DUMMYFUNCTION("""COMPUTED_VALUE"""),66)</f>
        <v>66</v>
      </c>
      <c r="N241" s="1">
        <f ca="1">IFERROR(__xludf.DUMMYFUNCTION("""COMPUTED_VALUE"""),-8.87)</f>
        <v>-8.8699999999999992</v>
      </c>
      <c r="O241" s="1">
        <f ca="1">IFERROR(__xludf.DUMMYFUNCTION("""COMPUTED_VALUE"""),297)</f>
        <v>297</v>
      </c>
      <c r="P241" s="1">
        <f ca="1">IFERROR(__xludf.DUMMYFUNCTION("""COMPUTED_VALUE"""),97.7)</f>
        <v>97.7</v>
      </c>
      <c r="Q241" s="1">
        <f ca="1">IFERROR(__xludf.DUMMYFUNCTION("""COMPUTED_VALUE"""),288)</f>
        <v>288</v>
      </c>
      <c r="R241" s="1">
        <f ca="1">IFERROR(__xludf.DUMMYFUNCTION("""COMPUTED_VALUE"""),106.6)</f>
        <v>106.6</v>
      </c>
      <c r="S241" s="1">
        <f ca="1">IFERROR(__xludf.DUMMYFUNCTION("""COMPUTED_VALUE"""),299)</f>
        <v>299</v>
      </c>
      <c r="T241" s="1">
        <f ca="1">IFERROR(__xludf.DUMMYFUNCTION("""COMPUTED_VALUE"""),-2.19)</f>
        <v>-2.19</v>
      </c>
      <c r="U241" s="1">
        <f ca="1">IFERROR(__xludf.DUMMYFUNCTION("""COMPUTED_VALUE"""),210)</f>
        <v>210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IFERROR(__xludf.DUMMYFUNCTION("""COMPUTED_VALUE"""),"Tennessee Martin")</f>
        <v>Tennessee Martin</v>
      </c>
      <c r="C242" s="1" t="str">
        <f ca="1">IFERROR(__xludf.DUMMYFUNCTION("""COMPUTED_VALUE"""),"OVC")</f>
        <v>OVC</v>
      </c>
      <c r="D242" s="2">
        <f ca="1">IFERROR(__xludf.DUMMYFUNCTION("""COMPUTED_VALUE"""),44848)</f>
        <v>44848</v>
      </c>
      <c r="E242" s="1">
        <f ca="1">IFERROR(__xludf.DUMMYFUNCTION("""COMPUTED_VALUE"""),-6.88)</f>
        <v>-6.88</v>
      </c>
      <c r="F242" s="1">
        <f ca="1">IFERROR(__xludf.DUMMYFUNCTION("""COMPUTED_VALUE"""),100.5)</f>
        <v>100.5</v>
      </c>
      <c r="G242" s="1">
        <f ca="1">IFERROR(__xludf.DUMMYFUNCTION("""COMPUTED_VALUE"""),202)</f>
        <v>202</v>
      </c>
      <c r="H242" s="1">
        <f ca="1">IFERROR(__xludf.DUMMYFUNCTION("""COMPUTED_VALUE"""),107.3)</f>
        <v>107.3</v>
      </c>
      <c r="I242" s="1">
        <f ca="1">IFERROR(__xludf.DUMMYFUNCTION("""COMPUTED_VALUE"""),260)</f>
        <v>260</v>
      </c>
      <c r="J242" s="1">
        <f ca="1">IFERROR(__xludf.DUMMYFUNCTION("""COMPUTED_VALUE"""),69.5)</f>
        <v>69.5</v>
      </c>
      <c r="K242" s="1">
        <f ca="1">IFERROR(__xludf.DUMMYFUNCTION("""COMPUTED_VALUE"""),66)</f>
        <v>66</v>
      </c>
      <c r="L242" s="1" t="str">
        <f ca="1">IFERROR(__xludf.DUMMYFUNCTION("""COMPUTED_VALUE"""),"+.042")</f>
        <v>+.042</v>
      </c>
      <c r="M242" s="1">
        <f ca="1">IFERROR(__xludf.DUMMYFUNCTION("""COMPUTED_VALUE"""),71)</f>
        <v>71</v>
      </c>
      <c r="N242" s="1">
        <f ca="1">IFERROR(__xludf.DUMMYFUNCTION("""COMPUTED_VALUE"""),-0.98)</f>
        <v>-0.98</v>
      </c>
      <c r="O242" s="1">
        <f ca="1">IFERROR(__xludf.DUMMYFUNCTION("""COMPUTED_VALUE"""),172)</f>
        <v>172</v>
      </c>
      <c r="P242" s="1">
        <f ca="1">IFERROR(__xludf.DUMMYFUNCTION("""COMPUTED_VALUE"""),103.5)</f>
        <v>103.5</v>
      </c>
      <c r="Q242" s="1">
        <f ca="1">IFERROR(__xludf.DUMMYFUNCTION("""COMPUTED_VALUE"""),128)</f>
        <v>128</v>
      </c>
      <c r="R242" s="1">
        <f ca="1">IFERROR(__xludf.DUMMYFUNCTION("""COMPUTED_VALUE"""),104.5)</f>
        <v>104.5</v>
      </c>
      <c r="S242" s="1">
        <f ca="1">IFERROR(__xludf.DUMMYFUNCTION("""COMPUTED_VALUE"""),247)</f>
        <v>247</v>
      </c>
      <c r="T242" s="1" t="str">
        <f ca="1">IFERROR(__xludf.DUMMYFUNCTION("""COMPUTED_VALUE"""),"+5.78")</f>
        <v>+5.78</v>
      </c>
      <c r="U242" s="1">
        <f ca="1">IFERROR(__xludf.DUMMYFUNCTION("""COMPUTED_VALUE"""),44)</f>
        <v>44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IFERROR(__xludf.DUMMYFUNCTION("""COMPUTED_VALUE"""),"Georgia Southern")</f>
        <v>Georgia Southern</v>
      </c>
      <c r="C243" s="1" t="str">
        <f ca="1">IFERROR(__xludf.DUMMYFUNCTION("""COMPUTED_VALUE"""),"SC")</f>
        <v>SC</v>
      </c>
      <c r="D243" s="1" t="str">
        <f ca="1">IFERROR(__xludf.DUMMYFUNCTION("""COMPUTED_VALUE"""),"13-13")</f>
        <v>13-13</v>
      </c>
      <c r="E243" s="1">
        <f ca="1">IFERROR(__xludf.DUMMYFUNCTION("""COMPUTED_VALUE"""),-6.97)</f>
        <v>-6.97</v>
      </c>
      <c r="F243" s="1">
        <f ca="1">IFERROR(__xludf.DUMMYFUNCTION("""COMPUTED_VALUE"""),102.2)</f>
        <v>102.2</v>
      </c>
      <c r="G243" s="1">
        <f ca="1">IFERROR(__xludf.DUMMYFUNCTION("""COMPUTED_VALUE"""),164)</f>
        <v>164</v>
      </c>
      <c r="H243" s="1">
        <f ca="1">IFERROR(__xludf.DUMMYFUNCTION("""COMPUTED_VALUE"""),109.2)</f>
        <v>109.2</v>
      </c>
      <c r="I243" s="1">
        <f ca="1">IFERROR(__xludf.DUMMYFUNCTION("""COMPUTED_VALUE"""),291)</f>
        <v>291</v>
      </c>
      <c r="J243" s="1">
        <f ca="1">IFERROR(__xludf.DUMMYFUNCTION("""COMPUTED_VALUE"""),71.6)</f>
        <v>71.599999999999994</v>
      </c>
      <c r="K243" s="1">
        <f ca="1">IFERROR(__xludf.DUMMYFUNCTION("""COMPUTED_VALUE"""),22)</f>
        <v>22</v>
      </c>
      <c r="L243" s="1" t="str">
        <f ca="1">IFERROR(__xludf.DUMMYFUNCTION("""COMPUTED_VALUE"""),"+.081")</f>
        <v>+.081</v>
      </c>
      <c r="M243" s="1">
        <f ca="1">IFERROR(__xludf.DUMMYFUNCTION("""COMPUTED_VALUE"""),21)</f>
        <v>21</v>
      </c>
      <c r="N243" s="1">
        <f ca="1">IFERROR(__xludf.DUMMYFUNCTION("""COMPUTED_VALUE"""),-4.66)</f>
        <v>-4.66</v>
      </c>
      <c r="O243" s="1">
        <f ca="1">IFERROR(__xludf.DUMMYFUNCTION("""COMPUTED_VALUE"""),243)</f>
        <v>243</v>
      </c>
      <c r="P243" s="1">
        <f ca="1">IFERROR(__xludf.DUMMYFUNCTION("""COMPUTED_VALUE"""),99.7)</f>
        <v>99.7</v>
      </c>
      <c r="Q243" s="1">
        <f ca="1">IFERROR(__xludf.DUMMYFUNCTION("""COMPUTED_VALUE"""),235)</f>
        <v>235</v>
      </c>
      <c r="R243" s="1">
        <f ca="1">IFERROR(__xludf.DUMMYFUNCTION("""COMPUTED_VALUE"""),104.3)</f>
        <v>104.3</v>
      </c>
      <c r="S243" s="1">
        <f ca="1">IFERROR(__xludf.DUMMYFUNCTION("""COMPUTED_VALUE"""),240)</f>
        <v>240</v>
      </c>
      <c r="T243" s="1">
        <f ca="1">IFERROR(__xludf.DUMMYFUNCTION("""COMPUTED_VALUE"""),-4.78)</f>
        <v>-4.78</v>
      </c>
      <c r="U243" s="1">
        <f ca="1">IFERROR(__xludf.DUMMYFUNCTION("""COMPUTED_VALUE"""),268)</f>
        <v>268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IFERROR(__xludf.DUMMYFUNCTION("""COMPUTED_VALUE"""),"North Texas")</f>
        <v>North Texas</v>
      </c>
      <c r="C244" s="1" t="str">
        <f ca="1">IFERROR(__xludf.DUMMYFUNCTION("""COMPUTED_VALUE"""),"SB")</f>
        <v>SB</v>
      </c>
      <c r="D244" s="2">
        <f ca="1">IFERROR(__xludf.DUMMYFUNCTION("""COMPUTED_VALUE"""),44702)</f>
        <v>44702</v>
      </c>
      <c r="E244" s="1">
        <f ca="1">IFERROR(__xludf.DUMMYFUNCTION("""COMPUTED_VALUE"""),-7.31)</f>
        <v>-7.31</v>
      </c>
      <c r="F244" s="1">
        <f ca="1">IFERROR(__xludf.DUMMYFUNCTION("""COMPUTED_VALUE"""),99.3)</f>
        <v>99.3</v>
      </c>
      <c r="G244" s="1">
        <f ca="1">IFERROR(__xludf.DUMMYFUNCTION("""COMPUTED_VALUE"""),217)</f>
        <v>217</v>
      </c>
      <c r="H244" s="1">
        <f ca="1">IFERROR(__xludf.DUMMYFUNCTION("""COMPUTED_VALUE"""),106.6)</f>
        <v>106.6</v>
      </c>
      <c r="I244" s="1">
        <f ca="1">IFERROR(__xludf.DUMMYFUNCTION("""COMPUTED_VALUE"""),246)</f>
        <v>246</v>
      </c>
      <c r="J244" s="1">
        <f ca="1">IFERROR(__xludf.DUMMYFUNCTION("""COMPUTED_VALUE"""),70.2)</f>
        <v>70.2</v>
      </c>
      <c r="K244" s="1">
        <f ca="1">IFERROR(__xludf.DUMMYFUNCTION("""COMPUTED_VALUE"""),50)</f>
        <v>50</v>
      </c>
      <c r="L244" s="1" t="str">
        <f ca="1">IFERROR(__xludf.DUMMYFUNCTION("""COMPUTED_VALUE"""),"+.006")</f>
        <v>+.006</v>
      </c>
      <c r="M244" s="1">
        <f ca="1">IFERROR(__xludf.DUMMYFUNCTION("""COMPUTED_VALUE"""),147)</f>
        <v>147</v>
      </c>
      <c r="N244" s="1" t="str">
        <f ca="1">IFERROR(__xludf.DUMMYFUNCTION("""COMPUTED_VALUE"""),"+5.18")</f>
        <v>+5.18</v>
      </c>
      <c r="O244" s="1">
        <f ca="1">IFERROR(__xludf.DUMMYFUNCTION("""COMPUTED_VALUE"""),78)</f>
        <v>78</v>
      </c>
      <c r="P244" s="1">
        <f ca="1">IFERROR(__xludf.DUMMYFUNCTION("""COMPUTED_VALUE"""),105.3)</f>
        <v>105.3</v>
      </c>
      <c r="Q244" s="1">
        <f ca="1">IFERROR(__xludf.DUMMYFUNCTION("""COMPUTED_VALUE"""),69)</f>
        <v>69</v>
      </c>
      <c r="R244" s="1">
        <f ca="1">IFERROR(__xludf.DUMMYFUNCTION("""COMPUTED_VALUE"""),100.1)</f>
        <v>100.1</v>
      </c>
      <c r="S244" s="1">
        <f ca="1">IFERROR(__xludf.DUMMYFUNCTION("""COMPUTED_VALUE"""),88)</f>
        <v>88</v>
      </c>
      <c r="T244" s="1" t="str">
        <f ca="1">IFERROR(__xludf.DUMMYFUNCTION("""COMPUTED_VALUE"""),"+9.82")</f>
        <v>+9.82</v>
      </c>
      <c r="U244" s="1">
        <f ca="1">IFERROR(__xludf.DUMMYFUNCTION("""COMPUTED_VALUE"""),19)</f>
        <v>19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IFERROR(__xludf.DUMMYFUNCTION("""COMPUTED_VALUE"""),"Furman")</f>
        <v>Furman</v>
      </c>
      <c r="C245" s="1" t="str">
        <f ca="1">IFERROR(__xludf.DUMMYFUNCTION("""COMPUTED_VALUE"""),"SC")</f>
        <v>SC</v>
      </c>
      <c r="D245" s="2">
        <f ca="1">IFERROR(__xludf.DUMMYFUNCTION("""COMPUTED_VALUE"""),44882)</f>
        <v>44882</v>
      </c>
      <c r="E245" s="1">
        <f ca="1">IFERROR(__xludf.DUMMYFUNCTION("""COMPUTED_VALUE"""),-7.37)</f>
        <v>-7.37</v>
      </c>
      <c r="F245" s="1">
        <f ca="1">IFERROR(__xludf.DUMMYFUNCTION("""COMPUTED_VALUE"""),97.9)</f>
        <v>97.9</v>
      </c>
      <c r="G245" s="1">
        <f ca="1">IFERROR(__xludf.DUMMYFUNCTION("""COMPUTED_VALUE"""),244)</f>
        <v>244</v>
      </c>
      <c r="H245" s="1">
        <f ca="1">IFERROR(__xludf.DUMMYFUNCTION("""COMPUTED_VALUE"""),105.2)</f>
        <v>105.2</v>
      </c>
      <c r="I245" s="1">
        <f ca="1">IFERROR(__xludf.DUMMYFUNCTION("""COMPUTED_VALUE"""),227)</f>
        <v>227</v>
      </c>
      <c r="J245" s="1">
        <f ca="1">IFERROR(__xludf.DUMMYFUNCTION("""COMPUTED_VALUE"""),62.9)</f>
        <v>62.9</v>
      </c>
      <c r="K245" s="1">
        <f ca="1">IFERROR(__xludf.DUMMYFUNCTION("""COMPUTED_VALUE"""),296)</f>
        <v>296</v>
      </c>
      <c r="L245" s="1" t="str">
        <f ca="1">IFERROR(__xludf.DUMMYFUNCTION("""COMPUTED_VALUE"""),"+.010")</f>
        <v>+.010</v>
      </c>
      <c r="M245" s="1">
        <f ca="1">IFERROR(__xludf.DUMMYFUNCTION("""COMPUTED_VALUE"""),138)</f>
        <v>138</v>
      </c>
      <c r="N245" s="1">
        <f ca="1">IFERROR(__xludf.DUMMYFUNCTION("""COMPUTED_VALUE"""),-3.17)</f>
        <v>-3.17</v>
      </c>
      <c r="O245" s="1">
        <f ca="1">IFERROR(__xludf.DUMMYFUNCTION("""COMPUTED_VALUE"""),221)</f>
        <v>221</v>
      </c>
      <c r="P245" s="1">
        <f ca="1">IFERROR(__xludf.DUMMYFUNCTION("""COMPUTED_VALUE"""),101.3)</f>
        <v>101.3</v>
      </c>
      <c r="Q245" s="1">
        <f ca="1">IFERROR(__xludf.DUMMYFUNCTION("""COMPUTED_VALUE"""),191)</f>
        <v>191</v>
      </c>
      <c r="R245" s="1">
        <f ca="1">IFERROR(__xludf.DUMMYFUNCTION("""COMPUTED_VALUE"""),104.5)</f>
        <v>104.5</v>
      </c>
      <c r="S245" s="1">
        <f ca="1">IFERROR(__xludf.DUMMYFUNCTION("""COMPUTED_VALUE"""),249)</f>
        <v>249</v>
      </c>
      <c r="T245" s="1">
        <f ca="1">IFERROR(__xludf.DUMMYFUNCTION("""COMPUTED_VALUE"""),-0.24)</f>
        <v>-0.24</v>
      </c>
      <c r="U245" s="1">
        <f ca="1">IFERROR(__xludf.DUMMYFUNCTION("""COMPUTED_VALUE"""),159)</f>
        <v>159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IFERROR(__xludf.DUMMYFUNCTION("""COMPUTED_VALUE"""),"Cal St. Fullerton")</f>
        <v>Cal St. Fullerton</v>
      </c>
      <c r="C246" s="1" t="str">
        <f ca="1">IFERROR(__xludf.DUMMYFUNCTION("""COMPUTED_VALUE"""),"BW")</f>
        <v>BW</v>
      </c>
      <c r="D246" s="2">
        <f ca="1">IFERROR(__xludf.DUMMYFUNCTION("""COMPUTED_VALUE"""),44853)</f>
        <v>44853</v>
      </c>
      <c r="E246" s="1">
        <f ca="1">IFERROR(__xludf.DUMMYFUNCTION("""COMPUTED_VALUE"""),-7.48)</f>
        <v>-7.48</v>
      </c>
      <c r="F246" s="1">
        <f ca="1">IFERROR(__xludf.DUMMYFUNCTION("""COMPUTED_VALUE"""),101.4)</f>
        <v>101.4</v>
      </c>
      <c r="G246" s="1">
        <f ca="1">IFERROR(__xludf.DUMMYFUNCTION("""COMPUTED_VALUE"""),181)</f>
        <v>181</v>
      </c>
      <c r="H246" s="1">
        <f ca="1">IFERROR(__xludf.DUMMYFUNCTION("""COMPUTED_VALUE"""),108.9)</f>
        <v>108.9</v>
      </c>
      <c r="I246" s="1">
        <f ca="1">IFERROR(__xludf.DUMMYFUNCTION("""COMPUTED_VALUE"""),284)</f>
        <v>284</v>
      </c>
      <c r="J246" s="1">
        <f ca="1">IFERROR(__xludf.DUMMYFUNCTION("""COMPUTED_VALUE"""),59.9)</f>
        <v>59.9</v>
      </c>
      <c r="K246" s="1">
        <f ca="1">IFERROR(__xludf.DUMMYFUNCTION("""COMPUTED_VALUE"""),320)</f>
        <v>320</v>
      </c>
      <c r="L246" s="1">
        <f ca="1">IFERROR(__xludf.DUMMYFUNCTION("""COMPUTED_VALUE"""),-0.008)</f>
        <v>-8.0000000000000002E-3</v>
      </c>
      <c r="M246" s="1">
        <f ca="1">IFERROR(__xludf.DUMMYFUNCTION("""COMPUTED_VALUE"""),184)</f>
        <v>184</v>
      </c>
      <c r="N246" s="1">
        <f ca="1">IFERROR(__xludf.DUMMYFUNCTION("""COMPUTED_VALUE"""),-2.38)</f>
        <v>-2.38</v>
      </c>
      <c r="O246" s="1">
        <f ca="1">IFERROR(__xludf.DUMMYFUNCTION("""COMPUTED_VALUE"""),206)</f>
        <v>206</v>
      </c>
      <c r="P246" s="1">
        <f ca="1">IFERROR(__xludf.DUMMYFUNCTION("""COMPUTED_VALUE"""),100.9)</f>
        <v>100.9</v>
      </c>
      <c r="Q246" s="1">
        <f ca="1">IFERROR(__xludf.DUMMYFUNCTION("""COMPUTED_VALUE"""),207)</f>
        <v>207</v>
      </c>
      <c r="R246" s="1">
        <f ca="1">IFERROR(__xludf.DUMMYFUNCTION("""COMPUTED_VALUE"""),103.2)</f>
        <v>103.2</v>
      </c>
      <c r="S246" s="1">
        <f ca="1">IFERROR(__xludf.DUMMYFUNCTION("""COMPUTED_VALUE"""),196)</f>
        <v>196</v>
      </c>
      <c r="T246" s="1">
        <f ca="1">IFERROR(__xludf.DUMMYFUNCTION("""COMPUTED_VALUE"""),-2.61)</f>
        <v>-2.61</v>
      </c>
      <c r="U246" s="1">
        <f ca="1">IFERROR(__xludf.DUMMYFUNCTION("""COMPUTED_VALUE"""),217)</f>
        <v>217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IFERROR(__xludf.DUMMYFUNCTION("""COMPUTED_VALUE"""),"Colgate")</f>
        <v>Colgate</v>
      </c>
      <c r="C247" s="1" t="str">
        <f ca="1">IFERROR(__xludf.DUMMYFUNCTION("""COMPUTED_VALUE"""),"Pat")</f>
        <v>Pat</v>
      </c>
      <c r="D247" s="2">
        <f ca="1">IFERROR(__xludf.DUMMYFUNCTION("""COMPUTED_VALUE"""),44909)</f>
        <v>44909</v>
      </c>
      <c r="E247" s="1">
        <f ca="1">IFERROR(__xludf.DUMMYFUNCTION("""COMPUTED_VALUE"""),-7.72)</f>
        <v>-7.72</v>
      </c>
      <c r="F247" s="1">
        <f ca="1">IFERROR(__xludf.DUMMYFUNCTION("""COMPUTED_VALUE"""),97.4)</f>
        <v>97.4</v>
      </c>
      <c r="G247" s="1">
        <f ca="1">IFERROR(__xludf.DUMMYFUNCTION("""COMPUTED_VALUE"""),251)</f>
        <v>251</v>
      </c>
      <c r="H247" s="1">
        <f ca="1">IFERROR(__xludf.DUMMYFUNCTION("""COMPUTED_VALUE"""),105.2)</f>
        <v>105.2</v>
      </c>
      <c r="I247" s="1">
        <f ca="1">IFERROR(__xludf.DUMMYFUNCTION("""COMPUTED_VALUE"""),223)</f>
        <v>223</v>
      </c>
      <c r="J247" s="1">
        <f ca="1">IFERROR(__xludf.DUMMYFUNCTION("""COMPUTED_VALUE"""),66.2)</f>
        <v>66.2</v>
      </c>
      <c r="K247" s="1">
        <f ca="1">IFERROR(__xludf.DUMMYFUNCTION("""COMPUTED_VALUE"""),198)</f>
        <v>198</v>
      </c>
      <c r="L247" s="1" t="str">
        <f ca="1">IFERROR(__xludf.DUMMYFUNCTION("""COMPUTED_VALUE"""),"+.003")</f>
        <v>+.003</v>
      </c>
      <c r="M247" s="1">
        <f ca="1">IFERROR(__xludf.DUMMYFUNCTION("""COMPUTED_VALUE"""),156)</f>
        <v>156</v>
      </c>
      <c r="N247" s="1">
        <f ca="1">IFERROR(__xludf.DUMMYFUNCTION("""COMPUTED_VALUE"""),-7.11)</f>
        <v>-7.11</v>
      </c>
      <c r="O247" s="1">
        <f ca="1">IFERROR(__xludf.DUMMYFUNCTION("""COMPUTED_VALUE"""),278)</f>
        <v>278</v>
      </c>
      <c r="P247" s="1">
        <f ca="1">IFERROR(__xludf.DUMMYFUNCTION("""COMPUTED_VALUE"""),97.9)</f>
        <v>97.9</v>
      </c>
      <c r="Q247" s="1">
        <f ca="1">IFERROR(__xludf.DUMMYFUNCTION("""COMPUTED_VALUE"""),283)</f>
        <v>283</v>
      </c>
      <c r="R247" s="1">
        <f ca="1">IFERROR(__xludf.DUMMYFUNCTION("""COMPUTED_VALUE"""),105)</f>
        <v>105</v>
      </c>
      <c r="S247" s="1">
        <f ca="1">IFERROR(__xludf.DUMMYFUNCTION("""COMPUTED_VALUE"""),273)</f>
        <v>273</v>
      </c>
      <c r="T247" s="1">
        <f ca="1">IFERROR(__xludf.DUMMYFUNCTION("""COMPUTED_VALUE"""),-6.33)</f>
        <v>-6.33</v>
      </c>
      <c r="U247" s="1">
        <f ca="1">IFERROR(__xludf.DUMMYFUNCTION("""COMPUTED_VALUE"""),291)</f>
        <v>291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IFERROR(__xludf.DUMMYFUNCTION("""COMPUTED_VALUE"""),"Mississippi Valley St.")</f>
        <v>Mississippi Valley St.</v>
      </c>
      <c r="C248" s="1" t="str">
        <f ca="1">IFERROR(__xludf.DUMMYFUNCTION("""COMPUTED_VALUE"""),"SWAC")</f>
        <v>SWAC</v>
      </c>
      <c r="D248" s="1" t="str">
        <f ca="1">IFERROR(__xludf.DUMMYFUNCTION("""COMPUTED_VALUE"""),"13-13")</f>
        <v>13-13</v>
      </c>
      <c r="E248" s="1">
        <f ca="1">IFERROR(__xludf.DUMMYFUNCTION("""COMPUTED_VALUE"""),-7.83)</f>
        <v>-7.83</v>
      </c>
      <c r="F248" s="1">
        <f ca="1">IFERROR(__xludf.DUMMYFUNCTION("""COMPUTED_VALUE"""),104.2)</f>
        <v>104.2</v>
      </c>
      <c r="G248" s="1">
        <f ca="1">IFERROR(__xludf.DUMMYFUNCTION("""COMPUTED_VALUE"""),130)</f>
        <v>130</v>
      </c>
      <c r="H248" s="1">
        <f ca="1">IFERROR(__xludf.DUMMYFUNCTION("""COMPUTED_VALUE"""),112)</f>
        <v>112</v>
      </c>
      <c r="I248" s="1">
        <f ca="1">IFERROR(__xludf.DUMMYFUNCTION("""COMPUTED_VALUE"""),312)</f>
        <v>312</v>
      </c>
      <c r="J248" s="1">
        <f ca="1">IFERROR(__xludf.DUMMYFUNCTION("""COMPUTED_VALUE"""),67.6)</f>
        <v>67.599999999999994</v>
      </c>
      <c r="K248" s="1">
        <f ca="1">IFERROR(__xludf.DUMMYFUNCTION("""COMPUTED_VALUE"""),139)</f>
        <v>139</v>
      </c>
      <c r="L248" s="1">
        <f ca="1">IFERROR(__xludf.DUMMYFUNCTION("""COMPUTED_VALUE"""),-0.041)</f>
        <v>-4.1000000000000002E-2</v>
      </c>
      <c r="M248" s="1">
        <f ca="1">IFERROR(__xludf.DUMMYFUNCTION("""COMPUTED_VALUE"""),271)</f>
        <v>271</v>
      </c>
      <c r="N248" s="1">
        <f ca="1">IFERROR(__xludf.DUMMYFUNCTION("""COMPUTED_VALUE"""),-10.52)</f>
        <v>-10.52</v>
      </c>
      <c r="O248" s="1">
        <f ca="1">IFERROR(__xludf.DUMMYFUNCTION("""COMPUTED_VALUE"""),311)</f>
        <v>311</v>
      </c>
      <c r="P248" s="1">
        <f ca="1">IFERROR(__xludf.DUMMYFUNCTION("""COMPUTED_VALUE"""),95)</f>
        <v>95</v>
      </c>
      <c r="Q248" s="1">
        <f ca="1">IFERROR(__xludf.DUMMYFUNCTION("""COMPUTED_VALUE"""),318)</f>
        <v>318</v>
      </c>
      <c r="R248" s="1">
        <f ca="1">IFERROR(__xludf.DUMMYFUNCTION("""COMPUTED_VALUE"""),105.5)</f>
        <v>105.5</v>
      </c>
      <c r="S248" s="1">
        <f ca="1">IFERROR(__xludf.DUMMYFUNCTION("""COMPUTED_VALUE"""),282)</f>
        <v>282</v>
      </c>
      <c r="T248" s="1" t="str">
        <f ca="1">IFERROR(__xludf.DUMMYFUNCTION("""COMPUTED_VALUE"""),"+2.99")</f>
        <v>+2.99</v>
      </c>
      <c r="U248" s="1">
        <f ca="1">IFERROR(__xludf.DUMMYFUNCTION("""COMPUTED_VALUE"""),86)</f>
        <v>86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IFERROR(__xludf.DUMMYFUNCTION("""COMPUTED_VALUE"""),"Saint Peter's")</f>
        <v>Saint Peter's</v>
      </c>
      <c r="C249" s="1" t="str">
        <f ca="1">IFERROR(__xludf.DUMMYFUNCTION("""COMPUTED_VALUE"""),"MAAC")</f>
        <v>MAAC</v>
      </c>
      <c r="D249" s="2">
        <f ca="1">IFERROR(__xludf.DUMMYFUNCTION("""COMPUTED_VALUE"""),44853)</f>
        <v>44853</v>
      </c>
      <c r="E249" s="1">
        <f ca="1">IFERROR(__xludf.DUMMYFUNCTION("""COMPUTED_VALUE"""),-8.03)</f>
        <v>-8.0299999999999994</v>
      </c>
      <c r="F249" s="1">
        <f ca="1">IFERROR(__xludf.DUMMYFUNCTION("""COMPUTED_VALUE"""),100.3)</f>
        <v>100.3</v>
      </c>
      <c r="G249" s="1">
        <f ca="1">IFERROR(__xludf.DUMMYFUNCTION("""COMPUTED_VALUE"""),204)</f>
        <v>204</v>
      </c>
      <c r="H249" s="1">
        <f ca="1">IFERROR(__xludf.DUMMYFUNCTION("""COMPUTED_VALUE"""),108.3)</f>
        <v>108.3</v>
      </c>
      <c r="I249" s="1">
        <f ca="1">IFERROR(__xludf.DUMMYFUNCTION("""COMPUTED_VALUE"""),277)</f>
        <v>277</v>
      </c>
      <c r="J249" s="1">
        <f ca="1">IFERROR(__xludf.DUMMYFUNCTION("""COMPUTED_VALUE"""),71.2)</f>
        <v>71.2</v>
      </c>
      <c r="K249" s="1">
        <f ca="1">IFERROR(__xludf.DUMMYFUNCTION("""COMPUTED_VALUE"""),30)</f>
        <v>30</v>
      </c>
      <c r="L249" s="1">
        <f ca="1">IFERROR(__xludf.DUMMYFUNCTION("""COMPUTED_VALUE"""),-0.031)</f>
        <v>-3.1E-2</v>
      </c>
      <c r="M249" s="1">
        <f ca="1">IFERROR(__xludf.DUMMYFUNCTION("""COMPUTED_VALUE"""),251)</f>
        <v>251</v>
      </c>
      <c r="N249" s="1">
        <f ca="1">IFERROR(__xludf.DUMMYFUNCTION("""COMPUTED_VALUE"""),-3.58)</f>
        <v>-3.58</v>
      </c>
      <c r="O249" s="1">
        <f ca="1">IFERROR(__xludf.DUMMYFUNCTION("""COMPUTED_VALUE"""),226)</f>
        <v>226</v>
      </c>
      <c r="P249" s="1">
        <f ca="1">IFERROR(__xludf.DUMMYFUNCTION("""COMPUTED_VALUE"""),100.4)</f>
        <v>100.4</v>
      </c>
      <c r="Q249" s="1">
        <f ca="1">IFERROR(__xludf.DUMMYFUNCTION("""COMPUTED_VALUE"""),224)</f>
        <v>224</v>
      </c>
      <c r="R249" s="1">
        <f ca="1">IFERROR(__xludf.DUMMYFUNCTION("""COMPUTED_VALUE"""),103.9)</f>
        <v>103.9</v>
      </c>
      <c r="S249" s="1">
        <f ca="1">IFERROR(__xludf.DUMMYFUNCTION("""COMPUTED_VALUE"""),220)</f>
        <v>220</v>
      </c>
      <c r="T249" s="1">
        <f ca="1">IFERROR(__xludf.DUMMYFUNCTION("""COMPUTED_VALUE"""),-3.65)</f>
        <v>-3.65</v>
      </c>
      <c r="U249" s="1">
        <f ca="1">IFERROR(__xludf.DUMMYFUNCTION("""COMPUTED_VALUE"""),243)</f>
        <v>243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IFERROR(__xludf.DUMMYFUNCTION("""COMPUTED_VALUE"""),"Central Connecticut")</f>
        <v>Central Connecticut</v>
      </c>
      <c r="C250" s="1" t="str">
        <f ca="1">IFERROR(__xludf.DUMMYFUNCTION("""COMPUTED_VALUE"""),"NEC")</f>
        <v>NEC</v>
      </c>
      <c r="D250" s="1" t="str">
        <f ca="1">IFERROR(__xludf.DUMMYFUNCTION("""COMPUTED_VALUE"""),"15-13")</f>
        <v>15-13</v>
      </c>
      <c r="E250" s="1">
        <f ca="1">IFERROR(__xludf.DUMMYFUNCTION("""COMPUTED_VALUE"""),-8.04)</f>
        <v>-8.0399999999999991</v>
      </c>
      <c r="F250" s="1">
        <f ca="1">IFERROR(__xludf.DUMMYFUNCTION("""COMPUTED_VALUE"""),101.1)</f>
        <v>101.1</v>
      </c>
      <c r="G250" s="1">
        <f ca="1">IFERROR(__xludf.DUMMYFUNCTION("""COMPUTED_VALUE"""),189)</f>
        <v>189</v>
      </c>
      <c r="H250" s="1">
        <f ca="1">IFERROR(__xludf.DUMMYFUNCTION("""COMPUTED_VALUE"""),109.2)</f>
        <v>109.2</v>
      </c>
      <c r="I250" s="1">
        <f ca="1">IFERROR(__xludf.DUMMYFUNCTION("""COMPUTED_VALUE"""),290)</f>
        <v>290</v>
      </c>
      <c r="J250" s="1">
        <f ca="1">IFERROR(__xludf.DUMMYFUNCTION("""COMPUTED_VALUE"""),61.6)</f>
        <v>61.6</v>
      </c>
      <c r="K250" s="1">
        <f ca="1">IFERROR(__xludf.DUMMYFUNCTION("""COMPUTED_VALUE"""),312)</f>
        <v>312</v>
      </c>
      <c r="L250" s="1" t="str">
        <f ca="1">IFERROR(__xludf.DUMMYFUNCTION("""COMPUTED_VALUE"""),"+.024")</f>
        <v>+.024</v>
      </c>
      <c r="M250" s="1">
        <f ca="1">IFERROR(__xludf.DUMMYFUNCTION("""COMPUTED_VALUE"""),102)</f>
        <v>102</v>
      </c>
      <c r="N250" s="1">
        <f ca="1">IFERROR(__xludf.DUMMYFUNCTION("""COMPUTED_VALUE"""),-9.68)</f>
        <v>-9.68</v>
      </c>
      <c r="O250" s="1">
        <f ca="1">IFERROR(__xludf.DUMMYFUNCTION("""COMPUTED_VALUE"""),308)</f>
        <v>308</v>
      </c>
      <c r="P250" s="1">
        <f ca="1">IFERROR(__xludf.DUMMYFUNCTION("""COMPUTED_VALUE"""),97.3)</f>
        <v>97.3</v>
      </c>
      <c r="Q250" s="1">
        <f ca="1">IFERROR(__xludf.DUMMYFUNCTION("""COMPUTED_VALUE"""),292)</f>
        <v>292</v>
      </c>
      <c r="R250" s="1">
        <f ca="1">IFERROR(__xludf.DUMMYFUNCTION("""COMPUTED_VALUE"""),107)</f>
        <v>107</v>
      </c>
      <c r="S250" s="1">
        <f ca="1">IFERROR(__xludf.DUMMYFUNCTION("""COMPUTED_VALUE"""),308)</f>
        <v>308</v>
      </c>
      <c r="T250" s="1">
        <f ca="1">IFERROR(__xludf.DUMMYFUNCTION("""COMPUTED_VALUE"""),-4.92)</f>
        <v>-4.92</v>
      </c>
      <c r="U250" s="1">
        <f ca="1">IFERROR(__xludf.DUMMYFUNCTION("""COMPUTED_VALUE"""),270)</f>
        <v>270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IFERROR(__xludf.DUMMYFUNCTION("""COMPUTED_VALUE"""),"St. Francis NY")</f>
        <v>St. Francis NY</v>
      </c>
      <c r="C251" s="1" t="str">
        <f ca="1">IFERROR(__xludf.DUMMYFUNCTION("""COMPUTED_VALUE"""),"NEC")</f>
        <v>NEC</v>
      </c>
      <c r="D251" s="1" t="str">
        <f ca="1">IFERROR(__xludf.DUMMYFUNCTION("""COMPUTED_VALUE"""),"14-16")</f>
        <v>14-16</v>
      </c>
      <c r="E251" s="1">
        <f ca="1">IFERROR(__xludf.DUMMYFUNCTION("""COMPUTED_VALUE"""),-8.1)</f>
        <v>-8.1</v>
      </c>
      <c r="F251" s="1">
        <f ca="1">IFERROR(__xludf.DUMMYFUNCTION("""COMPUTED_VALUE"""),100.5)</f>
        <v>100.5</v>
      </c>
      <c r="G251" s="1">
        <f ca="1">IFERROR(__xludf.DUMMYFUNCTION("""COMPUTED_VALUE"""),200)</f>
        <v>200</v>
      </c>
      <c r="H251" s="1">
        <f ca="1">IFERROR(__xludf.DUMMYFUNCTION("""COMPUTED_VALUE"""),108.6)</f>
        <v>108.6</v>
      </c>
      <c r="I251" s="1">
        <f ca="1">IFERROR(__xludf.DUMMYFUNCTION("""COMPUTED_VALUE"""),280)</f>
        <v>280</v>
      </c>
      <c r="J251" s="1">
        <f ca="1">IFERROR(__xludf.DUMMYFUNCTION("""COMPUTED_VALUE"""),70.7)</f>
        <v>70.7</v>
      </c>
      <c r="K251" s="1">
        <f ca="1">IFERROR(__xludf.DUMMYFUNCTION("""COMPUTED_VALUE"""),37)</f>
        <v>37</v>
      </c>
      <c r="L251" s="1">
        <f ca="1">IFERROR(__xludf.DUMMYFUNCTION("""COMPUTED_VALUE"""),-0.027)</f>
        <v>-2.7E-2</v>
      </c>
      <c r="M251" s="1">
        <f ca="1">IFERROR(__xludf.DUMMYFUNCTION("""COMPUTED_VALUE"""),234)</f>
        <v>234</v>
      </c>
      <c r="N251" s="1">
        <f ca="1">IFERROR(__xludf.DUMMYFUNCTION("""COMPUTED_VALUE"""),-8.75)</f>
        <v>-8.75</v>
      </c>
      <c r="O251" s="1">
        <f ca="1">IFERROR(__xludf.DUMMYFUNCTION("""COMPUTED_VALUE"""),295)</f>
        <v>295</v>
      </c>
      <c r="P251" s="1">
        <f ca="1">IFERROR(__xludf.DUMMYFUNCTION("""COMPUTED_VALUE"""),97.5)</f>
        <v>97.5</v>
      </c>
      <c r="Q251" s="1">
        <f ca="1">IFERROR(__xludf.DUMMYFUNCTION("""COMPUTED_VALUE"""),291)</f>
        <v>291</v>
      </c>
      <c r="R251" s="1">
        <f ca="1">IFERROR(__xludf.DUMMYFUNCTION("""COMPUTED_VALUE"""),106.2)</f>
        <v>106.2</v>
      </c>
      <c r="S251" s="1">
        <f ca="1">IFERROR(__xludf.DUMMYFUNCTION("""COMPUTED_VALUE"""),291)</f>
        <v>291</v>
      </c>
      <c r="T251" s="1">
        <f ca="1">IFERROR(__xludf.DUMMYFUNCTION("""COMPUTED_VALUE"""),-2.68)</f>
        <v>-2.68</v>
      </c>
      <c r="U251" s="1">
        <f ca="1">IFERROR(__xludf.DUMMYFUNCTION("""COMPUTED_VALUE"""),220)</f>
        <v>220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IFERROR(__xludf.DUMMYFUNCTION("""COMPUTED_VALUE"""),"Cleveland St.")</f>
        <v>Cleveland St.</v>
      </c>
      <c r="C252" s="1" t="str">
        <f ca="1">IFERROR(__xludf.DUMMYFUNCTION("""COMPUTED_VALUE"""),"Horz")</f>
        <v>Horz</v>
      </c>
      <c r="D252" s="2">
        <f ca="1">IFERROR(__xludf.DUMMYFUNCTION("""COMPUTED_VALUE"""),44795)</f>
        <v>44795</v>
      </c>
      <c r="E252" s="1">
        <f ca="1">IFERROR(__xludf.DUMMYFUNCTION("""COMPUTED_VALUE"""),-8.12)</f>
        <v>-8.1199999999999992</v>
      </c>
      <c r="F252" s="1">
        <f ca="1">IFERROR(__xludf.DUMMYFUNCTION("""COMPUTED_VALUE"""),97.7)</f>
        <v>97.7</v>
      </c>
      <c r="G252" s="1">
        <f ca="1">IFERROR(__xludf.DUMMYFUNCTION("""COMPUTED_VALUE"""),248)</f>
        <v>248</v>
      </c>
      <c r="H252" s="1">
        <f ca="1">IFERROR(__xludf.DUMMYFUNCTION("""COMPUTED_VALUE"""),105.8)</f>
        <v>105.8</v>
      </c>
      <c r="I252" s="1">
        <f ca="1">IFERROR(__xludf.DUMMYFUNCTION("""COMPUTED_VALUE"""),235)</f>
        <v>235</v>
      </c>
      <c r="J252" s="1">
        <f ca="1">IFERROR(__xludf.DUMMYFUNCTION("""COMPUTED_VALUE"""),66.1)</f>
        <v>66.099999999999994</v>
      </c>
      <c r="K252" s="1">
        <f ca="1">IFERROR(__xludf.DUMMYFUNCTION("""COMPUTED_VALUE"""),200)</f>
        <v>200</v>
      </c>
      <c r="L252" s="1">
        <f ca="1">IFERROR(__xludf.DUMMYFUNCTION("""COMPUTED_VALUE"""),-0.011)</f>
        <v>-1.0999999999999999E-2</v>
      </c>
      <c r="M252" s="1">
        <f ca="1">IFERROR(__xludf.DUMMYFUNCTION("""COMPUTED_VALUE"""),192)</f>
        <v>192</v>
      </c>
      <c r="N252" s="1" t="str">
        <f ca="1">IFERROR(__xludf.DUMMYFUNCTION("""COMPUTED_VALUE"""),"+2.17")</f>
        <v>+2.17</v>
      </c>
      <c r="O252" s="1">
        <f ca="1">IFERROR(__xludf.DUMMYFUNCTION("""COMPUTED_VALUE"""),119)</f>
        <v>119</v>
      </c>
      <c r="P252" s="1">
        <f ca="1">IFERROR(__xludf.DUMMYFUNCTION("""COMPUTED_VALUE"""),104.9)</f>
        <v>104.9</v>
      </c>
      <c r="Q252" s="1">
        <f ca="1">IFERROR(__xludf.DUMMYFUNCTION("""COMPUTED_VALUE"""),77)</f>
        <v>77</v>
      </c>
      <c r="R252" s="1">
        <f ca="1">IFERROR(__xludf.DUMMYFUNCTION("""COMPUTED_VALUE"""),102.7)</f>
        <v>102.7</v>
      </c>
      <c r="S252" s="1">
        <f ca="1">IFERROR(__xludf.DUMMYFUNCTION("""COMPUTED_VALUE"""),169)</f>
        <v>169</v>
      </c>
      <c r="T252" s="1">
        <f ca="1">IFERROR(__xludf.DUMMYFUNCTION("""COMPUTED_VALUE"""),-0.56)</f>
        <v>-0.56000000000000005</v>
      </c>
      <c r="U252" s="1">
        <f ca="1">IFERROR(__xludf.DUMMYFUNCTION("""COMPUTED_VALUE"""),166)</f>
        <v>166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IFERROR(__xludf.DUMMYFUNCTION("""COMPUTED_VALUE"""),"Hampton")</f>
        <v>Hampton</v>
      </c>
      <c r="C255" s="1" t="str">
        <f ca="1">IFERROR(__xludf.DUMMYFUNCTION("""COMPUTED_VALUE"""),"MEAC")</f>
        <v>MEAC</v>
      </c>
      <c r="D255" s="1" t="str">
        <f ca="1">IFERROR(__xludf.DUMMYFUNCTION("""COMPUTED_VALUE"""),"19-11")</f>
        <v>19-11</v>
      </c>
      <c r="E255" s="1">
        <f ca="1">IFERROR(__xludf.DUMMYFUNCTION("""COMPUTED_VALUE"""),-8.14)</f>
        <v>-8.14</v>
      </c>
      <c r="F255" s="1">
        <f ca="1">IFERROR(__xludf.DUMMYFUNCTION("""COMPUTED_VALUE"""),94.8)</f>
        <v>94.8</v>
      </c>
      <c r="G255" s="1">
        <f ca="1">IFERROR(__xludf.DUMMYFUNCTION("""COMPUTED_VALUE"""),275)</f>
        <v>275</v>
      </c>
      <c r="H255" s="1">
        <f ca="1">IFERROR(__xludf.DUMMYFUNCTION("""COMPUTED_VALUE"""),102.9)</f>
        <v>102.9</v>
      </c>
      <c r="I255" s="1">
        <f ca="1">IFERROR(__xludf.DUMMYFUNCTION("""COMPUTED_VALUE"""),177)</f>
        <v>177</v>
      </c>
      <c r="J255" s="1">
        <f ca="1">IFERROR(__xludf.DUMMYFUNCTION("""COMPUTED_VALUE"""),69.9)</f>
        <v>69.900000000000006</v>
      </c>
      <c r="K255" s="1">
        <f ca="1">IFERROR(__xludf.DUMMYFUNCTION("""COMPUTED_VALUE"""),58)</f>
        <v>58</v>
      </c>
      <c r="L255" s="1" t="str">
        <f ca="1">IFERROR(__xludf.DUMMYFUNCTION("""COMPUTED_VALUE"""),"+.037")</f>
        <v>+.037</v>
      </c>
      <c r="M255" s="1">
        <f ca="1">IFERROR(__xludf.DUMMYFUNCTION("""COMPUTED_VALUE"""),74)</f>
        <v>74</v>
      </c>
      <c r="N255" s="1">
        <f ca="1">IFERROR(__xludf.DUMMYFUNCTION("""COMPUTED_VALUE"""),-13.89)</f>
        <v>-13.89</v>
      </c>
      <c r="O255" s="1">
        <f ca="1">IFERROR(__xludf.DUMMYFUNCTION("""COMPUTED_VALUE"""),323)</f>
        <v>323</v>
      </c>
      <c r="P255" s="1">
        <f ca="1">IFERROR(__xludf.DUMMYFUNCTION("""COMPUTED_VALUE"""),94.8)</f>
        <v>94.8</v>
      </c>
      <c r="Q255" s="1">
        <f ca="1">IFERROR(__xludf.DUMMYFUNCTION("""COMPUTED_VALUE"""),320)</f>
        <v>320</v>
      </c>
      <c r="R255" s="1">
        <f ca="1">IFERROR(__xludf.DUMMYFUNCTION("""COMPUTED_VALUE"""),108.7)</f>
        <v>108.7</v>
      </c>
      <c r="S255" s="1">
        <f ca="1">IFERROR(__xludf.DUMMYFUNCTION("""COMPUTED_VALUE"""),326)</f>
        <v>326</v>
      </c>
      <c r="T255" s="1">
        <f ca="1">IFERROR(__xludf.DUMMYFUNCTION("""COMPUTED_VALUE"""),-1.8)</f>
        <v>-1.8</v>
      </c>
      <c r="U255" s="1">
        <f ca="1">IFERROR(__xludf.DUMMYFUNCTION("""COMPUTED_VALUE"""),198)</f>
        <v>198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IFERROR(__xludf.DUMMYFUNCTION("""COMPUTED_VALUE"""),"Monmouth")</f>
        <v>Monmouth</v>
      </c>
      <c r="C256" s="1" t="str">
        <f ca="1">IFERROR(__xludf.DUMMYFUNCTION("""COMPUTED_VALUE"""),"NEC")</f>
        <v>NEC</v>
      </c>
      <c r="D256" s="1" t="str">
        <f ca="1">IFERROR(__xludf.DUMMYFUNCTION("""COMPUTED_VALUE"""),"15-13")</f>
        <v>15-13</v>
      </c>
      <c r="E256" s="1">
        <f ca="1">IFERROR(__xludf.DUMMYFUNCTION("""COMPUTED_VALUE"""),-8.15)</f>
        <v>-8.15</v>
      </c>
      <c r="F256" s="1">
        <f ca="1">IFERROR(__xludf.DUMMYFUNCTION("""COMPUTED_VALUE"""),91.9)</f>
        <v>91.9</v>
      </c>
      <c r="G256" s="1">
        <f ca="1">IFERROR(__xludf.DUMMYFUNCTION("""COMPUTED_VALUE"""),298)</f>
        <v>298</v>
      </c>
      <c r="H256" s="1">
        <f ca="1">IFERROR(__xludf.DUMMYFUNCTION("""COMPUTED_VALUE"""),100.1)</f>
        <v>100.1</v>
      </c>
      <c r="I256" s="1">
        <f ca="1">IFERROR(__xludf.DUMMYFUNCTION("""COMPUTED_VALUE"""),127)</f>
        <v>127</v>
      </c>
      <c r="J256" s="1">
        <f ca="1">IFERROR(__xludf.DUMMYFUNCTION("""COMPUTED_VALUE"""),66.8)</f>
        <v>66.8</v>
      </c>
      <c r="K256" s="1">
        <f ca="1">IFERROR(__xludf.DUMMYFUNCTION("""COMPUTED_VALUE"""),174)</f>
        <v>174</v>
      </c>
      <c r="L256" s="1" t="str">
        <f ca="1">IFERROR(__xludf.DUMMYFUNCTION("""COMPUTED_VALUE"""),"+.070")</f>
        <v>+.070</v>
      </c>
      <c r="M256" s="1">
        <f ca="1">IFERROR(__xludf.DUMMYFUNCTION("""COMPUTED_VALUE"""),31)</f>
        <v>31</v>
      </c>
      <c r="N256" s="1">
        <f ca="1">IFERROR(__xludf.DUMMYFUNCTION("""COMPUTED_VALUE"""),-7.89)</f>
        <v>-7.89</v>
      </c>
      <c r="O256" s="1">
        <f ca="1">IFERROR(__xludf.DUMMYFUNCTION("""COMPUTED_VALUE"""),289)</f>
        <v>289</v>
      </c>
      <c r="P256" s="1">
        <f ca="1">IFERROR(__xludf.DUMMYFUNCTION("""COMPUTED_VALUE"""),99.4)</f>
        <v>99.4</v>
      </c>
      <c r="Q256" s="1">
        <f ca="1">IFERROR(__xludf.DUMMYFUNCTION("""COMPUTED_VALUE"""),247)</f>
        <v>247</v>
      </c>
      <c r="R256" s="1">
        <f ca="1">IFERROR(__xludf.DUMMYFUNCTION("""COMPUTED_VALUE"""),107.3)</f>
        <v>107.3</v>
      </c>
      <c r="S256" s="1">
        <f ca="1">IFERROR(__xludf.DUMMYFUNCTION("""COMPUTED_VALUE"""),312)</f>
        <v>312</v>
      </c>
      <c r="T256" s="1" t="str">
        <f ca="1">IFERROR(__xludf.DUMMYFUNCTION("""COMPUTED_VALUE"""),"+1.35")</f>
        <v>+1.35</v>
      </c>
      <c r="U256" s="1">
        <f ca="1">IFERROR(__xludf.DUMMYFUNCTION("""COMPUTED_VALUE"""),123)</f>
        <v>123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IFERROR(__xludf.DUMMYFUNCTION("""COMPUTED_VALUE"""),"Lamar")</f>
        <v>Lamar</v>
      </c>
      <c r="C257" s="1" t="str">
        <f ca="1">IFERROR(__xludf.DUMMYFUNCTION("""COMPUTED_VALUE"""),"Slnd")</f>
        <v>Slnd</v>
      </c>
      <c r="D257" s="2">
        <f ca="1">IFERROR(__xludf.DUMMYFUNCTION("""COMPUTED_VALUE"""),44909)</f>
        <v>44909</v>
      </c>
      <c r="E257" s="1">
        <f ca="1">IFERROR(__xludf.DUMMYFUNCTION("""COMPUTED_VALUE"""),-8.57)</f>
        <v>-8.57</v>
      </c>
      <c r="F257" s="1">
        <f ca="1">IFERROR(__xludf.DUMMYFUNCTION("""COMPUTED_VALUE"""),92.7)</f>
        <v>92.7</v>
      </c>
      <c r="G257" s="1">
        <f ca="1">IFERROR(__xludf.DUMMYFUNCTION("""COMPUTED_VALUE"""),292)</f>
        <v>292</v>
      </c>
      <c r="H257" s="1">
        <f ca="1">IFERROR(__xludf.DUMMYFUNCTION("""COMPUTED_VALUE"""),101.3)</f>
        <v>101.3</v>
      </c>
      <c r="I257" s="1">
        <f ca="1">IFERROR(__xludf.DUMMYFUNCTION("""COMPUTED_VALUE"""),147)</f>
        <v>147</v>
      </c>
      <c r="J257" s="1">
        <f ca="1">IFERROR(__xludf.DUMMYFUNCTION("""COMPUTED_VALUE"""),66.1)</f>
        <v>66.099999999999994</v>
      </c>
      <c r="K257" s="1">
        <f ca="1">IFERROR(__xludf.DUMMYFUNCTION("""COMPUTED_VALUE"""),199)</f>
        <v>199</v>
      </c>
      <c r="L257" s="1">
        <f ca="1">IFERROR(__xludf.DUMMYFUNCTION("""COMPUTED_VALUE"""),-0.005)</f>
        <v>-5.0000000000000001E-3</v>
      </c>
      <c r="M257" s="1">
        <f ca="1">IFERROR(__xludf.DUMMYFUNCTION("""COMPUTED_VALUE"""),174)</f>
        <v>174</v>
      </c>
      <c r="N257" s="1">
        <f ca="1">IFERROR(__xludf.DUMMYFUNCTION("""COMPUTED_VALUE"""),-7.64)</f>
        <v>-7.64</v>
      </c>
      <c r="O257" s="1">
        <f ca="1">IFERROR(__xludf.DUMMYFUNCTION("""COMPUTED_VALUE"""),286)</f>
        <v>286</v>
      </c>
      <c r="P257" s="1">
        <f ca="1">IFERROR(__xludf.DUMMYFUNCTION("""COMPUTED_VALUE"""),97.2)</f>
        <v>97.2</v>
      </c>
      <c r="Q257" s="1">
        <f ca="1">IFERROR(__xludf.DUMMYFUNCTION("""COMPUTED_VALUE"""),294)</f>
        <v>294</v>
      </c>
      <c r="R257" s="1">
        <f ca="1">IFERROR(__xludf.DUMMYFUNCTION("""COMPUTED_VALUE"""),104.8)</f>
        <v>104.8</v>
      </c>
      <c r="S257" s="1">
        <f ca="1">IFERROR(__xludf.DUMMYFUNCTION("""COMPUTED_VALUE"""),266)</f>
        <v>266</v>
      </c>
      <c r="T257" s="1">
        <f ca="1">IFERROR(__xludf.DUMMYFUNCTION("""COMPUTED_VALUE"""),-3.27)</f>
        <v>-3.27</v>
      </c>
      <c r="U257" s="1">
        <f ca="1">IFERROR(__xludf.DUMMYFUNCTION("""COMPUTED_VALUE"""),232)</f>
        <v>232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IFERROR(__xludf.DUMMYFUNCTION("""COMPUTED_VALUE"""),"South Carolina St.16")</f>
        <v>South Carolina St.16</v>
      </c>
      <c r="C258" s="1" t="str">
        <f ca="1">IFERROR(__xludf.DUMMYFUNCTION("""COMPUTED_VALUE"""),"MEAC")</f>
        <v>MEAC</v>
      </c>
      <c r="D258" s="1" t="str">
        <f ca="1">IFERROR(__xludf.DUMMYFUNCTION("""COMPUTED_VALUE"""),"20-11")</f>
        <v>20-11</v>
      </c>
      <c r="E258" s="1">
        <f ca="1">IFERROR(__xludf.DUMMYFUNCTION("""COMPUTED_VALUE"""),-8.59)</f>
        <v>-8.59</v>
      </c>
      <c r="F258" s="1">
        <f ca="1">IFERROR(__xludf.DUMMYFUNCTION("""COMPUTED_VALUE"""),96.4)</f>
        <v>96.4</v>
      </c>
      <c r="G258" s="1">
        <f ca="1">IFERROR(__xludf.DUMMYFUNCTION("""COMPUTED_VALUE"""),260)</f>
        <v>260</v>
      </c>
      <c r="H258" s="1">
        <f ca="1">IFERROR(__xludf.DUMMYFUNCTION("""COMPUTED_VALUE"""),105)</f>
        <v>105</v>
      </c>
      <c r="I258" s="1">
        <f ca="1">IFERROR(__xludf.DUMMYFUNCTION("""COMPUTED_VALUE"""),221)</f>
        <v>221</v>
      </c>
      <c r="J258" s="1">
        <f ca="1">IFERROR(__xludf.DUMMYFUNCTION("""COMPUTED_VALUE"""),71.7)</f>
        <v>71.7</v>
      </c>
      <c r="K258" s="1">
        <f ca="1">IFERROR(__xludf.DUMMYFUNCTION("""COMPUTED_VALUE"""),21)</f>
        <v>21</v>
      </c>
      <c r="L258" s="1" t="str">
        <f ca="1">IFERROR(__xludf.DUMMYFUNCTION("""COMPUTED_VALUE"""),"+.115")</f>
        <v>+.115</v>
      </c>
      <c r="M258" s="1">
        <f ca="1">IFERROR(__xludf.DUMMYFUNCTION("""COMPUTED_VALUE"""),6)</f>
        <v>6</v>
      </c>
      <c r="N258" s="1">
        <f ca="1">IFERROR(__xludf.DUMMYFUNCTION("""COMPUTED_VALUE"""),-12.27)</f>
        <v>-12.27</v>
      </c>
      <c r="O258" s="1">
        <f ca="1">IFERROR(__xludf.DUMMYFUNCTION("""COMPUTED_VALUE"""),318)</f>
        <v>318</v>
      </c>
      <c r="P258" s="1">
        <f ca="1">IFERROR(__xludf.DUMMYFUNCTION("""COMPUTED_VALUE"""),95.2)</f>
        <v>95.2</v>
      </c>
      <c r="Q258" s="1">
        <f ca="1">IFERROR(__xludf.DUMMYFUNCTION("""COMPUTED_VALUE"""),317)</f>
        <v>317</v>
      </c>
      <c r="R258" s="1">
        <f ca="1">IFERROR(__xludf.DUMMYFUNCTION("""COMPUTED_VALUE"""),107.5)</f>
        <v>107.5</v>
      </c>
      <c r="S258" s="1">
        <f ca="1">IFERROR(__xludf.DUMMYFUNCTION("""COMPUTED_VALUE"""),315)</f>
        <v>315</v>
      </c>
      <c r="T258" s="1">
        <f ca="1">IFERROR(__xludf.DUMMYFUNCTION("""COMPUTED_VALUE"""),-0.55)</f>
        <v>-0.55000000000000004</v>
      </c>
      <c r="U258" s="1">
        <f ca="1">IFERROR(__xludf.DUMMYFUNCTION("""COMPUTED_VALUE"""),165)</f>
        <v>165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IFERROR(__xludf.DUMMYFUNCTION("""COMPUTED_VALUE"""),"Centenary")</f>
        <v>Centenary</v>
      </c>
      <c r="C259" s="1" t="str">
        <f ca="1">IFERROR(__xludf.DUMMYFUNCTION("""COMPUTED_VALUE"""),"ind")</f>
        <v>ind</v>
      </c>
      <c r="D259" s="2">
        <f ca="1">IFERROR(__xludf.DUMMYFUNCTION("""COMPUTED_VALUE"""),44848)</f>
        <v>44848</v>
      </c>
      <c r="E259" s="1">
        <f ca="1">IFERROR(__xludf.DUMMYFUNCTION("""COMPUTED_VALUE"""),-8.6)</f>
        <v>-8.6</v>
      </c>
      <c r="F259" s="1">
        <f ca="1">IFERROR(__xludf.DUMMYFUNCTION("""COMPUTED_VALUE"""),103.1)</f>
        <v>103.1</v>
      </c>
      <c r="G259" s="1">
        <f ca="1">IFERROR(__xludf.DUMMYFUNCTION("""COMPUTED_VALUE"""),151)</f>
        <v>151</v>
      </c>
      <c r="H259" s="1">
        <f ca="1">IFERROR(__xludf.DUMMYFUNCTION("""COMPUTED_VALUE"""),111.7)</f>
        <v>111.7</v>
      </c>
      <c r="I259" s="1">
        <f ca="1">IFERROR(__xludf.DUMMYFUNCTION("""COMPUTED_VALUE"""),306)</f>
        <v>306</v>
      </c>
      <c r="J259" s="1">
        <f ca="1">IFERROR(__xludf.DUMMYFUNCTION("""COMPUTED_VALUE"""),68.9)</f>
        <v>68.900000000000006</v>
      </c>
      <c r="K259" s="1">
        <f ca="1">IFERROR(__xludf.DUMMYFUNCTION("""COMPUTED_VALUE"""),84)</f>
        <v>84</v>
      </c>
      <c r="L259" s="1" t="str">
        <f ca="1">IFERROR(__xludf.DUMMYFUNCTION("""COMPUTED_VALUE"""),"+.031")</f>
        <v>+.031</v>
      </c>
      <c r="M259" s="1">
        <f ca="1">IFERROR(__xludf.DUMMYFUNCTION("""COMPUTED_VALUE"""),90)</f>
        <v>90</v>
      </c>
      <c r="N259" s="1">
        <f ca="1">IFERROR(__xludf.DUMMYFUNCTION("""COMPUTED_VALUE"""),-3.92)</f>
        <v>-3.92</v>
      </c>
      <c r="O259" s="1">
        <f ca="1">IFERROR(__xludf.DUMMYFUNCTION("""COMPUTED_VALUE"""),236)</f>
        <v>236</v>
      </c>
      <c r="P259" s="1">
        <f ca="1">IFERROR(__xludf.DUMMYFUNCTION("""COMPUTED_VALUE"""),99)</f>
        <v>99</v>
      </c>
      <c r="Q259" s="1">
        <f ca="1">IFERROR(__xludf.DUMMYFUNCTION("""COMPUTED_VALUE"""),257)</f>
        <v>257</v>
      </c>
      <c r="R259" s="1">
        <f ca="1">IFERROR(__xludf.DUMMYFUNCTION("""COMPUTED_VALUE"""),102.9)</f>
        <v>102.9</v>
      </c>
      <c r="S259" s="1">
        <f ca="1">IFERROR(__xludf.DUMMYFUNCTION("""COMPUTED_VALUE"""),179)</f>
        <v>179</v>
      </c>
      <c r="T259" s="1" t="str">
        <f ca="1">IFERROR(__xludf.DUMMYFUNCTION("""COMPUTED_VALUE"""),"+2.11")</f>
        <v>+2.11</v>
      </c>
      <c r="U259" s="1">
        <f ca="1">IFERROR(__xludf.DUMMYFUNCTION("""COMPUTED_VALUE"""),105)</f>
        <v>105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IFERROR(__xludf.DUMMYFUNCTION("""COMPUTED_VALUE"""),"Sacramento St.")</f>
        <v>Sacramento St.</v>
      </c>
      <c r="C260" s="1" t="str">
        <f ca="1">IFERROR(__xludf.DUMMYFUNCTION("""COMPUTED_VALUE"""),"BSky")</f>
        <v>BSky</v>
      </c>
      <c r="D260" s="2">
        <f ca="1">IFERROR(__xludf.DUMMYFUNCTION("""COMPUTED_VALUE"""),44882)</f>
        <v>44882</v>
      </c>
      <c r="E260" s="1">
        <f ca="1">IFERROR(__xludf.DUMMYFUNCTION("""COMPUTED_VALUE"""),-8.89)</f>
        <v>-8.89</v>
      </c>
      <c r="F260" s="1">
        <f ca="1">IFERROR(__xludf.DUMMYFUNCTION("""COMPUTED_VALUE"""),94.1)</f>
        <v>94.1</v>
      </c>
      <c r="G260" s="1">
        <f ca="1">IFERROR(__xludf.DUMMYFUNCTION("""COMPUTED_VALUE"""),280)</f>
        <v>280</v>
      </c>
      <c r="H260" s="1">
        <f ca="1">IFERROR(__xludf.DUMMYFUNCTION("""COMPUTED_VALUE"""),103)</f>
        <v>103</v>
      </c>
      <c r="I260" s="1">
        <f ca="1">IFERROR(__xludf.DUMMYFUNCTION("""COMPUTED_VALUE"""),181)</f>
        <v>181</v>
      </c>
      <c r="J260" s="1">
        <f ca="1">IFERROR(__xludf.DUMMYFUNCTION("""COMPUTED_VALUE"""),69.2)</f>
        <v>69.2</v>
      </c>
      <c r="K260" s="1">
        <f ca="1">IFERROR(__xludf.DUMMYFUNCTION("""COMPUTED_VALUE"""),76)</f>
        <v>76</v>
      </c>
      <c r="L260" s="1" t="str">
        <f ca="1">IFERROR(__xludf.DUMMYFUNCTION("""COMPUTED_VALUE"""),"+.070")</f>
        <v>+.070</v>
      </c>
      <c r="M260" s="1">
        <f ca="1">IFERROR(__xludf.DUMMYFUNCTION("""COMPUTED_VALUE"""),29)</f>
        <v>29</v>
      </c>
      <c r="N260" s="1">
        <f ca="1">IFERROR(__xludf.DUMMYFUNCTION("""COMPUTED_VALUE"""),-1.43)</f>
        <v>-1.43</v>
      </c>
      <c r="O260" s="1">
        <f ca="1">IFERROR(__xludf.DUMMYFUNCTION("""COMPUTED_VALUE"""),180)</f>
        <v>180</v>
      </c>
      <c r="P260" s="1">
        <f ca="1">IFERROR(__xludf.DUMMYFUNCTION("""COMPUTED_VALUE"""),101.8)</f>
        <v>101.8</v>
      </c>
      <c r="Q260" s="1">
        <f ca="1">IFERROR(__xludf.DUMMYFUNCTION("""COMPUTED_VALUE"""),181)</f>
        <v>181</v>
      </c>
      <c r="R260" s="1">
        <f ca="1">IFERROR(__xludf.DUMMYFUNCTION("""COMPUTED_VALUE"""),103.2)</f>
        <v>103.2</v>
      </c>
      <c r="S260" s="1">
        <f ca="1">IFERROR(__xludf.DUMMYFUNCTION("""COMPUTED_VALUE"""),194)</f>
        <v>194</v>
      </c>
      <c r="T260" s="1">
        <f ca="1">IFERROR(__xludf.DUMMYFUNCTION("""COMPUTED_VALUE"""),-2.19)</f>
        <v>-2.19</v>
      </c>
      <c r="U260" s="1">
        <f ca="1">IFERROR(__xludf.DUMMYFUNCTION("""COMPUTED_VALUE"""),209)</f>
        <v>209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IFERROR(__xludf.DUMMYFUNCTION("""COMPUTED_VALUE"""),"Lafayette")</f>
        <v>Lafayette</v>
      </c>
      <c r="C261" s="1" t="str">
        <f ca="1">IFERROR(__xludf.DUMMYFUNCTION("""COMPUTED_VALUE"""),"Pat")</f>
        <v>Pat</v>
      </c>
      <c r="D261" s="2">
        <f ca="1">IFERROR(__xludf.DUMMYFUNCTION("""COMPUTED_VALUE"""),44881)</f>
        <v>44881</v>
      </c>
      <c r="E261" s="1">
        <f ca="1">IFERROR(__xludf.DUMMYFUNCTION("""COMPUTED_VALUE"""),-8.98)</f>
        <v>-8.98</v>
      </c>
      <c r="F261" s="1">
        <f ca="1">IFERROR(__xludf.DUMMYFUNCTION("""COMPUTED_VALUE"""),101.3)</f>
        <v>101.3</v>
      </c>
      <c r="G261" s="1">
        <f ca="1">IFERROR(__xludf.DUMMYFUNCTION("""COMPUTED_VALUE"""),185)</f>
        <v>185</v>
      </c>
      <c r="H261" s="1">
        <f ca="1">IFERROR(__xludf.DUMMYFUNCTION("""COMPUTED_VALUE"""),110.3)</f>
        <v>110.3</v>
      </c>
      <c r="I261" s="1">
        <f ca="1">IFERROR(__xludf.DUMMYFUNCTION("""COMPUTED_VALUE"""),294)</f>
        <v>294</v>
      </c>
      <c r="J261" s="1">
        <f ca="1">IFERROR(__xludf.DUMMYFUNCTION("""COMPUTED_VALUE"""),66.4)</f>
        <v>66.400000000000006</v>
      </c>
      <c r="K261" s="1">
        <f ca="1">IFERROR(__xludf.DUMMYFUNCTION("""COMPUTED_VALUE"""),189)</f>
        <v>189</v>
      </c>
      <c r="L261" s="1">
        <f ca="1">IFERROR(__xludf.DUMMYFUNCTION("""COMPUTED_VALUE"""),-0.004)</f>
        <v>-4.0000000000000001E-3</v>
      </c>
      <c r="M261" s="1">
        <f ca="1">IFERROR(__xludf.DUMMYFUNCTION("""COMPUTED_VALUE"""),172)</f>
        <v>172</v>
      </c>
      <c r="N261" s="1">
        <f ca="1">IFERROR(__xludf.DUMMYFUNCTION("""COMPUTED_VALUE"""),-5.13)</f>
        <v>-5.13</v>
      </c>
      <c r="O261" s="1">
        <f ca="1">IFERROR(__xludf.DUMMYFUNCTION("""COMPUTED_VALUE"""),250)</f>
        <v>250</v>
      </c>
      <c r="P261" s="1">
        <f ca="1">IFERROR(__xludf.DUMMYFUNCTION("""COMPUTED_VALUE"""),98)</f>
        <v>98</v>
      </c>
      <c r="Q261" s="1">
        <f ca="1">IFERROR(__xludf.DUMMYFUNCTION("""COMPUTED_VALUE"""),282)</f>
        <v>282</v>
      </c>
      <c r="R261" s="1">
        <f ca="1">IFERROR(__xludf.DUMMYFUNCTION("""COMPUTED_VALUE"""),103.1)</f>
        <v>103.1</v>
      </c>
      <c r="S261" s="1">
        <f ca="1">IFERROR(__xludf.DUMMYFUNCTION("""COMPUTED_VALUE"""),191)</f>
        <v>191</v>
      </c>
      <c r="T261" s="1">
        <f ca="1">IFERROR(__xludf.DUMMYFUNCTION("""COMPUTED_VALUE"""),-2.67)</f>
        <v>-2.67</v>
      </c>
      <c r="U261" s="1">
        <f ca="1">IFERROR(__xludf.DUMMYFUNCTION("""COMPUTED_VALUE"""),219)</f>
        <v>219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IFERROR(__xludf.DUMMYFUNCTION("""COMPUTED_VALUE"""),"UNC Greensboro")</f>
        <v>UNC Greensboro</v>
      </c>
      <c r="C262" s="1" t="str">
        <f ca="1">IFERROR(__xludf.DUMMYFUNCTION("""COMPUTED_VALUE"""),"SC")</f>
        <v>SC</v>
      </c>
      <c r="D262" s="2">
        <f ca="1">IFERROR(__xludf.DUMMYFUNCTION("""COMPUTED_VALUE"""),44734)</f>
        <v>44734</v>
      </c>
      <c r="E262" s="1">
        <f ca="1">IFERROR(__xludf.DUMMYFUNCTION("""COMPUTED_VALUE"""),-9.03)</f>
        <v>-9.0299999999999994</v>
      </c>
      <c r="F262" s="1">
        <f ca="1">IFERROR(__xludf.DUMMYFUNCTION("""COMPUTED_VALUE"""),97.7)</f>
        <v>97.7</v>
      </c>
      <c r="G262" s="1">
        <f ca="1">IFERROR(__xludf.DUMMYFUNCTION("""COMPUTED_VALUE"""),247)</f>
        <v>247</v>
      </c>
      <c r="H262" s="1">
        <f ca="1">IFERROR(__xludf.DUMMYFUNCTION("""COMPUTED_VALUE"""),106.8)</f>
        <v>106.8</v>
      </c>
      <c r="I262" s="1">
        <f ca="1">IFERROR(__xludf.DUMMYFUNCTION("""COMPUTED_VALUE"""),249)</f>
        <v>249</v>
      </c>
      <c r="J262" s="1">
        <f ca="1">IFERROR(__xludf.DUMMYFUNCTION("""COMPUTED_VALUE"""),67.5)</f>
        <v>67.5</v>
      </c>
      <c r="K262" s="1">
        <f ca="1">IFERROR(__xludf.DUMMYFUNCTION("""COMPUTED_VALUE"""),142)</f>
        <v>142</v>
      </c>
      <c r="L262" s="1">
        <f ca="1">IFERROR(__xludf.DUMMYFUNCTION("""COMPUTED_VALUE"""),-0.118)</f>
        <v>-0.11799999999999999</v>
      </c>
      <c r="M262" s="1">
        <f ca="1">IFERROR(__xludf.DUMMYFUNCTION("""COMPUTED_VALUE"""),323)</f>
        <v>323</v>
      </c>
      <c r="N262" s="1">
        <f ca="1">IFERROR(__xludf.DUMMYFUNCTION("""COMPUTED_VALUE"""),-3.04)</f>
        <v>-3.04</v>
      </c>
      <c r="O262" s="1">
        <f ca="1">IFERROR(__xludf.DUMMYFUNCTION("""COMPUTED_VALUE"""),218)</f>
        <v>218</v>
      </c>
      <c r="P262" s="1">
        <f ca="1">IFERROR(__xludf.DUMMYFUNCTION("""COMPUTED_VALUE"""),100.8)</f>
        <v>100.8</v>
      </c>
      <c r="Q262" s="1">
        <f ca="1">IFERROR(__xludf.DUMMYFUNCTION("""COMPUTED_VALUE"""),208)</f>
        <v>208</v>
      </c>
      <c r="R262" s="1">
        <f ca="1">IFERROR(__xludf.DUMMYFUNCTION("""COMPUTED_VALUE"""),103.9)</f>
        <v>103.9</v>
      </c>
      <c r="S262" s="1">
        <f ca="1">IFERROR(__xludf.DUMMYFUNCTION("""COMPUTED_VALUE"""),218)</f>
        <v>218</v>
      </c>
      <c r="T262" s="1" t="str">
        <f ca="1">IFERROR(__xludf.DUMMYFUNCTION("""COMPUTED_VALUE"""),"+2.21")</f>
        <v>+2.21</v>
      </c>
      <c r="U262" s="1">
        <f ca="1">IFERROR(__xludf.DUMMYFUNCTION("""COMPUTED_VALUE"""),103)</f>
        <v>103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IFERROR(__xludf.DUMMYFUNCTION("""COMPUTED_VALUE"""),"Prairie View A&amp;M")</f>
        <v>Prairie View A&amp;M</v>
      </c>
      <c r="C263" s="1" t="str">
        <f ca="1">IFERROR(__xludf.DUMMYFUNCTION("""COMPUTED_VALUE"""),"SWAC")</f>
        <v>SWAC</v>
      </c>
      <c r="D263" s="1" t="str">
        <f ca="1">IFERROR(__xludf.DUMMYFUNCTION("""COMPUTED_VALUE"""),"17-12")</f>
        <v>17-12</v>
      </c>
      <c r="E263" s="1">
        <f ca="1">IFERROR(__xludf.DUMMYFUNCTION("""COMPUTED_VALUE"""),-9.08)</f>
        <v>-9.08</v>
      </c>
      <c r="F263" s="1">
        <f ca="1">IFERROR(__xludf.DUMMYFUNCTION("""COMPUTED_VALUE"""),97.4)</f>
        <v>97.4</v>
      </c>
      <c r="G263" s="1">
        <f ca="1">IFERROR(__xludf.DUMMYFUNCTION("""COMPUTED_VALUE"""),250)</f>
        <v>250</v>
      </c>
      <c r="H263" s="1">
        <f ca="1">IFERROR(__xludf.DUMMYFUNCTION("""COMPUTED_VALUE"""),106.5)</f>
        <v>106.5</v>
      </c>
      <c r="I263" s="1">
        <f ca="1">IFERROR(__xludf.DUMMYFUNCTION("""COMPUTED_VALUE"""),244)</f>
        <v>244</v>
      </c>
      <c r="J263" s="1">
        <f ca="1">IFERROR(__xludf.DUMMYFUNCTION("""COMPUTED_VALUE"""),67.3)</f>
        <v>67.3</v>
      </c>
      <c r="K263" s="1">
        <f ca="1">IFERROR(__xludf.DUMMYFUNCTION("""COMPUTED_VALUE"""),152)</f>
        <v>152</v>
      </c>
      <c r="L263" s="1" t="str">
        <f ca="1">IFERROR(__xludf.DUMMYFUNCTION("""COMPUTED_VALUE"""),"+.127")</f>
        <v>+.127</v>
      </c>
      <c r="M263" s="1">
        <f ca="1">IFERROR(__xludf.DUMMYFUNCTION("""COMPUTED_VALUE"""),4)</f>
        <v>4</v>
      </c>
      <c r="N263" s="1">
        <f ca="1">IFERROR(__xludf.DUMMYFUNCTION("""COMPUTED_VALUE"""),-9.21)</f>
        <v>-9.2100000000000009</v>
      </c>
      <c r="O263" s="1">
        <f ca="1">IFERROR(__xludf.DUMMYFUNCTION("""COMPUTED_VALUE"""),301)</f>
        <v>301</v>
      </c>
      <c r="P263" s="1">
        <f ca="1">IFERROR(__xludf.DUMMYFUNCTION("""COMPUTED_VALUE"""),95.8)</f>
        <v>95.8</v>
      </c>
      <c r="Q263" s="1">
        <f ca="1">IFERROR(__xludf.DUMMYFUNCTION("""COMPUTED_VALUE"""),314)</f>
        <v>314</v>
      </c>
      <c r="R263" s="1">
        <f ca="1">IFERROR(__xludf.DUMMYFUNCTION("""COMPUTED_VALUE"""),105)</f>
        <v>105</v>
      </c>
      <c r="S263" s="1">
        <f ca="1">IFERROR(__xludf.DUMMYFUNCTION("""COMPUTED_VALUE"""),271)</f>
        <v>271</v>
      </c>
      <c r="T263" s="1" t="str">
        <f ca="1">IFERROR(__xludf.DUMMYFUNCTION("""COMPUTED_VALUE"""),"+8.57")</f>
        <v>+8.57</v>
      </c>
      <c r="U263" s="1">
        <f ca="1">IFERROR(__xludf.DUMMYFUNCTION("""COMPUTED_VALUE"""),23)</f>
        <v>23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IFERROR(__xludf.DUMMYFUNCTION("""COMPUTED_VALUE"""),"Charleston Southern")</f>
        <v>Charleston Southern</v>
      </c>
      <c r="C264" s="1" t="str">
        <f ca="1">IFERROR(__xludf.DUMMYFUNCTION("""COMPUTED_VALUE"""),"BSth")</f>
        <v>BSth</v>
      </c>
      <c r="D264" s="2">
        <f ca="1">IFERROR(__xludf.DUMMYFUNCTION("""COMPUTED_VALUE"""),44909)</f>
        <v>44909</v>
      </c>
      <c r="E264" s="1">
        <f ca="1">IFERROR(__xludf.DUMMYFUNCTION("""COMPUTED_VALUE"""),-9.1)</f>
        <v>-9.1</v>
      </c>
      <c r="F264" s="1">
        <f ca="1">IFERROR(__xludf.DUMMYFUNCTION("""COMPUTED_VALUE"""),94.2)</f>
        <v>94.2</v>
      </c>
      <c r="G264" s="1">
        <f ca="1">IFERROR(__xludf.DUMMYFUNCTION("""COMPUTED_VALUE"""),278)</f>
        <v>278</v>
      </c>
      <c r="H264" s="1">
        <f ca="1">IFERROR(__xludf.DUMMYFUNCTION("""COMPUTED_VALUE"""),103.3)</f>
        <v>103.3</v>
      </c>
      <c r="I264" s="1">
        <f ca="1">IFERROR(__xludf.DUMMYFUNCTION("""COMPUTED_VALUE"""),186)</f>
        <v>186</v>
      </c>
      <c r="J264" s="1">
        <f ca="1">IFERROR(__xludf.DUMMYFUNCTION("""COMPUTED_VALUE"""),65)</f>
        <v>65</v>
      </c>
      <c r="K264" s="1">
        <f ca="1">IFERROR(__xludf.DUMMYFUNCTION("""COMPUTED_VALUE"""),255)</f>
        <v>255</v>
      </c>
      <c r="L264" s="1">
        <f ca="1">IFERROR(__xludf.DUMMYFUNCTION("""COMPUTED_VALUE"""),-0.02)</f>
        <v>-0.02</v>
      </c>
      <c r="M264" s="1">
        <f ca="1">IFERROR(__xludf.DUMMYFUNCTION("""COMPUTED_VALUE"""),216)</f>
        <v>216</v>
      </c>
      <c r="N264" s="1">
        <f ca="1">IFERROR(__xludf.DUMMYFUNCTION("""COMPUTED_VALUE"""),-9.57)</f>
        <v>-9.57</v>
      </c>
      <c r="O264" s="1">
        <f ca="1">IFERROR(__xludf.DUMMYFUNCTION("""COMPUTED_VALUE"""),306)</f>
        <v>306</v>
      </c>
      <c r="P264" s="1">
        <f ca="1">IFERROR(__xludf.DUMMYFUNCTION("""COMPUTED_VALUE"""),97.2)</f>
        <v>97.2</v>
      </c>
      <c r="Q264" s="1">
        <f ca="1">IFERROR(__xludf.DUMMYFUNCTION("""COMPUTED_VALUE"""),293)</f>
        <v>293</v>
      </c>
      <c r="R264" s="1">
        <f ca="1">IFERROR(__xludf.DUMMYFUNCTION("""COMPUTED_VALUE"""),106.8)</f>
        <v>106.8</v>
      </c>
      <c r="S264" s="1">
        <f ca="1">IFERROR(__xludf.DUMMYFUNCTION("""COMPUTED_VALUE"""),303)</f>
        <v>303</v>
      </c>
      <c r="T264" s="1" t="str">
        <f ca="1">IFERROR(__xludf.DUMMYFUNCTION("""COMPUTED_VALUE"""),"+1.11")</f>
        <v>+1.11</v>
      </c>
      <c r="U264" s="1">
        <f ca="1">IFERROR(__xludf.DUMMYFUNCTION("""COMPUTED_VALUE"""),128)</f>
        <v>128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IFERROR(__xludf.DUMMYFUNCTION("""COMPUTED_VALUE"""),"Southeast Missouri St.")</f>
        <v>Southeast Missouri St.</v>
      </c>
      <c r="C265" s="1" t="str">
        <f ca="1">IFERROR(__xludf.DUMMYFUNCTION("""COMPUTED_VALUE"""),"OVC")</f>
        <v>OVC</v>
      </c>
      <c r="D265" s="2">
        <f ca="1">IFERROR(__xludf.DUMMYFUNCTION("""COMPUTED_VALUE"""),44823)</f>
        <v>44823</v>
      </c>
      <c r="E265" s="1">
        <f ca="1">IFERROR(__xludf.DUMMYFUNCTION("""COMPUTED_VALUE"""),-9.22)</f>
        <v>-9.2200000000000006</v>
      </c>
      <c r="F265" s="1">
        <f ca="1">IFERROR(__xludf.DUMMYFUNCTION("""COMPUTED_VALUE"""),102.1)</f>
        <v>102.1</v>
      </c>
      <c r="G265" s="1">
        <f ca="1">IFERROR(__xludf.DUMMYFUNCTION("""COMPUTED_VALUE"""),168)</f>
        <v>168</v>
      </c>
      <c r="H265" s="1">
        <f ca="1">IFERROR(__xludf.DUMMYFUNCTION("""COMPUTED_VALUE"""),111.3)</f>
        <v>111.3</v>
      </c>
      <c r="I265" s="1">
        <f ca="1">IFERROR(__xludf.DUMMYFUNCTION("""COMPUTED_VALUE"""),304)</f>
        <v>304</v>
      </c>
      <c r="J265" s="1">
        <f ca="1">IFERROR(__xludf.DUMMYFUNCTION("""COMPUTED_VALUE"""),65.3)</f>
        <v>65.3</v>
      </c>
      <c r="K265" s="1">
        <f ca="1">IFERROR(__xludf.DUMMYFUNCTION("""COMPUTED_VALUE"""),244)</f>
        <v>244</v>
      </c>
      <c r="L265" s="1">
        <f ca="1">IFERROR(__xludf.DUMMYFUNCTION("""COMPUTED_VALUE"""),-0.012)</f>
        <v>-1.2E-2</v>
      </c>
      <c r="M265" s="1">
        <f ca="1">IFERROR(__xludf.DUMMYFUNCTION("""COMPUTED_VALUE"""),193)</f>
        <v>193</v>
      </c>
      <c r="N265" s="1">
        <f ca="1">IFERROR(__xludf.DUMMYFUNCTION("""COMPUTED_VALUE"""),-1.76)</f>
        <v>-1.76</v>
      </c>
      <c r="O265" s="1">
        <f ca="1">IFERROR(__xludf.DUMMYFUNCTION("""COMPUTED_VALUE"""),186)</f>
        <v>186</v>
      </c>
      <c r="P265" s="1">
        <f ca="1">IFERROR(__xludf.DUMMYFUNCTION("""COMPUTED_VALUE"""),103)</f>
        <v>103</v>
      </c>
      <c r="Q265" s="1">
        <f ca="1">IFERROR(__xludf.DUMMYFUNCTION("""COMPUTED_VALUE"""),145)</f>
        <v>145</v>
      </c>
      <c r="R265" s="1">
        <f ca="1">IFERROR(__xludf.DUMMYFUNCTION("""COMPUTED_VALUE"""),104.8)</f>
        <v>104.8</v>
      </c>
      <c r="S265" s="1">
        <f ca="1">IFERROR(__xludf.DUMMYFUNCTION("""COMPUTED_VALUE"""),264)</f>
        <v>264</v>
      </c>
      <c r="T265" s="1" t="str">
        <f ca="1">IFERROR(__xludf.DUMMYFUNCTION("""COMPUTED_VALUE"""),"+1.51")</f>
        <v>+1.51</v>
      </c>
      <c r="U265" s="1">
        <f ca="1">IFERROR(__xludf.DUMMYFUNCTION("""COMPUTED_VALUE"""),119)</f>
        <v>119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IFERROR(__xludf.DUMMYFUNCTION("""COMPUTED_VALUE"""),"Texas A&amp;M Corpus Chris")</f>
        <v>Texas A&amp;M Corpus Chris</v>
      </c>
      <c r="C266" s="1" t="str">
        <f ca="1">IFERROR(__xludf.DUMMYFUNCTION("""COMPUTED_VALUE"""),"ind")</f>
        <v>ind</v>
      </c>
      <c r="D266" s="2">
        <f ca="1">IFERROR(__xludf.DUMMYFUNCTION("""COMPUTED_VALUE"""),44880)</f>
        <v>44880</v>
      </c>
      <c r="E266" s="1">
        <f ca="1">IFERROR(__xludf.DUMMYFUNCTION("""COMPUTED_VALUE"""),-9.28)</f>
        <v>-9.2799999999999994</v>
      </c>
      <c r="F266" s="1">
        <f ca="1">IFERROR(__xludf.DUMMYFUNCTION("""COMPUTED_VALUE"""),99)</f>
        <v>99</v>
      </c>
      <c r="G266" s="1">
        <f ca="1">IFERROR(__xludf.DUMMYFUNCTION("""COMPUTED_VALUE"""),223)</f>
        <v>223</v>
      </c>
      <c r="H266" s="1">
        <f ca="1">IFERROR(__xludf.DUMMYFUNCTION("""COMPUTED_VALUE"""),108.3)</f>
        <v>108.3</v>
      </c>
      <c r="I266" s="1">
        <f ca="1">IFERROR(__xludf.DUMMYFUNCTION("""COMPUTED_VALUE"""),276)</f>
        <v>276</v>
      </c>
      <c r="J266" s="1">
        <f ca="1">IFERROR(__xludf.DUMMYFUNCTION("""COMPUTED_VALUE"""),72.8)</f>
        <v>72.8</v>
      </c>
      <c r="K266" s="1">
        <f ca="1">IFERROR(__xludf.DUMMYFUNCTION("""COMPUTED_VALUE"""),9)</f>
        <v>9</v>
      </c>
      <c r="L266" s="1" t="str">
        <f ca="1">IFERROR(__xludf.DUMMYFUNCTION("""COMPUTED_VALUE"""),"+.021")</f>
        <v>+.021</v>
      </c>
      <c r="M266" s="1">
        <f ca="1">IFERROR(__xludf.DUMMYFUNCTION("""COMPUTED_VALUE"""),117)</f>
        <v>117</v>
      </c>
      <c r="N266" s="1">
        <f ca="1">IFERROR(__xludf.DUMMYFUNCTION("""COMPUTED_VALUE"""),-4.88)</f>
        <v>-4.88</v>
      </c>
      <c r="O266" s="1">
        <f ca="1">IFERROR(__xludf.DUMMYFUNCTION("""COMPUTED_VALUE"""),246)</f>
        <v>246</v>
      </c>
      <c r="P266" s="1">
        <f ca="1">IFERROR(__xludf.DUMMYFUNCTION("""COMPUTED_VALUE"""),98.9)</f>
        <v>98.9</v>
      </c>
      <c r="Q266" s="1">
        <f ca="1">IFERROR(__xludf.DUMMYFUNCTION("""COMPUTED_VALUE"""),262)</f>
        <v>262</v>
      </c>
      <c r="R266" s="1">
        <f ca="1">IFERROR(__xludf.DUMMYFUNCTION("""COMPUTED_VALUE"""),103.7)</f>
        <v>103.7</v>
      </c>
      <c r="S266" s="1">
        <f ca="1">IFERROR(__xludf.DUMMYFUNCTION("""COMPUTED_VALUE"""),211)</f>
        <v>211</v>
      </c>
      <c r="T266" s="1" t="str">
        <f ca="1">IFERROR(__xludf.DUMMYFUNCTION("""COMPUTED_VALUE"""),"+0.16")</f>
        <v>+0.16</v>
      </c>
      <c r="U266" s="1">
        <f ca="1">IFERROR(__xludf.DUMMYFUNCTION("""COMPUTED_VALUE"""),153)</f>
        <v>153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IFERROR(__xludf.DUMMYFUNCTION("""COMPUTED_VALUE"""),"Youngstown St.")</f>
        <v>Youngstown St.</v>
      </c>
      <c r="C267" s="1" t="str">
        <f ca="1">IFERROR(__xludf.DUMMYFUNCTION("""COMPUTED_VALUE"""),"Horz")</f>
        <v>Horz</v>
      </c>
      <c r="D267" s="2">
        <f ca="1">IFERROR(__xludf.DUMMYFUNCTION("""COMPUTED_VALUE"""),44762)</f>
        <v>44762</v>
      </c>
      <c r="E267" s="1">
        <f ca="1">IFERROR(__xludf.DUMMYFUNCTION("""COMPUTED_VALUE"""),-9.31)</f>
        <v>-9.31</v>
      </c>
      <c r="F267" s="1">
        <f ca="1">IFERROR(__xludf.DUMMYFUNCTION("""COMPUTED_VALUE"""),93.1)</f>
        <v>93.1</v>
      </c>
      <c r="G267" s="1">
        <f ca="1">IFERROR(__xludf.DUMMYFUNCTION("""COMPUTED_VALUE"""),290)</f>
        <v>290</v>
      </c>
      <c r="H267" s="1">
        <f ca="1">IFERROR(__xludf.DUMMYFUNCTION("""COMPUTED_VALUE"""),102.4)</f>
        <v>102.4</v>
      </c>
      <c r="I267" s="1">
        <f ca="1">IFERROR(__xludf.DUMMYFUNCTION("""COMPUTED_VALUE"""),170)</f>
        <v>170</v>
      </c>
      <c r="J267" s="1">
        <f ca="1">IFERROR(__xludf.DUMMYFUNCTION("""COMPUTED_VALUE"""),65.8)</f>
        <v>65.8</v>
      </c>
      <c r="K267" s="1">
        <f ca="1">IFERROR(__xludf.DUMMYFUNCTION("""COMPUTED_VALUE"""),216)</f>
        <v>216</v>
      </c>
      <c r="L267" s="1" t="str">
        <f ca="1">IFERROR(__xludf.DUMMYFUNCTION("""COMPUTED_VALUE"""),"+.024")</f>
        <v>+.024</v>
      </c>
      <c r="M267" s="1">
        <f ca="1">IFERROR(__xludf.DUMMYFUNCTION("""COMPUTED_VALUE"""),106)</f>
        <v>106</v>
      </c>
      <c r="N267" s="1" t="str">
        <f ca="1">IFERROR(__xludf.DUMMYFUNCTION("""COMPUTED_VALUE"""),"+0.86")</f>
        <v>+0.86</v>
      </c>
      <c r="O267" s="1">
        <f ca="1">IFERROR(__xludf.DUMMYFUNCTION("""COMPUTED_VALUE"""),142)</f>
        <v>142</v>
      </c>
      <c r="P267" s="1">
        <f ca="1">IFERROR(__xludf.DUMMYFUNCTION("""COMPUTED_VALUE"""),104.3)</f>
        <v>104.3</v>
      </c>
      <c r="Q267" s="1">
        <f ca="1">IFERROR(__xludf.DUMMYFUNCTION("""COMPUTED_VALUE"""),101)</f>
        <v>101</v>
      </c>
      <c r="R267" s="1">
        <f ca="1">IFERROR(__xludf.DUMMYFUNCTION("""COMPUTED_VALUE"""),103.5)</f>
        <v>103.5</v>
      </c>
      <c r="S267" s="1">
        <f ca="1">IFERROR(__xludf.DUMMYFUNCTION("""COMPUTED_VALUE"""),206)</f>
        <v>206</v>
      </c>
      <c r="T267" s="1">
        <f ca="1">IFERROR(__xludf.DUMMYFUNCTION("""COMPUTED_VALUE"""),-5.05)</f>
        <v>-5.05</v>
      </c>
      <c r="U267" s="1">
        <f ca="1">IFERROR(__xludf.DUMMYFUNCTION("""COMPUTED_VALUE"""),273)</f>
        <v>273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IFERROR(__xludf.DUMMYFUNCTION("""COMPUTED_VALUE"""),"Louisiana Monroe")</f>
        <v>Louisiana Monroe</v>
      </c>
      <c r="C268" s="1" t="str">
        <f ca="1">IFERROR(__xludf.DUMMYFUNCTION("""COMPUTED_VALUE"""),"Slnd")</f>
        <v>Slnd</v>
      </c>
      <c r="D268" s="2">
        <f ca="1">IFERROR(__xludf.DUMMYFUNCTION("""COMPUTED_VALUE"""),44881)</f>
        <v>44881</v>
      </c>
      <c r="E268" s="1">
        <f ca="1">IFERROR(__xludf.DUMMYFUNCTION("""COMPUTED_VALUE"""),-9.61)</f>
        <v>-9.61</v>
      </c>
      <c r="F268" s="1">
        <f ca="1">IFERROR(__xludf.DUMMYFUNCTION("""COMPUTED_VALUE"""),94.4)</f>
        <v>94.4</v>
      </c>
      <c r="G268" s="1">
        <f ca="1">IFERROR(__xludf.DUMMYFUNCTION("""COMPUTED_VALUE"""),276)</f>
        <v>276</v>
      </c>
      <c r="H268" s="1">
        <f ca="1">IFERROR(__xludf.DUMMYFUNCTION("""COMPUTED_VALUE"""),104)</f>
        <v>104</v>
      </c>
      <c r="I268" s="1">
        <f ca="1">IFERROR(__xludf.DUMMYFUNCTION("""COMPUTED_VALUE"""),196)</f>
        <v>196</v>
      </c>
      <c r="J268" s="1">
        <f ca="1">IFERROR(__xludf.DUMMYFUNCTION("""COMPUTED_VALUE"""),72.7)</f>
        <v>72.7</v>
      </c>
      <c r="K268" s="1">
        <f ca="1">IFERROR(__xludf.DUMMYFUNCTION("""COMPUTED_VALUE"""),10)</f>
        <v>10</v>
      </c>
      <c r="L268" s="1" t="str">
        <f ca="1">IFERROR(__xludf.DUMMYFUNCTION("""COMPUTED_VALUE"""),"+.013")</f>
        <v>+.013</v>
      </c>
      <c r="M268" s="1">
        <f ca="1">IFERROR(__xludf.DUMMYFUNCTION("""COMPUTED_VALUE"""),132)</f>
        <v>132</v>
      </c>
      <c r="N268" s="1">
        <f ca="1">IFERROR(__xludf.DUMMYFUNCTION("""COMPUTED_VALUE"""),-5.57)</f>
        <v>-5.57</v>
      </c>
      <c r="O268" s="1">
        <f ca="1">IFERROR(__xludf.DUMMYFUNCTION("""COMPUTED_VALUE"""),259)</f>
        <v>259</v>
      </c>
      <c r="P268" s="1">
        <f ca="1">IFERROR(__xludf.DUMMYFUNCTION("""COMPUTED_VALUE"""),98.7)</f>
        <v>98.7</v>
      </c>
      <c r="Q268" s="1">
        <f ca="1">IFERROR(__xludf.DUMMYFUNCTION("""COMPUTED_VALUE"""),265)</f>
        <v>265</v>
      </c>
      <c r="R268" s="1">
        <f ca="1">IFERROR(__xludf.DUMMYFUNCTION("""COMPUTED_VALUE"""),104.3)</f>
        <v>104.3</v>
      </c>
      <c r="S268" s="1">
        <f ca="1">IFERROR(__xludf.DUMMYFUNCTION("""COMPUTED_VALUE"""),238)</f>
        <v>238</v>
      </c>
      <c r="T268" s="1" t="str">
        <f ca="1">IFERROR(__xludf.DUMMYFUNCTION("""COMPUTED_VALUE"""),"+4.10")</f>
        <v>+4.10</v>
      </c>
      <c r="U268" s="1">
        <f ca="1">IFERROR(__xludf.DUMMYFUNCTION("""COMPUTED_VALUE"""),63)</f>
        <v>63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IFERROR(__xludf.DUMMYFUNCTION("""COMPUTED_VALUE"""),"Hofstra")</f>
        <v>Hofstra</v>
      </c>
      <c r="C269" s="1" t="str">
        <f ca="1">IFERROR(__xludf.DUMMYFUNCTION("""COMPUTED_VALUE"""),"CAA")</f>
        <v>CAA</v>
      </c>
      <c r="D269" s="2">
        <f ca="1">IFERROR(__xludf.DUMMYFUNCTION("""COMPUTED_VALUE"""),44794)</f>
        <v>44794</v>
      </c>
      <c r="E269" s="1">
        <f ca="1">IFERROR(__xludf.DUMMYFUNCTION("""COMPUTED_VALUE"""),-9.69)</f>
        <v>-9.69</v>
      </c>
      <c r="F269" s="1">
        <f ca="1">IFERROR(__xludf.DUMMYFUNCTION("""COMPUTED_VALUE"""),95)</f>
        <v>95</v>
      </c>
      <c r="G269" s="1">
        <f ca="1">IFERROR(__xludf.DUMMYFUNCTION("""COMPUTED_VALUE"""),273)</f>
        <v>273</v>
      </c>
      <c r="H269" s="1">
        <f ca="1">IFERROR(__xludf.DUMMYFUNCTION("""COMPUTED_VALUE"""),104.7)</f>
        <v>104.7</v>
      </c>
      <c r="I269" s="1">
        <f ca="1">IFERROR(__xludf.DUMMYFUNCTION("""COMPUTED_VALUE"""),211)</f>
        <v>211</v>
      </c>
      <c r="J269" s="1">
        <f ca="1">IFERROR(__xludf.DUMMYFUNCTION("""COMPUTED_VALUE"""),68.3)</f>
        <v>68.3</v>
      </c>
      <c r="K269" s="1">
        <f ca="1">IFERROR(__xludf.DUMMYFUNCTION("""COMPUTED_VALUE"""),107)</f>
        <v>107</v>
      </c>
      <c r="L269" s="1">
        <f ca="1">IFERROR(__xludf.DUMMYFUNCTION("""COMPUTED_VALUE"""),-0.031)</f>
        <v>-3.1E-2</v>
      </c>
      <c r="M269" s="1">
        <f ca="1">IFERROR(__xludf.DUMMYFUNCTION("""COMPUTED_VALUE"""),249)</f>
        <v>249</v>
      </c>
      <c r="N269" s="1">
        <f ca="1">IFERROR(__xludf.DUMMYFUNCTION("""COMPUTED_VALUE"""),-1.97)</f>
        <v>-1.97</v>
      </c>
      <c r="O269" s="1">
        <f ca="1">IFERROR(__xludf.DUMMYFUNCTION("""COMPUTED_VALUE"""),191)</f>
        <v>191</v>
      </c>
      <c r="P269" s="1">
        <f ca="1">IFERROR(__xludf.DUMMYFUNCTION("""COMPUTED_VALUE"""),100.1)</f>
        <v>100.1</v>
      </c>
      <c r="Q269" s="1">
        <f ca="1">IFERROR(__xludf.DUMMYFUNCTION("""COMPUTED_VALUE"""),228)</f>
        <v>228</v>
      </c>
      <c r="R269" s="1">
        <f ca="1">IFERROR(__xludf.DUMMYFUNCTION("""COMPUTED_VALUE"""),102.1)</f>
        <v>102.1</v>
      </c>
      <c r="S269" s="1">
        <f ca="1">IFERROR(__xludf.DUMMYFUNCTION("""COMPUTED_VALUE"""),144)</f>
        <v>144</v>
      </c>
      <c r="T269" s="1">
        <f ca="1">IFERROR(__xludf.DUMMYFUNCTION("""COMPUTED_VALUE"""),-3.23)</f>
        <v>-3.23</v>
      </c>
      <c r="U269" s="1">
        <f ca="1">IFERROR(__xludf.DUMMYFUNCTION("""COMPUTED_VALUE"""),229)</f>
        <v>229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IFERROR(__xludf.DUMMYFUNCTION("""COMPUTED_VALUE"""),"St. Francis PA")</f>
        <v>St. Francis PA</v>
      </c>
      <c r="C270" s="1" t="str">
        <f ca="1">IFERROR(__xludf.DUMMYFUNCTION("""COMPUTED_VALUE"""),"NEC")</f>
        <v>NEC</v>
      </c>
      <c r="D270" s="1" t="str">
        <f ca="1">IFERROR(__xludf.DUMMYFUNCTION("""COMPUTED_VALUE"""),"14-14")</f>
        <v>14-14</v>
      </c>
      <c r="E270" s="1">
        <f ca="1">IFERROR(__xludf.DUMMYFUNCTION("""COMPUTED_VALUE"""),-9.84)</f>
        <v>-9.84</v>
      </c>
      <c r="F270" s="1">
        <f ca="1">IFERROR(__xludf.DUMMYFUNCTION("""COMPUTED_VALUE"""),94.3)</f>
        <v>94.3</v>
      </c>
      <c r="G270" s="1">
        <f ca="1">IFERROR(__xludf.DUMMYFUNCTION("""COMPUTED_VALUE"""),277)</f>
        <v>277</v>
      </c>
      <c r="H270" s="1">
        <f ca="1">IFERROR(__xludf.DUMMYFUNCTION("""COMPUTED_VALUE"""),104.1)</f>
        <v>104.1</v>
      </c>
      <c r="I270" s="1">
        <f ca="1">IFERROR(__xludf.DUMMYFUNCTION("""COMPUTED_VALUE"""),198)</f>
        <v>198</v>
      </c>
      <c r="J270" s="1">
        <f ca="1">IFERROR(__xludf.DUMMYFUNCTION("""COMPUTED_VALUE"""),69.3)</f>
        <v>69.3</v>
      </c>
      <c r="K270" s="1">
        <f ca="1">IFERROR(__xludf.DUMMYFUNCTION("""COMPUTED_VALUE"""),70)</f>
        <v>70</v>
      </c>
      <c r="L270" s="1" t="str">
        <f ca="1">IFERROR(__xludf.DUMMYFUNCTION("""COMPUTED_VALUE"""),"+.049")</f>
        <v>+.049</v>
      </c>
      <c r="M270" s="1">
        <f ca="1">IFERROR(__xludf.DUMMYFUNCTION("""COMPUTED_VALUE"""),62)</f>
        <v>62</v>
      </c>
      <c r="N270" s="1">
        <f ca="1">IFERROR(__xludf.DUMMYFUNCTION("""COMPUTED_VALUE"""),-9.67)</f>
        <v>-9.67</v>
      </c>
      <c r="O270" s="1">
        <f ca="1">IFERROR(__xludf.DUMMYFUNCTION("""COMPUTED_VALUE"""),307)</f>
        <v>307</v>
      </c>
      <c r="P270" s="1">
        <f ca="1">IFERROR(__xludf.DUMMYFUNCTION("""COMPUTED_VALUE"""),96.9)</f>
        <v>96.9</v>
      </c>
      <c r="Q270" s="1">
        <f ca="1">IFERROR(__xludf.DUMMYFUNCTION("""COMPUTED_VALUE"""),299)</f>
        <v>299</v>
      </c>
      <c r="R270" s="1">
        <f ca="1">IFERROR(__xludf.DUMMYFUNCTION("""COMPUTED_VALUE"""),106.6)</f>
        <v>106.6</v>
      </c>
      <c r="S270" s="1">
        <f ca="1">IFERROR(__xludf.DUMMYFUNCTION("""COMPUTED_VALUE"""),300)</f>
        <v>300</v>
      </c>
      <c r="T270" s="1">
        <f ca="1">IFERROR(__xludf.DUMMYFUNCTION("""COMPUTED_VALUE"""),-3.7)</f>
        <v>-3.7</v>
      </c>
      <c r="U270" s="1">
        <f ca="1">IFERROR(__xludf.DUMMYFUNCTION("""COMPUTED_VALUE"""),245)</f>
        <v>245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IFERROR(__xludf.DUMMYFUNCTION("""COMPUTED_VALUE"""),"Alabama St.")</f>
        <v>Alabama St.</v>
      </c>
      <c r="C271" s="1" t="str">
        <f ca="1">IFERROR(__xludf.DUMMYFUNCTION("""COMPUTED_VALUE"""),"SWAC")</f>
        <v>SWAC</v>
      </c>
      <c r="D271" s="1" t="str">
        <f ca="1">IFERROR(__xludf.DUMMYFUNCTION("""COMPUTED_VALUE"""),"14-15")</f>
        <v>14-15</v>
      </c>
      <c r="E271" s="1">
        <f ca="1">IFERROR(__xludf.DUMMYFUNCTION("""COMPUTED_VALUE"""),-9.95)</f>
        <v>-9.9499999999999993</v>
      </c>
      <c r="F271" s="1">
        <f ca="1">IFERROR(__xludf.DUMMYFUNCTION("""COMPUTED_VALUE"""),90.9)</f>
        <v>90.9</v>
      </c>
      <c r="G271" s="1">
        <f ca="1">IFERROR(__xludf.DUMMYFUNCTION("""COMPUTED_VALUE"""),303)</f>
        <v>303</v>
      </c>
      <c r="H271" s="1">
        <f ca="1">IFERROR(__xludf.DUMMYFUNCTION("""COMPUTED_VALUE"""),100.9)</f>
        <v>100.9</v>
      </c>
      <c r="I271" s="1">
        <f ca="1">IFERROR(__xludf.DUMMYFUNCTION("""COMPUTED_VALUE"""),141)</f>
        <v>141</v>
      </c>
      <c r="J271" s="1">
        <f ca="1">IFERROR(__xludf.DUMMYFUNCTION("""COMPUTED_VALUE"""),64.2)</f>
        <v>64.2</v>
      </c>
      <c r="K271" s="1">
        <f ca="1">IFERROR(__xludf.DUMMYFUNCTION("""COMPUTED_VALUE"""),275)</f>
        <v>275</v>
      </c>
      <c r="L271" s="1">
        <f ca="1">IFERROR(__xludf.DUMMYFUNCTION("""COMPUTED_VALUE"""),-0.025)</f>
        <v>-2.5000000000000001E-2</v>
      </c>
      <c r="M271" s="1">
        <f ca="1">IFERROR(__xludf.DUMMYFUNCTION("""COMPUTED_VALUE"""),229)</f>
        <v>229</v>
      </c>
      <c r="N271" s="1">
        <f ca="1">IFERROR(__xludf.DUMMYFUNCTION("""COMPUTED_VALUE"""),-10.37)</f>
        <v>-10.37</v>
      </c>
      <c r="O271" s="1">
        <f ca="1">IFERROR(__xludf.DUMMYFUNCTION("""COMPUTED_VALUE"""),310)</f>
        <v>310</v>
      </c>
      <c r="P271" s="1">
        <f ca="1">IFERROR(__xludf.DUMMYFUNCTION("""COMPUTED_VALUE"""),96.2)</f>
        <v>96.2</v>
      </c>
      <c r="Q271" s="1">
        <f ca="1">IFERROR(__xludf.DUMMYFUNCTION("""COMPUTED_VALUE"""),313)</f>
        <v>313</v>
      </c>
      <c r="R271" s="1">
        <f ca="1">IFERROR(__xludf.DUMMYFUNCTION("""COMPUTED_VALUE"""),106.5)</f>
        <v>106.5</v>
      </c>
      <c r="S271" s="1">
        <f ca="1">IFERROR(__xludf.DUMMYFUNCTION("""COMPUTED_VALUE"""),298)</f>
        <v>298</v>
      </c>
      <c r="T271" s="1" t="str">
        <f ca="1">IFERROR(__xludf.DUMMYFUNCTION("""COMPUTED_VALUE"""),"+1.53")</f>
        <v>+1.53</v>
      </c>
      <c r="U271" s="1">
        <f ca="1">IFERROR(__xludf.DUMMYFUNCTION("""COMPUTED_VALUE"""),118)</f>
        <v>118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IFERROR(__xludf.DUMMYFUNCTION("""COMPUTED_VALUE"""),"Fordham")</f>
        <v>Fordham</v>
      </c>
      <c r="C272" s="1" t="str">
        <f ca="1">IFERROR(__xludf.DUMMYFUNCTION("""COMPUTED_VALUE"""),"A10")</f>
        <v>A10</v>
      </c>
      <c r="D272" s="2">
        <f ca="1">IFERROR(__xludf.DUMMYFUNCTION("""COMPUTED_VALUE"""),44618)</f>
        <v>44618</v>
      </c>
      <c r="E272" s="1">
        <f ca="1">IFERROR(__xludf.DUMMYFUNCTION("""COMPUTED_VALUE"""),-10.22)</f>
        <v>-10.220000000000001</v>
      </c>
      <c r="F272" s="1">
        <f ca="1">IFERROR(__xludf.DUMMYFUNCTION("""COMPUTED_VALUE"""),97.2)</f>
        <v>97.2</v>
      </c>
      <c r="G272" s="1">
        <f ca="1">IFERROR(__xludf.DUMMYFUNCTION("""COMPUTED_VALUE"""),253)</f>
        <v>253</v>
      </c>
      <c r="H272" s="1">
        <f ca="1">IFERROR(__xludf.DUMMYFUNCTION("""COMPUTED_VALUE"""),107.4)</f>
        <v>107.4</v>
      </c>
      <c r="I272" s="1">
        <f ca="1">IFERROR(__xludf.DUMMYFUNCTION("""COMPUTED_VALUE"""),262)</f>
        <v>262</v>
      </c>
      <c r="J272" s="1">
        <f ca="1">IFERROR(__xludf.DUMMYFUNCTION("""COMPUTED_VALUE"""),69.7)</f>
        <v>69.7</v>
      </c>
      <c r="K272" s="1">
        <f ca="1">IFERROR(__xludf.DUMMYFUNCTION("""COMPUTED_VALUE"""),64)</f>
        <v>64</v>
      </c>
      <c r="L272" s="1">
        <f ca="1">IFERROR(__xludf.DUMMYFUNCTION("""COMPUTED_VALUE"""),-0.101)</f>
        <v>-0.10100000000000001</v>
      </c>
      <c r="M272" s="1">
        <f ca="1">IFERROR(__xludf.DUMMYFUNCTION("""COMPUTED_VALUE"""),316)</f>
        <v>316</v>
      </c>
      <c r="N272" s="1" t="str">
        <f ca="1">IFERROR(__xludf.DUMMYFUNCTION("""COMPUTED_VALUE"""),"+4.69")</f>
        <v>+4.69</v>
      </c>
      <c r="O272" s="1">
        <f ca="1">IFERROR(__xludf.DUMMYFUNCTION("""COMPUTED_VALUE"""),87)</f>
        <v>87</v>
      </c>
      <c r="P272" s="1">
        <f ca="1">IFERROR(__xludf.DUMMYFUNCTION("""COMPUTED_VALUE"""),104.3)</f>
        <v>104.3</v>
      </c>
      <c r="Q272" s="1">
        <f ca="1">IFERROR(__xludf.DUMMYFUNCTION("""COMPUTED_VALUE"""),105)</f>
        <v>105</v>
      </c>
      <c r="R272" s="1">
        <f ca="1">IFERROR(__xludf.DUMMYFUNCTION("""COMPUTED_VALUE"""),99.6)</f>
        <v>99.6</v>
      </c>
      <c r="S272" s="1">
        <f ca="1">IFERROR(__xludf.DUMMYFUNCTION("""COMPUTED_VALUE"""),78)</f>
        <v>78</v>
      </c>
      <c r="T272" s="1" t="str">
        <f ca="1">IFERROR(__xludf.DUMMYFUNCTION("""COMPUTED_VALUE"""),"+1.80")</f>
        <v>+1.80</v>
      </c>
      <c r="U272" s="1">
        <f ca="1">IFERROR(__xludf.DUMMYFUNCTION("""COMPUTED_VALUE"""),113)</f>
        <v>113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IFERROR(__xludf.DUMMYFUNCTION("""COMPUTED_VALUE"""),"Buffalo")</f>
        <v>Buffalo</v>
      </c>
      <c r="C273" s="1" t="str">
        <f ca="1">IFERROR(__xludf.DUMMYFUNCTION("""COMPUTED_VALUE"""),"MAC")</f>
        <v>MAC</v>
      </c>
      <c r="D273" s="2">
        <f ca="1">IFERROR(__xludf.DUMMYFUNCTION("""COMPUTED_VALUE"""),44704)</f>
        <v>44704</v>
      </c>
      <c r="E273" s="1">
        <f ca="1">IFERROR(__xludf.DUMMYFUNCTION("""COMPUTED_VALUE"""),-10.33)</f>
        <v>-10.33</v>
      </c>
      <c r="F273" s="1">
        <f ca="1">IFERROR(__xludf.DUMMYFUNCTION("""COMPUTED_VALUE"""),95.4)</f>
        <v>95.4</v>
      </c>
      <c r="G273" s="1">
        <f ca="1">IFERROR(__xludf.DUMMYFUNCTION("""COMPUTED_VALUE"""),271)</f>
        <v>271</v>
      </c>
      <c r="H273" s="1">
        <f ca="1">IFERROR(__xludf.DUMMYFUNCTION("""COMPUTED_VALUE"""),105.8)</f>
        <v>105.8</v>
      </c>
      <c r="I273" s="1">
        <f ca="1">IFERROR(__xludf.DUMMYFUNCTION("""COMPUTED_VALUE"""),232)</f>
        <v>232</v>
      </c>
      <c r="J273" s="1">
        <f ca="1">IFERROR(__xludf.DUMMYFUNCTION("""COMPUTED_VALUE"""),66.8)</f>
        <v>66.8</v>
      </c>
      <c r="K273" s="1">
        <f ca="1">IFERROR(__xludf.DUMMYFUNCTION("""COMPUTED_VALUE"""),175)</f>
        <v>175</v>
      </c>
      <c r="L273" s="1">
        <f ca="1">IFERROR(__xludf.DUMMYFUNCTION("""COMPUTED_VALUE"""),-0.127)</f>
        <v>-0.127</v>
      </c>
      <c r="M273" s="1">
        <f ca="1">IFERROR(__xludf.DUMMYFUNCTION("""COMPUTED_VALUE"""),326)</f>
        <v>326</v>
      </c>
      <c r="N273" s="1">
        <f ca="1">IFERROR(__xludf.DUMMYFUNCTION("""COMPUTED_VALUE"""),-0.38)</f>
        <v>-0.38</v>
      </c>
      <c r="O273" s="1">
        <f ca="1">IFERROR(__xludf.DUMMYFUNCTION("""COMPUTED_VALUE"""),157)</f>
        <v>157</v>
      </c>
      <c r="P273" s="1">
        <f ca="1">IFERROR(__xludf.DUMMYFUNCTION("""COMPUTED_VALUE"""),103.5)</f>
        <v>103.5</v>
      </c>
      <c r="Q273" s="1">
        <f ca="1">IFERROR(__xludf.DUMMYFUNCTION("""COMPUTED_VALUE"""),127)</f>
        <v>127</v>
      </c>
      <c r="R273" s="1">
        <f ca="1">IFERROR(__xludf.DUMMYFUNCTION("""COMPUTED_VALUE"""),103.9)</f>
        <v>103.9</v>
      </c>
      <c r="S273" s="1">
        <f ca="1">IFERROR(__xludf.DUMMYFUNCTION("""COMPUTED_VALUE"""),215)</f>
        <v>215</v>
      </c>
      <c r="T273" s="1">
        <f ca="1">IFERROR(__xludf.DUMMYFUNCTION("""COMPUTED_VALUE"""),-3.82)</f>
        <v>-3.82</v>
      </c>
      <c r="U273" s="1">
        <f ca="1">IFERROR(__xludf.DUMMYFUNCTION("""COMPUTED_VALUE"""),250)</f>
        <v>250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IFERROR(__xludf.DUMMYFUNCTION("""COMPUTED_VALUE"""),"Texas Southern16")</f>
        <v>Texas Southern16</v>
      </c>
      <c r="C274" s="1" t="str">
        <f ca="1">IFERROR(__xludf.DUMMYFUNCTION("""COMPUTED_VALUE"""),"SWAC")</f>
        <v>SWAC</v>
      </c>
      <c r="D274" s="1" t="str">
        <f ca="1">IFERROR(__xludf.DUMMYFUNCTION("""COMPUTED_VALUE"""),"18-13")</f>
        <v>18-13</v>
      </c>
      <c r="E274" s="1">
        <f ca="1">IFERROR(__xludf.DUMMYFUNCTION("""COMPUTED_VALUE"""),-10.45)</f>
        <v>-10.45</v>
      </c>
      <c r="F274" s="1">
        <f ca="1">IFERROR(__xludf.DUMMYFUNCTION("""COMPUTED_VALUE"""),98.3)</f>
        <v>98.3</v>
      </c>
      <c r="G274" s="1">
        <f ca="1">IFERROR(__xludf.DUMMYFUNCTION("""COMPUTED_VALUE"""),238)</f>
        <v>238</v>
      </c>
      <c r="H274" s="1">
        <f ca="1">IFERROR(__xludf.DUMMYFUNCTION("""COMPUTED_VALUE"""),108.7)</f>
        <v>108.7</v>
      </c>
      <c r="I274" s="1">
        <f ca="1">IFERROR(__xludf.DUMMYFUNCTION("""COMPUTED_VALUE"""),281)</f>
        <v>281</v>
      </c>
      <c r="J274" s="1">
        <f ca="1">IFERROR(__xludf.DUMMYFUNCTION("""COMPUTED_VALUE"""),68.4)</f>
        <v>68.400000000000006</v>
      </c>
      <c r="K274" s="1">
        <f ca="1">IFERROR(__xludf.DUMMYFUNCTION("""COMPUTED_VALUE"""),104)</f>
        <v>104</v>
      </c>
      <c r="L274" s="1" t="str">
        <f ca="1">IFERROR(__xludf.DUMMYFUNCTION("""COMPUTED_VALUE"""),"+.037")</f>
        <v>+.037</v>
      </c>
      <c r="M274" s="1">
        <f ca="1">IFERROR(__xludf.DUMMYFUNCTION("""COMPUTED_VALUE"""),75)</f>
        <v>75</v>
      </c>
      <c r="N274" s="1">
        <f ca="1">IFERROR(__xludf.DUMMYFUNCTION("""COMPUTED_VALUE"""),-12.96)</f>
        <v>-12.96</v>
      </c>
      <c r="O274" s="1">
        <f ca="1">IFERROR(__xludf.DUMMYFUNCTION("""COMPUTED_VALUE"""),321)</f>
        <v>321</v>
      </c>
      <c r="P274" s="1">
        <f ca="1">IFERROR(__xludf.DUMMYFUNCTION("""COMPUTED_VALUE"""),94.4)</f>
        <v>94.4</v>
      </c>
      <c r="Q274" s="1">
        <f ca="1">IFERROR(__xludf.DUMMYFUNCTION("""COMPUTED_VALUE"""),322)</f>
        <v>322</v>
      </c>
      <c r="R274" s="1">
        <f ca="1">IFERROR(__xludf.DUMMYFUNCTION("""COMPUTED_VALUE"""),107.4)</f>
        <v>107.4</v>
      </c>
      <c r="S274" s="1">
        <f ca="1">IFERROR(__xludf.DUMMYFUNCTION("""COMPUTED_VALUE"""),314)</f>
        <v>314</v>
      </c>
      <c r="T274" s="1">
        <f ca="1">IFERROR(__xludf.DUMMYFUNCTION("""COMPUTED_VALUE"""),-8.09)</f>
        <v>-8.09</v>
      </c>
      <c r="U274" s="1">
        <f ca="1">IFERROR(__xludf.DUMMYFUNCTION("""COMPUTED_VALUE"""),308)</f>
        <v>308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IFERROR(__xludf.DUMMYFUNCTION("""COMPUTED_VALUE"""),"Coastal Carolina")</f>
        <v>Coastal Carolina</v>
      </c>
      <c r="C275" s="1" t="str">
        <f ca="1">IFERROR(__xludf.DUMMYFUNCTION("""COMPUTED_VALUE"""),"BSth")</f>
        <v>BSth</v>
      </c>
      <c r="D275" s="2">
        <f ca="1">IFERROR(__xludf.DUMMYFUNCTION("""COMPUTED_VALUE"""),44880)</f>
        <v>44880</v>
      </c>
      <c r="E275" s="1">
        <f ca="1">IFERROR(__xludf.DUMMYFUNCTION("""COMPUTED_VALUE"""),-10.47)</f>
        <v>-10.47</v>
      </c>
      <c r="F275" s="1">
        <f ca="1">IFERROR(__xludf.DUMMYFUNCTION("""COMPUTED_VALUE"""),98.4)</f>
        <v>98.4</v>
      </c>
      <c r="G275" s="1">
        <f ca="1">IFERROR(__xludf.DUMMYFUNCTION("""COMPUTED_VALUE"""),235)</f>
        <v>235</v>
      </c>
      <c r="H275" s="1">
        <f ca="1">IFERROR(__xludf.DUMMYFUNCTION("""COMPUTED_VALUE"""),108.8)</f>
        <v>108.8</v>
      </c>
      <c r="I275" s="1">
        <f ca="1">IFERROR(__xludf.DUMMYFUNCTION("""COMPUTED_VALUE"""),283)</f>
        <v>283</v>
      </c>
      <c r="J275" s="1">
        <f ca="1">IFERROR(__xludf.DUMMYFUNCTION("""COMPUTED_VALUE"""),65.3)</f>
        <v>65.3</v>
      </c>
      <c r="K275" s="1">
        <f ca="1">IFERROR(__xludf.DUMMYFUNCTION("""COMPUTED_VALUE"""),241)</f>
        <v>241</v>
      </c>
      <c r="L275" s="1">
        <f ca="1">IFERROR(__xludf.DUMMYFUNCTION("""COMPUTED_VALUE"""),-0.019)</f>
        <v>-1.9E-2</v>
      </c>
      <c r="M275" s="1">
        <f ca="1">IFERROR(__xludf.DUMMYFUNCTION("""COMPUTED_VALUE"""),214)</f>
        <v>214</v>
      </c>
      <c r="N275" s="1">
        <f ca="1">IFERROR(__xludf.DUMMYFUNCTION("""COMPUTED_VALUE"""),-9.23)</f>
        <v>-9.23</v>
      </c>
      <c r="O275" s="1">
        <f ca="1">IFERROR(__xludf.DUMMYFUNCTION("""COMPUTED_VALUE"""),302)</f>
        <v>302</v>
      </c>
      <c r="P275" s="1">
        <f ca="1">IFERROR(__xludf.DUMMYFUNCTION("""COMPUTED_VALUE"""),96.7)</f>
        <v>96.7</v>
      </c>
      <c r="Q275" s="1">
        <f ca="1">IFERROR(__xludf.DUMMYFUNCTION("""COMPUTED_VALUE"""),303)</f>
        <v>303</v>
      </c>
      <c r="R275" s="1">
        <f ca="1">IFERROR(__xludf.DUMMYFUNCTION("""COMPUTED_VALUE"""),105.9)</f>
        <v>105.9</v>
      </c>
      <c r="S275" s="1">
        <f ca="1">IFERROR(__xludf.DUMMYFUNCTION("""COMPUTED_VALUE"""),290)</f>
        <v>290</v>
      </c>
      <c r="T275" s="1" t="str">
        <f ca="1">IFERROR(__xludf.DUMMYFUNCTION("""COMPUTED_VALUE"""),"+0.46")</f>
        <v>+0.46</v>
      </c>
      <c r="U275" s="1">
        <f ca="1">IFERROR(__xludf.DUMMYFUNCTION("""COMPUTED_VALUE"""),144)</f>
        <v>144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IFERROR(__xludf.DUMMYFUNCTION("""COMPUTED_VALUE"""),"Southeastern Louisiana")</f>
        <v>Southeastern Louisiana</v>
      </c>
      <c r="C276" s="1" t="str">
        <f ca="1">IFERROR(__xludf.DUMMYFUNCTION("""COMPUTED_VALUE"""),"Slnd")</f>
        <v>Slnd</v>
      </c>
      <c r="D276" s="2">
        <f ca="1">IFERROR(__xludf.DUMMYFUNCTION("""COMPUTED_VALUE"""),44820)</f>
        <v>44820</v>
      </c>
      <c r="E276" s="1">
        <f ca="1">IFERROR(__xludf.DUMMYFUNCTION("""COMPUTED_VALUE"""),-10.54)</f>
        <v>-10.54</v>
      </c>
      <c r="F276" s="1">
        <f ca="1">IFERROR(__xludf.DUMMYFUNCTION("""COMPUTED_VALUE"""),95.7)</f>
        <v>95.7</v>
      </c>
      <c r="G276" s="1">
        <f ca="1">IFERROR(__xludf.DUMMYFUNCTION("""COMPUTED_VALUE"""),266)</f>
        <v>266</v>
      </c>
      <c r="H276" s="1">
        <f ca="1">IFERROR(__xludf.DUMMYFUNCTION("""COMPUTED_VALUE"""),106.2)</f>
        <v>106.2</v>
      </c>
      <c r="I276" s="1">
        <f ca="1">IFERROR(__xludf.DUMMYFUNCTION("""COMPUTED_VALUE"""),242)</f>
        <v>242</v>
      </c>
      <c r="J276" s="1">
        <f ca="1">IFERROR(__xludf.DUMMYFUNCTION("""COMPUTED_VALUE"""),65.9)</f>
        <v>65.900000000000006</v>
      </c>
      <c r="K276" s="1">
        <f ca="1">IFERROR(__xludf.DUMMYFUNCTION("""COMPUTED_VALUE"""),210)</f>
        <v>210</v>
      </c>
      <c r="L276" s="1" t="str">
        <f ca="1">IFERROR(__xludf.DUMMYFUNCTION("""COMPUTED_VALUE"""),"+.024")</f>
        <v>+.024</v>
      </c>
      <c r="M276" s="1">
        <f ca="1">IFERROR(__xludf.DUMMYFUNCTION("""COMPUTED_VALUE"""),103)</f>
        <v>103</v>
      </c>
      <c r="N276" s="1">
        <f ca="1">IFERROR(__xludf.DUMMYFUNCTION("""COMPUTED_VALUE"""),-4.77)</f>
        <v>-4.7699999999999996</v>
      </c>
      <c r="O276" s="1">
        <f ca="1">IFERROR(__xludf.DUMMYFUNCTION("""COMPUTED_VALUE"""),245)</f>
        <v>245</v>
      </c>
      <c r="P276" s="1">
        <f ca="1">IFERROR(__xludf.DUMMYFUNCTION("""COMPUTED_VALUE"""),98.1)</f>
        <v>98.1</v>
      </c>
      <c r="Q276" s="1">
        <f ca="1">IFERROR(__xludf.DUMMYFUNCTION("""COMPUTED_VALUE"""),277)</f>
        <v>277</v>
      </c>
      <c r="R276" s="1">
        <f ca="1">IFERROR(__xludf.DUMMYFUNCTION("""COMPUTED_VALUE"""),102.8)</f>
        <v>102.8</v>
      </c>
      <c r="S276" s="1">
        <f ca="1">IFERROR(__xludf.DUMMYFUNCTION("""COMPUTED_VALUE"""),174)</f>
        <v>174</v>
      </c>
      <c r="T276" s="1" t="str">
        <f ca="1">IFERROR(__xludf.DUMMYFUNCTION("""COMPUTED_VALUE"""),"+13.01")</f>
        <v>+13.01</v>
      </c>
      <c r="U276" s="1">
        <f ca="1">IFERROR(__xludf.DUMMYFUNCTION("""COMPUTED_VALUE"""),5)</f>
        <v>5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IFERROR(__xludf.DUMMYFUNCTION("""COMPUTED_VALUE"""),"Jacksonville")</f>
        <v>Jacksonville</v>
      </c>
      <c r="C277" s="1" t="str">
        <f ca="1">IFERROR(__xludf.DUMMYFUNCTION("""COMPUTED_VALUE"""),"ASun")</f>
        <v>ASun</v>
      </c>
      <c r="D277" s="2">
        <f ca="1">IFERROR(__xludf.DUMMYFUNCTION("""COMPUTED_VALUE"""),44911)</f>
        <v>44911</v>
      </c>
      <c r="E277" s="1">
        <f ca="1">IFERROR(__xludf.DUMMYFUNCTION("""COMPUTED_VALUE"""),-10.57)</f>
        <v>-10.57</v>
      </c>
      <c r="F277" s="1">
        <f ca="1">IFERROR(__xludf.DUMMYFUNCTION("""COMPUTED_VALUE"""),93.4)</f>
        <v>93.4</v>
      </c>
      <c r="G277" s="1">
        <f ca="1">IFERROR(__xludf.DUMMYFUNCTION("""COMPUTED_VALUE"""),286)</f>
        <v>286</v>
      </c>
      <c r="H277" s="1">
        <f ca="1">IFERROR(__xludf.DUMMYFUNCTION("""COMPUTED_VALUE"""),104)</f>
        <v>104</v>
      </c>
      <c r="I277" s="1">
        <f ca="1">IFERROR(__xludf.DUMMYFUNCTION("""COMPUTED_VALUE"""),193)</f>
        <v>193</v>
      </c>
      <c r="J277" s="1">
        <f ca="1">IFERROR(__xludf.DUMMYFUNCTION("""COMPUTED_VALUE"""),66.3)</f>
        <v>66.3</v>
      </c>
      <c r="K277" s="1">
        <f ca="1">IFERROR(__xludf.DUMMYFUNCTION("""COMPUTED_VALUE"""),194)</f>
        <v>194</v>
      </c>
      <c r="L277" s="1" t="str">
        <f ca="1">IFERROR(__xludf.DUMMYFUNCTION("""COMPUTED_VALUE"""),"+.031")</f>
        <v>+.031</v>
      </c>
      <c r="M277" s="1">
        <f ca="1">IFERROR(__xludf.DUMMYFUNCTION("""COMPUTED_VALUE"""),89)</f>
        <v>89</v>
      </c>
      <c r="N277" s="1">
        <f ca="1">IFERROR(__xludf.DUMMYFUNCTION("""COMPUTED_VALUE"""),-5.84)</f>
        <v>-5.84</v>
      </c>
      <c r="O277" s="1">
        <f ca="1">IFERROR(__xludf.DUMMYFUNCTION("""COMPUTED_VALUE"""),264)</f>
        <v>264</v>
      </c>
      <c r="P277" s="1">
        <f ca="1">IFERROR(__xludf.DUMMYFUNCTION("""COMPUTED_VALUE"""),98.8)</f>
        <v>98.8</v>
      </c>
      <c r="Q277" s="1">
        <f ca="1">IFERROR(__xludf.DUMMYFUNCTION("""COMPUTED_VALUE"""),263)</f>
        <v>263</v>
      </c>
      <c r="R277" s="1">
        <f ca="1">IFERROR(__xludf.DUMMYFUNCTION("""COMPUTED_VALUE"""),104.7)</f>
        <v>104.7</v>
      </c>
      <c r="S277" s="1">
        <f ca="1">IFERROR(__xludf.DUMMYFUNCTION("""COMPUTED_VALUE"""),259)</f>
        <v>259</v>
      </c>
      <c r="T277" s="1">
        <f ca="1">IFERROR(__xludf.DUMMYFUNCTION("""COMPUTED_VALUE"""),-5.86)</f>
        <v>-5.86</v>
      </c>
      <c r="U277" s="1">
        <f ca="1">IFERROR(__xludf.DUMMYFUNCTION("""COMPUTED_VALUE"""),289)</f>
        <v>289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IFERROR(__xludf.DUMMYFUNCTION("""COMPUTED_VALUE"""),"Delaware St.")</f>
        <v>Delaware St.</v>
      </c>
      <c r="C278" s="1" t="str">
        <f ca="1">IFERROR(__xludf.DUMMYFUNCTION("""COMPUTED_VALUE"""),"MEAC")</f>
        <v>MEAC</v>
      </c>
      <c r="D278" s="1" t="str">
        <f ca="1">IFERROR(__xludf.DUMMYFUNCTION("""COMPUTED_VALUE"""),"15-12")</f>
        <v>15-12</v>
      </c>
      <c r="E278" s="1">
        <f ca="1">IFERROR(__xludf.DUMMYFUNCTION("""COMPUTED_VALUE"""),-10.69)</f>
        <v>-10.69</v>
      </c>
      <c r="F278" s="1">
        <f ca="1">IFERROR(__xludf.DUMMYFUNCTION("""COMPUTED_VALUE"""),98.1)</f>
        <v>98.1</v>
      </c>
      <c r="G278" s="1">
        <f ca="1">IFERROR(__xludf.DUMMYFUNCTION("""COMPUTED_VALUE"""),242)</f>
        <v>242</v>
      </c>
      <c r="H278" s="1">
        <f ca="1">IFERROR(__xludf.DUMMYFUNCTION("""COMPUTED_VALUE"""),108.7)</f>
        <v>108.7</v>
      </c>
      <c r="I278" s="1">
        <f ca="1">IFERROR(__xludf.DUMMYFUNCTION("""COMPUTED_VALUE"""),282)</f>
        <v>282</v>
      </c>
      <c r="J278" s="1">
        <f ca="1">IFERROR(__xludf.DUMMYFUNCTION("""COMPUTED_VALUE"""),59.2)</f>
        <v>59.2</v>
      </c>
      <c r="K278" s="1">
        <f ca="1">IFERROR(__xludf.DUMMYFUNCTION("""COMPUTED_VALUE"""),322)</f>
        <v>322</v>
      </c>
      <c r="L278" s="1" t="str">
        <f ca="1">IFERROR(__xludf.DUMMYFUNCTION("""COMPUTED_VALUE"""),"+.068")</f>
        <v>+.068</v>
      </c>
      <c r="M278" s="1">
        <f ca="1">IFERROR(__xludf.DUMMYFUNCTION("""COMPUTED_VALUE"""),33)</f>
        <v>33</v>
      </c>
      <c r="N278" s="1">
        <f ca="1">IFERROR(__xludf.DUMMYFUNCTION("""COMPUTED_VALUE"""),-11.54)</f>
        <v>-11.54</v>
      </c>
      <c r="O278" s="1">
        <f ca="1">IFERROR(__xludf.DUMMYFUNCTION("""COMPUTED_VALUE"""),314)</f>
        <v>314</v>
      </c>
      <c r="P278" s="1">
        <f ca="1">IFERROR(__xludf.DUMMYFUNCTION("""COMPUTED_VALUE"""),96.5)</f>
        <v>96.5</v>
      </c>
      <c r="Q278" s="1">
        <f ca="1">IFERROR(__xludf.DUMMYFUNCTION("""COMPUTED_VALUE"""),307)</f>
        <v>307</v>
      </c>
      <c r="R278" s="1">
        <f ca="1">IFERROR(__xludf.DUMMYFUNCTION("""COMPUTED_VALUE"""),108.1)</f>
        <v>108.1</v>
      </c>
      <c r="S278" s="1">
        <f ca="1">IFERROR(__xludf.DUMMYFUNCTION("""COMPUTED_VALUE"""),323)</f>
        <v>323</v>
      </c>
      <c r="T278" s="1" t="str">
        <f ca="1">IFERROR(__xludf.DUMMYFUNCTION("""COMPUTED_VALUE"""),"+8.90")</f>
        <v>+8.90</v>
      </c>
      <c r="U278" s="1">
        <f ca="1">IFERROR(__xludf.DUMMYFUNCTION("""COMPUTED_VALUE"""),21)</f>
        <v>21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IFERROR(__xludf.DUMMYFUNCTION("""COMPUTED_VALUE"""),"Southern Utah")</f>
        <v>Southern Utah</v>
      </c>
      <c r="C279" s="1" t="str">
        <f ca="1">IFERROR(__xludf.DUMMYFUNCTION("""COMPUTED_VALUE"""),"MCon")</f>
        <v>MCon</v>
      </c>
      <c r="D279" s="2">
        <f ca="1">IFERROR(__xludf.DUMMYFUNCTION("""COMPUTED_VALUE"""),44821)</f>
        <v>44821</v>
      </c>
      <c r="E279" s="1">
        <f ca="1">IFERROR(__xludf.DUMMYFUNCTION("""COMPUTED_VALUE"""),-10.77)</f>
        <v>-10.77</v>
      </c>
      <c r="F279" s="1">
        <f ca="1">IFERROR(__xludf.DUMMYFUNCTION("""COMPUTED_VALUE"""),101.2)</f>
        <v>101.2</v>
      </c>
      <c r="G279" s="1">
        <f ca="1">IFERROR(__xludf.DUMMYFUNCTION("""COMPUTED_VALUE"""),188)</f>
        <v>188</v>
      </c>
      <c r="H279" s="1">
        <f ca="1">IFERROR(__xludf.DUMMYFUNCTION("""COMPUTED_VALUE"""),111.9)</f>
        <v>111.9</v>
      </c>
      <c r="I279" s="1">
        <f ca="1">IFERROR(__xludf.DUMMYFUNCTION("""COMPUTED_VALUE"""),311)</f>
        <v>311</v>
      </c>
      <c r="J279" s="1">
        <f ca="1">IFERROR(__xludf.DUMMYFUNCTION("""COMPUTED_VALUE"""),64.2)</f>
        <v>64.2</v>
      </c>
      <c r="K279" s="1">
        <f ca="1">IFERROR(__xludf.DUMMYFUNCTION("""COMPUTED_VALUE"""),278)</f>
        <v>278</v>
      </c>
      <c r="L279" s="1" t="str">
        <f ca="1">IFERROR(__xludf.DUMMYFUNCTION("""COMPUTED_VALUE"""),"+.005")</f>
        <v>+.005</v>
      </c>
      <c r="M279" s="1">
        <f ca="1">IFERROR(__xludf.DUMMYFUNCTION("""COMPUTED_VALUE"""),149)</f>
        <v>149</v>
      </c>
      <c r="N279" s="1">
        <f ca="1">IFERROR(__xludf.DUMMYFUNCTION("""COMPUTED_VALUE"""),-3.85)</f>
        <v>-3.85</v>
      </c>
      <c r="O279" s="1">
        <f ca="1">IFERROR(__xludf.DUMMYFUNCTION("""COMPUTED_VALUE"""),235)</f>
        <v>235</v>
      </c>
      <c r="P279" s="1">
        <f ca="1">IFERROR(__xludf.DUMMYFUNCTION("""COMPUTED_VALUE"""),101)</f>
        <v>101</v>
      </c>
      <c r="Q279" s="1">
        <f ca="1">IFERROR(__xludf.DUMMYFUNCTION("""COMPUTED_VALUE"""),199)</f>
        <v>199</v>
      </c>
      <c r="R279" s="1">
        <f ca="1">IFERROR(__xludf.DUMMYFUNCTION("""COMPUTED_VALUE"""),104.9)</f>
        <v>104.9</v>
      </c>
      <c r="S279" s="1">
        <f ca="1">IFERROR(__xludf.DUMMYFUNCTION("""COMPUTED_VALUE"""),268)</f>
        <v>268</v>
      </c>
      <c r="T279" s="1">
        <f ca="1">IFERROR(__xludf.DUMMYFUNCTION("""COMPUTED_VALUE"""),-0.77)</f>
        <v>-0.77</v>
      </c>
      <c r="U279" s="1">
        <f ca="1">IFERROR(__xludf.DUMMYFUNCTION("""COMPUTED_VALUE"""),172)</f>
        <v>172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IFERROR(__xludf.DUMMYFUNCTION("""COMPUTED_VALUE"""),"Indiana St.")</f>
        <v>Indiana St.</v>
      </c>
      <c r="C280" s="1" t="str">
        <f ca="1">IFERROR(__xludf.DUMMYFUNCTION("""COMPUTED_VALUE"""),"MVC")</f>
        <v>MVC</v>
      </c>
      <c r="D280" s="2">
        <f ca="1">IFERROR(__xludf.DUMMYFUNCTION("""COMPUTED_VALUE"""),44766)</f>
        <v>44766</v>
      </c>
      <c r="E280" s="1">
        <f ca="1">IFERROR(__xludf.DUMMYFUNCTION("""COMPUTED_VALUE"""),-10.79)</f>
        <v>-10.79</v>
      </c>
      <c r="F280" s="1">
        <f ca="1">IFERROR(__xludf.DUMMYFUNCTION("""COMPUTED_VALUE"""),90.9)</f>
        <v>90.9</v>
      </c>
      <c r="G280" s="1">
        <f ca="1">IFERROR(__xludf.DUMMYFUNCTION("""COMPUTED_VALUE"""),304)</f>
        <v>304</v>
      </c>
      <c r="H280" s="1">
        <f ca="1">IFERROR(__xludf.DUMMYFUNCTION("""COMPUTED_VALUE"""),101.7)</f>
        <v>101.7</v>
      </c>
      <c r="I280" s="1">
        <f ca="1">IFERROR(__xludf.DUMMYFUNCTION("""COMPUTED_VALUE"""),155)</f>
        <v>155</v>
      </c>
      <c r="J280" s="1">
        <f ca="1">IFERROR(__xludf.DUMMYFUNCTION("""COMPUTED_VALUE"""),62.1)</f>
        <v>62.1</v>
      </c>
      <c r="K280" s="1">
        <f ca="1">IFERROR(__xludf.DUMMYFUNCTION("""COMPUTED_VALUE"""),305)</f>
        <v>305</v>
      </c>
      <c r="L280" s="1">
        <f ca="1">IFERROR(__xludf.DUMMYFUNCTION("""COMPUTED_VALUE"""),-0.028)</f>
        <v>-2.8000000000000001E-2</v>
      </c>
      <c r="M280" s="1">
        <f ca="1">IFERROR(__xludf.DUMMYFUNCTION("""COMPUTED_VALUE"""),238)</f>
        <v>238</v>
      </c>
      <c r="N280" s="1" t="str">
        <f ca="1">IFERROR(__xludf.DUMMYFUNCTION("""COMPUTED_VALUE"""),"+2.49")</f>
        <v>+2.49</v>
      </c>
      <c r="O280" s="1">
        <f ca="1">IFERROR(__xludf.DUMMYFUNCTION("""COMPUTED_VALUE"""),115)</f>
        <v>115</v>
      </c>
      <c r="P280" s="1">
        <f ca="1">IFERROR(__xludf.DUMMYFUNCTION("""COMPUTED_VALUE"""),104.9)</f>
        <v>104.9</v>
      </c>
      <c r="Q280" s="1">
        <f ca="1">IFERROR(__xludf.DUMMYFUNCTION("""COMPUTED_VALUE"""),76)</f>
        <v>76</v>
      </c>
      <c r="R280" s="1">
        <f ca="1">IFERROR(__xludf.DUMMYFUNCTION("""COMPUTED_VALUE"""),102.5)</f>
        <v>102.5</v>
      </c>
      <c r="S280" s="1">
        <f ca="1">IFERROR(__xludf.DUMMYFUNCTION("""COMPUTED_VALUE"""),154)</f>
        <v>154</v>
      </c>
      <c r="T280" s="1" t="str">
        <f ca="1">IFERROR(__xludf.DUMMYFUNCTION("""COMPUTED_VALUE"""),"+2.10")</f>
        <v>+2.10</v>
      </c>
      <c r="U280" s="1">
        <f ca="1">IFERROR(__xludf.DUMMYFUNCTION("""COMPUTED_VALUE"""),106)</f>
        <v>106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IFERROR(__xludf.DUMMYFUNCTION("""COMPUTED_VALUE"""),"Jackson St.")</f>
        <v>Jackson St.</v>
      </c>
      <c r="C281" s="1" t="str">
        <f ca="1">IFERROR(__xludf.DUMMYFUNCTION("""COMPUTED_VALUE"""),"SWAC")</f>
        <v>SWAC</v>
      </c>
      <c r="D281" s="2">
        <f ca="1">IFERROR(__xludf.DUMMYFUNCTION("""COMPUTED_VALUE"""),44852)</f>
        <v>44852</v>
      </c>
      <c r="E281" s="1">
        <f ca="1">IFERROR(__xludf.DUMMYFUNCTION("""COMPUTED_VALUE"""),-10.84)</f>
        <v>-10.84</v>
      </c>
      <c r="F281" s="1">
        <f ca="1">IFERROR(__xludf.DUMMYFUNCTION("""COMPUTED_VALUE"""),94)</f>
        <v>94</v>
      </c>
      <c r="G281" s="1">
        <f ca="1">IFERROR(__xludf.DUMMYFUNCTION("""COMPUTED_VALUE"""),281)</f>
        <v>281</v>
      </c>
      <c r="H281" s="1">
        <f ca="1">IFERROR(__xludf.DUMMYFUNCTION("""COMPUTED_VALUE"""),104.9)</f>
        <v>104.9</v>
      </c>
      <c r="I281" s="1">
        <f ca="1">IFERROR(__xludf.DUMMYFUNCTION("""COMPUTED_VALUE"""),216)</f>
        <v>216</v>
      </c>
      <c r="J281" s="1">
        <f ca="1">IFERROR(__xludf.DUMMYFUNCTION("""COMPUTED_VALUE"""),71.9)</f>
        <v>71.900000000000006</v>
      </c>
      <c r="K281" s="1">
        <f ca="1">IFERROR(__xludf.DUMMYFUNCTION("""COMPUTED_VALUE"""),18)</f>
        <v>18</v>
      </c>
      <c r="L281" s="1">
        <f ca="1">IFERROR(__xludf.DUMMYFUNCTION("""COMPUTED_VALUE"""),-0.034)</f>
        <v>-3.4000000000000002E-2</v>
      </c>
      <c r="M281" s="1">
        <f ca="1">IFERROR(__xludf.DUMMYFUNCTION("""COMPUTED_VALUE"""),260)</f>
        <v>260</v>
      </c>
      <c r="N281" s="1">
        <f ca="1">IFERROR(__xludf.DUMMYFUNCTION("""COMPUTED_VALUE"""),-7.69)</f>
        <v>-7.69</v>
      </c>
      <c r="O281" s="1">
        <f ca="1">IFERROR(__xludf.DUMMYFUNCTION("""COMPUTED_VALUE"""),288)</f>
        <v>288</v>
      </c>
      <c r="P281" s="1">
        <f ca="1">IFERROR(__xludf.DUMMYFUNCTION("""COMPUTED_VALUE"""),96.7)</f>
        <v>96.7</v>
      </c>
      <c r="Q281" s="1">
        <f ca="1">IFERROR(__xludf.DUMMYFUNCTION("""COMPUTED_VALUE"""),302)</f>
        <v>302</v>
      </c>
      <c r="R281" s="1">
        <f ca="1">IFERROR(__xludf.DUMMYFUNCTION("""COMPUTED_VALUE"""),104.4)</f>
        <v>104.4</v>
      </c>
      <c r="S281" s="1">
        <f ca="1">IFERROR(__xludf.DUMMYFUNCTION("""COMPUTED_VALUE"""),244)</f>
        <v>244</v>
      </c>
      <c r="T281" s="1" t="str">
        <f ca="1">IFERROR(__xludf.DUMMYFUNCTION("""COMPUTED_VALUE"""),"+8.36")</f>
        <v>+8.36</v>
      </c>
      <c r="U281" s="1">
        <f ca="1">IFERROR(__xludf.DUMMYFUNCTION("""COMPUTED_VALUE"""),24)</f>
        <v>24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IFERROR(__xludf.DUMMYFUNCTION("""COMPUTED_VALUE"""),"UC Riverside")</f>
        <v>UC Riverside</v>
      </c>
      <c r="C282" s="1" t="str">
        <f ca="1">IFERROR(__xludf.DUMMYFUNCTION("""COMPUTED_VALUE"""),"BW")</f>
        <v>BW</v>
      </c>
      <c r="D282" s="2">
        <f ca="1">IFERROR(__xludf.DUMMYFUNCTION("""COMPUTED_VALUE"""),44699)</f>
        <v>44699</v>
      </c>
      <c r="E282" s="1">
        <f ca="1">IFERROR(__xludf.DUMMYFUNCTION("""COMPUTED_VALUE"""),-10.94)</f>
        <v>-10.94</v>
      </c>
      <c r="F282" s="1">
        <f ca="1">IFERROR(__xludf.DUMMYFUNCTION("""COMPUTED_VALUE"""),98.8)</f>
        <v>98.8</v>
      </c>
      <c r="G282" s="1">
        <f ca="1">IFERROR(__xludf.DUMMYFUNCTION("""COMPUTED_VALUE"""),227)</f>
        <v>227</v>
      </c>
      <c r="H282" s="1">
        <f ca="1">IFERROR(__xludf.DUMMYFUNCTION("""COMPUTED_VALUE"""),109.8)</f>
        <v>109.8</v>
      </c>
      <c r="I282" s="1">
        <f ca="1">IFERROR(__xludf.DUMMYFUNCTION("""COMPUTED_VALUE"""),292)</f>
        <v>292</v>
      </c>
      <c r="J282" s="1">
        <f ca="1">IFERROR(__xludf.DUMMYFUNCTION("""COMPUTED_VALUE"""),67.5)</f>
        <v>67.5</v>
      </c>
      <c r="K282" s="1">
        <f ca="1">IFERROR(__xludf.DUMMYFUNCTION("""COMPUTED_VALUE"""),146)</f>
        <v>146</v>
      </c>
      <c r="L282" s="1" t="str">
        <f ca="1">IFERROR(__xludf.DUMMYFUNCTION("""COMPUTED_VALUE"""),"+.023")</f>
        <v>+.023</v>
      </c>
      <c r="M282" s="1">
        <f ca="1">IFERROR(__xludf.DUMMYFUNCTION("""COMPUTED_VALUE"""),109)</f>
        <v>109</v>
      </c>
      <c r="N282" s="1" t="str">
        <f ca="1">IFERROR(__xludf.DUMMYFUNCTION("""COMPUTED_VALUE"""),"+0.75")</f>
        <v>+0.75</v>
      </c>
      <c r="O282" s="1">
        <f ca="1">IFERROR(__xludf.DUMMYFUNCTION("""COMPUTED_VALUE"""),143)</f>
        <v>143</v>
      </c>
      <c r="P282" s="1">
        <f ca="1">IFERROR(__xludf.DUMMYFUNCTION("""COMPUTED_VALUE"""),102)</f>
        <v>102</v>
      </c>
      <c r="Q282" s="1">
        <f ca="1">IFERROR(__xludf.DUMMYFUNCTION("""COMPUTED_VALUE"""),174)</f>
        <v>174</v>
      </c>
      <c r="R282" s="1">
        <f ca="1">IFERROR(__xludf.DUMMYFUNCTION("""COMPUTED_VALUE"""),101.3)</f>
        <v>101.3</v>
      </c>
      <c r="S282" s="1">
        <f ca="1">IFERROR(__xludf.DUMMYFUNCTION("""COMPUTED_VALUE"""),111)</f>
        <v>111</v>
      </c>
      <c r="T282" s="1" t="str">
        <f ca="1">IFERROR(__xludf.DUMMYFUNCTION("""COMPUTED_VALUE"""),"+10.55")</f>
        <v>+10.55</v>
      </c>
      <c r="U282" s="1">
        <f ca="1">IFERROR(__xludf.DUMMYFUNCTION("""COMPUTED_VALUE"""),16)</f>
        <v>16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IFERROR(__xludf.DUMMYFUNCTION("""COMPUTED_VALUE"""),"Eastern Kentucky")</f>
        <v>Eastern Kentucky</v>
      </c>
      <c r="C283" s="1" t="str">
        <f ca="1">IFERROR(__xludf.DUMMYFUNCTION("""COMPUTED_VALUE"""),"OVC")</f>
        <v>OVC</v>
      </c>
      <c r="D283" s="2">
        <f ca="1">IFERROR(__xludf.DUMMYFUNCTION("""COMPUTED_VALUE"""),44759)</f>
        <v>44759</v>
      </c>
      <c r="E283" s="1">
        <f ca="1">IFERROR(__xludf.DUMMYFUNCTION("""COMPUTED_VALUE"""),-10.97)</f>
        <v>-10.97</v>
      </c>
      <c r="F283" s="1">
        <f ca="1">IFERROR(__xludf.DUMMYFUNCTION("""COMPUTED_VALUE"""),99.5)</f>
        <v>99.5</v>
      </c>
      <c r="G283" s="1">
        <f ca="1">IFERROR(__xludf.DUMMYFUNCTION("""COMPUTED_VALUE"""),213)</f>
        <v>213</v>
      </c>
      <c r="H283" s="1">
        <f ca="1">IFERROR(__xludf.DUMMYFUNCTION("""COMPUTED_VALUE"""),110.4)</f>
        <v>110.4</v>
      </c>
      <c r="I283" s="1">
        <f ca="1">IFERROR(__xludf.DUMMYFUNCTION("""COMPUTED_VALUE"""),297)</f>
        <v>297</v>
      </c>
      <c r="J283" s="1">
        <f ca="1">IFERROR(__xludf.DUMMYFUNCTION("""COMPUTED_VALUE"""),71.3)</f>
        <v>71.3</v>
      </c>
      <c r="K283" s="1">
        <f ca="1">IFERROR(__xludf.DUMMYFUNCTION("""COMPUTED_VALUE"""),26)</f>
        <v>26</v>
      </c>
      <c r="L283" s="1">
        <f ca="1">IFERROR(__xludf.DUMMYFUNCTION("""COMPUTED_VALUE"""),-0.033)</f>
        <v>-3.3000000000000002E-2</v>
      </c>
      <c r="M283" s="1">
        <f ca="1">IFERROR(__xludf.DUMMYFUNCTION("""COMPUTED_VALUE"""),259)</f>
        <v>259</v>
      </c>
      <c r="N283" s="1">
        <f ca="1">IFERROR(__xludf.DUMMYFUNCTION("""COMPUTED_VALUE"""),-3.62)</f>
        <v>-3.62</v>
      </c>
      <c r="O283" s="1">
        <f ca="1">IFERROR(__xludf.DUMMYFUNCTION("""COMPUTED_VALUE"""),228)</f>
        <v>228</v>
      </c>
      <c r="P283" s="1">
        <f ca="1">IFERROR(__xludf.DUMMYFUNCTION("""COMPUTED_VALUE"""),102)</f>
        <v>102</v>
      </c>
      <c r="Q283" s="1">
        <f ca="1">IFERROR(__xludf.DUMMYFUNCTION("""COMPUTED_VALUE"""),178)</f>
        <v>178</v>
      </c>
      <c r="R283" s="1">
        <f ca="1">IFERROR(__xludf.DUMMYFUNCTION("""COMPUTED_VALUE"""),105.6)</f>
        <v>105.6</v>
      </c>
      <c r="S283" s="1">
        <f ca="1">IFERROR(__xludf.DUMMYFUNCTION("""COMPUTED_VALUE"""),285)</f>
        <v>285</v>
      </c>
      <c r="T283" s="1">
        <f ca="1">IFERROR(__xludf.DUMMYFUNCTION("""COMPUTED_VALUE"""),-4.86)</f>
        <v>-4.8600000000000003</v>
      </c>
      <c r="U283" s="1">
        <f ca="1">IFERROR(__xludf.DUMMYFUNCTION("""COMPUTED_VALUE"""),269)</f>
        <v>269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IFERROR(__xludf.DUMMYFUNCTION("""COMPUTED_VALUE"""),"Florida A&amp;M")</f>
        <v>Florida A&amp;M</v>
      </c>
      <c r="C284" s="1" t="str">
        <f ca="1">IFERROR(__xludf.DUMMYFUNCTION("""COMPUTED_VALUE"""),"MEAC")</f>
        <v>MEAC</v>
      </c>
      <c r="D284" s="1" t="str">
        <f ca="1">IFERROR(__xludf.DUMMYFUNCTION("""COMPUTED_VALUE"""),"17-12")</f>
        <v>17-12</v>
      </c>
      <c r="E284" s="1">
        <f ca="1">IFERROR(__xludf.DUMMYFUNCTION("""COMPUTED_VALUE"""),-10.99)</f>
        <v>-10.99</v>
      </c>
      <c r="F284" s="1">
        <f ca="1">IFERROR(__xludf.DUMMYFUNCTION("""COMPUTED_VALUE"""),98.1)</f>
        <v>98.1</v>
      </c>
      <c r="G284" s="1">
        <f ca="1">IFERROR(__xludf.DUMMYFUNCTION("""COMPUTED_VALUE"""),240)</f>
        <v>240</v>
      </c>
      <c r="H284" s="1">
        <f ca="1">IFERROR(__xludf.DUMMYFUNCTION("""COMPUTED_VALUE"""),109.1)</f>
        <v>109.1</v>
      </c>
      <c r="I284" s="1">
        <f ca="1">IFERROR(__xludf.DUMMYFUNCTION("""COMPUTED_VALUE"""),288)</f>
        <v>288</v>
      </c>
      <c r="J284" s="1">
        <f ca="1">IFERROR(__xludf.DUMMYFUNCTION("""COMPUTED_VALUE"""),67.5)</f>
        <v>67.5</v>
      </c>
      <c r="K284" s="1">
        <f ca="1">IFERROR(__xludf.DUMMYFUNCTION("""COMPUTED_VALUE"""),145)</f>
        <v>145</v>
      </c>
      <c r="L284" s="1" t="str">
        <f ca="1">IFERROR(__xludf.DUMMYFUNCTION("""COMPUTED_VALUE"""),"+.081")</f>
        <v>+.081</v>
      </c>
      <c r="M284" s="1">
        <f ca="1">IFERROR(__xludf.DUMMYFUNCTION("""COMPUTED_VALUE"""),19)</f>
        <v>19</v>
      </c>
      <c r="N284" s="1">
        <f ca="1">IFERROR(__xludf.DUMMYFUNCTION("""COMPUTED_VALUE"""),-13.96)</f>
        <v>-13.96</v>
      </c>
      <c r="O284" s="1">
        <f ca="1">IFERROR(__xludf.DUMMYFUNCTION("""COMPUTED_VALUE"""),324)</f>
        <v>324</v>
      </c>
      <c r="P284" s="1">
        <f ca="1">IFERROR(__xludf.DUMMYFUNCTION("""COMPUTED_VALUE"""),94.4)</f>
        <v>94.4</v>
      </c>
      <c r="Q284" s="1">
        <f ca="1">IFERROR(__xludf.DUMMYFUNCTION("""COMPUTED_VALUE"""),323)</f>
        <v>323</v>
      </c>
      <c r="R284" s="1">
        <f ca="1">IFERROR(__xludf.DUMMYFUNCTION("""COMPUTED_VALUE"""),108.3)</f>
        <v>108.3</v>
      </c>
      <c r="S284" s="1">
        <f ca="1">IFERROR(__xludf.DUMMYFUNCTION("""COMPUTED_VALUE"""),324)</f>
        <v>324</v>
      </c>
      <c r="T284" s="1">
        <f ca="1">IFERROR(__xludf.DUMMYFUNCTION("""COMPUTED_VALUE"""),-0.96)</f>
        <v>-0.96</v>
      </c>
      <c r="U284" s="1">
        <f ca="1">IFERROR(__xludf.DUMMYFUNCTION("""COMPUTED_VALUE"""),177)</f>
        <v>177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IFERROR(__xludf.DUMMYFUNCTION("""COMPUTED_VALUE"""),"Stony Brook")</f>
        <v>Stony Brook</v>
      </c>
      <c r="C285" s="1" t="str">
        <f ca="1">IFERROR(__xludf.DUMMYFUNCTION("""COMPUTED_VALUE"""),"AE")</f>
        <v>AE</v>
      </c>
      <c r="D285" s="2">
        <f ca="1">IFERROR(__xludf.DUMMYFUNCTION("""COMPUTED_VALUE"""),44880)</f>
        <v>44880</v>
      </c>
      <c r="E285" s="1">
        <f ca="1">IFERROR(__xludf.DUMMYFUNCTION("""COMPUTED_VALUE"""),-11.06)</f>
        <v>-11.06</v>
      </c>
      <c r="F285" s="1">
        <f ca="1">IFERROR(__xludf.DUMMYFUNCTION("""COMPUTED_VALUE"""),95.5)</f>
        <v>95.5</v>
      </c>
      <c r="G285" s="1">
        <f ca="1">IFERROR(__xludf.DUMMYFUNCTION("""COMPUTED_VALUE"""),269)</f>
        <v>269</v>
      </c>
      <c r="H285" s="1">
        <f ca="1">IFERROR(__xludf.DUMMYFUNCTION("""COMPUTED_VALUE"""),106.6)</f>
        <v>106.6</v>
      </c>
      <c r="I285" s="1">
        <f ca="1">IFERROR(__xludf.DUMMYFUNCTION("""COMPUTED_VALUE"""),245)</f>
        <v>245</v>
      </c>
      <c r="J285" s="1">
        <f ca="1">IFERROR(__xludf.DUMMYFUNCTION("""COMPUTED_VALUE"""),65.2)</f>
        <v>65.2</v>
      </c>
      <c r="K285" s="1">
        <f ca="1">IFERROR(__xludf.DUMMYFUNCTION("""COMPUTED_VALUE"""),248)</f>
        <v>248</v>
      </c>
      <c r="L285" s="1" t="str">
        <f ca="1">IFERROR(__xludf.DUMMYFUNCTION("""COMPUTED_VALUE"""),"+.044")</f>
        <v>+.044</v>
      </c>
      <c r="M285" s="1">
        <f ca="1">IFERROR(__xludf.DUMMYFUNCTION("""COMPUTED_VALUE"""),67)</f>
        <v>67</v>
      </c>
      <c r="N285" s="1">
        <f ca="1">IFERROR(__xludf.DUMMYFUNCTION("""COMPUTED_VALUE"""),-6.94)</f>
        <v>-6.94</v>
      </c>
      <c r="O285" s="1">
        <f ca="1">IFERROR(__xludf.DUMMYFUNCTION("""COMPUTED_VALUE"""),275)</f>
        <v>275</v>
      </c>
      <c r="P285" s="1">
        <f ca="1">IFERROR(__xludf.DUMMYFUNCTION("""COMPUTED_VALUE"""),97.6)</f>
        <v>97.6</v>
      </c>
      <c r="Q285" s="1">
        <f ca="1">IFERROR(__xludf.DUMMYFUNCTION("""COMPUTED_VALUE"""),289)</f>
        <v>289</v>
      </c>
      <c r="R285" s="1">
        <f ca="1">IFERROR(__xludf.DUMMYFUNCTION("""COMPUTED_VALUE"""),104.6)</f>
        <v>104.6</v>
      </c>
      <c r="S285" s="1">
        <f ca="1">IFERROR(__xludf.DUMMYFUNCTION("""COMPUTED_VALUE"""),254)</f>
        <v>254</v>
      </c>
      <c r="T285" s="1">
        <f ca="1">IFERROR(__xludf.DUMMYFUNCTION("""COMPUTED_VALUE"""),-8.11)</f>
        <v>-8.11</v>
      </c>
      <c r="U285" s="1">
        <f ca="1">IFERROR(__xludf.DUMMYFUNCTION("""COMPUTED_VALUE"""),309)</f>
        <v>309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IFERROR(__xludf.DUMMYFUNCTION("""COMPUTED_VALUE"""),"IPFW")</f>
        <v>IPFW</v>
      </c>
      <c r="C286" s="1" t="str">
        <f ca="1">IFERROR(__xludf.DUMMYFUNCTION("""COMPUTED_VALUE"""),"ind")</f>
        <v>ind</v>
      </c>
      <c r="D286" s="2">
        <f ca="1">IFERROR(__xludf.DUMMYFUNCTION("""COMPUTED_VALUE"""),44824)</f>
        <v>44824</v>
      </c>
      <c r="E286" s="1">
        <f ca="1">IFERROR(__xludf.DUMMYFUNCTION("""COMPUTED_VALUE"""),-11.14)</f>
        <v>-11.14</v>
      </c>
      <c r="F286" s="1">
        <f ca="1">IFERROR(__xludf.DUMMYFUNCTION("""COMPUTED_VALUE"""),95.8)</f>
        <v>95.8</v>
      </c>
      <c r="G286" s="1">
        <f ca="1">IFERROR(__xludf.DUMMYFUNCTION("""COMPUTED_VALUE"""),264)</f>
        <v>264</v>
      </c>
      <c r="H286" s="1">
        <f ca="1">IFERROR(__xludf.DUMMYFUNCTION("""COMPUTED_VALUE"""),106.9)</f>
        <v>106.9</v>
      </c>
      <c r="I286" s="1">
        <f ca="1">IFERROR(__xludf.DUMMYFUNCTION("""COMPUTED_VALUE"""),252)</f>
        <v>252</v>
      </c>
      <c r="J286" s="1">
        <f ca="1">IFERROR(__xludf.DUMMYFUNCTION("""COMPUTED_VALUE"""),68.6)</f>
        <v>68.599999999999994</v>
      </c>
      <c r="K286" s="1">
        <f ca="1">IFERROR(__xludf.DUMMYFUNCTION("""COMPUTED_VALUE"""),94)</f>
        <v>94</v>
      </c>
      <c r="L286" s="1" t="str">
        <f ca="1">IFERROR(__xludf.DUMMYFUNCTION("""COMPUTED_VALUE"""),"+.057")</f>
        <v>+.057</v>
      </c>
      <c r="M286" s="1">
        <f ca="1">IFERROR(__xludf.DUMMYFUNCTION("""COMPUTED_VALUE"""),46)</f>
        <v>46</v>
      </c>
      <c r="N286" s="1">
        <f ca="1">IFERROR(__xludf.DUMMYFUNCTION("""COMPUTED_VALUE"""),-1.19)</f>
        <v>-1.19</v>
      </c>
      <c r="O286" s="1">
        <f ca="1">IFERROR(__xludf.DUMMYFUNCTION("""COMPUTED_VALUE"""),177)</f>
        <v>177</v>
      </c>
      <c r="P286" s="1">
        <f ca="1">IFERROR(__xludf.DUMMYFUNCTION("""COMPUTED_VALUE"""),102.9)</f>
        <v>102.9</v>
      </c>
      <c r="Q286" s="1">
        <f ca="1">IFERROR(__xludf.DUMMYFUNCTION("""COMPUTED_VALUE"""),149)</f>
        <v>149</v>
      </c>
      <c r="R286" s="1">
        <f ca="1">IFERROR(__xludf.DUMMYFUNCTION("""COMPUTED_VALUE"""),104.1)</f>
        <v>104.1</v>
      </c>
      <c r="S286" s="1">
        <f ca="1">IFERROR(__xludf.DUMMYFUNCTION("""COMPUTED_VALUE"""),231)</f>
        <v>231</v>
      </c>
      <c r="T286" s="1" t="str">
        <f ca="1">IFERROR(__xludf.DUMMYFUNCTION("""COMPUTED_VALUE"""),"+0.83")</f>
        <v>+0.83</v>
      </c>
      <c r="U286" s="1">
        <f ca="1">IFERROR(__xludf.DUMMYFUNCTION("""COMPUTED_VALUE"""),133)</f>
        <v>133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IFERROR(__xludf.DUMMYFUNCTION("""COMPUTED_VALUE"""),"William &amp; Mary")</f>
        <v>William &amp; Mary</v>
      </c>
      <c r="C287" s="1" t="str">
        <f ca="1">IFERROR(__xludf.DUMMYFUNCTION("""COMPUTED_VALUE"""),"CAA")</f>
        <v>CAA</v>
      </c>
      <c r="D287" s="2">
        <f ca="1">IFERROR(__xludf.DUMMYFUNCTION("""COMPUTED_VALUE"""),44911)</f>
        <v>44911</v>
      </c>
      <c r="E287" s="1">
        <f ca="1">IFERROR(__xludf.DUMMYFUNCTION("""COMPUTED_VALUE"""),-11.16)</f>
        <v>-11.16</v>
      </c>
      <c r="F287" s="1">
        <f ca="1">IFERROR(__xludf.DUMMYFUNCTION("""COMPUTED_VALUE"""),100.7)</f>
        <v>100.7</v>
      </c>
      <c r="G287" s="1">
        <f ca="1">IFERROR(__xludf.DUMMYFUNCTION("""COMPUTED_VALUE"""),195)</f>
        <v>195</v>
      </c>
      <c r="H287" s="1">
        <f ca="1">IFERROR(__xludf.DUMMYFUNCTION("""COMPUTED_VALUE"""),111.9)</f>
        <v>111.9</v>
      </c>
      <c r="I287" s="1">
        <f ca="1">IFERROR(__xludf.DUMMYFUNCTION("""COMPUTED_VALUE"""),310)</f>
        <v>310</v>
      </c>
      <c r="J287" s="1">
        <f ca="1">IFERROR(__xludf.DUMMYFUNCTION("""COMPUTED_VALUE"""),62)</f>
        <v>62</v>
      </c>
      <c r="K287" s="1">
        <f ca="1">IFERROR(__xludf.DUMMYFUNCTION("""COMPUTED_VALUE"""),309)</f>
        <v>309</v>
      </c>
      <c r="L287" s="1" t="str">
        <f ca="1">IFERROR(__xludf.DUMMYFUNCTION("""COMPUTED_VALUE"""),"+.060")</f>
        <v>+.060</v>
      </c>
      <c r="M287" s="1">
        <f ca="1">IFERROR(__xludf.DUMMYFUNCTION("""COMPUTED_VALUE"""),44)</f>
        <v>44</v>
      </c>
      <c r="N287" s="1">
        <f ca="1">IFERROR(__xludf.DUMMYFUNCTION("""COMPUTED_VALUE"""),-5.87)</f>
        <v>-5.87</v>
      </c>
      <c r="O287" s="1">
        <f ca="1">IFERROR(__xludf.DUMMYFUNCTION("""COMPUTED_VALUE"""),265)</f>
        <v>265</v>
      </c>
      <c r="P287" s="1">
        <f ca="1">IFERROR(__xludf.DUMMYFUNCTION("""COMPUTED_VALUE"""),97.2)</f>
        <v>97.2</v>
      </c>
      <c r="Q287" s="1">
        <f ca="1">IFERROR(__xludf.DUMMYFUNCTION("""COMPUTED_VALUE"""),295)</f>
        <v>295</v>
      </c>
      <c r="R287" s="1">
        <f ca="1">IFERROR(__xludf.DUMMYFUNCTION("""COMPUTED_VALUE"""),103)</f>
        <v>103</v>
      </c>
      <c r="S287" s="1">
        <f ca="1">IFERROR(__xludf.DUMMYFUNCTION("""COMPUTED_VALUE"""),186)</f>
        <v>186</v>
      </c>
      <c r="T287" s="1">
        <f ca="1">IFERROR(__xludf.DUMMYFUNCTION("""COMPUTED_VALUE"""),-13.67)</f>
        <v>-13.67</v>
      </c>
      <c r="U287" s="1">
        <f ca="1">IFERROR(__xludf.DUMMYFUNCTION("""COMPUTED_VALUE"""),326)</f>
        <v>326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IFERROR(__xludf.DUMMYFUNCTION("""COMPUTED_VALUE"""),"UMKC")</f>
        <v>UMKC</v>
      </c>
      <c r="C288" s="1" t="str">
        <f ca="1">IFERROR(__xludf.DUMMYFUNCTION("""COMPUTED_VALUE"""),"MCon")</f>
        <v>MCon</v>
      </c>
      <c r="D288" s="2">
        <f ca="1">IFERROR(__xludf.DUMMYFUNCTION("""COMPUTED_VALUE"""),44824)</f>
        <v>44824</v>
      </c>
      <c r="E288" s="1">
        <f ca="1">IFERROR(__xludf.DUMMYFUNCTION("""COMPUTED_VALUE"""),-11.32)</f>
        <v>-11.32</v>
      </c>
      <c r="F288" s="1">
        <f ca="1">IFERROR(__xludf.DUMMYFUNCTION("""COMPUTED_VALUE"""),101.8)</f>
        <v>101.8</v>
      </c>
      <c r="G288" s="1">
        <f ca="1">IFERROR(__xludf.DUMMYFUNCTION("""COMPUTED_VALUE"""),170)</f>
        <v>170</v>
      </c>
      <c r="H288" s="1">
        <f ca="1">IFERROR(__xludf.DUMMYFUNCTION("""COMPUTED_VALUE"""),113.1)</f>
        <v>113.1</v>
      </c>
      <c r="I288" s="1">
        <f ca="1">IFERROR(__xludf.DUMMYFUNCTION("""COMPUTED_VALUE"""),316)</f>
        <v>316</v>
      </c>
      <c r="J288" s="1">
        <f ca="1">IFERROR(__xludf.DUMMYFUNCTION("""COMPUTED_VALUE"""),64.7)</f>
        <v>64.7</v>
      </c>
      <c r="K288" s="1">
        <f ca="1">IFERROR(__xludf.DUMMYFUNCTION("""COMPUTED_VALUE"""),267)</f>
        <v>267</v>
      </c>
      <c r="L288" s="1" t="str">
        <f ca="1">IFERROR(__xludf.DUMMYFUNCTION("""COMPUTED_VALUE"""),"+.005")</f>
        <v>+.005</v>
      </c>
      <c r="M288" s="1">
        <f ca="1">IFERROR(__xludf.DUMMYFUNCTION("""COMPUTED_VALUE"""),153)</f>
        <v>153</v>
      </c>
      <c r="N288" s="1">
        <f ca="1">IFERROR(__xludf.DUMMYFUNCTION("""COMPUTED_VALUE"""),-2.89)</f>
        <v>-2.89</v>
      </c>
      <c r="O288" s="1">
        <f ca="1">IFERROR(__xludf.DUMMYFUNCTION("""COMPUTED_VALUE"""),215)</f>
        <v>215</v>
      </c>
      <c r="P288" s="1">
        <f ca="1">IFERROR(__xludf.DUMMYFUNCTION("""COMPUTED_VALUE"""),100.9)</f>
        <v>100.9</v>
      </c>
      <c r="Q288" s="1">
        <f ca="1">IFERROR(__xludf.DUMMYFUNCTION("""COMPUTED_VALUE"""),205)</f>
        <v>205</v>
      </c>
      <c r="R288" s="1">
        <f ca="1">IFERROR(__xludf.DUMMYFUNCTION("""COMPUTED_VALUE"""),103.8)</f>
        <v>103.8</v>
      </c>
      <c r="S288" s="1">
        <f ca="1">IFERROR(__xludf.DUMMYFUNCTION("""COMPUTED_VALUE"""),212)</f>
        <v>212</v>
      </c>
      <c r="T288" s="1" t="str">
        <f ca="1">IFERROR(__xludf.DUMMYFUNCTION("""COMPUTED_VALUE"""),"+0.59")</f>
        <v>+0.59</v>
      </c>
      <c r="U288" s="1">
        <f ca="1">IFERROR(__xludf.DUMMYFUNCTION("""COMPUTED_VALUE"""),140)</f>
        <v>140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IFERROR(__xludf.DUMMYFUNCTION("""COMPUTED_VALUE"""),"Portland St.")</f>
        <v>Portland St.</v>
      </c>
      <c r="C289" s="1" t="str">
        <f ca="1">IFERROR(__xludf.DUMMYFUNCTION("""COMPUTED_VALUE"""),"BSky")</f>
        <v>BSky</v>
      </c>
      <c r="D289" s="2">
        <f ca="1">IFERROR(__xludf.DUMMYFUNCTION("""COMPUTED_VALUE"""),44672)</f>
        <v>44672</v>
      </c>
      <c r="E289" s="1">
        <f ca="1">IFERROR(__xludf.DUMMYFUNCTION("""COMPUTED_VALUE"""),-11.46)</f>
        <v>-11.46</v>
      </c>
      <c r="F289" s="1">
        <f ca="1">IFERROR(__xludf.DUMMYFUNCTION("""COMPUTED_VALUE"""),87.2)</f>
        <v>87.2</v>
      </c>
      <c r="G289" s="1">
        <f ca="1">IFERROR(__xludf.DUMMYFUNCTION("""COMPUTED_VALUE"""),319)</f>
        <v>319</v>
      </c>
      <c r="H289" s="1">
        <f ca="1">IFERROR(__xludf.DUMMYFUNCTION("""COMPUTED_VALUE"""),98.7)</f>
        <v>98.7</v>
      </c>
      <c r="I289" s="1">
        <f ca="1">IFERROR(__xludf.DUMMYFUNCTION("""COMPUTED_VALUE"""),98)</f>
        <v>98</v>
      </c>
      <c r="J289" s="1">
        <f ca="1">IFERROR(__xludf.DUMMYFUNCTION("""COMPUTED_VALUE"""),65.5)</f>
        <v>65.5</v>
      </c>
      <c r="K289" s="1">
        <f ca="1">IFERROR(__xludf.DUMMYFUNCTION("""COMPUTED_VALUE"""),238)</f>
        <v>238</v>
      </c>
      <c r="L289" s="1">
        <f ca="1">IFERROR(__xludf.DUMMYFUNCTION("""COMPUTED_VALUE"""),-0.047)</f>
        <v>-4.7E-2</v>
      </c>
      <c r="M289" s="1">
        <f ca="1">IFERROR(__xludf.DUMMYFUNCTION("""COMPUTED_VALUE"""),277)</f>
        <v>277</v>
      </c>
      <c r="N289" s="1" t="str">
        <f ca="1">IFERROR(__xludf.DUMMYFUNCTION("""COMPUTED_VALUE"""),"+0.50")</f>
        <v>+0.50</v>
      </c>
      <c r="O289" s="1">
        <f ca="1">IFERROR(__xludf.DUMMYFUNCTION("""COMPUTED_VALUE"""),145)</f>
        <v>145</v>
      </c>
      <c r="P289" s="1">
        <f ca="1">IFERROR(__xludf.DUMMYFUNCTION("""COMPUTED_VALUE"""),102.4)</f>
        <v>102.4</v>
      </c>
      <c r="Q289" s="1">
        <f ca="1">IFERROR(__xludf.DUMMYFUNCTION("""COMPUTED_VALUE"""),163)</f>
        <v>163</v>
      </c>
      <c r="R289" s="1">
        <f ca="1">IFERROR(__xludf.DUMMYFUNCTION("""COMPUTED_VALUE"""),101.9)</f>
        <v>101.9</v>
      </c>
      <c r="S289" s="1">
        <f ca="1">IFERROR(__xludf.DUMMYFUNCTION("""COMPUTED_VALUE"""),131)</f>
        <v>131</v>
      </c>
      <c r="T289" s="1" t="str">
        <f ca="1">IFERROR(__xludf.DUMMYFUNCTION("""COMPUTED_VALUE"""),"+3.46")</f>
        <v>+3.46</v>
      </c>
      <c r="U289" s="1">
        <f ca="1">IFERROR(__xludf.DUMMYFUNCTION("""COMPUTED_VALUE"""),74)</f>
        <v>74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IFERROR(__xludf.DUMMYFUNCTION("""COMPUTED_VALUE"""),"Howard")</f>
        <v>Howard</v>
      </c>
      <c r="C290" s="1" t="str">
        <f ca="1">IFERROR(__xludf.DUMMYFUNCTION("""COMPUTED_VALUE"""),"MEAC")</f>
        <v>MEAC</v>
      </c>
      <c r="D290" s="1" t="str">
        <f ca="1">IFERROR(__xludf.DUMMYFUNCTION("""COMPUTED_VALUE"""),"13-17")</f>
        <v>13-17</v>
      </c>
      <c r="E290" s="1">
        <f ca="1">IFERROR(__xludf.DUMMYFUNCTION("""COMPUTED_VALUE"""),-11.57)</f>
        <v>-11.57</v>
      </c>
      <c r="F290" s="1">
        <f ca="1">IFERROR(__xludf.DUMMYFUNCTION("""COMPUTED_VALUE"""),97.6)</f>
        <v>97.6</v>
      </c>
      <c r="G290" s="1">
        <f ca="1">IFERROR(__xludf.DUMMYFUNCTION("""COMPUTED_VALUE"""),249)</f>
        <v>249</v>
      </c>
      <c r="H290" s="1">
        <f ca="1">IFERROR(__xludf.DUMMYFUNCTION("""COMPUTED_VALUE"""),109.2)</f>
        <v>109.2</v>
      </c>
      <c r="I290" s="1">
        <f ca="1">IFERROR(__xludf.DUMMYFUNCTION("""COMPUTED_VALUE"""),289)</f>
        <v>289</v>
      </c>
      <c r="J290" s="1">
        <f ca="1">IFERROR(__xludf.DUMMYFUNCTION("""COMPUTED_VALUE"""),69.8)</f>
        <v>69.8</v>
      </c>
      <c r="K290" s="1">
        <f ca="1">IFERROR(__xludf.DUMMYFUNCTION("""COMPUTED_VALUE"""),61)</f>
        <v>61</v>
      </c>
      <c r="L290" s="1">
        <f ca="1">IFERROR(__xludf.DUMMYFUNCTION("""COMPUTED_VALUE"""),-0.08)</f>
        <v>-0.08</v>
      </c>
      <c r="M290" s="1">
        <f ca="1">IFERROR(__xludf.DUMMYFUNCTION("""COMPUTED_VALUE"""),305)</f>
        <v>305</v>
      </c>
      <c r="N290" s="1">
        <f ca="1">IFERROR(__xludf.DUMMYFUNCTION("""COMPUTED_VALUE"""),-12.25)</f>
        <v>-12.25</v>
      </c>
      <c r="O290" s="1">
        <f ca="1">IFERROR(__xludf.DUMMYFUNCTION("""COMPUTED_VALUE"""),317)</f>
        <v>317</v>
      </c>
      <c r="P290" s="1">
        <f ca="1">IFERROR(__xludf.DUMMYFUNCTION("""COMPUTED_VALUE"""),95.4)</f>
        <v>95.4</v>
      </c>
      <c r="Q290" s="1">
        <f ca="1">IFERROR(__xludf.DUMMYFUNCTION("""COMPUTED_VALUE"""),315)</f>
        <v>315</v>
      </c>
      <c r="R290" s="1">
        <f ca="1">IFERROR(__xludf.DUMMYFUNCTION("""COMPUTED_VALUE"""),107.6)</f>
        <v>107.6</v>
      </c>
      <c r="S290" s="1">
        <f ca="1">IFERROR(__xludf.DUMMYFUNCTION("""COMPUTED_VALUE"""),317)</f>
        <v>317</v>
      </c>
      <c r="T290" s="1" t="str">
        <f ca="1">IFERROR(__xludf.DUMMYFUNCTION("""COMPUTED_VALUE"""),"+2.38")</f>
        <v>+2.38</v>
      </c>
      <c r="U290" s="1">
        <f ca="1">IFERROR(__xludf.DUMMYFUNCTION("""COMPUTED_VALUE"""),100)</f>
        <v>100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IFERROR(__xludf.DUMMYFUNCTION("""COMPUTED_VALUE"""),"Gardner Webb")</f>
        <v>Gardner Webb</v>
      </c>
      <c r="C291" s="1" t="str">
        <f ca="1">IFERROR(__xludf.DUMMYFUNCTION("""COMPUTED_VALUE"""),"ASun")</f>
        <v>ASun</v>
      </c>
      <c r="D291" s="2">
        <f ca="1">IFERROR(__xludf.DUMMYFUNCTION("""COMPUTED_VALUE"""),44675)</f>
        <v>44675</v>
      </c>
      <c r="E291" s="1">
        <f ca="1">IFERROR(__xludf.DUMMYFUNCTION("""COMPUTED_VALUE"""),-11.64)</f>
        <v>-11.64</v>
      </c>
      <c r="F291" s="1">
        <f ca="1">IFERROR(__xludf.DUMMYFUNCTION("""COMPUTED_VALUE"""),90.7)</f>
        <v>90.7</v>
      </c>
      <c r="G291" s="1">
        <f ca="1">IFERROR(__xludf.DUMMYFUNCTION("""COMPUTED_VALUE"""),305)</f>
        <v>305</v>
      </c>
      <c r="H291" s="1">
        <f ca="1">IFERROR(__xludf.DUMMYFUNCTION("""COMPUTED_VALUE"""),102.3)</f>
        <v>102.3</v>
      </c>
      <c r="I291" s="1">
        <f ca="1">IFERROR(__xludf.DUMMYFUNCTION("""COMPUTED_VALUE"""),169)</f>
        <v>169</v>
      </c>
      <c r="J291" s="1">
        <f ca="1">IFERROR(__xludf.DUMMYFUNCTION("""COMPUTED_VALUE"""),70.8)</f>
        <v>70.8</v>
      </c>
      <c r="K291" s="1">
        <f ca="1">IFERROR(__xludf.DUMMYFUNCTION("""COMPUTED_VALUE"""),36)</f>
        <v>36</v>
      </c>
      <c r="L291" s="1">
        <f ca="1">IFERROR(__xludf.DUMMYFUNCTION("""COMPUTED_VALUE"""),-0.065)</f>
        <v>-6.5000000000000002E-2</v>
      </c>
      <c r="M291" s="1">
        <f ca="1">IFERROR(__xludf.DUMMYFUNCTION("""COMPUTED_VALUE"""),295)</f>
        <v>295</v>
      </c>
      <c r="N291" s="1">
        <f ca="1">IFERROR(__xludf.DUMMYFUNCTION("""COMPUTED_VALUE"""),-2.04)</f>
        <v>-2.04</v>
      </c>
      <c r="O291" s="1">
        <f ca="1">IFERROR(__xludf.DUMMYFUNCTION("""COMPUTED_VALUE"""),197)</f>
        <v>197</v>
      </c>
      <c r="P291" s="1">
        <f ca="1">IFERROR(__xludf.DUMMYFUNCTION("""COMPUTED_VALUE"""),102.4)</f>
        <v>102.4</v>
      </c>
      <c r="Q291" s="1">
        <f ca="1">IFERROR(__xludf.DUMMYFUNCTION("""COMPUTED_VALUE"""),166)</f>
        <v>166</v>
      </c>
      <c r="R291" s="1">
        <f ca="1">IFERROR(__xludf.DUMMYFUNCTION("""COMPUTED_VALUE"""),104.4)</f>
        <v>104.4</v>
      </c>
      <c r="S291" s="1">
        <f ca="1">IFERROR(__xludf.DUMMYFUNCTION("""COMPUTED_VALUE"""),242)</f>
        <v>242</v>
      </c>
      <c r="T291" s="1" t="str">
        <f ca="1">IFERROR(__xludf.DUMMYFUNCTION("""COMPUTED_VALUE"""),"+4.37")</f>
        <v>+4.37</v>
      </c>
      <c r="U291" s="1">
        <f ca="1">IFERROR(__xludf.DUMMYFUNCTION("""COMPUTED_VALUE"""),59)</f>
        <v>59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IFERROR(__xludf.DUMMYFUNCTION("""COMPUTED_VALUE"""),"Alcorn St.")</f>
        <v>Alcorn St.</v>
      </c>
      <c r="C292" s="1" t="str">
        <f ca="1">IFERROR(__xludf.DUMMYFUNCTION("""COMPUTED_VALUE"""),"SWAC")</f>
        <v>SWAC</v>
      </c>
      <c r="D292" s="1" t="str">
        <f ca="1">IFERROR(__xludf.DUMMYFUNCTION("""COMPUTED_VALUE"""),"14-19")</f>
        <v>14-19</v>
      </c>
      <c r="E292" s="1">
        <f ca="1">IFERROR(__xludf.DUMMYFUNCTION("""COMPUTED_VALUE"""),-11.79)</f>
        <v>-11.79</v>
      </c>
      <c r="F292" s="1">
        <f ca="1">IFERROR(__xludf.DUMMYFUNCTION("""COMPUTED_VALUE"""),92.5)</f>
        <v>92.5</v>
      </c>
      <c r="G292" s="1">
        <f ca="1">IFERROR(__xludf.DUMMYFUNCTION("""COMPUTED_VALUE"""),294)</f>
        <v>294</v>
      </c>
      <c r="H292" s="1">
        <f ca="1">IFERROR(__xludf.DUMMYFUNCTION("""COMPUTED_VALUE"""),104.3)</f>
        <v>104.3</v>
      </c>
      <c r="I292" s="1">
        <f ca="1">IFERROR(__xludf.DUMMYFUNCTION("""COMPUTED_VALUE"""),202)</f>
        <v>202</v>
      </c>
      <c r="J292" s="1">
        <f ca="1">IFERROR(__xludf.DUMMYFUNCTION("""COMPUTED_VALUE"""),70.5)</f>
        <v>70.5</v>
      </c>
      <c r="K292" s="1">
        <f ca="1">IFERROR(__xludf.DUMMYFUNCTION("""COMPUTED_VALUE"""),43)</f>
        <v>43</v>
      </c>
      <c r="L292" s="1" t="str">
        <f ca="1">IFERROR(__xludf.DUMMYFUNCTION("""COMPUTED_VALUE"""),"+.026")</f>
        <v>+.026</v>
      </c>
      <c r="M292" s="1">
        <f ca="1">IFERROR(__xludf.DUMMYFUNCTION("""COMPUTED_VALUE"""),95)</f>
        <v>95</v>
      </c>
      <c r="N292" s="1">
        <f ca="1">IFERROR(__xludf.DUMMYFUNCTION("""COMPUTED_VALUE"""),-8.22)</f>
        <v>-8.2200000000000006</v>
      </c>
      <c r="O292" s="1">
        <f ca="1">IFERROR(__xludf.DUMMYFUNCTION("""COMPUTED_VALUE"""),292)</f>
        <v>292</v>
      </c>
      <c r="P292" s="1">
        <f ca="1">IFERROR(__xludf.DUMMYFUNCTION("""COMPUTED_VALUE"""),96.7)</f>
        <v>96.7</v>
      </c>
      <c r="Q292" s="1">
        <f ca="1">IFERROR(__xludf.DUMMYFUNCTION("""COMPUTED_VALUE"""),305)</f>
        <v>305</v>
      </c>
      <c r="R292" s="1">
        <f ca="1">IFERROR(__xludf.DUMMYFUNCTION("""COMPUTED_VALUE"""),104.9)</f>
        <v>104.9</v>
      </c>
      <c r="S292" s="1">
        <f ca="1">IFERROR(__xludf.DUMMYFUNCTION("""COMPUTED_VALUE"""),269)</f>
        <v>269</v>
      </c>
      <c r="T292" s="1" t="str">
        <f ca="1">IFERROR(__xludf.DUMMYFUNCTION("""COMPUTED_VALUE"""),"+3.49")</f>
        <v>+3.49</v>
      </c>
      <c r="U292" s="1">
        <f ca="1">IFERROR(__xludf.DUMMYFUNCTION("""COMPUTED_VALUE"""),72)</f>
        <v>72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IFERROR(__xludf.DUMMYFUNCTION("""COMPUTED_VALUE"""),"Fairleigh Dickinson")</f>
        <v>Fairleigh Dickinson</v>
      </c>
      <c r="C293" s="1" t="str">
        <f ca="1">IFERROR(__xludf.DUMMYFUNCTION("""COMPUTED_VALUE"""),"NEC")</f>
        <v>NEC</v>
      </c>
      <c r="D293" s="1" t="str">
        <f ca="1">IFERROR(__xludf.DUMMYFUNCTION("""COMPUTED_VALUE"""),"15-14")</f>
        <v>15-14</v>
      </c>
      <c r="E293" s="1">
        <f ca="1">IFERROR(__xludf.DUMMYFUNCTION("""COMPUTED_VALUE"""),-11.82)</f>
        <v>-11.82</v>
      </c>
      <c r="F293" s="1">
        <f ca="1">IFERROR(__xludf.DUMMYFUNCTION("""COMPUTED_VALUE"""),97.2)</f>
        <v>97.2</v>
      </c>
      <c r="G293" s="1">
        <f ca="1">IFERROR(__xludf.DUMMYFUNCTION("""COMPUTED_VALUE"""),254)</f>
        <v>254</v>
      </c>
      <c r="H293" s="1">
        <f ca="1">IFERROR(__xludf.DUMMYFUNCTION("""COMPUTED_VALUE"""),109)</f>
        <v>109</v>
      </c>
      <c r="I293" s="1">
        <f ca="1">IFERROR(__xludf.DUMMYFUNCTION("""COMPUTED_VALUE"""),286)</f>
        <v>286</v>
      </c>
      <c r="J293" s="1">
        <f ca="1">IFERROR(__xludf.DUMMYFUNCTION("""COMPUTED_VALUE"""),68)</f>
        <v>68</v>
      </c>
      <c r="K293" s="1">
        <f ca="1">IFERROR(__xludf.DUMMYFUNCTION("""COMPUTED_VALUE"""),120)</f>
        <v>120</v>
      </c>
      <c r="L293" s="1" t="str">
        <f ca="1">IFERROR(__xludf.DUMMYFUNCTION("""COMPUTED_VALUE"""),"+.065")</f>
        <v>+.065</v>
      </c>
      <c r="M293" s="1">
        <f ca="1">IFERROR(__xludf.DUMMYFUNCTION("""COMPUTED_VALUE"""),36)</f>
        <v>36</v>
      </c>
      <c r="N293" s="1">
        <f ca="1">IFERROR(__xludf.DUMMYFUNCTION("""COMPUTED_VALUE"""),-11.18)</f>
        <v>-11.18</v>
      </c>
      <c r="O293" s="1">
        <f ca="1">IFERROR(__xludf.DUMMYFUNCTION("""COMPUTED_VALUE"""),312)</f>
        <v>312</v>
      </c>
      <c r="P293" s="1">
        <f ca="1">IFERROR(__xludf.DUMMYFUNCTION("""COMPUTED_VALUE"""),96.7)</f>
        <v>96.7</v>
      </c>
      <c r="Q293" s="1">
        <f ca="1">IFERROR(__xludf.DUMMYFUNCTION("""COMPUTED_VALUE"""),304)</f>
        <v>304</v>
      </c>
      <c r="R293" s="1">
        <f ca="1">IFERROR(__xludf.DUMMYFUNCTION("""COMPUTED_VALUE"""),107.9)</f>
        <v>107.9</v>
      </c>
      <c r="S293" s="1">
        <f ca="1">IFERROR(__xludf.DUMMYFUNCTION("""COMPUTED_VALUE"""),320)</f>
        <v>320</v>
      </c>
      <c r="T293" s="1">
        <f ca="1">IFERROR(__xludf.DUMMYFUNCTION("""COMPUTED_VALUE"""),-12.15)</f>
        <v>-12.15</v>
      </c>
      <c r="U293" s="1">
        <f ca="1">IFERROR(__xludf.DUMMYFUNCTION("""COMPUTED_VALUE"""),322)</f>
        <v>322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IFERROR(__xludf.DUMMYFUNCTION("""COMPUTED_VALUE"""),"San Jose St.")</f>
        <v>San Jose St.</v>
      </c>
      <c r="C294" s="1" t="str">
        <f ca="1">IFERROR(__xludf.DUMMYFUNCTION("""COMPUTED_VALUE"""),"WAC")</f>
        <v>WAC</v>
      </c>
      <c r="D294" s="2">
        <f ca="1">IFERROR(__xludf.DUMMYFUNCTION("""COMPUTED_VALUE"""),44702)</f>
        <v>44702</v>
      </c>
      <c r="E294" s="1">
        <f ca="1">IFERROR(__xludf.DUMMYFUNCTION("""COMPUTED_VALUE"""),-11.83)</f>
        <v>-11.83</v>
      </c>
      <c r="F294" s="1">
        <f ca="1">IFERROR(__xludf.DUMMYFUNCTION("""COMPUTED_VALUE"""),96.1)</f>
        <v>96.1</v>
      </c>
      <c r="G294" s="1">
        <f ca="1">IFERROR(__xludf.DUMMYFUNCTION("""COMPUTED_VALUE"""),262)</f>
        <v>262</v>
      </c>
      <c r="H294" s="1">
        <f ca="1">IFERROR(__xludf.DUMMYFUNCTION("""COMPUTED_VALUE"""),107.9)</f>
        <v>107.9</v>
      </c>
      <c r="I294" s="1">
        <f ca="1">IFERROR(__xludf.DUMMYFUNCTION("""COMPUTED_VALUE"""),268)</f>
        <v>268</v>
      </c>
      <c r="J294" s="1">
        <f ca="1">IFERROR(__xludf.DUMMYFUNCTION("""COMPUTED_VALUE"""),65.2)</f>
        <v>65.2</v>
      </c>
      <c r="K294" s="1">
        <f ca="1">IFERROR(__xludf.DUMMYFUNCTION("""COMPUTED_VALUE"""),245)</f>
        <v>245</v>
      </c>
      <c r="L294" s="1" t="str">
        <f ca="1">IFERROR(__xludf.DUMMYFUNCTION("""COMPUTED_VALUE"""),"+.013")</f>
        <v>+.013</v>
      </c>
      <c r="M294" s="1">
        <f ca="1">IFERROR(__xludf.DUMMYFUNCTION("""COMPUTED_VALUE"""),130)</f>
        <v>130</v>
      </c>
      <c r="N294" s="1" t="str">
        <f ca="1">IFERROR(__xludf.DUMMYFUNCTION("""COMPUTED_VALUE"""),"+0.24")</f>
        <v>+0.24</v>
      </c>
      <c r="O294" s="1">
        <f ca="1">IFERROR(__xludf.DUMMYFUNCTION("""COMPUTED_VALUE"""),148)</f>
        <v>148</v>
      </c>
      <c r="P294" s="1">
        <f ca="1">IFERROR(__xludf.DUMMYFUNCTION("""COMPUTED_VALUE"""),101.7)</f>
        <v>101.7</v>
      </c>
      <c r="Q294" s="1">
        <f ca="1">IFERROR(__xludf.DUMMYFUNCTION("""COMPUTED_VALUE"""),183)</f>
        <v>183</v>
      </c>
      <c r="R294" s="1">
        <f ca="1">IFERROR(__xludf.DUMMYFUNCTION("""COMPUTED_VALUE"""),101.4)</f>
        <v>101.4</v>
      </c>
      <c r="S294" s="1">
        <f ca="1">IFERROR(__xludf.DUMMYFUNCTION("""COMPUTED_VALUE"""),115)</f>
        <v>115</v>
      </c>
      <c r="T294" s="1">
        <f ca="1">IFERROR(__xludf.DUMMYFUNCTION("""COMPUTED_VALUE"""),-1.11)</f>
        <v>-1.1100000000000001</v>
      </c>
      <c r="U294" s="1">
        <f ca="1">IFERROR(__xludf.DUMMYFUNCTION("""COMPUTED_VALUE"""),182)</f>
        <v>182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IFERROR(__xludf.DUMMYFUNCTION("""COMPUTED_VALUE"""),"Western Carolina")</f>
        <v>Western Carolina</v>
      </c>
      <c r="C297" s="1" t="str">
        <f ca="1">IFERROR(__xludf.DUMMYFUNCTION("""COMPUTED_VALUE"""),"SC")</f>
        <v>SC</v>
      </c>
      <c r="D297" s="2">
        <f ca="1">IFERROR(__xludf.DUMMYFUNCTION("""COMPUTED_VALUE"""),44730)</f>
        <v>44730</v>
      </c>
      <c r="E297" s="1">
        <f ca="1">IFERROR(__xludf.DUMMYFUNCTION("""COMPUTED_VALUE"""),-11.94)</f>
        <v>-11.94</v>
      </c>
      <c r="F297" s="1">
        <f ca="1">IFERROR(__xludf.DUMMYFUNCTION("""COMPUTED_VALUE"""),98.8)</f>
        <v>98.8</v>
      </c>
      <c r="G297" s="1">
        <f ca="1">IFERROR(__xludf.DUMMYFUNCTION("""COMPUTED_VALUE"""),228)</f>
        <v>228</v>
      </c>
      <c r="H297" s="1">
        <f ca="1">IFERROR(__xludf.DUMMYFUNCTION("""COMPUTED_VALUE"""),110.7)</f>
        <v>110.7</v>
      </c>
      <c r="I297" s="1">
        <f ca="1">IFERROR(__xludf.DUMMYFUNCTION("""COMPUTED_VALUE"""),300)</f>
        <v>300</v>
      </c>
      <c r="J297" s="1">
        <f ca="1">IFERROR(__xludf.DUMMYFUNCTION("""COMPUTED_VALUE"""),67.3)</f>
        <v>67.3</v>
      </c>
      <c r="K297" s="1">
        <f ca="1">IFERROR(__xludf.DUMMYFUNCTION("""COMPUTED_VALUE"""),151)</f>
        <v>151</v>
      </c>
      <c r="L297" s="1">
        <f ca="1">IFERROR(__xludf.DUMMYFUNCTION("""COMPUTED_VALUE"""),-0.022)</f>
        <v>-2.1999999999999999E-2</v>
      </c>
      <c r="M297" s="1">
        <f ca="1">IFERROR(__xludf.DUMMYFUNCTION("""COMPUTED_VALUE"""),221)</f>
        <v>221</v>
      </c>
      <c r="N297" s="1">
        <f ca="1">IFERROR(__xludf.DUMMYFUNCTION("""COMPUTED_VALUE"""),-3.18)</f>
        <v>-3.18</v>
      </c>
      <c r="O297" s="1">
        <f ca="1">IFERROR(__xludf.DUMMYFUNCTION("""COMPUTED_VALUE"""),222)</f>
        <v>222</v>
      </c>
      <c r="P297" s="1">
        <f ca="1">IFERROR(__xludf.DUMMYFUNCTION("""COMPUTED_VALUE"""),100.9)</f>
        <v>100.9</v>
      </c>
      <c r="Q297" s="1">
        <f ca="1">IFERROR(__xludf.DUMMYFUNCTION("""COMPUTED_VALUE"""),206)</f>
        <v>206</v>
      </c>
      <c r="R297" s="1">
        <f ca="1">IFERROR(__xludf.DUMMYFUNCTION("""COMPUTED_VALUE"""),104.1)</f>
        <v>104.1</v>
      </c>
      <c r="S297" s="1">
        <f ca="1">IFERROR(__xludf.DUMMYFUNCTION("""COMPUTED_VALUE"""),230)</f>
        <v>230</v>
      </c>
      <c r="T297" s="1" t="str">
        <f ca="1">IFERROR(__xludf.DUMMYFUNCTION("""COMPUTED_VALUE"""),"+1.43")</f>
        <v>+1.43</v>
      </c>
      <c r="U297" s="1">
        <f ca="1">IFERROR(__xludf.DUMMYFUNCTION("""COMPUTED_VALUE"""),121)</f>
        <v>121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IFERROR(__xludf.DUMMYFUNCTION("""COMPUTED_VALUE"""),"UTSA")</f>
        <v>UTSA</v>
      </c>
      <c r="C298" s="1" t="str">
        <f ca="1">IFERROR(__xludf.DUMMYFUNCTION("""COMPUTED_VALUE"""),"Slnd")</f>
        <v>Slnd</v>
      </c>
      <c r="D298" s="2">
        <f ca="1">IFERROR(__xludf.DUMMYFUNCTION("""COMPUTED_VALUE"""),44821)</f>
        <v>44821</v>
      </c>
      <c r="E298" s="1">
        <f ca="1">IFERROR(__xludf.DUMMYFUNCTION("""COMPUTED_VALUE"""),-12.02)</f>
        <v>-12.02</v>
      </c>
      <c r="F298" s="1">
        <f ca="1">IFERROR(__xludf.DUMMYFUNCTION("""COMPUTED_VALUE"""),93.8)</f>
        <v>93.8</v>
      </c>
      <c r="G298" s="1">
        <f ca="1">IFERROR(__xludf.DUMMYFUNCTION("""COMPUTED_VALUE"""),284)</f>
        <v>284</v>
      </c>
      <c r="H298" s="1">
        <f ca="1">IFERROR(__xludf.DUMMYFUNCTION("""COMPUTED_VALUE"""),105.8)</f>
        <v>105.8</v>
      </c>
      <c r="I298" s="1">
        <f ca="1">IFERROR(__xludf.DUMMYFUNCTION("""COMPUTED_VALUE"""),234)</f>
        <v>234</v>
      </c>
      <c r="J298" s="1">
        <f ca="1">IFERROR(__xludf.DUMMYFUNCTION("""COMPUTED_VALUE"""),69.7)</f>
        <v>69.7</v>
      </c>
      <c r="K298" s="1">
        <f ca="1">IFERROR(__xludf.DUMMYFUNCTION("""COMPUTED_VALUE"""),63)</f>
        <v>63</v>
      </c>
      <c r="L298" s="1" t="str">
        <f ca="1">IFERROR(__xludf.DUMMYFUNCTION("""COMPUTED_VALUE"""),"+.032")</f>
        <v>+.032</v>
      </c>
      <c r="M298" s="1">
        <f ca="1">IFERROR(__xludf.DUMMYFUNCTION("""COMPUTED_VALUE"""),86)</f>
        <v>86</v>
      </c>
      <c r="N298" s="1">
        <f ca="1">IFERROR(__xludf.DUMMYFUNCTION("""COMPUTED_VALUE"""),-4.17)</f>
        <v>-4.17</v>
      </c>
      <c r="O298" s="1">
        <f ca="1">IFERROR(__xludf.DUMMYFUNCTION("""COMPUTED_VALUE"""),239)</f>
        <v>239</v>
      </c>
      <c r="P298" s="1">
        <f ca="1">IFERROR(__xludf.DUMMYFUNCTION("""COMPUTED_VALUE"""),98.6)</f>
        <v>98.6</v>
      </c>
      <c r="Q298" s="1">
        <f ca="1">IFERROR(__xludf.DUMMYFUNCTION("""COMPUTED_VALUE"""),269)</f>
        <v>269</v>
      </c>
      <c r="R298" s="1">
        <f ca="1">IFERROR(__xludf.DUMMYFUNCTION("""COMPUTED_VALUE"""),102.8)</f>
        <v>102.8</v>
      </c>
      <c r="S298" s="1">
        <f ca="1">IFERROR(__xludf.DUMMYFUNCTION("""COMPUTED_VALUE"""),171)</f>
        <v>171</v>
      </c>
      <c r="T298" s="1" t="str">
        <f ca="1">IFERROR(__xludf.DUMMYFUNCTION("""COMPUTED_VALUE"""),"+11.43")</f>
        <v>+11.43</v>
      </c>
      <c r="U298" s="1">
        <f ca="1">IFERROR(__xludf.DUMMYFUNCTION("""COMPUTED_VALUE"""),12)</f>
        <v>12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IFERROR(__xludf.DUMMYFUNCTION("""COMPUTED_VALUE"""),"UNC Asheville16")</f>
        <v>UNC Asheville16</v>
      </c>
      <c r="C299" s="1" t="str">
        <f ca="1">IFERROR(__xludf.DUMMYFUNCTION("""COMPUTED_VALUE"""),"BSth")</f>
        <v>BSth</v>
      </c>
      <c r="D299" s="1" t="str">
        <f ca="1">IFERROR(__xludf.DUMMYFUNCTION("""COMPUTED_VALUE"""),"14-17")</f>
        <v>14-17</v>
      </c>
      <c r="E299" s="1">
        <f ca="1">IFERROR(__xludf.DUMMYFUNCTION("""COMPUTED_VALUE"""),-12.35)</f>
        <v>-12.35</v>
      </c>
      <c r="F299" s="1">
        <f ca="1">IFERROR(__xludf.DUMMYFUNCTION("""COMPUTED_VALUE"""),101.2)</f>
        <v>101.2</v>
      </c>
      <c r="G299" s="1">
        <f ca="1">IFERROR(__xludf.DUMMYFUNCTION("""COMPUTED_VALUE"""),187)</f>
        <v>187</v>
      </c>
      <c r="H299" s="1">
        <f ca="1">IFERROR(__xludf.DUMMYFUNCTION("""COMPUTED_VALUE"""),113.5)</f>
        <v>113.5</v>
      </c>
      <c r="I299" s="1">
        <f ca="1">IFERROR(__xludf.DUMMYFUNCTION("""COMPUTED_VALUE"""),319)</f>
        <v>319</v>
      </c>
      <c r="J299" s="1">
        <f ca="1">IFERROR(__xludf.DUMMYFUNCTION("""COMPUTED_VALUE"""),68)</f>
        <v>68</v>
      </c>
      <c r="K299" s="1">
        <f ca="1">IFERROR(__xludf.DUMMYFUNCTION("""COMPUTED_VALUE"""),118)</f>
        <v>118</v>
      </c>
      <c r="L299" s="1" t="str">
        <f ca="1">IFERROR(__xludf.DUMMYFUNCTION("""COMPUTED_VALUE"""),"+.119")</f>
        <v>+.119</v>
      </c>
      <c r="M299" s="1">
        <f ca="1">IFERROR(__xludf.DUMMYFUNCTION("""COMPUTED_VALUE"""),5)</f>
        <v>5</v>
      </c>
      <c r="N299" s="1">
        <f ca="1">IFERROR(__xludf.DUMMYFUNCTION("""COMPUTED_VALUE"""),-6.45)</f>
        <v>-6.45</v>
      </c>
      <c r="O299" s="1">
        <f ca="1">IFERROR(__xludf.DUMMYFUNCTION("""COMPUTED_VALUE"""),272)</f>
        <v>272</v>
      </c>
      <c r="P299" s="1">
        <f ca="1">IFERROR(__xludf.DUMMYFUNCTION("""COMPUTED_VALUE"""),98.3)</f>
        <v>98.3</v>
      </c>
      <c r="Q299" s="1">
        <f ca="1">IFERROR(__xludf.DUMMYFUNCTION("""COMPUTED_VALUE"""),272)</f>
        <v>272</v>
      </c>
      <c r="R299" s="1">
        <f ca="1">IFERROR(__xludf.DUMMYFUNCTION("""COMPUTED_VALUE"""),104.7)</f>
        <v>104.7</v>
      </c>
      <c r="S299" s="1">
        <f ca="1">IFERROR(__xludf.DUMMYFUNCTION("""COMPUTED_VALUE"""),262)</f>
        <v>262</v>
      </c>
      <c r="T299" s="1" t="str">
        <f ca="1">IFERROR(__xludf.DUMMYFUNCTION("""COMPUTED_VALUE"""),"+11.61")</f>
        <v>+11.61</v>
      </c>
      <c r="U299" s="1">
        <f ca="1">IFERROR(__xludf.DUMMYFUNCTION("""COMPUTED_VALUE"""),11)</f>
        <v>11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IFERROR(__xludf.DUMMYFUNCTION("""COMPUTED_VALUE"""),"Dartmouth")</f>
        <v>Dartmouth</v>
      </c>
      <c r="C300" s="1" t="str">
        <f ca="1">IFERROR(__xludf.DUMMYFUNCTION("""COMPUTED_VALUE"""),"Ivy")</f>
        <v>Ivy</v>
      </c>
      <c r="D300" s="2">
        <f ca="1">IFERROR(__xludf.DUMMYFUNCTION("""COMPUTED_VALUE"""),44792)</f>
        <v>44792</v>
      </c>
      <c r="E300" s="1">
        <f ca="1">IFERROR(__xludf.DUMMYFUNCTION("""COMPUTED_VALUE"""),-12.45)</f>
        <v>-12.45</v>
      </c>
      <c r="F300" s="1">
        <f ca="1">IFERROR(__xludf.DUMMYFUNCTION("""COMPUTED_VALUE"""),95.6)</f>
        <v>95.6</v>
      </c>
      <c r="G300" s="1">
        <f ca="1">IFERROR(__xludf.DUMMYFUNCTION("""COMPUTED_VALUE"""),267)</f>
        <v>267</v>
      </c>
      <c r="H300" s="1">
        <f ca="1">IFERROR(__xludf.DUMMYFUNCTION("""COMPUTED_VALUE"""),108.1)</f>
        <v>108.1</v>
      </c>
      <c r="I300" s="1">
        <f ca="1">IFERROR(__xludf.DUMMYFUNCTION("""COMPUTED_VALUE"""),271)</f>
        <v>271</v>
      </c>
      <c r="J300" s="1">
        <f ca="1">IFERROR(__xludf.DUMMYFUNCTION("""COMPUTED_VALUE"""),60.5)</f>
        <v>60.5</v>
      </c>
      <c r="K300" s="1">
        <f ca="1">IFERROR(__xludf.DUMMYFUNCTION("""COMPUTED_VALUE"""),316)</f>
        <v>316</v>
      </c>
      <c r="L300" s="1">
        <f ca="1">IFERROR(__xludf.DUMMYFUNCTION("""COMPUTED_VALUE"""),-0.058)</f>
        <v>-5.8000000000000003E-2</v>
      </c>
      <c r="M300" s="1">
        <f ca="1">IFERROR(__xludf.DUMMYFUNCTION("""COMPUTED_VALUE"""),288)</f>
        <v>288</v>
      </c>
      <c r="N300" s="1">
        <f ca="1">IFERROR(__xludf.DUMMYFUNCTION("""COMPUTED_VALUE"""),-5.25)</f>
        <v>-5.25</v>
      </c>
      <c r="O300" s="1">
        <f ca="1">IFERROR(__xludf.DUMMYFUNCTION("""COMPUTED_VALUE"""),255)</f>
        <v>255</v>
      </c>
      <c r="P300" s="1">
        <f ca="1">IFERROR(__xludf.DUMMYFUNCTION("""COMPUTED_VALUE"""),99)</f>
        <v>99</v>
      </c>
      <c r="Q300" s="1">
        <f ca="1">IFERROR(__xludf.DUMMYFUNCTION("""COMPUTED_VALUE"""),255)</f>
        <v>255</v>
      </c>
      <c r="R300" s="1">
        <f ca="1">IFERROR(__xludf.DUMMYFUNCTION("""COMPUTED_VALUE"""),104.3)</f>
        <v>104.3</v>
      </c>
      <c r="S300" s="1">
        <f ca="1">IFERROR(__xludf.DUMMYFUNCTION("""COMPUTED_VALUE"""),236)</f>
        <v>236</v>
      </c>
      <c r="T300" s="1">
        <f ca="1">IFERROR(__xludf.DUMMYFUNCTION("""COMPUTED_VALUE"""),-6.58)</f>
        <v>-6.58</v>
      </c>
      <c r="U300" s="1">
        <f ca="1">IFERROR(__xludf.DUMMYFUNCTION("""COMPUTED_VALUE"""),296)</f>
        <v>296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IFERROR(__xludf.DUMMYFUNCTION("""COMPUTED_VALUE"""),"Robert Morris")</f>
        <v>Robert Morris</v>
      </c>
      <c r="C301" s="1" t="str">
        <f ca="1">IFERROR(__xludf.DUMMYFUNCTION("""COMPUTED_VALUE"""),"NEC")</f>
        <v>NEC</v>
      </c>
      <c r="D301" s="2">
        <f ca="1">IFERROR(__xludf.DUMMYFUNCTION("""COMPUTED_VALUE"""),44821)</f>
        <v>44821</v>
      </c>
      <c r="E301" s="1">
        <f ca="1">IFERROR(__xludf.DUMMYFUNCTION("""COMPUTED_VALUE"""),-12.74)</f>
        <v>-12.74</v>
      </c>
      <c r="F301" s="1">
        <f ca="1">IFERROR(__xludf.DUMMYFUNCTION("""COMPUTED_VALUE"""),103.6)</f>
        <v>103.6</v>
      </c>
      <c r="G301" s="1">
        <f ca="1">IFERROR(__xludf.DUMMYFUNCTION("""COMPUTED_VALUE"""),138)</f>
        <v>138</v>
      </c>
      <c r="H301" s="1">
        <f ca="1">IFERROR(__xludf.DUMMYFUNCTION("""COMPUTED_VALUE"""),116.3)</f>
        <v>116.3</v>
      </c>
      <c r="I301" s="1">
        <f ca="1">IFERROR(__xludf.DUMMYFUNCTION("""COMPUTED_VALUE"""),323)</f>
        <v>323</v>
      </c>
      <c r="J301" s="1">
        <f ca="1">IFERROR(__xludf.DUMMYFUNCTION("""COMPUTED_VALUE"""),65)</f>
        <v>65</v>
      </c>
      <c r="K301" s="1">
        <f ca="1">IFERROR(__xludf.DUMMYFUNCTION("""COMPUTED_VALUE"""),254)</f>
        <v>254</v>
      </c>
      <c r="L301" s="1">
        <f ca="1">IFERROR(__xludf.DUMMYFUNCTION("""COMPUTED_VALUE"""),-0.044)</f>
        <v>-4.3999999999999997E-2</v>
      </c>
      <c r="M301" s="1">
        <f ca="1">IFERROR(__xludf.DUMMYFUNCTION("""COMPUTED_VALUE"""),273)</f>
        <v>273</v>
      </c>
      <c r="N301" s="1">
        <f ca="1">IFERROR(__xludf.DUMMYFUNCTION("""COMPUTED_VALUE"""),-9.44)</f>
        <v>-9.44</v>
      </c>
      <c r="O301" s="1">
        <f ca="1">IFERROR(__xludf.DUMMYFUNCTION("""COMPUTED_VALUE"""),304)</f>
        <v>304</v>
      </c>
      <c r="P301" s="1">
        <f ca="1">IFERROR(__xludf.DUMMYFUNCTION("""COMPUTED_VALUE"""),97)</f>
        <v>97</v>
      </c>
      <c r="Q301" s="1">
        <f ca="1">IFERROR(__xludf.DUMMYFUNCTION("""COMPUTED_VALUE"""),297)</f>
        <v>297</v>
      </c>
      <c r="R301" s="1">
        <f ca="1">IFERROR(__xludf.DUMMYFUNCTION("""COMPUTED_VALUE"""),106.5)</f>
        <v>106.5</v>
      </c>
      <c r="S301" s="1">
        <f ca="1">IFERROR(__xludf.DUMMYFUNCTION("""COMPUTED_VALUE"""),297)</f>
        <v>297</v>
      </c>
      <c r="T301" s="1">
        <f ca="1">IFERROR(__xludf.DUMMYFUNCTION("""COMPUTED_VALUE"""),-3.74)</f>
        <v>-3.74</v>
      </c>
      <c r="U301" s="1">
        <f ca="1">IFERROR(__xludf.DUMMYFUNCTION("""COMPUTED_VALUE"""),247)</f>
        <v>247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IFERROR(__xludf.DUMMYFUNCTION("""COMPUTED_VALUE"""),"LIU Brooklyn")</f>
        <v>LIU Brooklyn</v>
      </c>
      <c r="C302" s="1" t="str">
        <f ca="1">IFERROR(__xludf.DUMMYFUNCTION("""COMPUTED_VALUE"""),"NEC")</f>
        <v>NEC</v>
      </c>
      <c r="D302" s="2">
        <f ca="1">IFERROR(__xludf.DUMMYFUNCTION("""COMPUTED_VALUE"""),44823)</f>
        <v>44823</v>
      </c>
      <c r="E302" s="1">
        <f ca="1">IFERROR(__xludf.DUMMYFUNCTION("""COMPUTED_VALUE"""),-12.85)</f>
        <v>-12.85</v>
      </c>
      <c r="F302" s="1">
        <f ca="1">IFERROR(__xludf.DUMMYFUNCTION("""COMPUTED_VALUE"""),97.8)</f>
        <v>97.8</v>
      </c>
      <c r="G302" s="1">
        <f ca="1">IFERROR(__xludf.DUMMYFUNCTION("""COMPUTED_VALUE"""),245)</f>
        <v>245</v>
      </c>
      <c r="H302" s="1">
        <f ca="1">IFERROR(__xludf.DUMMYFUNCTION("""COMPUTED_VALUE"""),110.7)</f>
        <v>110.7</v>
      </c>
      <c r="I302" s="1">
        <f ca="1">IFERROR(__xludf.DUMMYFUNCTION("""COMPUTED_VALUE"""),298)</f>
        <v>298</v>
      </c>
      <c r="J302" s="1">
        <f ca="1">IFERROR(__xludf.DUMMYFUNCTION("""COMPUTED_VALUE"""),73.2)</f>
        <v>73.2</v>
      </c>
      <c r="K302" s="1">
        <f ca="1">IFERROR(__xludf.DUMMYFUNCTION("""COMPUTED_VALUE"""),6)</f>
        <v>6</v>
      </c>
      <c r="L302" s="1">
        <f ca="1">IFERROR(__xludf.DUMMYFUNCTION("""COMPUTED_VALUE"""),-0.04)</f>
        <v>-0.04</v>
      </c>
      <c r="M302" s="1">
        <f ca="1">IFERROR(__xludf.DUMMYFUNCTION("""COMPUTED_VALUE"""),268)</f>
        <v>268</v>
      </c>
      <c r="N302" s="1">
        <f ca="1">IFERROR(__xludf.DUMMYFUNCTION("""COMPUTED_VALUE"""),-7.09)</f>
        <v>-7.09</v>
      </c>
      <c r="O302" s="1">
        <f ca="1">IFERROR(__xludf.DUMMYFUNCTION("""COMPUTED_VALUE"""),277)</f>
        <v>277</v>
      </c>
      <c r="P302" s="1">
        <f ca="1">IFERROR(__xludf.DUMMYFUNCTION("""COMPUTED_VALUE"""),98.5)</f>
        <v>98.5</v>
      </c>
      <c r="Q302" s="1">
        <f ca="1">IFERROR(__xludf.DUMMYFUNCTION("""COMPUTED_VALUE"""),271)</f>
        <v>271</v>
      </c>
      <c r="R302" s="1">
        <f ca="1">IFERROR(__xludf.DUMMYFUNCTION("""COMPUTED_VALUE"""),105.6)</f>
        <v>105.6</v>
      </c>
      <c r="S302" s="1">
        <f ca="1">IFERROR(__xludf.DUMMYFUNCTION("""COMPUTED_VALUE"""),284)</f>
        <v>284</v>
      </c>
      <c r="T302" s="1" t="str">
        <f ca="1">IFERROR(__xludf.DUMMYFUNCTION("""COMPUTED_VALUE"""),"+0.61")</f>
        <v>+0.61</v>
      </c>
      <c r="U302" s="1">
        <f ca="1">IFERROR(__xludf.DUMMYFUNCTION("""COMPUTED_VALUE"""),139)</f>
        <v>139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IFERROR(__xludf.DUMMYFUNCTION("""COMPUTED_VALUE"""),"Coppin St.")</f>
        <v>Coppin St.</v>
      </c>
      <c r="C303" s="1" t="str">
        <f ca="1">IFERROR(__xludf.DUMMYFUNCTION("""COMPUTED_VALUE"""),"MEAC")</f>
        <v>MEAC</v>
      </c>
      <c r="D303" s="2">
        <f ca="1">IFERROR(__xludf.DUMMYFUNCTION("""COMPUTED_VALUE"""),44882)</f>
        <v>44882</v>
      </c>
      <c r="E303" s="1">
        <f ca="1">IFERROR(__xludf.DUMMYFUNCTION("""COMPUTED_VALUE"""),-13.18)</f>
        <v>-13.18</v>
      </c>
      <c r="F303" s="1">
        <f ca="1">IFERROR(__xludf.DUMMYFUNCTION("""COMPUTED_VALUE"""),94.2)</f>
        <v>94.2</v>
      </c>
      <c r="G303" s="1">
        <f ca="1">IFERROR(__xludf.DUMMYFUNCTION("""COMPUTED_VALUE"""),279)</f>
        <v>279</v>
      </c>
      <c r="H303" s="1">
        <f ca="1">IFERROR(__xludf.DUMMYFUNCTION("""COMPUTED_VALUE"""),107.4)</f>
        <v>107.4</v>
      </c>
      <c r="I303" s="1">
        <f ca="1">IFERROR(__xludf.DUMMYFUNCTION("""COMPUTED_VALUE"""),261)</f>
        <v>261</v>
      </c>
      <c r="J303" s="1">
        <f ca="1">IFERROR(__xludf.DUMMYFUNCTION("""COMPUTED_VALUE"""),59.5)</f>
        <v>59.5</v>
      </c>
      <c r="K303" s="1">
        <f ca="1">IFERROR(__xludf.DUMMYFUNCTION("""COMPUTED_VALUE"""),321)</f>
        <v>321</v>
      </c>
      <c r="L303" s="1" t="str">
        <f ca="1">IFERROR(__xludf.DUMMYFUNCTION("""COMPUTED_VALUE"""),"+.002")</f>
        <v>+.002</v>
      </c>
      <c r="M303" s="1">
        <f ca="1">IFERROR(__xludf.DUMMYFUNCTION("""COMPUTED_VALUE"""),161)</f>
        <v>161</v>
      </c>
      <c r="N303" s="1">
        <f ca="1">IFERROR(__xludf.DUMMYFUNCTION("""COMPUTED_VALUE"""),-8.16)</f>
        <v>-8.16</v>
      </c>
      <c r="O303" s="1">
        <f ca="1">IFERROR(__xludf.DUMMYFUNCTION("""COMPUTED_VALUE"""),291)</f>
        <v>291</v>
      </c>
      <c r="P303" s="1">
        <f ca="1">IFERROR(__xludf.DUMMYFUNCTION("""COMPUTED_VALUE"""),97.5)</f>
        <v>97.5</v>
      </c>
      <c r="Q303" s="1">
        <f ca="1">IFERROR(__xludf.DUMMYFUNCTION("""COMPUTED_VALUE"""),290)</f>
        <v>290</v>
      </c>
      <c r="R303" s="1">
        <f ca="1">IFERROR(__xludf.DUMMYFUNCTION("""COMPUTED_VALUE"""),105.7)</f>
        <v>105.7</v>
      </c>
      <c r="S303" s="1">
        <f ca="1">IFERROR(__xludf.DUMMYFUNCTION("""COMPUTED_VALUE"""),288)</f>
        <v>288</v>
      </c>
      <c r="T303" s="1" t="str">
        <f ca="1">IFERROR(__xludf.DUMMYFUNCTION("""COMPUTED_VALUE"""),"+13.71")</f>
        <v>+13.71</v>
      </c>
      <c r="U303" s="1">
        <f ca="1">IFERROR(__xludf.DUMMYFUNCTION("""COMPUTED_VALUE"""),3)</f>
        <v>3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IFERROR(__xludf.DUMMYFUNCTION("""COMPUTED_VALUE"""),"Florida Atlantic")</f>
        <v>Florida Atlantic</v>
      </c>
      <c r="C304" s="1" t="str">
        <f ca="1">IFERROR(__xludf.DUMMYFUNCTION("""COMPUTED_VALUE"""),"ASun")</f>
        <v>ASun</v>
      </c>
      <c r="D304" s="2">
        <f ca="1">IFERROR(__xludf.DUMMYFUNCTION("""COMPUTED_VALUE"""),44733)</f>
        <v>44733</v>
      </c>
      <c r="E304" s="1">
        <f ca="1">IFERROR(__xludf.DUMMYFUNCTION("""COMPUTED_VALUE"""),-13.37)</f>
        <v>-13.37</v>
      </c>
      <c r="F304" s="1">
        <f ca="1">IFERROR(__xludf.DUMMYFUNCTION("""COMPUTED_VALUE"""),92.1)</f>
        <v>92.1</v>
      </c>
      <c r="G304" s="1">
        <f ca="1">IFERROR(__xludf.DUMMYFUNCTION("""COMPUTED_VALUE"""),297)</f>
        <v>297</v>
      </c>
      <c r="H304" s="1">
        <f ca="1">IFERROR(__xludf.DUMMYFUNCTION("""COMPUTED_VALUE"""),105.4)</f>
        <v>105.4</v>
      </c>
      <c r="I304" s="1">
        <f ca="1">IFERROR(__xludf.DUMMYFUNCTION("""COMPUTED_VALUE"""),228)</f>
        <v>228</v>
      </c>
      <c r="J304" s="1">
        <f ca="1">IFERROR(__xludf.DUMMYFUNCTION("""COMPUTED_VALUE"""),72.1)</f>
        <v>72.099999999999994</v>
      </c>
      <c r="K304" s="1">
        <f ca="1">IFERROR(__xludf.DUMMYFUNCTION("""COMPUTED_VALUE"""),15)</f>
        <v>15</v>
      </c>
      <c r="L304" s="1">
        <f ca="1">IFERROR(__xludf.DUMMYFUNCTION("""COMPUTED_VALUE"""),-0.032)</f>
        <v>-3.2000000000000001E-2</v>
      </c>
      <c r="M304" s="1">
        <f ca="1">IFERROR(__xludf.DUMMYFUNCTION("""COMPUTED_VALUE"""),252)</f>
        <v>252</v>
      </c>
      <c r="N304" s="1">
        <f ca="1">IFERROR(__xludf.DUMMYFUNCTION("""COMPUTED_VALUE"""),-2.67)</f>
        <v>-2.67</v>
      </c>
      <c r="O304" s="1">
        <f ca="1">IFERROR(__xludf.DUMMYFUNCTION("""COMPUTED_VALUE"""),212)</f>
        <v>212</v>
      </c>
      <c r="P304" s="1">
        <f ca="1">IFERROR(__xludf.DUMMYFUNCTION("""COMPUTED_VALUE"""),101.3)</f>
        <v>101.3</v>
      </c>
      <c r="Q304" s="1">
        <f ca="1">IFERROR(__xludf.DUMMYFUNCTION("""COMPUTED_VALUE"""),188)</f>
        <v>188</v>
      </c>
      <c r="R304" s="1">
        <f ca="1">IFERROR(__xludf.DUMMYFUNCTION("""COMPUTED_VALUE"""),104)</f>
        <v>104</v>
      </c>
      <c r="S304" s="1">
        <f ca="1">IFERROR(__xludf.DUMMYFUNCTION("""COMPUTED_VALUE"""),224)</f>
        <v>224</v>
      </c>
      <c r="T304" s="1" t="str">
        <f ca="1">IFERROR(__xludf.DUMMYFUNCTION("""COMPUTED_VALUE"""),"+1.76")</f>
        <v>+1.76</v>
      </c>
      <c r="U304" s="1">
        <f ca="1">IFERROR(__xludf.DUMMYFUNCTION("""COMPUTED_VALUE"""),114)</f>
        <v>114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IFERROR(__xludf.DUMMYFUNCTION("""COMPUTED_VALUE"""),"VMI")</f>
        <v>VMI</v>
      </c>
      <c r="C305" s="1" t="str">
        <f ca="1">IFERROR(__xludf.DUMMYFUNCTION("""COMPUTED_VALUE"""),"SC")</f>
        <v>SC</v>
      </c>
      <c r="D305" s="2">
        <f ca="1">IFERROR(__xludf.DUMMYFUNCTION("""COMPUTED_VALUE"""),44792)</f>
        <v>44792</v>
      </c>
      <c r="E305" s="1">
        <f ca="1">IFERROR(__xludf.DUMMYFUNCTION("""COMPUTED_VALUE"""),-14.1)</f>
        <v>-14.1</v>
      </c>
      <c r="F305" s="1">
        <f ca="1">IFERROR(__xludf.DUMMYFUNCTION("""COMPUTED_VALUE"""),91.5)</f>
        <v>91.5</v>
      </c>
      <c r="G305" s="1">
        <f ca="1">IFERROR(__xludf.DUMMYFUNCTION("""COMPUTED_VALUE"""),299)</f>
        <v>299</v>
      </c>
      <c r="H305" s="1">
        <f ca="1">IFERROR(__xludf.DUMMYFUNCTION("""COMPUTED_VALUE"""),105.6)</f>
        <v>105.6</v>
      </c>
      <c r="I305" s="1">
        <f ca="1">IFERROR(__xludf.DUMMYFUNCTION("""COMPUTED_VALUE"""),229)</f>
        <v>229</v>
      </c>
      <c r="J305" s="1">
        <f ca="1">IFERROR(__xludf.DUMMYFUNCTION("""COMPUTED_VALUE"""),65.6)</f>
        <v>65.599999999999994</v>
      </c>
      <c r="K305" s="1">
        <f ca="1">IFERROR(__xludf.DUMMYFUNCTION("""COMPUTED_VALUE"""),231)</f>
        <v>231</v>
      </c>
      <c r="L305" s="1" t="str">
        <f ca="1">IFERROR(__xludf.DUMMYFUNCTION("""COMPUTED_VALUE"""),"+.028")</f>
        <v>+.028</v>
      </c>
      <c r="M305" s="1">
        <f ca="1">IFERROR(__xludf.DUMMYFUNCTION("""COMPUTED_VALUE"""),93)</f>
        <v>93</v>
      </c>
      <c r="N305" s="1">
        <f ca="1">IFERROR(__xludf.DUMMYFUNCTION("""COMPUTED_VALUE"""),-3.6)</f>
        <v>-3.6</v>
      </c>
      <c r="O305" s="1">
        <f ca="1">IFERROR(__xludf.DUMMYFUNCTION("""COMPUTED_VALUE"""),227)</f>
        <v>227</v>
      </c>
      <c r="P305" s="1">
        <f ca="1">IFERROR(__xludf.DUMMYFUNCTION("""COMPUTED_VALUE"""),100.4)</f>
        <v>100.4</v>
      </c>
      <c r="Q305" s="1">
        <f ca="1">IFERROR(__xludf.DUMMYFUNCTION("""COMPUTED_VALUE"""),222)</f>
        <v>222</v>
      </c>
      <c r="R305" s="1">
        <f ca="1">IFERROR(__xludf.DUMMYFUNCTION("""COMPUTED_VALUE"""),104)</f>
        <v>104</v>
      </c>
      <c r="S305" s="1">
        <f ca="1">IFERROR(__xludf.DUMMYFUNCTION("""COMPUTED_VALUE"""),222)</f>
        <v>222</v>
      </c>
      <c r="T305" s="1">
        <f ca="1">IFERROR(__xludf.DUMMYFUNCTION("""COMPUTED_VALUE"""),-3.07)</f>
        <v>-3.07</v>
      </c>
      <c r="U305" s="1">
        <f ca="1">IFERROR(__xludf.DUMMYFUNCTION("""COMPUTED_VALUE"""),227)</f>
        <v>227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IFERROR(__xludf.DUMMYFUNCTION("""COMPUTED_VALUE"""),"Navy")</f>
        <v>Navy</v>
      </c>
      <c r="C306" s="1" t="str">
        <f ca="1">IFERROR(__xludf.DUMMYFUNCTION("""COMPUTED_VALUE"""),"Pat")</f>
        <v>Pat</v>
      </c>
      <c r="D306" s="2">
        <f ca="1">IFERROR(__xludf.DUMMYFUNCTION("""COMPUTED_VALUE"""),44761)</f>
        <v>44761</v>
      </c>
      <c r="E306" s="1">
        <f ca="1">IFERROR(__xludf.DUMMYFUNCTION("""COMPUTED_VALUE"""),-14.11)</f>
        <v>-14.11</v>
      </c>
      <c r="F306" s="1">
        <f ca="1">IFERROR(__xludf.DUMMYFUNCTION("""COMPUTED_VALUE"""),90.5)</f>
        <v>90.5</v>
      </c>
      <c r="G306" s="1">
        <f ca="1">IFERROR(__xludf.DUMMYFUNCTION("""COMPUTED_VALUE"""),307)</f>
        <v>307</v>
      </c>
      <c r="H306" s="1">
        <f ca="1">IFERROR(__xludf.DUMMYFUNCTION("""COMPUTED_VALUE"""),104.7)</f>
        <v>104.7</v>
      </c>
      <c r="I306" s="1">
        <f ca="1">IFERROR(__xludf.DUMMYFUNCTION("""COMPUTED_VALUE"""),208)</f>
        <v>208</v>
      </c>
      <c r="J306" s="1">
        <f ca="1">IFERROR(__xludf.DUMMYFUNCTION("""COMPUTED_VALUE"""),65.6)</f>
        <v>65.599999999999994</v>
      </c>
      <c r="K306" s="1">
        <f ca="1">IFERROR(__xludf.DUMMYFUNCTION("""COMPUTED_VALUE"""),232)</f>
        <v>232</v>
      </c>
      <c r="L306" s="1">
        <f ca="1">IFERROR(__xludf.DUMMYFUNCTION("""COMPUTED_VALUE"""),-0.03)</f>
        <v>-0.03</v>
      </c>
      <c r="M306" s="1">
        <f ca="1">IFERROR(__xludf.DUMMYFUNCTION("""COMPUTED_VALUE"""),244)</f>
        <v>244</v>
      </c>
      <c r="N306" s="1">
        <f ca="1">IFERROR(__xludf.DUMMYFUNCTION("""COMPUTED_VALUE"""),-5.04)</f>
        <v>-5.04</v>
      </c>
      <c r="O306" s="1">
        <f ca="1">IFERROR(__xludf.DUMMYFUNCTION("""COMPUTED_VALUE"""),249)</f>
        <v>249</v>
      </c>
      <c r="P306" s="1">
        <f ca="1">IFERROR(__xludf.DUMMYFUNCTION("""COMPUTED_VALUE"""),99.1)</f>
        <v>99.1</v>
      </c>
      <c r="Q306" s="1">
        <f ca="1">IFERROR(__xludf.DUMMYFUNCTION("""COMPUTED_VALUE"""),254)</f>
        <v>254</v>
      </c>
      <c r="R306" s="1">
        <f ca="1">IFERROR(__xludf.DUMMYFUNCTION("""COMPUTED_VALUE"""),104.1)</f>
        <v>104.1</v>
      </c>
      <c r="S306" s="1">
        <f ca="1">IFERROR(__xludf.DUMMYFUNCTION("""COMPUTED_VALUE"""),232)</f>
        <v>232</v>
      </c>
      <c r="T306" s="1">
        <f ca="1">IFERROR(__xludf.DUMMYFUNCTION("""COMPUTED_VALUE"""),-4.02)</f>
        <v>-4.0199999999999996</v>
      </c>
      <c r="U306" s="1">
        <f ca="1">IFERROR(__xludf.DUMMYFUNCTION("""COMPUTED_VALUE"""),253)</f>
        <v>253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IFERROR(__xludf.DUMMYFUNCTION("""COMPUTED_VALUE"""),"The Citadel")</f>
        <v>The Citadel</v>
      </c>
      <c r="C307" s="1" t="str">
        <f ca="1">IFERROR(__xludf.DUMMYFUNCTION("""COMPUTED_VALUE"""),"SC")</f>
        <v>SC</v>
      </c>
      <c r="D307" s="2">
        <f ca="1">IFERROR(__xludf.DUMMYFUNCTION("""COMPUTED_VALUE"""),44671)</f>
        <v>44671</v>
      </c>
      <c r="E307" s="1">
        <f ca="1">IFERROR(__xludf.DUMMYFUNCTION("""COMPUTED_VALUE"""),-14.22)</f>
        <v>-14.22</v>
      </c>
      <c r="F307" s="1">
        <f ca="1">IFERROR(__xludf.DUMMYFUNCTION("""COMPUTED_VALUE"""),89.8)</f>
        <v>89.8</v>
      </c>
      <c r="G307" s="1">
        <f ca="1">IFERROR(__xludf.DUMMYFUNCTION("""COMPUTED_VALUE"""),311)</f>
        <v>311</v>
      </c>
      <c r="H307" s="1">
        <f ca="1">IFERROR(__xludf.DUMMYFUNCTION("""COMPUTED_VALUE"""),104)</f>
        <v>104</v>
      </c>
      <c r="I307" s="1">
        <f ca="1">IFERROR(__xludf.DUMMYFUNCTION("""COMPUTED_VALUE"""),195)</f>
        <v>195</v>
      </c>
      <c r="J307" s="1">
        <f ca="1">IFERROR(__xludf.DUMMYFUNCTION("""COMPUTED_VALUE"""),66.1)</f>
        <v>66.099999999999994</v>
      </c>
      <c r="K307" s="1">
        <f ca="1">IFERROR(__xludf.DUMMYFUNCTION("""COMPUTED_VALUE"""),201)</f>
        <v>201</v>
      </c>
      <c r="L307" s="1">
        <f ca="1">IFERROR(__xludf.DUMMYFUNCTION("""COMPUTED_VALUE"""),-0.079)</f>
        <v>-7.9000000000000001E-2</v>
      </c>
      <c r="M307" s="1">
        <f ca="1">IFERROR(__xludf.DUMMYFUNCTION("""COMPUTED_VALUE"""),303)</f>
        <v>303</v>
      </c>
      <c r="N307" s="1">
        <f ca="1">IFERROR(__xludf.DUMMYFUNCTION("""COMPUTED_VALUE"""),-3.52)</f>
        <v>-3.52</v>
      </c>
      <c r="O307" s="1">
        <f ca="1">IFERROR(__xludf.DUMMYFUNCTION("""COMPUTED_VALUE"""),225)</f>
        <v>225</v>
      </c>
      <c r="P307" s="1">
        <f ca="1">IFERROR(__xludf.DUMMYFUNCTION("""COMPUTED_VALUE"""),101)</f>
        <v>101</v>
      </c>
      <c r="Q307" s="1">
        <f ca="1">IFERROR(__xludf.DUMMYFUNCTION("""COMPUTED_VALUE"""),202)</f>
        <v>202</v>
      </c>
      <c r="R307" s="1">
        <f ca="1">IFERROR(__xludf.DUMMYFUNCTION("""COMPUTED_VALUE"""),104.5)</f>
        <v>104.5</v>
      </c>
      <c r="S307" s="1">
        <f ca="1">IFERROR(__xludf.DUMMYFUNCTION("""COMPUTED_VALUE"""),250)</f>
        <v>250</v>
      </c>
      <c r="T307" s="1">
        <f ca="1">IFERROR(__xludf.DUMMYFUNCTION("""COMPUTED_VALUE"""),-3.26)</f>
        <v>-3.26</v>
      </c>
      <c r="U307" s="1">
        <f ca="1">IFERROR(__xludf.DUMMYFUNCTION("""COMPUTED_VALUE"""),231)</f>
        <v>231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IFERROR(__xludf.DUMMYFUNCTION("""COMPUTED_VALUE"""),"Elon")</f>
        <v>Elon</v>
      </c>
      <c r="C308" s="1" t="str">
        <f ca="1">IFERROR(__xludf.DUMMYFUNCTION("""COMPUTED_VALUE"""),"BSth")</f>
        <v>BSth</v>
      </c>
      <c r="D308" s="2">
        <f ca="1">IFERROR(__xludf.DUMMYFUNCTION("""COMPUTED_VALUE"""),44849)</f>
        <v>44849</v>
      </c>
      <c r="E308" s="1">
        <f ca="1">IFERROR(__xludf.DUMMYFUNCTION("""COMPUTED_VALUE"""),-14.35)</f>
        <v>-14.35</v>
      </c>
      <c r="F308" s="1">
        <f ca="1">IFERROR(__xludf.DUMMYFUNCTION("""COMPUTED_VALUE"""),93)</f>
        <v>93</v>
      </c>
      <c r="G308" s="1">
        <f ca="1">IFERROR(__xludf.DUMMYFUNCTION("""COMPUTED_VALUE"""),291)</f>
        <v>291</v>
      </c>
      <c r="H308" s="1">
        <f ca="1">IFERROR(__xludf.DUMMYFUNCTION("""COMPUTED_VALUE"""),107.3)</f>
        <v>107.3</v>
      </c>
      <c r="I308" s="1">
        <f ca="1">IFERROR(__xludf.DUMMYFUNCTION("""COMPUTED_VALUE"""),259)</f>
        <v>259</v>
      </c>
      <c r="J308" s="1">
        <f ca="1">IFERROR(__xludf.DUMMYFUNCTION("""COMPUTED_VALUE"""),63.2)</f>
        <v>63.2</v>
      </c>
      <c r="K308" s="1">
        <f ca="1">IFERROR(__xludf.DUMMYFUNCTION("""COMPUTED_VALUE"""),294)</f>
        <v>294</v>
      </c>
      <c r="L308" s="1" t="str">
        <f ca="1">IFERROR(__xludf.DUMMYFUNCTION("""COMPUTED_VALUE"""),"+.061")</f>
        <v>+.061</v>
      </c>
      <c r="M308" s="1">
        <f ca="1">IFERROR(__xludf.DUMMYFUNCTION("""COMPUTED_VALUE"""),41)</f>
        <v>41</v>
      </c>
      <c r="N308" s="1">
        <f ca="1">IFERROR(__xludf.DUMMYFUNCTION("""COMPUTED_VALUE"""),-8.04)</f>
        <v>-8.0399999999999991</v>
      </c>
      <c r="O308" s="1">
        <f ca="1">IFERROR(__xludf.DUMMYFUNCTION("""COMPUTED_VALUE"""),290)</f>
        <v>290</v>
      </c>
      <c r="P308" s="1">
        <f ca="1">IFERROR(__xludf.DUMMYFUNCTION("""COMPUTED_VALUE"""),98.9)</f>
        <v>98.9</v>
      </c>
      <c r="Q308" s="1">
        <f ca="1">IFERROR(__xludf.DUMMYFUNCTION("""COMPUTED_VALUE"""),260)</f>
        <v>260</v>
      </c>
      <c r="R308" s="1">
        <f ca="1">IFERROR(__xludf.DUMMYFUNCTION("""COMPUTED_VALUE"""),106.9)</f>
        <v>106.9</v>
      </c>
      <c r="S308" s="1">
        <f ca="1">IFERROR(__xludf.DUMMYFUNCTION("""COMPUTED_VALUE"""),307)</f>
        <v>307</v>
      </c>
      <c r="T308" s="1" t="str">
        <f ca="1">IFERROR(__xludf.DUMMYFUNCTION("""COMPUTED_VALUE"""),"+7.16")</f>
        <v>+7.16</v>
      </c>
      <c r="U308" s="1">
        <f ca="1">IFERROR(__xludf.DUMMYFUNCTION("""COMPUTED_VALUE"""),30)</f>
        <v>30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IFERROR(__xludf.DUMMYFUNCTION("""COMPUTED_VALUE"""),"Cornell")</f>
        <v>Cornell</v>
      </c>
      <c r="C309" s="1" t="str">
        <f ca="1">IFERROR(__xludf.DUMMYFUNCTION("""COMPUTED_VALUE"""),"Ivy")</f>
        <v>Ivy</v>
      </c>
      <c r="D309" s="2">
        <f ca="1">IFERROR(__xludf.DUMMYFUNCTION("""COMPUTED_VALUE"""),44791)</f>
        <v>44791</v>
      </c>
      <c r="E309" s="1">
        <f ca="1">IFERROR(__xludf.DUMMYFUNCTION("""COMPUTED_VALUE"""),-15.11)</f>
        <v>-15.11</v>
      </c>
      <c r="F309" s="1">
        <f ca="1">IFERROR(__xludf.DUMMYFUNCTION("""COMPUTED_VALUE"""),92.5)</f>
        <v>92.5</v>
      </c>
      <c r="G309" s="1">
        <f ca="1">IFERROR(__xludf.DUMMYFUNCTION("""COMPUTED_VALUE"""),293)</f>
        <v>293</v>
      </c>
      <c r="H309" s="1">
        <f ca="1">IFERROR(__xludf.DUMMYFUNCTION("""COMPUTED_VALUE"""),107.6)</f>
        <v>107.6</v>
      </c>
      <c r="I309" s="1">
        <f ca="1">IFERROR(__xludf.DUMMYFUNCTION("""COMPUTED_VALUE"""),264)</f>
        <v>264</v>
      </c>
      <c r="J309" s="1">
        <f ca="1">IFERROR(__xludf.DUMMYFUNCTION("""COMPUTED_VALUE"""),64.9)</f>
        <v>64.900000000000006</v>
      </c>
      <c r="K309" s="1">
        <f ca="1">IFERROR(__xludf.DUMMYFUNCTION("""COMPUTED_VALUE"""),261)</f>
        <v>261</v>
      </c>
      <c r="L309" s="1" t="str">
        <f ca="1">IFERROR(__xludf.DUMMYFUNCTION("""COMPUTED_VALUE"""),"+.042")</f>
        <v>+.042</v>
      </c>
      <c r="M309" s="1">
        <f ca="1">IFERROR(__xludf.DUMMYFUNCTION("""COMPUTED_VALUE"""),72)</f>
        <v>72</v>
      </c>
      <c r="N309" s="1">
        <f ca="1">IFERROR(__xludf.DUMMYFUNCTION("""COMPUTED_VALUE"""),-3.78)</f>
        <v>-3.78</v>
      </c>
      <c r="O309" s="1">
        <f ca="1">IFERROR(__xludf.DUMMYFUNCTION("""COMPUTED_VALUE"""),233)</f>
        <v>233</v>
      </c>
      <c r="P309" s="1">
        <f ca="1">IFERROR(__xludf.DUMMYFUNCTION("""COMPUTED_VALUE"""),99.6)</f>
        <v>99.6</v>
      </c>
      <c r="Q309" s="1">
        <f ca="1">IFERROR(__xludf.DUMMYFUNCTION("""COMPUTED_VALUE"""),239)</f>
        <v>239</v>
      </c>
      <c r="R309" s="1">
        <f ca="1">IFERROR(__xludf.DUMMYFUNCTION("""COMPUTED_VALUE"""),103.4)</f>
        <v>103.4</v>
      </c>
      <c r="S309" s="1">
        <f ca="1">IFERROR(__xludf.DUMMYFUNCTION("""COMPUTED_VALUE"""),203)</f>
        <v>203</v>
      </c>
      <c r="T309" s="1">
        <f ca="1">IFERROR(__xludf.DUMMYFUNCTION("""COMPUTED_VALUE"""),-4)</f>
        <v>-4</v>
      </c>
      <c r="U309" s="1">
        <f ca="1">IFERROR(__xludf.DUMMYFUNCTION("""COMPUTED_VALUE"""),252)</f>
        <v>252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IFERROR(__xludf.DUMMYFUNCTION("""COMPUTED_VALUE"""),"Norfolk St.")</f>
        <v>Norfolk St.</v>
      </c>
      <c r="C310" s="1" t="str">
        <f ca="1">IFERROR(__xludf.DUMMYFUNCTION("""COMPUTED_VALUE"""),"MEAC")</f>
        <v>MEAC</v>
      </c>
      <c r="D310" s="1" t="str">
        <f ca="1">IFERROR(__xludf.DUMMYFUNCTION("""COMPUTED_VALUE"""),"14-15")</f>
        <v>14-15</v>
      </c>
      <c r="E310" s="1">
        <f ca="1">IFERROR(__xludf.DUMMYFUNCTION("""COMPUTED_VALUE"""),-15.22)</f>
        <v>-15.22</v>
      </c>
      <c r="F310" s="1">
        <f ca="1">IFERROR(__xludf.DUMMYFUNCTION("""COMPUTED_VALUE"""),88.1)</f>
        <v>88.1</v>
      </c>
      <c r="G310" s="1">
        <f ca="1">IFERROR(__xludf.DUMMYFUNCTION("""COMPUTED_VALUE"""),316)</f>
        <v>316</v>
      </c>
      <c r="H310" s="1">
        <f ca="1">IFERROR(__xludf.DUMMYFUNCTION("""COMPUTED_VALUE"""),103.4)</f>
        <v>103.4</v>
      </c>
      <c r="I310" s="1">
        <f ca="1">IFERROR(__xludf.DUMMYFUNCTION("""COMPUTED_VALUE"""),187)</f>
        <v>187</v>
      </c>
      <c r="J310" s="1">
        <f ca="1">IFERROR(__xludf.DUMMYFUNCTION("""COMPUTED_VALUE"""),65.7)</f>
        <v>65.7</v>
      </c>
      <c r="K310" s="1">
        <f ca="1">IFERROR(__xludf.DUMMYFUNCTION("""COMPUTED_VALUE"""),218)</f>
        <v>218</v>
      </c>
      <c r="L310" s="1" t="str">
        <f ca="1">IFERROR(__xludf.DUMMYFUNCTION("""COMPUTED_VALUE"""),"+.022")</f>
        <v>+.022</v>
      </c>
      <c r="M310" s="1">
        <f ca="1">IFERROR(__xludf.DUMMYFUNCTION("""COMPUTED_VALUE"""),114)</f>
        <v>114</v>
      </c>
      <c r="N310" s="1">
        <f ca="1">IFERROR(__xludf.DUMMYFUNCTION("""COMPUTED_VALUE"""),-15.27)</f>
        <v>-15.27</v>
      </c>
      <c r="O310" s="1">
        <f ca="1">IFERROR(__xludf.DUMMYFUNCTION("""COMPUTED_VALUE"""),327)</f>
        <v>327</v>
      </c>
      <c r="P310" s="1">
        <f ca="1">IFERROR(__xludf.DUMMYFUNCTION("""COMPUTED_VALUE"""),94)</f>
        <v>94</v>
      </c>
      <c r="Q310" s="1">
        <f ca="1">IFERROR(__xludf.DUMMYFUNCTION("""COMPUTED_VALUE"""),324)</f>
        <v>324</v>
      </c>
      <c r="R310" s="1">
        <f ca="1">IFERROR(__xludf.DUMMYFUNCTION("""COMPUTED_VALUE"""),109.3)</f>
        <v>109.3</v>
      </c>
      <c r="S310" s="1">
        <f ca="1">IFERROR(__xludf.DUMMYFUNCTION("""COMPUTED_VALUE"""),327)</f>
        <v>327</v>
      </c>
      <c r="T310" s="1">
        <f ca="1">IFERROR(__xludf.DUMMYFUNCTION("""COMPUTED_VALUE"""),-5.64)</f>
        <v>-5.64</v>
      </c>
      <c r="U310" s="1">
        <f ca="1">IFERROR(__xludf.DUMMYFUNCTION("""COMPUTED_VALUE"""),287)</f>
        <v>287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IFERROR(__xludf.DUMMYFUNCTION("""COMPUTED_VALUE"""),"Long Beach St.")</f>
        <v>Long Beach St.</v>
      </c>
      <c r="C311" s="1" t="str">
        <f ca="1">IFERROR(__xludf.DUMMYFUNCTION("""COMPUTED_VALUE"""),"BW")</f>
        <v>BW</v>
      </c>
      <c r="D311" s="2">
        <f ca="1">IFERROR(__xludf.DUMMYFUNCTION("""COMPUTED_VALUE"""),44673)</f>
        <v>44673</v>
      </c>
      <c r="E311" s="1">
        <f ca="1">IFERROR(__xludf.DUMMYFUNCTION("""COMPUTED_VALUE"""),-15.41)</f>
        <v>-15.41</v>
      </c>
      <c r="F311" s="1">
        <f ca="1">IFERROR(__xludf.DUMMYFUNCTION("""COMPUTED_VALUE"""),96.9)</f>
        <v>96.9</v>
      </c>
      <c r="G311" s="1">
        <f ca="1">IFERROR(__xludf.DUMMYFUNCTION("""COMPUTED_VALUE"""),257)</f>
        <v>257</v>
      </c>
      <c r="H311" s="1">
        <f ca="1">IFERROR(__xludf.DUMMYFUNCTION("""COMPUTED_VALUE"""),112.3)</f>
        <v>112.3</v>
      </c>
      <c r="I311" s="1">
        <f ca="1">IFERROR(__xludf.DUMMYFUNCTION("""COMPUTED_VALUE"""),313)</f>
        <v>313</v>
      </c>
      <c r="J311" s="1">
        <f ca="1">IFERROR(__xludf.DUMMYFUNCTION("""COMPUTED_VALUE"""),65.6)</f>
        <v>65.599999999999994</v>
      </c>
      <c r="K311" s="1">
        <f ca="1">IFERROR(__xludf.DUMMYFUNCTION("""COMPUTED_VALUE"""),227)</f>
        <v>227</v>
      </c>
      <c r="L311" s="1">
        <f ca="1">IFERROR(__xludf.DUMMYFUNCTION("""COMPUTED_VALUE"""),-0.021)</f>
        <v>-2.1000000000000001E-2</v>
      </c>
      <c r="M311" s="1">
        <f ca="1">IFERROR(__xludf.DUMMYFUNCTION("""COMPUTED_VALUE"""),218)</f>
        <v>218</v>
      </c>
      <c r="N311" s="1">
        <f ca="1">IFERROR(__xludf.DUMMYFUNCTION("""COMPUTED_VALUE"""),-0.49)</f>
        <v>-0.49</v>
      </c>
      <c r="O311" s="1">
        <f ca="1">IFERROR(__xludf.DUMMYFUNCTION("""COMPUTED_VALUE"""),159)</f>
        <v>159</v>
      </c>
      <c r="P311" s="1">
        <f ca="1">IFERROR(__xludf.DUMMYFUNCTION("""COMPUTED_VALUE"""),102.3)</f>
        <v>102.3</v>
      </c>
      <c r="Q311" s="1">
        <f ca="1">IFERROR(__xludf.DUMMYFUNCTION("""COMPUTED_VALUE"""),167)</f>
        <v>167</v>
      </c>
      <c r="R311" s="1">
        <f ca="1">IFERROR(__xludf.DUMMYFUNCTION("""COMPUTED_VALUE"""),102.8)</f>
        <v>102.8</v>
      </c>
      <c r="S311" s="1">
        <f ca="1">IFERROR(__xludf.DUMMYFUNCTION("""COMPUTED_VALUE"""),173)</f>
        <v>173</v>
      </c>
      <c r="T311" s="1" t="str">
        <f ca="1">IFERROR(__xludf.DUMMYFUNCTION("""COMPUTED_VALUE"""),"+2.57")</f>
        <v>+2.57</v>
      </c>
      <c r="U311" s="1">
        <f ca="1">IFERROR(__xludf.DUMMYFUNCTION("""COMPUTED_VALUE"""),92)</f>
        <v>92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IFERROR(__xludf.DUMMYFUNCTION("""COMPUTED_VALUE"""),"UTEP")</f>
        <v>UTEP</v>
      </c>
      <c r="C312" s="1" t="str">
        <f ca="1">IFERROR(__xludf.DUMMYFUNCTION("""COMPUTED_VALUE"""),"WAC")</f>
        <v>WAC</v>
      </c>
      <c r="D312" s="2">
        <f ca="1">IFERROR(__xludf.DUMMYFUNCTION("""COMPUTED_VALUE"""),44705)</f>
        <v>44705</v>
      </c>
      <c r="E312" s="1">
        <f ca="1">IFERROR(__xludf.DUMMYFUNCTION("""COMPUTED_VALUE"""),-15.62)</f>
        <v>-15.62</v>
      </c>
      <c r="F312" s="1">
        <f ca="1">IFERROR(__xludf.DUMMYFUNCTION("""COMPUTED_VALUE"""),93.4)</f>
        <v>93.4</v>
      </c>
      <c r="G312" s="1">
        <f ca="1">IFERROR(__xludf.DUMMYFUNCTION("""COMPUTED_VALUE"""),287)</f>
        <v>287</v>
      </c>
      <c r="H312" s="1">
        <f ca="1">IFERROR(__xludf.DUMMYFUNCTION("""COMPUTED_VALUE"""),109)</f>
        <v>109</v>
      </c>
      <c r="I312" s="1">
        <f ca="1">IFERROR(__xludf.DUMMYFUNCTION("""COMPUTED_VALUE"""),285)</f>
        <v>285</v>
      </c>
      <c r="J312" s="1">
        <f ca="1">IFERROR(__xludf.DUMMYFUNCTION("""COMPUTED_VALUE"""),66.3)</f>
        <v>66.3</v>
      </c>
      <c r="K312" s="1">
        <f ca="1">IFERROR(__xludf.DUMMYFUNCTION("""COMPUTED_VALUE"""),195)</f>
        <v>195</v>
      </c>
      <c r="L312" s="1">
        <f ca="1">IFERROR(__xludf.DUMMYFUNCTION("""COMPUTED_VALUE"""),-0.032)</f>
        <v>-3.2000000000000001E-2</v>
      </c>
      <c r="M312" s="1">
        <f ca="1">IFERROR(__xludf.DUMMYFUNCTION("""COMPUTED_VALUE"""),254)</f>
        <v>254</v>
      </c>
      <c r="N312" s="1">
        <f ca="1">IFERROR(__xludf.DUMMYFUNCTION("""COMPUTED_VALUE"""),-0.68)</f>
        <v>-0.68</v>
      </c>
      <c r="O312" s="1">
        <f ca="1">IFERROR(__xludf.DUMMYFUNCTION("""COMPUTED_VALUE"""),163)</f>
        <v>163</v>
      </c>
      <c r="P312" s="1">
        <f ca="1">IFERROR(__xludf.DUMMYFUNCTION("""COMPUTED_VALUE"""),101.3)</f>
        <v>101.3</v>
      </c>
      <c r="Q312" s="1">
        <f ca="1">IFERROR(__xludf.DUMMYFUNCTION("""COMPUTED_VALUE"""),190)</f>
        <v>190</v>
      </c>
      <c r="R312" s="1">
        <f ca="1">IFERROR(__xludf.DUMMYFUNCTION("""COMPUTED_VALUE"""),102)</f>
        <v>102</v>
      </c>
      <c r="S312" s="1">
        <f ca="1">IFERROR(__xludf.DUMMYFUNCTION("""COMPUTED_VALUE"""),135)</f>
        <v>135</v>
      </c>
      <c r="T312" s="1">
        <f ca="1">IFERROR(__xludf.DUMMYFUNCTION("""COMPUTED_VALUE"""),-8.64)</f>
        <v>-8.64</v>
      </c>
      <c r="U312" s="1">
        <f ca="1">IFERROR(__xludf.DUMMYFUNCTION("""COMPUTED_VALUE"""),313)</f>
        <v>313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IFERROR(__xludf.DUMMYFUNCTION("""COMPUTED_VALUE"""),"Liberty")</f>
        <v>Liberty</v>
      </c>
      <c r="C313" s="1" t="str">
        <f ca="1">IFERROR(__xludf.DUMMYFUNCTION("""COMPUTED_VALUE"""),"BSth")</f>
        <v>BSth</v>
      </c>
      <c r="D313" s="1" t="str">
        <f ca="1">IFERROR(__xludf.DUMMYFUNCTION("""COMPUTED_VALUE"""),"14-15")</f>
        <v>14-15</v>
      </c>
      <c r="E313" s="1">
        <f ca="1">IFERROR(__xludf.DUMMYFUNCTION("""COMPUTED_VALUE"""),-15.63)</f>
        <v>-15.63</v>
      </c>
      <c r="F313" s="1">
        <f ca="1">IFERROR(__xludf.DUMMYFUNCTION("""COMPUTED_VALUE"""),89)</f>
        <v>89</v>
      </c>
      <c r="G313" s="1">
        <f ca="1">IFERROR(__xludf.DUMMYFUNCTION("""COMPUTED_VALUE"""),314)</f>
        <v>314</v>
      </c>
      <c r="H313" s="1">
        <f ca="1">IFERROR(__xludf.DUMMYFUNCTION("""COMPUTED_VALUE"""),104.6)</f>
        <v>104.6</v>
      </c>
      <c r="I313" s="1">
        <f ca="1">IFERROR(__xludf.DUMMYFUNCTION("""COMPUTED_VALUE"""),206)</f>
        <v>206</v>
      </c>
      <c r="J313" s="1">
        <f ca="1">IFERROR(__xludf.DUMMYFUNCTION("""COMPUTED_VALUE"""),68.5)</f>
        <v>68.5</v>
      </c>
      <c r="K313" s="1">
        <f ca="1">IFERROR(__xludf.DUMMYFUNCTION("""COMPUTED_VALUE"""),99)</f>
        <v>99</v>
      </c>
      <c r="L313" s="1" t="str">
        <f ca="1">IFERROR(__xludf.DUMMYFUNCTION("""COMPUTED_VALUE"""),"+.107")</f>
        <v>+.107</v>
      </c>
      <c r="M313" s="1">
        <f ca="1">IFERROR(__xludf.DUMMYFUNCTION("""COMPUTED_VALUE"""),8)</f>
        <v>8</v>
      </c>
      <c r="N313" s="1">
        <f ca="1">IFERROR(__xludf.DUMMYFUNCTION("""COMPUTED_VALUE"""),-11.72)</f>
        <v>-11.72</v>
      </c>
      <c r="O313" s="1">
        <f ca="1">IFERROR(__xludf.DUMMYFUNCTION("""COMPUTED_VALUE"""),315)</f>
        <v>315</v>
      </c>
      <c r="P313" s="1">
        <f ca="1">IFERROR(__xludf.DUMMYFUNCTION("""COMPUTED_VALUE"""),96.3)</f>
        <v>96.3</v>
      </c>
      <c r="Q313" s="1">
        <f ca="1">IFERROR(__xludf.DUMMYFUNCTION("""COMPUTED_VALUE"""),311)</f>
        <v>311</v>
      </c>
      <c r="R313" s="1">
        <f ca="1">IFERROR(__xludf.DUMMYFUNCTION("""COMPUTED_VALUE"""),108.1)</f>
        <v>108.1</v>
      </c>
      <c r="S313" s="1">
        <f ca="1">IFERROR(__xludf.DUMMYFUNCTION("""COMPUTED_VALUE"""),322)</f>
        <v>322</v>
      </c>
      <c r="T313" s="1">
        <f ca="1">IFERROR(__xludf.DUMMYFUNCTION("""COMPUTED_VALUE"""),-7.93)</f>
        <v>-7.93</v>
      </c>
      <c r="U313" s="1">
        <f ca="1">IFERROR(__xludf.DUMMYFUNCTION("""COMPUTED_VALUE"""),305)</f>
        <v>305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IFERROR(__xludf.DUMMYFUNCTION("""COMPUTED_VALUE"""),"Grambling St.")</f>
        <v>Grambling St.</v>
      </c>
      <c r="C314" s="1" t="str">
        <f ca="1">IFERROR(__xludf.DUMMYFUNCTION("""COMPUTED_VALUE"""),"SWAC")</f>
        <v>SWAC</v>
      </c>
      <c r="D314" s="2">
        <f ca="1">IFERROR(__xludf.DUMMYFUNCTION("""COMPUTED_VALUE"""),44852)</f>
        <v>44852</v>
      </c>
      <c r="E314" s="1">
        <f ca="1">IFERROR(__xludf.DUMMYFUNCTION("""COMPUTED_VALUE"""),-16.05)</f>
        <v>-16.05</v>
      </c>
      <c r="F314" s="1">
        <f ca="1">IFERROR(__xludf.DUMMYFUNCTION("""COMPUTED_VALUE"""),95.7)</f>
        <v>95.7</v>
      </c>
      <c r="G314" s="1">
        <f ca="1">IFERROR(__xludf.DUMMYFUNCTION("""COMPUTED_VALUE"""),265)</f>
        <v>265</v>
      </c>
      <c r="H314" s="1">
        <f ca="1">IFERROR(__xludf.DUMMYFUNCTION("""COMPUTED_VALUE"""),111.8)</f>
        <v>111.8</v>
      </c>
      <c r="I314" s="1">
        <f ca="1">IFERROR(__xludf.DUMMYFUNCTION("""COMPUTED_VALUE"""),308)</f>
        <v>308</v>
      </c>
      <c r="J314" s="1">
        <f ca="1">IFERROR(__xludf.DUMMYFUNCTION("""COMPUTED_VALUE"""),71.9)</f>
        <v>71.900000000000006</v>
      </c>
      <c r="K314" s="1">
        <f ca="1">IFERROR(__xludf.DUMMYFUNCTION("""COMPUTED_VALUE"""),17)</f>
        <v>17</v>
      </c>
      <c r="L314" s="1" t="str">
        <f ca="1">IFERROR(__xludf.DUMMYFUNCTION("""COMPUTED_VALUE"""),"+.040")</f>
        <v>+.040</v>
      </c>
      <c r="M314" s="1">
        <f ca="1">IFERROR(__xludf.DUMMYFUNCTION("""COMPUTED_VALUE"""),73)</f>
        <v>73</v>
      </c>
      <c r="N314" s="1">
        <f ca="1">IFERROR(__xludf.DUMMYFUNCTION("""COMPUTED_VALUE"""),-7.57)</f>
        <v>-7.57</v>
      </c>
      <c r="O314" s="1">
        <f ca="1">IFERROR(__xludf.DUMMYFUNCTION("""COMPUTED_VALUE"""),284)</f>
        <v>284</v>
      </c>
      <c r="P314" s="1">
        <f ca="1">IFERROR(__xludf.DUMMYFUNCTION("""COMPUTED_VALUE"""),97)</f>
        <v>97</v>
      </c>
      <c r="Q314" s="1">
        <f ca="1">IFERROR(__xludf.DUMMYFUNCTION("""COMPUTED_VALUE"""),298)</f>
        <v>298</v>
      </c>
      <c r="R314" s="1">
        <f ca="1">IFERROR(__xludf.DUMMYFUNCTION("""COMPUTED_VALUE"""),104.6)</f>
        <v>104.6</v>
      </c>
      <c r="S314" s="1">
        <f ca="1">IFERROR(__xludf.DUMMYFUNCTION("""COMPUTED_VALUE"""),255)</f>
        <v>255</v>
      </c>
      <c r="T314" s="1" t="str">
        <f ca="1">IFERROR(__xludf.DUMMYFUNCTION("""COMPUTED_VALUE"""),"+10.37")</f>
        <v>+10.37</v>
      </c>
      <c r="U314" s="1">
        <f ca="1">IFERROR(__xludf.DUMMYFUNCTION("""COMPUTED_VALUE"""),18)</f>
        <v>18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IFERROR(__xludf.DUMMYFUNCTION("""COMPUTED_VALUE"""),"Mount St. Mary's")</f>
        <v>Mount St. Mary's</v>
      </c>
      <c r="C315" s="1" t="str">
        <f ca="1">IFERROR(__xludf.DUMMYFUNCTION("""COMPUTED_VALUE"""),"NEC")</f>
        <v>NEC</v>
      </c>
      <c r="D315" s="2">
        <f ca="1">IFERROR(__xludf.DUMMYFUNCTION("""COMPUTED_VALUE"""),44881)</f>
        <v>44881</v>
      </c>
      <c r="E315" s="1">
        <f ca="1">IFERROR(__xludf.DUMMYFUNCTION("""COMPUTED_VALUE"""),-16.16)</f>
        <v>-16.16</v>
      </c>
      <c r="F315" s="1">
        <f ca="1">IFERROR(__xludf.DUMMYFUNCTION("""COMPUTED_VALUE"""),90.5)</f>
        <v>90.5</v>
      </c>
      <c r="G315" s="1">
        <f ca="1">IFERROR(__xludf.DUMMYFUNCTION("""COMPUTED_VALUE"""),306)</f>
        <v>306</v>
      </c>
      <c r="H315" s="1">
        <f ca="1">IFERROR(__xludf.DUMMYFUNCTION("""COMPUTED_VALUE"""),106.7)</f>
        <v>106.7</v>
      </c>
      <c r="I315" s="1">
        <f ca="1">IFERROR(__xludf.DUMMYFUNCTION("""COMPUTED_VALUE"""),248)</f>
        <v>248</v>
      </c>
      <c r="J315" s="1">
        <f ca="1">IFERROR(__xludf.DUMMYFUNCTION("""COMPUTED_VALUE"""),64.2)</f>
        <v>64.2</v>
      </c>
      <c r="K315" s="1">
        <f ca="1">IFERROR(__xludf.DUMMYFUNCTION("""COMPUTED_VALUE"""),276)</f>
        <v>276</v>
      </c>
      <c r="L315" s="1" t="str">
        <f ca="1">IFERROR(__xludf.DUMMYFUNCTION("""COMPUTED_VALUE"""),"+.103")</f>
        <v>+.103</v>
      </c>
      <c r="M315" s="1">
        <f ca="1">IFERROR(__xludf.DUMMYFUNCTION("""COMPUTED_VALUE"""),10)</f>
        <v>10</v>
      </c>
      <c r="N315" s="1">
        <f ca="1">IFERROR(__xludf.DUMMYFUNCTION("""COMPUTED_VALUE"""),-8.98)</f>
        <v>-8.98</v>
      </c>
      <c r="O315" s="1">
        <f ca="1">IFERROR(__xludf.DUMMYFUNCTION("""COMPUTED_VALUE"""),298)</f>
        <v>298</v>
      </c>
      <c r="P315" s="1">
        <f ca="1">IFERROR(__xludf.DUMMYFUNCTION("""COMPUTED_VALUE"""),98.2)</f>
        <v>98.2</v>
      </c>
      <c r="Q315" s="1">
        <f ca="1">IFERROR(__xludf.DUMMYFUNCTION("""COMPUTED_VALUE"""),274)</f>
        <v>274</v>
      </c>
      <c r="R315" s="1">
        <f ca="1">IFERROR(__xludf.DUMMYFUNCTION("""COMPUTED_VALUE"""),107.2)</f>
        <v>107.2</v>
      </c>
      <c r="S315" s="1">
        <f ca="1">IFERROR(__xludf.DUMMYFUNCTION("""COMPUTED_VALUE"""),311)</f>
        <v>311</v>
      </c>
      <c r="T315" s="1">
        <f ca="1">IFERROR(__xludf.DUMMYFUNCTION("""COMPUTED_VALUE"""),-1.93)</f>
        <v>-1.93</v>
      </c>
      <c r="U315" s="1">
        <f ca="1">IFERROR(__xludf.DUMMYFUNCTION("""COMPUTED_VALUE"""),203)</f>
        <v>203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IFERROR(__xludf.DUMMYFUNCTION("""COMPUTED_VALUE"""),"Lipscomb")</f>
        <v>Lipscomb</v>
      </c>
      <c r="C316" s="1" t="str">
        <f ca="1">IFERROR(__xludf.DUMMYFUNCTION("""COMPUTED_VALUE"""),"ind")</f>
        <v>ind</v>
      </c>
      <c r="D316" s="2">
        <f ca="1">IFERROR(__xludf.DUMMYFUNCTION("""COMPUTED_VALUE"""),44731)</f>
        <v>44731</v>
      </c>
      <c r="E316" s="1">
        <f ca="1">IFERROR(__xludf.DUMMYFUNCTION("""COMPUTED_VALUE"""),-16.28)</f>
        <v>-16.28</v>
      </c>
      <c r="F316" s="1">
        <f ca="1">IFERROR(__xludf.DUMMYFUNCTION("""COMPUTED_VALUE"""),98.8)</f>
        <v>98.8</v>
      </c>
      <c r="G316" s="1">
        <f ca="1">IFERROR(__xludf.DUMMYFUNCTION("""COMPUTED_VALUE"""),226)</f>
        <v>226</v>
      </c>
      <c r="H316" s="1">
        <f ca="1">IFERROR(__xludf.DUMMYFUNCTION("""COMPUTED_VALUE"""),115.1)</f>
        <v>115.1</v>
      </c>
      <c r="I316" s="1">
        <f ca="1">IFERROR(__xludf.DUMMYFUNCTION("""COMPUTED_VALUE"""),321)</f>
        <v>321</v>
      </c>
      <c r="J316" s="1">
        <f ca="1">IFERROR(__xludf.DUMMYFUNCTION("""COMPUTED_VALUE"""),69.9)</f>
        <v>69.900000000000006</v>
      </c>
      <c r="K316" s="1">
        <f ca="1">IFERROR(__xludf.DUMMYFUNCTION("""COMPUTED_VALUE"""),57)</f>
        <v>57</v>
      </c>
      <c r="L316" s="1">
        <f ca="1">IFERROR(__xludf.DUMMYFUNCTION("""COMPUTED_VALUE"""),-0.116)</f>
        <v>-0.11600000000000001</v>
      </c>
      <c r="M316" s="1">
        <f ca="1">IFERROR(__xludf.DUMMYFUNCTION("""COMPUTED_VALUE"""),322)</f>
        <v>322</v>
      </c>
      <c r="N316" s="1">
        <f ca="1">IFERROR(__xludf.DUMMYFUNCTION("""COMPUTED_VALUE"""),-9.16)</f>
        <v>-9.16</v>
      </c>
      <c r="O316" s="1">
        <f ca="1">IFERROR(__xludf.DUMMYFUNCTION("""COMPUTED_VALUE"""),300)</f>
        <v>300</v>
      </c>
      <c r="P316" s="1">
        <f ca="1">IFERROR(__xludf.DUMMYFUNCTION("""COMPUTED_VALUE"""),98.1)</f>
        <v>98.1</v>
      </c>
      <c r="Q316" s="1">
        <f ca="1">IFERROR(__xludf.DUMMYFUNCTION("""COMPUTED_VALUE"""),275)</f>
        <v>275</v>
      </c>
      <c r="R316" s="1">
        <f ca="1">IFERROR(__xludf.DUMMYFUNCTION("""COMPUTED_VALUE"""),107.3)</f>
        <v>107.3</v>
      </c>
      <c r="S316" s="1">
        <f ca="1">IFERROR(__xludf.DUMMYFUNCTION("""COMPUTED_VALUE"""),313)</f>
        <v>313</v>
      </c>
      <c r="T316" s="1">
        <f ca="1">IFERROR(__xludf.DUMMYFUNCTION("""COMPUTED_VALUE"""),-5.21)</f>
        <v>-5.21</v>
      </c>
      <c r="U316" s="1">
        <f ca="1">IFERROR(__xludf.DUMMYFUNCTION("""COMPUTED_VALUE"""),276)</f>
        <v>276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IFERROR(__xludf.DUMMYFUNCTION("""COMPUTED_VALUE"""),"Stetson")</f>
        <v>Stetson</v>
      </c>
      <c r="C317" s="1" t="str">
        <f ca="1">IFERROR(__xludf.DUMMYFUNCTION("""COMPUTED_VALUE"""),"ASun")</f>
        <v>ASun</v>
      </c>
      <c r="D317" s="2">
        <f ca="1">IFERROR(__xludf.DUMMYFUNCTION("""COMPUTED_VALUE"""),44732)</f>
        <v>44732</v>
      </c>
      <c r="E317" s="1">
        <f ca="1">IFERROR(__xludf.DUMMYFUNCTION("""COMPUTED_VALUE"""),-16.3)</f>
        <v>-16.3</v>
      </c>
      <c r="F317" s="1">
        <f ca="1">IFERROR(__xludf.DUMMYFUNCTION("""COMPUTED_VALUE"""),95.5)</f>
        <v>95.5</v>
      </c>
      <c r="G317" s="1">
        <f ca="1">IFERROR(__xludf.DUMMYFUNCTION("""COMPUTED_VALUE"""),270)</f>
        <v>270</v>
      </c>
      <c r="H317" s="1">
        <f ca="1">IFERROR(__xludf.DUMMYFUNCTION("""COMPUTED_VALUE"""),111.8)</f>
        <v>111.8</v>
      </c>
      <c r="I317" s="1">
        <f ca="1">IFERROR(__xludf.DUMMYFUNCTION("""COMPUTED_VALUE"""),307)</f>
        <v>307</v>
      </c>
      <c r="J317" s="1">
        <f ca="1">IFERROR(__xludf.DUMMYFUNCTION("""COMPUTED_VALUE"""),71.9)</f>
        <v>71.900000000000006</v>
      </c>
      <c r="K317" s="1">
        <f ca="1">IFERROR(__xludf.DUMMYFUNCTION("""COMPUTED_VALUE"""),16)</f>
        <v>16</v>
      </c>
      <c r="L317" s="1">
        <f ca="1">IFERROR(__xludf.DUMMYFUNCTION("""COMPUTED_VALUE"""),-0.013)</f>
        <v>-1.2999999999999999E-2</v>
      </c>
      <c r="M317" s="1">
        <f ca="1">IFERROR(__xludf.DUMMYFUNCTION("""COMPUTED_VALUE"""),197)</f>
        <v>197</v>
      </c>
      <c r="N317" s="1">
        <f ca="1">IFERROR(__xludf.DUMMYFUNCTION("""COMPUTED_VALUE"""),-5.35)</f>
        <v>-5.35</v>
      </c>
      <c r="O317" s="1">
        <f ca="1">IFERROR(__xludf.DUMMYFUNCTION("""COMPUTED_VALUE"""),257)</f>
        <v>257</v>
      </c>
      <c r="P317" s="1">
        <f ca="1">IFERROR(__xludf.DUMMYFUNCTION("""COMPUTED_VALUE"""),99.7)</f>
        <v>99.7</v>
      </c>
      <c r="Q317" s="1">
        <f ca="1">IFERROR(__xludf.DUMMYFUNCTION("""COMPUTED_VALUE"""),236)</f>
        <v>236</v>
      </c>
      <c r="R317" s="1">
        <f ca="1">IFERROR(__xludf.DUMMYFUNCTION("""COMPUTED_VALUE"""),105)</f>
        <v>105</v>
      </c>
      <c r="S317" s="1">
        <f ca="1">IFERROR(__xludf.DUMMYFUNCTION("""COMPUTED_VALUE"""),275)</f>
        <v>275</v>
      </c>
      <c r="T317" s="1">
        <f ca="1">IFERROR(__xludf.DUMMYFUNCTION("""COMPUTED_VALUE"""),-5.43)</f>
        <v>-5.43</v>
      </c>
      <c r="U317" s="1">
        <f ca="1">IFERROR(__xludf.DUMMYFUNCTION("""COMPUTED_VALUE"""),284)</f>
        <v>284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IFERROR(__xludf.DUMMYFUNCTION("""COMPUTED_VALUE"""),"Texas Pan American")</f>
        <v>Texas Pan American</v>
      </c>
      <c r="C318" s="1" t="str">
        <f ca="1">IFERROR(__xludf.DUMMYFUNCTION("""COMPUTED_VALUE"""),"ind")</f>
        <v>ind</v>
      </c>
      <c r="D318" s="2">
        <f ca="1">IFERROR(__xludf.DUMMYFUNCTION("""COMPUTED_VALUE"""),44732)</f>
        <v>44732</v>
      </c>
      <c r="E318" s="1">
        <f ca="1">IFERROR(__xludf.DUMMYFUNCTION("""COMPUTED_VALUE"""),-16.39)</f>
        <v>-16.39</v>
      </c>
      <c r="F318" s="1">
        <f ca="1">IFERROR(__xludf.DUMMYFUNCTION("""COMPUTED_VALUE"""),89.5)</f>
        <v>89.5</v>
      </c>
      <c r="G318" s="1">
        <f ca="1">IFERROR(__xludf.DUMMYFUNCTION("""COMPUTED_VALUE"""),312)</f>
        <v>312</v>
      </c>
      <c r="H318" s="1">
        <f ca="1">IFERROR(__xludf.DUMMYFUNCTION("""COMPUTED_VALUE"""),105.9)</f>
        <v>105.9</v>
      </c>
      <c r="I318" s="1">
        <f ca="1">IFERROR(__xludf.DUMMYFUNCTION("""COMPUTED_VALUE"""),239)</f>
        <v>239</v>
      </c>
      <c r="J318" s="1">
        <f ca="1">IFERROR(__xludf.DUMMYFUNCTION("""COMPUTED_VALUE"""),64.8)</f>
        <v>64.8</v>
      </c>
      <c r="K318" s="1">
        <f ca="1">IFERROR(__xludf.DUMMYFUNCTION("""COMPUTED_VALUE"""),265)</f>
        <v>265</v>
      </c>
      <c r="L318" s="1">
        <f ca="1">IFERROR(__xludf.DUMMYFUNCTION("""COMPUTED_VALUE"""),-0.029)</f>
        <v>-2.9000000000000001E-2</v>
      </c>
      <c r="M318" s="1">
        <f ca="1">IFERROR(__xludf.DUMMYFUNCTION("""COMPUTED_VALUE"""),240)</f>
        <v>240</v>
      </c>
      <c r="N318" s="1">
        <f ca="1">IFERROR(__xludf.DUMMYFUNCTION("""COMPUTED_VALUE"""),-6.04)</f>
        <v>-6.04</v>
      </c>
      <c r="O318" s="1">
        <f ca="1">IFERROR(__xludf.DUMMYFUNCTION("""COMPUTED_VALUE"""),266)</f>
        <v>266</v>
      </c>
      <c r="P318" s="1">
        <f ca="1">IFERROR(__xludf.DUMMYFUNCTION("""COMPUTED_VALUE"""),99)</f>
        <v>99</v>
      </c>
      <c r="Q318" s="1">
        <f ca="1">IFERROR(__xludf.DUMMYFUNCTION("""COMPUTED_VALUE"""),256)</f>
        <v>256</v>
      </c>
      <c r="R318" s="1">
        <f ca="1">IFERROR(__xludf.DUMMYFUNCTION("""COMPUTED_VALUE"""),105)</f>
        <v>105</v>
      </c>
      <c r="S318" s="1">
        <f ca="1">IFERROR(__xludf.DUMMYFUNCTION("""COMPUTED_VALUE"""),272)</f>
        <v>272</v>
      </c>
      <c r="T318" s="1">
        <f ca="1">IFERROR(__xludf.DUMMYFUNCTION("""COMPUTED_VALUE"""),-0.71)</f>
        <v>-0.71</v>
      </c>
      <c r="U318" s="1">
        <f ca="1">IFERROR(__xludf.DUMMYFUNCTION("""COMPUTED_VALUE"""),171)</f>
        <v>171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IFERROR(__xludf.DUMMYFUNCTION("""COMPUTED_VALUE"""),"Sacred Heart")</f>
        <v>Sacred Heart</v>
      </c>
      <c r="C319" s="1" t="str">
        <f ca="1">IFERROR(__xludf.DUMMYFUNCTION("""COMPUTED_VALUE"""),"NEC")</f>
        <v>NEC</v>
      </c>
      <c r="D319" s="2">
        <f ca="1">IFERROR(__xludf.DUMMYFUNCTION("""COMPUTED_VALUE"""),44763)</f>
        <v>44763</v>
      </c>
      <c r="E319" s="1">
        <f ca="1">IFERROR(__xludf.DUMMYFUNCTION("""COMPUTED_VALUE"""),-16.77)</f>
        <v>-16.77</v>
      </c>
      <c r="F319" s="1">
        <f ca="1">IFERROR(__xludf.DUMMYFUNCTION("""COMPUTED_VALUE"""),93.9)</f>
        <v>93.9</v>
      </c>
      <c r="G319" s="1">
        <f ca="1">IFERROR(__xludf.DUMMYFUNCTION("""COMPUTED_VALUE"""),283)</f>
        <v>283</v>
      </c>
      <c r="H319" s="1">
        <f ca="1">IFERROR(__xludf.DUMMYFUNCTION("""COMPUTED_VALUE"""),110.7)</f>
        <v>110.7</v>
      </c>
      <c r="I319" s="1">
        <f ca="1">IFERROR(__xludf.DUMMYFUNCTION("""COMPUTED_VALUE"""),299)</f>
        <v>299</v>
      </c>
      <c r="J319" s="1">
        <f ca="1">IFERROR(__xludf.DUMMYFUNCTION("""COMPUTED_VALUE"""),69.9)</f>
        <v>69.900000000000006</v>
      </c>
      <c r="K319" s="1">
        <f ca="1">IFERROR(__xludf.DUMMYFUNCTION("""COMPUTED_VALUE"""),55)</f>
        <v>55</v>
      </c>
      <c r="L319" s="1">
        <f ca="1">IFERROR(__xludf.DUMMYFUNCTION("""COMPUTED_VALUE"""),-0.003)</f>
        <v>-3.0000000000000001E-3</v>
      </c>
      <c r="M319" s="1">
        <f ca="1">IFERROR(__xludf.DUMMYFUNCTION("""COMPUTED_VALUE"""),168)</f>
        <v>168</v>
      </c>
      <c r="N319" s="1">
        <f ca="1">IFERROR(__xludf.DUMMYFUNCTION("""COMPUTED_VALUE"""),-7.58)</f>
        <v>-7.58</v>
      </c>
      <c r="O319" s="1">
        <f ca="1">IFERROR(__xludf.DUMMYFUNCTION("""COMPUTED_VALUE"""),285)</f>
        <v>285</v>
      </c>
      <c r="P319" s="1">
        <f ca="1">IFERROR(__xludf.DUMMYFUNCTION("""COMPUTED_VALUE"""),98.1)</f>
        <v>98.1</v>
      </c>
      <c r="Q319" s="1">
        <f ca="1">IFERROR(__xludf.DUMMYFUNCTION("""COMPUTED_VALUE"""),276)</f>
        <v>276</v>
      </c>
      <c r="R319" s="1">
        <f ca="1">IFERROR(__xludf.DUMMYFUNCTION("""COMPUTED_VALUE"""),105.7)</f>
        <v>105.7</v>
      </c>
      <c r="S319" s="1">
        <f ca="1">IFERROR(__xludf.DUMMYFUNCTION("""COMPUTED_VALUE"""),287)</f>
        <v>287</v>
      </c>
      <c r="T319" s="1">
        <f ca="1">IFERROR(__xludf.DUMMYFUNCTION("""COMPUTED_VALUE"""),-1.83)</f>
        <v>-1.83</v>
      </c>
      <c r="U319" s="1">
        <f ca="1">IFERROR(__xludf.DUMMYFUNCTION("""COMPUTED_VALUE"""),199)</f>
        <v>199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IFERROR(__xludf.DUMMYFUNCTION("""COMPUTED_VALUE"""),"UMBC")</f>
        <v>UMBC</v>
      </c>
      <c r="C320" s="1" t="str">
        <f ca="1">IFERROR(__xludf.DUMMYFUNCTION("""COMPUTED_VALUE"""),"NEC")</f>
        <v>NEC</v>
      </c>
      <c r="D320" s="2">
        <f ca="1">IFERROR(__xludf.DUMMYFUNCTION("""COMPUTED_VALUE"""),44762)</f>
        <v>44762</v>
      </c>
      <c r="E320" s="1">
        <f ca="1">IFERROR(__xludf.DUMMYFUNCTION("""COMPUTED_VALUE"""),-16.78)</f>
        <v>-16.78</v>
      </c>
      <c r="F320" s="1">
        <f ca="1">IFERROR(__xludf.DUMMYFUNCTION("""COMPUTED_VALUE"""),90)</f>
        <v>90</v>
      </c>
      <c r="G320" s="1">
        <f ca="1">IFERROR(__xludf.DUMMYFUNCTION("""COMPUTED_VALUE"""),309)</f>
        <v>309</v>
      </c>
      <c r="H320" s="1">
        <f ca="1">IFERROR(__xludf.DUMMYFUNCTION("""COMPUTED_VALUE"""),106.8)</f>
        <v>106.8</v>
      </c>
      <c r="I320" s="1">
        <f ca="1">IFERROR(__xludf.DUMMYFUNCTION("""COMPUTED_VALUE"""),250)</f>
        <v>250</v>
      </c>
      <c r="J320" s="1">
        <f ca="1">IFERROR(__xludf.DUMMYFUNCTION("""COMPUTED_VALUE"""),64.9)</f>
        <v>64.900000000000006</v>
      </c>
      <c r="K320" s="1">
        <f ca="1">IFERROR(__xludf.DUMMYFUNCTION("""COMPUTED_VALUE"""),260)</f>
        <v>260</v>
      </c>
      <c r="L320" s="1">
        <f ca="1">IFERROR(__xludf.DUMMYFUNCTION("""COMPUTED_VALUE"""),-0.057)</f>
        <v>-5.7000000000000002E-2</v>
      </c>
      <c r="M320" s="1">
        <f ca="1">IFERROR(__xludf.DUMMYFUNCTION("""COMPUTED_VALUE"""),286)</f>
        <v>286</v>
      </c>
      <c r="N320" s="1">
        <f ca="1">IFERROR(__xludf.DUMMYFUNCTION("""COMPUTED_VALUE"""),-8.78)</f>
        <v>-8.7799999999999994</v>
      </c>
      <c r="O320" s="1">
        <f ca="1">IFERROR(__xludf.DUMMYFUNCTION("""COMPUTED_VALUE"""),296)</f>
        <v>296</v>
      </c>
      <c r="P320" s="1">
        <f ca="1">IFERROR(__xludf.DUMMYFUNCTION("""COMPUTED_VALUE"""),98)</f>
        <v>98</v>
      </c>
      <c r="Q320" s="1">
        <f ca="1">IFERROR(__xludf.DUMMYFUNCTION("""COMPUTED_VALUE"""),278)</f>
        <v>278</v>
      </c>
      <c r="R320" s="1">
        <f ca="1">IFERROR(__xludf.DUMMYFUNCTION("""COMPUTED_VALUE"""),106.8)</f>
        <v>106.8</v>
      </c>
      <c r="S320" s="1">
        <f ca="1">IFERROR(__xludf.DUMMYFUNCTION("""COMPUTED_VALUE"""),305)</f>
        <v>305</v>
      </c>
      <c r="T320" s="1">
        <f ca="1">IFERROR(__xludf.DUMMYFUNCTION("""COMPUTED_VALUE"""),-1.84)</f>
        <v>-1.84</v>
      </c>
      <c r="U320" s="1">
        <f ca="1">IFERROR(__xludf.DUMMYFUNCTION("""COMPUTED_VALUE"""),200)</f>
        <v>200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IFERROR(__xludf.DUMMYFUNCTION("""COMPUTED_VALUE"""),"Northwestern St.")</f>
        <v>Northwestern St.</v>
      </c>
      <c r="C321" s="1" t="str">
        <f ca="1">IFERROR(__xludf.DUMMYFUNCTION("""COMPUTED_VALUE"""),"Slnd")</f>
        <v>Slnd</v>
      </c>
      <c r="D321" s="2">
        <f ca="1">IFERROR(__xludf.DUMMYFUNCTION("""COMPUTED_VALUE"""),44733)</f>
        <v>44733</v>
      </c>
      <c r="E321" s="1">
        <f ca="1">IFERROR(__xludf.DUMMYFUNCTION("""COMPUTED_VALUE"""),-16.93)</f>
        <v>-16.93</v>
      </c>
      <c r="F321" s="1">
        <f ca="1">IFERROR(__xludf.DUMMYFUNCTION("""COMPUTED_VALUE"""),85.2)</f>
        <v>85.2</v>
      </c>
      <c r="G321" s="1">
        <f ca="1">IFERROR(__xludf.DUMMYFUNCTION("""COMPUTED_VALUE"""),322)</f>
        <v>322</v>
      </c>
      <c r="H321" s="1">
        <f ca="1">IFERROR(__xludf.DUMMYFUNCTION("""COMPUTED_VALUE"""),102.1)</f>
        <v>102.1</v>
      </c>
      <c r="I321" s="1">
        <f ca="1">IFERROR(__xludf.DUMMYFUNCTION("""COMPUTED_VALUE"""),166)</f>
        <v>166</v>
      </c>
      <c r="J321" s="1">
        <f ca="1">IFERROR(__xludf.DUMMYFUNCTION("""COMPUTED_VALUE"""),70.6)</f>
        <v>70.599999999999994</v>
      </c>
      <c r="K321" s="1">
        <f ca="1">IFERROR(__xludf.DUMMYFUNCTION("""COMPUTED_VALUE"""),42)</f>
        <v>42</v>
      </c>
      <c r="L321" s="1" t="str">
        <f ca="1">IFERROR(__xludf.DUMMYFUNCTION("""COMPUTED_VALUE"""),"+.001")</f>
        <v>+.001</v>
      </c>
      <c r="M321" s="1">
        <f ca="1">IFERROR(__xludf.DUMMYFUNCTION("""COMPUTED_VALUE"""),164)</f>
        <v>164</v>
      </c>
      <c r="N321" s="1">
        <f ca="1">IFERROR(__xludf.DUMMYFUNCTION("""COMPUTED_VALUE"""),-6.04)</f>
        <v>-6.04</v>
      </c>
      <c r="O321" s="1">
        <f ca="1">IFERROR(__xludf.DUMMYFUNCTION("""COMPUTED_VALUE"""),267)</f>
        <v>267</v>
      </c>
      <c r="P321" s="1">
        <f ca="1">IFERROR(__xludf.DUMMYFUNCTION("""COMPUTED_VALUE"""),98.9)</f>
        <v>98.9</v>
      </c>
      <c r="Q321" s="1">
        <f ca="1">IFERROR(__xludf.DUMMYFUNCTION("""COMPUTED_VALUE"""),259)</f>
        <v>259</v>
      </c>
      <c r="R321" s="1">
        <f ca="1">IFERROR(__xludf.DUMMYFUNCTION("""COMPUTED_VALUE"""),105)</f>
        <v>105</v>
      </c>
      <c r="S321" s="1">
        <f ca="1">IFERROR(__xludf.DUMMYFUNCTION("""COMPUTED_VALUE"""),270)</f>
        <v>270</v>
      </c>
      <c r="T321" s="1" t="str">
        <f ca="1">IFERROR(__xludf.DUMMYFUNCTION("""COMPUTED_VALUE"""),"+0.45")</f>
        <v>+0.45</v>
      </c>
      <c r="U321" s="1">
        <f ca="1">IFERROR(__xludf.DUMMYFUNCTION("""COMPUTED_VALUE"""),145)</f>
        <v>145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IFERROR(__xludf.DUMMYFUNCTION("""COMPUTED_VALUE"""),"Western Illinois")</f>
        <v>Western Illinois</v>
      </c>
      <c r="C322" s="1" t="str">
        <f ca="1">IFERROR(__xludf.DUMMYFUNCTION("""COMPUTED_VALUE"""),"MCon")</f>
        <v>MCon</v>
      </c>
      <c r="D322" s="2">
        <f ca="1">IFERROR(__xludf.DUMMYFUNCTION("""COMPUTED_VALUE"""),44702)</f>
        <v>44702</v>
      </c>
      <c r="E322" s="1">
        <f ca="1">IFERROR(__xludf.DUMMYFUNCTION("""COMPUTED_VALUE"""),-17.26)</f>
        <v>-17.260000000000002</v>
      </c>
      <c r="F322" s="1">
        <f ca="1">IFERROR(__xludf.DUMMYFUNCTION("""COMPUTED_VALUE"""),93.5)</f>
        <v>93.5</v>
      </c>
      <c r="G322" s="1">
        <f ca="1">IFERROR(__xludf.DUMMYFUNCTION("""COMPUTED_VALUE"""),285)</f>
        <v>285</v>
      </c>
      <c r="H322" s="1">
        <f ca="1">IFERROR(__xludf.DUMMYFUNCTION("""COMPUTED_VALUE"""),110.7)</f>
        <v>110.7</v>
      </c>
      <c r="I322" s="1">
        <f ca="1">IFERROR(__xludf.DUMMYFUNCTION("""COMPUTED_VALUE"""),301)</f>
        <v>301</v>
      </c>
      <c r="J322" s="1">
        <f ca="1">IFERROR(__xludf.DUMMYFUNCTION("""COMPUTED_VALUE"""),67)</f>
        <v>67</v>
      </c>
      <c r="K322" s="1">
        <f ca="1">IFERROR(__xludf.DUMMYFUNCTION("""COMPUTED_VALUE"""),167)</f>
        <v>167</v>
      </c>
      <c r="L322" s="1" t="str">
        <f ca="1">IFERROR(__xludf.DUMMYFUNCTION("""COMPUTED_VALUE"""),"+.050")</f>
        <v>+.050</v>
      </c>
      <c r="M322" s="1">
        <f ca="1">IFERROR(__xludf.DUMMYFUNCTION("""COMPUTED_VALUE"""),56)</f>
        <v>56</v>
      </c>
      <c r="N322" s="1">
        <f ca="1">IFERROR(__xludf.DUMMYFUNCTION("""COMPUTED_VALUE"""),-2.08)</f>
        <v>-2.08</v>
      </c>
      <c r="O322" s="1">
        <f ca="1">IFERROR(__xludf.DUMMYFUNCTION("""COMPUTED_VALUE"""),200)</f>
        <v>200</v>
      </c>
      <c r="P322" s="1">
        <f ca="1">IFERROR(__xludf.DUMMYFUNCTION("""COMPUTED_VALUE"""),102.6)</f>
        <v>102.6</v>
      </c>
      <c r="Q322" s="1">
        <f ca="1">IFERROR(__xludf.DUMMYFUNCTION("""COMPUTED_VALUE"""),156)</f>
        <v>156</v>
      </c>
      <c r="R322" s="1">
        <f ca="1">IFERROR(__xludf.DUMMYFUNCTION("""COMPUTED_VALUE"""),104.7)</f>
        <v>104.7</v>
      </c>
      <c r="S322" s="1">
        <f ca="1">IFERROR(__xludf.DUMMYFUNCTION("""COMPUTED_VALUE"""),261)</f>
        <v>261</v>
      </c>
      <c r="T322" s="1" t="str">
        <f ca="1">IFERROR(__xludf.DUMMYFUNCTION("""COMPUTED_VALUE"""),"+2.05")</f>
        <v>+2.05</v>
      </c>
      <c r="U322" s="1">
        <f ca="1">IFERROR(__xludf.DUMMYFUNCTION("""COMPUTED_VALUE"""),109)</f>
        <v>109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IFERROR(__xludf.DUMMYFUNCTION("""COMPUTED_VALUE"""),"High Point")</f>
        <v>High Point</v>
      </c>
      <c r="C323" s="1" t="str">
        <f ca="1">IFERROR(__xludf.DUMMYFUNCTION("""COMPUTED_VALUE"""),"BSth")</f>
        <v>BSth</v>
      </c>
      <c r="D323" s="2">
        <f ca="1">IFERROR(__xludf.DUMMYFUNCTION("""COMPUTED_VALUE"""),44762)</f>
        <v>44762</v>
      </c>
      <c r="E323" s="1">
        <f ca="1">IFERROR(__xludf.DUMMYFUNCTION("""COMPUTED_VALUE"""),-17.75)</f>
        <v>-17.75</v>
      </c>
      <c r="F323" s="1">
        <f ca="1">IFERROR(__xludf.DUMMYFUNCTION("""COMPUTED_VALUE"""),95.6)</f>
        <v>95.6</v>
      </c>
      <c r="G323" s="1">
        <f ca="1">IFERROR(__xludf.DUMMYFUNCTION("""COMPUTED_VALUE"""),268)</f>
        <v>268</v>
      </c>
      <c r="H323" s="1">
        <f ca="1">IFERROR(__xludf.DUMMYFUNCTION("""COMPUTED_VALUE"""),113.4)</f>
        <v>113.4</v>
      </c>
      <c r="I323" s="1">
        <f ca="1">IFERROR(__xludf.DUMMYFUNCTION("""COMPUTED_VALUE"""),318)</f>
        <v>318</v>
      </c>
      <c r="J323" s="1">
        <f ca="1">IFERROR(__xludf.DUMMYFUNCTION("""COMPUTED_VALUE"""),68.2)</f>
        <v>68.2</v>
      </c>
      <c r="K323" s="1">
        <f ca="1">IFERROR(__xludf.DUMMYFUNCTION("""COMPUTED_VALUE"""),111)</f>
        <v>111</v>
      </c>
      <c r="L323" s="1">
        <f ca="1">IFERROR(__xludf.DUMMYFUNCTION("""COMPUTED_VALUE"""),-0.03)</f>
        <v>-0.03</v>
      </c>
      <c r="M323" s="1">
        <f ca="1">IFERROR(__xludf.DUMMYFUNCTION("""COMPUTED_VALUE"""),245)</f>
        <v>245</v>
      </c>
      <c r="N323" s="1">
        <f ca="1">IFERROR(__xludf.DUMMYFUNCTION("""COMPUTED_VALUE"""),-9.47)</f>
        <v>-9.4700000000000006</v>
      </c>
      <c r="O323" s="1">
        <f ca="1">IFERROR(__xludf.DUMMYFUNCTION("""COMPUTED_VALUE"""),305)</f>
        <v>305</v>
      </c>
      <c r="P323" s="1">
        <f ca="1">IFERROR(__xludf.DUMMYFUNCTION("""COMPUTED_VALUE"""),96.9)</f>
        <v>96.9</v>
      </c>
      <c r="Q323" s="1">
        <f ca="1">IFERROR(__xludf.DUMMYFUNCTION("""COMPUTED_VALUE"""),300)</f>
        <v>300</v>
      </c>
      <c r="R323" s="1">
        <f ca="1">IFERROR(__xludf.DUMMYFUNCTION("""COMPUTED_VALUE"""),106.4)</f>
        <v>106.4</v>
      </c>
      <c r="S323" s="1">
        <f ca="1">IFERROR(__xludf.DUMMYFUNCTION("""COMPUTED_VALUE"""),296)</f>
        <v>296</v>
      </c>
      <c r="T323" s="1">
        <f ca="1">IFERROR(__xludf.DUMMYFUNCTION("""COMPUTED_VALUE"""),-4.59)</f>
        <v>-4.59</v>
      </c>
      <c r="U323" s="1">
        <f ca="1">IFERROR(__xludf.DUMMYFUNCTION("""COMPUTED_VALUE"""),265)</f>
        <v>265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IFERROR(__xludf.DUMMYFUNCTION("""COMPUTED_VALUE"""),"Chicago St.")</f>
        <v>Chicago St.</v>
      </c>
      <c r="C324" s="1" t="str">
        <f ca="1">IFERROR(__xludf.DUMMYFUNCTION("""COMPUTED_VALUE"""),"MCon")</f>
        <v>MCon</v>
      </c>
      <c r="D324" s="2">
        <f ca="1">IFERROR(__xludf.DUMMYFUNCTION("""COMPUTED_VALUE"""),44647)</f>
        <v>44647</v>
      </c>
      <c r="E324" s="1">
        <f ca="1">IFERROR(__xludf.DUMMYFUNCTION("""COMPUTED_VALUE"""),-18.22)</f>
        <v>-18.22</v>
      </c>
      <c r="F324" s="1">
        <f ca="1">IFERROR(__xludf.DUMMYFUNCTION("""COMPUTED_VALUE"""),93.2)</f>
        <v>93.2</v>
      </c>
      <c r="G324" s="1">
        <f ca="1">IFERROR(__xludf.DUMMYFUNCTION("""COMPUTED_VALUE"""),288)</f>
        <v>288</v>
      </c>
      <c r="H324" s="1">
        <f ca="1">IFERROR(__xludf.DUMMYFUNCTION("""COMPUTED_VALUE"""),111.4)</f>
        <v>111.4</v>
      </c>
      <c r="I324" s="1">
        <f ca="1">IFERROR(__xludf.DUMMYFUNCTION("""COMPUTED_VALUE"""),305)</f>
        <v>305</v>
      </c>
      <c r="J324" s="1">
        <f ca="1">IFERROR(__xludf.DUMMYFUNCTION("""COMPUTED_VALUE"""),65.7)</f>
        <v>65.7</v>
      </c>
      <c r="K324" s="1">
        <f ca="1">IFERROR(__xludf.DUMMYFUNCTION("""COMPUTED_VALUE"""),220)</f>
        <v>220</v>
      </c>
      <c r="L324" s="1">
        <f ca="1">IFERROR(__xludf.DUMMYFUNCTION("""COMPUTED_VALUE"""),-0.037)</f>
        <v>-3.6999999999999998E-2</v>
      </c>
      <c r="M324" s="1">
        <f ca="1">IFERROR(__xludf.DUMMYFUNCTION("""COMPUTED_VALUE"""),265)</f>
        <v>265</v>
      </c>
      <c r="N324" s="1">
        <f ca="1">IFERROR(__xludf.DUMMYFUNCTION("""COMPUTED_VALUE"""),-2.2)</f>
        <v>-2.2000000000000002</v>
      </c>
      <c r="O324" s="1">
        <f ca="1">IFERROR(__xludf.DUMMYFUNCTION("""COMPUTED_VALUE"""),202)</f>
        <v>202</v>
      </c>
      <c r="P324" s="1">
        <f ca="1">IFERROR(__xludf.DUMMYFUNCTION("""COMPUTED_VALUE"""),102)</f>
        <v>102</v>
      </c>
      <c r="Q324" s="1">
        <f ca="1">IFERROR(__xludf.DUMMYFUNCTION("""COMPUTED_VALUE"""),176)</f>
        <v>176</v>
      </c>
      <c r="R324" s="1">
        <f ca="1">IFERROR(__xludf.DUMMYFUNCTION("""COMPUTED_VALUE"""),104.2)</f>
        <v>104.2</v>
      </c>
      <c r="S324" s="1">
        <f ca="1">IFERROR(__xludf.DUMMYFUNCTION("""COMPUTED_VALUE"""),235)</f>
        <v>235</v>
      </c>
      <c r="T324" s="1" t="str">
        <f ca="1">IFERROR(__xludf.DUMMYFUNCTION("""COMPUTED_VALUE"""),"+0.27")</f>
        <v>+0.27</v>
      </c>
      <c r="U324" s="1">
        <f ca="1">IFERROR(__xludf.DUMMYFUNCTION("""COMPUTED_VALUE"""),149)</f>
        <v>149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IFERROR(__xludf.DUMMYFUNCTION("""COMPUTED_VALUE"""),"Alabama A&amp;M")</f>
        <v>Alabama A&amp;M</v>
      </c>
      <c r="C325" s="1" t="str">
        <f ca="1">IFERROR(__xludf.DUMMYFUNCTION("""COMPUTED_VALUE"""),"SWAC")</f>
        <v>SWAC</v>
      </c>
      <c r="D325" s="2">
        <f ca="1">IFERROR(__xludf.DUMMYFUNCTION("""COMPUTED_VALUE"""),44760)</f>
        <v>44760</v>
      </c>
      <c r="E325" s="1">
        <f ca="1">IFERROR(__xludf.DUMMYFUNCTION("""COMPUTED_VALUE"""),-18.25)</f>
        <v>-18.25</v>
      </c>
      <c r="F325" s="1">
        <f ca="1">IFERROR(__xludf.DUMMYFUNCTION("""COMPUTED_VALUE"""),90)</f>
        <v>90</v>
      </c>
      <c r="G325" s="1">
        <f ca="1">IFERROR(__xludf.DUMMYFUNCTION("""COMPUTED_VALUE"""),310)</f>
        <v>310</v>
      </c>
      <c r="H325" s="1">
        <f ca="1">IFERROR(__xludf.DUMMYFUNCTION("""COMPUTED_VALUE"""),108.2)</f>
        <v>108.2</v>
      </c>
      <c r="I325" s="1">
        <f ca="1">IFERROR(__xludf.DUMMYFUNCTION("""COMPUTED_VALUE"""),275)</f>
        <v>275</v>
      </c>
      <c r="J325" s="1">
        <f ca="1">IFERROR(__xludf.DUMMYFUNCTION("""COMPUTED_VALUE"""),72.3)</f>
        <v>72.3</v>
      </c>
      <c r="K325" s="1">
        <f ca="1">IFERROR(__xludf.DUMMYFUNCTION("""COMPUTED_VALUE"""),13)</f>
        <v>13</v>
      </c>
      <c r="L325" s="1">
        <f ca="1">IFERROR(__xludf.DUMMYFUNCTION("""COMPUTED_VALUE"""),-0.087)</f>
        <v>-8.6999999999999994E-2</v>
      </c>
      <c r="M325" s="1">
        <f ca="1">IFERROR(__xludf.DUMMYFUNCTION("""COMPUTED_VALUE"""),308)</f>
        <v>308</v>
      </c>
      <c r="N325" s="1">
        <f ca="1">IFERROR(__xludf.DUMMYFUNCTION("""COMPUTED_VALUE"""),-13.35)</f>
        <v>-13.35</v>
      </c>
      <c r="O325" s="1">
        <f ca="1">IFERROR(__xludf.DUMMYFUNCTION("""COMPUTED_VALUE"""),322)</f>
        <v>322</v>
      </c>
      <c r="P325" s="1">
        <f ca="1">IFERROR(__xludf.DUMMYFUNCTION("""COMPUTED_VALUE"""),92.9)</f>
        <v>92.9</v>
      </c>
      <c r="Q325" s="1">
        <f ca="1">IFERROR(__xludf.DUMMYFUNCTION("""COMPUTED_VALUE"""),327)</f>
        <v>327</v>
      </c>
      <c r="R325" s="1">
        <f ca="1">IFERROR(__xludf.DUMMYFUNCTION("""COMPUTED_VALUE"""),106.3)</f>
        <v>106.3</v>
      </c>
      <c r="S325" s="1">
        <f ca="1">IFERROR(__xludf.DUMMYFUNCTION("""COMPUTED_VALUE"""),293)</f>
        <v>293</v>
      </c>
      <c r="T325" s="1">
        <f ca="1">IFERROR(__xludf.DUMMYFUNCTION("""COMPUTED_VALUE"""),-8.38)</f>
        <v>-8.3800000000000008</v>
      </c>
      <c r="U325" s="1">
        <f ca="1">IFERROR(__xludf.DUMMYFUNCTION("""COMPUTED_VALUE"""),312)</f>
        <v>312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IFERROR(__xludf.DUMMYFUNCTION("""COMPUTED_VALUE"""),"New Hampshire")</f>
        <v>New Hampshire</v>
      </c>
      <c r="C326" s="1" t="str">
        <f ca="1">IFERROR(__xludf.DUMMYFUNCTION("""COMPUTED_VALUE"""),"AE")</f>
        <v>AE</v>
      </c>
      <c r="D326" s="2">
        <f ca="1">IFERROR(__xludf.DUMMYFUNCTION("""COMPUTED_VALUE"""),44704)</f>
        <v>44704</v>
      </c>
      <c r="E326" s="1">
        <f ca="1">IFERROR(__xludf.DUMMYFUNCTION("""COMPUTED_VALUE"""),-18.5)</f>
        <v>-18.5</v>
      </c>
      <c r="F326" s="1">
        <f ca="1">IFERROR(__xludf.DUMMYFUNCTION("""COMPUTED_VALUE"""),94)</f>
        <v>94</v>
      </c>
      <c r="G326" s="1">
        <f ca="1">IFERROR(__xludf.DUMMYFUNCTION("""COMPUTED_VALUE"""),282)</f>
        <v>282</v>
      </c>
      <c r="H326" s="1">
        <f ca="1">IFERROR(__xludf.DUMMYFUNCTION("""COMPUTED_VALUE"""),112.5)</f>
        <v>112.5</v>
      </c>
      <c r="I326" s="1">
        <f ca="1">IFERROR(__xludf.DUMMYFUNCTION("""COMPUTED_VALUE"""),314)</f>
        <v>314</v>
      </c>
      <c r="J326" s="1">
        <f ca="1">IFERROR(__xludf.DUMMYFUNCTION("""COMPUTED_VALUE"""),70.4)</f>
        <v>70.400000000000006</v>
      </c>
      <c r="K326" s="1">
        <f ca="1">IFERROR(__xludf.DUMMYFUNCTION("""COMPUTED_VALUE"""),45)</f>
        <v>45</v>
      </c>
      <c r="L326" s="1">
        <f ca="1">IFERROR(__xludf.DUMMYFUNCTION("""COMPUTED_VALUE"""),-0.037)</f>
        <v>-3.6999999999999998E-2</v>
      </c>
      <c r="M326" s="1">
        <f ca="1">IFERROR(__xludf.DUMMYFUNCTION("""COMPUTED_VALUE"""),263)</f>
        <v>263</v>
      </c>
      <c r="N326" s="1">
        <f ca="1">IFERROR(__xludf.DUMMYFUNCTION("""COMPUTED_VALUE"""),-5.14)</f>
        <v>-5.14</v>
      </c>
      <c r="O326" s="1">
        <f ca="1">IFERROR(__xludf.DUMMYFUNCTION("""COMPUTED_VALUE"""),252)</f>
        <v>252</v>
      </c>
      <c r="P326" s="1">
        <f ca="1">IFERROR(__xludf.DUMMYFUNCTION("""COMPUTED_VALUE"""),98.7)</f>
        <v>98.7</v>
      </c>
      <c r="Q326" s="1">
        <f ca="1">IFERROR(__xludf.DUMMYFUNCTION("""COMPUTED_VALUE"""),268)</f>
        <v>268</v>
      </c>
      <c r="R326" s="1">
        <f ca="1">IFERROR(__xludf.DUMMYFUNCTION("""COMPUTED_VALUE"""),103.8)</f>
        <v>103.8</v>
      </c>
      <c r="S326" s="1">
        <f ca="1">IFERROR(__xludf.DUMMYFUNCTION("""COMPUTED_VALUE"""),213)</f>
        <v>213</v>
      </c>
      <c r="T326" s="1">
        <f ca="1">IFERROR(__xludf.DUMMYFUNCTION("""COMPUTED_VALUE"""),-4.24)</f>
        <v>-4.24</v>
      </c>
      <c r="U326" s="1">
        <f ca="1">IFERROR(__xludf.DUMMYFUNCTION("""COMPUTED_VALUE"""),258)</f>
        <v>258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IFERROR(__xludf.DUMMYFUNCTION("""COMPUTED_VALUE"""),"Albany")</f>
        <v>Albany</v>
      </c>
      <c r="C327" s="1" t="str">
        <f ca="1">IFERROR(__xludf.DUMMYFUNCTION("""COMPUTED_VALUE"""),"AE")</f>
        <v>AE</v>
      </c>
      <c r="D327" s="2">
        <f ca="1">IFERROR(__xludf.DUMMYFUNCTION("""COMPUTED_VALUE"""),44763)</f>
        <v>44763</v>
      </c>
      <c r="E327" s="1">
        <f ca="1">IFERROR(__xludf.DUMMYFUNCTION("""COMPUTED_VALUE"""),-18.51)</f>
        <v>-18.510000000000002</v>
      </c>
      <c r="F327" s="1">
        <f ca="1">IFERROR(__xludf.DUMMYFUNCTION("""COMPUTED_VALUE"""),94.8)</f>
        <v>94.8</v>
      </c>
      <c r="G327" s="1">
        <f ca="1">IFERROR(__xludf.DUMMYFUNCTION("""COMPUTED_VALUE"""),274)</f>
        <v>274</v>
      </c>
      <c r="H327" s="1">
        <f ca="1">IFERROR(__xludf.DUMMYFUNCTION("""COMPUTED_VALUE"""),113.3)</f>
        <v>113.3</v>
      </c>
      <c r="I327" s="1">
        <f ca="1">IFERROR(__xludf.DUMMYFUNCTION("""COMPUTED_VALUE"""),317)</f>
        <v>317</v>
      </c>
      <c r="J327" s="1">
        <f ca="1">IFERROR(__xludf.DUMMYFUNCTION("""COMPUTED_VALUE"""),65.9)</f>
        <v>65.900000000000006</v>
      </c>
      <c r="K327" s="1">
        <f ca="1">IFERROR(__xludf.DUMMYFUNCTION("""COMPUTED_VALUE"""),209)</f>
        <v>209</v>
      </c>
      <c r="L327" s="1" t="str">
        <f ca="1">IFERROR(__xludf.DUMMYFUNCTION("""COMPUTED_VALUE"""),"+.050")</f>
        <v>+.050</v>
      </c>
      <c r="M327" s="1">
        <f ca="1">IFERROR(__xludf.DUMMYFUNCTION("""COMPUTED_VALUE"""),59)</f>
        <v>59</v>
      </c>
      <c r="N327" s="1">
        <f ca="1">IFERROR(__xludf.DUMMYFUNCTION("""COMPUTED_VALUE"""),-6.11)</f>
        <v>-6.11</v>
      </c>
      <c r="O327" s="1">
        <f ca="1">IFERROR(__xludf.DUMMYFUNCTION("""COMPUTED_VALUE"""),268)</f>
        <v>268</v>
      </c>
      <c r="P327" s="1">
        <f ca="1">IFERROR(__xludf.DUMMYFUNCTION("""COMPUTED_VALUE"""),98.6)</f>
        <v>98.6</v>
      </c>
      <c r="Q327" s="1">
        <f ca="1">IFERROR(__xludf.DUMMYFUNCTION("""COMPUTED_VALUE"""),270)</f>
        <v>270</v>
      </c>
      <c r="R327" s="1">
        <f ca="1">IFERROR(__xludf.DUMMYFUNCTION("""COMPUTED_VALUE"""),104.7)</f>
        <v>104.7</v>
      </c>
      <c r="S327" s="1">
        <f ca="1">IFERROR(__xludf.DUMMYFUNCTION("""COMPUTED_VALUE"""),260)</f>
        <v>260</v>
      </c>
      <c r="T327" s="1">
        <f ca="1">IFERROR(__xludf.DUMMYFUNCTION("""COMPUTED_VALUE"""),-7.64)</f>
        <v>-7.64</v>
      </c>
      <c r="U327" s="1">
        <f ca="1">IFERROR(__xludf.DUMMYFUNCTION("""COMPUTED_VALUE"""),303)</f>
        <v>303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IFERROR(__xludf.DUMMYFUNCTION("""COMPUTED_VALUE"""),"Southern")</f>
        <v>Southern</v>
      </c>
      <c r="C328" s="1" t="str">
        <f ca="1">IFERROR(__xludf.DUMMYFUNCTION("""COMPUTED_VALUE"""),"SWAC")</f>
        <v>SWAC</v>
      </c>
      <c r="D328" s="2">
        <f ca="1">IFERROR(__xludf.DUMMYFUNCTION("""COMPUTED_VALUE"""),44761)</f>
        <v>44761</v>
      </c>
      <c r="E328" s="1">
        <f ca="1">IFERROR(__xludf.DUMMYFUNCTION("""COMPUTED_VALUE"""),-18.97)</f>
        <v>-18.97</v>
      </c>
      <c r="F328" s="1">
        <f ca="1">IFERROR(__xludf.DUMMYFUNCTION("""COMPUTED_VALUE"""),90.1)</f>
        <v>90.1</v>
      </c>
      <c r="G328" s="1">
        <f ca="1">IFERROR(__xludf.DUMMYFUNCTION("""COMPUTED_VALUE"""),308)</f>
        <v>308</v>
      </c>
      <c r="H328" s="1">
        <f ca="1">IFERROR(__xludf.DUMMYFUNCTION("""COMPUTED_VALUE"""),109)</f>
        <v>109</v>
      </c>
      <c r="I328" s="1">
        <f ca="1">IFERROR(__xludf.DUMMYFUNCTION("""COMPUTED_VALUE"""),287)</f>
        <v>287</v>
      </c>
      <c r="J328" s="1">
        <f ca="1">IFERROR(__xludf.DUMMYFUNCTION("""COMPUTED_VALUE"""),69)</f>
        <v>69</v>
      </c>
      <c r="K328" s="1">
        <f ca="1">IFERROR(__xludf.DUMMYFUNCTION("""COMPUTED_VALUE"""),81)</f>
        <v>81</v>
      </c>
      <c r="L328" s="1">
        <f ca="1">IFERROR(__xludf.DUMMYFUNCTION("""COMPUTED_VALUE"""),-0.108)</f>
        <v>-0.108</v>
      </c>
      <c r="M328" s="1">
        <f ca="1">IFERROR(__xludf.DUMMYFUNCTION("""COMPUTED_VALUE"""),319)</f>
        <v>319</v>
      </c>
      <c r="N328" s="1">
        <f ca="1">IFERROR(__xludf.DUMMYFUNCTION("""COMPUTED_VALUE"""),-14.06)</f>
        <v>-14.06</v>
      </c>
      <c r="O328" s="1">
        <f ca="1">IFERROR(__xludf.DUMMYFUNCTION("""COMPUTED_VALUE"""),325)</f>
        <v>325</v>
      </c>
      <c r="P328" s="1">
        <f ca="1">IFERROR(__xludf.DUMMYFUNCTION("""COMPUTED_VALUE"""),93.8)</f>
        <v>93.8</v>
      </c>
      <c r="Q328" s="1">
        <f ca="1">IFERROR(__xludf.DUMMYFUNCTION("""COMPUTED_VALUE"""),326)</f>
        <v>326</v>
      </c>
      <c r="R328" s="1">
        <f ca="1">IFERROR(__xludf.DUMMYFUNCTION("""COMPUTED_VALUE"""),107.8)</f>
        <v>107.8</v>
      </c>
      <c r="S328" s="1">
        <f ca="1">IFERROR(__xludf.DUMMYFUNCTION("""COMPUTED_VALUE"""),318)</f>
        <v>318</v>
      </c>
      <c r="T328" s="1">
        <f ca="1">IFERROR(__xludf.DUMMYFUNCTION("""COMPUTED_VALUE"""),-16.21)</f>
        <v>-16.21</v>
      </c>
      <c r="U328" s="1">
        <f ca="1">IFERROR(__xludf.DUMMYFUNCTION("""COMPUTED_VALUE"""),327)</f>
        <v>327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IFERROR(__xludf.DUMMYFUNCTION("""COMPUTED_VALUE"""),"Radford")</f>
        <v>Radford</v>
      </c>
      <c r="C329" s="1" t="str">
        <f ca="1">IFERROR(__xludf.DUMMYFUNCTION("""COMPUTED_VALUE"""),"BSth")</f>
        <v>BSth</v>
      </c>
      <c r="D329" s="2">
        <f ca="1">IFERROR(__xludf.DUMMYFUNCTION("""COMPUTED_VALUE"""),44854)</f>
        <v>44854</v>
      </c>
      <c r="E329" s="1">
        <f ca="1">IFERROR(__xludf.DUMMYFUNCTION("""COMPUTED_VALUE"""),-19.59)</f>
        <v>-19.59</v>
      </c>
      <c r="F329" s="1">
        <f ca="1">IFERROR(__xludf.DUMMYFUNCTION("""COMPUTED_VALUE"""),88.6)</f>
        <v>88.6</v>
      </c>
      <c r="G329" s="1">
        <f ca="1">IFERROR(__xludf.DUMMYFUNCTION("""COMPUTED_VALUE"""),315)</f>
        <v>315</v>
      </c>
      <c r="H329" s="1">
        <f ca="1">IFERROR(__xludf.DUMMYFUNCTION("""COMPUTED_VALUE"""),108.2)</f>
        <v>108.2</v>
      </c>
      <c r="I329" s="1">
        <f ca="1">IFERROR(__xludf.DUMMYFUNCTION("""COMPUTED_VALUE"""),274)</f>
        <v>274</v>
      </c>
      <c r="J329" s="1">
        <f ca="1">IFERROR(__xludf.DUMMYFUNCTION("""COMPUTED_VALUE"""),68.5)</f>
        <v>68.5</v>
      </c>
      <c r="K329" s="1">
        <f ca="1">IFERROR(__xludf.DUMMYFUNCTION("""COMPUTED_VALUE"""),98)</f>
        <v>98</v>
      </c>
      <c r="L329" s="1" t="str">
        <f ca="1">IFERROR(__xludf.DUMMYFUNCTION("""COMPUTED_VALUE"""),"+.067")</f>
        <v>+.067</v>
      </c>
      <c r="M329" s="1">
        <f ca="1">IFERROR(__xludf.DUMMYFUNCTION("""COMPUTED_VALUE"""),34)</f>
        <v>34</v>
      </c>
      <c r="N329" s="1">
        <f ca="1">IFERROR(__xludf.DUMMYFUNCTION("""COMPUTED_VALUE"""),-8.55)</f>
        <v>-8.5500000000000007</v>
      </c>
      <c r="O329" s="1">
        <f ca="1">IFERROR(__xludf.DUMMYFUNCTION("""COMPUTED_VALUE"""),294)</f>
        <v>294</v>
      </c>
      <c r="P329" s="1">
        <f ca="1">IFERROR(__xludf.DUMMYFUNCTION("""COMPUTED_VALUE"""),97.8)</f>
        <v>97.8</v>
      </c>
      <c r="Q329" s="1">
        <f ca="1">IFERROR(__xludf.DUMMYFUNCTION("""COMPUTED_VALUE"""),286)</f>
        <v>286</v>
      </c>
      <c r="R329" s="1">
        <f ca="1">IFERROR(__xludf.DUMMYFUNCTION("""COMPUTED_VALUE"""),106.3)</f>
        <v>106.3</v>
      </c>
      <c r="S329" s="1">
        <f ca="1">IFERROR(__xludf.DUMMYFUNCTION("""COMPUTED_VALUE"""),295)</f>
        <v>295</v>
      </c>
      <c r="T329" s="1">
        <f ca="1">IFERROR(__xludf.DUMMYFUNCTION("""COMPUTED_VALUE"""),-1.72)</f>
        <v>-1.72</v>
      </c>
      <c r="U329" s="1">
        <f ca="1">IFERROR(__xludf.DUMMYFUNCTION("""COMPUTED_VALUE"""),195)</f>
        <v>195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IFERROR(__xludf.DUMMYFUNCTION("""COMPUTED_VALUE"""),"Bethune Cookman")</f>
        <v>Bethune Cookman</v>
      </c>
      <c r="C330" s="1" t="str">
        <f ca="1">IFERROR(__xludf.DUMMYFUNCTION("""COMPUTED_VALUE"""),"MEAC")</f>
        <v>MEAC</v>
      </c>
      <c r="D330" s="2">
        <f ca="1">IFERROR(__xludf.DUMMYFUNCTION("""COMPUTED_VALUE"""),44795)</f>
        <v>44795</v>
      </c>
      <c r="E330" s="1">
        <f ca="1">IFERROR(__xludf.DUMMYFUNCTION("""COMPUTED_VALUE"""),-22.4)</f>
        <v>-22.4</v>
      </c>
      <c r="F330" s="1">
        <f ca="1">IFERROR(__xludf.DUMMYFUNCTION("""COMPUTED_VALUE"""),89.4)</f>
        <v>89.4</v>
      </c>
      <c r="G330" s="1">
        <f ca="1">IFERROR(__xludf.DUMMYFUNCTION("""COMPUTED_VALUE"""),313)</f>
        <v>313</v>
      </c>
      <c r="H330" s="1">
        <f ca="1">IFERROR(__xludf.DUMMYFUNCTION("""COMPUTED_VALUE"""),111.8)</f>
        <v>111.8</v>
      </c>
      <c r="I330" s="1">
        <f ca="1">IFERROR(__xludf.DUMMYFUNCTION("""COMPUTED_VALUE"""),309)</f>
        <v>309</v>
      </c>
      <c r="J330" s="1">
        <f ca="1">IFERROR(__xludf.DUMMYFUNCTION("""COMPUTED_VALUE"""),67.1)</f>
        <v>67.099999999999994</v>
      </c>
      <c r="K330" s="1">
        <f ca="1">IFERROR(__xludf.DUMMYFUNCTION("""COMPUTED_VALUE"""),163)</f>
        <v>163</v>
      </c>
      <c r="L330" s="1">
        <f ca="1">IFERROR(__xludf.DUMMYFUNCTION("""COMPUTED_VALUE"""),-0.018)</f>
        <v>-1.7999999999999999E-2</v>
      </c>
      <c r="M330" s="1">
        <f ca="1">IFERROR(__xludf.DUMMYFUNCTION("""COMPUTED_VALUE"""),211)</f>
        <v>211</v>
      </c>
      <c r="N330" s="1">
        <f ca="1">IFERROR(__xludf.DUMMYFUNCTION("""COMPUTED_VALUE"""),-12.93)</f>
        <v>-12.93</v>
      </c>
      <c r="O330" s="1">
        <f ca="1">IFERROR(__xludf.DUMMYFUNCTION("""COMPUTED_VALUE"""),320)</f>
        <v>320</v>
      </c>
      <c r="P330" s="1">
        <f ca="1">IFERROR(__xludf.DUMMYFUNCTION("""COMPUTED_VALUE"""),94.9)</f>
        <v>94.9</v>
      </c>
      <c r="Q330" s="1">
        <f ca="1">IFERROR(__xludf.DUMMYFUNCTION("""COMPUTED_VALUE"""),319)</f>
        <v>319</v>
      </c>
      <c r="R330" s="1">
        <f ca="1">IFERROR(__xludf.DUMMYFUNCTION("""COMPUTED_VALUE"""),107.9)</f>
        <v>107.9</v>
      </c>
      <c r="S330" s="1">
        <f ca="1">IFERROR(__xludf.DUMMYFUNCTION("""COMPUTED_VALUE"""),319)</f>
        <v>319</v>
      </c>
      <c r="T330" s="1">
        <f ca="1">IFERROR(__xludf.DUMMYFUNCTION("""COMPUTED_VALUE"""),-0.97)</f>
        <v>-0.97</v>
      </c>
      <c r="U330" s="1">
        <f ca="1">IFERROR(__xludf.DUMMYFUNCTION("""COMPUTED_VALUE"""),178)</f>
        <v>178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IFERROR(__xludf.DUMMYFUNCTION("""COMPUTED_VALUE"""),"Loyola MD")</f>
        <v>Loyola MD</v>
      </c>
      <c r="C331" s="1" t="str">
        <f ca="1">IFERROR(__xludf.DUMMYFUNCTION("""COMPUTED_VALUE"""),"MAAC")</f>
        <v>MAAC</v>
      </c>
      <c r="D331" s="2">
        <f ca="1">IFERROR(__xludf.DUMMYFUNCTION("""COMPUTED_VALUE"""),44675)</f>
        <v>44675</v>
      </c>
      <c r="E331" s="1">
        <f ca="1">IFERROR(__xludf.DUMMYFUNCTION("""COMPUTED_VALUE"""),-22.7)</f>
        <v>-22.7</v>
      </c>
      <c r="F331" s="1">
        <f ca="1">IFERROR(__xludf.DUMMYFUNCTION("""COMPUTED_VALUE"""),87.7)</f>
        <v>87.7</v>
      </c>
      <c r="G331" s="1">
        <f ca="1">IFERROR(__xludf.DUMMYFUNCTION("""COMPUTED_VALUE"""),317)</f>
        <v>317</v>
      </c>
      <c r="H331" s="1">
        <f ca="1">IFERROR(__xludf.DUMMYFUNCTION("""COMPUTED_VALUE"""),110.4)</f>
        <v>110.4</v>
      </c>
      <c r="I331" s="1">
        <f ca="1">IFERROR(__xludf.DUMMYFUNCTION("""COMPUTED_VALUE"""),295)</f>
        <v>295</v>
      </c>
      <c r="J331" s="1">
        <f ca="1">IFERROR(__xludf.DUMMYFUNCTION("""COMPUTED_VALUE"""),63.9)</f>
        <v>63.9</v>
      </c>
      <c r="K331" s="1">
        <f ca="1">IFERROR(__xludf.DUMMYFUNCTION("""COMPUTED_VALUE"""),283)</f>
        <v>283</v>
      </c>
      <c r="L331" s="1" t="str">
        <f ca="1">IFERROR(__xludf.DUMMYFUNCTION("""COMPUTED_VALUE"""),"+.001")</f>
        <v>+.001</v>
      </c>
      <c r="M331" s="1">
        <f ca="1">IFERROR(__xludf.DUMMYFUNCTION("""COMPUTED_VALUE"""),163)</f>
        <v>163</v>
      </c>
      <c r="N331" s="1">
        <f ca="1">IFERROR(__xludf.DUMMYFUNCTION("""COMPUTED_VALUE"""),-4.92)</f>
        <v>-4.92</v>
      </c>
      <c r="O331" s="1">
        <f ca="1">IFERROR(__xludf.DUMMYFUNCTION("""COMPUTED_VALUE"""),248)</f>
        <v>248</v>
      </c>
      <c r="P331" s="1">
        <f ca="1">IFERROR(__xludf.DUMMYFUNCTION("""COMPUTED_VALUE"""),99.9)</f>
        <v>99.9</v>
      </c>
      <c r="Q331" s="1">
        <f ca="1">IFERROR(__xludf.DUMMYFUNCTION("""COMPUTED_VALUE"""),233)</f>
        <v>233</v>
      </c>
      <c r="R331" s="1">
        <f ca="1">IFERROR(__xludf.DUMMYFUNCTION("""COMPUTED_VALUE"""),104.8)</f>
        <v>104.8</v>
      </c>
      <c r="S331" s="1">
        <f ca="1">IFERROR(__xludf.DUMMYFUNCTION("""COMPUTED_VALUE"""),267)</f>
        <v>267</v>
      </c>
      <c r="T331" s="1">
        <f ca="1">IFERROR(__xludf.DUMMYFUNCTION("""COMPUTED_VALUE"""),-13.59)</f>
        <v>-13.59</v>
      </c>
      <c r="U331" s="1">
        <f ca="1">IFERROR(__xludf.DUMMYFUNCTION("""COMPUTED_VALUE"""),325)</f>
        <v>325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IFERROR(__xludf.DUMMYFUNCTION("""COMPUTED_VALUE"""),"Columbia")</f>
        <v>Columbia</v>
      </c>
      <c r="C332" s="1" t="str">
        <f ca="1">IFERROR(__xludf.DUMMYFUNCTION("""COMPUTED_VALUE"""),"Ivy")</f>
        <v>Ivy</v>
      </c>
      <c r="D332" s="2">
        <f ca="1">IFERROR(__xludf.DUMMYFUNCTION("""COMPUTED_VALUE"""),44617)</f>
        <v>44617</v>
      </c>
      <c r="E332" s="1">
        <f ca="1">IFERROR(__xludf.DUMMYFUNCTION("""COMPUTED_VALUE"""),-22.93)</f>
        <v>-22.93</v>
      </c>
      <c r="F332" s="1">
        <f ca="1">IFERROR(__xludf.DUMMYFUNCTION("""COMPUTED_VALUE"""),82.7)</f>
        <v>82.7</v>
      </c>
      <c r="G332" s="1">
        <f ca="1">IFERROR(__xludf.DUMMYFUNCTION("""COMPUTED_VALUE"""),325)</f>
        <v>325</v>
      </c>
      <c r="H332" s="1">
        <f ca="1">IFERROR(__xludf.DUMMYFUNCTION("""COMPUTED_VALUE"""),105.7)</f>
        <v>105.7</v>
      </c>
      <c r="I332" s="1">
        <f ca="1">IFERROR(__xludf.DUMMYFUNCTION("""COMPUTED_VALUE"""),230)</f>
        <v>230</v>
      </c>
      <c r="J332" s="1">
        <f ca="1">IFERROR(__xludf.DUMMYFUNCTION("""COMPUTED_VALUE"""),60)</f>
        <v>60</v>
      </c>
      <c r="K332" s="1">
        <f ca="1">IFERROR(__xludf.DUMMYFUNCTION("""COMPUTED_VALUE"""),318)</f>
        <v>318</v>
      </c>
      <c r="L332" s="1">
        <f ca="1">IFERROR(__xludf.DUMMYFUNCTION("""COMPUTED_VALUE"""),-0.032)</f>
        <v>-3.2000000000000001E-2</v>
      </c>
      <c r="M332" s="1">
        <f ca="1">IFERROR(__xludf.DUMMYFUNCTION("""COMPUTED_VALUE"""),256)</f>
        <v>256</v>
      </c>
      <c r="N332" s="1">
        <f ca="1">IFERROR(__xludf.DUMMYFUNCTION("""COMPUTED_VALUE"""),-4.01)</f>
        <v>-4.01</v>
      </c>
      <c r="O332" s="1">
        <f ca="1">IFERROR(__xludf.DUMMYFUNCTION("""COMPUTED_VALUE"""),237)</f>
        <v>237</v>
      </c>
      <c r="P332" s="1">
        <f ca="1">IFERROR(__xludf.DUMMYFUNCTION("""COMPUTED_VALUE"""),99.4)</f>
        <v>99.4</v>
      </c>
      <c r="Q332" s="1">
        <f ca="1">IFERROR(__xludf.DUMMYFUNCTION("""COMPUTED_VALUE"""),245)</f>
        <v>245</v>
      </c>
      <c r="R332" s="1">
        <f ca="1">IFERROR(__xludf.DUMMYFUNCTION("""COMPUTED_VALUE"""),103.4)</f>
        <v>103.4</v>
      </c>
      <c r="S332" s="1">
        <f ca="1">IFERROR(__xludf.DUMMYFUNCTION("""COMPUTED_VALUE"""),204)</f>
        <v>204</v>
      </c>
      <c r="T332" s="1">
        <f ca="1">IFERROR(__xludf.DUMMYFUNCTION("""COMPUTED_VALUE"""),-5.28)</f>
        <v>-5.28</v>
      </c>
      <c r="U332" s="1">
        <f ca="1">IFERROR(__xludf.DUMMYFUNCTION("""COMPUTED_VALUE"""),281)</f>
        <v>281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IFERROR(__xludf.DUMMYFUNCTION("""COMPUTED_VALUE"""),"Towson")</f>
        <v>Towson</v>
      </c>
      <c r="C333" s="1" t="str">
        <f ca="1">IFERROR(__xludf.DUMMYFUNCTION("""COMPUTED_VALUE"""),"CAA")</f>
        <v>CAA</v>
      </c>
      <c r="D333" s="2">
        <f ca="1">IFERROR(__xludf.DUMMYFUNCTION("""COMPUTED_VALUE"""),44675)</f>
        <v>44675</v>
      </c>
      <c r="E333" s="1">
        <f ca="1">IFERROR(__xludf.DUMMYFUNCTION("""COMPUTED_VALUE"""),-23.81)</f>
        <v>-23.81</v>
      </c>
      <c r="F333" s="1">
        <f ca="1">IFERROR(__xludf.DUMMYFUNCTION("""COMPUTED_VALUE"""),84.6)</f>
        <v>84.6</v>
      </c>
      <c r="G333" s="1">
        <f ca="1">IFERROR(__xludf.DUMMYFUNCTION("""COMPUTED_VALUE"""),323)</f>
        <v>323</v>
      </c>
      <c r="H333" s="1">
        <f ca="1">IFERROR(__xludf.DUMMYFUNCTION("""COMPUTED_VALUE"""),108.4)</f>
        <v>108.4</v>
      </c>
      <c r="I333" s="1">
        <f ca="1">IFERROR(__xludf.DUMMYFUNCTION("""COMPUTED_VALUE"""),278)</f>
        <v>278</v>
      </c>
      <c r="J333" s="1">
        <f ca="1">IFERROR(__xludf.DUMMYFUNCTION("""COMPUTED_VALUE"""),66.4)</f>
        <v>66.400000000000006</v>
      </c>
      <c r="K333" s="1">
        <f ca="1">IFERROR(__xludf.DUMMYFUNCTION("""COMPUTED_VALUE"""),190)</f>
        <v>190</v>
      </c>
      <c r="L333" s="1">
        <f ca="1">IFERROR(__xludf.DUMMYFUNCTION("""COMPUTED_VALUE"""),-0.015)</f>
        <v>-1.4999999999999999E-2</v>
      </c>
      <c r="M333" s="1">
        <f ca="1">IFERROR(__xludf.DUMMYFUNCTION("""COMPUTED_VALUE"""),206)</f>
        <v>206</v>
      </c>
      <c r="N333" s="1">
        <f ca="1">IFERROR(__xludf.DUMMYFUNCTION("""COMPUTED_VALUE"""),-3.46)</f>
        <v>-3.46</v>
      </c>
      <c r="O333" s="1">
        <f ca="1">IFERROR(__xludf.DUMMYFUNCTION("""COMPUTED_VALUE"""),223)</f>
        <v>223</v>
      </c>
      <c r="P333" s="1">
        <f ca="1">IFERROR(__xludf.DUMMYFUNCTION("""COMPUTED_VALUE"""),99.5)</f>
        <v>99.5</v>
      </c>
      <c r="Q333" s="1">
        <f ca="1">IFERROR(__xludf.DUMMYFUNCTION("""COMPUTED_VALUE"""),241)</f>
        <v>241</v>
      </c>
      <c r="R333" s="1">
        <f ca="1">IFERROR(__xludf.DUMMYFUNCTION("""COMPUTED_VALUE"""),103)</f>
        <v>103</v>
      </c>
      <c r="S333" s="1">
        <f ca="1">IFERROR(__xludf.DUMMYFUNCTION("""COMPUTED_VALUE"""),185)</f>
        <v>185</v>
      </c>
      <c r="T333" s="1">
        <f ca="1">IFERROR(__xludf.DUMMYFUNCTION("""COMPUTED_VALUE"""),-10.4)</f>
        <v>-10.4</v>
      </c>
      <c r="U333" s="1">
        <f ca="1">IFERROR(__xludf.DUMMYFUNCTION("""COMPUTED_VALUE"""),316)</f>
        <v>316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IFERROR(__xludf.DUMMYFUNCTION("""COMPUTED_VALUE"""),"Campbell")</f>
        <v>Campbell</v>
      </c>
      <c r="C334" s="1" t="str">
        <f ca="1">IFERROR(__xludf.DUMMYFUNCTION("""COMPUTED_VALUE"""),"ASun")</f>
        <v>ASun</v>
      </c>
      <c r="D334" s="2">
        <f ca="1">IFERROR(__xludf.DUMMYFUNCTION("""COMPUTED_VALUE"""),44673)</f>
        <v>44673</v>
      </c>
      <c r="E334" s="1">
        <f ca="1">IFERROR(__xludf.DUMMYFUNCTION("""COMPUTED_VALUE"""),-24.53)</f>
        <v>-24.53</v>
      </c>
      <c r="F334" s="1">
        <f ca="1">IFERROR(__xludf.DUMMYFUNCTION("""COMPUTED_VALUE"""),92.2)</f>
        <v>92.2</v>
      </c>
      <c r="G334" s="1">
        <f ca="1">IFERROR(__xludf.DUMMYFUNCTION("""COMPUTED_VALUE"""),295)</f>
        <v>295</v>
      </c>
      <c r="H334" s="1">
        <f ca="1">IFERROR(__xludf.DUMMYFUNCTION("""COMPUTED_VALUE"""),116.7)</f>
        <v>116.7</v>
      </c>
      <c r="I334" s="1">
        <f ca="1">IFERROR(__xludf.DUMMYFUNCTION("""COMPUTED_VALUE"""),324)</f>
        <v>324</v>
      </c>
      <c r="J334" s="1">
        <f ca="1">IFERROR(__xludf.DUMMYFUNCTION("""COMPUTED_VALUE"""),66.4)</f>
        <v>66.400000000000006</v>
      </c>
      <c r="K334" s="1">
        <f ca="1">IFERROR(__xludf.DUMMYFUNCTION("""COMPUTED_VALUE"""),187)</f>
        <v>187</v>
      </c>
      <c r="L334" s="1">
        <f ca="1">IFERROR(__xludf.DUMMYFUNCTION("""COMPUTED_VALUE"""),-0.012)</f>
        <v>-1.2E-2</v>
      </c>
      <c r="M334" s="1">
        <f ca="1">IFERROR(__xludf.DUMMYFUNCTION("""COMPUTED_VALUE"""),195)</f>
        <v>195</v>
      </c>
      <c r="N334" s="1">
        <f ca="1">IFERROR(__xludf.DUMMYFUNCTION("""COMPUTED_VALUE"""),-7.21)</f>
        <v>-7.21</v>
      </c>
      <c r="O334" s="1">
        <f ca="1">IFERROR(__xludf.DUMMYFUNCTION("""COMPUTED_VALUE"""),279)</f>
        <v>279</v>
      </c>
      <c r="P334" s="1">
        <f ca="1">IFERROR(__xludf.DUMMYFUNCTION("""COMPUTED_VALUE"""),99.5)</f>
        <v>99.5</v>
      </c>
      <c r="Q334" s="1">
        <f ca="1">IFERROR(__xludf.DUMMYFUNCTION("""COMPUTED_VALUE"""),243)</f>
        <v>243</v>
      </c>
      <c r="R334" s="1">
        <f ca="1">IFERROR(__xludf.DUMMYFUNCTION("""COMPUTED_VALUE"""),106.7)</f>
        <v>106.7</v>
      </c>
      <c r="S334" s="1">
        <f ca="1">IFERROR(__xludf.DUMMYFUNCTION("""COMPUTED_VALUE"""),302)</f>
        <v>302</v>
      </c>
      <c r="T334" s="1">
        <f ca="1">IFERROR(__xludf.DUMMYFUNCTION("""COMPUTED_VALUE"""),-9.86)</f>
        <v>-9.86</v>
      </c>
      <c r="U334" s="1">
        <f ca="1">IFERROR(__xludf.DUMMYFUNCTION("""COMPUTED_VALUE"""),315)</f>
        <v>315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IFERROR(__xludf.DUMMYFUNCTION("""COMPUTED_VALUE"""),"Maryland Eastern Shore")</f>
        <v>Maryland Eastern Shore</v>
      </c>
      <c r="C335" s="1" t="str">
        <f ca="1">IFERROR(__xludf.DUMMYFUNCTION("""COMPUTED_VALUE"""),"MEAC")</f>
        <v>MEAC</v>
      </c>
      <c r="D335" s="2">
        <f ca="1">IFERROR(__xludf.DUMMYFUNCTION("""COMPUTED_VALUE"""),44704)</f>
        <v>44704</v>
      </c>
      <c r="E335" s="1">
        <f ca="1">IFERROR(__xludf.DUMMYFUNCTION("""COMPUTED_VALUE"""),-24.66)</f>
        <v>-24.66</v>
      </c>
      <c r="F335" s="1">
        <f ca="1">IFERROR(__xludf.DUMMYFUNCTION("""COMPUTED_VALUE"""),91.4)</f>
        <v>91.4</v>
      </c>
      <c r="G335" s="1">
        <f ca="1">IFERROR(__xludf.DUMMYFUNCTION("""COMPUTED_VALUE"""),300)</f>
        <v>300</v>
      </c>
      <c r="H335" s="1">
        <f ca="1">IFERROR(__xludf.DUMMYFUNCTION("""COMPUTED_VALUE"""),116.1)</f>
        <v>116.1</v>
      </c>
      <c r="I335" s="1">
        <f ca="1">IFERROR(__xludf.DUMMYFUNCTION("""COMPUTED_VALUE"""),322)</f>
        <v>322</v>
      </c>
      <c r="J335" s="1">
        <f ca="1">IFERROR(__xludf.DUMMYFUNCTION("""COMPUTED_VALUE"""),64)</f>
        <v>64</v>
      </c>
      <c r="K335" s="1">
        <f ca="1">IFERROR(__xludf.DUMMYFUNCTION("""COMPUTED_VALUE"""),282)</f>
        <v>282</v>
      </c>
      <c r="L335" s="1">
        <f ca="1">IFERROR(__xludf.DUMMYFUNCTION("""COMPUTED_VALUE"""),-0.055)</f>
        <v>-5.5E-2</v>
      </c>
      <c r="M335" s="1">
        <f ca="1">IFERROR(__xludf.DUMMYFUNCTION("""COMPUTED_VALUE"""),285)</f>
        <v>285</v>
      </c>
      <c r="N335" s="1">
        <f ca="1">IFERROR(__xludf.DUMMYFUNCTION("""COMPUTED_VALUE"""),-12.79)</f>
        <v>-12.79</v>
      </c>
      <c r="O335" s="1">
        <f ca="1">IFERROR(__xludf.DUMMYFUNCTION("""COMPUTED_VALUE"""),319)</f>
        <v>319</v>
      </c>
      <c r="P335" s="1">
        <f ca="1">IFERROR(__xludf.DUMMYFUNCTION("""COMPUTED_VALUE"""),95.2)</f>
        <v>95.2</v>
      </c>
      <c r="Q335" s="1">
        <f ca="1">IFERROR(__xludf.DUMMYFUNCTION("""COMPUTED_VALUE"""),316)</f>
        <v>316</v>
      </c>
      <c r="R335" s="1">
        <f ca="1">IFERROR(__xludf.DUMMYFUNCTION("""COMPUTED_VALUE"""),108)</f>
        <v>108</v>
      </c>
      <c r="S335" s="1">
        <f ca="1">IFERROR(__xludf.DUMMYFUNCTION("""COMPUTED_VALUE"""),321)</f>
        <v>321</v>
      </c>
      <c r="T335" s="1">
        <f ca="1">IFERROR(__xludf.DUMMYFUNCTION("""COMPUTED_VALUE"""),-5.19)</f>
        <v>-5.19</v>
      </c>
      <c r="U335" s="1">
        <f ca="1">IFERROR(__xludf.DUMMYFUNCTION("""COMPUTED_VALUE"""),275)</f>
        <v>275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IFERROR(__xludf.DUMMYFUNCTION("""COMPUTED_VALUE"""),"Morgan St.")</f>
        <v>Morgan St.</v>
      </c>
      <c r="C336" s="1" t="str">
        <f ca="1">IFERROR(__xludf.DUMMYFUNCTION("""COMPUTED_VALUE"""),"MEAC")</f>
        <v>MEAC</v>
      </c>
      <c r="D336" s="2">
        <f ca="1">IFERROR(__xludf.DUMMYFUNCTION("""COMPUTED_VALUE"""),44764)</f>
        <v>44764</v>
      </c>
      <c r="E336" s="1">
        <f ca="1">IFERROR(__xludf.DUMMYFUNCTION("""COMPUTED_VALUE"""),-25.36)</f>
        <v>-25.36</v>
      </c>
      <c r="F336" s="1">
        <f ca="1">IFERROR(__xludf.DUMMYFUNCTION("""COMPUTED_VALUE"""),92.1)</f>
        <v>92.1</v>
      </c>
      <c r="G336" s="1">
        <f ca="1">IFERROR(__xludf.DUMMYFUNCTION("""COMPUTED_VALUE"""),296)</f>
        <v>296</v>
      </c>
      <c r="H336" s="1">
        <f ca="1">IFERROR(__xludf.DUMMYFUNCTION("""COMPUTED_VALUE"""),117.4)</f>
        <v>117.4</v>
      </c>
      <c r="I336" s="1">
        <f ca="1">IFERROR(__xludf.DUMMYFUNCTION("""COMPUTED_VALUE"""),325)</f>
        <v>325</v>
      </c>
      <c r="J336" s="1">
        <f ca="1">IFERROR(__xludf.DUMMYFUNCTION("""COMPUTED_VALUE"""),68.7)</f>
        <v>68.7</v>
      </c>
      <c r="K336" s="1">
        <f ca="1">IFERROR(__xludf.DUMMYFUNCTION("""COMPUTED_VALUE"""),88)</f>
        <v>88</v>
      </c>
      <c r="L336" s="1">
        <f ca="1">IFERROR(__xludf.DUMMYFUNCTION("""COMPUTED_VALUE"""),-0.018)</f>
        <v>-1.7999999999999999E-2</v>
      </c>
      <c r="M336" s="1">
        <f ca="1">IFERROR(__xludf.DUMMYFUNCTION("""COMPUTED_VALUE"""),212)</f>
        <v>212</v>
      </c>
      <c r="N336" s="1">
        <f ca="1">IFERROR(__xludf.DUMMYFUNCTION("""COMPUTED_VALUE"""),-14.74)</f>
        <v>-14.74</v>
      </c>
      <c r="O336" s="1">
        <f ca="1">IFERROR(__xludf.DUMMYFUNCTION("""COMPUTED_VALUE"""),326)</f>
        <v>326</v>
      </c>
      <c r="P336" s="1">
        <f ca="1">IFERROR(__xludf.DUMMYFUNCTION("""COMPUTED_VALUE"""),93.9)</f>
        <v>93.9</v>
      </c>
      <c r="Q336" s="1">
        <f ca="1">IFERROR(__xludf.DUMMYFUNCTION("""COMPUTED_VALUE"""),325)</f>
        <v>325</v>
      </c>
      <c r="R336" s="1">
        <f ca="1">IFERROR(__xludf.DUMMYFUNCTION("""COMPUTED_VALUE"""),108.7)</f>
        <v>108.7</v>
      </c>
      <c r="S336" s="1">
        <f ca="1">IFERROR(__xludf.DUMMYFUNCTION("""COMPUTED_VALUE"""),325)</f>
        <v>325</v>
      </c>
      <c r="T336" s="1">
        <f ca="1">IFERROR(__xludf.DUMMYFUNCTION("""COMPUTED_VALUE"""),-10.99)</f>
        <v>-10.99</v>
      </c>
      <c r="U336" s="1">
        <f ca="1">IFERROR(__xludf.DUMMYFUNCTION("""COMPUTED_VALUE"""),318)</f>
        <v>318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IFERROR(__xludf.DUMMYFUNCTION("""COMPUTED_VALUE"""),"Nicholls St.")</f>
        <v>Nicholls St.</v>
      </c>
      <c r="C339" s="1" t="str">
        <f ca="1">IFERROR(__xludf.DUMMYFUNCTION("""COMPUTED_VALUE"""),"Slnd")</f>
        <v>Slnd</v>
      </c>
      <c r="D339" s="2">
        <f ca="1">IFERROR(__xludf.DUMMYFUNCTION("""COMPUTED_VALUE"""),44586)</f>
        <v>44586</v>
      </c>
      <c r="E339" s="1">
        <f ca="1">IFERROR(__xludf.DUMMYFUNCTION("""COMPUTED_VALUE"""),-25.55)</f>
        <v>-25.55</v>
      </c>
      <c r="F339" s="1">
        <f ca="1">IFERROR(__xludf.DUMMYFUNCTION("""COMPUTED_VALUE"""),87.5)</f>
        <v>87.5</v>
      </c>
      <c r="G339" s="1">
        <f ca="1">IFERROR(__xludf.DUMMYFUNCTION("""COMPUTED_VALUE"""),318)</f>
        <v>318</v>
      </c>
      <c r="H339" s="1">
        <f ca="1">IFERROR(__xludf.DUMMYFUNCTION("""COMPUTED_VALUE"""),113)</f>
        <v>113</v>
      </c>
      <c r="I339" s="1">
        <f ca="1">IFERROR(__xludf.DUMMYFUNCTION("""COMPUTED_VALUE"""),315)</f>
        <v>315</v>
      </c>
      <c r="J339" s="1">
        <f ca="1">IFERROR(__xludf.DUMMYFUNCTION("""COMPUTED_VALUE"""),62.1)</f>
        <v>62.1</v>
      </c>
      <c r="K339" s="1">
        <f ca="1">IFERROR(__xludf.DUMMYFUNCTION("""COMPUTED_VALUE"""),307)</f>
        <v>307</v>
      </c>
      <c r="L339" s="1">
        <f ca="1">IFERROR(__xludf.DUMMYFUNCTION("""COMPUTED_VALUE"""),-0.082)</f>
        <v>-8.2000000000000003E-2</v>
      </c>
      <c r="M339" s="1">
        <f ca="1">IFERROR(__xludf.DUMMYFUNCTION("""COMPUTED_VALUE"""),307)</f>
        <v>307</v>
      </c>
      <c r="N339" s="1">
        <f ca="1">IFERROR(__xludf.DUMMYFUNCTION("""COMPUTED_VALUE"""),-3.85)</f>
        <v>-3.85</v>
      </c>
      <c r="O339" s="1">
        <f ca="1">IFERROR(__xludf.DUMMYFUNCTION("""COMPUTED_VALUE"""),234)</f>
        <v>234</v>
      </c>
      <c r="P339" s="1">
        <f ca="1">IFERROR(__xludf.DUMMYFUNCTION("""COMPUTED_VALUE"""),98.8)</f>
        <v>98.8</v>
      </c>
      <c r="Q339" s="1">
        <f ca="1">IFERROR(__xludf.DUMMYFUNCTION("""COMPUTED_VALUE"""),264)</f>
        <v>264</v>
      </c>
      <c r="R339" s="1">
        <f ca="1">IFERROR(__xludf.DUMMYFUNCTION("""COMPUTED_VALUE"""),102.6)</f>
        <v>102.6</v>
      </c>
      <c r="S339" s="1">
        <f ca="1">IFERROR(__xludf.DUMMYFUNCTION("""COMPUTED_VALUE"""),163)</f>
        <v>163</v>
      </c>
      <c r="T339" s="1" t="str">
        <f ca="1">IFERROR(__xludf.DUMMYFUNCTION("""COMPUTED_VALUE"""),"+11.15")</f>
        <v>+11.15</v>
      </c>
      <c r="U339" s="1">
        <f ca="1">IFERROR(__xludf.DUMMYFUNCTION("""COMPUTED_VALUE"""),13)</f>
        <v>13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IFERROR(__xludf.DUMMYFUNCTION("""COMPUTED_VALUE"""),"Arkansas Pine Bluff")</f>
        <v>Arkansas Pine Bluff</v>
      </c>
      <c r="C340" s="1" t="str">
        <f ca="1">IFERROR(__xludf.DUMMYFUNCTION("""COMPUTED_VALUE"""),"SWAC")</f>
        <v>SWAC</v>
      </c>
      <c r="D340" s="2">
        <f ca="1">IFERROR(__xludf.DUMMYFUNCTION("""COMPUTED_VALUE"""),44675)</f>
        <v>44675</v>
      </c>
      <c r="E340" s="1">
        <f ca="1">IFERROR(__xludf.DUMMYFUNCTION("""COMPUTED_VALUE"""),-25.62)</f>
        <v>-25.62</v>
      </c>
      <c r="F340" s="1">
        <f ca="1">IFERROR(__xludf.DUMMYFUNCTION("""COMPUTED_VALUE"""),77.2)</f>
        <v>77.2</v>
      </c>
      <c r="G340" s="1">
        <f ca="1">IFERROR(__xludf.DUMMYFUNCTION("""COMPUTED_VALUE"""),327)</f>
        <v>327</v>
      </c>
      <c r="H340" s="1">
        <f ca="1">IFERROR(__xludf.DUMMYFUNCTION("""COMPUTED_VALUE"""),102.9)</f>
        <v>102.9</v>
      </c>
      <c r="I340" s="1">
        <f ca="1">IFERROR(__xludf.DUMMYFUNCTION("""COMPUTED_VALUE"""),174)</f>
        <v>174</v>
      </c>
      <c r="J340" s="1">
        <f ca="1">IFERROR(__xludf.DUMMYFUNCTION("""COMPUTED_VALUE"""),67.7)</f>
        <v>67.7</v>
      </c>
      <c r="K340" s="1">
        <f ca="1">IFERROR(__xludf.DUMMYFUNCTION("""COMPUTED_VALUE"""),128)</f>
        <v>128</v>
      </c>
      <c r="L340" s="1" t="str">
        <f ca="1">IFERROR(__xludf.DUMMYFUNCTION("""COMPUTED_VALUE"""),"+.014")</f>
        <v>+.014</v>
      </c>
      <c r="M340" s="1">
        <f ca="1">IFERROR(__xludf.DUMMYFUNCTION("""COMPUTED_VALUE"""),128)</f>
        <v>128</v>
      </c>
      <c r="N340" s="1">
        <f ca="1">IFERROR(__xludf.DUMMYFUNCTION("""COMPUTED_VALUE"""),-4.44)</f>
        <v>-4.4400000000000004</v>
      </c>
      <c r="O340" s="1">
        <f ca="1">IFERROR(__xludf.DUMMYFUNCTION("""COMPUTED_VALUE"""),242)</f>
        <v>242</v>
      </c>
      <c r="P340" s="1">
        <f ca="1">IFERROR(__xludf.DUMMYFUNCTION("""COMPUTED_VALUE"""),99.4)</f>
        <v>99.4</v>
      </c>
      <c r="Q340" s="1">
        <f ca="1">IFERROR(__xludf.DUMMYFUNCTION("""COMPUTED_VALUE"""),244)</f>
        <v>244</v>
      </c>
      <c r="R340" s="1">
        <f ca="1">IFERROR(__xludf.DUMMYFUNCTION("""COMPUTED_VALUE"""),103.9)</f>
        <v>103.9</v>
      </c>
      <c r="S340" s="1">
        <f ca="1">IFERROR(__xludf.DUMMYFUNCTION("""COMPUTED_VALUE"""),216)</f>
        <v>216</v>
      </c>
      <c r="T340" s="1" t="str">
        <f ca="1">IFERROR(__xludf.DUMMYFUNCTION("""COMPUTED_VALUE"""),"+16.45")</f>
        <v>+16.45</v>
      </c>
      <c r="U340" s="1">
        <f ca="1">IFERROR(__xludf.DUMMYFUNCTION("""COMPUTED_VALUE"""),1)</f>
        <v>1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IFERROR(__xludf.DUMMYFUNCTION("""COMPUTED_VALUE"""),"Army")</f>
        <v>Army</v>
      </c>
      <c r="C341" s="1" t="str">
        <f ca="1">IFERROR(__xludf.DUMMYFUNCTION("""COMPUTED_VALUE"""),"Pat")</f>
        <v>Pat</v>
      </c>
      <c r="D341" s="2">
        <f ca="1">IFERROR(__xludf.DUMMYFUNCTION("""COMPUTED_VALUE"""),44642)</f>
        <v>44642</v>
      </c>
      <c r="E341" s="1">
        <f ca="1">IFERROR(__xludf.DUMMYFUNCTION("""COMPUTED_VALUE"""),-25.67)</f>
        <v>-25.67</v>
      </c>
      <c r="F341" s="1">
        <f ca="1">IFERROR(__xludf.DUMMYFUNCTION("""COMPUTED_VALUE"""),85.6)</f>
        <v>85.6</v>
      </c>
      <c r="G341" s="1">
        <f ca="1">IFERROR(__xludf.DUMMYFUNCTION("""COMPUTED_VALUE"""),321)</f>
        <v>321</v>
      </c>
      <c r="H341" s="1">
        <f ca="1">IFERROR(__xludf.DUMMYFUNCTION("""COMPUTED_VALUE"""),111.3)</f>
        <v>111.3</v>
      </c>
      <c r="I341" s="1">
        <f ca="1">IFERROR(__xludf.DUMMYFUNCTION("""COMPUTED_VALUE"""),303)</f>
        <v>303</v>
      </c>
      <c r="J341" s="1">
        <f ca="1">IFERROR(__xludf.DUMMYFUNCTION("""COMPUTED_VALUE"""),62.2)</f>
        <v>62.2</v>
      </c>
      <c r="K341" s="1">
        <f ca="1">IFERROR(__xludf.DUMMYFUNCTION("""COMPUTED_VALUE"""),303)</f>
        <v>303</v>
      </c>
      <c r="L341" s="1" t="str">
        <f ca="1">IFERROR(__xludf.DUMMYFUNCTION("""COMPUTED_VALUE"""),"+.026")</f>
        <v>+.026</v>
      </c>
      <c r="M341" s="1">
        <f ca="1">IFERROR(__xludf.DUMMYFUNCTION("""COMPUTED_VALUE"""),97)</f>
        <v>97</v>
      </c>
      <c r="N341" s="1">
        <f ca="1">IFERROR(__xludf.DUMMYFUNCTION("""COMPUTED_VALUE"""),-6.28)</f>
        <v>-6.28</v>
      </c>
      <c r="O341" s="1">
        <f ca="1">IFERROR(__xludf.DUMMYFUNCTION("""COMPUTED_VALUE"""),269)</f>
        <v>269</v>
      </c>
      <c r="P341" s="1">
        <f ca="1">IFERROR(__xludf.DUMMYFUNCTION("""COMPUTED_VALUE"""),97.8)</f>
        <v>97.8</v>
      </c>
      <c r="Q341" s="1">
        <f ca="1">IFERROR(__xludf.DUMMYFUNCTION("""COMPUTED_VALUE"""),285)</f>
        <v>285</v>
      </c>
      <c r="R341" s="1">
        <f ca="1">IFERROR(__xludf.DUMMYFUNCTION("""COMPUTED_VALUE"""),104)</f>
        <v>104</v>
      </c>
      <c r="S341" s="1">
        <f ca="1">IFERROR(__xludf.DUMMYFUNCTION("""COMPUTED_VALUE"""),228)</f>
        <v>228</v>
      </c>
      <c r="T341" s="1">
        <f ca="1">IFERROR(__xludf.DUMMYFUNCTION("""COMPUTED_VALUE"""),-9.59)</f>
        <v>-9.59</v>
      </c>
      <c r="U341" s="1">
        <f ca="1">IFERROR(__xludf.DUMMYFUNCTION("""COMPUTED_VALUE"""),314)</f>
        <v>314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IFERROR(__xludf.DUMMYFUNCTION("""COMPUTED_VALUE"""),"Savannah St.")</f>
        <v>Savannah St.</v>
      </c>
      <c r="C342" s="1" t="str">
        <f ca="1">IFERROR(__xludf.DUMMYFUNCTION("""COMPUTED_VALUE"""),"ind")</f>
        <v>ind</v>
      </c>
      <c r="D342" s="2">
        <f ca="1">IFERROR(__xludf.DUMMYFUNCTION("""COMPUTED_VALUE"""),44643)</f>
        <v>44643</v>
      </c>
      <c r="E342" s="1">
        <f ca="1">IFERROR(__xludf.DUMMYFUNCTION("""COMPUTED_VALUE"""),-26.95)</f>
        <v>-26.95</v>
      </c>
      <c r="F342" s="1">
        <f ca="1">IFERROR(__xludf.DUMMYFUNCTION("""COMPUTED_VALUE"""),78.2)</f>
        <v>78.2</v>
      </c>
      <c r="G342" s="1">
        <f ca="1">IFERROR(__xludf.DUMMYFUNCTION("""COMPUTED_VALUE"""),326)</f>
        <v>326</v>
      </c>
      <c r="H342" s="1">
        <f ca="1">IFERROR(__xludf.DUMMYFUNCTION("""COMPUTED_VALUE"""),105.2)</f>
        <v>105.2</v>
      </c>
      <c r="I342" s="1">
        <f ca="1">IFERROR(__xludf.DUMMYFUNCTION("""COMPUTED_VALUE"""),224)</f>
        <v>224</v>
      </c>
      <c r="J342" s="1">
        <f ca="1">IFERROR(__xludf.DUMMYFUNCTION("""COMPUTED_VALUE"""),73.2)</f>
        <v>73.2</v>
      </c>
      <c r="K342" s="1">
        <f ca="1">IFERROR(__xludf.DUMMYFUNCTION("""COMPUTED_VALUE"""),7)</f>
        <v>7</v>
      </c>
      <c r="L342" s="1">
        <f ca="1">IFERROR(__xludf.DUMMYFUNCTION("""COMPUTED_VALUE"""),-0.003)</f>
        <v>-3.0000000000000001E-3</v>
      </c>
      <c r="M342" s="1">
        <f ca="1">IFERROR(__xludf.DUMMYFUNCTION("""COMPUTED_VALUE"""),167)</f>
        <v>167</v>
      </c>
      <c r="N342" s="1">
        <f ca="1">IFERROR(__xludf.DUMMYFUNCTION("""COMPUTED_VALUE"""),-7)</f>
        <v>-7</v>
      </c>
      <c r="O342" s="1">
        <f ca="1">IFERROR(__xludf.DUMMYFUNCTION("""COMPUTED_VALUE"""),276)</f>
        <v>276</v>
      </c>
      <c r="P342" s="1">
        <f ca="1">IFERROR(__xludf.DUMMYFUNCTION("""COMPUTED_VALUE"""),99.2)</f>
        <v>99.2</v>
      </c>
      <c r="Q342" s="1">
        <f ca="1">IFERROR(__xludf.DUMMYFUNCTION("""COMPUTED_VALUE"""),253)</f>
        <v>253</v>
      </c>
      <c r="R342" s="1">
        <f ca="1">IFERROR(__xludf.DUMMYFUNCTION("""COMPUTED_VALUE"""),106.2)</f>
        <v>106.2</v>
      </c>
      <c r="S342" s="1">
        <f ca="1">IFERROR(__xludf.DUMMYFUNCTION("""COMPUTED_VALUE"""),292)</f>
        <v>292</v>
      </c>
      <c r="T342" s="1">
        <f ca="1">IFERROR(__xludf.DUMMYFUNCTION("""COMPUTED_VALUE"""),-2.94)</f>
        <v>-2.94</v>
      </c>
      <c r="U342" s="1">
        <f ca="1">IFERROR(__xludf.DUMMYFUNCTION("""COMPUTED_VALUE"""),224)</f>
        <v>224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IFERROR(__xludf.DUMMYFUNCTION("""COMPUTED_VALUE"""),"Morris Brown")</f>
        <v>Morris Brown</v>
      </c>
      <c r="C343" s="1" t="str">
        <f ca="1">IFERROR(__xludf.DUMMYFUNCTION("""COMPUTED_VALUE"""),"ind")</f>
        <v>ind</v>
      </c>
      <c r="D343" s="2">
        <f ca="1">IFERROR(__xludf.DUMMYFUNCTION("""COMPUTED_VALUE"""),44671)</f>
        <v>44671</v>
      </c>
      <c r="E343" s="1">
        <f ca="1">IFERROR(__xludf.DUMMYFUNCTION("""COMPUTED_VALUE"""),-27.55)</f>
        <v>-27.55</v>
      </c>
      <c r="F343" s="1">
        <f ca="1">IFERROR(__xludf.DUMMYFUNCTION("""COMPUTED_VALUE"""),86.9)</f>
        <v>86.9</v>
      </c>
      <c r="G343" s="1">
        <f ca="1">IFERROR(__xludf.DUMMYFUNCTION("""COMPUTED_VALUE"""),320)</f>
        <v>320</v>
      </c>
      <c r="H343" s="1">
        <f ca="1">IFERROR(__xludf.DUMMYFUNCTION("""COMPUTED_VALUE"""),114.4)</f>
        <v>114.4</v>
      </c>
      <c r="I343" s="1">
        <f ca="1">IFERROR(__xludf.DUMMYFUNCTION("""COMPUTED_VALUE"""),320)</f>
        <v>320</v>
      </c>
      <c r="J343" s="1">
        <f ca="1">IFERROR(__xludf.DUMMYFUNCTION("""COMPUTED_VALUE"""),65.4)</f>
        <v>65.400000000000006</v>
      </c>
      <c r="K343" s="1">
        <f ca="1">IFERROR(__xludf.DUMMYFUNCTION("""COMPUTED_VALUE"""),240)</f>
        <v>240</v>
      </c>
      <c r="L343" s="1" t="str">
        <f ca="1">IFERROR(__xludf.DUMMYFUNCTION("""COMPUTED_VALUE"""),"+.003")</f>
        <v>+.003</v>
      </c>
      <c r="M343" s="1">
        <f ca="1">IFERROR(__xludf.DUMMYFUNCTION("""COMPUTED_VALUE"""),158)</f>
        <v>158</v>
      </c>
      <c r="N343" s="1">
        <f ca="1">IFERROR(__xludf.DUMMYFUNCTION("""COMPUTED_VALUE"""),-9.24)</f>
        <v>-9.24</v>
      </c>
      <c r="O343" s="1">
        <f ca="1">IFERROR(__xludf.DUMMYFUNCTION("""COMPUTED_VALUE"""),303)</f>
        <v>303</v>
      </c>
      <c r="P343" s="1">
        <f ca="1">IFERROR(__xludf.DUMMYFUNCTION("""COMPUTED_VALUE"""),97.7)</f>
        <v>97.7</v>
      </c>
      <c r="Q343" s="1">
        <f ca="1">IFERROR(__xludf.DUMMYFUNCTION("""COMPUTED_VALUE"""),287)</f>
        <v>287</v>
      </c>
      <c r="R343" s="1">
        <f ca="1">IFERROR(__xludf.DUMMYFUNCTION("""COMPUTED_VALUE"""),107)</f>
        <v>107</v>
      </c>
      <c r="S343" s="1">
        <f ca="1">IFERROR(__xludf.DUMMYFUNCTION("""COMPUTED_VALUE"""),309)</f>
        <v>309</v>
      </c>
      <c r="T343" s="1">
        <f ca="1">IFERROR(__xludf.DUMMYFUNCTION("""COMPUTED_VALUE"""),-7.52)</f>
        <v>-7.52</v>
      </c>
      <c r="U343" s="1">
        <f ca="1">IFERROR(__xludf.DUMMYFUNCTION("""COMPUTED_VALUE"""),301)</f>
        <v>301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IFERROR(__xludf.DUMMYFUNCTION("""COMPUTED_VALUE"""),"Tennessee St.")</f>
        <v>Tennessee St.</v>
      </c>
      <c r="C344" s="1" t="str">
        <f ca="1">IFERROR(__xludf.DUMMYFUNCTION("""COMPUTED_VALUE"""),"OVC")</f>
        <v>OVC</v>
      </c>
      <c r="D344" s="2">
        <f ca="1">IFERROR(__xludf.DUMMYFUNCTION("""COMPUTED_VALUE"""),44585)</f>
        <v>44585</v>
      </c>
      <c r="E344" s="1">
        <f ca="1">IFERROR(__xludf.DUMMYFUNCTION("""COMPUTED_VALUE"""),-27.8)</f>
        <v>-27.8</v>
      </c>
      <c r="F344" s="1">
        <f ca="1">IFERROR(__xludf.DUMMYFUNCTION("""COMPUTED_VALUE"""),91)</f>
        <v>91</v>
      </c>
      <c r="G344" s="1">
        <f ca="1">IFERROR(__xludf.DUMMYFUNCTION("""COMPUTED_VALUE"""),302)</f>
        <v>302</v>
      </c>
      <c r="H344" s="1">
        <f ca="1">IFERROR(__xludf.DUMMYFUNCTION("""COMPUTED_VALUE"""),118.8)</f>
        <v>118.8</v>
      </c>
      <c r="I344" s="1">
        <f ca="1">IFERROR(__xludf.DUMMYFUNCTION("""COMPUTED_VALUE"""),326)</f>
        <v>326</v>
      </c>
      <c r="J344" s="1">
        <f ca="1">IFERROR(__xludf.DUMMYFUNCTION("""COMPUTED_VALUE"""),75.7)</f>
        <v>75.7</v>
      </c>
      <c r="K344" s="1">
        <f ca="1">IFERROR(__xludf.DUMMYFUNCTION("""COMPUTED_VALUE"""),2)</f>
        <v>2</v>
      </c>
      <c r="L344" s="1">
        <f ca="1">IFERROR(__xludf.DUMMYFUNCTION("""COMPUTED_VALUE"""),-0.008)</f>
        <v>-8.0000000000000002E-3</v>
      </c>
      <c r="M344" s="1">
        <f ca="1">IFERROR(__xludf.DUMMYFUNCTION("""COMPUTED_VALUE"""),183)</f>
        <v>183</v>
      </c>
      <c r="N344" s="1">
        <f ca="1">IFERROR(__xludf.DUMMYFUNCTION("""COMPUTED_VALUE"""),-2.94)</f>
        <v>-2.94</v>
      </c>
      <c r="O344" s="1">
        <f ca="1">IFERROR(__xludf.DUMMYFUNCTION("""COMPUTED_VALUE"""),217)</f>
        <v>217</v>
      </c>
      <c r="P344" s="1">
        <f ca="1">IFERROR(__xludf.DUMMYFUNCTION("""COMPUTED_VALUE"""),102.4)</f>
        <v>102.4</v>
      </c>
      <c r="Q344" s="1">
        <f ca="1">IFERROR(__xludf.DUMMYFUNCTION("""COMPUTED_VALUE"""),165)</f>
        <v>165</v>
      </c>
      <c r="R344" s="1">
        <f ca="1">IFERROR(__xludf.DUMMYFUNCTION("""COMPUTED_VALUE"""),105.3)</f>
        <v>105.3</v>
      </c>
      <c r="S344" s="1">
        <f ca="1">IFERROR(__xludf.DUMMYFUNCTION("""COMPUTED_VALUE"""),281)</f>
        <v>281</v>
      </c>
      <c r="T344" s="1">
        <f ca="1">IFERROR(__xludf.DUMMYFUNCTION("""COMPUTED_VALUE"""),-3.95)</f>
        <v>-3.95</v>
      </c>
      <c r="U344" s="1">
        <f ca="1">IFERROR(__xludf.DUMMYFUNCTION("""COMPUTED_VALUE"""),251)</f>
        <v>251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IFERROR(__xludf.DUMMYFUNCTION("""COMPUTED_VALUE"""),"North Carolina A&amp;T")</f>
        <v>North Carolina A&amp;T</v>
      </c>
      <c r="C345" s="1" t="str">
        <f ca="1">IFERROR(__xludf.DUMMYFUNCTION("""COMPUTED_VALUE"""),"MEAC")</f>
        <v>MEAC</v>
      </c>
      <c r="D345" s="2">
        <f ca="1">IFERROR(__xludf.DUMMYFUNCTION("""COMPUTED_VALUE"""),44586)</f>
        <v>44586</v>
      </c>
      <c r="E345" s="1">
        <f ca="1">IFERROR(__xludf.DUMMYFUNCTION("""COMPUTED_VALUE"""),-35.37)</f>
        <v>-35.369999999999997</v>
      </c>
      <c r="F345" s="1">
        <f ca="1">IFERROR(__xludf.DUMMYFUNCTION("""COMPUTED_VALUE"""),84.1)</f>
        <v>84.1</v>
      </c>
      <c r="G345" s="1">
        <f ca="1">IFERROR(__xludf.DUMMYFUNCTION("""COMPUTED_VALUE"""),324)</f>
        <v>324</v>
      </c>
      <c r="H345" s="1">
        <f ca="1">IFERROR(__xludf.DUMMYFUNCTION("""COMPUTED_VALUE"""),119.4)</f>
        <v>119.4</v>
      </c>
      <c r="I345" s="1">
        <f ca="1">IFERROR(__xludf.DUMMYFUNCTION("""COMPUTED_VALUE"""),327)</f>
        <v>327</v>
      </c>
      <c r="J345" s="1">
        <f ca="1">IFERROR(__xludf.DUMMYFUNCTION("""COMPUTED_VALUE"""),68.7)</f>
        <v>68.7</v>
      </c>
      <c r="K345" s="1">
        <f ca="1">IFERROR(__xludf.DUMMYFUNCTION("""COMPUTED_VALUE"""),92)</f>
        <v>92</v>
      </c>
      <c r="L345" s="1">
        <f ca="1">IFERROR(__xludf.DUMMYFUNCTION("""COMPUTED_VALUE"""),-0.013)</f>
        <v>-1.2999999999999999E-2</v>
      </c>
      <c r="M345" s="1">
        <f ca="1">IFERROR(__xludf.DUMMYFUNCTION("""COMPUTED_VALUE"""),198)</f>
        <v>198</v>
      </c>
      <c r="N345" s="1">
        <f ca="1">IFERROR(__xludf.DUMMYFUNCTION("""COMPUTED_VALUE"""),-9.85)</f>
        <v>-9.85</v>
      </c>
      <c r="O345" s="1">
        <f ca="1">IFERROR(__xludf.DUMMYFUNCTION("""COMPUTED_VALUE"""),309)</f>
        <v>309</v>
      </c>
      <c r="P345" s="1">
        <f ca="1">IFERROR(__xludf.DUMMYFUNCTION("""COMPUTED_VALUE"""),96.7)</f>
        <v>96.7</v>
      </c>
      <c r="Q345" s="1">
        <f ca="1">IFERROR(__xludf.DUMMYFUNCTION("""COMPUTED_VALUE"""),301)</f>
        <v>301</v>
      </c>
      <c r="R345" s="1">
        <f ca="1">IFERROR(__xludf.DUMMYFUNCTION("""COMPUTED_VALUE"""),106.6)</f>
        <v>106.6</v>
      </c>
      <c r="S345" s="1">
        <f ca="1">IFERROR(__xludf.DUMMYFUNCTION("""COMPUTED_VALUE"""),301)</f>
        <v>301</v>
      </c>
      <c r="T345" s="1" t="str">
        <f ca="1">IFERROR(__xludf.DUMMYFUNCTION("""COMPUTED_VALUE"""),"+11.86")</f>
        <v>+11.86</v>
      </c>
      <c r="U345" s="1">
        <f ca="1">IFERROR(__xludf.DUMMYFUNCTION("""COMPUTED_VALUE"""),10)</f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U344"/>
  <sheetViews>
    <sheetView topLeftCell="A228" workbookViewId="0">
      <selection activeCell="D272" sqref="D272"/>
    </sheetView>
  </sheetViews>
  <sheetFormatPr baseColWidth="10" defaultColWidth="12.6640625" defaultRowHeight="15.75" customHeight="1" x14ac:dyDescent="0.15"/>
  <sheetData>
    <row r="1" spans="1:21" ht="13" x14ac:dyDescent="0.15">
      <c r="A1" s="3" t="str">
        <f ca="1">IFERROR(__xludf.DUMMYFUNCTION("IMPORThtML(""https://kenpom.com/index.php?y=2004"",""table"",1)"),"")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2</v>
      </c>
      <c r="H2" s="1" t="str">
        <f ca="1">IFERROR(__xludf.DUMMYFUNCTION("""COMPUTED_VALUE"""),"AdjD")</f>
        <v>AdjD</v>
      </c>
      <c r="I2" s="1" t="s">
        <v>3</v>
      </c>
      <c r="J2" s="1" t="str">
        <f ca="1">IFERROR(__xludf.DUMMYFUNCTION("""COMPUTED_VALUE"""),"AdjT")</f>
        <v>AdjT</v>
      </c>
      <c r="K2" s="1" t="s">
        <v>4</v>
      </c>
      <c r="L2" s="1" t="str">
        <f ca="1">IFERROR(__xludf.DUMMYFUNCTION("""COMPUTED_VALUE"""),"Luck")</f>
        <v>Luck</v>
      </c>
      <c r="M2" s="1" t="s">
        <v>5</v>
      </c>
      <c r="N2" s="1" t="s">
        <v>0</v>
      </c>
      <c r="O2" s="1" t="s">
        <v>6</v>
      </c>
      <c r="P2" s="1" t="str">
        <f ca="1">IFERROR(__xludf.DUMMYFUNCTION("""COMPUTED_VALUE"""),"OppO")</f>
        <v>OppO</v>
      </c>
      <c r="Q2" s="1" t="s">
        <v>7</v>
      </c>
      <c r="R2" s="1" t="str">
        <f ca="1">IFERROR(__xludf.DUMMYFUNCTION("""COMPUTED_VALUE"""),"OppD")</f>
        <v>OppD</v>
      </c>
      <c r="S2" s="1" t="s">
        <v>8</v>
      </c>
      <c r="T2" s="1" t="s">
        <v>1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IFERROR(__xludf.DUMMYFUNCTION("""COMPUTED_VALUE"""),"Duke1")</f>
        <v>Duke1</v>
      </c>
      <c r="C3" s="1" t="str">
        <f ca="1">IFERROR(__xludf.DUMMYFUNCTION("""COMPUTED_VALUE"""),"ACC")</f>
        <v>ACC</v>
      </c>
      <c r="D3" s="1" t="str">
        <f ca="1">IFERROR(__xludf.DUMMYFUNCTION("""COMPUTED_VALUE"""),"31-6")</f>
        <v>31-6</v>
      </c>
      <c r="E3" s="1" t="str">
        <f ca="1">IFERROR(__xludf.DUMMYFUNCTION("""COMPUTED_VALUE"""),"+32.33")</f>
        <v>+32.33</v>
      </c>
      <c r="F3" s="1">
        <f ca="1">IFERROR(__xludf.DUMMYFUNCTION("""COMPUTED_VALUE"""),120.8)</f>
        <v>120.8</v>
      </c>
      <c r="G3" s="1">
        <f ca="1">IFERROR(__xludf.DUMMYFUNCTION("""COMPUTED_VALUE"""),2)</f>
        <v>2</v>
      </c>
      <c r="H3" s="1">
        <f ca="1">IFERROR(__xludf.DUMMYFUNCTION("""COMPUTED_VALUE"""),88.5)</f>
        <v>88.5</v>
      </c>
      <c r="I3" s="1">
        <f ca="1">IFERROR(__xludf.DUMMYFUNCTION("""COMPUTED_VALUE"""),3)</f>
        <v>3</v>
      </c>
      <c r="J3" s="1">
        <f ca="1">IFERROR(__xludf.DUMMYFUNCTION("""COMPUTED_VALUE"""),67.7)</f>
        <v>67.7</v>
      </c>
      <c r="K3" s="1">
        <f ca="1">IFERROR(__xludf.DUMMYFUNCTION("""COMPUTED_VALUE"""),94)</f>
        <v>94</v>
      </c>
      <c r="L3" s="1">
        <f ca="1">IFERROR(__xludf.DUMMYFUNCTION("""COMPUTED_VALUE"""),-0.028)</f>
        <v>-2.8000000000000001E-2</v>
      </c>
      <c r="M3" s="1">
        <f ca="1">IFERROR(__xludf.DUMMYFUNCTION("""COMPUTED_VALUE"""),232)</f>
        <v>232</v>
      </c>
      <c r="N3" s="1" t="str">
        <f ca="1">IFERROR(__xludf.DUMMYFUNCTION("""COMPUTED_VALUE"""),"+12.59")</f>
        <v>+12.59</v>
      </c>
      <c r="O3" s="1">
        <f ca="1">IFERROR(__xludf.DUMMYFUNCTION("""COMPUTED_VALUE"""),7)</f>
        <v>7</v>
      </c>
      <c r="P3" s="1">
        <f ca="1">IFERROR(__xludf.DUMMYFUNCTION("""COMPUTED_VALUE"""),109.5)</f>
        <v>109.5</v>
      </c>
      <c r="Q3" s="1">
        <f ca="1">IFERROR(__xludf.DUMMYFUNCTION("""COMPUTED_VALUE"""),7)</f>
        <v>7</v>
      </c>
      <c r="R3" s="1">
        <f ca="1">IFERROR(__xludf.DUMMYFUNCTION("""COMPUTED_VALUE"""),96.9)</f>
        <v>96.9</v>
      </c>
      <c r="S3" s="1">
        <f ca="1">IFERROR(__xludf.DUMMYFUNCTION("""COMPUTED_VALUE"""),4)</f>
        <v>4</v>
      </c>
      <c r="T3" s="1" t="str">
        <f ca="1">IFERROR(__xludf.DUMMYFUNCTION("""COMPUTED_VALUE"""),"+2.42")</f>
        <v>+2.42</v>
      </c>
      <c r="U3" s="1">
        <f ca="1">IFERROR(__xludf.DUMMYFUNCTION("""COMPUTED_VALUE"""),94)</f>
        <v>94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IFERROR(__xludf.DUMMYFUNCTION("""COMPUTED_VALUE"""),"Connecticut2")</f>
        <v>Connecticut2</v>
      </c>
      <c r="C4" s="1" t="str">
        <f ca="1">IFERROR(__xludf.DUMMYFUNCTION("""COMPUTED_VALUE"""),"BE")</f>
        <v>BE</v>
      </c>
      <c r="D4" s="1" t="str">
        <f ca="1">IFERROR(__xludf.DUMMYFUNCTION("""COMPUTED_VALUE"""),"33-6")</f>
        <v>33-6</v>
      </c>
      <c r="E4" s="1" t="str">
        <f ca="1">IFERROR(__xludf.DUMMYFUNCTION("""COMPUTED_VALUE"""),"+28.30")</f>
        <v>+28.30</v>
      </c>
      <c r="F4" s="1">
        <f ca="1">IFERROR(__xludf.DUMMYFUNCTION("""COMPUTED_VALUE"""),117.8)</f>
        <v>117.8</v>
      </c>
      <c r="G4" s="1">
        <f ca="1">IFERROR(__xludf.DUMMYFUNCTION("""COMPUTED_VALUE"""),9)</f>
        <v>9</v>
      </c>
      <c r="H4" s="1">
        <f ca="1">IFERROR(__xludf.DUMMYFUNCTION("""COMPUTED_VALUE"""),89.5)</f>
        <v>89.5</v>
      </c>
      <c r="I4" s="1">
        <f ca="1">IFERROR(__xludf.DUMMYFUNCTION("""COMPUTED_VALUE"""),6)</f>
        <v>6</v>
      </c>
      <c r="J4" s="1">
        <f ca="1">IFERROR(__xludf.DUMMYFUNCTION("""COMPUTED_VALUE"""),68.2)</f>
        <v>68.2</v>
      </c>
      <c r="K4" s="1">
        <f ca="1">IFERROR(__xludf.DUMMYFUNCTION("""COMPUTED_VALUE"""),75)</f>
        <v>75</v>
      </c>
      <c r="L4" s="1" t="str">
        <f ca="1">IFERROR(__xludf.DUMMYFUNCTION("""COMPUTED_VALUE"""),"+.012")</f>
        <v>+.012</v>
      </c>
      <c r="M4" s="1">
        <f ca="1">IFERROR(__xludf.DUMMYFUNCTION("""COMPUTED_VALUE"""),140)</f>
        <v>140</v>
      </c>
      <c r="N4" s="1" t="str">
        <f ca="1">IFERROR(__xludf.DUMMYFUNCTION("""COMPUTED_VALUE"""),"+8.93")</f>
        <v>+8.93</v>
      </c>
      <c r="O4" s="1">
        <f ca="1">IFERROR(__xludf.DUMMYFUNCTION("""COMPUTED_VALUE"""),18)</f>
        <v>18</v>
      </c>
      <c r="P4" s="1">
        <f ca="1">IFERROR(__xludf.DUMMYFUNCTION("""COMPUTED_VALUE"""),107.7)</f>
        <v>107.7</v>
      </c>
      <c r="Q4" s="1">
        <f ca="1">IFERROR(__xludf.DUMMYFUNCTION("""COMPUTED_VALUE"""),27)</f>
        <v>27</v>
      </c>
      <c r="R4" s="1">
        <f ca="1">IFERROR(__xludf.DUMMYFUNCTION("""COMPUTED_VALUE"""),98.8)</f>
        <v>98.8</v>
      </c>
      <c r="S4" s="1">
        <f ca="1">IFERROR(__xludf.DUMMYFUNCTION("""COMPUTED_VALUE"""),14)</f>
        <v>14</v>
      </c>
      <c r="T4" s="1">
        <f ca="1">IFERROR(__xludf.DUMMYFUNCTION("""COMPUTED_VALUE"""),-2.05)</f>
        <v>-2.0499999999999998</v>
      </c>
      <c r="U4" s="1">
        <f ca="1">IFERROR(__xludf.DUMMYFUNCTION("""COMPUTED_VALUE"""),216)</f>
        <v>216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IFERROR(__xludf.DUMMYFUNCTION("""COMPUTED_VALUE"""),"Saint Joseph's1")</f>
        <v>Saint Joseph's1</v>
      </c>
      <c r="C5" s="1" t="str">
        <f ca="1">IFERROR(__xludf.DUMMYFUNCTION("""COMPUTED_VALUE"""),"A10")</f>
        <v>A10</v>
      </c>
      <c r="D5" s="1" t="str">
        <f ca="1">IFERROR(__xludf.DUMMYFUNCTION("""COMPUTED_VALUE"""),"30-2")</f>
        <v>30-2</v>
      </c>
      <c r="E5" s="1" t="str">
        <f ca="1">IFERROR(__xludf.DUMMYFUNCTION("""COMPUTED_VALUE"""),"+27.66")</f>
        <v>+27.66</v>
      </c>
      <c r="F5" s="1">
        <f ca="1">IFERROR(__xludf.DUMMYFUNCTION("""COMPUTED_VALUE"""),118.9)</f>
        <v>118.9</v>
      </c>
      <c r="G5" s="1">
        <f ca="1">IFERROR(__xludf.DUMMYFUNCTION("""COMPUTED_VALUE"""),5)</f>
        <v>5</v>
      </c>
      <c r="H5" s="1">
        <f ca="1">IFERROR(__xludf.DUMMYFUNCTION("""COMPUTED_VALUE"""),91.2)</f>
        <v>91.2</v>
      </c>
      <c r="I5" s="1">
        <f ca="1">IFERROR(__xludf.DUMMYFUNCTION("""COMPUTED_VALUE"""),12)</f>
        <v>12</v>
      </c>
      <c r="J5" s="1">
        <f ca="1">IFERROR(__xludf.DUMMYFUNCTION("""COMPUTED_VALUE"""),66.1)</f>
        <v>66.099999999999994</v>
      </c>
      <c r="K5" s="1">
        <f ca="1">IFERROR(__xludf.DUMMYFUNCTION("""COMPUTED_VALUE"""),148)</f>
        <v>148</v>
      </c>
      <c r="L5" s="1" t="str">
        <f ca="1">IFERROR(__xludf.DUMMYFUNCTION("""COMPUTED_VALUE"""),"+.060")</f>
        <v>+.060</v>
      </c>
      <c r="M5" s="1">
        <f ca="1">IFERROR(__xludf.DUMMYFUNCTION("""COMPUTED_VALUE"""),42)</f>
        <v>42</v>
      </c>
      <c r="N5" s="1" t="str">
        <f ca="1">IFERROR(__xludf.DUMMYFUNCTION("""COMPUTED_VALUE"""),"+6.99")</f>
        <v>+6.99</v>
      </c>
      <c r="O5" s="1">
        <f ca="1">IFERROR(__xludf.DUMMYFUNCTION("""COMPUTED_VALUE"""),40)</f>
        <v>40</v>
      </c>
      <c r="P5" s="1">
        <f ca="1">IFERROR(__xludf.DUMMYFUNCTION("""COMPUTED_VALUE"""),107.1)</f>
        <v>107.1</v>
      </c>
      <c r="Q5" s="1">
        <f ca="1">IFERROR(__xludf.DUMMYFUNCTION("""COMPUTED_VALUE"""),38)</f>
        <v>38</v>
      </c>
      <c r="R5" s="1">
        <f ca="1">IFERROR(__xludf.DUMMYFUNCTION("""COMPUTED_VALUE"""),100.1)</f>
        <v>100.1</v>
      </c>
      <c r="S5" s="1">
        <f ca="1">IFERROR(__xludf.DUMMYFUNCTION("""COMPUTED_VALUE"""),43)</f>
        <v>43</v>
      </c>
      <c r="T5" s="1" t="str">
        <f ca="1">IFERROR(__xludf.DUMMYFUNCTION("""COMPUTED_VALUE"""),"+8.86")</f>
        <v>+8.86</v>
      </c>
      <c r="U5" s="1">
        <f ca="1">IFERROR(__xludf.DUMMYFUNCTION("""COMPUTED_VALUE"""),10)</f>
        <v>10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IFERROR(__xludf.DUMMYFUNCTION("""COMPUTED_VALUE"""),"Oklahoma St.2")</f>
        <v>Oklahoma St.2</v>
      </c>
      <c r="C6" s="1" t="str">
        <f ca="1">IFERROR(__xludf.DUMMYFUNCTION("""COMPUTED_VALUE"""),"B12")</f>
        <v>B12</v>
      </c>
      <c r="D6" s="1" t="str">
        <f ca="1">IFERROR(__xludf.DUMMYFUNCTION("""COMPUTED_VALUE"""),"31-4")</f>
        <v>31-4</v>
      </c>
      <c r="E6" s="1" t="str">
        <f ca="1">IFERROR(__xludf.DUMMYFUNCTION("""COMPUTED_VALUE"""),"+27.37")</f>
        <v>+27.37</v>
      </c>
      <c r="F6" s="1">
        <f ca="1">IFERROR(__xludf.DUMMYFUNCTION("""COMPUTED_VALUE"""),118.5)</f>
        <v>118.5</v>
      </c>
      <c r="G6" s="1">
        <f ca="1">IFERROR(__xludf.DUMMYFUNCTION("""COMPUTED_VALUE"""),6)</f>
        <v>6</v>
      </c>
      <c r="H6" s="1">
        <f ca="1">IFERROR(__xludf.DUMMYFUNCTION("""COMPUTED_VALUE"""),91.1)</f>
        <v>91.1</v>
      </c>
      <c r="I6" s="1">
        <f ca="1">IFERROR(__xludf.DUMMYFUNCTION("""COMPUTED_VALUE"""),11)</f>
        <v>11</v>
      </c>
      <c r="J6" s="1">
        <f ca="1">IFERROR(__xludf.DUMMYFUNCTION("""COMPUTED_VALUE"""),64.8)</f>
        <v>64.8</v>
      </c>
      <c r="K6" s="1">
        <f ca="1">IFERROR(__xludf.DUMMYFUNCTION("""COMPUTED_VALUE"""),203)</f>
        <v>203</v>
      </c>
      <c r="L6" s="1" t="str">
        <f ca="1">IFERROR(__xludf.DUMMYFUNCTION("""COMPUTED_VALUE"""),"+.029")</f>
        <v>+.029</v>
      </c>
      <c r="M6" s="1">
        <f ca="1">IFERROR(__xludf.DUMMYFUNCTION("""COMPUTED_VALUE"""),92)</f>
        <v>92</v>
      </c>
      <c r="N6" s="1" t="str">
        <f ca="1">IFERROR(__xludf.DUMMYFUNCTION("""COMPUTED_VALUE"""),"+7.56")</f>
        <v>+7.56</v>
      </c>
      <c r="O6" s="1">
        <f ca="1">IFERROR(__xludf.DUMMYFUNCTION("""COMPUTED_VALUE"""),31)</f>
        <v>31</v>
      </c>
      <c r="P6" s="1">
        <f ca="1">IFERROR(__xludf.DUMMYFUNCTION("""COMPUTED_VALUE"""),107.7)</f>
        <v>107.7</v>
      </c>
      <c r="Q6" s="1">
        <f ca="1">IFERROR(__xludf.DUMMYFUNCTION("""COMPUTED_VALUE"""),29)</f>
        <v>29</v>
      </c>
      <c r="R6" s="1">
        <f ca="1">IFERROR(__xludf.DUMMYFUNCTION("""COMPUTED_VALUE"""),100.1)</f>
        <v>100.1</v>
      </c>
      <c r="S6" s="1">
        <f ca="1">IFERROR(__xludf.DUMMYFUNCTION("""COMPUTED_VALUE"""),44)</f>
        <v>44</v>
      </c>
      <c r="T6" s="1">
        <f ca="1">IFERROR(__xludf.DUMMYFUNCTION("""COMPUTED_VALUE"""),-5.55)</f>
        <v>-5.55</v>
      </c>
      <c r="U6" s="1">
        <f ca="1">IFERROR(__xludf.DUMMYFUNCTION("""COMPUTED_VALUE"""),274)</f>
        <v>274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IFERROR(__xludf.DUMMYFUNCTION("""COMPUTED_VALUE"""),"Pittsburgh3")</f>
        <v>Pittsburgh3</v>
      </c>
      <c r="C7" s="1" t="str">
        <f ca="1">IFERROR(__xludf.DUMMYFUNCTION("""COMPUTED_VALUE"""),"BE")</f>
        <v>BE</v>
      </c>
      <c r="D7" s="1" t="str">
        <f ca="1">IFERROR(__xludf.DUMMYFUNCTION("""COMPUTED_VALUE"""),"31-5")</f>
        <v>31-5</v>
      </c>
      <c r="E7" s="1" t="str">
        <f ca="1">IFERROR(__xludf.DUMMYFUNCTION("""COMPUTED_VALUE"""),"+25.91")</f>
        <v>+25.91</v>
      </c>
      <c r="F7" s="1">
        <f ca="1">IFERROR(__xludf.DUMMYFUNCTION("""COMPUTED_VALUE"""),114.1)</f>
        <v>114.1</v>
      </c>
      <c r="G7" s="1">
        <f ca="1">IFERROR(__xludf.DUMMYFUNCTION("""COMPUTED_VALUE"""),20)</f>
        <v>20</v>
      </c>
      <c r="H7" s="1">
        <f ca="1">IFERROR(__xludf.DUMMYFUNCTION("""COMPUTED_VALUE"""),88.2)</f>
        <v>88.2</v>
      </c>
      <c r="I7" s="1">
        <f ca="1">IFERROR(__xludf.DUMMYFUNCTION("""COMPUTED_VALUE"""),2)</f>
        <v>2</v>
      </c>
      <c r="J7" s="1">
        <f ca="1">IFERROR(__xludf.DUMMYFUNCTION("""COMPUTED_VALUE"""),59.7)</f>
        <v>59.7</v>
      </c>
      <c r="K7" s="1">
        <f ca="1">IFERROR(__xludf.DUMMYFUNCTION("""COMPUTED_VALUE"""),314)</f>
        <v>314</v>
      </c>
      <c r="L7" s="1">
        <f ca="1">IFERROR(__xludf.DUMMYFUNCTION("""COMPUTED_VALUE"""),-0.028)</f>
        <v>-2.8000000000000001E-2</v>
      </c>
      <c r="M7" s="1">
        <f ca="1">IFERROR(__xludf.DUMMYFUNCTION("""COMPUTED_VALUE"""),235)</f>
        <v>235</v>
      </c>
      <c r="N7" s="1" t="str">
        <f ca="1">IFERROR(__xludf.DUMMYFUNCTION("""COMPUTED_VALUE"""),"+5.97")</f>
        <v>+5.97</v>
      </c>
      <c r="O7" s="1">
        <f ca="1">IFERROR(__xludf.DUMMYFUNCTION("""COMPUTED_VALUE"""),56)</f>
        <v>56</v>
      </c>
      <c r="P7" s="1">
        <f ca="1">IFERROR(__xludf.DUMMYFUNCTION("""COMPUTED_VALUE"""),106.4)</f>
        <v>106.4</v>
      </c>
      <c r="Q7" s="1">
        <f ca="1">IFERROR(__xludf.DUMMYFUNCTION("""COMPUTED_VALUE"""),63)</f>
        <v>63</v>
      </c>
      <c r="R7" s="1">
        <f ca="1">IFERROR(__xludf.DUMMYFUNCTION("""COMPUTED_VALUE"""),100.5)</f>
        <v>100.5</v>
      </c>
      <c r="S7" s="1">
        <f ca="1">IFERROR(__xludf.DUMMYFUNCTION("""COMPUTED_VALUE"""),65)</f>
        <v>65</v>
      </c>
      <c r="T7" s="1">
        <f ca="1">IFERROR(__xludf.DUMMYFUNCTION("""COMPUTED_VALUE"""),-8.2)</f>
        <v>-8.1999999999999993</v>
      </c>
      <c r="U7" s="1">
        <f ca="1">IFERROR(__xludf.DUMMYFUNCTION("""COMPUTED_VALUE"""),305)</f>
        <v>305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IFERROR(__xludf.DUMMYFUNCTION("""COMPUTED_VALUE"""),"Wisconsin6")</f>
        <v>Wisconsin6</v>
      </c>
      <c r="C8" s="1" t="str">
        <f ca="1">IFERROR(__xludf.DUMMYFUNCTION("""COMPUTED_VALUE"""),"B10")</f>
        <v>B10</v>
      </c>
      <c r="D8" s="1" t="str">
        <f ca="1">IFERROR(__xludf.DUMMYFUNCTION("""COMPUTED_VALUE"""),"25-7")</f>
        <v>25-7</v>
      </c>
      <c r="E8" s="1" t="str">
        <f ca="1">IFERROR(__xludf.DUMMYFUNCTION("""COMPUTED_VALUE"""),"+25.74")</f>
        <v>+25.74</v>
      </c>
      <c r="F8" s="1">
        <f ca="1">IFERROR(__xludf.DUMMYFUNCTION("""COMPUTED_VALUE"""),116)</f>
        <v>116</v>
      </c>
      <c r="G8" s="1">
        <f ca="1">IFERROR(__xludf.DUMMYFUNCTION("""COMPUTED_VALUE"""),14)</f>
        <v>14</v>
      </c>
      <c r="H8" s="1">
        <f ca="1">IFERROR(__xludf.DUMMYFUNCTION("""COMPUTED_VALUE"""),90.3)</f>
        <v>90.3</v>
      </c>
      <c r="I8" s="1">
        <f ca="1">IFERROR(__xludf.DUMMYFUNCTION("""COMPUTED_VALUE"""),8)</f>
        <v>8</v>
      </c>
      <c r="J8" s="1">
        <f ca="1">IFERROR(__xludf.DUMMYFUNCTION("""COMPUTED_VALUE"""),60.7)</f>
        <v>60.7</v>
      </c>
      <c r="K8" s="1">
        <f ca="1">IFERROR(__xludf.DUMMYFUNCTION("""COMPUTED_VALUE"""),310)</f>
        <v>310</v>
      </c>
      <c r="L8" s="1">
        <f ca="1">IFERROR(__xludf.DUMMYFUNCTION("""COMPUTED_VALUE"""),-0.001)</f>
        <v>-1E-3</v>
      </c>
      <c r="M8" s="1">
        <f ca="1">IFERROR(__xludf.DUMMYFUNCTION("""COMPUTED_VALUE"""),174)</f>
        <v>174</v>
      </c>
      <c r="N8" s="1" t="str">
        <f ca="1">IFERROR(__xludf.DUMMYFUNCTION("""COMPUTED_VALUE"""),"+8.34")</f>
        <v>+8.34</v>
      </c>
      <c r="O8" s="1">
        <f ca="1">IFERROR(__xludf.DUMMYFUNCTION("""COMPUTED_VALUE"""),23)</f>
        <v>23</v>
      </c>
      <c r="P8" s="1">
        <f ca="1">IFERROR(__xludf.DUMMYFUNCTION("""COMPUTED_VALUE"""),108)</f>
        <v>108</v>
      </c>
      <c r="Q8" s="1">
        <f ca="1">IFERROR(__xludf.DUMMYFUNCTION("""COMPUTED_VALUE"""),20)</f>
        <v>20</v>
      </c>
      <c r="R8" s="1">
        <f ca="1">IFERROR(__xludf.DUMMYFUNCTION("""COMPUTED_VALUE"""),99.7)</f>
        <v>99.7</v>
      </c>
      <c r="S8" s="1">
        <f ca="1">IFERROR(__xludf.DUMMYFUNCTION("""COMPUTED_VALUE"""),30)</f>
        <v>30</v>
      </c>
      <c r="T8" s="1" t="str">
        <f ca="1">IFERROR(__xludf.DUMMYFUNCTION("""COMPUTED_VALUE"""),"+3.63")</f>
        <v>+3.63</v>
      </c>
      <c r="U8" s="1">
        <f ca="1">IFERROR(__xludf.DUMMYFUNCTION("""COMPUTED_VALUE"""),64)</f>
        <v>64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IFERROR(__xludf.DUMMYFUNCTION("""COMPUTED_VALUE"""),"Gonzaga2")</f>
        <v>Gonzaga2</v>
      </c>
      <c r="C9" s="1" t="str">
        <f ca="1">IFERROR(__xludf.DUMMYFUNCTION("""COMPUTED_VALUE"""),"WCC")</f>
        <v>WCC</v>
      </c>
      <c r="D9" s="1" t="str">
        <f ca="1">IFERROR(__xludf.DUMMYFUNCTION("""COMPUTED_VALUE"""),"28-3")</f>
        <v>28-3</v>
      </c>
      <c r="E9" s="1" t="str">
        <f ca="1">IFERROR(__xludf.DUMMYFUNCTION("""COMPUTED_VALUE"""),"+25.34")</f>
        <v>+25.34</v>
      </c>
      <c r="F9" s="1">
        <f ca="1">IFERROR(__xludf.DUMMYFUNCTION("""COMPUTED_VALUE"""),120.8)</f>
        <v>120.8</v>
      </c>
      <c r="G9" s="1">
        <f ca="1">IFERROR(__xludf.DUMMYFUNCTION("""COMPUTED_VALUE"""),3)</f>
        <v>3</v>
      </c>
      <c r="H9" s="1">
        <f ca="1">IFERROR(__xludf.DUMMYFUNCTION("""COMPUTED_VALUE"""),95.5)</f>
        <v>95.5</v>
      </c>
      <c r="I9" s="1">
        <f ca="1">IFERROR(__xludf.DUMMYFUNCTION("""COMPUTED_VALUE"""),36)</f>
        <v>36</v>
      </c>
      <c r="J9" s="1">
        <f ca="1">IFERROR(__xludf.DUMMYFUNCTION("""COMPUTED_VALUE"""),66.6)</f>
        <v>66.599999999999994</v>
      </c>
      <c r="K9" s="1">
        <f ca="1">IFERROR(__xludf.DUMMYFUNCTION("""COMPUTED_VALUE"""),128)</f>
        <v>128</v>
      </c>
      <c r="L9" s="1" t="str">
        <f ca="1">IFERROR(__xludf.DUMMYFUNCTION("""COMPUTED_VALUE"""),"+.013")</f>
        <v>+.013</v>
      </c>
      <c r="M9" s="1">
        <f ca="1">IFERROR(__xludf.DUMMYFUNCTION("""COMPUTED_VALUE"""),136)</f>
        <v>136</v>
      </c>
      <c r="N9" s="1" t="str">
        <f ca="1">IFERROR(__xludf.DUMMYFUNCTION("""COMPUTED_VALUE"""),"+3.28")</f>
        <v>+3.28</v>
      </c>
      <c r="O9" s="1">
        <f ca="1">IFERROR(__xludf.DUMMYFUNCTION("""COMPUTED_VALUE"""),105)</f>
        <v>105</v>
      </c>
      <c r="P9" s="1">
        <f ca="1">IFERROR(__xludf.DUMMYFUNCTION("""COMPUTED_VALUE"""),105.5)</f>
        <v>105.5</v>
      </c>
      <c r="Q9" s="1">
        <f ca="1">IFERROR(__xludf.DUMMYFUNCTION("""COMPUTED_VALUE"""),94)</f>
        <v>94</v>
      </c>
      <c r="R9" s="1">
        <f ca="1">IFERROR(__xludf.DUMMYFUNCTION("""COMPUTED_VALUE"""),102.2)</f>
        <v>102.2</v>
      </c>
      <c r="S9" s="1">
        <f ca="1">IFERROR(__xludf.DUMMYFUNCTION("""COMPUTED_VALUE"""),116)</f>
        <v>116</v>
      </c>
      <c r="T9" s="1" t="str">
        <f ca="1">IFERROR(__xludf.DUMMYFUNCTION("""COMPUTED_VALUE"""),"+7.00")</f>
        <v>+7.00</v>
      </c>
      <c r="U9" s="1">
        <f ca="1">IFERROR(__xludf.DUMMYFUNCTION("""COMPUTED_VALUE"""),23)</f>
        <v>23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IFERROR(__xludf.DUMMYFUNCTION("""COMPUTED_VALUE"""),"Georgia Tech3")</f>
        <v>Georgia Tech3</v>
      </c>
      <c r="C10" s="1" t="str">
        <f ca="1">IFERROR(__xludf.DUMMYFUNCTION("""COMPUTED_VALUE"""),"ACC")</f>
        <v>ACC</v>
      </c>
      <c r="D10" s="1" t="str">
        <f ca="1">IFERROR(__xludf.DUMMYFUNCTION("""COMPUTED_VALUE"""),"28-10")</f>
        <v>28-10</v>
      </c>
      <c r="E10" s="1" t="str">
        <f ca="1">IFERROR(__xludf.DUMMYFUNCTION("""COMPUTED_VALUE"""),"+24.69")</f>
        <v>+24.69</v>
      </c>
      <c r="F10" s="1">
        <f ca="1">IFERROR(__xludf.DUMMYFUNCTION("""COMPUTED_VALUE"""),113.5)</f>
        <v>113.5</v>
      </c>
      <c r="G10" s="1">
        <f ca="1">IFERROR(__xludf.DUMMYFUNCTION("""COMPUTED_VALUE"""),28)</f>
        <v>28</v>
      </c>
      <c r="H10" s="1">
        <f ca="1">IFERROR(__xludf.DUMMYFUNCTION("""COMPUTED_VALUE"""),88.8)</f>
        <v>88.8</v>
      </c>
      <c r="I10" s="1">
        <f ca="1">IFERROR(__xludf.DUMMYFUNCTION("""COMPUTED_VALUE"""),4)</f>
        <v>4</v>
      </c>
      <c r="J10" s="1">
        <f ca="1">IFERROR(__xludf.DUMMYFUNCTION("""COMPUTED_VALUE"""),69.1)</f>
        <v>69.099999999999994</v>
      </c>
      <c r="K10" s="1">
        <f ca="1">IFERROR(__xludf.DUMMYFUNCTION("""COMPUTED_VALUE"""),49)</f>
        <v>49</v>
      </c>
      <c r="L10" s="1" t="str">
        <f ca="1">IFERROR(__xludf.DUMMYFUNCTION("""COMPUTED_VALUE"""),"+.008")</f>
        <v>+.008</v>
      </c>
      <c r="M10" s="1">
        <f ca="1">IFERROR(__xludf.DUMMYFUNCTION("""COMPUTED_VALUE"""),148)</f>
        <v>148</v>
      </c>
      <c r="N10" s="1" t="str">
        <f ca="1">IFERROR(__xludf.DUMMYFUNCTION("""COMPUTED_VALUE"""),"+13.74")</f>
        <v>+13.74</v>
      </c>
      <c r="O10" s="1">
        <f ca="1">IFERROR(__xludf.DUMMYFUNCTION("""COMPUTED_VALUE"""),3)</f>
        <v>3</v>
      </c>
      <c r="P10" s="1">
        <f ca="1">IFERROR(__xludf.DUMMYFUNCTION("""COMPUTED_VALUE"""),110.8)</f>
        <v>110.8</v>
      </c>
      <c r="Q10" s="1">
        <f ca="1">IFERROR(__xludf.DUMMYFUNCTION("""COMPUTED_VALUE"""),2)</f>
        <v>2</v>
      </c>
      <c r="R10" s="1">
        <f ca="1">IFERROR(__xludf.DUMMYFUNCTION("""COMPUTED_VALUE"""),97.1)</f>
        <v>97.1</v>
      </c>
      <c r="S10" s="1">
        <f ca="1">IFERROR(__xludf.DUMMYFUNCTION("""COMPUTED_VALUE"""),5)</f>
        <v>5</v>
      </c>
      <c r="T10" s="1" t="str">
        <f ca="1">IFERROR(__xludf.DUMMYFUNCTION("""COMPUTED_VALUE"""),"+0.97")</f>
        <v>+0.97</v>
      </c>
      <c r="U10" s="1">
        <f ca="1">IFERROR(__xludf.DUMMYFUNCTION("""COMPUTED_VALUE"""),138)</f>
        <v>138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IFERROR(__xludf.DUMMYFUNCTION("""COMPUTED_VALUE"""),"N.C. State3")</f>
        <v>N.C. State3</v>
      </c>
      <c r="C11" s="1" t="str">
        <f ca="1">IFERROR(__xludf.DUMMYFUNCTION("""COMPUTED_VALUE"""),"ACC")</f>
        <v>ACC</v>
      </c>
      <c r="D11" s="1" t="str">
        <f ca="1">IFERROR(__xludf.DUMMYFUNCTION("""COMPUTED_VALUE"""),"21-10")</f>
        <v>21-10</v>
      </c>
      <c r="E11" s="1" t="str">
        <f ca="1">IFERROR(__xludf.DUMMYFUNCTION("""COMPUTED_VALUE"""),"+23.98")</f>
        <v>+23.98</v>
      </c>
      <c r="F11" s="1">
        <f ca="1">IFERROR(__xludf.DUMMYFUNCTION("""COMPUTED_VALUE"""),119.1)</f>
        <v>119.1</v>
      </c>
      <c r="G11" s="1">
        <f ca="1">IFERROR(__xludf.DUMMYFUNCTION("""COMPUTED_VALUE"""),4)</f>
        <v>4</v>
      </c>
      <c r="H11" s="1">
        <f ca="1">IFERROR(__xludf.DUMMYFUNCTION("""COMPUTED_VALUE"""),95.1)</f>
        <v>95.1</v>
      </c>
      <c r="I11" s="1">
        <f ca="1">IFERROR(__xludf.DUMMYFUNCTION("""COMPUTED_VALUE"""),33)</f>
        <v>33</v>
      </c>
      <c r="J11" s="1">
        <f ca="1">IFERROR(__xludf.DUMMYFUNCTION("""COMPUTED_VALUE"""),62.1)</f>
        <v>62.1</v>
      </c>
      <c r="K11" s="1">
        <f ca="1">IFERROR(__xludf.DUMMYFUNCTION("""COMPUTED_VALUE"""),292)</f>
        <v>292</v>
      </c>
      <c r="L11" s="1">
        <f ca="1">IFERROR(__xludf.DUMMYFUNCTION("""COMPUTED_VALUE"""),-0.072)</f>
        <v>-7.1999999999999995E-2</v>
      </c>
      <c r="M11" s="1">
        <f ca="1">IFERROR(__xludf.DUMMYFUNCTION("""COMPUTED_VALUE"""),298)</f>
        <v>298</v>
      </c>
      <c r="N11" s="1" t="str">
        <f ca="1">IFERROR(__xludf.DUMMYFUNCTION("""COMPUTED_VALUE"""),"+12.81")</f>
        <v>+12.81</v>
      </c>
      <c r="O11" s="1">
        <f ca="1">IFERROR(__xludf.DUMMYFUNCTION("""COMPUTED_VALUE"""),6)</f>
        <v>6</v>
      </c>
      <c r="P11" s="1">
        <f ca="1">IFERROR(__xludf.DUMMYFUNCTION("""COMPUTED_VALUE"""),109.5)</f>
        <v>109.5</v>
      </c>
      <c r="Q11" s="1">
        <f ca="1">IFERROR(__xludf.DUMMYFUNCTION("""COMPUTED_VALUE"""),6)</f>
        <v>6</v>
      </c>
      <c r="R11" s="1">
        <f ca="1">IFERROR(__xludf.DUMMYFUNCTION("""COMPUTED_VALUE"""),96.7)</f>
        <v>96.7</v>
      </c>
      <c r="S11" s="1">
        <f ca="1">IFERROR(__xludf.DUMMYFUNCTION("""COMPUTED_VALUE"""),3)</f>
        <v>3</v>
      </c>
      <c r="T11" s="1">
        <f ca="1">IFERROR(__xludf.DUMMYFUNCTION("""COMPUTED_VALUE"""),-0.59)</f>
        <v>-0.59</v>
      </c>
      <c r="U11" s="1">
        <f ca="1">IFERROR(__xludf.DUMMYFUNCTION("""COMPUTED_VALUE"""),179)</f>
        <v>179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IFERROR(__xludf.DUMMYFUNCTION("""COMPUTED_VALUE"""),"Kentucky1")</f>
        <v>Kentucky1</v>
      </c>
      <c r="C12" s="1" t="str">
        <f ca="1">IFERROR(__xludf.DUMMYFUNCTION("""COMPUTED_VALUE"""),"SEC")</f>
        <v>SEC</v>
      </c>
      <c r="D12" s="1" t="str">
        <f ca="1">IFERROR(__xludf.DUMMYFUNCTION("""COMPUTED_VALUE"""),"27-5")</f>
        <v>27-5</v>
      </c>
      <c r="E12" s="1" t="str">
        <f ca="1">IFERROR(__xludf.DUMMYFUNCTION("""COMPUTED_VALUE"""),"+23.35")</f>
        <v>+23.35</v>
      </c>
      <c r="F12" s="1">
        <f ca="1">IFERROR(__xludf.DUMMYFUNCTION("""COMPUTED_VALUE"""),113.5)</f>
        <v>113.5</v>
      </c>
      <c r="G12" s="1">
        <f ca="1">IFERROR(__xludf.DUMMYFUNCTION("""COMPUTED_VALUE"""),26)</f>
        <v>26</v>
      </c>
      <c r="H12" s="1">
        <f ca="1">IFERROR(__xludf.DUMMYFUNCTION("""COMPUTED_VALUE"""),90.1)</f>
        <v>90.1</v>
      </c>
      <c r="I12" s="1">
        <f ca="1">IFERROR(__xludf.DUMMYFUNCTION("""COMPUTED_VALUE"""),7)</f>
        <v>7</v>
      </c>
      <c r="J12" s="1">
        <f ca="1">IFERROR(__xludf.DUMMYFUNCTION("""COMPUTED_VALUE"""),66.1)</f>
        <v>66.099999999999994</v>
      </c>
      <c r="K12" s="1">
        <f ca="1">IFERROR(__xludf.DUMMYFUNCTION("""COMPUTED_VALUE"""),151)</f>
        <v>151</v>
      </c>
      <c r="L12" s="1" t="str">
        <f ca="1">IFERROR(__xludf.DUMMYFUNCTION("""COMPUTED_VALUE"""),"+.031")</f>
        <v>+.031</v>
      </c>
      <c r="M12" s="1">
        <f ca="1">IFERROR(__xludf.DUMMYFUNCTION("""COMPUTED_VALUE"""),87)</f>
        <v>87</v>
      </c>
      <c r="N12" s="1" t="str">
        <f ca="1">IFERROR(__xludf.DUMMYFUNCTION("""COMPUTED_VALUE"""),"+8.97")</f>
        <v>+8.97</v>
      </c>
      <c r="O12" s="1">
        <f ca="1">IFERROR(__xludf.DUMMYFUNCTION("""COMPUTED_VALUE"""),16)</f>
        <v>16</v>
      </c>
      <c r="P12" s="1">
        <f ca="1">IFERROR(__xludf.DUMMYFUNCTION("""COMPUTED_VALUE"""),108.3)</f>
        <v>108.3</v>
      </c>
      <c r="Q12" s="1">
        <f ca="1">IFERROR(__xludf.DUMMYFUNCTION("""COMPUTED_VALUE"""),16)</f>
        <v>16</v>
      </c>
      <c r="R12" s="1">
        <f ca="1">IFERROR(__xludf.DUMMYFUNCTION("""COMPUTED_VALUE"""),99.3)</f>
        <v>99.3</v>
      </c>
      <c r="S12" s="1">
        <f ca="1">IFERROR(__xludf.DUMMYFUNCTION("""COMPUTED_VALUE"""),21)</f>
        <v>21</v>
      </c>
      <c r="T12" s="1" t="str">
        <f ca="1">IFERROR(__xludf.DUMMYFUNCTION("""COMPUTED_VALUE"""),"+3.47")</f>
        <v>+3.47</v>
      </c>
      <c r="U12" s="1">
        <f ca="1">IFERROR(__xludf.DUMMYFUNCTION("""COMPUTED_VALUE"""),67)</f>
        <v>67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IFERROR(__xludf.DUMMYFUNCTION("""COMPUTED_VALUE"""),"North Carolina6")</f>
        <v>North Carolina6</v>
      </c>
      <c r="C13" s="1" t="str">
        <f ca="1">IFERROR(__xludf.DUMMYFUNCTION("""COMPUTED_VALUE"""),"ACC")</f>
        <v>ACC</v>
      </c>
      <c r="D13" s="1" t="str">
        <f ca="1">IFERROR(__xludf.DUMMYFUNCTION("""COMPUTED_VALUE"""),"19-11")</f>
        <v>19-11</v>
      </c>
      <c r="E13" s="1" t="str">
        <f ca="1">IFERROR(__xludf.DUMMYFUNCTION("""COMPUTED_VALUE"""),"+23.23")</f>
        <v>+23.23</v>
      </c>
      <c r="F13" s="1">
        <f ca="1">IFERROR(__xludf.DUMMYFUNCTION("""COMPUTED_VALUE"""),117.4)</f>
        <v>117.4</v>
      </c>
      <c r="G13" s="1">
        <f ca="1">IFERROR(__xludf.DUMMYFUNCTION("""COMPUTED_VALUE"""),10)</f>
        <v>10</v>
      </c>
      <c r="H13" s="1">
        <f ca="1">IFERROR(__xludf.DUMMYFUNCTION("""COMPUTED_VALUE"""),94.1)</f>
        <v>94.1</v>
      </c>
      <c r="I13" s="1">
        <f ca="1">IFERROR(__xludf.DUMMYFUNCTION("""COMPUTED_VALUE"""),23)</f>
        <v>23</v>
      </c>
      <c r="J13" s="1">
        <f ca="1">IFERROR(__xludf.DUMMYFUNCTION("""COMPUTED_VALUE"""),70.9)</f>
        <v>70.900000000000006</v>
      </c>
      <c r="K13" s="1">
        <f ca="1">IFERROR(__xludf.DUMMYFUNCTION("""COMPUTED_VALUE"""),16)</f>
        <v>16</v>
      </c>
      <c r="L13" s="1">
        <f ca="1">IFERROR(__xludf.DUMMYFUNCTION("""COMPUTED_VALUE"""),-0.091)</f>
        <v>-9.0999999999999998E-2</v>
      </c>
      <c r="M13" s="1">
        <f ca="1">IFERROR(__xludf.DUMMYFUNCTION("""COMPUTED_VALUE"""),311)</f>
        <v>311</v>
      </c>
      <c r="N13" s="1" t="str">
        <f ca="1">IFERROR(__xludf.DUMMYFUNCTION("""COMPUTED_VALUE"""),"+13.85")</f>
        <v>+13.85</v>
      </c>
      <c r="O13" s="1">
        <f ca="1">IFERROR(__xludf.DUMMYFUNCTION("""COMPUTED_VALUE"""),2)</f>
        <v>2</v>
      </c>
      <c r="P13" s="1">
        <f ca="1">IFERROR(__xludf.DUMMYFUNCTION("""COMPUTED_VALUE"""),110.2)</f>
        <v>110.2</v>
      </c>
      <c r="Q13" s="1">
        <f ca="1">IFERROR(__xludf.DUMMYFUNCTION("""COMPUTED_VALUE"""),4)</f>
        <v>4</v>
      </c>
      <c r="R13" s="1">
        <f ca="1">IFERROR(__xludf.DUMMYFUNCTION("""COMPUTED_VALUE"""),96.4)</f>
        <v>96.4</v>
      </c>
      <c r="S13" s="1">
        <f ca="1">IFERROR(__xludf.DUMMYFUNCTION("""COMPUTED_VALUE"""),2)</f>
        <v>2</v>
      </c>
      <c r="T13" s="1" t="str">
        <f ca="1">IFERROR(__xludf.DUMMYFUNCTION("""COMPUTED_VALUE"""),"+2.76")</f>
        <v>+2.76</v>
      </c>
      <c r="U13" s="1">
        <f ca="1">IFERROR(__xludf.DUMMYFUNCTION("""COMPUTED_VALUE"""),79)</f>
        <v>79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IFERROR(__xludf.DUMMYFUNCTION("""COMPUTED_VALUE"""),"Stanford1")</f>
        <v>Stanford1</v>
      </c>
      <c r="C14" s="1" t="str">
        <f ca="1">IFERROR(__xludf.DUMMYFUNCTION("""COMPUTED_VALUE"""),"P10")</f>
        <v>P10</v>
      </c>
      <c r="D14" s="1" t="str">
        <f ca="1">IFERROR(__xludf.DUMMYFUNCTION("""COMPUTED_VALUE"""),"30-2")</f>
        <v>30-2</v>
      </c>
      <c r="E14" s="1" t="str">
        <f ca="1">IFERROR(__xludf.DUMMYFUNCTION("""COMPUTED_VALUE"""),"+22.52")</f>
        <v>+22.52</v>
      </c>
      <c r="F14" s="1">
        <f ca="1">IFERROR(__xludf.DUMMYFUNCTION("""COMPUTED_VALUE"""),111.9)</f>
        <v>111.9</v>
      </c>
      <c r="G14" s="1">
        <f ca="1">IFERROR(__xludf.DUMMYFUNCTION("""COMPUTED_VALUE"""),42)</f>
        <v>42</v>
      </c>
      <c r="H14" s="1">
        <f ca="1">IFERROR(__xludf.DUMMYFUNCTION("""COMPUTED_VALUE"""),89.3)</f>
        <v>89.3</v>
      </c>
      <c r="I14" s="1">
        <f ca="1">IFERROR(__xludf.DUMMYFUNCTION("""COMPUTED_VALUE"""),5)</f>
        <v>5</v>
      </c>
      <c r="J14" s="1">
        <f ca="1">IFERROR(__xludf.DUMMYFUNCTION("""COMPUTED_VALUE"""),64.5)</f>
        <v>64.5</v>
      </c>
      <c r="K14" s="1">
        <f ca="1">IFERROR(__xludf.DUMMYFUNCTION("""COMPUTED_VALUE"""),212)</f>
        <v>212</v>
      </c>
      <c r="L14" s="1" t="str">
        <f ca="1">IFERROR(__xludf.DUMMYFUNCTION("""COMPUTED_VALUE"""),"+.051")</f>
        <v>+.051</v>
      </c>
      <c r="M14" s="1">
        <f ca="1">IFERROR(__xludf.DUMMYFUNCTION("""COMPUTED_VALUE"""),56)</f>
        <v>56</v>
      </c>
      <c r="N14" s="1" t="str">
        <f ca="1">IFERROR(__xludf.DUMMYFUNCTION("""COMPUTED_VALUE"""),"+3.76")</f>
        <v>+3.76</v>
      </c>
      <c r="O14" s="1">
        <f ca="1">IFERROR(__xludf.DUMMYFUNCTION("""COMPUTED_VALUE"""),99)</f>
        <v>99</v>
      </c>
      <c r="P14" s="1">
        <f ca="1">IFERROR(__xludf.DUMMYFUNCTION("""COMPUTED_VALUE"""),105.9)</f>
        <v>105.9</v>
      </c>
      <c r="Q14" s="1">
        <f ca="1">IFERROR(__xludf.DUMMYFUNCTION("""COMPUTED_VALUE"""),78)</f>
        <v>78</v>
      </c>
      <c r="R14" s="1">
        <f ca="1">IFERROR(__xludf.DUMMYFUNCTION("""COMPUTED_VALUE"""),102.2)</f>
        <v>102.2</v>
      </c>
      <c r="S14" s="1">
        <f ca="1">IFERROR(__xludf.DUMMYFUNCTION("""COMPUTED_VALUE"""),117)</f>
        <v>117</v>
      </c>
      <c r="T14" s="1">
        <f ca="1">IFERROR(__xludf.DUMMYFUNCTION("""COMPUTED_VALUE"""),-1.79)</f>
        <v>-1.79</v>
      </c>
      <c r="U14" s="1">
        <f ca="1">IFERROR(__xludf.DUMMYFUNCTION("""COMPUTED_VALUE"""),209)</f>
        <v>209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IFERROR(__xludf.DUMMYFUNCTION("""COMPUTED_VALUE"""),"Illinois5")</f>
        <v>Illinois5</v>
      </c>
      <c r="C15" s="1" t="str">
        <f ca="1">IFERROR(__xludf.DUMMYFUNCTION("""COMPUTED_VALUE"""),"B10")</f>
        <v>B10</v>
      </c>
      <c r="D15" s="1" t="str">
        <f ca="1">IFERROR(__xludf.DUMMYFUNCTION("""COMPUTED_VALUE"""),"26-7")</f>
        <v>26-7</v>
      </c>
      <c r="E15" s="1" t="str">
        <f ca="1">IFERROR(__xludf.DUMMYFUNCTION("""COMPUTED_VALUE"""),"+22.11")</f>
        <v>+22.11</v>
      </c>
      <c r="F15" s="1">
        <f ca="1">IFERROR(__xludf.DUMMYFUNCTION("""COMPUTED_VALUE"""),117.8)</f>
        <v>117.8</v>
      </c>
      <c r="G15" s="1">
        <f ca="1">IFERROR(__xludf.DUMMYFUNCTION("""COMPUTED_VALUE"""),8)</f>
        <v>8</v>
      </c>
      <c r="H15" s="1">
        <f ca="1">IFERROR(__xludf.DUMMYFUNCTION("""COMPUTED_VALUE"""),95.7)</f>
        <v>95.7</v>
      </c>
      <c r="I15" s="1">
        <f ca="1">IFERROR(__xludf.DUMMYFUNCTION("""COMPUTED_VALUE"""),39)</f>
        <v>39</v>
      </c>
      <c r="J15" s="1">
        <f ca="1">IFERROR(__xludf.DUMMYFUNCTION("""COMPUTED_VALUE"""),63.5)</f>
        <v>63.5</v>
      </c>
      <c r="K15" s="1">
        <f ca="1">IFERROR(__xludf.DUMMYFUNCTION("""COMPUTED_VALUE"""),252)</f>
        <v>252</v>
      </c>
      <c r="L15" s="1" t="str">
        <f ca="1">IFERROR(__xludf.DUMMYFUNCTION("""COMPUTED_VALUE"""),"+.055")</f>
        <v>+.055</v>
      </c>
      <c r="M15" s="1">
        <f ca="1">IFERROR(__xludf.DUMMYFUNCTION("""COMPUTED_VALUE"""),47)</f>
        <v>47</v>
      </c>
      <c r="N15" s="1" t="str">
        <f ca="1">IFERROR(__xludf.DUMMYFUNCTION("""COMPUTED_VALUE"""),"+8.13")</f>
        <v>+8.13</v>
      </c>
      <c r="O15" s="1">
        <f ca="1">IFERROR(__xludf.DUMMYFUNCTION("""COMPUTED_VALUE"""),26)</f>
        <v>26</v>
      </c>
      <c r="P15" s="1">
        <f ca="1">IFERROR(__xludf.DUMMYFUNCTION("""COMPUTED_VALUE"""),107.7)</f>
        <v>107.7</v>
      </c>
      <c r="Q15" s="1">
        <f ca="1">IFERROR(__xludf.DUMMYFUNCTION("""COMPUTED_VALUE"""),28)</f>
        <v>28</v>
      </c>
      <c r="R15" s="1">
        <f ca="1">IFERROR(__xludf.DUMMYFUNCTION("""COMPUTED_VALUE"""),99.5)</f>
        <v>99.5</v>
      </c>
      <c r="S15" s="1">
        <f ca="1">IFERROR(__xludf.DUMMYFUNCTION("""COMPUTED_VALUE"""),26)</f>
        <v>26</v>
      </c>
      <c r="T15" s="1" t="str">
        <f ca="1">IFERROR(__xludf.DUMMYFUNCTION("""COMPUTED_VALUE"""),"+2.52")</f>
        <v>+2.52</v>
      </c>
      <c r="U15" s="1">
        <f ca="1">IFERROR(__xludf.DUMMYFUNCTION("""COMPUTED_VALUE"""),89)</f>
        <v>89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IFERROR(__xludf.DUMMYFUNCTION("""COMPUTED_VALUE"""),"Mississippi St.2")</f>
        <v>Mississippi St.2</v>
      </c>
      <c r="C16" s="1" t="str">
        <f ca="1">IFERROR(__xludf.DUMMYFUNCTION("""COMPUTED_VALUE"""),"SEC")</f>
        <v>SEC</v>
      </c>
      <c r="D16" s="1" t="str">
        <f ca="1">IFERROR(__xludf.DUMMYFUNCTION("""COMPUTED_VALUE"""),"26-4")</f>
        <v>26-4</v>
      </c>
      <c r="E16" s="1" t="str">
        <f ca="1">IFERROR(__xludf.DUMMYFUNCTION("""COMPUTED_VALUE"""),"+21.74")</f>
        <v>+21.74</v>
      </c>
      <c r="F16" s="1">
        <f ca="1">IFERROR(__xludf.DUMMYFUNCTION("""COMPUTED_VALUE"""),114.7)</f>
        <v>114.7</v>
      </c>
      <c r="G16" s="1">
        <f ca="1">IFERROR(__xludf.DUMMYFUNCTION("""COMPUTED_VALUE"""),18)</f>
        <v>18</v>
      </c>
      <c r="H16" s="1">
        <f ca="1">IFERROR(__xludf.DUMMYFUNCTION("""COMPUTED_VALUE"""),92.9)</f>
        <v>92.9</v>
      </c>
      <c r="I16" s="1">
        <f ca="1">IFERROR(__xludf.DUMMYFUNCTION("""COMPUTED_VALUE"""),17)</f>
        <v>17</v>
      </c>
      <c r="J16" s="1">
        <f ca="1">IFERROR(__xludf.DUMMYFUNCTION("""COMPUTED_VALUE"""),68.1)</f>
        <v>68.099999999999994</v>
      </c>
      <c r="K16" s="1">
        <f ca="1">IFERROR(__xludf.DUMMYFUNCTION("""COMPUTED_VALUE"""),82)</f>
        <v>82</v>
      </c>
      <c r="L16" s="1" t="str">
        <f ca="1">IFERROR(__xludf.DUMMYFUNCTION("""COMPUTED_VALUE"""),"+.021")</f>
        <v>+.021</v>
      </c>
      <c r="M16" s="1">
        <f ca="1">IFERROR(__xludf.DUMMYFUNCTION("""COMPUTED_VALUE"""),114)</f>
        <v>114</v>
      </c>
      <c r="N16" s="1" t="str">
        <f ca="1">IFERROR(__xludf.DUMMYFUNCTION("""COMPUTED_VALUE"""),"+6.38")</f>
        <v>+6.38</v>
      </c>
      <c r="O16" s="1">
        <f ca="1">IFERROR(__xludf.DUMMYFUNCTION("""COMPUTED_VALUE"""),48)</f>
        <v>48</v>
      </c>
      <c r="P16" s="1">
        <f ca="1">IFERROR(__xludf.DUMMYFUNCTION("""COMPUTED_VALUE"""),106.3)</f>
        <v>106.3</v>
      </c>
      <c r="Q16" s="1">
        <f ca="1">IFERROR(__xludf.DUMMYFUNCTION("""COMPUTED_VALUE"""),69)</f>
        <v>69</v>
      </c>
      <c r="R16" s="1">
        <f ca="1">IFERROR(__xludf.DUMMYFUNCTION("""COMPUTED_VALUE"""),99.9)</f>
        <v>99.9</v>
      </c>
      <c r="S16" s="1">
        <f ca="1">IFERROR(__xludf.DUMMYFUNCTION("""COMPUTED_VALUE"""),39)</f>
        <v>39</v>
      </c>
      <c r="T16" s="1">
        <f ca="1">IFERROR(__xludf.DUMMYFUNCTION("""COMPUTED_VALUE"""),-1.89)</f>
        <v>-1.89</v>
      </c>
      <c r="U16" s="1">
        <f ca="1">IFERROR(__xludf.DUMMYFUNCTION("""COMPUTED_VALUE"""),210)</f>
        <v>210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IFERROR(__xludf.DUMMYFUNCTION("""COMPUTED_VALUE"""),"Wake Forest4")</f>
        <v>Wake Forest4</v>
      </c>
      <c r="C17" s="1" t="str">
        <f ca="1">IFERROR(__xludf.DUMMYFUNCTION("""COMPUTED_VALUE"""),"ACC")</f>
        <v>ACC</v>
      </c>
      <c r="D17" s="1" t="str">
        <f ca="1">IFERROR(__xludf.DUMMYFUNCTION("""COMPUTED_VALUE"""),"21-10")</f>
        <v>21-10</v>
      </c>
      <c r="E17" s="1" t="str">
        <f ca="1">IFERROR(__xludf.DUMMYFUNCTION("""COMPUTED_VALUE"""),"+21.69")</f>
        <v>+21.69</v>
      </c>
      <c r="F17" s="1">
        <f ca="1">IFERROR(__xludf.DUMMYFUNCTION("""COMPUTED_VALUE"""),121.6)</f>
        <v>121.6</v>
      </c>
      <c r="G17" s="1">
        <f ca="1">IFERROR(__xludf.DUMMYFUNCTION("""COMPUTED_VALUE"""),1)</f>
        <v>1</v>
      </c>
      <c r="H17" s="1">
        <f ca="1">IFERROR(__xludf.DUMMYFUNCTION("""COMPUTED_VALUE"""),99.9)</f>
        <v>99.9</v>
      </c>
      <c r="I17" s="1">
        <f ca="1">IFERROR(__xludf.DUMMYFUNCTION("""COMPUTED_VALUE"""),102)</f>
        <v>102</v>
      </c>
      <c r="J17" s="1">
        <f ca="1">IFERROR(__xludf.DUMMYFUNCTION("""COMPUTED_VALUE"""),70.4)</f>
        <v>70.400000000000006</v>
      </c>
      <c r="K17" s="1">
        <f ca="1">IFERROR(__xludf.DUMMYFUNCTION("""COMPUTED_VALUE"""),23)</f>
        <v>23</v>
      </c>
      <c r="L17" s="1">
        <f ca="1">IFERROR(__xludf.DUMMYFUNCTION("""COMPUTED_VALUE"""),-0.019)</f>
        <v>-1.9E-2</v>
      </c>
      <c r="M17" s="1">
        <f ca="1">IFERROR(__xludf.DUMMYFUNCTION("""COMPUTED_VALUE"""),216)</f>
        <v>216</v>
      </c>
      <c r="N17" s="1" t="str">
        <f ca="1">IFERROR(__xludf.DUMMYFUNCTION("""COMPUTED_VALUE"""),"+13.52")</f>
        <v>+13.52</v>
      </c>
      <c r="O17" s="1">
        <f ca="1">IFERROR(__xludf.DUMMYFUNCTION("""COMPUTED_VALUE"""),4)</f>
        <v>4</v>
      </c>
      <c r="P17" s="1">
        <f ca="1">IFERROR(__xludf.DUMMYFUNCTION("""COMPUTED_VALUE"""),109.6)</f>
        <v>109.6</v>
      </c>
      <c r="Q17" s="1">
        <f ca="1">IFERROR(__xludf.DUMMYFUNCTION("""COMPUTED_VALUE"""),5)</f>
        <v>5</v>
      </c>
      <c r="R17" s="1">
        <f ca="1">IFERROR(__xludf.DUMMYFUNCTION("""COMPUTED_VALUE"""),96.1)</f>
        <v>96.1</v>
      </c>
      <c r="S17" s="1">
        <f ca="1">IFERROR(__xludf.DUMMYFUNCTION("""COMPUTED_VALUE"""),1)</f>
        <v>1</v>
      </c>
      <c r="T17" s="1" t="str">
        <f ca="1">IFERROR(__xludf.DUMMYFUNCTION("""COMPUTED_VALUE"""),"+1.79")</f>
        <v>+1.79</v>
      </c>
      <c r="U17" s="1">
        <f ca="1">IFERROR(__xludf.DUMMYFUNCTION("""COMPUTED_VALUE"""),116)</f>
        <v>116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IFERROR(__xludf.DUMMYFUNCTION("""COMPUTED_VALUE"""),"Cincinnati4")</f>
        <v>Cincinnati4</v>
      </c>
      <c r="C18" s="1" t="str">
        <f ca="1">IFERROR(__xludf.DUMMYFUNCTION("""COMPUTED_VALUE"""),"CUSA")</f>
        <v>CUSA</v>
      </c>
      <c r="D18" s="1" t="str">
        <f ca="1">IFERROR(__xludf.DUMMYFUNCTION("""COMPUTED_VALUE"""),"25-7")</f>
        <v>25-7</v>
      </c>
      <c r="E18" s="1" t="str">
        <f ca="1">IFERROR(__xludf.DUMMYFUNCTION("""COMPUTED_VALUE"""),"+21.56")</f>
        <v>+21.56</v>
      </c>
      <c r="F18" s="1">
        <f ca="1">IFERROR(__xludf.DUMMYFUNCTION("""COMPUTED_VALUE"""),116.1)</f>
        <v>116.1</v>
      </c>
      <c r="G18" s="1">
        <f ca="1">IFERROR(__xludf.DUMMYFUNCTION("""COMPUTED_VALUE"""),13)</f>
        <v>13</v>
      </c>
      <c r="H18" s="1">
        <f ca="1">IFERROR(__xludf.DUMMYFUNCTION("""COMPUTED_VALUE"""),94.5)</f>
        <v>94.5</v>
      </c>
      <c r="I18" s="1">
        <f ca="1">IFERROR(__xludf.DUMMYFUNCTION("""COMPUTED_VALUE"""),26)</f>
        <v>26</v>
      </c>
      <c r="J18" s="1">
        <f ca="1">IFERROR(__xludf.DUMMYFUNCTION("""COMPUTED_VALUE"""),66.7)</f>
        <v>66.7</v>
      </c>
      <c r="K18" s="1">
        <f ca="1">IFERROR(__xludf.DUMMYFUNCTION("""COMPUTED_VALUE"""),127)</f>
        <v>127</v>
      </c>
      <c r="L18" s="1" t="str">
        <f ca="1">IFERROR(__xludf.DUMMYFUNCTION("""COMPUTED_VALUE"""),"+.003")</f>
        <v>+.003</v>
      </c>
      <c r="M18" s="1">
        <f ca="1">IFERROR(__xludf.DUMMYFUNCTION("""COMPUTED_VALUE"""),163)</f>
        <v>163</v>
      </c>
      <c r="N18" s="1" t="str">
        <f ca="1">IFERROR(__xludf.DUMMYFUNCTION("""COMPUTED_VALUE"""),"+5.62")</f>
        <v>+5.62</v>
      </c>
      <c r="O18" s="1">
        <f ca="1">IFERROR(__xludf.DUMMYFUNCTION("""COMPUTED_VALUE"""),66)</f>
        <v>66</v>
      </c>
      <c r="P18" s="1">
        <f ca="1">IFERROR(__xludf.DUMMYFUNCTION("""COMPUTED_VALUE"""),105.6)</f>
        <v>105.6</v>
      </c>
      <c r="Q18" s="1">
        <f ca="1">IFERROR(__xludf.DUMMYFUNCTION("""COMPUTED_VALUE"""),90)</f>
        <v>90</v>
      </c>
      <c r="R18" s="1">
        <f ca="1">IFERROR(__xludf.DUMMYFUNCTION("""COMPUTED_VALUE"""),100)</f>
        <v>100</v>
      </c>
      <c r="S18" s="1">
        <f ca="1">IFERROR(__xludf.DUMMYFUNCTION("""COMPUTED_VALUE"""),41)</f>
        <v>41</v>
      </c>
      <c r="T18" s="1">
        <f ca="1">IFERROR(__xludf.DUMMYFUNCTION("""COMPUTED_VALUE"""),-0.28)</f>
        <v>-0.28000000000000003</v>
      </c>
      <c r="U18" s="1">
        <f ca="1">IFERROR(__xludf.DUMMYFUNCTION("""COMPUTED_VALUE"""),172)</f>
        <v>172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IFERROR(__xludf.DUMMYFUNCTION("""COMPUTED_VALUE"""),"Texas3")</f>
        <v>Texas3</v>
      </c>
      <c r="C19" s="1" t="str">
        <f ca="1">IFERROR(__xludf.DUMMYFUNCTION("""COMPUTED_VALUE"""),"B12")</f>
        <v>B12</v>
      </c>
      <c r="D19" s="1" t="str">
        <f ca="1">IFERROR(__xludf.DUMMYFUNCTION("""COMPUTED_VALUE"""),"25-8")</f>
        <v>25-8</v>
      </c>
      <c r="E19" s="1" t="str">
        <f ca="1">IFERROR(__xludf.DUMMYFUNCTION("""COMPUTED_VALUE"""),"+21.54")</f>
        <v>+21.54</v>
      </c>
      <c r="F19" s="1">
        <f ca="1">IFERROR(__xludf.DUMMYFUNCTION("""COMPUTED_VALUE"""),115.6)</f>
        <v>115.6</v>
      </c>
      <c r="G19" s="1">
        <f ca="1">IFERROR(__xludf.DUMMYFUNCTION("""COMPUTED_VALUE"""),16)</f>
        <v>16</v>
      </c>
      <c r="H19" s="1">
        <f ca="1">IFERROR(__xludf.DUMMYFUNCTION("""COMPUTED_VALUE"""),94.1)</f>
        <v>94.1</v>
      </c>
      <c r="I19" s="1">
        <f ca="1">IFERROR(__xludf.DUMMYFUNCTION("""COMPUTED_VALUE"""),22)</f>
        <v>22</v>
      </c>
      <c r="J19" s="1">
        <f ca="1">IFERROR(__xludf.DUMMYFUNCTION("""COMPUTED_VALUE"""),64.7)</f>
        <v>64.7</v>
      </c>
      <c r="K19" s="1">
        <f ca="1">IFERROR(__xludf.DUMMYFUNCTION("""COMPUTED_VALUE"""),206)</f>
        <v>206</v>
      </c>
      <c r="L19" s="1" t="str">
        <f ca="1">IFERROR(__xludf.DUMMYFUNCTION("""COMPUTED_VALUE"""),"+.038")</f>
        <v>+.038</v>
      </c>
      <c r="M19" s="1">
        <f ca="1">IFERROR(__xludf.DUMMYFUNCTION("""COMPUTED_VALUE"""),72)</f>
        <v>72</v>
      </c>
      <c r="N19" s="1" t="str">
        <f ca="1">IFERROR(__xludf.DUMMYFUNCTION("""COMPUTED_VALUE"""),"+9.27")</f>
        <v>+9.27</v>
      </c>
      <c r="O19" s="1">
        <f ca="1">IFERROR(__xludf.DUMMYFUNCTION("""COMPUTED_VALUE"""),14)</f>
        <v>14</v>
      </c>
      <c r="P19" s="1">
        <f ca="1">IFERROR(__xludf.DUMMYFUNCTION("""COMPUTED_VALUE"""),109.1)</f>
        <v>109.1</v>
      </c>
      <c r="Q19" s="1">
        <f ca="1">IFERROR(__xludf.DUMMYFUNCTION("""COMPUTED_VALUE"""),11)</f>
        <v>11</v>
      </c>
      <c r="R19" s="1">
        <f ca="1">IFERROR(__xludf.DUMMYFUNCTION("""COMPUTED_VALUE"""),99.8)</f>
        <v>99.8</v>
      </c>
      <c r="S19" s="1">
        <f ca="1">IFERROR(__xludf.DUMMYFUNCTION("""COMPUTED_VALUE"""),35)</f>
        <v>35</v>
      </c>
      <c r="T19" s="1" t="str">
        <f ca="1">IFERROR(__xludf.DUMMYFUNCTION("""COMPUTED_VALUE"""),"+0.80")</f>
        <v>+0.80</v>
      </c>
      <c r="U19" s="1">
        <f ca="1">IFERROR(__xludf.DUMMYFUNCTION("""COMPUTED_VALUE"""),143)</f>
        <v>143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IFERROR(__xludf.DUMMYFUNCTION("""COMPUTED_VALUE"""),"Kansas4")</f>
        <v>Kansas4</v>
      </c>
      <c r="C20" s="1" t="str">
        <f ca="1">IFERROR(__xludf.DUMMYFUNCTION("""COMPUTED_VALUE"""),"B12")</f>
        <v>B12</v>
      </c>
      <c r="D20" s="1" t="str">
        <f ca="1">IFERROR(__xludf.DUMMYFUNCTION("""COMPUTED_VALUE"""),"24-9")</f>
        <v>24-9</v>
      </c>
      <c r="E20" s="1" t="str">
        <f ca="1">IFERROR(__xludf.DUMMYFUNCTION("""COMPUTED_VALUE"""),"+20.89")</f>
        <v>+20.89</v>
      </c>
      <c r="F20" s="1">
        <f ca="1">IFERROR(__xludf.DUMMYFUNCTION("""COMPUTED_VALUE"""),112.3)</f>
        <v>112.3</v>
      </c>
      <c r="G20" s="1">
        <f ca="1">IFERROR(__xludf.DUMMYFUNCTION("""COMPUTED_VALUE"""),38)</f>
        <v>38</v>
      </c>
      <c r="H20" s="1">
        <f ca="1">IFERROR(__xludf.DUMMYFUNCTION("""COMPUTED_VALUE"""),91.4)</f>
        <v>91.4</v>
      </c>
      <c r="I20" s="1">
        <f ca="1">IFERROR(__xludf.DUMMYFUNCTION("""COMPUTED_VALUE"""),13)</f>
        <v>13</v>
      </c>
      <c r="J20" s="1">
        <f ca="1">IFERROR(__xludf.DUMMYFUNCTION("""COMPUTED_VALUE"""),69.4)</f>
        <v>69.400000000000006</v>
      </c>
      <c r="K20" s="1">
        <f ca="1">IFERROR(__xludf.DUMMYFUNCTION("""COMPUTED_VALUE"""),40)</f>
        <v>40</v>
      </c>
      <c r="L20" s="1" t="str">
        <f ca="1">IFERROR(__xludf.DUMMYFUNCTION("""COMPUTED_VALUE"""),"+.017")</f>
        <v>+.017</v>
      </c>
      <c r="M20" s="1">
        <f ca="1">IFERROR(__xludf.DUMMYFUNCTION("""COMPUTED_VALUE"""),125)</f>
        <v>125</v>
      </c>
      <c r="N20" s="1" t="str">
        <f ca="1">IFERROR(__xludf.DUMMYFUNCTION("""COMPUTED_VALUE"""),"+10.39")</f>
        <v>+10.39</v>
      </c>
      <c r="O20" s="1">
        <f ca="1">IFERROR(__xludf.DUMMYFUNCTION("""COMPUTED_VALUE"""),11)</f>
        <v>11</v>
      </c>
      <c r="P20" s="1">
        <f ca="1">IFERROR(__xludf.DUMMYFUNCTION("""COMPUTED_VALUE"""),109.2)</f>
        <v>109.2</v>
      </c>
      <c r="Q20" s="1">
        <f ca="1">IFERROR(__xludf.DUMMYFUNCTION("""COMPUTED_VALUE"""),10)</f>
        <v>10</v>
      </c>
      <c r="R20" s="1">
        <f ca="1">IFERROR(__xludf.DUMMYFUNCTION("""COMPUTED_VALUE"""),98.8)</f>
        <v>98.8</v>
      </c>
      <c r="S20" s="1">
        <f ca="1">IFERROR(__xludf.DUMMYFUNCTION("""COMPUTED_VALUE"""),15)</f>
        <v>15</v>
      </c>
      <c r="T20" s="1" t="str">
        <f ca="1">IFERROR(__xludf.DUMMYFUNCTION("""COMPUTED_VALUE"""),"+6.53")</f>
        <v>+6.53</v>
      </c>
      <c r="U20" s="1">
        <f ca="1">IFERROR(__xludf.DUMMYFUNCTION("""COMPUTED_VALUE"""),30)</f>
        <v>30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IFERROR(__xludf.DUMMYFUNCTION("""COMPUTED_VALUE"""),"Louisville10")</f>
        <v>Louisville10</v>
      </c>
      <c r="C21" s="1" t="str">
        <f ca="1">IFERROR(__xludf.DUMMYFUNCTION("""COMPUTED_VALUE"""),"CUSA")</f>
        <v>CUSA</v>
      </c>
      <c r="D21" s="1" t="str">
        <f ca="1">IFERROR(__xludf.DUMMYFUNCTION("""COMPUTED_VALUE"""),"20-10")</f>
        <v>20-10</v>
      </c>
      <c r="E21" s="1" t="str">
        <f ca="1">IFERROR(__xludf.DUMMYFUNCTION("""COMPUTED_VALUE"""),"+20.44")</f>
        <v>+20.44</v>
      </c>
      <c r="F21" s="1">
        <f ca="1">IFERROR(__xludf.DUMMYFUNCTION("""COMPUTED_VALUE"""),107.1)</f>
        <v>107.1</v>
      </c>
      <c r="G21" s="1">
        <f ca="1">IFERROR(__xludf.DUMMYFUNCTION("""COMPUTED_VALUE"""),94)</f>
        <v>94</v>
      </c>
      <c r="H21" s="1">
        <f ca="1">IFERROR(__xludf.DUMMYFUNCTION("""COMPUTED_VALUE"""),86.6)</f>
        <v>86.6</v>
      </c>
      <c r="I21" s="1">
        <f ca="1">IFERROR(__xludf.DUMMYFUNCTION("""COMPUTED_VALUE"""),1)</f>
        <v>1</v>
      </c>
      <c r="J21" s="1">
        <f ca="1">IFERROR(__xludf.DUMMYFUNCTION("""COMPUTED_VALUE"""),67.4)</f>
        <v>67.400000000000006</v>
      </c>
      <c r="K21" s="1">
        <f ca="1">IFERROR(__xludf.DUMMYFUNCTION("""COMPUTED_VALUE"""),106)</f>
        <v>106</v>
      </c>
      <c r="L21" s="1">
        <f ca="1">IFERROR(__xludf.DUMMYFUNCTION("""COMPUTED_VALUE"""),-0.079)</f>
        <v>-7.9000000000000001E-2</v>
      </c>
      <c r="M21" s="1">
        <f ca="1">IFERROR(__xludf.DUMMYFUNCTION("""COMPUTED_VALUE"""),303)</f>
        <v>303</v>
      </c>
      <c r="N21" s="1" t="str">
        <f ca="1">IFERROR(__xludf.DUMMYFUNCTION("""COMPUTED_VALUE"""),"+7.09")</f>
        <v>+7.09</v>
      </c>
      <c r="O21" s="1">
        <f ca="1">IFERROR(__xludf.DUMMYFUNCTION("""COMPUTED_VALUE"""),39)</f>
        <v>39</v>
      </c>
      <c r="P21" s="1">
        <f ca="1">IFERROR(__xludf.DUMMYFUNCTION("""COMPUTED_VALUE"""),107)</f>
        <v>107</v>
      </c>
      <c r="Q21" s="1">
        <f ca="1">IFERROR(__xludf.DUMMYFUNCTION("""COMPUTED_VALUE"""),43)</f>
        <v>43</v>
      </c>
      <c r="R21" s="1">
        <f ca="1">IFERROR(__xludf.DUMMYFUNCTION("""COMPUTED_VALUE"""),99.9)</f>
        <v>99.9</v>
      </c>
      <c r="S21" s="1">
        <f ca="1">IFERROR(__xludf.DUMMYFUNCTION("""COMPUTED_VALUE"""),37)</f>
        <v>37</v>
      </c>
      <c r="T21" s="1" t="str">
        <f ca="1">IFERROR(__xludf.DUMMYFUNCTION("""COMPUTED_VALUE"""),"+4.23")</f>
        <v>+4.23</v>
      </c>
      <c r="U21" s="1">
        <f ca="1">IFERROR(__xludf.DUMMYFUNCTION("""COMPUTED_VALUE"""),57)</f>
        <v>57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IFERROR(__xludf.DUMMYFUNCTION("""COMPUTED_VALUE"""),"Nevada10")</f>
        <v>Nevada10</v>
      </c>
      <c r="C22" s="1" t="str">
        <f ca="1">IFERROR(__xludf.DUMMYFUNCTION("""COMPUTED_VALUE"""),"WAC")</f>
        <v>WAC</v>
      </c>
      <c r="D22" s="1" t="str">
        <f ca="1">IFERROR(__xludf.DUMMYFUNCTION("""COMPUTED_VALUE"""),"25-9")</f>
        <v>25-9</v>
      </c>
      <c r="E22" s="1" t="str">
        <f ca="1">IFERROR(__xludf.DUMMYFUNCTION("""COMPUTED_VALUE"""),"+20.27")</f>
        <v>+20.27</v>
      </c>
      <c r="F22" s="1">
        <f ca="1">IFERROR(__xludf.DUMMYFUNCTION("""COMPUTED_VALUE"""),112.3)</f>
        <v>112.3</v>
      </c>
      <c r="G22" s="1">
        <f ca="1">IFERROR(__xludf.DUMMYFUNCTION("""COMPUTED_VALUE"""),39)</f>
        <v>39</v>
      </c>
      <c r="H22" s="1">
        <f ca="1">IFERROR(__xludf.DUMMYFUNCTION("""COMPUTED_VALUE"""),92)</f>
        <v>92</v>
      </c>
      <c r="I22" s="1">
        <f ca="1">IFERROR(__xludf.DUMMYFUNCTION("""COMPUTED_VALUE"""),15)</f>
        <v>15</v>
      </c>
      <c r="J22" s="1">
        <f ca="1">IFERROR(__xludf.DUMMYFUNCTION("""COMPUTED_VALUE"""),68.7)</f>
        <v>68.7</v>
      </c>
      <c r="K22" s="1">
        <f ca="1">IFERROR(__xludf.DUMMYFUNCTION("""COMPUTED_VALUE"""),58)</f>
        <v>58</v>
      </c>
      <c r="L22" s="1">
        <f ca="1">IFERROR(__xludf.DUMMYFUNCTION("""COMPUTED_VALUE"""),-0.039)</f>
        <v>-3.9E-2</v>
      </c>
      <c r="M22" s="1">
        <f ca="1">IFERROR(__xludf.DUMMYFUNCTION("""COMPUTED_VALUE"""),251)</f>
        <v>251</v>
      </c>
      <c r="N22" s="1" t="str">
        <f ca="1">IFERROR(__xludf.DUMMYFUNCTION("""COMPUTED_VALUE"""),"+7.09")</f>
        <v>+7.09</v>
      </c>
      <c r="O22" s="1">
        <f ca="1">IFERROR(__xludf.DUMMYFUNCTION("""COMPUTED_VALUE"""),38)</f>
        <v>38</v>
      </c>
      <c r="P22" s="1">
        <f ca="1">IFERROR(__xludf.DUMMYFUNCTION("""COMPUTED_VALUE"""),107.6)</f>
        <v>107.6</v>
      </c>
      <c r="Q22" s="1">
        <f ca="1">IFERROR(__xludf.DUMMYFUNCTION("""COMPUTED_VALUE"""),32)</f>
        <v>32</v>
      </c>
      <c r="R22" s="1">
        <f ca="1">IFERROR(__xludf.DUMMYFUNCTION("""COMPUTED_VALUE"""),100.5)</f>
        <v>100.5</v>
      </c>
      <c r="S22" s="1">
        <f ca="1">IFERROR(__xludf.DUMMYFUNCTION("""COMPUTED_VALUE"""),66)</f>
        <v>66</v>
      </c>
      <c r="T22" s="1" t="str">
        <f ca="1">IFERROR(__xludf.DUMMYFUNCTION("""COMPUTED_VALUE"""),"+4.97")</f>
        <v>+4.97</v>
      </c>
      <c r="U22" s="1">
        <f ca="1">IFERROR(__xludf.DUMMYFUNCTION("""COMPUTED_VALUE"""),48)</f>
        <v>48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IFERROR(__xludf.DUMMYFUNCTION("""COMPUTED_VALUE"""),"Xavier7")</f>
        <v>Xavier7</v>
      </c>
      <c r="C23" s="1" t="str">
        <f ca="1">IFERROR(__xludf.DUMMYFUNCTION("""COMPUTED_VALUE"""),"A10")</f>
        <v>A10</v>
      </c>
      <c r="D23" s="1" t="str">
        <f ca="1">IFERROR(__xludf.DUMMYFUNCTION("""COMPUTED_VALUE"""),"26-11")</f>
        <v>26-11</v>
      </c>
      <c r="E23" s="1" t="str">
        <f ca="1">IFERROR(__xludf.DUMMYFUNCTION("""COMPUTED_VALUE"""),"+20.16")</f>
        <v>+20.16</v>
      </c>
      <c r="F23" s="1">
        <f ca="1">IFERROR(__xludf.DUMMYFUNCTION("""COMPUTED_VALUE"""),113.8)</f>
        <v>113.8</v>
      </c>
      <c r="G23" s="1">
        <f ca="1">IFERROR(__xludf.DUMMYFUNCTION("""COMPUTED_VALUE"""),21)</f>
        <v>21</v>
      </c>
      <c r="H23" s="1">
        <f ca="1">IFERROR(__xludf.DUMMYFUNCTION("""COMPUTED_VALUE"""),93.6)</f>
        <v>93.6</v>
      </c>
      <c r="I23" s="1">
        <f ca="1">IFERROR(__xludf.DUMMYFUNCTION("""COMPUTED_VALUE"""),20)</f>
        <v>20</v>
      </c>
      <c r="J23" s="1">
        <f ca="1">IFERROR(__xludf.DUMMYFUNCTION("""COMPUTED_VALUE"""),64.1)</f>
        <v>64.099999999999994</v>
      </c>
      <c r="K23" s="1">
        <f ca="1">IFERROR(__xludf.DUMMYFUNCTION("""COMPUTED_VALUE"""),230)</f>
        <v>230</v>
      </c>
      <c r="L23" s="1">
        <f ca="1">IFERROR(__xludf.DUMMYFUNCTION("""COMPUTED_VALUE"""),-0.022)</f>
        <v>-2.1999999999999999E-2</v>
      </c>
      <c r="M23" s="1">
        <f ca="1">IFERROR(__xludf.DUMMYFUNCTION("""COMPUTED_VALUE"""),219)</f>
        <v>219</v>
      </c>
      <c r="N23" s="1" t="str">
        <f ca="1">IFERROR(__xludf.DUMMYFUNCTION("""COMPUTED_VALUE"""),"+7.19")</f>
        <v>+7.19</v>
      </c>
      <c r="O23" s="1">
        <f ca="1">IFERROR(__xludf.DUMMYFUNCTION("""COMPUTED_VALUE"""),36)</f>
        <v>36</v>
      </c>
      <c r="P23" s="1">
        <f ca="1">IFERROR(__xludf.DUMMYFUNCTION("""COMPUTED_VALUE"""),107.5)</f>
        <v>107.5</v>
      </c>
      <c r="Q23" s="1">
        <f ca="1">IFERROR(__xludf.DUMMYFUNCTION("""COMPUTED_VALUE"""),33)</f>
        <v>33</v>
      </c>
      <c r="R23" s="1">
        <f ca="1">IFERROR(__xludf.DUMMYFUNCTION("""COMPUTED_VALUE"""),100.3)</f>
        <v>100.3</v>
      </c>
      <c r="S23" s="1">
        <f ca="1">IFERROR(__xludf.DUMMYFUNCTION("""COMPUTED_VALUE"""),58)</f>
        <v>58</v>
      </c>
      <c r="T23" s="1" t="str">
        <f ca="1">IFERROR(__xludf.DUMMYFUNCTION("""COMPUTED_VALUE"""),"+2.75")</f>
        <v>+2.75</v>
      </c>
      <c r="U23" s="1">
        <f ca="1">IFERROR(__xludf.DUMMYFUNCTION("""COMPUTED_VALUE"""),81)</f>
        <v>81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IFERROR(__xludf.DUMMYFUNCTION("""COMPUTED_VALUE"""),"Maryland4")</f>
        <v>Maryland4</v>
      </c>
      <c r="C24" s="1" t="str">
        <f ca="1">IFERROR(__xludf.DUMMYFUNCTION("""COMPUTED_VALUE"""),"ACC")</f>
        <v>ACC</v>
      </c>
      <c r="D24" s="1" t="str">
        <f ca="1">IFERROR(__xludf.DUMMYFUNCTION("""COMPUTED_VALUE"""),"20-12")</f>
        <v>20-12</v>
      </c>
      <c r="E24" s="1" t="str">
        <f ca="1">IFERROR(__xludf.DUMMYFUNCTION("""COMPUTED_VALUE"""),"+19.81")</f>
        <v>+19.81</v>
      </c>
      <c r="F24" s="1">
        <f ca="1">IFERROR(__xludf.DUMMYFUNCTION("""COMPUTED_VALUE"""),110.9)</f>
        <v>110.9</v>
      </c>
      <c r="G24" s="1">
        <f ca="1">IFERROR(__xludf.DUMMYFUNCTION("""COMPUTED_VALUE"""),52)</f>
        <v>52</v>
      </c>
      <c r="H24" s="1">
        <f ca="1">IFERROR(__xludf.DUMMYFUNCTION("""COMPUTED_VALUE"""),91.1)</f>
        <v>91.1</v>
      </c>
      <c r="I24" s="1">
        <f ca="1">IFERROR(__xludf.DUMMYFUNCTION("""COMPUTED_VALUE"""),10)</f>
        <v>10</v>
      </c>
      <c r="J24" s="1">
        <f ca="1">IFERROR(__xludf.DUMMYFUNCTION("""COMPUTED_VALUE"""),71.1)</f>
        <v>71.099999999999994</v>
      </c>
      <c r="K24" s="1">
        <f ca="1">IFERROR(__xludf.DUMMYFUNCTION("""COMPUTED_VALUE"""),12)</f>
        <v>12</v>
      </c>
      <c r="L24" s="1">
        <f ca="1">IFERROR(__xludf.DUMMYFUNCTION("""COMPUTED_VALUE"""),-0.009)</f>
        <v>-8.9999999999999993E-3</v>
      </c>
      <c r="M24" s="1">
        <f ca="1">IFERROR(__xludf.DUMMYFUNCTION("""COMPUTED_VALUE"""),189)</f>
        <v>189</v>
      </c>
      <c r="N24" s="1" t="str">
        <f ca="1">IFERROR(__xludf.DUMMYFUNCTION("""COMPUTED_VALUE"""),"+14.09")</f>
        <v>+14.09</v>
      </c>
      <c r="O24" s="1">
        <f ca="1">IFERROR(__xludf.DUMMYFUNCTION("""COMPUTED_VALUE"""),1)</f>
        <v>1</v>
      </c>
      <c r="P24" s="1">
        <f ca="1">IFERROR(__xludf.DUMMYFUNCTION("""COMPUTED_VALUE"""),112.1)</f>
        <v>112.1</v>
      </c>
      <c r="Q24" s="1">
        <f ca="1">IFERROR(__xludf.DUMMYFUNCTION("""COMPUTED_VALUE"""),1)</f>
        <v>1</v>
      </c>
      <c r="R24" s="1">
        <f ca="1">IFERROR(__xludf.DUMMYFUNCTION("""COMPUTED_VALUE"""),98)</f>
        <v>98</v>
      </c>
      <c r="S24" s="1">
        <f ca="1">IFERROR(__xludf.DUMMYFUNCTION("""COMPUTED_VALUE"""),8)</f>
        <v>8</v>
      </c>
      <c r="T24" s="1">
        <f ca="1">IFERROR(__xludf.DUMMYFUNCTION("""COMPUTED_VALUE"""),-1.13)</f>
        <v>-1.1299999999999999</v>
      </c>
      <c r="U24" s="1">
        <f ca="1">IFERROR(__xludf.DUMMYFUNCTION("""COMPUTED_VALUE"""),192)</f>
        <v>192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IFERROR(__xludf.DUMMYFUNCTION("""COMPUTED_VALUE"""),"Vanderbilt6")</f>
        <v>Vanderbilt6</v>
      </c>
      <c r="C25" s="1" t="str">
        <f ca="1">IFERROR(__xludf.DUMMYFUNCTION("""COMPUTED_VALUE"""),"SEC")</f>
        <v>SEC</v>
      </c>
      <c r="D25" s="1" t="str">
        <f ca="1">IFERROR(__xludf.DUMMYFUNCTION("""COMPUTED_VALUE"""),"23-10")</f>
        <v>23-10</v>
      </c>
      <c r="E25" s="1" t="str">
        <f ca="1">IFERROR(__xludf.DUMMYFUNCTION("""COMPUTED_VALUE"""),"+18.64")</f>
        <v>+18.64</v>
      </c>
      <c r="F25" s="1">
        <f ca="1">IFERROR(__xludf.DUMMYFUNCTION("""COMPUTED_VALUE"""),113.6)</f>
        <v>113.6</v>
      </c>
      <c r="G25" s="1">
        <f ca="1">IFERROR(__xludf.DUMMYFUNCTION("""COMPUTED_VALUE"""),23)</f>
        <v>23</v>
      </c>
      <c r="H25" s="1">
        <f ca="1">IFERROR(__xludf.DUMMYFUNCTION("""COMPUTED_VALUE"""),95)</f>
        <v>95</v>
      </c>
      <c r="I25" s="1">
        <f ca="1">IFERROR(__xludf.DUMMYFUNCTION("""COMPUTED_VALUE"""),30)</f>
        <v>30</v>
      </c>
      <c r="J25" s="1">
        <f ca="1">IFERROR(__xludf.DUMMYFUNCTION("""COMPUTED_VALUE"""),65)</f>
        <v>65</v>
      </c>
      <c r="K25" s="1">
        <f ca="1">IFERROR(__xludf.DUMMYFUNCTION("""COMPUTED_VALUE"""),193)</f>
        <v>193</v>
      </c>
      <c r="L25" s="1">
        <f ca="1">IFERROR(__xludf.DUMMYFUNCTION("""COMPUTED_VALUE"""),-0.002)</f>
        <v>-2E-3</v>
      </c>
      <c r="M25" s="1">
        <f ca="1">IFERROR(__xludf.DUMMYFUNCTION("""COMPUTED_VALUE"""),176)</f>
        <v>176</v>
      </c>
      <c r="N25" s="1" t="str">
        <f ca="1">IFERROR(__xludf.DUMMYFUNCTION("""COMPUTED_VALUE"""),"+7.87")</f>
        <v>+7.87</v>
      </c>
      <c r="O25" s="1">
        <f ca="1">IFERROR(__xludf.DUMMYFUNCTION("""COMPUTED_VALUE"""),28)</f>
        <v>28</v>
      </c>
      <c r="P25" s="1">
        <f ca="1">IFERROR(__xludf.DUMMYFUNCTION("""COMPUTED_VALUE"""),108)</f>
        <v>108</v>
      </c>
      <c r="Q25" s="1">
        <f ca="1">IFERROR(__xludf.DUMMYFUNCTION("""COMPUTED_VALUE"""),23)</f>
        <v>23</v>
      </c>
      <c r="R25" s="1">
        <f ca="1">IFERROR(__xludf.DUMMYFUNCTION("""COMPUTED_VALUE"""),100.1)</f>
        <v>100.1</v>
      </c>
      <c r="S25" s="1">
        <f ca="1">IFERROR(__xludf.DUMMYFUNCTION("""COMPUTED_VALUE"""),45)</f>
        <v>45</v>
      </c>
      <c r="T25" s="1">
        <f ca="1">IFERROR(__xludf.DUMMYFUNCTION("""COMPUTED_VALUE"""),-6.57)</f>
        <v>-6.57</v>
      </c>
      <c r="U25" s="1">
        <f ca="1">IFERROR(__xludf.DUMMYFUNCTION("""COMPUTED_VALUE"""),288)</f>
        <v>288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IFERROR(__xludf.DUMMYFUNCTION("""COMPUTED_VALUE"""),"Providence5")</f>
        <v>Providence5</v>
      </c>
      <c r="C26" s="1" t="str">
        <f ca="1">IFERROR(__xludf.DUMMYFUNCTION("""COMPUTED_VALUE"""),"BE")</f>
        <v>BE</v>
      </c>
      <c r="D26" s="1" t="str">
        <f ca="1">IFERROR(__xludf.DUMMYFUNCTION("""COMPUTED_VALUE"""),"20-9")</f>
        <v>20-9</v>
      </c>
      <c r="E26" s="1" t="str">
        <f ca="1">IFERROR(__xludf.DUMMYFUNCTION("""COMPUTED_VALUE"""),"+18.32")</f>
        <v>+18.32</v>
      </c>
      <c r="F26" s="1">
        <f ca="1">IFERROR(__xludf.DUMMYFUNCTION("""COMPUTED_VALUE"""),112.3)</f>
        <v>112.3</v>
      </c>
      <c r="G26" s="1">
        <f ca="1">IFERROR(__xludf.DUMMYFUNCTION("""COMPUTED_VALUE"""),40)</f>
        <v>40</v>
      </c>
      <c r="H26" s="1">
        <f ca="1">IFERROR(__xludf.DUMMYFUNCTION("""COMPUTED_VALUE"""),93.9)</f>
        <v>93.9</v>
      </c>
      <c r="I26" s="1">
        <f ca="1">IFERROR(__xludf.DUMMYFUNCTION("""COMPUTED_VALUE"""),21)</f>
        <v>21</v>
      </c>
      <c r="J26" s="1">
        <f ca="1">IFERROR(__xludf.DUMMYFUNCTION("""COMPUTED_VALUE"""),65)</f>
        <v>65</v>
      </c>
      <c r="K26" s="1">
        <f ca="1">IFERROR(__xludf.DUMMYFUNCTION("""COMPUTED_VALUE"""),196)</f>
        <v>196</v>
      </c>
      <c r="L26" s="1" t="str">
        <f ca="1">IFERROR(__xludf.DUMMYFUNCTION("""COMPUTED_VALUE"""),"+.003")</f>
        <v>+.003</v>
      </c>
      <c r="M26" s="1">
        <f ca="1">IFERROR(__xludf.DUMMYFUNCTION("""COMPUTED_VALUE"""),165)</f>
        <v>165</v>
      </c>
      <c r="N26" s="1" t="str">
        <f ca="1">IFERROR(__xludf.DUMMYFUNCTION("""COMPUTED_VALUE"""),"+8.80")</f>
        <v>+8.80</v>
      </c>
      <c r="O26" s="1">
        <f ca="1">IFERROR(__xludf.DUMMYFUNCTION("""COMPUTED_VALUE"""),21)</f>
        <v>21</v>
      </c>
      <c r="P26" s="1">
        <f ca="1">IFERROR(__xludf.DUMMYFUNCTION("""COMPUTED_VALUE"""),107.9)</f>
        <v>107.9</v>
      </c>
      <c r="Q26" s="1">
        <f ca="1">IFERROR(__xludf.DUMMYFUNCTION("""COMPUTED_VALUE"""),25)</f>
        <v>25</v>
      </c>
      <c r="R26" s="1">
        <f ca="1">IFERROR(__xludf.DUMMYFUNCTION("""COMPUTED_VALUE"""),99.1)</f>
        <v>99.1</v>
      </c>
      <c r="S26" s="1">
        <f ca="1">IFERROR(__xludf.DUMMYFUNCTION("""COMPUTED_VALUE"""),19)</f>
        <v>19</v>
      </c>
      <c r="T26" s="1" t="str">
        <f ca="1">IFERROR(__xludf.DUMMYFUNCTION("""COMPUTED_VALUE"""),"+4.05")</f>
        <v>+4.05</v>
      </c>
      <c r="U26" s="1">
        <f ca="1">IFERROR(__xludf.DUMMYFUNCTION("""COMPUTED_VALUE"""),59)</f>
        <v>59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IFERROR(__xludf.DUMMYFUNCTION("""COMPUTED_VALUE"""),"Florida5")</f>
        <v>Florida5</v>
      </c>
      <c r="C27" s="1" t="str">
        <f ca="1">IFERROR(__xludf.DUMMYFUNCTION("""COMPUTED_VALUE"""),"SEC")</f>
        <v>SEC</v>
      </c>
      <c r="D27" s="1" t="str">
        <f ca="1">IFERROR(__xludf.DUMMYFUNCTION("""COMPUTED_VALUE"""),"20-11")</f>
        <v>20-11</v>
      </c>
      <c r="E27" s="1" t="str">
        <f ca="1">IFERROR(__xludf.DUMMYFUNCTION("""COMPUTED_VALUE"""),"+18.26")</f>
        <v>+18.26</v>
      </c>
      <c r="F27" s="1">
        <f ca="1">IFERROR(__xludf.DUMMYFUNCTION("""COMPUTED_VALUE"""),116.9)</f>
        <v>116.9</v>
      </c>
      <c r="G27" s="1">
        <f ca="1">IFERROR(__xludf.DUMMYFUNCTION("""COMPUTED_VALUE"""),12)</f>
        <v>12</v>
      </c>
      <c r="H27" s="1">
        <f ca="1">IFERROR(__xludf.DUMMYFUNCTION("""COMPUTED_VALUE"""),98.6)</f>
        <v>98.6</v>
      </c>
      <c r="I27" s="1">
        <f ca="1">IFERROR(__xludf.DUMMYFUNCTION("""COMPUTED_VALUE"""),78)</f>
        <v>78</v>
      </c>
      <c r="J27" s="1">
        <f ca="1">IFERROR(__xludf.DUMMYFUNCTION("""COMPUTED_VALUE"""),65.9)</f>
        <v>65.900000000000006</v>
      </c>
      <c r="K27" s="1">
        <f ca="1">IFERROR(__xludf.DUMMYFUNCTION("""COMPUTED_VALUE"""),162)</f>
        <v>162</v>
      </c>
      <c r="L27" s="1">
        <f ca="1">IFERROR(__xludf.DUMMYFUNCTION("""COMPUTED_VALUE"""),-0.023)</f>
        <v>-2.3E-2</v>
      </c>
      <c r="M27" s="1">
        <f ca="1">IFERROR(__xludf.DUMMYFUNCTION("""COMPUTED_VALUE"""),222)</f>
        <v>222</v>
      </c>
      <c r="N27" s="1" t="str">
        <f ca="1">IFERROR(__xludf.DUMMYFUNCTION("""COMPUTED_VALUE"""),"+9.60")</f>
        <v>+9.60</v>
      </c>
      <c r="O27" s="1">
        <f ca="1">IFERROR(__xludf.DUMMYFUNCTION("""COMPUTED_VALUE"""),13)</f>
        <v>13</v>
      </c>
      <c r="P27" s="1">
        <f ca="1">IFERROR(__xludf.DUMMYFUNCTION("""COMPUTED_VALUE"""),107.9)</f>
        <v>107.9</v>
      </c>
      <c r="Q27" s="1">
        <f ca="1">IFERROR(__xludf.DUMMYFUNCTION("""COMPUTED_VALUE"""),24)</f>
        <v>24</v>
      </c>
      <c r="R27" s="1">
        <f ca="1">IFERROR(__xludf.DUMMYFUNCTION("""COMPUTED_VALUE"""),98.3)</f>
        <v>98.3</v>
      </c>
      <c r="S27" s="1">
        <f ca="1">IFERROR(__xludf.DUMMYFUNCTION("""COMPUTED_VALUE"""),11)</f>
        <v>11</v>
      </c>
      <c r="T27" s="1" t="str">
        <f ca="1">IFERROR(__xludf.DUMMYFUNCTION("""COMPUTED_VALUE"""),"+0.08")</f>
        <v>+0.08</v>
      </c>
      <c r="U27" s="1">
        <f ca="1">IFERROR(__xludf.DUMMYFUNCTION("""COMPUTED_VALUE"""),163)</f>
        <v>163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IFERROR(__xludf.DUMMYFUNCTION("""COMPUTED_VALUE"""),"Florida St.")</f>
        <v>Florida St.</v>
      </c>
      <c r="C28" s="1" t="str">
        <f ca="1">IFERROR(__xludf.DUMMYFUNCTION("""COMPUTED_VALUE"""),"ACC")</f>
        <v>ACC</v>
      </c>
      <c r="D28" s="1" t="str">
        <f ca="1">IFERROR(__xludf.DUMMYFUNCTION("""COMPUTED_VALUE"""),"19-14")</f>
        <v>19-14</v>
      </c>
      <c r="E28" s="1" t="str">
        <f ca="1">IFERROR(__xludf.DUMMYFUNCTION("""COMPUTED_VALUE"""),"+17.48")</f>
        <v>+17.48</v>
      </c>
      <c r="F28" s="1">
        <f ca="1">IFERROR(__xludf.DUMMYFUNCTION("""COMPUTED_VALUE"""),109)</f>
        <v>109</v>
      </c>
      <c r="G28" s="1">
        <f ca="1">IFERROR(__xludf.DUMMYFUNCTION("""COMPUTED_VALUE"""),74)</f>
        <v>74</v>
      </c>
      <c r="H28" s="1">
        <f ca="1">IFERROR(__xludf.DUMMYFUNCTION("""COMPUTED_VALUE"""),91.5)</f>
        <v>91.5</v>
      </c>
      <c r="I28" s="1">
        <f ca="1">IFERROR(__xludf.DUMMYFUNCTION("""COMPUTED_VALUE"""),14)</f>
        <v>14</v>
      </c>
      <c r="J28" s="1">
        <f ca="1">IFERROR(__xludf.DUMMYFUNCTION("""COMPUTED_VALUE"""),64.3)</f>
        <v>64.3</v>
      </c>
      <c r="K28" s="1">
        <f ca="1">IFERROR(__xludf.DUMMYFUNCTION("""COMPUTED_VALUE"""),221)</f>
        <v>221</v>
      </c>
      <c r="L28" s="1">
        <f ca="1">IFERROR(__xludf.DUMMYFUNCTION("""COMPUTED_VALUE"""),-0.09)</f>
        <v>-0.09</v>
      </c>
      <c r="M28" s="1">
        <f ca="1">IFERROR(__xludf.DUMMYFUNCTION("""COMPUTED_VALUE"""),310)</f>
        <v>310</v>
      </c>
      <c r="N28" s="1" t="str">
        <f ca="1">IFERROR(__xludf.DUMMYFUNCTION("""COMPUTED_VALUE"""),"+10.38")</f>
        <v>+10.38</v>
      </c>
      <c r="O28" s="1">
        <f ca="1">IFERROR(__xludf.DUMMYFUNCTION("""COMPUTED_VALUE"""),12)</f>
        <v>12</v>
      </c>
      <c r="P28" s="1">
        <f ca="1">IFERROR(__xludf.DUMMYFUNCTION("""COMPUTED_VALUE"""),109.1)</f>
        <v>109.1</v>
      </c>
      <c r="Q28" s="1">
        <f ca="1">IFERROR(__xludf.DUMMYFUNCTION("""COMPUTED_VALUE"""),13)</f>
        <v>13</v>
      </c>
      <c r="R28" s="1">
        <f ca="1">IFERROR(__xludf.DUMMYFUNCTION("""COMPUTED_VALUE"""),98.7)</f>
        <v>98.7</v>
      </c>
      <c r="S28" s="1">
        <f ca="1">IFERROR(__xludf.DUMMYFUNCTION("""COMPUTED_VALUE"""),12)</f>
        <v>12</v>
      </c>
      <c r="T28" s="1">
        <f ca="1">IFERROR(__xludf.DUMMYFUNCTION("""COMPUTED_VALUE"""),-6.81)</f>
        <v>-6.81</v>
      </c>
      <c r="U28" s="1">
        <f ca="1">IFERROR(__xludf.DUMMYFUNCTION("""COMPUTED_VALUE"""),293)</f>
        <v>293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IFERROR(__xludf.DUMMYFUNCTION("""COMPUTED_VALUE"""),"Seton Hall8")</f>
        <v>Seton Hall8</v>
      </c>
      <c r="C29" s="1" t="str">
        <f ca="1">IFERROR(__xludf.DUMMYFUNCTION("""COMPUTED_VALUE"""),"BE")</f>
        <v>BE</v>
      </c>
      <c r="D29" s="1" t="str">
        <f ca="1">IFERROR(__xludf.DUMMYFUNCTION("""COMPUTED_VALUE"""),"21-10")</f>
        <v>21-10</v>
      </c>
      <c r="E29" s="1" t="str">
        <f ca="1">IFERROR(__xludf.DUMMYFUNCTION("""COMPUTED_VALUE"""),"+17.35")</f>
        <v>+17.35</v>
      </c>
      <c r="F29" s="1">
        <f ca="1">IFERROR(__xludf.DUMMYFUNCTION("""COMPUTED_VALUE"""),112.3)</f>
        <v>112.3</v>
      </c>
      <c r="G29" s="1">
        <f ca="1">IFERROR(__xludf.DUMMYFUNCTION("""COMPUTED_VALUE"""),37)</f>
        <v>37</v>
      </c>
      <c r="H29" s="1">
        <f ca="1">IFERROR(__xludf.DUMMYFUNCTION("""COMPUTED_VALUE"""),95)</f>
        <v>95</v>
      </c>
      <c r="I29" s="1">
        <f ca="1">IFERROR(__xludf.DUMMYFUNCTION("""COMPUTED_VALUE"""),31)</f>
        <v>31</v>
      </c>
      <c r="J29" s="1">
        <f ca="1">IFERROR(__xludf.DUMMYFUNCTION("""COMPUTED_VALUE"""),65.4)</f>
        <v>65.400000000000006</v>
      </c>
      <c r="K29" s="1">
        <f ca="1">IFERROR(__xludf.DUMMYFUNCTION("""COMPUTED_VALUE"""),180)</f>
        <v>180</v>
      </c>
      <c r="L29" s="1">
        <f ca="1">IFERROR(__xludf.DUMMYFUNCTION("""COMPUTED_VALUE"""),-0.004)</f>
        <v>-4.0000000000000001E-3</v>
      </c>
      <c r="M29" s="1">
        <f ca="1">IFERROR(__xludf.DUMMYFUNCTION("""COMPUTED_VALUE"""),178)</f>
        <v>178</v>
      </c>
      <c r="N29" s="1" t="str">
        <f ca="1">IFERROR(__xludf.DUMMYFUNCTION("""COMPUTED_VALUE"""),"+7.85")</f>
        <v>+7.85</v>
      </c>
      <c r="O29" s="1">
        <f ca="1">IFERROR(__xludf.DUMMYFUNCTION("""COMPUTED_VALUE"""),29)</f>
        <v>29</v>
      </c>
      <c r="P29" s="1">
        <f ca="1">IFERROR(__xludf.DUMMYFUNCTION("""COMPUTED_VALUE"""),107.2)</f>
        <v>107.2</v>
      </c>
      <c r="Q29" s="1">
        <f ca="1">IFERROR(__xludf.DUMMYFUNCTION("""COMPUTED_VALUE"""),36)</f>
        <v>36</v>
      </c>
      <c r="R29" s="1">
        <f ca="1">IFERROR(__xludf.DUMMYFUNCTION("""COMPUTED_VALUE"""),99.4)</f>
        <v>99.4</v>
      </c>
      <c r="S29" s="1">
        <f ca="1">IFERROR(__xludf.DUMMYFUNCTION("""COMPUTED_VALUE"""),23)</f>
        <v>23</v>
      </c>
      <c r="T29" s="1">
        <f ca="1">IFERROR(__xludf.DUMMYFUNCTION("""COMPUTED_VALUE"""),-1.14)</f>
        <v>-1.1399999999999999</v>
      </c>
      <c r="U29" s="1">
        <f ca="1">IFERROR(__xludf.DUMMYFUNCTION("""COMPUTED_VALUE"""),193)</f>
        <v>193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IFERROR(__xludf.DUMMYFUNCTION("""COMPUTED_VALUE"""),"Texas Tech8")</f>
        <v>Texas Tech8</v>
      </c>
      <c r="C30" s="1" t="str">
        <f ca="1">IFERROR(__xludf.DUMMYFUNCTION("""COMPUTED_VALUE"""),"B12")</f>
        <v>B12</v>
      </c>
      <c r="D30" s="1" t="str">
        <f ca="1">IFERROR(__xludf.DUMMYFUNCTION("""COMPUTED_VALUE"""),"23-11")</f>
        <v>23-11</v>
      </c>
      <c r="E30" s="1" t="str">
        <f ca="1">IFERROR(__xludf.DUMMYFUNCTION("""COMPUTED_VALUE"""),"+17.11")</f>
        <v>+17.11</v>
      </c>
      <c r="F30" s="1">
        <f ca="1">IFERROR(__xludf.DUMMYFUNCTION("""COMPUTED_VALUE"""),111.4)</f>
        <v>111.4</v>
      </c>
      <c r="G30" s="1">
        <f ca="1">IFERROR(__xludf.DUMMYFUNCTION("""COMPUTED_VALUE"""),46)</f>
        <v>46</v>
      </c>
      <c r="H30" s="1">
        <f ca="1">IFERROR(__xludf.DUMMYFUNCTION("""COMPUTED_VALUE"""),94.3)</f>
        <v>94.3</v>
      </c>
      <c r="I30" s="1">
        <f ca="1">IFERROR(__xludf.DUMMYFUNCTION("""COMPUTED_VALUE"""),24)</f>
        <v>24</v>
      </c>
      <c r="J30" s="1">
        <f ca="1">IFERROR(__xludf.DUMMYFUNCTION("""COMPUTED_VALUE"""),66.7)</f>
        <v>66.7</v>
      </c>
      <c r="K30" s="1">
        <f ca="1">IFERROR(__xludf.DUMMYFUNCTION("""COMPUTED_VALUE"""),126)</f>
        <v>126</v>
      </c>
      <c r="L30" s="1" t="str">
        <f ca="1">IFERROR(__xludf.DUMMYFUNCTION("""COMPUTED_VALUE"""),"+.010")</f>
        <v>+.010</v>
      </c>
      <c r="M30" s="1">
        <f ca="1">IFERROR(__xludf.DUMMYFUNCTION("""COMPUTED_VALUE"""),143)</f>
        <v>143</v>
      </c>
      <c r="N30" s="1" t="str">
        <f ca="1">IFERROR(__xludf.DUMMYFUNCTION("""COMPUTED_VALUE"""),"+8.29")</f>
        <v>+8.29</v>
      </c>
      <c r="O30" s="1">
        <f ca="1">IFERROR(__xludf.DUMMYFUNCTION("""COMPUTED_VALUE"""),24)</f>
        <v>24</v>
      </c>
      <c r="P30" s="1">
        <f ca="1">IFERROR(__xludf.DUMMYFUNCTION("""COMPUTED_VALUE"""),108.4)</f>
        <v>108.4</v>
      </c>
      <c r="Q30" s="1">
        <f ca="1">IFERROR(__xludf.DUMMYFUNCTION("""COMPUTED_VALUE"""),15)</f>
        <v>15</v>
      </c>
      <c r="R30" s="1">
        <f ca="1">IFERROR(__xludf.DUMMYFUNCTION("""COMPUTED_VALUE"""),100.1)</f>
        <v>100.1</v>
      </c>
      <c r="S30" s="1">
        <f ca="1">IFERROR(__xludf.DUMMYFUNCTION("""COMPUTED_VALUE"""),47)</f>
        <v>47</v>
      </c>
      <c r="T30" s="1" t="str">
        <f ca="1">IFERROR(__xludf.DUMMYFUNCTION("""COMPUTED_VALUE"""),"+2.29")</f>
        <v>+2.29</v>
      </c>
      <c r="U30" s="1">
        <f ca="1">IFERROR(__xludf.DUMMYFUNCTION("""COMPUTED_VALUE"""),97)</f>
        <v>97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IFERROR(__xludf.DUMMYFUNCTION("""COMPUTED_VALUE"""),"Alabama8")</f>
        <v>Alabama8</v>
      </c>
      <c r="C31" s="1" t="str">
        <f ca="1">IFERROR(__xludf.DUMMYFUNCTION("""COMPUTED_VALUE"""),"SEC")</f>
        <v>SEC</v>
      </c>
      <c r="D31" s="1" t="str">
        <f ca="1">IFERROR(__xludf.DUMMYFUNCTION("""COMPUTED_VALUE"""),"20-13")</f>
        <v>20-13</v>
      </c>
      <c r="E31" s="1" t="str">
        <f ca="1">IFERROR(__xludf.DUMMYFUNCTION("""COMPUTED_VALUE"""),"+16.50")</f>
        <v>+16.50</v>
      </c>
      <c r="F31" s="1">
        <f ca="1">IFERROR(__xludf.DUMMYFUNCTION("""COMPUTED_VALUE"""),114.7)</f>
        <v>114.7</v>
      </c>
      <c r="G31" s="1">
        <f ca="1">IFERROR(__xludf.DUMMYFUNCTION("""COMPUTED_VALUE"""),17)</f>
        <v>17</v>
      </c>
      <c r="H31" s="1">
        <f ca="1">IFERROR(__xludf.DUMMYFUNCTION("""COMPUTED_VALUE"""),98.2)</f>
        <v>98.2</v>
      </c>
      <c r="I31" s="1">
        <f ca="1">IFERROR(__xludf.DUMMYFUNCTION("""COMPUTED_VALUE"""),67)</f>
        <v>67</v>
      </c>
      <c r="J31" s="1">
        <f ca="1">IFERROR(__xludf.DUMMYFUNCTION("""COMPUTED_VALUE"""),64.7)</f>
        <v>64.7</v>
      </c>
      <c r="K31" s="1">
        <f ca="1">IFERROR(__xludf.DUMMYFUNCTION("""COMPUTED_VALUE"""),207)</f>
        <v>207</v>
      </c>
      <c r="L31" s="1" t="str">
        <f ca="1">IFERROR(__xludf.DUMMYFUNCTION("""COMPUTED_VALUE"""),"+.004")</f>
        <v>+.004</v>
      </c>
      <c r="M31" s="1">
        <f ca="1">IFERROR(__xludf.DUMMYFUNCTION("""COMPUTED_VALUE"""),161)</f>
        <v>161</v>
      </c>
      <c r="N31" s="1" t="str">
        <f ca="1">IFERROR(__xludf.DUMMYFUNCTION("""COMPUTED_VALUE"""),"+11.20")</f>
        <v>+11.20</v>
      </c>
      <c r="O31" s="1">
        <f ca="1">IFERROR(__xludf.DUMMYFUNCTION("""COMPUTED_VALUE"""),8)</f>
        <v>8</v>
      </c>
      <c r="P31" s="1">
        <f ca="1">IFERROR(__xludf.DUMMYFUNCTION("""COMPUTED_VALUE"""),109.1)</f>
        <v>109.1</v>
      </c>
      <c r="Q31" s="1">
        <f ca="1">IFERROR(__xludf.DUMMYFUNCTION("""COMPUTED_VALUE"""),12)</f>
        <v>12</v>
      </c>
      <c r="R31" s="1">
        <f ca="1">IFERROR(__xludf.DUMMYFUNCTION("""COMPUTED_VALUE"""),97.9)</f>
        <v>97.9</v>
      </c>
      <c r="S31" s="1">
        <f ca="1">IFERROR(__xludf.DUMMYFUNCTION("""COMPUTED_VALUE"""),7)</f>
        <v>7</v>
      </c>
      <c r="T31" s="1" t="str">
        <f ca="1">IFERROR(__xludf.DUMMYFUNCTION("""COMPUTED_VALUE"""),"+6.59")</f>
        <v>+6.59</v>
      </c>
      <c r="U31" s="1">
        <f ca="1">IFERROR(__xludf.DUMMYFUNCTION("""COMPUTED_VALUE"""),29)</f>
        <v>29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IFERROR(__xludf.DUMMYFUNCTION("""COMPUTED_VALUE"""),"Syracuse5")</f>
        <v>Syracuse5</v>
      </c>
      <c r="C32" s="1" t="str">
        <f ca="1">IFERROR(__xludf.DUMMYFUNCTION("""COMPUTED_VALUE"""),"BE")</f>
        <v>BE</v>
      </c>
      <c r="D32" s="1" t="str">
        <f ca="1">IFERROR(__xludf.DUMMYFUNCTION("""COMPUTED_VALUE"""),"23-8")</f>
        <v>23-8</v>
      </c>
      <c r="E32" s="1" t="str">
        <f ca="1">IFERROR(__xludf.DUMMYFUNCTION("""COMPUTED_VALUE"""),"+16.34")</f>
        <v>+16.34</v>
      </c>
      <c r="F32" s="1">
        <f ca="1">IFERROR(__xludf.DUMMYFUNCTION("""COMPUTED_VALUE"""),113.1)</f>
        <v>113.1</v>
      </c>
      <c r="G32" s="1">
        <f ca="1">IFERROR(__xludf.DUMMYFUNCTION("""COMPUTED_VALUE"""),31)</f>
        <v>31</v>
      </c>
      <c r="H32" s="1">
        <f ca="1">IFERROR(__xludf.DUMMYFUNCTION("""COMPUTED_VALUE"""),96.7)</f>
        <v>96.7</v>
      </c>
      <c r="I32" s="1">
        <f ca="1">IFERROR(__xludf.DUMMYFUNCTION("""COMPUTED_VALUE"""),50)</f>
        <v>50</v>
      </c>
      <c r="J32" s="1">
        <f ca="1">IFERROR(__xludf.DUMMYFUNCTION("""COMPUTED_VALUE"""),65.7)</f>
        <v>65.7</v>
      </c>
      <c r="K32" s="1">
        <f ca="1">IFERROR(__xludf.DUMMYFUNCTION("""COMPUTED_VALUE"""),169)</f>
        <v>169</v>
      </c>
      <c r="L32" s="1" t="str">
        <f ca="1">IFERROR(__xludf.DUMMYFUNCTION("""COMPUTED_VALUE"""),"+.086")</f>
        <v>+.086</v>
      </c>
      <c r="M32" s="1">
        <f ca="1">IFERROR(__xludf.DUMMYFUNCTION("""COMPUTED_VALUE"""),19)</f>
        <v>19</v>
      </c>
      <c r="N32" s="1" t="str">
        <f ca="1">IFERROR(__xludf.DUMMYFUNCTION("""COMPUTED_VALUE"""),"+7.88")</f>
        <v>+7.88</v>
      </c>
      <c r="O32" s="1">
        <f ca="1">IFERROR(__xludf.DUMMYFUNCTION("""COMPUTED_VALUE"""),27)</f>
        <v>27</v>
      </c>
      <c r="P32" s="1">
        <f ca="1">IFERROR(__xludf.DUMMYFUNCTION("""COMPUTED_VALUE"""),107.4)</f>
        <v>107.4</v>
      </c>
      <c r="Q32" s="1">
        <f ca="1">IFERROR(__xludf.DUMMYFUNCTION("""COMPUTED_VALUE"""),34)</f>
        <v>34</v>
      </c>
      <c r="R32" s="1">
        <f ca="1">IFERROR(__xludf.DUMMYFUNCTION("""COMPUTED_VALUE"""),99.6)</f>
        <v>99.6</v>
      </c>
      <c r="S32" s="1">
        <f ca="1">IFERROR(__xludf.DUMMYFUNCTION("""COMPUTED_VALUE"""),27)</f>
        <v>27</v>
      </c>
      <c r="T32" s="1">
        <f ca="1">IFERROR(__xludf.DUMMYFUNCTION("""COMPUTED_VALUE"""),-4.61)</f>
        <v>-4.6100000000000003</v>
      </c>
      <c r="U32" s="1">
        <f ca="1">IFERROR(__xludf.DUMMYFUNCTION("""COMPUTED_VALUE"""),261)</f>
        <v>261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IFERROR(__xludf.DUMMYFUNCTION("""COMPUTED_VALUE"""),"Western Michigan11")</f>
        <v>Western Michigan11</v>
      </c>
      <c r="C33" s="1" t="str">
        <f ca="1">IFERROR(__xludf.DUMMYFUNCTION("""COMPUTED_VALUE"""),"MAC")</f>
        <v>MAC</v>
      </c>
      <c r="D33" s="1" t="str">
        <f ca="1">IFERROR(__xludf.DUMMYFUNCTION("""COMPUTED_VALUE"""),"26-5")</f>
        <v>26-5</v>
      </c>
      <c r="E33" s="1" t="str">
        <f ca="1">IFERROR(__xludf.DUMMYFUNCTION("""COMPUTED_VALUE"""),"+16.29")</f>
        <v>+16.29</v>
      </c>
      <c r="F33" s="1">
        <f ca="1">IFERROR(__xludf.DUMMYFUNCTION("""COMPUTED_VALUE"""),114.3)</f>
        <v>114.3</v>
      </c>
      <c r="G33" s="1">
        <f ca="1">IFERROR(__xludf.DUMMYFUNCTION("""COMPUTED_VALUE"""),19)</f>
        <v>19</v>
      </c>
      <c r="H33" s="1">
        <f ca="1">IFERROR(__xludf.DUMMYFUNCTION("""COMPUTED_VALUE"""),98)</f>
        <v>98</v>
      </c>
      <c r="I33" s="1">
        <f ca="1">IFERROR(__xludf.DUMMYFUNCTION("""COMPUTED_VALUE"""),64)</f>
        <v>64</v>
      </c>
      <c r="J33" s="1">
        <f ca="1">IFERROR(__xludf.DUMMYFUNCTION("""COMPUTED_VALUE"""),65.6)</f>
        <v>65.599999999999994</v>
      </c>
      <c r="K33" s="1">
        <f ca="1">IFERROR(__xludf.DUMMYFUNCTION("""COMPUTED_VALUE"""),173)</f>
        <v>173</v>
      </c>
      <c r="L33" s="1" t="str">
        <f ca="1">IFERROR(__xludf.DUMMYFUNCTION("""COMPUTED_VALUE"""),"+.037")</f>
        <v>+.037</v>
      </c>
      <c r="M33" s="1">
        <f ca="1">IFERROR(__xludf.DUMMYFUNCTION("""COMPUTED_VALUE"""),74)</f>
        <v>74</v>
      </c>
      <c r="N33" s="1">
        <f ca="1">IFERROR(__xludf.DUMMYFUNCTION("""COMPUTED_VALUE"""),-0.63)</f>
        <v>-0.63</v>
      </c>
      <c r="O33" s="1">
        <f ca="1">IFERROR(__xludf.DUMMYFUNCTION("""COMPUTED_VALUE"""),175)</f>
        <v>175</v>
      </c>
      <c r="P33" s="1">
        <f ca="1">IFERROR(__xludf.DUMMYFUNCTION("""COMPUTED_VALUE"""),103.5)</f>
        <v>103.5</v>
      </c>
      <c r="Q33" s="1">
        <f ca="1">IFERROR(__xludf.DUMMYFUNCTION("""COMPUTED_VALUE"""),157)</f>
        <v>157</v>
      </c>
      <c r="R33" s="1">
        <f ca="1">IFERROR(__xludf.DUMMYFUNCTION("""COMPUTED_VALUE"""),104.1)</f>
        <v>104.1</v>
      </c>
      <c r="S33" s="1">
        <f ca="1">IFERROR(__xludf.DUMMYFUNCTION("""COMPUTED_VALUE"""),186)</f>
        <v>186</v>
      </c>
      <c r="T33" s="1">
        <f ca="1">IFERROR(__xludf.DUMMYFUNCTION("""COMPUTED_VALUE"""),-1.21)</f>
        <v>-1.21</v>
      </c>
      <c r="U33" s="1">
        <f ca="1">IFERROR(__xludf.DUMMYFUNCTION("""COMPUTED_VALUE"""),196)</f>
        <v>196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IFERROR(__xludf.DUMMYFUNCTION("""COMPUTED_VALUE"""),"Arizona9")</f>
        <v>Arizona9</v>
      </c>
      <c r="C34" s="1" t="str">
        <f ca="1">IFERROR(__xludf.DUMMYFUNCTION("""COMPUTED_VALUE"""),"P10")</f>
        <v>P10</v>
      </c>
      <c r="D34" s="1" t="str">
        <f ca="1">IFERROR(__xludf.DUMMYFUNCTION("""COMPUTED_VALUE"""),"20-10")</f>
        <v>20-10</v>
      </c>
      <c r="E34" s="1" t="str">
        <f ca="1">IFERROR(__xludf.DUMMYFUNCTION("""COMPUTED_VALUE"""),"+16.18")</f>
        <v>+16.18</v>
      </c>
      <c r="F34" s="1">
        <f ca="1">IFERROR(__xludf.DUMMYFUNCTION("""COMPUTED_VALUE"""),118.5)</f>
        <v>118.5</v>
      </c>
      <c r="G34" s="1">
        <f ca="1">IFERROR(__xludf.DUMMYFUNCTION("""COMPUTED_VALUE"""),7)</f>
        <v>7</v>
      </c>
      <c r="H34" s="1">
        <f ca="1">IFERROR(__xludf.DUMMYFUNCTION("""COMPUTED_VALUE"""),102.3)</f>
        <v>102.3</v>
      </c>
      <c r="I34" s="1">
        <f ca="1">IFERROR(__xludf.DUMMYFUNCTION("""COMPUTED_VALUE"""),151)</f>
        <v>151</v>
      </c>
      <c r="J34" s="1">
        <f ca="1">IFERROR(__xludf.DUMMYFUNCTION("""COMPUTED_VALUE"""),73)</f>
        <v>73</v>
      </c>
      <c r="K34" s="1">
        <f ca="1">IFERROR(__xludf.DUMMYFUNCTION("""COMPUTED_VALUE"""),6)</f>
        <v>6</v>
      </c>
      <c r="L34" s="1">
        <f ca="1">IFERROR(__xludf.DUMMYFUNCTION("""COMPUTED_VALUE"""),-0.072)</f>
        <v>-7.1999999999999995E-2</v>
      </c>
      <c r="M34" s="1">
        <f ca="1">IFERROR(__xludf.DUMMYFUNCTION("""COMPUTED_VALUE"""),296)</f>
        <v>296</v>
      </c>
      <c r="N34" s="1" t="str">
        <f ca="1">IFERROR(__xludf.DUMMYFUNCTION("""COMPUTED_VALUE"""),"+5.72")</f>
        <v>+5.72</v>
      </c>
      <c r="O34" s="1">
        <f ca="1">IFERROR(__xludf.DUMMYFUNCTION("""COMPUTED_VALUE"""),63)</f>
        <v>63</v>
      </c>
      <c r="P34" s="1">
        <f ca="1">IFERROR(__xludf.DUMMYFUNCTION("""COMPUTED_VALUE"""),106.7)</f>
        <v>106.7</v>
      </c>
      <c r="Q34" s="1">
        <f ca="1">IFERROR(__xludf.DUMMYFUNCTION("""COMPUTED_VALUE"""),55)</f>
        <v>55</v>
      </c>
      <c r="R34" s="1">
        <f ca="1">IFERROR(__xludf.DUMMYFUNCTION("""COMPUTED_VALUE"""),101)</f>
        <v>101</v>
      </c>
      <c r="S34" s="1">
        <f ca="1">IFERROR(__xludf.DUMMYFUNCTION("""COMPUTED_VALUE"""),80)</f>
        <v>80</v>
      </c>
      <c r="T34" s="1" t="str">
        <f ca="1">IFERROR(__xludf.DUMMYFUNCTION("""COMPUTED_VALUE"""),"+4.60")</f>
        <v>+4.60</v>
      </c>
      <c r="U34" s="1">
        <f ca="1">IFERROR(__xludf.DUMMYFUNCTION("""COMPUTED_VALUE"""),53)</f>
        <v>53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IFERROR(__xludf.DUMMYFUNCTION("""COMPUTED_VALUE"""),"Memphis7")</f>
        <v>Memphis7</v>
      </c>
      <c r="C35" s="1" t="str">
        <f ca="1">IFERROR(__xludf.DUMMYFUNCTION("""COMPUTED_VALUE"""),"CUSA")</f>
        <v>CUSA</v>
      </c>
      <c r="D35" s="1" t="str">
        <f ca="1">IFERROR(__xludf.DUMMYFUNCTION("""COMPUTED_VALUE"""),"22-8")</f>
        <v>22-8</v>
      </c>
      <c r="E35" s="1" t="str">
        <f ca="1">IFERROR(__xludf.DUMMYFUNCTION("""COMPUTED_VALUE"""),"+16.17")</f>
        <v>+16.17</v>
      </c>
      <c r="F35" s="1">
        <f ca="1">IFERROR(__xludf.DUMMYFUNCTION("""COMPUTED_VALUE"""),111.8)</f>
        <v>111.8</v>
      </c>
      <c r="G35" s="1">
        <f ca="1">IFERROR(__xludf.DUMMYFUNCTION("""COMPUTED_VALUE"""),43)</f>
        <v>43</v>
      </c>
      <c r="H35" s="1">
        <f ca="1">IFERROR(__xludf.DUMMYFUNCTION("""COMPUTED_VALUE"""),95.6)</f>
        <v>95.6</v>
      </c>
      <c r="I35" s="1">
        <f ca="1">IFERROR(__xludf.DUMMYFUNCTION("""COMPUTED_VALUE"""),37)</f>
        <v>37</v>
      </c>
      <c r="J35" s="1">
        <f ca="1">IFERROR(__xludf.DUMMYFUNCTION("""COMPUTED_VALUE"""),66.6)</f>
        <v>66.599999999999994</v>
      </c>
      <c r="K35" s="1">
        <f ca="1">IFERROR(__xludf.DUMMYFUNCTION("""COMPUTED_VALUE"""),131)</f>
        <v>131</v>
      </c>
      <c r="L35" s="1" t="str">
        <f ca="1">IFERROR(__xludf.DUMMYFUNCTION("""COMPUTED_VALUE"""),"+.012")</f>
        <v>+.012</v>
      </c>
      <c r="M35" s="1">
        <f ca="1">IFERROR(__xludf.DUMMYFUNCTION("""COMPUTED_VALUE"""),137)</f>
        <v>137</v>
      </c>
      <c r="N35" s="1" t="str">
        <f ca="1">IFERROR(__xludf.DUMMYFUNCTION("""COMPUTED_VALUE"""),"+5.55")</f>
        <v>+5.55</v>
      </c>
      <c r="O35" s="1">
        <f ca="1">IFERROR(__xludf.DUMMYFUNCTION("""COMPUTED_VALUE"""),69)</f>
        <v>69</v>
      </c>
      <c r="P35" s="1">
        <f ca="1">IFERROR(__xludf.DUMMYFUNCTION("""COMPUTED_VALUE"""),105.7)</f>
        <v>105.7</v>
      </c>
      <c r="Q35" s="1">
        <f ca="1">IFERROR(__xludf.DUMMYFUNCTION("""COMPUTED_VALUE"""),86)</f>
        <v>86</v>
      </c>
      <c r="R35" s="1">
        <f ca="1">IFERROR(__xludf.DUMMYFUNCTION("""COMPUTED_VALUE"""),100.2)</f>
        <v>100.2</v>
      </c>
      <c r="S35" s="1">
        <f ca="1">IFERROR(__xludf.DUMMYFUNCTION("""COMPUTED_VALUE"""),48)</f>
        <v>48</v>
      </c>
      <c r="T35" s="1" t="str">
        <f ca="1">IFERROR(__xludf.DUMMYFUNCTION("""COMPUTED_VALUE"""),"+1.83")</f>
        <v>+1.83</v>
      </c>
      <c r="U35" s="1">
        <f ca="1">IFERROR(__xludf.DUMMYFUNCTION("""COMPUTED_VALUE"""),114)</f>
        <v>114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IFERROR(__xludf.DUMMYFUNCTION("""COMPUTED_VALUE"""),"Michigan St.7")</f>
        <v>Michigan St.7</v>
      </c>
      <c r="C36" s="1" t="str">
        <f ca="1">IFERROR(__xludf.DUMMYFUNCTION("""COMPUTED_VALUE"""),"B10")</f>
        <v>B10</v>
      </c>
      <c r="D36" s="1" t="str">
        <f ca="1">IFERROR(__xludf.DUMMYFUNCTION("""COMPUTED_VALUE"""),"18-12")</f>
        <v>18-12</v>
      </c>
      <c r="E36" s="1" t="str">
        <f ca="1">IFERROR(__xludf.DUMMYFUNCTION("""COMPUTED_VALUE"""),"+15.66")</f>
        <v>+15.66</v>
      </c>
      <c r="F36" s="1">
        <f ca="1">IFERROR(__xludf.DUMMYFUNCTION("""COMPUTED_VALUE"""),117.2)</f>
        <v>117.2</v>
      </c>
      <c r="G36" s="1">
        <f ca="1">IFERROR(__xludf.DUMMYFUNCTION("""COMPUTED_VALUE"""),11)</f>
        <v>11</v>
      </c>
      <c r="H36" s="1">
        <f ca="1">IFERROR(__xludf.DUMMYFUNCTION("""COMPUTED_VALUE"""),101.5)</f>
        <v>101.5</v>
      </c>
      <c r="I36" s="1">
        <f ca="1">IFERROR(__xludf.DUMMYFUNCTION("""COMPUTED_VALUE"""),129)</f>
        <v>129</v>
      </c>
      <c r="J36" s="1">
        <f ca="1">IFERROR(__xludf.DUMMYFUNCTION("""COMPUTED_VALUE"""),64)</f>
        <v>64</v>
      </c>
      <c r="K36" s="1">
        <f ca="1">IFERROR(__xludf.DUMMYFUNCTION("""COMPUTED_VALUE"""),232)</f>
        <v>232</v>
      </c>
      <c r="L36" s="1">
        <f ca="1">IFERROR(__xludf.DUMMYFUNCTION("""COMPUTED_VALUE"""),-0.014)</f>
        <v>-1.4E-2</v>
      </c>
      <c r="M36" s="1">
        <f ca="1">IFERROR(__xludf.DUMMYFUNCTION("""COMPUTED_VALUE"""),198)</f>
        <v>198</v>
      </c>
      <c r="N36" s="1" t="str">
        <f ca="1">IFERROR(__xludf.DUMMYFUNCTION("""COMPUTED_VALUE"""),"+8.92")</f>
        <v>+8.92</v>
      </c>
      <c r="O36" s="1">
        <f ca="1">IFERROR(__xludf.DUMMYFUNCTION("""COMPUTED_VALUE"""),19)</f>
        <v>19</v>
      </c>
      <c r="P36" s="1">
        <f ca="1">IFERROR(__xludf.DUMMYFUNCTION("""COMPUTED_VALUE"""),107.1)</f>
        <v>107.1</v>
      </c>
      <c r="Q36" s="1">
        <f ca="1">IFERROR(__xludf.DUMMYFUNCTION("""COMPUTED_VALUE"""),39)</f>
        <v>39</v>
      </c>
      <c r="R36" s="1">
        <f ca="1">IFERROR(__xludf.DUMMYFUNCTION("""COMPUTED_VALUE"""),98.2)</f>
        <v>98.2</v>
      </c>
      <c r="S36" s="1">
        <f ca="1">IFERROR(__xludf.DUMMYFUNCTION("""COMPUTED_VALUE"""),10)</f>
        <v>10</v>
      </c>
      <c r="T36" s="1" t="str">
        <f ca="1">IFERROR(__xludf.DUMMYFUNCTION("""COMPUTED_VALUE"""),"+7.60")</f>
        <v>+7.60</v>
      </c>
      <c r="U36" s="1">
        <f ca="1">IFERROR(__xludf.DUMMYFUNCTION("""COMPUTED_VALUE"""),19)</f>
        <v>19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IFERROR(__xludf.DUMMYFUNCTION("""COMPUTED_VALUE"""),"BYU12")</f>
        <v>BYU12</v>
      </c>
      <c r="C37" s="1" t="str">
        <f ca="1">IFERROR(__xludf.DUMMYFUNCTION("""COMPUTED_VALUE"""),"MWC")</f>
        <v>MWC</v>
      </c>
      <c r="D37" s="1" t="str">
        <f ca="1">IFERROR(__xludf.DUMMYFUNCTION("""COMPUTED_VALUE"""),"21-9")</f>
        <v>21-9</v>
      </c>
      <c r="E37" s="1" t="str">
        <f ca="1">IFERROR(__xludf.DUMMYFUNCTION("""COMPUTED_VALUE"""),"+15.64")</f>
        <v>+15.64</v>
      </c>
      <c r="F37" s="1">
        <f ca="1">IFERROR(__xludf.DUMMYFUNCTION("""COMPUTED_VALUE"""),113)</f>
        <v>113</v>
      </c>
      <c r="G37" s="1">
        <f ca="1">IFERROR(__xludf.DUMMYFUNCTION("""COMPUTED_VALUE"""),32)</f>
        <v>32</v>
      </c>
      <c r="H37" s="1">
        <f ca="1">IFERROR(__xludf.DUMMYFUNCTION("""COMPUTED_VALUE"""),97.4)</f>
        <v>97.4</v>
      </c>
      <c r="I37" s="1">
        <f ca="1">IFERROR(__xludf.DUMMYFUNCTION("""COMPUTED_VALUE"""),59)</f>
        <v>59</v>
      </c>
      <c r="J37" s="1">
        <f ca="1">IFERROR(__xludf.DUMMYFUNCTION("""COMPUTED_VALUE"""),65.9)</f>
        <v>65.900000000000006</v>
      </c>
      <c r="K37" s="1">
        <f ca="1">IFERROR(__xludf.DUMMYFUNCTION("""COMPUTED_VALUE"""),160)</f>
        <v>160</v>
      </c>
      <c r="L37" s="1" t="str">
        <f ca="1">IFERROR(__xludf.DUMMYFUNCTION("""COMPUTED_VALUE"""),"+.020")</f>
        <v>+.020</v>
      </c>
      <c r="M37" s="1">
        <f ca="1">IFERROR(__xludf.DUMMYFUNCTION("""COMPUTED_VALUE"""),116)</f>
        <v>116</v>
      </c>
      <c r="N37" s="1" t="str">
        <f ca="1">IFERROR(__xludf.DUMMYFUNCTION("""COMPUTED_VALUE"""),"+7.13")</f>
        <v>+7.13</v>
      </c>
      <c r="O37" s="1">
        <f ca="1">IFERROR(__xludf.DUMMYFUNCTION("""COMPUTED_VALUE"""),37)</f>
        <v>37</v>
      </c>
      <c r="P37" s="1">
        <f ca="1">IFERROR(__xludf.DUMMYFUNCTION("""COMPUTED_VALUE"""),108.1)</f>
        <v>108.1</v>
      </c>
      <c r="Q37" s="1">
        <f ca="1">IFERROR(__xludf.DUMMYFUNCTION("""COMPUTED_VALUE"""),19)</f>
        <v>19</v>
      </c>
      <c r="R37" s="1">
        <f ca="1">IFERROR(__xludf.DUMMYFUNCTION("""COMPUTED_VALUE"""),101)</f>
        <v>101</v>
      </c>
      <c r="S37" s="1">
        <f ca="1">IFERROR(__xludf.DUMMYFUNCTION("""COMPUTED_VALUE"""),78)</f>
        <v>78</v>
      </c>
      <c r="T37" s="1" t="str">
        <f ca="1">IFERROR(__xludf.DUMMYFUNCTION("""COMPUTED_VALUE"""),"+6.41")</f>
        <v>+6.41</v>
      </c>
      <c r="U37" s="1">
        <f ca="1">IFERROR(__xludf.DUMMYFUNCTION("""COMPUTED_VALUE"""),32)</f>
        <v>32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IFERROR(__xludf.DUMMYFUNCTION("""COMPUTED_VALUE"""),"Air Force11")</f>
        <v>Air Force11</v>
      </c>
      <c r="C38" s="1" t="str">
        <f ca="1">IFERROR(__xludf.DUMMYFUNCTION("""COMPUTED_VALUE"""),"MWC")</f>
        <v>MWC</v>
      </c>
      <c r="D38" s="1" t="str">
        <f ca="1">IFERROR(__xludf.DUMMYFUNCTION("""COMPUTED_VALUE"""),"22-7")</f>
        <v>22-7</v>
      </c>
      <c r="E38" s="1" t="str">
        <f ca="1">IFERROR(__xludf.DUMMYFUNCTION("""COMPUTED_VALUE"""),"+15.42")</f>
        <v>+15.42</v>
      </c>
      <c r="F38" s="1">
        <f ca="1">IFERROR(__xludf.DUMMYFUNCTION("""COMPUTED_VALUE"""),111.4)</f>
        <v>111.4</v>
      </c>
      <c r="G38" s="1">
        <f ca="1">IFERROR(__xludf.DUMMYFUNCTION("""COMPUTED_VALUE"""),47)</f>
        <v>47</v>
      </c>
      <c r="H38" s="1">
        <f ca="1">IFERROR(__xludf.DUMMYFUNCTION("""COMPUTED_VALUE"""),96)</f>
        <v>96</v>
      </c>
      <c r="I38" s="1">
        <f ca="1">IFERROR(__xludf.DUMMYFUNCTION("""COMPUTED_VALUE"""),43)</f>
        <v>43</v>
      </c>
      <c r="J38" s="1">
        <f ca="1">IFERROR(__xludf.DUMMYFUNCTION("""COMPUTED_VALUE"""),51.9)</f>
        <v>51.9</v>
      </c>
      <c r="K38" s="1">
        <f ca="1">IFERROR(__xludf.DUMMYFUNCTION("""COMPUTED_VALUE"""),326)</f>
        <v>326</v>
      </c>
      <c r="L38" s="1" t="str">
        <f ca="1">IFERROR(__xludf.DUMMYFUNCTION("""COMPUTED_VALUE"""),"+.025")</f>
        <v>+.025</v>
      </c>
      <c r="M38" s="1">
        <f ca="1">IFERROR(__xludf.DUMMYFUNCTION("""COMPUTED_VALUE"""),101)</f>
        <v>101</v>
      </c>
      <c r="N38" s="1" t="str">
        <f ca="1">IFERROR(__xludf.DUMMYFUNCTION("""COMPUTED_VALUE"""),"+0.58")</f>
        <v>+0.58</v>
      </c>
      <c r="O38" s="1">
        <f ca="1">IFERROR(__xludf.DUMMYFUNCTION("""COMPUTED_VALUE"""),143)</f>
        <v>143</v>
      </c>
      <c r="P38" s="1">
        <f ca="1">IFERROR(__xludf.DUMMYFUNCTION("""COMPUTED_VALUE"""),103.3)</f>
        <v>103.3</v>
      </c>
      <c r="Q38" s="1">
        <f ca="1">IFERROR(__xludf.DUMMYFUNCTION("""COMPUTED_VALUE"""),170)</f>
        <v>170</v>
      </c>
      <c r="R38" s="1">
        <f ca="1">IFERROR(__xludf.DUMMYFUNCTION("""COMPUTED_VALUE"""),102.8)</f>
        <v>102.8</v>
      </c>
      <c r="S38" s="1">
        <f ca="1">IFERROR(__xludf.DUMMYFUNCTION("""COMPUTED_VALUE"""),138)</f>
        <v>138</v>
      </c>
      <c r="T38" s="1">
        <f ca="1">IFERROR(__xludf.DUMMYFUNCTION("""COMPUTED_VALUE"""),-10.49)</f>
        <v>-10.49</v>
      </c>
      <c r="U38" s="1">
        <f ca="1">IFERROR(__xludf.DUMMYFUNCTION("""COMPUTED_VALUE"""),318)</f>
        <v>318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IFERROR(__xludf.DUMMYFUNCTION("""COMPUTED_VALUE"""),"Boston College6")</f>
        <v>Boston College6</v>
      </c>
      <c r="C39" s="1" t="str">
        <f ca="1">IFERROR(__xludf.DUMMYFUNCTION("""COMPUTED_VALUE"""),"BE")</f>
        <v>BE</v>
      </c>
      <c r="D39" s="1" t="str">
        <f ca="1">IFERROR(__xludf.DUMMYFUNCTION("""COMPUTED_VALUE"""),"24-10")</f>
        <v>24-10</v>
      </c>
      <c r="E39" s="1" t="str">
        <f ca="1">IFERROR(__xludf.DUMMYFUNCTION("""COMPUTED_VALUE"""),"+15.42")</f>
        <v>+15.42</v>
      </c>
      <c r="F39" s="1">
        <f ca="1">IFERROR(__xludf.DUMMYFUNCTION("""COMPUTED_VALUE"""),110.5)</f>
        <v>110.5</v>
      </c>
      <c r="G39" s="1">
        <f ca="1">IFERROR(__xludf.DUMMYFUNCTION("""COMPUTED_VALUE"""),55)</f>
        <v>55</v>
      </c>
      <c r="H39" s="1">
        <f ca="1">IFERROR(__xludf.DUMMYFUNCTION("""COMPUTED_VALUE"""),95.1)</f>
        <v>95.1</v>
      </c>
      <c r="I39" s="1">
        <f ca="1">IFERROR(__xludf.DUMMYFUNCTION("""COMPUTED_VALUE"""),34)</f>
        <v>34</v>
      </c>
      <c r="J39" s="1">
        <f ca="1">IFERROR(__xludf.DUMMYFUNCTION("""COMPUTED_VALUE"""),62.6)</f>
        <v>62.6</v>
      </c>
      <c r="K39" s="1">
        <f ca="1">IFERROR(__xludf.DUMMYFUNCTION("""COMPUTED_VALUE"""),282)</f>
        <v>282</v>
      </c>
      <c r="L39" s="1" t="str">
        <f ca="1">IFERROR(__xludf.DUMMYFUNCTION("""COMPUTED_VALUE"""),"+.045")</f>
        <v>+.045</v>
      </c>
      <c r="M39" s="1">
        <f ca="1">IFERROR(__xludf.DUMMYFUNCTION("""COMPUTED_VALUE"""),64)</f>
        <v>64</v>
      </c>
      <c r="N39" s="1" t="str">
        <f ca="1">IFERROR(__xludf.DUMMYFUNCTION("""COMPUTED_VALUE"""),"+7.21")</f>
        <v>+7.21</v>
      </c>
      <c r="O39" s="1">
        <f ca="1">IFERROR(__xludf.DUMMYFUNCTION("""COMPUTED_VALUE"""),35)</f>
        <v>35</v>
      </c>
      <c r="P39" s="1">
        <f ca="1">IFERROR(__xludf.DUMMYFUNCTION("""COMPUTED_VALUE"""),106.2)</f>
        <v>106.2</v>
      </c>
      <c r="Q39" s="1">
        <f ca="1">IFERROR(__xludf.DUMMYFUNCTION("""COMPUTED_VALUE"""),73)</f>
        <v>73</v>
      </c>
      <c r="R39" s="1">
        <f ca="1">IFERROR(__xludf.DUMMYFUNCTION("""COMPUTED_VALUE"""),99)</f>
        <v>99</v>
      </c>
      <c r="S39" s="1">
        <f ca="1">IFERROR(__xludf.DUMMYFUNCTION("""COMPUTED_VALUE"""),18)</f>
        <v>18</v>
      </c>
      <c r="T39" s="1">
        <f ca="1">IFERROR(__xludf.DUMMYFUNCTION("""COMPUTED_VALUE"""),-2.14)</f>
        <v>-2.14</v>
      </c>
      <c r="U39" s="1">
        <f ca="1">IFERROR(__xludf.DUMMYFUNCTION("""COMPUTED_VALUE"""),218)</f>
        <v>218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IFERROR(__xludf.DUMMYFUNCTION("""COMPUTED_VALUE"""),"Richmond11")</f>
        <v>Richmond11</v>
      </c>
      <c r="C40" s="1" t="str">
        <f ca="1">IFERROR(__xludf.DUMMYFUNCTION("""COMPUTED_VALUE"""),"A10")</f>
        <v>A10</v>
      </c>
      <c r="D40" s="1" t="str">
        <f ca="1">IFERROR(__xludf.DUMMYFUNCTION("""COMPUTED_VALUE"""),"20-13")</f>
        <v>20-13</v>
      </c>
      <c r="E40" s="1" t="str">
        <f ca="1">IFERROR(__xludf.DUMMYFUNCTION("""COMPUTED_VALUE"""),"+15.07")</f>
        <v>+15.07</v>
      </c>
      <c r="F40" s="1">
        <f ca="1">IFERROR(__xludf.DUMMYFUNCTION("""COMPUTED_VALUE"""),105.9)</f>
        <v>105.9</v>
      </c>
      <c r="G40" s="1">
        <f ca="1">IFERROR(__xludf.DUMMYFUNCTION("""COMPUTED_VALUE"""),109)</f>
        <v>109</v>
      </c>
      <c r="H40" s="1">
        <f ca="1">IFERROR(__xludf.DUMMYFUNCTION("""COMPUTED_VALUE"""),90.9)</f>
        <v>90.9</v>
      </c>
      <c r="I40" s="1">
        <f ca="1">IFERROR(__xludf.DUMMYFUNCTION("""COMPUTED_VALUE"""),9)</f>
        <v>9</v>
      </c>
      <c r="J40" s="1">
        <f ca="1">IFERROR(__xludf.DUMMYFUNCTION("""COMPUTED_VALUE"""),62.7)</f>
        <v>62.7</v>
      </c>
      <c r="K40" s="1">
        <f ca="1">IFERROR(__xludf.DUMMYFUNCTION("""COMPUTED_VALUE"""),281)</f>
        <v>281</v>
      </c>
      <c r="L40" s="1">
        <f ca="1">IFERROR(__xludf.DUMMYFUNCTION("""COMPUTED_VALUE"""),-0.06)</f>
        <v>-0.06</v>
      </c>
      <c r="M40" s="1">
        <f ca="1">IFERROR(__xludf.DUMMYFUNCTION("""COMPUTED_VALUE"""),281)</f>
        <v>281</v>
      </c>
      <c r="N40" s="1" t="str">
        <f ca="1">IFERROR(__xludf.DUMMYFUNCTION("""COMPUTED_VALUE"""),"+6.95")</f>
        <v>+6.95</v>
      </c>
      <c r="O40" s="1">
        <f ca="1">IFERROR(__xludf.DUMMYFUNCTION("""COMPUTED_VALUE"""),41)</f>
        <v>41</v>
      </c>
      <c r="P40" s="1">
        <f ca="1">IFERROR(__xludf.DUMMYFUNCTION("""COMPUTED_VALUE"""),107.2)</f>
        <v>107.2</v>
      </c>
      <c r="Q40" s="1">
        <f ca="1">IFERROR(__xludf.DUMMYFUNCTION("""COMPUTED_VALUE"""),37)</f>
        <v>37</v>
      </c>
      <c r="R40" s="1">
        <f ca="1">IFERROR(__xludf.DUMMYFUNCTION("""COMPUTED_VALUE"""),100.2)</f>
        <v>100.2</v>
      </c>
      <c r="S40" s="1">
        <f ca="1">IFERROR(__xludf.DUMMYFUNCTION("""COMPUTED_VALUE"""),50)</f>
        <v>50</v>
      </c>
      <c r="T40" s="1" t="str">
        <f ca="1">IFERROR(__xludf.DUMMYFUNCTION("""COMPUTED_VALUE"""),"+7.66")</f>
        <v>+7.66</v>
      </c>
      <c r="U40" s="1">
        <f ca="1">IFERROR(__xludf.DUMMYFUNCTION("""COMPUTED_VALUE"""),17)</f>
        <v>17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IFERROR(__xludf.DUMMYFUNCTION("""COMPUTED_VALUE"""),"South Carolina10")</f>
        <v>South Carolina10</v>
      </c>
      <c r="C41" s="1" t="str">
        <f ca="1">IFERROR(__xludf.DUMMYFUNCTION("""COMPUTED_VALUE"""),"SEC")</f>
        <v>SEC</v>
      </c>
      <c r="D41" s="1" t="str">
        <f ca="1">IFERROR(__xludf.DUMMYFUNCTION("""COMPUTED_VALUE"""),"23-11")</f>
        <v>23-11</v>
      </c>
      <c r="E41" s="1" t="str">
        <f ca="1">IFERROR(__xludf.DUMMYFUNCTION("""COMPUTED_VALUE"""),"+15.02")</f>
        <v>+15.02</v>
      </c>
      <c r="F41" s="1">
        <f ca="1">IFERROR(__xludf.DUMMYFUNCTION("""COMPUTED_VALUE"""),109.7)</f>
        <v>109.7</v>
      </c>
      <c r="G41" s="1">
        <f ca="1">IFERROR(__xludf.DUMMYFUNCTION("""COMPUTED_VALUE"""),64)</f>
        <v>64</v>
      </c>
      <c r="H41" s="1">
        <f ca="1">IFERROR(__xludf.DUMMYFUNCTION("""COMPUTED_VALUE"""),94.7)</f>
        <v>94.7</v>
      </c>
      <c r="I41" s="1">
        <f ca="1">IFERROR(__xludf.DUMMYFUNCTION("""COMPUTED_VALUE"""),28)</f>
        <v>28</v>
      </c>
      <c r="J41" s="1">
        <f ca="1">IFERROR(__xludf.DUMMYFUNCTION("""COMPUTED_VALUE"""),65.5)</f>
        <v>65.5</v>
      </c>
      <c r="K41" s="1">
        <f ca="1">IFERROR(__xludf.DUMMYFUNCTION("""COMPUTED_VALUE"""),176)</f>
        <v>176</v>
      </c>
      <c r="L41" s="1">
        <f ca="1">IFERROR(__xludf.DUMMYFUNCTION("""COMPUTED_VALUE"""),0)</f>
        <v>0</v>
      </c>
      <c r="M41" s="1">
        <f ca="1">IFERROR(__xludf.DUMMYFUNCTION("""COMPUTED_VALUE"""),172)</f>
        <v>172</v>
      </c>
      <c r="N41" s="1" t="str">
        <f ca="1">IFERROR(__xludf.DUMMYFUNCTION("""COMPUTED_VALUE"""),"+6.15")</f>
        <v>+6.15</v>
      </c>
      <c r="O41" s="1">
        <f ca="1">IFERROR(__xludf.DUMMYFUNCTION("""COMPUTED_VALUE"""),54)</f>
        <v>54</v>
      </c>
      <c r="P41" s="1">
        <f ca="1">IFERROR(__xludf.DUMMYFUNCTION("""COMPUTED_VALUE"""),105.8)</f>
        <v>105.8</v>
      </c>
      <c r="Q41" s="1">
        <f ca="1">IFERROR(__xludf.DUMMYFUNCTION("""COMPUTED_VALUE"""),82)</f>
        <v>82</v>
      </c>
      <c r="R41" s="1">
        <f ca="1">IFERROR(__xludf.DUMMYFUNCTION("""COMPUTED_VALUE"""),99.6)</f>
        <v>99.6</v>
      </c>
      <c r="S41" s="1">
        <f ca="1">IFERROR(__xludf.DUMMYFUNCTION("""COMPUTED_VALUE"""),28)</f>
        <v>28</v>
      </c>
      <c r="T41" s="1">
        <f ca="1">IFERROR(__xludf.DUMMYFUNCTION("""COMPUTED_VALUE"""),-8.05)</f>
        <v>-8.0500000000000007</v>
      </c>
      <c r="U41" s="1">
        <f ca="1">IFERROR(__xludf.DUMMYFUNCTION("""COMPUTED_VALUE"""),302)</f>
        <v>302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IFERROR(__xludf.DUMMYFUNCTION("""COMPUTED_VALUE"""),"Nebraska")</f>
        <v>Nebraska</v>
      </c>
      <c r="C42" s="1" t="str">
        <f ca="1">IFERROR(__xludf.DUMMYFUNCTION("""COMPUTED_VALUE"""),"B12")</f>
        <v>B12</v>
      </c>
      <c r="D42" s="1" t="str">
        <f ca="1">IFERROR(__xludf.DUMMYFUNCTION("""COMPUTED_VALUE"""),"18-13")</f>
        <v>18-13</v>
      </c>
      <c r="E42" s="1" t="str">
        <f ca="1">IFERROR(__xludf.DUMMYFUNCTION("""COMPUTED_VALUE"""),"+14.86")</f>
        <v>+14.86</v>
      </c>
      <c r="F42" s="1">
        <f ca="1">IFERROR(__xludf.DUMMYFUNCTION("""COMPUTED_VALUE"""),113.6)</f>
        <v>113.6</v>
      </c>
      <c r="G42" s="1">
        <f ca="1">IFERROR(__xludf.DUMMYFUNCTION("""COMPUTED_VALUE"""),24)</f>
        <v>24</v>
      </c>
      <c r="H42" s="1">
        <f ca="1">IFERROR(__xludf.DUMMYFUNCTION("""COMPUTED_VALUE"""),98.7)</f>
        <v>98.7</v>
      </c>
      <c r="I42" s="1">
        <f ca="1">IFERROR(__xludf.DUMMYFUNCTION("""COMPUTED_VALUE"""),80)</f>
        <v>80</v>
      </c>
      <c r="J42" s="1">
        <f ca="1">IFERROR(__xludf.DUMMYFUNCTION("""COMPUTED_VALUE"""),62.1)</f>
        <v>62.1</v>
      </c>
      <c r="K42" s="1">
        <f ca="1">IFERROR(__xludf.DUMMYFUNCTION("""COMPUTED_VALUE"""),293)</f>
        <v>293</v>
      </c>
      <c r="L42" s="1">
        <f ca="1">IFERROR(__xludf.DUMMYFUNCTION("""COMPUTED_VALUE"""),-0.093)</f>
        <v>-9.2999999999999999E-2</v>
      </c>
      <c r="M42" s="1">
        <f ca="1">IFERROR(__xludf.DUMMYFUNCTION("""COMPUTED_VALUE"""),312)</f>
        <v>312</v>
      </c>
      <c r="N42" s="1" t="str">
        <f ca="1">IFERROR(__xludf.DUMMYFUNCTION("""COMPUTED_VALUE"""),"+4.56")</f>
        <v>+4.56</v>
      </c>
      <c r="O42" s="1">
        <f ca="1">IFERROR(__xludf.DUMMYFUNCTION("""COMPUTED_VALUE"""),86)</f>
        <v>86</v>
      </c>
      <c r="P42" s="1">
        <f ca="1">IFERROR(__xludf.DUMMYFUNCTION("""COMPUTED_VALUE"""),106.3)</f>
        <v>106.3</v>
      </c>
      <c r="Q42" s="1">
        <f ca="1">IFERROR(__xludf.DUMMYFUNCTION("""COMPUTED_VALUE"""),71)</f>
        <v>71</v>
      </c>
      <c r="R42" s="1">
        <f ca="1">IFERROR(__xludf.DUMMYFUNCTION("""COMPUTED_VALUE"""),101.7)</f>
        <v>101.7</v>
      </c>
      <c r="S42" s="1">
        <f ca="1">IFERROR(__xludf.DUMMYFUNCTION("""COMPUTED_VALUE"""),104)</f>
        <v>104</v>
      </c>
      <c r="T42" s="1">
        <f ca="1">IFERROR(__xludf.DUMMYFUNCTION("""COMPUTED_VALUE"""),-9.88)</f>
        <v>-9.8800000000000008</v>
      </c>
      <c r="U42" s="1">
        <f ca="1">IFERROR(__xludf.DUMMYFUNCTION("""COMPUTED_VALUE"""),317)</f>
        <v>317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IFERROR(__xludf.DUMMYFUNCTION("""COMPUTED_VALUE"""),"UTEP13")</f>
        <v>UTEP13</v>
      </c>
      <c r="C45" s="1" t="str">
        <f ca="1">IFERROR(__xludf.DUMMYFUNCTION("""COMPUTED_VALUE"""),"WAC")</f>
        <v>WAC</v>
      </c>
      <c r="D45" s="1" t="str">
        <f ca="1">IFERROR(__xludf.DUMMYFUNCTION("""COMPUTED_VALUE"""),"24-8")</f>
        <v>24-8</v>
      </c>
      <c r="E45" s="1" t="str">
        <f ca="1">IFERROR(__xludf.DUMMYFUNCTION("""COMPUTED_VALUE"""),"+14.69")</f>
        <v>+14.69</v>
      </c>
      <c r="F45" s="1">
        <f ca="1">IFERROR(__xludf.DUMMYFUNCTION("""COMPUTED_VALUE"""),112.5)</f>
        <v>112.5</v>
      </c>
      <c r="G45" s="1">
        <f ca="1">IFERROR(__xludf.DUMMYFUNCTION("""COMPUTED_VALUE"""),36)</f>
        <v>36</v>
      </c>
      <c r="H45" s="1">
        <f ca="1">IFERROR(__xludf.DUMMYFUNCTION("""COMPUTED_VALUE"""),97.8)</f>
        <v>97.8</v>
      </c>
      <c r="I45" s="1">
        <f ca="1">IFERROR(__xludf.DUMMYFUNCTION("""COMPUTED_VALUE"""),61)</f>
        <v>61</v>
      </c>
      <c r="J45" s="1">
        <f ca="1">IFERROR(__xludf.DUMMYFUNCTION("""COMPUTED_VALUE"""),68.2)</f>
        <v>68.2</v>
      </c>
      <c r="K45" s="1">
        <f ca="1">IFERROR(__xludf.DUMMYFUNCTION("""COMPUTED_VALUE"""),76)</f>
        <v>76</v>
      </c>
      <c r="L45" s="1" t="str">
        <f ca="1">IFERROR(__xludf.DUMMYFUNCTION("""COMPUTED_VALUE"""),"+.046")</f>
        <v>+.046</v>
      </c>
      <c r="M45" s="1">
        <f ca="1">IFERROR(__xludf.DUMMYFUNCTION("""COMPUTED_VALUE"""),61)</f>
        <v>61</v>
      </c>
      <c r="N45" s="1" t="str">
        <f ca="1">IFERROR(__xludf.DUMMYFUNCTION("""COMPUTED_VALUE"""),"+4.31")</f>
        <v>+4.31</v>
      </c>
      <c r="O45" s="1">
        <f ca="1">IFERROR(__xludf.DUMMYFUNCTION("""COMPUTED_VALUE"""),92)</f>
        <v>92</v>
      </c>
      <c r="P45" s="1">
        <f ca="1">IFERROR(__xludf.DUMMYFUNCTION("""COMPUTED_VALUE"""),104.2)</f>
        <v>104.2</v>
      </c>
      <c r="Q45" s="1">
        <f ca="1">IFERROR(__xludf.DUMMYFUNCTION("""COMPUTED_VALUE"""),133)</f>
        <v>133</v>
      </c>
      <c r="R45" s="1">
        <f ca="1">IFERROR(__xludf.DUMMYFUNCTION("""COMPUTED_VALUE"""),99.9)</f>
        <v>99.9</v>
      </c>
      <c r="S45" s="1">
        <f ca="1">IFERROR(__xludf.DUMMYFUNCTION("""COMPUTED_VALUE"""),38)</f>
        <v>38</v>
      </c>
      <c r="T45" s="1">
        <f ca="1">IFERROR(__xludf.DUMMYFUNCTION("""COMPUTED_VALUE"""),-6.38)</f>
        <v>-6.38</v>
      </c>
      <c r="U45" s="1">
        <f ca="1">IFERROR(__xludf.DUMMYFUNCTION("""COMPUTED_VALUE"""),284)</f>
        <v>284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IFERROR(__xludf.DUMMYFUNCTION("""COMPUTED_VALUE"""),"Southern Illinois9")</f>
        <v>Southern Illinois9</v>
      </c>
      <c r="C46" s="1" t="str">
        <f ca="1">IFERROR(__xludf.DUMMYFUNCTION("""COMPUTED_VALUE"""),"MVC")</f>
        <v>MVC</v>
      </c>
      <c r="D46" s="1" t="str">
        <f ca="1">IFERROR(__xludf.DUMMYFUNCTION("""COMPUTED_VALUE"""),"25-5")</f>
        <v>25-5</v>
      </c>
      <c r="E46" s="1" t="str">
        <f ca="1">IFERROR(__xludf.DUMMYFUNCTION("""COMPUTED_VALUE"""),"+14.33")</f>
        <v>+14.33</v>
      </c>
      <c r="F46" s="1">
        <f ca="1">IFERROR(__xludf.DUMMYFUNCTION("""COMPUTED_VALUE"""),109.1)</f>
        <v>109.1</v>
      </c>
      <c r="G46" s="1">
        <f ca="1">IFERROR(__xludf.DUMMYFUNCTION("""COMPUTED_VALUE"""),70)</f>
        <v>70</v>
      </c>
      <c r="H46" s="1">
        <f ca="1">IFERROR(__xludf.DUMMYFUNCTION("""COMPUTED_VALUE"""),94.8)</f>
        <v>94.8</v>
      </c>
      <c r="I46" s="1">
        <f ca="1">IFERROR(__xludf.DUMMYFUNCTION("""COMPUTED_VALUE"""),29)</f>
        <v>29</v>
      </c>
      <c r="J46" s="1">
        <f ca="1">IFERROR(__xludf.DUMMYFUNCTION("""COMPUTED_VALUE"""),65.2)</f>
        <v>65.2</v>
      </c>
      <c r="K46" s="1">
        <f ca="1">IFERROR(__xludf.DUMMYFUNCTION("""COMPUTED_VALUE"""),188)</f>
        <v>188</v>
      </c>
      <c r="L46" s="1" t="str">
        <f ca="1">IFERROR(__xludf.DUMMYFUNCTION("""COMPUTED_VALUE"""),"+.046")</f>
        <v>+.046</v>
      </c>
      <c r="M46" s="1">
        <f ca="1">IFERROR(__xludf.DUMMYFUNCTION("""COMPUTED_VALUE"""),62)</f>
        <v>62</v>
      </c>
      <c r="N46" s="1" t="str">
        <f ca="1">IFERROR(__xludf.DUMMYFUNCTION("""COMPUTED_VALUE"""),"+2.54")</f>
        <v>+2.54</v>
      </c>
      <c r="O46" s="1">
        <f ca="1">IFERROR(__xludf.DUMMYFUNCTION("""COMPUTED_VALUE"""),113)</f>
        <v>113</v>
      </c>
      <c r="P46" s="1">
        <f ca="1">IFERROR(__xludf.DUMMYFUNCTION("""COMPUTED_VALUE"""),105.1)</f>
        <v>105.1</v>
      </c>
      <c r="Q46" s="1">
        <f ca="1">IFERROR(__xludf.DUMMYFUNCTION("""COMPUTED_VALUE"""),107)</f>
        <v>107</v>
      </c>
      <c r="R46" s="1">
        <f ca="1">IFERROR(__xludf.DUMMYFUNCTION("""COMPUTED_VALUE"""),102.5)</f>
        <v>102.5</v>
      </c>
      <c r="S46" s="1">
        <f ca="1">IFERROR(__xludf.DUMMYFUNCTION("""COMPUTED_VALUE"""),134)</f>
        <v>134</v>
      </c>
      <c r="T46" s="1" t="str">
        <f ca="1">IFERROR(__xludf.DUMMYFUNCTION("""COMPUTED_VALUE"""),"+2.25")</f>
        <v>+2.25</v>
      </c>
      <c r="U46" s="1">
        <f ca="1">IFERROR(__xludf.DUMMYFUNCTION("""COMPUTED_VALUE"""),103)</f>
        <v>103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IFERROR(__xludf.DUMMYFUNCTION("""COMPUTED_VALUE"""),"Charlotte9")</f>
        <v>Charlotte9</v>
      </c>
      <c r="C47" s="1" t="str">
        <f ca="1">IFERROR(__xludf.DUMMYFUNCTION("""COMPUTED_VALUE"""),"CUSA")</f>
        <v>CUSA</v>
      </c>
      <c r="D47" s="1" t="str">
        <f ca="1">IFERROR(__xludf.DUMMYFUNCTION("""COMPUTED_VALUE"""),"21-9")</f>
        <v>21-9</v>
      </c>
      <c r="E47" s="1" t="str">
        <f ca="1">IFERROR(__xludf.DUMMYFUNCTION("""COMPUTED_VALUE"""),"+14.25")</f>
        <v>+14.25</v>
      </c>
      <c r="F47" s="1">
        <f ca="1">IFERROR(__xludf.DUMMYFUNCTION("""COMPUTED_VALUE"""),112.7)</f>
        <v>112.7</v>
      </c>
      <c r="G47" s="1">
        <f ca="1">IFERROR(__xludf.DUMMYFUNCTION("""COMPUTED_VALUE"""),34)</f>
        <v>34</v>
      </c>
      <c r="H47" s="1">
        <f ca="1">IFERROR(__xludf.DUMMYFUNCTION("""COMPUTED_VALUE"""),98.5)</f>
        <v>98.5</v>
      </c>
      <c r="I47" s="1">
        <f ca="1">IFERROR(__xludf.DUMMYFUNCTION("""COMPUTED_VALUE"""),73)</f>
        <v>73</v>
      </c>
      <c r="J47" s="1">
        <f ca="1">IFERROR(__xludf.DUMMYFUNCTION("""COMPUTED_VALUE"""),69.7)</f>
        <v>69.7</v>
      </c>
      <c r="K47" s="1">
        <f ca="1">IFERROR(__xludf.DUMMYFUNCTION("""COMPUTED_VALUE"""),33)</f>
        <v>33</v>
      </c>
      <c r="L47" s="1" t="str">
        <f ca="1">IFERROR(__xludf.DUMMYFUNCTION("""COMPUTED_VALUE"""),"+.015")</f>
        <v>+.015</v>
      </c>
      <c r="M47" s="1">
        <f ca="1">IFERROR(__xludf.DUMMYFUNCTION("""COMPUTED_VALUE"""),131)</f>
        <v>131</v>
      </c>
      <c r="N47" s="1" t="str">
        <f ca="1">IFERROR(__xludf.DUMMYFUNCTION("""COMPUTED_VALUE"""),"+5.72")</f>
        <v>+5.72</v>
      </c>
      <c r="O47" s="1">
        <f ca="1">IFERROR(__xludf.DUMMYFUNCTION("""COMPUTED_VALUE"""),64)</f>
        <v>64</v>
      </c>
      <c r="P47" s="1">
        <f ca="1">IFERROR(__xludf.DUMMYFUNCTION("""COMPUTED_VALUE"""),105)</f>
        <v>105</v>
      </c>
      <c r="Q47" s="1">
        <f ca="1">IFERROR(__xludf.DUMMYFUNCTION("""COMPUTED_VALUE"""),109)</f>
        <v>109</v>
      </c>
      <c r="R47" s="1">
        <f ca="1">IFERROR(__xludf.DUMMYFUNCTION("""COMPUTED_VALUE"""),99.3)</f>
        <v>99.3</v>
      </c>
      <c r="S47" s="1">
        <f ca="1">IFERROR(__xludf.DUMMYFUNCTION("""COMPUTED_VALUE"""),22)</f>
        <v>22</v>
      </c>
      <c r="T47" s="1" t="str">
        <f ca="1">IFERROR(__xludf.DUMMYFUNCTION("""COMPUTED_VALUE"""),"+2.66")</f>
        <v>+2.66</v>
      </c>
      <c r="U47" s="1">
        <f ca="1">IFERROR(__xludf.DUMMYFUNCTION("""COMPUTED_VALUE"""),83)</f>
        <v>83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IFERROR(__xludf.DUMMYFUNCTION("""COMPUTED_VALUE"""),"Michigan")</f>
        <v>Michigan</v>
      </c>
      <c r="C48" s="1" t="str">
        <f ca="1">IFERROR(__xludf.DUMMYFUNCTION("""COMPUTED_VALUE"""),"B10")</f>
        <v>B10</v>
      </c>
      <c r="D48" s="1" t="str">
        <f ca="1">IFERROR(__xludf.DUMMYFUNCTION("""COMPUTED_VALUE"""),"23-11")</f>
        <v>23-11</v>
      </c>
      <c r="E48" s="1" t="str">
        <f ca="1">IFERROR(__xludf.DUMMYFUNCTION("""COMPUTED_VALUE"""),"+14.14")</f>
        <v>+14.14</v>
      </c>
      <c r="F48" s="1">
        <f ca="1">IFERROR(__xludf.DUMMYFUNCTION("""COMPUTED_VALUE"""),107.4)</f>
        <v>107.4</v>
      </c>
      <c r="G48" s="1">
        <f ca="1">IFERROR(__xludf.DUMMYFUNCTION("""COMPUTED_VALUE"""),91)</f>
        <v>91</v>
      </c>
      <c r="H48" s="1">
        <f ca="1">IFERROR(__xludf.DUMMYFUNCTION("""COMPUTED_VALUE"""),93.3)</f>
        <v>93.3</v>
      </c>
      <c r="I48" s="1">
        <f ca="1">IFERROR(__xludf.DUMMYFUNCTION("""COMPUTED_VALUE"""),19)</f>
        <v>19</v>
      </c>
      <c r="J48" s="1">
        <f ca="1">IFERROR(__xludf.DUMMYFUNCTION("""COMPUTED_VALUE"""),66.4)</f>
        <v>66.400000000000006</v>
      </c>
      <c r="K48" s="1">
        <f ca="1">IFERROR(__xludf.DUMMYFUNCTION("""COMPUTED_VALUE"""),138)</f>
        <v>138</v>
      </c>
      <c r="L48" s="1" t="str">
        <f ca="1">IFERROR(__xludf.DUMMYFUNCTION("""COMPUTED_VALUE"""),"+.018")</f>
        <v>+.018</v>
      </c>
      <c r="M48" s="1">
        <f ca="1">IFERROR(__xludf.DUMMYFUNCTION("""COMPUTED_VALUE"""),122)</f>
        <v>122</v>
      </c>
      <c r="N48" s="1" t="str">
        <f ca="1">IFERROR(__xludf.DUMMYFUNCTION("""COMPUTED_VALUE"""),"+5.50")</f>
        <v>+5.50</v>
      </c>
      <c r="O48" s="1">
        <f ca="1">IFERROR(__xludf.DUMMYFUNCTION("""COMPUTED_VALUE"""),70)</f>
        <v>70</v>
      </c>
      <c r="P48" s="1">
        <f ca="1">IFERROR(__xludf.DUMMYFUNCTION("""COMPUTED_VALUE"""),106.6)</f>
        <v>106.6</v>
      </c>
      <c r="Q48" s="1">
        <f ca="1">IFERROR(__xludf.DUMMYFUNCTION("""COMPUTED_VALUE"""),57)</f>
        <v>57</v>
      </c>
      <c r="R48" s="1">
        <f ca="1">IFERROR(__xludf.DUMMYFUNCTION("""COMPUTED_VALUE"""),101.1)</f>
        <v>101.1</v>
      </c>
      <c r="S48" s="1">
        <f ca="1">IFERROR(__xludf.DUMMYFUNCTION("""COMPUTED_VALUE"""),86)</f>
        <v>86</v>
      </c>
      <c r="T48" s="1">
        <f ca="1">IFERROR(__xludf.DUMMYFUNCTION("""COMPUTED_VALUE"""),-2.38)</f>
        <v>-2.38</v>
      </c>
      <c r="U48" s="1">
        <f ca="1">IFERROR(__xludf.DUMMYFUNCTION("""COMPUTED_VALUE"""),223)</f>
        <v>223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IFERROR(__xludf.DUMMYFUNCTION("""COMPUTED_VALUE"""),"Utah11")</f>
        <v>Utah11</v>
      </c>
      <c r="C49" s="1" t="str">
        <f ca="1">IFERROR(__xludf.DUMMYFUNCTION("""COMPUTED_VALUE"""),"MWC")</f>
        <v>MWC</v>
      </c>
      <c r="D49" s="1" t="str">
        <f ca="1">IFERROR(__xludf.DUMMYFUNCTION("""COMPUTED_VALUE"""),"24-9")</f>
        <v>24-9</v>
      </c>
      <c r="E49" s="1" t="str">
        <f ca="1">IFERROR(__xludf.DUMMYFUNCTION("""COMPUTED_VALUE"""),"+14.13")</f>
        <v>+14.13</v>
      </c>
      <c r="F49" s="1">
        <f ca="1">IFERROR(__xludf.DUMMYFUNCTION("""COMPUTED_VALUE"""),110.1)</f>
        <v>110.1</v>
      </c>
      <c r="G49" s="1">
        <f ca="1">IFERROR(__xludf.DUMMYFUNCTION("""COMPUTED_VALUE"""),60)</f>
        <v>60</v>
      </c>
      <c r="H49" s="1">
        <f ca="1">IFERROR(__xludf.DUMMYFUNCTION("""COMPUTED_VALUE"""),96)</f>
        <v>96</v>
      </c>
      <c r="I49" s="1">
        <f ca="1">IFERROR(__xludf.DUMMYFUNCTION("""COMPUTED_VALUE"""),42)</f>
        <v>42</v>
      </c>
      <c r="J49" s="1">
        <f ca="1">IFERROR(__xludf.DUMMYFUNCTION("""COMPUTED_VALUE"""),58.8)</f>
        <v>58.8</v>
      </c>
      <c r="K49" s="1">
        <f ca="1">IFERROR(__xludf.DUMMYFUNCTION("""COMPUTED_VALUE"""),317)</f>
        <v>317</v>
      </c>
      <c r="L49" s="1" t="str">
        <f ca="1">IFERROR(__xludf.DUMMYFUNCTION("""COMPUTED_VALUE"""),"+.064")</f>
        <v>+.064</v>
      </c>
      <c r="M49" s="1">
        <f ca="1">IFERROR(__xludf.DUMMYFUNCTION("""COMPUTED_VALUE"""),36)</f>
        <v>36</v>
      </c>
      <c r="N49" s="1" t="str">
        <f ca="1">IFERROR(__xludf.DUMMYFUNCTION("""COMPUTED_VALUE"""),"+4.45")</f>
        <v>+4.45</v>
      </c>
      <c r="O49" s="1">
        <f ca="1">IFERROR(__xludf.DUMMYFUNCTION("""COMPUTED_VALUE"""),87)</f>
        <v>87</v>
      </c>
      <c r="P49" s="1">
        <f ca="1">IFERROR(__xludf.DUMMYFUNCTION("""COMPUTED_VALUE"""),106.8)</f>
        <v>106.8</v>
      </c>
      <c r="Q49" s="1">
        <f ca="1">IFERROR(__xludf.DUMMYFUNCTION("""COMPUTED_VALUE"""),50)</f>
        <v>50</v>
      </c>
      <c r="R49" s="1">
        <f ca="1">IFERROR(__xludf.DUMMYFUNCTION("""COMPUTED_VALUE"""),102.3)</f>
        <v>102.3</v>
      </c>
      <c r="S49" s="1">
        <f ca="1">IFERROR(__xludf.DUMMYFUNCTION("""COMPUTED_VALUE"""),121)</f>
        <v>121</v>
      </c>
      <c r="T49" s="1">
        <f ca="1">IFERROR(__xludf.DUMMYFUNCTION("""COMPUTED_VALUE"""),-0.97)</f>
        <v>-0.97</v>
      </c>
      <c r="U49" s="1">
        <f ca="1">IFERROR(__xludf.DUMMYFUNCTION("""COMPUTED_VALUE"""),188)</f>
        <v>188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IFERROR(__xludf.DUMMYFUNCTION("""COMPUTED_VALUE"""),"UAB9")</f>
        <v>UAB9</v>
      </c>
      <c r="C50" s="1" t="str">
        <f ca="1">IFERROR(__xludf.DUMMYFUNCTION("""COMPUTED_VALUE"""),"CUSA")</f>
        <v>CUSA</v>
      </c>
      <c r="D50" s="1" t="str">
        <f ca="1">IFERROR(__xludf.DUMMYFUNCTION("""COMPUTED_VALUE"""),"22-10")</f>
        <v>22-10</v>
      </c>
      <c r="E50" s="1" t="str">
        <f ca="1">IFERROR(__xludf.DUMMYFUNCTION("""COMPUTED_VALUE"""),"+13.63")</f>
        <v>+13.63</v>
      </c>
      <c r="F50" s="1">
        <f ca="1">IFERROR(__xludf.DUMMYFUNCTION("""COMPUTED_VALUE"""),108.1)</f>
        <v>108.1</v>
      </c>
      <c r="G50" s="1">
        <f ca="1">IFERROR(__xludf.DUMMYFUNCTION("""COMPUTED_VALUE"""),79)</f>
        <v>79</v>
      </c>
      <c r="H50" s="1">
        <f ca="1">IFERROR(__xludf.DUMMYFUNCTION("""COMPUTED_VALUE"""),94.5)</f>
        <v>94.5</v>
      </c>
      <c r="I50" s="1">
        <f ca="1">IFERROR(__xludf.DUMMYFUNCTION("""COMPUTED_VALUE"""),25)</f>
        <v>25</v>
      </c>
      <c r="J50" s="1">
        <f ca="1">IFERROR(__xludf.DUMMYFUNCTION("""COMPUTED_VALUE"""),70.7)</f>
        <v>70.7</v>
      </c>
      <c r="K50" s="1">
        <f ca="1">IFERROR(__xludf.DUMMYFUNCTION("""COMPUTED_VALUE"""),20)</f>
        <v>20</v>
      </c>
      <c r="L50" s="1" t="str">
        <f ca="1">IFERROR(__xludf.DUMMYFUNCTION("""COMPUTED_VALUE"""),"+.019")</f>
        <v>+.019</v>
      </c>
      <c r="M50" s="1">
        <f ca="1">IFERROR(__xludf.DUMMYFUNCTION("""COMPUTED_VALUE"""),120)</f>
        <v>120</v>
      </c>
      <c r="N50" s="1" t="str">
        <f ca="1">IFERROR(__xludf.DUMMYFUNCTION("""COMPUTED_VALUE"""),"+5.34")</f>
        <v>+5.34</v>
      </c>
      <c r="O50" s="1">
        <f ca="1">IFERROR(__xludf.DUMMYFUNCTION("""COMPUTED_VALUE"""),75)</f>
        <v>75</v>
      </c>
      <c r="P50" s="1">
        <f ca="1">IFERROR(__xludf.DUMMYFUNCTION("""COMPUTED_VALUE"""),105.8)</f>
        <v>105.8</v>
      </c>
      <c r="Q50" s="1">
        <f ca="1">IFERROR(__xludf.DUMMYFUNCTION("""COMPUTED_VALUE"""),83)</f>
        <v>83</v>
      </c>
      <c r="R50" s="1">
        <f ca="1">IFERROR(__xludf.DUMMYFUNCTION("""COMPUTED_VALUE"""),100.4)</f>
        <v>100.4</v>
      </c>
      <c r="S50" s="1">
        <f ca="1">IFERROR(__xludf.DUMMYFUNCTION("""COMPUTED_VALUE"""),62)</f>
        <v>62</v>
      </c>
      <c r="T50" s="1" t="str">
        <f ca="1">IFERROR(__xludf.DUMMYFUNCTION("""COMPUTED_VALUE"""),"+1.60")</f>
        <v>+1.60</v>
      </c>
      <c r="U50" s="1">
        <f ca="1">IFERROR(__xludf.DUMMYFUNCTION("""COMPUTED_VALUE"""),122)</f>
        <v>122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IFERROR(__xludf.DUMMYFUNCTION("""COMPUTED_VALUE"""),"Utah St.")</f>
        <v>Utah St.</v>
      </c>
      <c r="C51" s="1" t="str">
        <f ca="1">IFERROR(__xludf.DUMMYFUNCTION("""COMPUTED_VALUE"""),"BW")</f>
        <v>BW</v>
      </c>
      <c r="D51" s="1" t="str">
        <f ca="1">IFERROR(__xludf.DUMMYFUNCTION("""COMPUTED_VALUE"""),"25-4")</f>
        <v>25-4</v>
      </c>
      <c r="E51" s="1" t="str">
        <f ca="1">IFERROR(__xludf.DUMMYFUNCTION("""COMPUTED_VALUE"""),"+13.60")</f>
        <v>+13.60</v>
      </c>
      <c r="F51" s="1">
        <f ca="1">IFERROR(__xludf.DUMMYFUNCTION("""COMPUTED_VALUE"""),115.9)</f>
        <v>115.9</v>
      </c>
      <c r="G51" s="1">
        <f ca="1">IFERROR(__xludf.DUMMYFUNCTION("""COMPUTED_VALUE"""),15)</f>
        <v>15</v>
      </c>
      <c r="H51" s="1">
        <f ca="1">IFERROR(__xludf.DUMMYFUNCTION("""COMPUTED_VALUE"""),102.3)</f>
        <v>102.3</v>
      </c>
      <c r="I51" s="1">
        <f ca="1">IFERROR(__xludf.DUMMYFUNCTION("""COMPUTED_VALUE"""),149)</f>
        <v>149</v>
      </c>
      <c r="J51" s="1">
        <f ca="1">IFERROR(__xludf.DUMMYFUNCTION("""COMPUTED_VALUE"""),58.2)</f>
        <v>58.2</v>
      </c>
      <c r="K51" s="1">
        <f ca="1">IFERROR(__xludf.DUMMYFUNCTION("""COMPUTED_VALUE"""),322)</f>
        <v>322</v>
      </c>
      <c r="L51" s="1" t="str">
        <f ca="1">IFERROR(__xludf.DUMMYFUNCTION("""COMPUTED_VALUE"""),"+.037")</f>
        <v>+.037</v>
      </c>
      <c r="M51" s="1">
        <f ca="1">IFERROR(__xludf.DUMMYFUNCTION("""COMPUTED_VALUE"""),77)</f>
        <v>77</v>
      </c>
      <c r="N51" s="1">
        <f ca="1">IFERROR(__xludf.DUMMYFUNCTION("""COMPUTED_VALUE"""),-3.05)</f>
        <v>-3.05</v>
      </c>
      <c r="O51" s="1">
        <f ca="1">IFERROR(__xludf.DUMMYFUNCTION("""COMPUTED_VALUE"""),224)</f>
        <v>224</v>
      </c>
      <c r="P51" s="1">
        <f ca="1">IFERROR(__xludf.DUMMYFUNCTION("""COMPUTED_VALUE"""),101.4)</f>
        <v>101.4</v>
      </c>
      <c r="Q51" s="1">
        <f ca="1">IFERROR(__xludf.DUMMYFUNCTION("""COMPUTED_VALUE"""),236)</f>
        <v>236</v>
      </c>
      <c r="R51" s="1">
        <f ca="1">IFERROR(__xludf.DUMMYFUNCTION("""COMPUTED_VALUE"""),104.4)</f>
        <v>104.4</v>
      </c>
      <c r="S51" s="1">
        <f ca="1">IFERROR(__xludf.DUMMYFUNCTION("""COMPUTED_VALUE"""),194)</f>
        <v>194</v>
      </c>
      <c r="T51" s="1">
        <f ca="1">IFERROR(__xludf.DUMMYFUNCTION("""COMPUTED_VALUE"""),-3.29)</f>
        <v>-3.29</v>
      </c>
      <c r="U51" s="1">
        <f ca="1">IFERROR(__xludf.DUMMYFUNCTION("""COMPUTED_VALUE"""),242)</f>
        <v>242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IFERROR(__xludf.DUMMYFUNCTION("""COMPUTED_VALUE"""),"Manhattan12")</f>
        <v>Manhattan12</v>
      </c>
      <c r="C52" s="1" t="str">
        <f ca="1">IFERROR(__xludf.DUMMYFUNCTION("""COMPUTED_VALUE"""),"MAAC")</f>
        <v>MAAC</v>
      </c>
      <c r="D52" s="1" t="str">
        <f ca="1">IFERROR(__xludf.DUMMYFUNCTION("""COMPUTED_VALUE"""),"25-6")</f>
        <v>25-6</v>
      </c>
      <c r="E52" s="1" t="str">
        <f ca="1">IFERROR(__xludf.DUMMYFUNCTION("""COMPUTED_VALUE"""),"+13.38")</f>
        <v>+13.38</v>
      </c>
      <c r="F52" s="1">
        <f ca="1">IFERROR(__xludf.DUMMYFUNCTION("""COMPUTED_VALUE"""),109.1)</f>
        <v>109.1</v>
      </c>
      <c r="G52" s="1">
        <f ca="1">IFERROR(__xludf.DUMMYFUNCTION("""COMPUTED_VALUE"""),71)</f>
        <v>71</v>
      </c>
      <c r="H52" s="1">
        <f ca="1">IFERROR(__xludf.DUMMYFUNCTION("""COMPUTED_VALUE"""),95.7)</f>
        <v>95.7</v>
      </c>
      <c r="I52" s="1">
        <f ca="1">IFERROR(__xludf.DUMMYFUNCTION("""COMPUTED_VALUE"""),38)</f>
        <v>38</v>
      </c>
      <c r="J52" s="1">
        <f ca="1">IFERROR(__xludf.DUMMYFUNCTION("""COMPUTED_VALUE"""),65)</f>
        <v>65</v>
      </c>
      <c r="K52" s="1">
        <f ca="1">IFERROR(__xludf.DUMMYFUNCTION("""COMPUTED_VALUE"""),194)</f>
        <v>194</v>
      </c>
      <c r="L52" s="1" t="str">
        <f ca="1">IFERROR(__xludf.DUMMYFUNCTION("""COMPUTED_VALUE"""),"+.012")</f>
        <v>+.012</v>
      </c>
      <c r="M52" s="1">
        <f ca="1">IFERROR(__xludf.DUMMYFUNCTION("""COMPUTED_VALUE"""),139)</f>
        <v>139</v>
      </c>
      <c r="N52" s="1">
        <f ca="1">IFERROR(__xludf.DUMMYFUNCTION("""COMPUTED_VALUE"""),-1.77)</f>
        <v>-1.77</v>
      </c>
      <c r="O52" s="1">
        <f ca="1">IFERROR(__xludf.DUMMYFUNCTION("""COMPUTED_VALUE"""),193)</f>
        <v>193</v>
      </c>
      <c r="P52" s="1">
        <f ca="1">IFERROR(__xludf.DUMMYFUNCTION("""COMPUTED_VALUE"""),103.2)</f>
        <v>103.2</v>
      </c>
      <c r="Q52" s="1">
        <f ca="1">IFERROR(__xludf.DUMMYFUNCTION("""COMPUTED_VALUE"""),177)</f>
        <v>177</v>
      </c>
      <c r="R52" s="1">
        <f ca="1">IFERROR(__xludf.DUMMYFUNCTION("""COMPUTED_VALUE"""),105)</f>
        <v>105</v>
      </c>
      <c r="S52" s="1">
        <f ca="1">IFERROR(__xludf.DUMMYFUNCTION("""COMPUTED_VALUE"""),220)</f>
        <v>220</v>
      </c>
      <c r="T52" s="1" t="str">
        <f ca="1">IFERROR(__xludf.DUMMYFUNCTION("""COMPUTED_VALUE"""),"+1.31")</f>
        <v>+1.31</v>
      </c>
      <c r="U52" s="1">
        <f ca="1">IFERROR(__xludf.DUMMYFUNCTION("""COMPUTED_VALUE"""),130)</f>
        <v>130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IFERROR(__xludf.DUMMYFUNCTION("""COMPUTED_VALUE"""),"Boise St.")</f>
        <v>Boise St.</v>
      </c>
      <c r="C53" s="1" t="str">
        <f ca="1">IFERROR(__xludf.DUMMYFUNCTION("""COMPUTED_VALUE"""),"WAC")</f>
        <v>WAC</v>
      </c>
      <c r="D53" s="1" t="str">
        <f ca="1">IFERROR(__xludf.DUMMYFUNCTION("""COMPUTED_VALUE"""),"23-10")</f>
        <v>23-10</v>
      </c>
      <c r="E53" s="1" t="str">
        <f ca="1">IFERROR(__xludf.DUMMYFUNCTION("""COMPUTED_VALUE"""),"+13.13")</f>
        <v>+13.13</v>
      </c>
      <c r="F53" s="1">
        <f ca="1">IFERROR(__xludf.DUMMYFUNCTION("""COMPUTED_VALUE"""),109.6)</f>
        <v>109.6</v>
      </c>
      <c r="G53" s="1">
        <f ca="1">IFERROR(__xludf.DUMMYFUNCTION("""COMPUTED_VALUE"""),65)</f>
        <v>65</v>
      </c>
      <c r="H53" s="1">
        <f ca="1">IFERROR(__xludf.DUMMYFUNCTION("""COMPUTED_VALUE"""),96.5)</f>
        <v>96.5</v>
      </c>
      <c r="I53" s="1">
        <f ca="1">IFERROR(__xludf.DUMMYFUNCTION("""COMPUTED_VALUE"""),47)</f>
        <v>47</v>
      </c>
      <c r="J53" s="1">
        <f ca="1">IFERROR(__xludf.DUMMYFUNCTION("""COMPUTED_VALUE"""),66.7)</f>
        <v>66.7</v>
      </c>
      <c r="K53" s="1">
        <f ca="1">IFERROR(__xludf.DUMMYFUNCTION("""COMPUTED_VALUE"""),125)</f>
        <v>125</v>
      </c>
      <c r="L53" s="1" t="str">
        <f ca="1">IFERROR(__xludf.DUMMYFUNCTION("""COMPUTED_VALUE"""),"+.028")</f>
        <v>+.028</v>
      </c>
      <c r="M53" s="1">
        <f ca="1">IFERROR(__xludf.DUMMYFUNCTION("""COMPUTED_VALUE"""),95)</f>
        <v>95</v>
      </c>
      <c r="N53" s="1" t="str">
        <f ca="1">IFERROR(__xludf.DUMMYFUNCTION("""COMPUTED_VALUE"""),"+4.87")</f>
        <v>+4.87</v>
      </c>
      <c r="O53" s="1">
        <f ca="1">IFERROR(__xludf.DUMMYFUNCTION("""COMPUTED_VALUE"""),83)</f>
        <v>83</v>
      </c>
      <c r="P53" s="1">
        <f ca="1">IFERROR(__xludf.DUMMYFUNCTION("""COMPUTED_VALUE"""),106.2)</f>
        <v>106.2</v>
      </c>
      <c r="Q53" s="1">
        <f ca="1">IFERROR(__xludf.DUMMYFUNCTION("""COMPUTED_VALUE"""),74)</f>
        <v>74</v>
      </c>
      <c r="R53" s="1">
        <f ca="1">IFERROR(__xludf.DUMMYFUNCTION("""COMPUTED_VALUE"""),101.4)</f>
        <v>101.4</v>
      </c>
      <c r="S53" s="1">
        <f ca="1">IFERROR(__xludf.DUMMYFUNCTION("""COMPUTED_VALUE"""),94)</f>
        <v>94</v>
      </c>
      <c r="T53" s="1">
        <f ca="1">IFERROR(__xludf.DUMMYFUNCTION("""COMPUTED_VALUE"""),-0.79)</f>
        <v>-0.79</v>
      </c>
      <c r="U53" s="1">
        <f ca="1">IFERROR(__xludf.DUMMYFUNCTION("""COMPUTED_VALUE"""),186)</f>
        <v>186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IFERROR(__xludf.DUMMYFUNCTION("""COMPUTED_VALUE"""),"George Washington")</f>
        <v>George Washington</v>
      </c>
      <c r="C54" s="1" t="str">
        <f ca="1">IFERROR(__xludf.DUMMYFUNCTION("""COMPUTED_VALUE"""),"A10")</f>
        <v>A10</v>
      </c>
      <c r="D54" s="1" t="str">
        <f ca="1">IFERROR(__xludf.DUMMYFUNCTION("""COMPUTED_VALUE"""),"18-12")</f>
        <v>18-12</v>
      </c>
      <c r="E54" s="1" t="str">
        <f ca="1">IFERROR(__xludf.DUMMYFUNCTION("""COMPUTED_VALUE"""),"+13.08")</f>
        <v>+13.08</v>
      </c>
      <c r="F54" s="1">
        <f ca="1">IFERROR(__xludf.DUMMYFUNCTION("""COMPUTED_VALUE"""),112.6)</f>
        <v>112.6</v>
      </c>
      <c r="G54" s="1">
        <f ca="1">IFERROR(__xludf.DUMMYFUNCTION("""COMPUTED_VALUE"""),35)</f>
        <v>35</v>
      </c>
      <c r="H54" s="1">
        <f ca="1">IFERROR(__xludf.DUMMYFUNCTION("""COMPUTED_VALUE"""),99.5)</f>
        <v>99.5</v>
      </c>
      <c r="I54" s="1">
        <f ca="1">IFERROR(__xludf.DUMMYFUNCTION("""COMPUTED_VALUE"""),94)</f>
        <v>94</v>
      </c>
      <c r="J54" s="1">
        <f ca="1">IFERROR(__xludf.DUMMYFUNCTION("""COMPUTED_VALUE"""),68.3)</f>
        <v>68.3</v>
      </c>
      <c r="K54" s="1">
        <f ca="1">IFERROR(__xludf.DUMMYFUNCTION("""COMPUTED_VALUE"""),69)</f>
        <v>69</v>
      </c>
      <c r="L54" s="1">
        <f ca="1">IFERROR(__xludf.DUMMYFUNCTION("""COMPUTED_VALUE"""),-0.032)</f>
        <v>-3.2000000000000001E-2</v>
      </c>
      <c r="M54" s="1">
        <f ca="1">IFERROR(__xludf.DUMMYFUNCTION("""COMPUTED_VALUE"""),239)</f>
        <v>239</v>
      </c>
      <c r="N54" s="1" t="str">
        <f ca="1">IFERROR(__xludf.DUMMYFUNCTION("""COMPUTED_VALUE"""),"+5.32")</f>
        <v>+5.32</v>
      </c>
      <c r="O54" s="1">
        <f ca="1">IFERROR(__xludf.DUMMYFUNCTION("""COMPUTED_VALUE"""),76)</f>
        <v>76</v>
      </c>
      <c r="P54" s="1">
        <f ca="1">IFERROR(__xludf.DUMMYFUNCTION("""COMPUTED_VALUE"""),105.6)</f>
        <v>105.6</v>
      </c>
      <c r="Q54" s="1">
        <f ca="1">IFERROR(__xludf.DUMMYFUNCTION("""COMPUTED_VALUE"""),89)</f>
        <v>89</v>
      </c>
      <c r="R54" s="1">
        <f ca="1">IFERROR(__xludf.DUMMYFUNCTION("""COMPUTED_VALUE"""),100.3)</f>
        <v>100.3</v>
      </c>
      <c r="S54" s="1">
        <f ca="1">IFERROR(__xludf.DUMMYFUNCTION("""COMPUTED_VALUE"""),55)</f>
        <v>55</v>
      </c>
      <c r="T54" s="1" t="str">
        <f ca="1">IFERROR(__xludf.DUMMYFUNCTION("""COMPUTED_VALUE"""),"+1.78")</f>
        <v>+1.78</v>
      </c>
      <c r="U54" s="1">
        <f ca="1">IFERROR(__xludf.DUMMYFUNCTION("""COMPUTED_VALUE"""),118)</f>
        <v>118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IFERROR(__xludf.DUMMYFUNCTION("""COMPUTED_VALUE"""),"Missouri")</f>
        <v>Missouri</v>
      </c>
      <c r="C55" s="1" t="str">
        <f ca="1">IFERROR(__xludf.DUMMYFUNCTION("""COMPUTED_VALUE"""),"B12")</f>
        <v>B12</v>
      </c>
      <c r="D55" s="1" t="str">
        <f ca="1">IFERROR(__xludf.DUMMYFUNCTION("""COMPUTED_VALUE"""),"16-14")</f>
        <v>16-14</v>
      </c>
      <c r="E55" s="1" t="str">
        <f ca="1">IFERROR(__xludf.DUMMYFUNCTION("""COMPUTED_VALUE"""),"+13.08")</f>
        <v>+13.08</v>
      </c>
      <c r="F55" s="1">
        <f ca="1">IFERROR(__xludf.DUMMYFUNCTION("""COMPUTED_VALUE"""),113.5)</f>
        <v>113.5</v>
      </c>
      <c r="G55" s="1">
        <f ca="1">IFERROR(__xludf.DUMMYFUNCTION("""COMPUTED_VALUE"""),27)</f>
        <v>27</v>
      </c>
      <c r="H55" s="1">
        <f ca="1">IFERROR(__xludf.DUMMYFUNCTION("""COMPUTED_VALUE"""),100.4)</f>
        <v>100.4</v>
      </c>
      <c r="I55" s="1">
        <f ca="1">IFERROR(__xludf.DUMMYFUNCTION("""COMPUTED_VALUE"""),109)</f>
        <v>109</v>
      </c>
      <c r="J55" s="1">
        <f ca="1">IFERROR(__xludf.DUMMYFUNCTION("""COMPUTED_VALUE"""),65.6)</f>
        <v>65.599999999999994</v>
      </c>
      <c r="K55" s="1">
        <f ca="1">IFERROR(__xludf.DUMMYFUNCTION("""COMPUTED_VALUE"""),170)</f>
        <v>170</v>
      </c>
      <c r="L55" s="1">
        <f ca="1">IFERROR(__xludf.DUMMYFUNCTION("""COMPUTED_VALUE"""),-0.02)</f>
        <v>-0.02</v>
      </c>
      <c r="M55" s="1">
        <f ca="1">IFERROR(__xludf.DUMMYFUNCTION("""COMPUTED_VALUE"""),217)</f>
        <v>217</v>
      </c>
      <c r="N55" s="1" t="str">
        <f ca="1">IFERROR(__xludf.DUMMYFUNCTION("""COMPUTED_VALUE"""),"+10.44")</f>
        <v>+10.44</v>
      </c>
      <c r="O55" s="1">
        <f ca="1">IFERROR(__xludf.DUMMYFUNCTION("""COMPUTED_VALUE"""),10)</f>
        <v>10</v>
      </c>
      <c r="P55" s="1">
        <f ca="1">IFERROR(__xludf.DUMMYFUNCTION("""COMPUTED_VALUE"""),109.2)</f>
        <v>109.2</v>
      </c>
      <c r="Q55" s="1">
        <f ca="1">IFERROR(__xludf.DUMMYFUNCTION("""COMPUTED_VALUE"""),9)</f>
        <v>9</v>
      </c>
      <c r="R55" s="1">
        <f ca="1">IFERROR(__xludf.DUMMYFUNCTION("""COMPUTED_VALUE"""),98.7)</f>
        <v>98.7</v>
      </c>
      <c r="S55" s="1">
        <f ca="1">IFERROR(__xludf.DUMMYFUNCTION("""COMPUTED_VALUE"""),13)</f>
        <v>13</v>
      </c>
      <c r="T55" s="1" t="str">
        <f ca="1">IFERROR(__xludf.DUMMYFUNCTION("""COMPUTED_VALUE"""),"+6.91")</f>
        <v>+6.91</v>
      </c>
      <c r="U55" s="1">
        <f ca="1">IFERROR(__xludf.DUMMYFUNCTION("""COMPUTED_VALUE"""),27)</f>
        <v>27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IFERROR(__xludf.DUMMYFUNCTION("""COMPUTED_VALUE"""),"Notre Dame")</f>
        <v>Notre Dame</v>
      </c>
      <c r="C56" s="1" t="str">
        <f ca="1">IFERROR(__xludf.DUMMYFUNCTION("""COMPUTED_VALUE"""),"BE")</f>
        <v>BE</v>
      </c>
      <c r="D56" s="1" t="str">
        <f ca="1">IFERROR(__xludf.DUMMYFUNCTION("""COMPUTED_VALUE"""),"19-13")</f>
        <v>19-13</v>
      </c>
      <c r="E56" s="1" t="str">
        <f ca="1">IFERROR(__xludf.DUMMYFUNCTION("""COMPUTED_VALUE"""),"+13.03")</f>
        <v>+13.03</v>
      </c>
      <c r="F56" s="1">
        <f ca="1">IFERROR(__xludf.DUMMYFUNCTION("""COMPUTED_VALUE"""),113.4)</f>
        <v>113.4</v>
      </c>
      <c r="G56" s="1">
        <f ca="1">IFERROR(__xludf.DUMMYFUNCTION("""COMPUTED_VALUE"""),29)</f>
        <v>29</v>
      </c>
      <c r="H56" s="1">
        <f ca="1">IFERROR(__xludf.DUMMYFUNCTION("""COMPUTED_VALUE"""),100.4)</f>
        <v>100.4</v>
      </c>
      <c r="I56" s="1">
        <f ca="1">IFERROR(__xludf.DUMMYFUNCTION("""COMPUTED_VALUE"""),107)</f>
        <v>107</v>
      </c>
      <c r="J56" s="1">
        <f ca="1">IFERROR(__xludf.DUMMYFUNCTION("""COMPUTED_VALUE"""),64.6)</f>
        <v>64.599999999999994</v>
      </c>
      <c r="K56" s="1">
        <f ca="1">IFERROR(__xludf.DUMMYFUNCTION("""COMPUTED_VALUE"""),210)</f>
        <v>210</v>
      </c>
      <c r="L56" s="1">
        <f ca="1">IFERROR(__xludf.DUMMYFUNCTION("""COMPUTED_VALUE"""),-0.024)</f>
        <v>-2.4E-2</v>
      </c>
      <c r="M56" s="1">
        <f ca="1">IFERROR(__xludf.DUMMYFUNCTION("""COMPUTED_VALUE"""),225)</f>
        <v>225</v>
      </c>
      <c r="N56" s="1" t="str">
        <f ca="1">IFERROR(__xludf.DUMMYFUNCTION("""COMPUTED_VALUE"""),"+7.27")</f>
        <v>+7.27</v>
      </c>
      <c r="O56" s="1">
        <f ca="1">IFERROR(__xludf.DUMMYFUNCTION("""COMPUTED_VALUE"""),33)</f>
        <v>33</v>
      </c>
      <c r="P56" s="1">
        <f ca="1">IFERROR(__xludf.DUMMYFUNCTION("""COMPUTED_VALUE"""),107.1)</f>
        <v>107.1</v>
      </c>
      <c r="Q56" s="1">
        <f ca="1">IFERROR(__xludf.DUMMYFUNCTION("""COMPUTED_VALUE"""),40)</f>
        <v>40</v>
      </c>
      <c r="R56" s="1">
        <f ca="1">IFERROR(__xludf.DUMMYFUNCTION("""COMPUTED_VALUE"""),99.8)</f>
        <v>99.8</v>
      </c>
      <c r="S56" s="1">
        <f ca="1">IFERROR(__xludf.DUMMYFUNCTION("""COMPUTED_VALUE"""),32)</f>
        <v>32</v>
      </c>
      <c r="T56" s="1">
        <f ca="1">IFERROR(__xludf.DUMMYFUNCTION("""COMPUTED_VALUE"""),-4.15)</f>
        <v>-4.1500000000000004</v>
      </c>
      <c r="U56" s="1">
        <f ca="1">IFERROR(__xludf.DUMMYFUNCTION("""COMPUTED_VALUE"""),251)</f>
        <v>251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IFERROR(__xludf.DUMMYFUNCTION("""COMPUTED_VALUE"""),"Villanova")</f>
        <v>Villanova</v>
      </c>
      <c r="C57" s="1" t="str">
        <f ca="1">IFERROR(__xludf.DUMMYFUNCTION("""COMPUTED_VALUE"""),"BE")</f>
        <v>BE</v>
      </c>
      <c r="D57" s="1" t="str">
        <f ca="1">IFERROR(__xludf.DUMMYFUNCTION("""COMPUTED_VALUE"""),"18-17")</f>
        <v>18-17</v>
      </c>
      <c r="E57" s="1" t="str">
        <f ca="1">IFERROR(__xludf.DUMMYFUNCTION("""COMPUTED_VALUE"""),"+12.43")</f>
        <v>+12.43</v>
      </c>
      <c r="F57" s="1">
        <f ca="1">IFERROR(__xludf.DUMMYFUNCTION("""COMPUTED_VALUE"""),110.8)</f>
        <v>110.8</v>
      </c>
      <c r="G57" s="1">
        <f ca="1">IFERROR(__xludf.DUMMYFUNCTION("""COMPUTED_VALUE"""),53)</f>
        <v>53</v>
      </c>
      <c r="H57" s="1">
        <f ca="1">IFERROR(__xludf.DUMMYFUNCTION("""COMPUTED_VALUE"""),98.3)</f>
        <v>98.3</v>
      </c>
      <c r="I57" s="1">
        <f ca="1">IFERROR(__xludf.DUMMYFUNCTION("""COMPUTED_VALUE"""),70)</f>
        <v>70</v>
      </c>
      <c r="J57" s="1">
        <f ca="1">IFERROR(__xludf.DUMMYFUNCTION("""COMPUTED_VALUE"""),65.3)</f>
        <v>65.3</v>
      </c>
      <c r="K57" s="1">
        <f ca="1">IFERROR(__xludf.DUMMYFUNCTION("""COMPUTED_VALUE"""),187)</f>
        <v>187</v>
      </c>
      <c r="L57" s="1">
        <f ca="1">IFERROR(__xludf.DUMMYFUNCTION("""COMPUTED_VALUE"""),-0.05)</f>
        <v>-0.05</v>
      </c>
      <c r="M57" s="1">
        <f ca="1">IFERROR(__xludf.DUMMYFUNCTION("""COMPUTED_VALUE"""),267)</f>
        <v>267</v>
      </c>
      <c r="N57" s="1" t="str">
        <f ca="1">IFERROR(__xludf.DUMMYFUNCTION("""COMPUTED_VALUE"""),"+9.22")</f>
        <v>+9.22</v>
      </c>
      <c r="O57" s="1">
        <f ca="1">IFERROR(__xludf.DUMMYFUNCTION("""COMPUTED_VALUE"""),15)</f>
        <v>15</v>
      </c>
      <c r="P57" s="1">
        <f ca="1">IFERROR(__xludf.DUMMYFUNCTION("""COMPUTED_VALUE"""),108.2)</f>
        <v>108.2</v>
      </c>
      <c r="Q57" s="1">
        <f ca="1">IFERROR(__xludf.DUMMYFUNCTION("""COMPUTED_VALUE"""),17)</f>
        <v>17</v>
      </c>
      <c r="R57" s="1">
        <f ca="1">IFERROR(__xludf.DUMMYFUNCTION("""COMPUTED_VALUE"""),99)</f>
        <v>99</v>
      </c>
      <c r="S57" s="1">
        <f ca="1">IFERROR(__xludf.DUMMYFUNCTION("""COMPUTED_VALUE"""),17)</f>
        <v>17</v>
      </c>
      <c r="T57" s="1" t="str">
        <f ca="1">IFERROR(__xludf.DUMMYFUNCTION("""COMPUTED_VALUE"""),"+4.61")</f>
        <v>+4.61</v>
      </c>
      <c r="U57" s="1">
        <f ca="1">IFERROR(__xludf.DUMMYFUNCTION("""COMPUTED_VALUE"""),52)</f>
        <v>52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IFERROR(__xludf.DUMMYFUNCTION("""COMPUTED_VALUE"""),"Colorado")</f>
        <v>Colorado</v>
      </c>
      <c r="C58" s="1" t="str">
        <f ca="1">IFERROR(__xludf.DUMMYFUNCTION("""COMPUTED_VALUE"""),"B12")</f>
        <v>B12</v>
      </c>
      <c r="D58" s="1" t="str">
        <f ca="1">IFERROR(__xludf.DUMMYFUNCTION("""COMPUTED_VALUE"""),"18-11")</f>
        <v>18-11</v>
      </c>
      <c r="E58" s="1" t="str">
        <f ca="1">IFERROR(__xludf.DUMMYFUNCTION("""COMPUTED_VALUE"""),"+11.77")</f>
        <v>+11.77</v>
      </c>
      <c r="F58" s="1">
        <f ca="1">IFERROR(__xludf.DUMMYFUNCTION("""COMPUTED_VALUE"""),111.3)</f>
        <v>111.3</v>
      </c>
      <c r="G58" s="1">
        <f ca="1">IFERROR(__xludf.DUMMYFUNCTION("""COMPUTED_VALUE"""),48)</f>
        <v>48</v>
      </c>
      <c r="H58" s="1">
        <f ca="1">IFERROR(__xludf.DUMMYFUNCTION("""COMPUTED_VALUE"""),99.5)</f>
        <v>99.5</v>
      </c>
      <c r="I58" s="1">
        <f ca="1">IFERROR(__xludf.DUMMYFUNCTION("""COMPUTED_VALUE"""),93)</f>
        <v>93</v>
      </c>
      <c r="J58" s="1">
        <f ca="1">IFERROR(__xludf.DUMMYFUNCTION("""COMPUTED_VALUE"""),68.1)</f>
        <v>68.099999999999994</v>
      </c>
      <c r="K58" s="1">
        <f ca="1">IFERROR(__xludf.DUMMYFUNCTION("""COMPUTED_VALUE"""),80)</f>
        <v>80</v>
      </c>
      <c r="L58" s="1" t="str">
        <f ca="1">IFERROR(__xludf.DUMMYFUNCTION("""COMPUTED_VALUE"""),"+.034")</f>
        <v>+.034</v>
      </c>
      <c r="M58" s="1">
        <f ca="1">IFERROR(__xludf.DUMMYFUNCTION("""COMPUTED_VALUE"""),83)</f>
        <v>83</v>
      </c>
      <c r="N58" s="1" t="str">
        <f ca="1">IFERROR(__xludf.DUMMYFUNCTION("""COMPUTED_VALUE"""),"+8.21")</f>
        <v>+8.21</v>
      </c>
      <c r="O58" s="1">
        <f ca="1">IFERROR(__xludf.DUMMYFUNCTION("""COMPUTED_VALUE"""),25)</f>
        <v>25</v>
      </c>
      <c r="P58" s="1">
        <f ca="1">IFERROR(__xludf.DUMMYFUNCTION("""COMPUTED_VALUE"""),108)</f>
        <v>108</v>
      </c>
      <c r="Q58" s="1">
        <f ca="1">IFERROR(__xludf.DUMMYFUNCTION("""COMPUTED_VALUE"""),22)</f>
        <v>22</v>
      </c>
      <c r="R58" s="1">
        <f ca="1">IFERROR(__xludf.DUMMYFUNCTION("""COMPUTED_VALUE"""),99.8)</f>
        <v>99.8</v>
      </c>
      <c r="S58" s="1">
        <f ca="1">IFERROR(__xludf.DUMMYFUNCTION("""COMPUTED_VALUE"""),33)</f>
        <v>33</v>
      </c>
      <c r="T58" s="1">
        <f ca="1">IFERROR(__xludf.DUMMYFUNCTION("""COMPUTED_VALUE"""),-0.15)</f>
        <v>-0.15</v>
      </c>
      <c r="U58" s="1">
        <f ca="1">IFERROR(__xludf.DUMMYFUNCTION("""COMPUTED_VALUE"""),168)</f>
        <v>168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IFERROR(__xludf.DUMMYFUNCTION("""COMPUTED_VALUE"""),"Wichita St.")</f>
        <v>Wichita St.</v>
      </c>
      <c r="C59" s="1" t="str">
        <f ca="1">IFERROR(__xludf.DUMMYFUNCTION("""COMPUTED_VALUE"""),"MVC")</f>
        <v>MVC</v>
      </c>
      <c r="D59" s="1" t="str">
        <f ca="1">IFERROR(__xludf.DUMMYFUNCTION("""COMPUTED_VALUE"""),"21-11")</f>
        <v>21-11</v>
      </c>
      <c r="E59" s="1" t="str">
        <f ca="1">IFERROR(__xludf.DUMMYFUNCTION("""COMPUTED_VALUE"""),"+11.64")</f>
        <v>+11.64</v>
      </c>
      <c r="F59" s="1">
        <f ca="1">IFERROR(__xludf.DUMMYFUNCTION("""COMPUTED_VALUE"""),109.9)</f>
        <v>109.9</v>
      </c>
      <c r="G59" s="1">
        <f ca="1">IFERROR(__xludf.DUMMYFUNCTION("""COMPUTED_VALUE"""),61)</f>
        <v>61</v>
      </c>
      <c r="H59" s="1">
        <f ca="1">IFERROR(__xludf.DUMMYFUNCTION("""COMPUTED_VALUE"""),98.3)</f>
        <v>98.3</v>
      </c>
      <c r="I59" s="1">
        <f ca="1">IFERROR(__xludf.DUMMYFUNCTION("""COMPUTED_VALUE"""),69)</f>
        <v>69</v>
      </c>
      <c r="J59" s="1">
        <f ca="1">IFERROR(__xludf.DUMMYFUNCTION("""COMPUTED_VALUE"""),65.9)</f>
        <v>65.900000000000006</v>
      </c>
      <c r="K59" s="1">
        <f ca="1">IFERROR(__xludf.DUMMYFUNCTION("""COMPUTED_VALUE"""),161)</f>
        <v>161</v>
      </c>
      <c r="L59" s="1">
        <f ca="1">IFERROR(__xludf.DUMMYFUNCTION("""COMPUTED_VALUE"""),-0.075)</f>
        <v>-7.4999999999999997E-2</v>
      </c>
      <c r="M59" s="1">
        <f ca="1">IFERROR(__xludf.DUMMYFUNCTION("""COMPUTED_VALUE"""),300)</f>
        <v>300</v>
      </c>
      <c r="N59" s="1" t="str">
        <f ca="1">IFERROR(__xludf.DUMMYFUNCTION("""COMPUTED_VALUE"""),"+1.87")</f>
        <v>+1.87</v>
      </c>
      <c r="O59" s="1">
        <f ca="1">IFERROR(__xludf.DUMMYFUNCTION("""COMPUTED_VALUE"""),125)</f>
        <v>125</v>
      </c>
      <c r="P59" s="1">
        <f ca="1">IFERROR(__xludf.DUMMYFUNCTION("""COMPUTED_VALUE"""),103.5)</f>
        <v>103.5</v>
      </c>
      <c r="Q59" s="1">
        <f ca="1">IFERROR(__xludf.DUMMYFUNCTION("""COMPUTED_VALUE"""),159)</f>
        <v>159</v>
      </c>
      <c r="R59" s="1">
        <f ca="1">IFERROR(__xludf.DUMMYFUNCTION("""COMPUTED_VALUE"""),101.6)</f>
        <v>101.6</v>
      </c>
      <c r="S59" s="1">
        <f ca="1">IFERROR(__xludf.DUMMYFUNCTION("""COMPUTED_VALUE"""),100)</f>
        <v>100</v>
      </c>
      <c r="T59" s="1">
        <f ca="1">IFERROR(__xludf.DUMMYFUNCTION("""COMPUTED_VALUE"""),-0.76)</f>
        <v>-0.76</v>
      </c>
      <c r="U59" s="1">
        <f ca="1">IFERROR(__xludf.DUMMYFUNCTION("""COMPUTED_VALUE"""),183)</f>
        <v>183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IFERROR(__xludf.DUMMYFUNCTION("""COMPUTED_VALUE"""),"Oklahoma")</f>
        <v>Oklahoma</v>
      </c>
      <c r="C60" s="1" t="str">
        <f ca="1">IFERROR(__xludf.DUMMYFUNCTION("""COMPUTED_VALUE"""),"B12")</f>
        <v>B12</v>
      </c>
      <c r="D60" s="1" t="str">
        <f ca="1">IFERROR(__xludf.DUMMYFUNCTION("""COMPUTED_VALUE"""),"20-11")</f>
        <v>20-11</v>
      </c>
      <c r="E60" s="1" t="str">
        <f ca="1">IFERROR(__xludf.DUMMYFUNCTION("""COMPUTED_VALUE"""),"+11.61")</f>
        <v>+11.61</v>
      </c>
      <c r="F60" s="1">
        <f ca="1">IFERROR(__xludf.DUMMYFUNCTION("""COMPUTED_VALUE"""),104.5)</f>
        <v>104.5</v>
      </c>
      <c r="G60" s="1">
        <f ca="1">IFERROR(__xludf.DUMMYFUNCTION("""COMPUTED_VALUE"""),137)</f>
        <v>137</v>
      </c>
      <c r="H60" s="1">
        <f ca="1">IFERROR(__xludf.DUMMYFUNCTION("""COMPUTED_VALUE"""),92.9)</f>
        <v>92.9</v>
      </c>
      <c r="I60" s="1">
        <f ca="1">IFERROR(__xludf.DUMMYFUNCTION("""COMPUTED_VALUE"""),16)</f>
        <v>16</v>
      </c>
      <c r="J60" s="1">
        <f ca="1">IFERROR(__xludf.DUMMYFUNCTION("""COMPUTED_VALUE"""),63.6)</f>
        <v>63.6</v>
      </c>
      <c r="K60" s="1">
        <f ca="1">IFERROR(__xludf.DUMMYFUNCTION("""COMPUTED_VALUE"""),247)</f>
        <v>247</v>
      </c>
      <c r="L60" s="1" t="str">
        <f ca="1">IFERROR(__xludf.DUMMYFUNCTION("""COMPUTED_VALUE"""),"+.059")</f>
        <v>+.059</v>
      </c>
      <c r="M60" s="1">
        <f ca="1">IFERROR(__xludf.DUMMYFUNCTION("""COMPUTED_VALUE"""),43)</f>
        <v>43</v>
      </c>
      <c r="N60" s="1" t="str">
        <f ca="1">IFERROR(__xludf.DUMMYFUNCTION("""COMPUTED_VALUE"""),"+6.68")</f>
        <v>+6.68</v>
      </c>
      <c r="O60" s="1">
        <f ca="1">IFERROR(__xludf.DUMMYFUNCTION("""COMPUTED_VALUE"""),43)</f>
        <v>43</v>
      </c>
      <c r="P60" s="1">
        <f ca="1">IFERROR(__xludf.DUMMYFUNCTION("""COMPUTED_VALUE"""),107)</f>
        <v>107</v>
      </c>
      <c r="Q60" s="1">
        <f ca="1">IFERROR(__xludf.DUMMYFUNCTION("""COMPUTED_VALUE"""),41)</f>
        <v>41</v>
      </c>
      <c r="R60" s="1">
        <f ca="1">IFERROR(__xludf.DUMMYFUNCTION("""COMPUTED_VALUE"""),100.4)</f>
        <v>100.4</v>
      </c>
      <c r="S60" s="1">
        <f ca="1">IFERROR(__xludf.DUMMYFUNCTION("""COMPUTED_VALUE"""),59)</f>
        <v>59</v>
      </c>
      <c r="T60" s="1">
        <f ca="1">IFERROR(__xludf.DUMMYFUNCTION("""COMPUTED_VALUE"""),-6.56)</f>
        <v>-6.56</v>
      </c>
      <c r="U60" s="1">
        <f ca="1">IFERROR(__xludf.DUMMYFUNCTION("""COMPUTED_VALUE"""),287)</f>
        <v>287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IFERROR(__xludf.DUMMYFUNCTION("""COMPUTED_VALUE"""),"Purdue")</f>
        <v>Purdue</v>
      </c>
      <c r="C61" s="1" t="str">
        <f ca="1">IFERROR(__xludf.DUMMYFUNCTION("""COMPUTED_VALUE"""),"B10")</f>
        <v>B10</v>
      </c>
      <c r="D61" s="1" t="str">
        <f ca="1">IFERROR(__xludf.DUMMYFUNCTION("""COMPUTED_VALUE"""),"17-14")</f>
        <v>17-14</v>
      </c>
      <c r="E61" s="1" t="str">
        <f ca="1">IFERROR(__xludf.DUMMYFUNCTION("""COMPUTED_VALUE"""),"+11.60")</f>
        <v>+11.60</v>
      </c>
      <c r="F61" s="1">
        <f ca="1">IFERROR(__xludf.DUMMYFUNCTION("""COMPUTED_VALUE"""),104.6)</f>
        <v>104.6</v>
      </c>
      <c r="G61" s="1">
        <f ca="1">IFERROR(__xludf.DUMMYFUNCTION("""COMPUTED_VALUE"""),133)</f>
        <v>133</v>
      </c>
      <c r="H61" s="1">
        <f ca="1">IFERROR(__xludf.DUMMYFUNCTION("""COMPUTED_VALUE"""),93)</f>
        <v>93</v>
      </c>
      <c r="I61" s="1">
        <f ca="1">IFERROR(__xludf.DUMMYFUNCTION("""COMPUTED_VALUE"""),18)</f>
        <v>18</v>
      </c>
      <c r="J61" s="1">
        <f ca="1">IFERROR(__xludf.DUMMYFUNCTION("""COMPUTED_VALUE"""),62.7)</f>
        <v>62.7</v>
      </c>
      <c r="K61" s="1">
        <f ca="1">IFERROR(__xludf.DUMMYFUNCTION("""COMPUTED_VALUE"""),280)</f>
        <v>280</v>
      </c>
      <c r="L61" s="1">
        <f ca="1">IFERROR(__xludf.DUMMYFUNCTION("""COMPUTED_VALUE"""),-0.066)</f>
        <v>-6.6000000000000003E-2</v>
      </c>
      <c r="M61" s="1">
        <f ca="1">IFERROR(__xludf.DUMMYFUNCTION("""COMPUTED_VALUE"""),288)</f>
        <v>288</v>
      </c>
      <c r="N61" s="1" t="str">
        <f ca="1">IFERROR(__xludf.DUMMYFUNCTION("""COMPUTED_VALUE"""),"+5.31")</f>
        <v>+5.31</v>
      </c>
      <c r="O61" s="1">
        <f ca="1">IFERROR(__xludf.DUMMYFUNCTION("""COMPUTED_VALUE"""),78)</f>
        <v>78</v>
      </c>
      <c r="P61" s="1">
        <f ca="1">IFERROR(__xludf.DUMMYFUNCTION("""COMPUTED_VALUE"""),106.9)</f>
        <v>106.9</v>
      </c>
      <c r="Q61" s="1">
        <f ca="1">IFERROR(__xludf.DUMMYFUNCTION("""COMPUTED_VALUE"""),44)</f>
        <v>44</v>
      </c>
      <c r="R61" s="1">
        <f ca="1">IFERROR(__xludf.DUMMYFUNCTION("""COMPUTED_VALUE"""),101.6)</f>
        <v>101.6</v>
      </c>
      <c r="S61" s="1">
        <f ca="1">IFERROR(__xludf.DUMMYFUNCTION("""COMPUTED_VALUE"""),99)</f>
        <v>99</v>
      </c>
      <c r="T61" s="1">
        <f ca="1">IFERROR(__xludf.DUMMYFUNCTION("""COMPUTED_VALUE"""),-2.7)</f>
        <v>-2.7</v>
      </c>
      <c r="U61" s="1">
        <f ca="1">IFERROR(__xludf.DUMMYFUNCTION("""COMPUTED_VALUE"""),232)</f>
        <v>232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IFERROR(__xludf.DUMMYFUNCTION("""COMPUTED_VALUE"""),"DePaul7")</f>
        <v>DePaul7</v>
      </c>
      <c r="C62" s="1" t="str">
        <f ca="1">IFERROR(__xludf.DUMMYFUNCTION("""COMPUTED_VALUE"""),"CUSA")</f>
        <v>CUSA</v>
      </c>
      <c r="D62" s="1" t="str">
        <f ca="1">IFERROR(__xludf.DUMMYFUNCTION("""COMPUTED_VALUE"""),"22-10")</f>
        <v>22-10</v>
      </c>
      <c r="E62" s="1" t="str">
        <f ca="1">IFERROR(__xludf.DUMMYFUNCTION("""COMPUTED_VALUE"""),"+11.36")</f>
        <v>+11.36</v>
      </c>
      <c r="F62" s="1">
        <f ca="1">IFERROR(__xludf.DUMMYFUNCTION("""COMPUTED_VALUE"""),113)</f>
        <v>113</v>
      </c>
      <c r="G62" s="1">
        <f ca="1">IFERROR(__xludf.DUMMYFUNCTION("""COMPUTED_VALUE"""),33)</f>
        <v>33</v>
      </c>
      <c r="H62" s="1">
        <f ca="1">IFERROR(__xludf.DUMMYFUNCTION("""COMPUTED_VALUE"""),101.6)</f>
        <v>101.6</v>
      </c>
      <c r="I62" s="1">
        <f ca="1">IFERROR(__xludf.DUMMYFUNCTION("""COMPUTED_VALUE"""),132)</f>
        <v>132</v>
      </c>
      <c r="J62" s="1">
        <f ca="1">IFERROR(__xludf.DUMMYFUNCTION("""COMPUTED_VALUE"""),63.2)</f>
        <v>63.2</v>
      </c>
      <c r="K62" s="1">
        <f ca="1">IFERROR(__xludf.DUMMYFUNCTION("""COMPUTED_VALUE"""),267)</f>
        <v>267</v>
      </c>
      <c r="L62" s="1" t="str">
        <f ca="1">IFERROR(__xludf.DUMMYFUNCTION("""COMPUTED_VALUE"""),"+.091")</f>
        <v>+.091</v>
      </c>
      <c r="M62" s="1">
        <f ca="1">IFERROR(__xludf.DUMMYFUNCTION("""COMPUTED_VALUE"""),17)</f>
        <v>17</v>
      </c>
      <c r="N62" s="1" t="str">
        <f ca="1">IFERROR(__xludf.DUMMYFUNCTION("""COMPUTED_VALUE"""),"+5.83")</f>
        <v>+5.83</v>
      </c>
      <c r="O62" s="1">
        <f ca="1">IFERROR(__xludf.DUMMYFUNCTION("""COMPUTED_VALUE"""),62)</f>
        <v>62</v>
      </c>
      <c r="P62" s="1">
        <f ca="1">IFERROR(__xludf.DUMMYFUNCTION("""COMPUTED_VALUE"""),106.4)</f>
        <v>106.4</v>
      </c>
      <c r="Q62" s="1">
        <f ca="1">IFERROR(__xludf.DUMMYFUNCTION("""COMPUTED_VALUE"""),64)</f>
        <v>64</v>
      </c>
      <c r="R62" s="1">
        <f ca="1">IFERROR(__xludf.DUMMYFUNCTION("""COMPUTED_VALUE"""),100.6)</f>
        <v>100.6</v>
      </c>
      <c r="S62" s="1">
        <f ca="1">IFERROR(__xludf.DUMMYFUNCTION("""COMPUTED_VALUE"""),71)</f>
        <v>71</v>
      </c>
      <c r="T62" s="1">
        <f ca="1">IFERROR(__xludf.DUMMYFUNCTION("""COMPUTED_VALUE"""),-0.62)</f>
        <v>-0.62</v>
      </c>
      <c r="U62" s="1">
        <f ca="1">IFERROR(__xludf.DUMMYFUNCTION("""COMPUTED_VALUE"""),180)</f>
        <v>180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IFERROR(__xludf.DUMMYFUNCTION("""COMPUTED_VALUE"""),"Saint Mary's")</f>
        <v>Saint Mary's</v>
      </c>
      <c r="C63" s="1" t="str">
        <f ca="1">IFERROR(__xludf.DUMMYFUNCTION("""COMPUTED_VALUE"""),"WCC")</f>
        <v>WCC</v>
      </c>
      <c r="D63" s="1" t="str">
        <f ca="1">IFERROR(__xludf.DUMMYFUNCTION("""COMPUTED_VALUE"""),"19-12")</f>
        <v>19-12</v>
      </c>
      <c r="E63" s="1" t="str">
        <f ca="1">IFERROR(__xludf.DUMMYFUNCTION("""COMPUTED_VALUE"""),"+10.92")</f>
        <v>+10.92</v>
      </c>
      <c r="F63" s="1">
        <f ca="1">IFERROR(__xludf.DUMMYFUNCTION("""COMPUTED_VALUE"""),110.5)</f>
        <v>110.5</v>
      </c>
      <c r="G63" s="1">
        <f ca="1">IFERROR(__xludf.DUMMYFUNCTION("""COMPUTED_VALUE"""),57)</f>
        <v>57</v>
      </c>
      <c r="H63" s="1">
        <f ca="1">IFERROR(__xludf.DUMMYFUNCTION("""COMPUTED_VALUE"""),99.6)</f>
        <v>99.6</v>
      </c>
      <c r="I63" s="1">
        <f ca="1">IFERROR(__xludf.DUMMYFUNCTION("""COMPUTED_VALUE"""),95)</f>
        <v>95</v>
      </c>
      <c r="J63" s="1">
        <f ca="1">IFERROR(__xludf.DUMMYFUNCTION("""COMPUTED_VALUE"""),66.3)</f>
        <v>66.3</v>
      </c>
      <c r="K63" s="1">
        <f ca="1">IFERROR(__xludf.DUMMYFUNCTION("""COMPUTED_VALUE"""),141)</f>
        <v>141</v>
      </c>
      <c r="L63" s="1">
        <f ca="1">IFERROR(__xludf.DUMMYFUNCTION("""COMPUTED_VALUE"""),-0.083)</f>
        <v>-8.3000000000000004E-2</v>
      </c>
      <c r="M63" s="1">
        <f ca="1">IFERROR(__xludf.DUMMYFUNCTION("""COMPUTED_VALUE"""),308)</f>
        <v>308</v>
      </c>
      <c r="N63" s="1" t="str">
        <f ca="1">IFERROR(__xludf.DUMMYFUNCTION("""COMPUTED_VALUE"""),"+1.47")</f>
        <v>+1.47</v>
      </c>
      <c r="O63" s="1">
        <f ca="1">IFERROR(__xludf.DUMMYFUNCTION("""COMPUTED_VALUE"""),135)</f>
        <v>135</v>
      </c>
      <c r="P63" s="1">
        <f ca="1">IFERROR(__xludf.DUMMYFUNCTION("""COMPUTED_VALUE"""),105.5)</f>
        <v>105.5</v>
      </c>
      <c r="Q63" s="1">
        <f ca="1">IFERROR(__xludf.DUMMYFUNCTION("""COMPUTED_VALUE"""),92)</f>
        <v>92</v>
      </c>
      <c r="R63" s="1">
        <f ca="1">IFERROR(__xludf.DUMMYFUNCTION("""COMPUTED_VALUE"""),104)</f>
        <v>104</v>
      </c>
      <c r="S63" s="1">
        <f ca="1">IFERROR(__xludf.DUMMYFUNCTION("""COMPUTED_VALUE"""),178)</f>
        <v>178</v>
      </c>
      <c r="T63" s="1" t="str">
        <f ca="1">IFERROR(__xludf.DUMMYFUNCTION("""COMPUTED_VALUE"""),"+1.19")</f>
        <v>+1.19</v>
      </c>
      <c r="U63" s="1">
        <f ca="1">IFERROR(__xludf.DUMMYFUNCTION("""COMPUTED_VALUE"""),132)</f>
        <v>132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IFERROR(__xludf.DUMMYFUNCTION("""COMPUTED_VALUE"""),"Washington8")</f>
        <v>Washington8</v>
      </c>
      <c r="C64" s="1" t="str">
        <f ca="1">IFERROR(__xludf.DUMMYFUNCTION("""COMPUTED_VALUE"""),"P10")</f>
        <v>P10</v>
      </c>
      <c r="D64" s="1" t="str">
        <f ca="1">IFERROR(__xludf.DUMMYFUNCTION("""COMPUTED_VALUE"""),"19-12")</f>
        <v>19-12</v>
      </c>
      <c r="E64" s="1" t="str">
        <f ca="1">IFERROR(__xludf.DUMMYFUNCTION("""COMPUTED_VALUE"""),"+10.78")</f>
        <v>+10.78</v>
      </c>
      <c r="F64" s="1">
        <f ca="1">IFERROR(__xludf.DUMMYFUNCTION("""COMPUTED_VALUE"""),113.1)</f>
        <v>113.1</v>
      </c>
      <c r="G64" s="1">
        <f ca="1">IFERROR(__xludf.DUMMYFUNCTION("""COMPUTED_VALUE"""),30)</f>
        <v>30</v>
      </c>
      <c r="H64" s="1">
        <f ca="1">IFERROR(__xludf.DUMMYFUNCTION("""COMPUTED_VALUE"""),102.3)</f>
        <v>102.3</v>
      </c>
      <c r="I64" s="1">
        <f ca="1">IFERROR(__xludf.DUMMYFUNCTION("""COMPUTED_VALUE"""),152)</f>
        <v>152</v>
      </c>
      <c r="J64" s="1">
        <f ca="1">IFERROR(__xludf.DUMMYFUNCTION("""COMPUTED_VALUE"""),73.5)</f>
        <v>73.5</v>
      </c>
      <c r="K64" s="1">
        <f ca="1">IFERROR(__xludf.DUMMYFUNCTION("""COMPUTED_VALUE"""),1)</f>
        <v>1</v>
      </c>
      <c r="L64" s="1" t="str">
        <f ca="1">IFERROR(__xludf.DUMMYFUNCTION("""COMPUTED_VALUE"""),"+.031")</f>
        <v>+.031</v>
      </c>
      <c r="M64" s="1">
        <f ca="1">IFERROR(__xludf.DUMMYFUNCTION("""COMPUTED_VALUE"""),88)</f>
        <v>88</v>
      </c>
      <c r="N64" s="1" t="str">
        <f ca="1">IFERROR(__xludf.DUMMYFUNCTION("""COMPUTED_VALUE"""),"+6.16")</f>
        <v>+6.16</v>
      </c>
      <c r="O64" s="1">
        <f ca="1">IFERROR(__xludf.DUMMYFUNCTION("""COMPUTED_VALUE"""),52)</f>
        <v>52</v>
      </c>
      <c r="P64" s="1">
        <f ca="1">IFERROR(__xludf.DUMMYFUNCTION("""COMPUTED_VALUE"""),106.6)</f>
        <v>106.6</v>
      </c>
      <c r="Q64" s="1">
        <f ca="1">IFERROR(__xludf.DUMMYFUNCTION("""COMPUTED_VALUE"""),58)</f>
        <v>58</v>
      </c>
      <c r="R64" s="1">
        <f ca="1">IFERROR(__xludf.DUMMYFUNCTION("""COMPUTED_VALUE"""),100.4)</f>
        <v>100.4</v>
      </c>
      <c r="S64" s="1">
        <f ca="1">IFERROR(__xludf.DUMMYFUNCTION("""COMPUTED_VALUE"""),63)</f>
        <v>63</v>
      </c>
      <c r="T64" s="1" t="str">
        <f ca="1">IFERROR(__xludf.DUMMYFUNCTION("""COMPUTED_VALUE"""),"+2.14")</f>
        <v>+2.14</v>
      </c>
      <c r="U64" s="1">
        <f ca="1">IFERROR(__xludf.DUMMYFUNCTION("""COMPUTED_VALUE"""),107)</f>
        <v>107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IFERROR(__xludf.DUMMYFUNCTION("""COMPUTED_VALUE"""),"Murray St.12")</f>
        <v>Murray St.12</v>
      </c>
      <c r="C65" s="1" t="str">
        <f ca="1">IFERROR(__xludf.DUMMYFUNCTION("""COMPUTED_VALUE"""),"OVC")</f>
        <v>OVC</v>
      </c>
      <c r="D65" s="1" t="str">
        <f ca="1">IFERROR(__xludf.DUMMYFUNCTION("""COMPUTED_VALUE"""),"28-6")</f>
        <v>28-6</v>
      </c>
      <c r="E65" s="1" t="str">
        <f ca="1">IFERROR(__xludf.DUMMYFUNCTION("""COMPUTED_VALUE"""),"+10.62")</f>
        <v>+10.62</v>
      </c>
      <c r="F65" s="1">
        <f ca="1">IFERROR(__xludf.DUMMYFUNCTION("""COMPUTED_VALUE"""),110.5)</f>
        <v>110.5</v>
      </c>
      <c r="G65" s="1">
        <f ca="1">IFERROR(__xludf.DUMMYFUNCTION("""COMPUTED_VALUE"""),56)</f>
        <v>56</v>
      </c>
      <c r="H65" s="1">
        <f ca="1">IFERROR(__xludf.DUMMYFUNCTION("""COMPUTED_VALUE"""),99.9)</f>
        <v>99.9</v>
      </c>
      <c r="I65" s="1">
        <f ca="1">IFERROR(__xludf.DUMMYFUNCTION("""COMPUTED_VALUE"""),101)</f>
        <v>101</v>
      </c>
      <c r="J65" s="1">
        <f ca="1">IFERROR(__xludf.DUMMYFUNCTION("""COMPUTED_VALUE"""),68.7)</f>
        <v>68.7</v>
      </c>
      <c r="K65" s="1">
        <f ca="1">IFERROR(__xludf.DUMMYFUNCTION("""COMPUTED_VALUE"""),59)</f>
        <v>59</v>
      </c>
      <c r="L65" s="1" t="str">
        <f ca="1">IFERROR(__xludf.DUMMYFUNCTION("""COMPUTED_VALUE"""),"+.064")</f>
        <v>+.064</v>
      </c>
      <c r="M65" s="1">
        <f ca="1">IFERROR(__xludf.DUMMYFUNCTION("""COMPUTED_VALUE"""),38)</f>
        <v>38</v>
      </c>
      <c r="N65" s="1">
        <f ca="1">IFERROR(__xludf.DUMMYFUNCTION("""COMPUTED_VALUE"""),-3.8)</f>
        <v>-3.8</v>
      </c>
      <c r="O65" s="1">
        <f ca="1">IFERROR(__xludf.DUMMYFUNCTION("""COMPUTED_VALUE"""),233)</f>
        <v>233</v>
      </c>
      <c r="P65" s="1">
        <f ca="1">IFERROR(__xludf.DUMMYFUNCTION("""COMPUTED_VALUE"""),103.1)</f>
        <v>103.1</v>
      </c>
      <c r="Q65" s="1">
        <f ca="1">IFERROR(__xludf.DUMMYFUNCTION("""COMPUTED_VALUE"""),180)</f>
        <v>180</v>
      </c>
      <c r="R65" s="1">
        <f ca="1">IFERROR(__xludf.DUMMYFUNCTION("""COMPUTED_VALUE"""),106.9)</f>
        <v>106.9</v>
      </c>
      <c r="S65" s="1">
        <f ca="1">IFERROR(__xludf.DUMMYFUNCTION("""COMPUTED_VALUE"""),296)</f>
        <v>296</v>
      </c>
      <c r="T65" s="1" t="str">
        <f ca="1">IFERROR(__xludf.DUMMYFUNCTION("""COMPUTED_VALUE"""),"+1.25")</f>
        <v>+1.25</v>
      </c>
      <c r="U65" s="1">
        <f ca="1">IFERROR(__xludf.DUMMYFUNCTION("""COMPUTED_VALUE"""),131)</f>
        <v>131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IFERROR(__xludf.DUMMYFUNCTION("""COMPUTED_VALUE"""),"Milwaukee")</f>
        <v>Milwaukee</v>
      </c>
      <c r="C66" s="1" t="str">
        <f ca="1">IFERROR(__xludf.DUMMYFUNCTION("""COMPUTED_VALUE"""),"Horz")</f>
        <v>Horz</v>
      </c>
      <c r="D66" s="1" t="str">
        <f ca="1">IFERROR(__xludf.DUMMYFUNCTION("""COMPUTED_VALUE"""),"20-11")</f>
        <v>20-11</v>
      </c>
      <c r="E66" s="1" t="str">
        <f ca="1">IFERROR(__xludf.DUMMYFUNCTION("""COMPUTED_VALUE"""),"+10.52")</f>
        <v>+10.52</v>
      </c>
      <c r="F66" s="1">
        <f ca="1">IFERROR(__xludf.DUMMYFUNCTION("""COMPUTED_VALUE"""),112.2)</f>
        <v>112.2</v>
      </c>
      <c r="G66" s="1">
        <f ca="1">IFERROR(__xludf.DUMMYFUNCTION("""COMPUTED_VALUE"""),41)</f>
        <v>41</v>
      </c>
      <c r="H66" s="1">
        <f ca="1">IFERROR(__xludf.DUMMYFUNCTION("""COMPUTED_VALUE"""),101.7)</f>
        <v>101.7</v>
      </c>
      <c r="I66" s="1">
        <f ca="1">IFERROR(__xludf.DUMMYFUNCTION("""COMPUTED_VALUE"""),137)</f>
        <v>137</v>
      </c>
      <c r="J66" s="1">
        <f ca="1">IFERROR(__xludf.DUMMYFUNCTION("""COMPUTED_VALUE"""),70.4)</f>
        <v>70.400000000000006</v>
      </c>
      <c r="K66" s="1">
        <f ca="1">IFERROR(__xludf.DUMMYFUNCTION("""COMPUTED_VALUE"""),25)</f>
        <v>25</v>
      </c>
      <c r="L66" s="1">
        <f ca="1">IFERROR(__xludf.DUMMYFUNCTION("""COMPUTED_VALUE"""),-0.024)</f>
        <v>-2.4E-2</v>
      </c>
      <c r="M66" s="1">
        <f ca="1">IFERROR(__xludf.DUMMYFUNCTION("""COMPUTED_VALUE"""),224)</f>
        <v>224</v>
      </c>
      <c r="N66" s="1" t="str">
        <f ca="1">IFERROR(__xludf.DUMMYFUNCTION("""COMPUTED_VALUE"""),"+2.29")</f>
        <v>+2.29</v>
      </c>
      <c r="O66" s="1">
        <f ca="1">IFERROR(__xludf.DUMMYFUNCTION("""COMPUTED_VALUE"""),116)</f>
        <v>116</v>
      </c>
      <c r="P66" s="1">
        <f ca="1">IFERROR(__xludf.DUMMYFUNCTION("""COMPUTED_VALUE"""),104.1)</f>
        <v>104.1</v>
      </c>
      <c r="Q66" s="1">
        <f ca="1">IFERROR(__xludf.DUMMYFUNCTION("""COMPUTED_VALUE"""),140)</f>
        <v>140</v>
      </c>
      <c r="R66" s="1">
        <f ca="1">IFERROR(__xludf.DUMMYFUNCTION("""COMPUTED_VALUE"""),101.8)</f>
        <v>101.8</v>
      </c>
      <c r="S66" s="1">
        <f ca="1">IFERROR(__xludf.DUMMYFUNCTION("""COMPUTED_VALUE"""),107)</f>
        <v>107</v>
      </c>
      <c r="T66" s="1" t="str">
        <f ca="1">IFERROR(__xludf.DUMMYFUNCTION("""COMPUTED_VALUE"""),"+6.22")</f>
        <v>+6.22</v>
      </c>
      <c r="U66" s="1">
        <f ca="1">IFERROR(__xludf.DUMMYFUNCTION("""COMPUTED_VALUE"""),34)</f>
        <v>34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IFERROR(__xludf.DUMMYFUNCTION("""COMPUTED_VALUE"""),"Illinois Chicago13")</f>
        <v>Illinois Chicago13</v>
      </c>
      <c r="C67" s="1" t="str">
        <f ca="1">IFERROR(__xludf.DUMMYFUNCTION("""COMPUTED_VALUE"""),"Horz")</f>
        <v>Horz</v>
      </c>
      <c r="D67" s="1" t="str">
        <f ca="1">IFERROR(__xludf.DUMMYFUNCTION("""COMPUTED_VALUE"""),"24-8")</f>
        <v>24-8</v>
      </c>
      <c r="E67" s="1" t="str">
        <f ca="1">IFERROR(__xludf.DUMMYFUNCTION("""COMPUTED_VALUE"""),"+10.39")</f>
        <v>+10.39</v>
      </c>
      <c r="F67" s="1">
        <f ca="1">IFERROR(__xludf.DUMMYFUNCTION("""COMPUTED_VALUE"""),107.5)</f>
        <v>107.5</v>
      </c>
      <c r="G67" s="1">
        <f ca="1">IFERROR(__xludf.DUMMYFUNCTION("""COMPUTED_VALUE"""),86)</f>
        <v>86</v>
      </c>
      <c r="H67" s="1">
        <f ca="1">IFERROR(__xludf.DUMMYFUNCTION("""COMPUTED_VALUE"""),97.1)</f>
        <v>97.1</v>
      </c>
      <c r="I67" s="1">
        <f ca="1">IFERROR(__xludf.DUMMYFUNCTION("""COMPUTED_VALUE"""),54)</f>
        <v>54</v>
      </c>
      <c r="J67" s="1">
        <f ca="1">IFERROR(__xludf.DUMMYFUNCTION("""COMPUTED_VALUE"""),64.6)</f>
        <v>64.599999999999994</v>
      </c>
      <c r="K67" s="1">
        <f ca="1">IFERROR(__xludf.DUMMYFUNCTION("""COMPUTED_VALUE"""),208)</f>
        <v>208</v>
      </c>
      <c r="L67" s="1" t="str">
        <f ca="1">IFERROR(__xludf.DUMMYFUNCTION("""COMPUTED_VALUE"""),"+.037")</f>
        <v>+.037</v>
      </c>
      <c r="M67" s="1">
        <f ca="1">IFERROR(__xludf.DUMMYFUNCTION("""COMPUTED_VALUE"""),78)</f>
        <v>78</v>
      </c>
      <c r="N67" s="1">
        <f ca="1">IFERROR(__xludf.DUMMYFUNCTION("""COMPUTED_VALUE"""),-0.52)</f>
        <v>-0.52</v>
      </c>
      <c r="O67" s="1">
        <f ca="1">IFERROR(__xludf.DUMMYFUNCTION("""COMPUTED_VALUE"""),171)</f>
        <v>171</v>
      </c>
      <c r="P67" s="1">
        <f ca="1">IFERROR(__xludf.DUMMYFUNCTION("""COMPUTED_VALUE"""),103.6)</f>
        <v>103.6</v>
      </c>
      <c r="Q67" s="1">
        <f ca="1">IFERROR(__xludf.DUMMYFUNCTION("""COMPUTED_VALUE"""),153)</f>
        <v>153</v>
      </c>
      <c r="R67" s="1">
        <f ca="1">IFERROR(__xludf.DUMMYFUNCTION("""COMPUTED_VALUE"""),104.1)</f>
        <v>104.1</v>
      </c>
      <c r="S67" s="1">
        <f ca="1">IFERROR(__xludf.DUMMYFUNCTION("""COMPUTED_VALUE"""),182)</f>
        <v>182</v>
      </c>
      <c r="T67" s="1">
        <f ca="1">IFERROR(__xludf.DUMMYFUNCTION("""COMPUTED_VALUE"""),-2.97)</f>
        <v>-2.97</v>
      </c>
      <c r="U67" s="1">
        <f ca="1">IFERROR(__xludf.DUMMYFUNCTION("""COMPUTED_VALUE"""),236)</f>
        <v>236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IFERROR(__xludf.DUMMYFUNCTION("""COMPUTED_VALUE"""),"Iowa St.")</f>
        <v>Iowa St.</v>
      </c>
      <c r="C68" s="1" t="str">
        <f ca="1">IFERROR(__xludf.DUMMYFUNCTION("""COMPUTED_VALUE"""),"B12")</f>
        <v>B12</v>
      </c>
      <c r="D68" s="1" t="str">
        <f ca="1">IFERROR(__xludf.DUMMYFUNCTION("""COMPUTED_VALUE"""),"20-13")</f>
        <v>20-13</v>
      </c>
      <c r="E68" s="1" t="str">
        <f ca="1">IFERROR(__xludf.DUMMYFUNCTION("""COMPUTED_VALUE"""),"+10.37")</f>
        <v>+10.37</v>
      </c>
      <c r="F68" s="1">
        <f ca="1">IFERROR(__xludf.DUMMYFUNCTION("""COMPUTED_VALUE"""),109.2)</f>
        <v>109.2</v>
      </c>
      <c r="G68" s="1">
        <f ca="1">IFERROR(__xludf.DUMMYFUNCTION("""COMPUTED_VALUE"""),69)</f>
        <v>69</v>
      </c>
      <c r="H68" s="1">
        <f ca="1">IFERROR(__xludf.DUMMYFUNCTION("""COMPUTED_VALUE"""),98.8)</f>
        <v>98.8</v>
      </c>
      <c r="I68" s="1">
        <f ca="1">IFERROR(__xludf.DUMMYFUNCTION("""COMPUTED_VALUE"""),83)</f>
        <v>83</v>
      </c>
      <c r="J68" s="1">
        <f ca="1">IFERROR(__xludf.DUMMYFUNCTION("""COMPUTED_VALUE"""),69.7)</f>
        <v>69.7</v>
      </c>
      <c r="K68" s="1">
        <f ca="1">IFERROR(__xludf.DUMMYFUNCTION("""COMPUTED_VALUE"""),34)</f>
        <v>34</v>
      </c>
      <c r="L68" s="1" t="str">
        <f ca="1">IFERROR(__xludf.DUMMYFUNCTION("""COMPUTED_VALUE"""),"+.064")</f>
        <v>+.064</v>
      </c>
      <c r="M68" s="1">
        <f ca="1">IFERROR(__xludf.DUMMYFUNCTION("""COMPUTED_VALUE"""),35)</f>
        <v>35</v>
      </c>
      <c r="N68" s="1" t="str">
        <f ca="1">IFERROR(__xludf.DUMMYFUNCTION("""COMPUTED_VALUE"""),"+8.62")</f>
        <v>+8.62</v>
      </c>
      <c r="O68" s="1">
        <f ca="1">IFERROR(__xludf.DUMMYFUNCTION("""COMPUTED_VALUE"""),22)</f>
        <v>22</v>
      </c>
      <c r="P68" s="1">
        <f ca="1">IFERROR(__xludf.DUMMYFUNCTION("""COMPUTED_VALUE"""),108.1)</f>
        <v>108.1</v>
      </c>
      <c r="Q68" s="1">
        <f ca="1">IFERROR(__xludf.DUMMYFUNCTION("""COMPUTED_VALUE"""),18)</f>
        <v>18</v>
      </c>
      <c r="R68" s="1">
        <f ca="1">IFERROR(__xludf.DUMMYFUNCTION("""COMPUTED_VALUE"""),99.5)</f>
        <v>99.5</v>
      </c>
      <c r="S68" s="1">
        <f ca="1">IFERROR(__xludf.DUMMYFUNCTION("""COMPUTED_VALUE"""),24)</f>
        <v>24</v>
      </c>
      <c r="T68" s="1">
        <f ca="1">IFERROR(__xludf.DUMMYFUNCTION("""COMPUTED_VALUE"""),-0.48)</f>
        <v>-0.48</v>
      </c>
      <c r="U68" s="1">
        <f ca="1">IFERROR(__xludf.DUMMYFUNCTION("""COMPUTED_VALUE"""),176)</f>
        <v>176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IFERROR(__xludf.DUMMYFUNCTION("""COMPUTED_VALUE"""),"Creighton")</f>
        <v>Creighton</v>
      </c>
      <c r="C69" s="1" t="str">
        <f ca="1">IFERROR(__xludf.DUMMYFUNCTION("""COMPUTED_VALUE"""),"MVC")</f>
        <v>MVC</v>
      </c>
      <c r="D69" s="1" t="str">
        <f ca="1">IFERROR(__xludf.DUMMYFUNCTION("""COMPUTED_VALUE"""),"20-9")</f>
        <v>20-9</v>
      </c>
      <c r="E69" s="1" t="str">
        <f ca="1">IFERROR(__xludf.DUMMYFUNCTION("""COMPUTED_VALUE"""),"+10.36")</f>
        <v>+10.36</v>
      </c>
      <c r="F69" s="1">
        <f ca="1">IFERROR(__xludf.DUMMYFUNCTION("""COMPUTED_VALUE"""),108.2)</f>
        <v>108.2</v>
      </c>
      <c r="G69" s="1">
        <f ca="1">IFERROR(__xludf.DUMMYFUNCTION("""COMPUTED_VALUE"""),78)</f>
        <v>78</v>
      </c>
      <c r="H69" s="1">
        <f ca="1">IFERROR(__xludf.DUMMYFUNCTION("""COMPUTED_VALUE"""),97.8)</f>
        <v>97.8</v>
      </c>
      <c r="I69" s="1">
        <f ca="1">IFERROR(__xludf.DUMMYFUNCTION("""COMPUTED_VALUE"""),62)</f>
        <v>62</v>
      </c>
      <c r="J69" s="1">
        <f ca="1">IFERROR(__xludf.DUMMYFUNCTION("""COMPUTED_VALUE"""),63.4)</f>
        <v>63.4</v>
      </c>
      <c r="K69" s="1">
        <f ca="1">IFERROR(__xludf.DUMMYFUNCTION("""COMPUTED_VALUE"""),256)</f>
        <v>256</v>
      </c>
      <c r="L69" s="1" t="str">
        <f ca="1">IFERROR(__xludf.DUMMYFUNCTION("""COMPUTED_VALUE"""),"+.006")</f>
        <v>+.006</v>
      </c>
      <c r="M69" s="1">
        <f ca="1">IFERROR(__xludf.DUMMYFUNCTION("""COMPUTED_VALUE"""),155)</f>
        <v>155</v>
      </c>
      <c r="N69" s="1" t="str">
        <f ca="1">IFERROR(__xludf.DUMMYFUNCTION("""COMPUTED_VALUE"""),"+1.13")</f>
        <v>+1.13</v>
      </c>
      <c r="O69" s="1">
        <f ca="1">IFERROR(__xludf.DUMMYFUNCTION("""COMPUTED_VALUE"""),140)</f>
        <v>140</v>
      </c>
      <c r="P69" s="1">
        <f ca="1">IFERROR(__xludf.DUMMYFUNCTION("""COMPUTED_VALUE"""),103.5)</f>
        <v>103.5</v>
      </c>
      <c r="Q69" s="1">
        <f ca="1">IFERROR(__xludf.DUMMYFUNCTION("""COMPUTED_VALUE"""),160)</f>
        <v>160</v>
      </c>
      <c r="R69" s="1">
        <f ca="1">IFERROR(__xludf.DUMMYFUNCTION("""COMPUTED_VALUE"""),102.3)</f>
        <v>102.3</v>
      </c>
      <c r="S69" s="1">
        <f ca="1">IFERROR(__xludf.DUMMYFUNCTION("""COMPUTED_VALUE"""),122)</f>
        <v>122</v>
      </c>
      <c r="T69" s="1">
        <f ca="1">IFERROR(__xludf.DUMMYFUNCTION("""COMPUTED_VALUE"""),-4.4)</f>
        <v>-4.4000000000000004</v>
      </c>
      <c r="U69" s="1">
        <f ca="1">IFERROR(__xludf.DUMMYFUNCTION("""COMPUTED_VALUE"""),258)</f>
        <v>258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IFERROR(__xludf.DUMMYFUNCTION("""COMPUTED_VALUE"""),"Virginia")</f>
        <v>Virginia</v>
      </c>
      <c r="C70" s="1" t="str">
        <f ca="1">IFERROR(__xludf.DUMMYFUNCTION("""COMPUTED_VALUE"""),"ACC")</f>
        <v>ACC</v>
      </c>
      <c r="D70" s="1" t="str">
        <f ca="1">IFERROR(__xludf.DUMMYFUNCTION("""COMPUTED_VALUE"""),"18-13")</f>
        <v>18-13</v>
      </c>
      <c r="E70" s="1" t="str">
        <f ca="1">IFERROR(__xludf.DUMMYFUNCTION("""COMPUTED_VALUE"""),"+10.27")</f>
        <v>+10.27</v>
      </c>
      <c r="F70" s="1">
        <f ca="1">IFERROR(__xludf.DUMMYFUNCTION("""COMPUTED_VALUE"""),109.3)</f>
        <v>109.3</v>
      </c>
      <c r="G70" s="1">
        <f ca="1">IFERROR(__xludf.DUMMYFUNCTION("""COMPUTED_VALUE"""),67)</f>
        <v>67</v>
      </c>
      <c r="H70" s="1">
        <f ca="1">IFERROR(__xludf.DUMMYFUNCTION("""COMPUTED_VALUE"""),99.1)</f>
        <v>99.1</v>
      </c>
      <c r="I70" s="1">
        <f ca="1">IFERROR(__xludf.DUMMYFUNCTION("""COMPUTED_VALUE"""),87)</f>
        <v>87</v>
      </c>
      <c r="J70" s="1">
        <f ca="1">IFERROR(__xludf.DUMMYFUNCTION("""COMPUTED_VALUE"""),68.7)</f>
        <v>68.7</v>
      </c>
      <c r="K70" s="1">
        <f ca="1">IFERROR(__xludf.DUMMYFUNCTION("""COMPUTED_VALUE"""),60)</f>
        <v>60</v>
      </c>
      <c r="L70" s="1" t="str">
        <f ca="1">IFERROR(__xludf.DUMMYFUNCTION("""COMPUTED_VALUE"""),"+.100")</f>
        <v>+.100</v>
      </c>
      <c r="M70" s="1">
        <f ca="1">IFERROR(__xludf.DUMMYFUNCTION("""COMPUTED_VALUE"""),10)</f>
        <v>10</v>
      </c>
      <c r="N70" s="1" t="str">
        <f ca="1">IFERROR(__xludf.DUMMYFUNCTION("""COMPUTED_VALUE"""),"+10.68")</f>
        <v>+10.68</v>
      </c>
      <c r="O70" s="1">
        <f ca="1">IFERROR(__xludf.DUMMYFUNCTION("""COMPUTED_VALUE"""),9)</f>
        <v>9</v>
      </c>
      <c r="P70" s="1">
        <f ca="1">IFERROR(__xludf.DUMMYFUNCTION("""COMPUTED_VALUE"""),108.8)</f>
        <v>108.8</v>
      </c>
      <c r="Q70" s="1">
        <f ca="1">IFERROR(__xludf.DUMMYFUNCTION("""COMPUTED_VALUE"""),14)</f>
        <v>14</v>
      </c>
      <c r="R70" s="1">
        <f ca="1">IFERROR(__xludf.DUMMYFUNCTION("""COMPUTED_VALUE"""),98.1)</f>
        <v>98.1</v>
      </c>
      <c r="S70" s="1">
        <f ca="1">IFERROR(__xludf.DUMMYFUNCTION("""COMPUTED_VALUE"""),9)</f>
        <v>9</v>
      </c>
      <c r="T70" s="1">
        <f ca="1">IFERROR(__xludf.DUMMYFUNCTION("""COMPUTED_VALUE"""),-7.81)</f>
        <v>-7.81</v>
      </c>
      <c r="U70" s="1">
        <f ca="1">IFERROR(__xludf.DUMMYFUNCTION("""COMPUTED_VALUE"""),301)</f>
        <v>301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IFERROR(__xludf.DUMMYFUNCTION("""COMPUTED_VALUE"""),"Louisiana Lafayette14")</f>
        <v>Louisiana Lafayette14</v>
      </c>
      <c r="C71" s="1" t="str">
        <f ca="1">IFERROR(__xludf.DUMMYFUNCTION("""COMPUTED_VALUE"""),"SB")</f>
        <v>SB</v>
      </c>
      <c r="D71" s="1" t="str">
        <f ca="1">IFERROR(__xludf.DUMMYFUNCTION("""COMPUTED_VALUE"""),"20-9")</f>
        <v>20-9</v>
      </c>
      <c r="E71" s="1" t="str">
        <f ca="1">IFERROR(__xludf.DUMMYFUNCTION("""COMPUTED_VALUE"""),"+10.23")</f>
        <v>+10.23</v>
      </c>
      <c r="F71" s="1">
        <f ca="1">IFERROR(__xludf.DUMMYFUNCTION("""COMPUTED_VALUE"""),109.2)</f>
        <v>109.2</v>
      </c>
      <c r="G71" s="1">
        <f ca="1">IFERROR(__xludf.DUMMYFUNCTION("""COMPUTED_VALUE"""),68)</f>
        <v>68</v>
      </c>
      <c r="H71" s="1">
        <f ca="1">IFERROR(__xludf.DUMMYFUNCTION("""COMPUTED_VALUE"""),99)</f>
        <v>99</v>
      </c>
      <c r="I71" s="1">
        <f ca="1">IFERROR(__xludf.DUMMYFUNCTION("""COMPUTED_VALUE"""),85)</f>
        <v>85</v>
      </c>
      <c r="J71" s="1">
        <f ca="1">IFERROR(__xludf.DUMMYFUNCTION("""COMPUTED_VALUE"""),69.1)</f>
        <v>69.099999999999994</v>
      </c>
      <c r="K71" s="1">
        <f ca="1">IFERROR(__xludf.DUMMYFUNCTION("""COMPUTED_VALUE"""),52)</f>
        <v>52</v>
      </c>
      <c r="L71" s="1" t="str">
        <f ca="1">IFERROR(__xludf.DUMMYFUNCTION("""COMPUTED_VALUE"""),"+.006")</f>
        <v>+.006</v>
      </c>
      <c r="M71" s="1">
        <f ca="1">IFERROR(__xludf.DUMMYFUNCTION("""COMPUTED_VALUE"""),154)</f>
        <v>154</v>
      </c>
      <c r="N71" s="1" t="str">
        <f ca="1">IFERROR(__xludf.DUMMYFUNCTION("""COMPUTED_VALUE"""),"+0.84")</f>
        <v>+0.84</v>
      </c>
      <c r="O71" s="1">
        <f ca="1">IFERROR(__xludf.DUMMYFUNCTION("""COMPUTED_VALUE"""),141)</f>
        <v>141</v>
      </c>
      <c r="P71" s="1">
        <f ca="1">IFERROR(__xludf.DUMMYFUNCTION("""COMPUTED_VALUE"""),103.8)</f>
        <v>103.8</v>
      </c>
      <c r="Q71" s="1">
        <f ca="1">IFERROR(__xludf.DUMMYFUNCTION("""COMPUTED_VALUE"""),150)</f>
        <v>150</v>
      </c>
      <c r="R71" s="1">
        <f ca="1">IFERROR(__xludf.DUMMYFUNCTION("""COMPUTED_VALUE"""),103)</f>
        <v>103</v>
      </c>
      <c r="S71" s="1">
        <f ca="1">IFERROR(__xludf.DUMMYFUNCTION("""COMPUTED_VALUE"""),141)</f>
        <v>141</v>
      </c>
      <c r="T71" s="1" t="str">
        <f ca="1">IFERROR(__xludf.DUMMYFUNCTION("""COMPUTED_VALUE"""),"+10.92")</f>
        <v>+10.92</v>
      </c>
      <c r="U71" s="1">
        <f ca="1">IFERROR(__xludf.DUMMYFUNCTION("""COMPUTED_VALUE"""),6)</f>
        <v>6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IFERROR(__xludf.DUMMYFUNCTION("""COMPUTED_VALUE"""),"Auburn")</f>
        <v>Auburn</v>
      </c>
      <c r="C72" s="1" t="str">
        <f ca="1">IFERROR(__xludf.DUMMYFUNCTION("""COMPUTED_VALUE"""),"SEC")</f>
        <v>SEC</v>
      </c>
      <c r="D72" s="1" t="str">
        <f ca="1">IFERROR(__xludf.DUMMYFUNCTION("""COMPUTED_VALUE"""),"14-14")</f>
        <v>14-14</v>
      </c>
      <c r="E72" s="1" t="str">
        <f ca="1">IFERROR(__xludf.DUMMYFUNCTION("""COMPUTED_VALUE"""),"+10.16")</f>
        <v>+10.16</v>
      </c>
      <c r="F72" s="1">
        <f ca="1">IFERROR(__xludf.DUMMYFUNCTION("""COMPUTED_VALUE"""),106.3)</f>
        <v>106.3</v>
      </c>
      <c r="G72" s="1">
        <f ca="1">IFERROR(__xludf.DUMMYFUNCTION("""COMPUTED_VALUE"""),105)</f>
        <v>105</v>
      </c>
      <c r="H72" s="1">
        <f ca="1">IFERROR(__xludf.DUMMYFUNCTION("""COMPUTED_VALUE"""),96.1)</f>
        <v>96.1</v>
      </c>
      <c r="I72" s="1">
        <f ca="1">IFERROR(__xludf.DUMMYFUNCTION("""COMPUTED_VALUE"""),45)</f>
        <v>45</v>
      </c>
      <c r="J72" s="1">
        <f ca="1">IFERROR(__xludf.DUMMYFUNCTION("""COMPUTED_VALUE"""),66.4)</f>
        <v>66.400000000000006</v>
      </c>
      <c r="K72" s="1">
        <f ca="1">IFERROR(__xludf.DUMMYFUNCTION("""COMPUTED_VALUE"""),136)</f>
        <v>136</v>
      </c>
      <c r="L72" s="1">
        <f ca="1">IFERROR(__xludf.DUMMYFUNCTION("""COMPUTED_VALUE"""),-0.097)</f>
        <v>-9.7000000000000003E-2</v>
      </c>
      <c r="M72" s="1">
        <f ca="1">IFERROR(__xludf.DUMMYFUNCTION("""COMPUTED_VALUE"""),315)</f>
        <v>315</v>
      </c>
      <c r="N72" s="1" t="str">
        <f ca="1">IFERROR(__xludf.DUMMYFUNCTION("""COMPUTED_VALUE"""),"+5.31")</f>
        <v>+5.31</v>
      </c>
      <c r="O72" s="1">
        <f ca="1">IFERROR(__xludf.DUMMYFUNCTION("""COMPUTED_VALUE"""),79)</f>
        <v>79</v>
      </c>
      <c r="P72" s="1">
        <f ca="1">IFERROR(__xludf.DUMMYFUNCTION("""COMPUTED_VALUE"""),106.3)</f>
        <v>106.3</v>
      </c>
      <c r="Q72" s="1">
        <f ca="1">IFERROR(__xludf.DUMMYFUNCTION("""COMPUTED_VALUE"""),70)</f>
        <v>70</v>
      </c>
      <c r="R72" s="1">
        <f ca="1">IFERROR(__xludf.DUMMYFUNCTION("""COMPUTED_VALUE"""),101)</f>
        <v>101</v>
      </c>
      <c r="S72" s="1">
        <f ca="1">IFERROR(__xludf.DUMMYFUNCTION("""COMPUTED_VALUE"""),84)</f>
        <v>84</v>
      </c>
      <c r="T72" s="1">
        <f ca="1">IFERROR(__xludf.DUMMYFUNCTION("""COMPUTED_VALUE"""),-6.32)</f>
        <v>-6.32</v>
      </c>
      <c r="U72" s="1">
        <f ca="1">IFERROR(__xludf.DUMMYFUNCTION("""COMPUTED_VALUE"""),281)</f>
        <v>281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IFERROR(__xludf.DUMMYFUNCTION("""COMPUTED_VALUE"""),"Iowa")</f>
        <v>Iowa</v>
      </c>
      <c r="C73" s="1" t="str">
        <f ca="1">IFERROR(__xludf.DUMMYFUNCTION("""COMPUTED_VALUE"""),"B10")</f>
        <v>B10</v>
      </c>
      <c r="D73" s="1" t="str">
        <f ca="1">IFERROR(__xludf.DUMMYFUNCTION("""COMPUTED_VALUE"""),"16-13")</f>
        <v>16-13</v>
      </c>
      <c r="E73" s="1" t="str">
        <f ca="1">IFERROR(__xludf.DUMMYFUNCTION("""COMPUTED_VALUE"""),"+10.10")</f>
        <v>+10.10</v>
      </c>
      <c r="F73" s="1">
        <f ca="1">IFERROR(__xludf.DUMMYFUNCTION("""COMPUTED_VALUE"""),106.7)</f>
        <v>106.7</v>
      </c>
      <c r="G73" s="1">
        <f ca="1">IFERROR(__xludf.DUMMYFUNCTION("""COMPUTED_VALUE"""),98)</f>
        <v>98</v>
      </c>
      <c r="H73" s="1">
        <f ca="1">IFERROR(__xludf.DUMMYFUNCTION("""COMPUTED_VALUE"""),96.6)</f>
        <v>96.6</v>
      </c>
      <c r="I73" s="1">
        <f ca="1">IFERROR(__xludf.DUMMYFUNCTION("""COMPUTED_VALUE"""),49)</f>
        <v>49</v>
      </c>
      <c r="J73" s="1">
        <f ca="1">IFERROR(__xludf.DUMMYFUNCTION("""COMPUTED_VALUE"""),68.5)</f>
        <v>68.5</v>
      </c>
      <c r="K73" s="1">
        <f ca="1">IFERROR(__xludf.DUMMYFUNCTION("""COMPUTED_VALUE"""),64)</f>
        <v>64</v>
      </c>
      <c r="L73" s="1">
        <f ca="1">IFERROR(__xludf.DUMMYFUNCTION("""COMPUTED_VALUE"""),-0.015)</f>
        <v>-1.4999999999999999E-2</v>
      </c>
      <c r="M73" s="1">
        <f ca="1">IFERROR(__xludf.DUMMYFUNCTION("""COMPUTED_VALUE"""),200)</f>
        <v>200</v>
      </c>
      <c r="N73" s="1" t="str">
        <f ca="1">IFERROR(__xludf.DUMMYFUNCTION("""COMPUTED_VALUE"""),"+7.21")</f>
        <v>+7.21</v>
      </c>
      <c r="O73" s="1">
        <f ca="1">IFERROR(__xludf.DUMMYFUNCTION("""COMPUTED_VALUE"""),34)</f>
        <v>34</v>
      </c>
      <c r="P73" s="1">
        <f ca="1">IFERROR(__xludf.DUMMYFUNCTION("""COMPUTED_VALUE"""),106.7)</f>
        <v>106.7</v>
      </c>
      <c r="Q73" s="1">
        <f ca="1">IFERROR(__xludf.DUMMYFUNCTION("""COMPUTED_VALUE"""),54)</f>
        <v>54</v>
      </c>
      <c r="R73" s="1">
        <f ca="1">IFERROR(__xludf.DUMMYFUNCTION("""COMPUTED_VALUE"""),99.5)</f>
        <v>99.5</v>
      </c>
      <c r="S73" s="1">
        <f ca="1">IFERROR(__xludf.DUMMYFUNCTION("""COMPUTED_VALUE"""),25)</f>
        <v>25</v>
      </c>
      <c r="T73" s="1" t="str">
        <f ca="1">IFERROR(__xludf.DUMMYFUNCTION("""COMPUTED_VALUE"""),"+2.02")</f>
        <v>+2.02</v>
      </c>
      <c r="U73" s="1">
        <f ca="1">IFERROR(__xludf.DUMMYFUNCTION("""COMPUTED_VALUE"""),110)</f>
        <v>110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IFERROR(__xludf.DUMMYFUNCTION("""COMPUTED_VALUE"""),"LSU")</f>
        <v>LSU</v>
      </c>
      <c r="C74" s="1" t="str">
        <f ca="1">IFERROR(__xludf.DUMMYFUNCTION("""COMPUTED_VALUE"""),"SEC")</f>
        <v>SEC</v>
      </c>
      <c r="D74" s="1" t="str">
        <f ca="1">IFERROR(__xludf.DUMMYFUNCTION("""COMPUTED_VALUE"""),"18-11")</f>
        <v>18-11</v>
      </c>
      <c r="E74" s="1" t="str">
        <f ca="1">IFERROR(__xludf.DUMMYFUNCTION("""COMPUTED_VALUE"""),"+10.04")</f>
        <v>+10.04</v>
      </c>
      <c r="F74" s="1">
        <f ca="1">IFERROR(__xludf.DUMMYFUNCTION("""COMPUTED_VALUE"""),107)</f>
        <v>107</v>
      </c>
      <c r="G74" s="1">
        <f ca="1">IFERROR(__xludf.DUMMYFUNCTION("""COMPUTED_VALUE"""),96)</f>
        <v>96</v>
      </c>
      <c r="H74" s="1">
        <f ca="1">IFERROR(__xludf.DUMMYFUNCTION("""COMPUTED_VALUE"""),96.9)</f>
        <v>96.9</v>
      </c>
      <c r="I74" s="1">
        <f ca="1">IFERROR(__xludf.DUMMYFUNCTION("""COMPUTED_VALUE"""),53)</f>
        <v>53</v>
      </c>
      <c r="J74" s="1">
        <f ca="1">IFERROR(__xludf.DUMMYFUNCTION("""COMPUTED_VALUE"""),63.6)</f>
        <v>63.6</v>
      </c>
      <c r="K74" s="1">
        <f ca="1">IFERROR(__xludf.DUMMYFUNCTION("""COMPUTED_VALUE"""),246)</f>
        <v>246</v>
      </c>
      <c r="L74" s="1" t="str">
        <f ca="1">IFERROR(__xludf.DUMMYFUNCTION("""COMPUTED_VALUE"""),"+.054")</f>
        <v>+.054</v>
      </c>
      <c r="M74" s="1">
        <f ca="1">IFERROR(__xludf.DUMMYFUNCTION("""COMPUTED_VALUE"""),51)</f>
        <v>51</v>
      </c>
      <c r="N74" s="1" t="str">
        <f ca="1">IFERROR(__xludf.DUMMYFUNCTION("""COMPUTED_VALUE"""),"+6.37")</f>
        <v>+6.37</v>
      </c>
      <c r="O74" s="1">
        <f ca="1">IFERROR(__xludf.DUMMYFUNCTION("""COMPUTED_VALUE"""),49)</f>
        <v>49</v>
      </c>
      <c r="P74" s="1">
        <f ca="1">IFERROR(__xludf.DUMMYFUNCTION("""COMPUTED_VALUE"""),106.1)</f>
        <v>106.1</v>
      </c>
      <c r="Q74" s="1">
        <f ca="1">IFERROR(__xludf.DUMMYFUNCTION("""COMPUTED_VALUE"""),77)</f>
        <v>77</v>
      </c>
      <c r="R74" s="1">
        <f ca="1">IFERROR(__xludf.DUMMYFUNCTION("""COMPUTED_VALUE"""),99.7)</f>
        <v>99.7</v>
      </c>
      <c r="S74" s="1">
        <f ca="1">IFERROR(__xludf.DUMMYFUNCTION("""COMPUTED_VALUE"""),29)</f>
        <v>29</v>
      </c>
      <c r="T74" s="1">
        <f ca="1">IFERROR(__xludf.DUMMYFUNCTION("""COMPUTED_VALUE"""),-4.84)</f>
        <v>-4.84</v>
      </c>
      <c r="U74" s="1">
        <f ca="1">IFERROR(__xludf.DUMMYFUNCTION("""COMPUTED_VALUE"""),264)</f>
        <v>264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IFERROR(__xludf.DUMMYFUNCTION("""COMPUTED_VALUE"""),"Rice")</f>
        <v>Rice</v>
      </c>
      <c r="C75" s="1" t="str">
        <f ca="1">IFERROR(__xludf.DUMMYFUNCTION("""COMPUTED_VALUE"""),"WAC")</f>
        <v>WAC</v>
      </c>
      <c r="D75" s="1" t="str">
        <f ca="1">IFERROR(__xludf.DUMMYFUNCTION("""COMPUTED_VALUE"""),"22-11")</f>
        <v>22-11</v>
      </c>
      <c r="E75" s="1" t="str">
        <f ca="1">IFERROR(__xludf.DUMMYFUNCTION("""COMPUTED_VALUE"""),"+9.83")</f>
        <v>+9.83</v>
      </c>
      <c r="F75" s="1">
        <f ca="1">IFERROR(__xludf.DUMMYFUNCTION("""COMPUTED_VALUE"""),109)</f>
        <v>109</v>
      </c>
      <c r="G75" s="1">
        <f ca="1">IFERROR(__xludf.DUMMYFUNCTION("""COMPUTED_VALUE"""),73)</f>
        <v>73</v>
      </c>
      <c r="H75" s="1">
        <f ca="1">IFERROR(__xludf.DUMMYFUNCTION("""COMPUTED_VALUE"""),99.2)</f>
        <v>99.2</v>
      </c>
      <c r="I75" s="1">
        <f ca="1">IFERROR(__xludf.DUMMYFUNCTION("""COMPUTED_VALUE"""),89)</f>
        <v>89</v>
      </c>
      <c r="J75" s="1">
        <f ca="1">IFERROR(__xludf.DUMMYFUNCTION("""COMPUTED_VALUE"""),68.1)</f>
        <v>68.099999999999994</v>
      </c>
      <c r="K75" s="1">
        <f ca="1">IFERROR(__xludf.DUMMYFUNCTION("""COMPUTED_VALUE"""),79)</f>
        <v>79</v>
      </c>
      <c r="L75" s="1" t="str">
        <f ca="1">IFERROR(__xludf.DUMMYFUNCTION("""COMPUTED_VALUE"""),"+.070")</f>
        <v>+.070</v>
      </c>
      <c r="M75" s="1">
        <f ca="1">IFERROR(__xludf.DUMMYFUNCTION("""COMPUTED_VALUE"""),30)</f>
        <v>30</v>
      </c>
      <c r="N75" s="1" t="str">
        <f ca="1">IFERROR(__xludf.DUMMYFUNCTION("""COMPUTED_VALUE"""),"+5.14")</f>
        <v>+5.14</v>
      </c>
      <c r="O75" s="1">
        <f ca="1">IFERROR(__xludf.DUMMYFUNCTION("""COMPUTED_VALUE"""),82)</f>
        <v>82</v>
      </c>
      <c r="P75" s="1">
        <f ca="1">IFERROR(__xludf.DUMMYFUNCTION("""COMPUTED_VALUE"""),105.5)</f>
        <v>105.5</v>
      </c>
      <c r="Q75" s="1">
        <f ca="1">IFERROR(__xludf.DUMMYFUNCTION("""COMPUTED_VALUE"""),93)</f>
        <v>93</v>
      </c>
      <c r="R75" s="1">
        <f ca="1">IFERROR(__xludf.DUMMYFUNCTION("""COMPUTED_VALUE"""),100.3)</f>
        <v>100.3</v>
      </c>
      <c r="S75" s="1">
        <f ca="1">IFERROR(__xludf.DUMMYFUNCTION("""COMPUTED_VALUE"""),56)</f>
        <v>56</v>
      </c>
      <c r="T75" s="1">
        <f ca="1">IFERROR(__xludf.DUMMYFUNCTION("""COMPUTED_VALUE"""),-0.78)</f>
        <v>-0.78</v>
      </c>
      <c r="U75" s="1">
        <f ca="1">IFERROR(__xludf.DUMMYFUNCTION("""COMPUTED_VALUE"""),184)</f>
        <v>184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IFERROR(__xludf.DUMMYFUNCTION("""COMPUTED_VALUE"""),"Rutgers")</f>
        <v>Rutgers</v>
      </c>
      <c r="C76" s="1" t="str">
        <f ca="1">IFERROR(__xludf.DUMMYFUNCTION("""COMPUTED_VALUE"""),"BE")</f>
        <v>BE</v>
      </c>
      <c r="D76" s="1" t="str">
        <f ca="1">IFERROR(__xludf.DUMMYFUNCTION("""COMPUTED_VALUE"""),"20-13")</f>
        <v>20-13</v>
      </c>
      <c r="E76" s="1" t="str">
        <f ca="1">IFERROR(__xludf.DUMMYFUNCTION("""COMPUTED_VALUE"""),"+9.83")</f>
        <v>+9.83</v>
      </c>
      <c r="F76" s="1">
        <f ca="1">IFERROR(__xludf.DUMMYFUNCTION("""COMPUTED_VALUE"""),106)</f>
        <v>106</v>
      </c>
      <c r="G76" s="1">
        <f ca="1">IFERROR(__xludf.DUMMYFUNCTION("""COMPUTED_VALUE"""),108)</f>
        <v>108</v>
      </c>
      <c r="H76" s="1">
        <f ca="1">IFERROR(__xludf.DUMMYFUNCTION("""COMPUTED_VALUE"""),96.2)</f>
        <v>96.2</v>
      </c>
      <c r="I76" s="1">
        <f ca="1">IFERROR(__xludf.DUMMYFUNCTION("""COMPUTED_VALUE"""),46)</f>
        <v>46</v>
      </c>
      <c r="J76" s="1">
        <f ca="1">IFERROR(__xludf.DUMMYFUNCTION("""COMPUTED_VALUE"""),66)</f>
        <v>66</v>
      </c>
      <c r="K76" s="1">
        <f ca="1">IFERROR(__xludf.DUMMYFUNCTION("""COMPUTED_VALUE"""),159)</f>
        <v>159</v>
      </c>
      <c r="L76" s="1" t="str">
        <f ca="1">IFERROR(__xludf.DUMMYFUNCTION("""COMPUTED_VALUE"""),"+.046")</f>
        <v>+.046</v>
      </c>
      <c r="M76" s="1">
        <f ca="1">IFERROR(__xludf.DUMMYFUNCTION("""COMPUTED_VALUE"""),63)</f>
        <v>63</v>
      </c>
      <c r="N76" s="1" t="str">
        <f ca="1">IFERROR(__xludf.DUMMYFUNCTION("""COMPUTED_VALUE"""),"+6.66")</f>
        <v>+6.66</v>
      </c>
      <c r="O76" s="1">
        <f ca="1">IFERROR(__xludf.DUMMYFUNCTION("""COMPUTED_VALUE"""),44)</f>
        <v>44</v>
      </c>
      <c r="P76" s="1">
        <f ca="1">IFERROR(__xludf.DUMMYFUNCTION("""COMPUTED_VALUE"""),106.8)</f>
        <v>106.8</v>
      </c>
      <c r="Q76" s="1">
        <f ca="1">IFERROR(__xludf.DUMMYFUNCTION("""COMPUTED_VALUE"""),51)</f>
        <v>51</v>
      </c>
      <c r="R76" s="1">
        <f ca="1">IFERROR(__xludf.DUMMYFUNCTION("""COMPUTED_VALUE"""),100.1)</f>
        <v>100.1</v>
      </c>
      <c r="S76" s="1">
        <f ca="1">IFERROR(__xludf.DUMMYFUNCTION("""COMPUTED_VALUE"""),46)</f>
        <v>46</v>
      </c>
      <c r="T76" s="1" t="str">
        <f ca="1">IFERROR(__xludf.DUMMYFUNCTION("""COMPUTED_VALUE"""),"+0.32")</f>
        <v>+0.32</v>
      </c>
      <c r="U76" s="1">
        <f ca="1">IFERROR(__xludf.DUMMYFUNCTION("""COMPUTED_VALUE"""),155)</f>
        <v>155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IFERROR(__xludf.DUMMYFUNCTION("""COMPUTED_VALUE"""),"Penn")</f>
        <v>Penn</v>
      </c>
      <c r="C77" s="1" t="str">
        <f ca="1">IFERROR(__xludf.DUMMYFUNCTION("""COMPUTED_VALUE"""),"Ivy")</f>
        <v>Ivy</v>
      </c>
      <c r="D77" s="1" t="str">
        <f ca="1">IFERROR(__xludf.DUMMYFUNCTION("""COMPUTED_VALUE"""),"17-10")</f>
        <v>17-10</v>
      </c>
      <c r="E77" s="1" t="str">
        <f ca="1">IFERROR(__xludf.DUMMYFUNCTION("""COMPUTED_VALUE"""),"+9.80")</f>
        <v>+9.80</v>
      </c>
      <c r="F77" s="1">
        <f ca="1">IFERROR(__xludf.DUMMYFUNCTION("""COMPUTED_VALUE"""),109)</f>
        <v>109</v>
      </c>
      <c r="G77" s="1">
        <f ca="1">IFERROR(__xludf.DUMMYFUNCTION("""COMPUTED_VALUE"""),75)</f>
        <v>75</v>
      </c>
      <c r="H77" s="1">
        <f ca="1">IFERROR(__xludf.DUMMYFUNCTION("""COMPUTED_VALUE"""),99.2)</f>
        <v>99.2</v>
      </c>
      <c r="I77" s="1">
        <f ca="1">IFERROR(__xludf.DUMMYFUNCTION("""COMPUTED_VALUE"""),88)</f>
        <v>88</v>
      </c>
      <c r="J77" s="1">
        <f ca="1">IFERROR(__xludf.DUMMYFUNCTION("""COMPUTED_VALUE"""),63.6)</f>
        <v>63.6</v>
      </c>
      <c r="K77" s="1">
        <f ca="1">IFERROR(__xludf.DUMMYFUNCTION("""COMPUTED_VALUE"""),248)</f>
        <v>248</v>
      </c>
      <c r="L77" s="1">
        <f ca="1">IFERROR(__xludf.DUMMYFUNCTION("""COMPUTED_VALUE"""),-0.072)</f>
        <v>-7.1999999999999995E-2</v>
      </c>
      <c r="M77" s="1">
        <f ca="1">IFERROR(__xludf.DUMMYFUNCTION("""COMPUTED_VALUE"""),297)</f>
        <v>297</v>
      </c>
      <c r="N77" s="1">
        <f ca="1">IFERROR(__xludf.DUMMYFUNCTION("""COMPUTED_VALUE"""),-2.36)</f>
        <v>-2.36</v>
      </c>
      <c r="O77" s="1">
        <f ca="1">IFERROR(__xludf.DUMMYFUNCTION("""COMPUTED_VALUE"""),212)</f>
        <v>212</v>
      </c>
      <c r="P77" s="1">
        <f ca="1">IFERROR(__xludf.DUMMYFUNCTION("""COMPUTED_VALUE"""),101.8)</f>
        <v>101.8</v>
      </c>
      <c r="Q77" s="1">
        <f ca="1">IFERROR(__xludf.DUMMYFUNCTION("""COMPUTED_VALUE"""),224)</f>
        <v>224</v>
      </c>
      <c r="R77" s="1">
        <f ca="1">IFERROR(__xludf.DUMMYFUNCTION("""COMPUTED_VALUE"""),104.2)</f>
        <v>104.2</v>
      </c>
      <c r="S77" s="1">
        <f ca="1">IFERROR(__xludf.DUMMYFUNCTION("""COMPUTED_VALUE"""),187)</f>
        <v>187</v>
      </c>
      <c r="T77" s="1" t="str">
        <f ca="1">IFERROR(__xludf.DUMMYFUNCTION("""COMPUTED_VALUE"""),"+5.82")</f>
        <v>+5.82</v>
      </c>
      <c r="U77" s="1">
        <f ca="1">IFERROR(__xludf.DUMMYFUNCTION("""COMPUTED_VALUE"""),39)</f>
        <v>39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IFERROR(__xludf.DUMMYFUNCTION("""COMPUTED_VALUE"""),"Dayton10")</f>
        <v>Dayton10</v>
      </c>
      <c r="C78" s="1" t="str">
        <f ca="1">IFERROR(__xludf.DUMMYFUNCTION("""COMPUTED_VALUE"""),"A10")</f>
        <v>A10</v>
      </c>
      <c r="D78" s="1" t="str">
        <f ca="1">IFERROR(__xludf.DUMMYFUNCTION("""COMPUTED_VALUE"""),"24-9")</f>
        <v>24-9</v>
      </c>
      <c r="E78" s="1" t="str">
        <f ca="1">IFERROR(__xludf.DUMMYFUNCTION("""COMPUTED_VALUE"""),"+9.75")</f>
        <v>+9.75</v>
      </c>
      <c r="F78" s="1">
        <f ca="1">IFERROR(__xludf.DUMMYFUNCTION("""COMPUTED_VALUE"""),108.1)</f>
        <v>108.1</v>
      </c>
      <c r="G78" s="1">
        <f ca="1">IFERROR(__xludf.DUMMYFUNCTION("""COMPUTED_VALUE"""),80)</f>
        <v>80</v>
      </c>
      <c r="H78" s="1">
        <f ca="1">IFERROR(__xludf.DUMMYFUNCTION("""COMPUTED_VALUE"""),98.4)</f>
        <v>98.4</v>
      </c>
      <c r="I78" s="1">
        <f ca="1">IFERROR(__xludf.DUMMYFUNCTION("""COMPUTED_VALUE"""),71)</f>
        <v>71</v>
      </c>
      <c r="J78" s="1">
        <f ca="1">IFERROR(__xludf.DUMMYFUNCTION("""COMPUTED_VALUE"""),62.2)</f>
        <v>62.2</v>
      </c>
      <c r="K78" s="1">
        <f ca="1">IFERROR(__xludf.DUMMYFUNCTION("""COMPUTED_VALUE"""),289)</f>
        <v>289</v>
      </c>
      <c r="L78" s="1" t="str">
        <f ca="1">IFERROR(__xludf.DUMMYFUNCTION("""COMPUTED_VALUE"""),"+.084")</f>
        <v>+.084</v>
      </c>
      <c r="M78" s="1">
        <f ca="1">IFERROR(__xludf.DUMMYFUNCTION("""COMPUTED_VALUE"""),23)</f>
        <v>23</v>
      </c>
      <c r="N78" s="1" t="str">
        <f ca="1">IFERROR(__xludf.DUMMYFUNCTION("""COMPUTED_VALUE"""),"+3.26")</f>
        <v>+3.26</v>
      </c>
      <c r="O78" s="1">
        <f ca="1">IFERROR(__xludf.DUMMYFUNCTION("""COMPUTED_VALUE"""),106)</f>
        <v>106</v>
      </c>
      <c r="P78" s="1">
        <f ca="1">IFERROR(__xludf.DUMMYFUNCTION("""COMPUTED_VALUE"""),105.6)</f>
        <v>105.6</v>
      </c>
      <c r="Q78" s="1">
        <f ca="1">IFERROR(__xludf.DUMMYFUNCTION("""COMPUTED_VALUE"""),91)</f>
        <v>91</v>
      </c>
      <c r="R78" s="1">
        <f ca="1">IFERROR(__xludf.DUMMYFUNCTION("""COMPUTED_VALUE"""),102.3)</f>
        <v>102.3</v>
      </c>
      <c r="S78" s="1">
        <f ca="1">IFERROR(__xludf.DUMMYFUNCTION("""COMPUTED_VALUE"""),124)</f>
        <v>124</v>
      </c>
      <c r="T78" s="1">
        <f ca="1">IFERROR(__xludf.DUMMYFUNCTION("""COMPUTED_VALUE"""),-1.55)</f>
        <v>-1.55</v>
      </c>
      <c r="U78" s="1">
        <f ca="1">IFERROR(__xludf.DUMMYFUNCTION("""COMPUTED_VALUE"""),205)</f>
        <v>205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IFERROR(__xludf.DUMMYFUNCTION("""COMPUTED_VALUE"""),"Kent St.")</f>
        <v>Kent St.</v>
      </c>
      <c r="C79" s="1" t="str">
        <f ca="1">IFERROR(__xludf.DUMMYFUNCTION("""COMPUTED_VALUE"""),"MAC")</f>
        <v>MAC</v>
      </c>
      <c r="D79" s="1" t="str">
        <f ca="1">IFERROR(__xludf.DUMMYFUNCTION("""COMPUTED_VALUE"""),"22-9")</f>
        <v>22-9</v>
      </c>
      <c r="E79" s="1" t="str">
        <f ca="1">IFERROR(__xludf.DUMMYFUNCTION("""COMPUTED_VALUE"""),"+9.68")</f>
        <v>+9.68</v>
      </c>
      <c r="F79" s="1">
        <f ca="1">IFERROR(__xludf.DUMMYFUNCTION("""COMPUTED_VALUE"""),106.9)</f>
        <v>106.9</v>
      </c>
      <c r="G79" s="1">
        <f ca="1">IFERROR(__xludf.DUMMYFUNCTION("""COMPUTED_VALUE"""),97)</f>
        <v>97</v>
      </c>
      <c r="H79" s="1">
        <f ca="1">IFERROR(__xludf.DUMMYFUNCTION("""COMPUTED_VALUE"""),97.2)</f>
        <v>97.2</v>
      </c>
      <c r="I79" s="1">
        <f ca="1">IFERROR(__xludf.DUMMYFUNCTION("""COMPUTED_VALUE"""),56)</f>
        <v>56</v>
      </c>
      <c r="J79" s="1">
        <f ca="1">IFERROR(__xludf.DUMMYFUNCTION("""COMPUTED_VALUE"""),65.6)</f>
        <v>65.599999999999994</v>
      </c>
      <c r="K79" s="1">
        <f ca="1">IFERROR(__xludf.DUMMYFUNCTION("""COMPUTED_VALUE"""),172)</f>
        <v>172</v>
      </c>
      <c r="L79" s="1" t="str">
        <f ca="1">IFERROR(__xludf.DUMMYFUNCTION("""COMPUTED_VALUE"""),"+.009")</f>
        <v>+.009</v>
      </c>
      <c r="M79" s="1">
        <f ca="1">IFERROR(__xludf.DUMMYFUNCTION("""COMPUTED_VALUE"""),145)</f>
        <v>145</v>
      </c>
      <c r="N79" s="1" t="str">
        <f ca="1">IFERROR(__xludf.DUMMYFUNCTION("""COMPUTED_VALUE"""),"+0.37")</f>
        <v>+0.37</v>
      </c>
      <c r="O79" s="1">
        <f ca="1">IFERROR(__xludf.DUMMYFUNCTION("""COMPUTED_VALUE"""),147)</f>
        <v>147</v>
      </c>
      <c r="P79" s="1">
        <f ca="1">IFERROR(__xludf.DUMMYFUNCTION("""COMPUTED_VALUE"""),104.1)</f>
        <v>104.1</v>
      </c>
      <c r="Q79" s="1">
        <f ca="1">IFERROR(__xludf.DUMMYFUNCTION("""COMPUTED_VALUE"""),139)</f>
        <v>139</v>
      </c>
      <c r="R79" s="1">
        <f ca="1">IFERROR(__xludf.DUMMYFUNCTION("""COMPUTED_VALUE"""),103.8)</f>
        <v>103.8</v>
      </c>
      <c r="S79" s="1">
        <f ca="1">IFERROR(__xludf.DUMMYFUNCTION("""COMPUTED_VALUE"""),166)</f>
        <v>166</v>
      </c>
      <c r="T79" s="1" t="str">
        <f ca="1">IFERROR(__xludf.DUMMYFUNCTION("""COMPUTED_VALUE"""),"+1.51")</f>
        <v>+1.51</v>
      </c>
      <c r="U79" s="1">
        <f ca="1">IFERROR(__xludf.DUMMYFUNCTION("""COMPUTED_VALUE"""),123)</f>
        <v>123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IFERROR(__xludf.DUMMYFUNCTION("""COMPUTED_VALUE"""),"Georgia")</f>
        <v>Georgia</v>
      </c>
      <c r="C80" s="1" t="str">
        <f ca="1">IFERROR(__xludf.DUMMYFUNCTION("""COMPUTED_VALUE"""),"SEC")</f>
        <v>SEC</v>
      </c>
      <c r="D80" s="1" t="str">
        <f ca="1">IFERROR(__xludf.DUMMYFUNCTION("""COMPUTED_VALUE"""),"16-14")</f>
        <v>16-14</v>
      </c>
      <c r="E80" s="1" t="str">
        <f ca="1">IFERROR(__xludf.DUMMYFUNCTION("""COMPUTED_VALUE"""),"+9.54")</f>
        <v>+9.54</v>
      </c>
      <c r="F80" s="1">
        <f ca="1">IFERROR(__xludf.DUMMYFUNCTION("""COMPUTED_VALUE"""),108.1)</f>
        <v>108.1</v>
      </c>
      <c r="G80" s="1">
        <f ca="1">IFERROR(__xludf.DUMMYFUNCTION("""COMPUTED_VALUE"""),82)</f>
        <v>82</v>
      </c>
      <c r="H80" s="1">
        <f ca="1">IFERROR(__xludf.DUMMYFUNCTION("""COMPUTED_VALUE"""),98.5)</f>
        <v>98.5</v>
      </c>
      <c r="I80" s="1">
        <f ca="1">IFERROR(__xludf.DUMMYFUNCTION("""COMPUTED_VALUE"""),75)</f>
        <v>75</v>
      </c>
      <c r="J80" s="1">
        <f ca="1">IFERROR(__xludf.DUMMYFUNCTION("""COMPUTED_VALUE"""),62.3)</f>
        <v>62.3</v>
      </c>
      <c r="K80" s="1">
        <f ca="1">IFERROR(__xludf.DUMMYFUNCTION("""COMPUTED_VALUE"""),287)</f>
        <v>287</v>
      </c>
      <c r="L80" s="1" t="str">
        <f ca="1">IFERROR(__xludf.DUMMYFUNCTION("""COMPUTED_VALUE"""),"+.029")</f>
        <v>+.029</v>
      </c>
      <c r="M80" s="1">
        <f ca="1">IFERROR(__xludf.DUMMYFUNCTION("""COMPUTED_VALUE"""),93)</f>
        <v>93</v>
      </c>
      <c r="N80" s="1" t="str">
        <f ca="1">IFERROR(__xludf.DUMMYFUNCTION("""COMPUTED_VALUE"""),"+8.84")</f>
        <v>+8.84</v>
      </c>
      <c r="O80" s="1">
        <f ca="1">IFERROR(__xludf.DUMMYFUNCTION("""COMPUTED_VALUE"""),20)</f>
        <v>20</v>
      </c>
      <c r="P80" s="1">
        <f ca="1">IFERROR(__xludf.DUMMYFUNCTION("""COMPUTED_VALUE"""),107.7)</f>
        <v>107.7</v>
      </c>
      <c r="Q80" s="1">
        <f ca="1">IFERROR(__xludf.DUMMYFUNCTION("""COMPUTED_VALUE"""),30)</f>
        <v>30</v>
      </c>
      <c r="R80" s="1">
        <f ca="1">IFERROR(__xludf.DUMMYFUNCTION("""COMPUTED_VALUE"""),98.8)</f>
        <v>98.8</v>
      </c>
      <c r="S80" s="1">
        <f ca="1">IFERROR(__xludf.DUMMYFUNCTION("""COMPUTED_VALUE"""),16)</f>
        <v>16</v>
      </c>
      <c r="T80" s="1">
        <f ca="1">IFERROR(__xludf.DUMMYFUNCTION("""COMPUTED_VALUE"""),-5.31)</f>
        <v>-5.31</v>
      </c>
      <c r="U80" s="1">
        <f ca="1">IFERROR(__xludf.DUMMYFUNCTION("""COMPUTED_VALUE"""),272)</f>
        <v>272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IFERROR(__xludf.DUMMYFUNCTION("""COMPUTED_VALUE"""),"UNLV")</f>
        <v>UNLV</v>
      </c>
      <c r="C81" s="1" t="str">
        <f ca="1">IFERROR(__xludf.DUMMYFUNCTION("""COMPUTED_VALUE"""),"MWC")</f>
        <v>MWC</v>
      </c>
      <c r="D81" s="1" t="str">
        <f ca="1">IFERROR(__xludf.DUMMYFUNCTION("""COMPUTED_VALUE"""),"18-13")</f>
        <v>18-13</v>
      </c>
      <c r="E81" s="1" t="str">
        <f ca="1">IFERROR(__xludf.DUMMYFUNCTION("""COMPUTED_VALUE"""),"+9.35")</f>
        <v>+9.35</v>
      </c>
      <c r="F81" s="1">
        <f ca="1">IFERROR(__xludf.DUMMYFUNCTION("""COMPUTED_VALUE"""),110.3)</f>
        <v>110.3</v>
      </c>
      <c r="G81" s="1">
        <f ca="1">IFERROR(__xludf.DUMMYFUNCTION("""COMPUTED_VALUE"""),58)</f>
        <v>58</v>
      </c>
      <c r="H81" s="1">
        <f ca="1">IFERROR(__xludf.DUMMYFUNCTION("""COMPUTED_VALUE"""),100.9)</f>
        <v>100.9</v>
      </c>
      <c r="I81" s="1">
        <f ca="1">IFERROR(__xludf.DUMMYFUNCTION("""COMPUTED_VALUE"""),120)</f>
        <v>120</v>
      </c>
      <c r="J81" s="1">
        <f ca="1">IFERROR(__xludf.DUMMYFUNCTION("""COMPUTED_VALUE"""),69.1)</f>
        <v>69.099999999999994</v>
      </c>
      <c r="K81" s="1">
        <f ca="1">IFERROR(__xludf.DUMMYFUNCTION("""COMPUTED_VALUE"""),51)</f>
        <v>51</v>
      </c>
      <c r="L81" s="1">
        <f ca="1">IFERROR(__xludf.DUMMYFUNCTION("""COMPUTED_VALUE"""),-0.009)</f>
        <v>-8.9999999999999993E-3</v>
      </c>
      <c r="M81" s="1">
        <f ca="1">IFERROR(__xludf.DUMMYFUNCTION("""COMPUTED_VALUE"""),187)</f>
        <v>187</v>
      </c>
      <c r="N81" s="1" t="str">
        <f ca="1">IFERROR(__xludf.DUMMYFUNCTION("""COMPUTED_VALUE"""),"+5.18")</f>
        <v>+5.18</v>
      </c>
      <c r="O81" s="1">
        <f ca="1">IFERROR(__xludf.DUMMYFUNCTION("""COMPUTED_VALUE"""),80)</f>
        <v>80</v>
      </c>
      <c r="P81" s="1">
        <f ca="1">IFERROR(__xludf.DUMMYFUNCTION("""COMPUTED_VALUE"""),106.2)</f>
        <v>106.2</v>
      </c>
      <c r="Q81" s="1">
        <f ca="1">IFERROR(__xludf.DUMMYFUNCTION("""COMPUTED_VALUE"""),75)</f>
        <v>75</v>
      </c>
      <c r="R81" s="1">
        <f ca="1">IFERROR(__xludf.DUMMYFUNCTION("""COMPUTED_VALUE"""),101)</f>
        <v>101</v>
      </c>
      <c r="S81" s="1">
        <f ca="1">IFERROR(__xludf.DUMMYFUNCTION("""COMPUTED_VALUE"""),81)</f>
        <v>81</v>
      </c>
      <c r="T81" s="1" t="str">
        <f ca="1">IFERROR(__xludf.DUMMYFUNCTION("""COMPUTED_VALUE"""),"+0.12")</f>
        <v>+0.12</v>
      </c>
      <c r="U81" s="1">
        <f ca="1">IFERROR(__xludf.DUMMYFUNCTION("""COMPUTED_VALUE"""),161)</f>
        <v>161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IFERROR(__xludf.DUMMYFUNCTION("""COMPUTED_VALUE"""),"Hawaii")</f>
        <v>Hawaii</v>
      </c>
      <c r="C82" s="1" t="str">
        <f ca="1">IFERROR(__xludf.DUMMYFUNCTION("""COMPUTED_VALUE"""),"WAC")</f>
        <v>WAC</v>
      </c>
      <c r="D82" s="1" t="str">
        <f ca="1">IFERROR(__xludf.DUMMYFUNCTION("""COMPUTED_VALUE"""),"21-12")</f>
        <v>21-12</v>
      </c>
      <c r="E82" s="1" t="str">
        <f ca="1">IFERROR(__xludf.DUMMYFUNCTION("""COMPUTED_VALUE"""),"+9.27")</f>
        <v>+9.27</v>
      </c>
      <c r="F82" s="1">
        <f ca="1">IFERROR(__xludf.DUMMYFUNCTION("""COMPUTED_VALUE"""),109.8)</f>
        <v>109.8</v>
      </c>
      <c r="G82" s="1">
        <f ca="1">IFERROR(__xludf.DUMMYFUNCTION("""COMPUTED_VALUE"""),62)</f>
        <v>62</v>
      </c>
      <c r="H82" s="1">
        <f ca="1">IFERROR(__xludf.DUMMYFUNCTION("""COMPUTED_VALUE"""),100.6)</f>
        <v>100.6</v>
      </c>
      <c r="I82" s="1">
        <f ca="1">IFERROR(__xludf.DUMMYFUNCTION("""COMPUTED_VALUE"""),113)</f>
        <v>113</v>
      </c>
      <c r="J82" s="1">
        <f ca="1">IFERROR(__xludf.DUMMYFUNCTION("""COMPUTED_VALUE"""),65.3)</f>
        <v>65.3</v>
      </c>
      <c r="K82" s="1">
        <f ca="1">IFERROR(__xludf.DUMMYFUNCTION("""COMPUTED_VALUE"""),184)</f>
        <v>184</v>
      </c>
      <c r="L82" s="1" t="str">
        <f ca="1">IFERROR(__xludf.DUMMYFUNCTION("""COMPUTED_VALUE"""),"+.023")</f>
        <v>+.023</v>
      </c>
      <c r="M82" s="1">
        <f ca="1">IFERROR(__xludf.DUMMYFUNCTION("""COMPUTED_VALUE"""),107)</f>
        <v>107</v>
      </c>
      <c r="N82" s="1" t="str">
        <f ca="1">IFERROR(__xludf.DUMMYFUNCTION("""COMPUTED_VALUE"""),"+4.31")</f>
        <v>+4.31</v>
      </c>
      <c r="O82" s="1">
        <f ca="1">IFERROR(__xludf.DUMMYFUNCTION("""COMPUTED_VALUE"""),94)</f>
        <v>94</v>
      </c>
      <c r="P82" s="1">
        <f ca="1">IFERROR(__xludf.DUMMYFUNCTION("""COMPUTED_VALUE"""),105.3)</f>
        <v>105.3</v>
      </c>
      <c r="Q82" s="1">
        <f ca="1">IFERROR(__xludf.DUMMYFUNCTION("""COMPUTED_VALUE"""),99)</f>
        <v>99</v>
      </c>
      <c r="R82" s="1">
        <f ca="1">IFERROR(__xludf.DUMMYFUNCTION("""COMPUTED_VALUE"""),101)</f>
        <v>101</v>
      </c>
      <c r="S82" s="1">
        <f ca="1">IFERROR(__xludf.DUMMYFUNCTION("""COMPUTED_VALUE"""),83)</f>
        <v>83</v>
      </c>
      <c r="T82" s="1">
        <f ca="1">IFERROR(__xludf.DUMMYFUNCTION("""COMPUTED_VALUE"""),-4.46)</f>
        <v>-4.46</v>
      </c>
      <c r="U82" s="1">
        <f ca="1">IFERROR(__xludf.DUMMYFUNCTION("""COMPUTED_VALUE"""),259)</f>
        <v>259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IFERROR(__xludf.DUMMYFUNCTION("""COMPUTED_VALUE"""),"Oregon")</f>
        <v>Oregon</v>
      </c>
      <c r="C83" s="1" t="str">
        <f ca="1">IFERROR(__xludf.DUMMYFUNCTION("""COMPUTED_VALUE"""),"P10")</f>
        <v>P10</v>
      </c>
      <c r="D83" s="1" t="str">
        <f ca="1">IFERROR(__xludf.DUMMYFUNCTION("""COMPUTED_VALUE"""),"18-13")</f>
        <v>18-13</v>
      </c>
      <c r="E83" s="1" t="str">
        <f ca="1">IFERROR(__xludf.DUMMYFUNCTION("""COMPUTED_VALUE"""),"+9.21")</f>
        <v>+9.21</v>
      </c>
      <c r="F83" s="1">
        <f ca="1">IFERROR(__xludf.DUMMYFUNCTION("""COMPUTED_VALUE"""),110.9)</f>
        <v>110.9</v>
      </c>
      <c r="G83" s="1">
        <f ca="1">IFERROR(__xludf.DUMMYFUNCTION("""COMPUTED_VALUE"""),51)</f>
        <v>51</v>
      </c>
      <c r="H83" s="1">
        <f ca="1">IFERROR(__xludf.DUMMYFUNCTION("""COMPUTED_VALUE"""),101.7)</f>
        <v>101.7</v>
      </c>
      <c r="I83" s="1">
        <f ca="1">IFERROR(__xludf.DUMMYFUNCTION("""COMPUTED_VALUE"""),135)</f>
        <v>135</v>
      </c>
      <c r="J83" s="1">
        <f ca="1">IFERROR(__xludf.DUMMYFUNCTION("""COMPUTED_VALUE"""),67.6)</f>
        <v>67.599999999999994</v>
      </c>
      <c r="K83" s="1">
        <f ca="1">IFERROR(__xludf.DUMMYFUNCTION("""COMPUTED_VALUE"""),97)</f>
        <v>97</v>
      </c>
      <c r="L83" s="1" t="str">
        <f ca="1">IFERROR(__xludf.DUMMYFUNCTION("""COMPUTED_VALUE"""),"+.026")</f>
        <v>+.026</v>
      </c>
      <c r="M83" s="1">
        <f ca="1">IFERROR(__xludf.DUMMYFUNCTION("""COMPUTED_VALUE"""),99)</f>
        <v>99</v>
      </c>
      <c r="N83" s="1" t="str">
        <f ca="1">IFERROR(__xludf.DUMMYFUNCTION("""COMPUTED_VALUE"""),"+6.38")</f>
        <v>+6.38</v>
      </c>
      <c r="O83" s="1">
        <f ca="1">IFERROR(__xludf.DUMMYFUNCTION("""COMPUTED_VALUE"""),47)</f>
        <v>47</v>
      </c>
      <c r="P83" s="1">
        <f ca="1">IFERROR(__xludf.DUMMYFUNCTION("""COMPUTED_VALUE"""),106.7)</f>
        <v>106.7</v>
      </c>
      <c r="Q83" s="1">
        <f ca="1">IFERROR(__xludf.DUMMYFUNCTION("""COMPUTED_VALUE"""),56)</f>
        <v>56</v>
      </c>
      <c r="R83" s="1">
        <f ca="1">IFERROR(__xludf.DUMMYFUNCTION("""COMPUTED_VALUE"""),100.3)</f>
        <v>100.3</v>
      </c>
      <c r="S83" s="1">
        <f ca="1">IFERROR(__xludf.DUMMYFUNCTION("""COMPUTED_VALUE"""),52)</f>
        <v>52</v>
      </c>
      <c r="T83" s="1" t="str">
        <f ca="1">IFERROR(__xludf.DUMMYFUNCTION("""COMPUTED_VALUE"""),"+2.41")</f>
        <v>+2.41</v>
      </c>
      <c r="U83" s="1">
        <f ca="1">IFERROR(__xludf.DUMMYFUNCTION("""COMPUTED_VALUE"""),95)</f>
        <v>95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IFERROR(__xludf.DUMMYFUNCTION("""COMPUTED_VALUE"""),"Detroit")</f>
        <v>Detroit</v>
      </c>
      <c r="C84" s="1" t="str">
        <f ca="1">IFERROR(__xludf.DUMMYFUNCTION("""COMPUTED_VALUE"""),"Horz")</f>
        <v>Horz</v>
      </c>
      <c r="D84" s="1" t="str">
        <f ca="1">IFERROR(__xludf.DUMMYFUNCTION("""COMPUTED_VALUE"""),"19-11")</f>
        <v>19-11</v>
      </c>
      <c r="E84" s="1" t="str">
        <f ca="1">IFERROR(__xludf.DUMMYFUNCTION("""COMPUTED_VALUE"""),"+9.19")</f>
        <v>+9.19</v>
      </c>
      <c r="F84" s="1">
        <f ca="1">IFERROR(__xludf.DUMMYFUNCTION("""COMPUTED_VALUE"""),106.4)</f>
        <v>106.4</v>
      </c>
      <c r="G84" s="1">
        <f ca="1">IFERROR(__xludf.DUMMYFUNCTION("""COMPUTED_VALUE"""),103)</f>
        <v>103</v>
      </c>
      <c r="H84" s="1">
        <f ca="1">IFERROR(__xludf.DUMMYFUNCTION("""COMPUTED_VALUE"""),97.2)</f>
        <v>97.2</v>
      </c>
      <c r="I84" s="1">
        <f ca="1">IFERROR(__xludf.DUMMYFUNCTION("""COMPUTED_VALUE"""),57)</f>
        <v>57</v>
      </c>
      <c r="J84" s="1">
        <f ca="1">IFERROR(__xludf.DUMMYFUNCTION("""COMPUTED_VALUE"""),59.1)</f>
        <v>59.1</v>
      </c>
      <c r="K84" s="1">
        <f ca="1">IFERROR(__xludf.DUMMYFUNCTION("""COMPUTED_VALUE"""),316)</f>
        <v>316</v>
      </c>
      <c r="L84" s="1">
        <f ca="1">IFERROR(__xludf.DUMMYFUNCTION("""COMPUTED_VALUE"""),-0.009)</f>
        <v>-8.9999999999999993E-3</v>
      </c>
      <c r="M84" s="1">
        <f ca="1">IFERROR(__xludf.DUMMYFUNCTION("""COMPUTED_VALUE"""),188)</f>
        <v>188</v>
      </c>
      <c r="N84" s="1">
        <f ca="1">IFERROR(__xludf.DUMMYFUNCTION("""COMPUTED_VALUE"""),-0.14)</f>
        <v>-0.14000000000000001</v>
      </c>
      <c r="O84" s="1">
        <f ca="1">IFERROR(__xludf.DUMMYFUNCTION("""COMPUTED_VALUE"""),158)</f>
        <v>158</v>
      </c>
      <c r="P84" s="1">
        <f ca="1">IFERROR(__xludf.DUMMYFUNCTION("""COMPUTED_VALUE"""),103.8)</f>
        <v>103.8</v>
      </c>
      <c r="Q84" s="1">
        <f ca="1">IFERROR(__xludf.DUMMYFUNCTION("""COMPUTED_VALUE"""),149)</f>
        <v>149</v>
      </c>
      <c r="R84" s="1">
        <f ca="1">IFERROR(__xludf.DUMMYFUNCTION("""COMPUTED_VALUE"""),104)</f>
        <v>104</v>
      </c>
      <c r="S84" s="1">
        <f ca="1">IFERROR(__xludf.DUMMYFUNCTION("""COMPUTED_VALUE"""),175)</f>
        <v>175</v>
      </c>
      <c r="T84" s="1" t="str">
        <f ca="1">IFERROR(__xludf.DUMMYFUNCTION("""COMPUTED_VALUE"""),"+2.76")</f>
        <v>+2.76</v>
      </c>
      <c r="U84" s="1">
        <f ca="1">IFERROR(__xludf.DUMMYFUNCTION("""COMPUTED_VALUE"""),80)</f>
        <v>80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IFERROR(__xludf.DUMMYFUNCTION("""COMPUTED_VALUE"""),"VCU13")</f>
        <v>VCU13</v>
      </c>
      <c r="C87" s="1" t="str">
        <f ca="1">IFERROR(__xludf.DUMMYFUNCTION("""COMPUTED_VALUE"""),"CAA")</f>
        <v>CAA</v>
      </c>
      <c r="D87" s="1" t="str">
        <f ca="1">IFERROR(__xludf.DUMMYFUNCTION("""COMPUTED_VALUE"""),"23-8")</f>
        <v>23-8</v>
      </c>
      <c r="E87" s="1" t="str">
        <f ca="1">IFERROR(__xludf.DUMMYFUNCTION("""COMPUTED_VALUE"""),"+9.09")</f>
        <v>+9.09</v>
      </c>
      <c r="F87" s="1">
        <f ca="1">IFERROR(__xludf.DUMMYFUNCTION("""COMPUTED_VALUE"""),105.6)</f>
        <v>105.6</v>
      </c>
      <c r="G87" s="1">
        <f ca="1">IFERROR(__xludf.DUMMYFUNCTION("""COMPUTED_VALUE"""),115)</f>
        <v>115</v>
      </c>
      <c r="H87" s="1">
        <f ca="1">IFERROR(__xludf.DUMMYFUNCTION("""COMPUTED_VALUE"""),96.5)</f>
        <v>96.5</v>
      </c>
      <c r="I87" s="1">
        <f ca="1">IFERROR(__xludf.DUMMYFUNCTION("""COMPUTED_VALUE"""),48)</f>
        <v>48</v>
      </c>
      <c r="J87" s="1">
        <f ca="1">IFERROR(__xludf.DUMMYFUNCTION("""COMPUTED_VALUE"""),64.4)</f>
        <v>64.400000000000006</v>
      </c>
      <c r="K87" s="1">
        <f ca="1">IFERROR(__xludf.DUMMYFUNCTION("""COMPUTED_VALUE"""),216)</f>
        <v>216</v>
      </c>
      <c r="L87" s="1" t="str">
        <f ca="1">IFERROR(__xludf.DUMMYFUNCTION("""COMPUTED_VALUE"""),"+.076")</f>
        <v>+.076</v>
      </c>
      <c r="M87" s="1">
        <f ca="1">IFERROR(__xludf.DUMMYFUNCTION("""COMPUTED_VALUE"""),25)</f>
        <v>25</v>
      </c>
      <c r="N87" s="1">
        <f ca="1">IFERROR(__xludf.DUMMYFUNCTION("""COMPUTED_VALUE"""),-0.29)</f>
        <v>-0.28999999999999998</v>
      </c>
      <c r="O87" s="1">
        <f ca="1">IFERROR(__xludf.DUMMYFUNCTION("""COMPUTED_VALUE"""),163)</f>
        <v>163</v>
      </c>
      <c r="P87" s="1">
        <f ca="1">IFERROR(__xludf.DUMMYFUNCTION("""COMPUTED_VALUE"""),102.3)</f>
        <v>102.3</v>
      </c>
      <c r="Q87" s="1">
        <f ca="1">IFERROR(__xludf.DUMMYFUNCTION("""COMPUTED_VALUE"""),208)</f>
        <v>208</v>
      </c>
      <c r="R87" s="1">
        <f ca="1">IFERROR(__xludf.DUMMYFUNCTION("""COMPUTED_VALUE"""),102.6)</f>
        <v>102.6</v>
      </c>
      <c r="S87" s="1">
        <f ca="1">IFERROR(__xludf.DUMMYFUNCTION("""COMPUTED_VALUE"""),135)</f>
        <v>135</v>
      </c>
      <c r="T87" s="1" t="str">
        <f ca="1">IFERROR(__xludf.DUMMYFUNCTION("""COMPUTED_VALUE"""),"+0.29")</f>
        <v>+0.29</v>
      </c>
      <c r="U87" s="1">
        <f ca="1">IFERROR(__xludf.DUMMYFUNCTION("""COMPUTED_VALUE"""),156)</f>
        <v>156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IFERROR(__xludf.DUMMYFUNCTION("""COMPUTED_VALUE"""),"Pacific12")</f>
        <v>Pacific12</v>
      </c>
      <c r="C88" s="1" t="str">
        <f ca="1">IFERROR(__xludf.DUMMYFUNCTION("""COMPUTED_VALUE"""),"BW")</f>
        <v>BW</v>
      </c>
      <c r="D88" s="1" t="str">
        <f ca="1">IFERROR(__xludf.DUMMYFUNCTION("""COMPUTED_VALUE"""),"25-8")</f>
        <v>25-8</v>
      </c>
      <c r="E88" s="1" t="str">
        <f ca="1">IFERROR(__xludf.DUMMYFUNCTION("""COMPUTED_VALUE"""),"+8.93")</f>
        <v>+8.93</v>
      </c>
      <c r="F88" s="1">
        <f ca="1">IFERROR(__xludf.DUMMYFUNCTION("""COMPUTED_VALUE"""),108.6)</f>
        <v>108.6</v>
      </c>
      <c r="G88" s="1">
        <f ca="1">IFERROR(__xludf.DUMMYFUNCTION("""COMPUTED_VALUE"""),76)</f>
        <v>76</v>
      </c>
      <c r="H88" s="1">
        <f ca="1">IFERROR(__xludf.DUMMYFUNCTION("""COMPUTED_VALUE"""),99.7)</f>
        <v>99.7</v>
      </c>
      <c r="I88" s="1">
        <f ca="1">IFERROR(__xludf.DUMMYFUNCTION("""COMPUTED_VALUE"""),99)</f>
        <v>99</v>
      </c>
      <c r="J88" s="1">
        <f ca="1">IFERROR(__xludf.DUMMYFUNCTION("""COMPUTED_VALUE"""),63.6)</f>
        <v>63.6</v>
      </c>
      <c r="K88" s="1">
        <f ca="1">IFERROR(__xludf.DUMMYFUNCTION("""COMPUTED_VALUE"""),249)</f>
        <v>249</v>
      </c>
      <c r="L88" s="1" t="str">
        <f ca="1">IFERROR(__xludf.DUMMYFUNCTION("""COMPUTED_VALUE"""),"+.096")</f>
        <v>+.096</v>
      </c>
      <c r="M88" s="1">
        <f ca="1">IFERROR(__xludf.DUMMYFUNCTION("""COMPUTED_VALUE"""),12)</f>
        <v>12</v>
      </c>
      <c r="N88" s="1" t="str">
        <f ca="1">IFERROR(__xludf.DUMMYFUNCTION("""COMPUTED_VALUE"""),"+0.28")</f>
        <v>+0.28</v>
      </c>
      <c r="O88" s="1">
        <f ca="1">IFERROR(__xludf.DUMMYFUNCTION("""COMPUTED_VALUE"""),150)</f>
        <v>150</v>
      </c>
      <c r="P88" s="1">
        <f ca="1">IFERROR(__xludf.DUMMYFUNCTION("""COMPUTED_VALUE"""),103.4)</f>
        <v>103.4</v>
      </c>
      <c r="Q88" s="1">
        <f ca="1">IFERROR(__xludf.DUMMYFUNCTION("""COMPUTED_VALUE"""),164)</f>
        <v>164</v>
      </c>
      <c r="R88" s="1">
        <f ca="1">IFERROR(__xludf.DUMMYFUNCTION("""COMPUTED_VALUE"""),103.1)</f>
        <v>103.1</v>
      </c>
      <c r="S88" s="1">
        <f ca="1">IFERROR(__xludf.DUMMYFUNCTION("""COMPUTED_VALUE"""),147)</f>
        <v>147</v>
      </c>
      <c r="T88" s="1" t="str">
        <f ca="1">IFERROR(__xludf.DUMMYFUNCTION("""COMPUTED_VALUE"""),"+3.56")</f>
        <v>+3.56</v>
      </c>
      <c r="U88" s="1">
        <f ca="1">IFERROR(__xludf.DUMMYFUNCTION("""COMPUTED_VALUE"""),66)</f>
        <v>66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IFERROR(__xludf.DUMMYFUNCTION("""COMPUTED_VALUE"""),"Kansas St.")</f>
        <v>Kansas St.</v>
      </c>
      <c r="C89" s="1" t="str">
        <f ca="1">IFERROR(__xludf.DUMMYFUNCTION("""COMPUTED_VALUE"""),"B12")</f>
        <v>B12</v>
      </c>
      <c r="D89" s="1" t="str">
        <f ca="1">IFERROR(__xludf.DUMMYFUNCTION("""COMPUTED_VALUE"""),"14-14")</f>
        <v>14-14</v>
      </c>
      <c r="E89" s="1" t="str">
        <f ca="1">IFERROR(__xludf.DUMMYFUNCTION("""COMPUTED_VALUE"""),"+8.89")</f>
        <v>+8.89</v>
      </c>
      <c r="F89" s="1">
        <f ca="1">IFERROR(__xludf.DUMMYFUNCTION("""COMPUTED_VALUE"""),104.6)</f>
        <v>104.6</v>
      </c>
      <c r="G89" s="1">
        <f ca="1">IFERROR(__xludf.DUMMYFUNCTION("""COMPUTED_VALUE"""),131)</f>
        <v>131</v>
      </c>
      <c r="H89" s="1">
        <f ca="1">IFERROR(__xludf.DUMMYFUNCTION("""COMPUTED_VALUE"""),95.7)</f>
        <v>95.7</v>
      </c>
      <c r="I89" s="1">
        <f ca="1">IFERROR(__xludf.DUMMYFUNCTION("""COMPUTED_VALUE"""),40)</f>
        <v>40</v>
      </c>
      <c r="J89" s="1">
        <f ca="1">IFERROR(__xludf.DUMMYFUNCTION("""COMPUTED_VALUE"""),64.9)</f>
        <v>64.900000000000006</v>
      </c>
      <c r="K89" s="1">
        <f ca="1">IFERROR(__xludf.DUMMYFUNCTION("""COMPUTED_VALUE"""),199)</f>
        <v>199</v>
      </c>
      <c r="L89" s="1">
        <f ca="1">IFERROR(__xludf.DUMMYFUNCTION("""COMPUTED_VALUE"""),-0.08)</f>
        <v>-0.08</v>
      </c>
      <c r="M89" s="1">
        <f ca="1">IFERROR(__xludf.DUMMYFUNCTION("""COMPUTED_VALUE"""),305)</f>
        <v>305</v>
      </c>
      <c r="N89" s="1" t="str">
        <f ca="1">IFERROR(__xludf.DUMMYFUNCTION("""COMPUTED_VALUE"""),"+5.49")</f>
        <v>+5.49</v>
      </c>
      <c r="O89" s="1">
        <f ca="1">IFERROR(__xludf.DUMMYFUNCTION("""COMPUTED_VALUE"""),71)</f>
        <v>71</v>
      </c>
      <c r="P89" s="1">
        <f ca="1">IFERROR(__xludf.DUMMYFUNCTION("""COMPUTED_VALUE"""),106.9)</f>
        <v>106.9</v>
      </c>
      <c r="Q89" s="1">
        <f ca="1">IFERROR(__xludf.DUMMYFUNCTION("""COMPUTED_VALUE"""),47)</f>
        <v>47</v>
      </c>
      <c r="R89" s="1">
        <f ca="1">IFERROR(__xludf.DUMMYFUNCTION("""COMPUTED_VALUE"""),101.4)</f>
        <v>101.4</v>
      </c>
      <c r="S89" s="1">
        <f ca="1">IFERROR(__xludf.DUMMYFUNCTION("""COMPUTED_VALUE"""),95)</f>
        <v>95</v>
      </c>
      <c r="T89" s="1">
        <f ca="1">IFERROR(__xludf.DUMMYFUNCTION("""COMPUTED_VALUE"""),-8.19)</f>
        <v>-8.19</v>
      </c>
      <c r="U89" s="1">
        <f ca="1">IFERROR(__xludf.DUMMYFUNCTION("""COMPUTED_VALUE"""),304)</f>
        <v>304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IFERROR(__xludf.DUMMYFUNCTION("""COMPUTED_VALUE"""),"Northern Iowa14")</f>
        <v>Northern Iowa14</v>
      </c>
      <c r="C90" s="1" t="str">
        <f ca="1">IFERROR(__xludf.DUMMYFUNCTION("""COMPUTED_VALUE"""),"MVC")</f>
        <v>MVC</v>
      </c>
      <c r="D90" s="1" t="str">
        <f ca="1">IFERROR(__xludf.DUMMYFUNCTION("""COMPUTED_VALUE"""),"21-10")</f>
        <v>21-10</v>
      </c>
      <c r="E90" s="1" t="str">
        <f ca="1">IFERROR(__xludf.DUMMYFUNCTION("""COMPUTED_VALUE"""),"+8.78")</f>
        <v>+8.78</v>
      </c>
      <c r="F90" s="1">
        <f ca="1">IFERROR(__xludf.DUMMYFUNCTION("""COMPUTED_VALUE"""),107.4)</f>
        <v>107.4</v>
      </c>
      <c r="G90" s="1">
        <f ca="1">IFERROR(__xludf.DUMMYFUNCTION("""COMPUTED_VALUE"""),92)</f>
        <v>92</v>
      </c>
      <c r="H90" s="1">
        <f ca="1">IFERROR(__xludf.DUMMYFUNCTION("""COMPUTED_VALUE"""),98.6)</f>
        <v>98.6</v>
      </c>
      <c r="I90" s="1">
        <f ca="1">IFERROR(__xludf.DUMMYFUNCTION("""COMPUTED_VALUE"""),77)</f>
        <v>77</v>
      </c>
      <c r="J90" s="1">
        <f ca="1">IFERROR(__xludf.DUMMYFUNCTION("""COMPUTED_VALUE"""),64.8)</f>
        <v>64.8</v>
      </c>
      <c r="K90" s="1">
        <f ca="1">IFERROR(__xludf.DUMMYFUNCTION("""COMPUTED_VALUE"""),201)</f>
        <v>201</v>
      </c>
      <c r="L90" s="1" t="str">
        <f ca="1">IFERROR(__xludf.DUMMYFUNCTION("""COMPUTED_VALUE"""),"+.022")</f>
        <v>+.022</v>
      </c>
      <c r="M90" s="1">
        <f ca="1">IFERROR(__xludf.DUMMYFUNCTION("""COMPUTED_VALUE"""),111)</f>
        <v>111</v>
      </c>
      <c r="N90" s="1" t="str">
        <f ca="1">IFERROR(__xludf.DUMMYFUNCTION("""COMPUTED_VALUE"""),"+2.45")</f>
        <v>+2.45</v>
      </c>
      <c r="O90" s="1">
        <f ca="1">IFERROR(__xludf.DUMMYFUNCTION("""COMPUTED_VALUE"""),114)</f>
        <v>114</v>
      </c>
      <c r="P90" s="1">
        <f ca="1">IFERROR(__xludf.DUMMYFUNCTION("""COMPUTED_VALUE"""),103.9)</f>
        <v>103.9</v>
      </c>
      <c r="Q90" s="1">
        <f ca="1">IFERROR(__xludf.DUMMYFUNCTION("""COMPUTED_VALUE"""),147)</f>
        <v>147</v>
      </c>
      <c r="R90" s="1">
        <f ca="1">IFERROR(__xludf.DUMMYFUNCTION("""COMPUTED_VALUE"""),101.4)</f>
        <v>101.4</v>
      </c>
      <c r="S90" s="1">
        <f ca="1">IFERROR(__xludf.DUMMYFUNCTION("""COMPUTED_VALUE"""),96)</f>
        <v>96</v>
      </c>
      <c r="T90" s="1">
        <f ca="1">IFERROR(__xludf.DUMMYFUNCTION("""COMPUTED_VALUE"""),-1.91)</f>
        <v>-1.91</v>
      </c>
      <c r="U90" s="1">
        <f ca="1">IFERROR(__xludf.DUMMYFUNCTION("""COMPUTED_VALUE"""),212)</f>
        <v>212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IFERROR(__xludf.DUMMYFUNCTION("""COMPUTED_VALUE"""),"East Tennessee St.13")</f>
        <v>East Tennessee St.13</v>
      </c>
      <c r="C91" s="1" t="str">
        <f ca="1">IFERROR(__xludf.DUMMYFUNCTION("""COMPUTED_VALUE"""),"SC")</f>
        <v>SC</v>
      </c>
      <c r="D91" s="1" t="str">
        <f ca="1">IFERROR(__xludf.DUMMYFUNCTION("""COMPUTED_VALUE"""),"27-6")</f>
        <v>27-6</v>
      </c>
      <c r="E91" s="1" t="str">
        <f ca="1">IFERROR(__xludf.DUMMYFUNCTION("""COMPUTED_VALUE"""),"+8.60")</f>
        <v>+8.60</v>
      </c>
      <c r="F91" s="1">
        <f ca="1">IFERROR(__xludf.DUMMYFUNCTION("""COMPUTED_VALUE"""),104.4)</f>
        <v>104.4</v>
      </c>
      <c r="G91" s="1">
        <f ca="1">IFERROR(__xludf.DUMMYFUNCTION("""COMPUTED_VALUE"""),140)</f>
        <v>140</v>
      </c>
      <c r="H91" s="1">
        <f ca="1">IFERROR(__xludf.DUMMYFUNCTION("""COMPUTED_VALUE"""),95.8)</f>
        <v>95.8</v>
      </c>
      <c r="I91" s="1">
        <f ca="1">IFERROR(__xludf.DUMMYFUNCTION("""COMPUTED_VALUE"""),41)</f>
        <v>41</v>
      </c>
      <c r="J91" s="1">
        <f ca="1">IFERROR(__xludf.DUMMYFUNCTION("""COMPUTED_VALUE"""),73.2)</f>
        <v>73.2</v>
      </c>
      <c r="K91" s="1">
        <f ca="1">IFERROR(__xludf.DUMMYFUNCTION("""COMPUTED_VALUE"""),3)</f>
        <v>3</v>
      </c>
      <c r="L91" s="1" t="str">
        <f ca="1">IFERROR(__xludf.DUMMYFUNCTION("""COMPUTED_VALUE"""),"+.016")</f>
        <v>+.016</v>
      </c>
      <c r="M91" s="1">
        <f ca="1">IFERROR(__xludf.DUMMYFUNCTION("""COMPUTED_VALUE"""),130)</f>
        <v>130</v>
      </c>
      <c r="N91" s="1">
        <f ca="1">IFERROR(__xludf.DUMMYFUNCTION("""COMPUTED_VALUE"""),-2.39)</f>
        <v>-2.39</v>
      </c>
      <c r="O91" s="1">
        <f ca="1">IFERROR(__xludf.DUMMYFUNCTION("""COMPUTED_VALUE"""),214)</f>
        <v>214</v>
      </c>
      <c r="P91" s="1">
        <f ca="1">IFERROR(__xludf.DUMMYFUNCTION("""COMPUTED_VALUE"""),102.2)</f>
        <v>102.2</v>
      </c>
      <c r="Q91" s="1">
        <f ca="1">IFERROR(__xludf.DUMMYFUNCTION("""COMPUTED_VALUE"""),210)</f>
        <v>210</v>
      </c>
      <c r="R91" s="1">
        <f ca="1">IFERROR(__xludf.DUMMYFUNCTION("""COMPUTED_VALUE"""),104.6)</f>
        <v>104.6</v>
      </c>
      <c r="S91" s="1">
        <f ca="1">IFERROR(__xludf.DUMMYFUNCTION("""COMPUTED_VALUE"""),201)</f>
        <v>201</v>
      </c>
      <c r="T91" s="1" t="str">
        <f ca="1">IFERROR(__xludf.DUMMYFUNCTION("""COMPUTED_VALUE"""),"+0.64")</f>
        <v>+0.64</v>
      </c>
      <c r="U91" s="1">
        <f ca="1">IFERROR(__xludf.DUMMYFUNCTION("""COMPUTED_VALUE"""),147)</f>
        <v>147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IFERROR(__xludf.DUMMYFUNCTION("""COMPUTED_VALUE"""),"Rhode Island")</f>
        <v>Rhode Island</v>
      </c>
      <c r="C92" s="1" t="str">
        <f ca="1">IFERROR(__xludf.DUMMYFUNCTION("""COMPUTED_VALUE"""),"A10")</f>
        <v>A10</v>
      </c>
      <c r="D92" s="1" t="str">
        <f ca="1">IFERROR(__xludf.DUMMYFUNCTION("""COMPUTED_VALUE"""),"20-14")</f>
        <v>20-14</v>
      </c>
      <c r="E92" s="1" t="str">
        <f ca="1">IFERROR(__xludf.DUMMYFUNCTION("""COMPUTED_VALUE"""),"+8.48")</f>
        <v>+8.48</v>
      </c>
      <c r="F92" s="1">
        <f ca="1">IFERROR(__xludf.DUMMYFUNCTION("""COMPUTED_VALUE"""),105.2)</f>
        <v>105.2</v>
      </c>
      <c r="G92" s="1">
        <f ca="1">IFERROR(__xludf.DUMMYFUNCTION("""COMPUTED_VALUE"""),122)</f>
        <v>122</v>
      </c>
      <c r="H92" s="1">
        <f ca="1">IFERROR(__xludf.DUMMYFUNCTION("""COMPUTED_VALUE"""),96.7)</f>
        <v>96.7</v>
      </c>
      <c r="I92" s="1">
        <f ca="1">IFERROR(__xludf.DUMMYFUNCTION("""COMPUTED_VALUE"""),51)</f>
        <v>51</v>
      </c>
      <c r="J92" s="1">
        <f ca="1">IFERROR(__xludf.DUMMYFUNCTION("""COMPUTED_VALUE"""),64.4)</f>
        <v>64.400000000000006</v>
      </c>
      <c r="K92" s="1">
        <f ca="1">IFERROR(__xludf.DUMMYFUNCTION("""COMPUTED_VALUE"""),217)</f>
        <v>217</v>
      </c>
      <c r="L92" s="1" t="str">
        <f ca="1">IFERROR(__xludf.DUMMYFUNCTION("""COMPUTED_VALUE"""),"+.003")</f>
        <v>+.003</v>
      </c>
      <c r="M92" s="1">
        <f ca="1">IFERROR(__xludf.DUMMYFUNCTION("""COMPUTED_VALUE"""),162)</f>
        <v>162</v>
      </c>
      <c r="N92" s="1" t="str">
        <f ca="1">IFERROR(__xludf.DUMMYFUNCTION("""COMPUTED_VALUE"""),"+2.69")</f>
        <v>+2.69</v>
      </c>
      <c r="O92" s="1">
        <f ca="1">IFERROR(__xludf.DUMMYFUNCTION("""COMPUTED_VALUE"""),112)</f>
        <v>112</v>
      </c>
      <c r="P92" s="1">
        <f ca="1">IFERROR(__xludf.DUMMYFUNCTION("""COMPUTED_VALUE"""),105.2)</f>
        <v>105.2</v>
      </c>
      <c r="Q92" s="1">
        <f ca="1">IFERROR(__xludf.DUMMYFUNCTION("""COMPUTED_VALUE"""),104)</f>
        <v>104</v>
      </c>
      <c r="R92" s="1">
        <f ca="1">IFERROR(__xludf.DUMMYFUNCTION("""COMPUTED_VALUE"""),102.5)</f>
        <v>102.5</v>
      </c>
      <c r="S92" s="1">
        <f ca="1">IFERROR(__xludf.DUMMYFUNCTION("""COMPUTED_VALUE"""),129)</f>
        <v>129</v>
      </c>
      <c r="T92" s="1" t="str">
        <f ca="1">IFERROR(__xludf.DUMMYFUNCTION("""COMPUTED_VALUE"""),"+0.47")</f>
        <v>+0.47</v>
      </c>
      <c r="U92" s="1">
        <f ca="1">IFERROR(__xludf.DUMMYFUNCTION("""COMPUTED_VALUE"""),152)</f>
        <v>152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IFERROR(__xludf.DUMMYFUNCTION("""COMPUTED_VALUE"""),"Saint Louis")</f>
        <v>Saint Louis</v>
      </c>
      <c r="C93" s="1" t="str">
        <f ca="1">IFERROR(__xludf.DUMMYFUNCTION("""COMPUTED_VALUE"""),"CUSA")</f>
        <v>CUSA</v>
      </c>
      <c r="D93" s="1" t="str">
        <f ca="1">IFERROR(__xludf.DUMMYFUNCTION("""COMPUTED_VALUE"""),"19-13")</f>
        <v>19-13</v>
      </c>
      <c r="E93" s="1" t="str">
        <f ca="1">IFERROR(__xludf.DUMMYFUNCTION("""COMPUTED_VALUE"""),"+8.21")</f>
        <v>+8.21</v>
      </c>
      <c r="F93" s="1">
        <f ca="1">IFERROR(__xludf.DUMMYFUNCTION("""COMPUTED_VALUE"""),103.5)</f>
        <v>103.5</v>
      </c>
      <c r="G93" s="1">
        <f ca="1">IFERROR(__xludf.DUMMYFUNCTION("""COMPUTED_VALUE"""),150)</f>
        <v>150</v>
      </c>
      <c r="H93" s="1">
        <f ca="1">IFERROR(__xludf.DUMMYFUNCTION("""COMPUTED_VALUE"""),95.3)</f>
        <v>95.3</v>
      </c>
      <c r="I93" s="1">
        <f ca="1">IFERROR(__xludf.DUMMYFUNCTION("""COMPUTED_VALUE"""),35)</f>
        <v>35</v>
      </c>
      <c r="J93" s="1">
        <f ca="1">IFERROR(__xludf.DUMMYFUNCTION("""COMPUTED_VALUE"""),61.3)</f>
        <v>61.3</v>
      </c>
      <c r="K93" s="1">
        <f ca="1">IFERROR(__xludf.DUMMYFUNCTION("""COMPUTED_VALUE"""),305)</f>
        <v>305</v>
      </c>
      <c r="L93" s="1" t="str">
        <f ca="1">IFERROR(__xludf.DUMMYFUNCTION("""COMPUTED_VALUE"""),"+.031")</f>
        <v>+.031</v>
      </c>
      <c r="M93" s="1">
        <f ca="1">IFERROR(__xludf.DUMMYFUNCTION("""COMPUTED_VALUE"""),89)</f>
        <v>89</v>
      </c>
      <c r="N93" s="1" t="str">
        <f ca="1">IFERROR(__xludf.DUMMYFUNCTION("""COMPUTED_VALUE"""),"+5.49")</f>
        <v>+5.49</v>
      </c>
      <c r="O93" s="1">
        <f ca="1">IFERROR(__xludf.DUMMYFUNCTION("""COMPUTED_VALUE"""),72)</f>
        <v>72</v>
      </c>
      <c r="P93" s="1">
        <f ca="1">IFERROR(__xludf.DUMMYFUNCTION("""COMPUTED_VALUE"""),105.9)</f>
        <v>105.9</v>
      </c>
      <c r="Q93" s="1">
        <f ca="1">IFERROR(__xludf.DUMMYFUNCTION("""COMPUTED_VALUE"""),80)</f>
        <v>80</v>
      </c>
      <c r="R93" s="1">
        <f ca="1">IFERROR(__xludf.DUMMYFUNCTION("""COMPUTED_VALUE"""),100.4)</f>
        <v>100.4</v>
      </c>
      <c r="S93" s="1">
        <f ca="1">IFERROR(__xludf.DUMMYFUNCTION("""COMPUTED_VALUE"""),60)</f>
        <v>60</v>
      </c>
      <c r="T93" s="1">
        <f ca="1">IFERROR(__xludf.DUMMYFUNCTION("""COMPUTED_VALUE"""),-1.49)</f>
        <v>-1.49</v>
      </c>
      <c r="U93" s="1">
        <f ca="1">IFERROR(__xludf.DUMMYFUNCTION("""COMPUTED_VALUE"""),204)</f>
        <v>204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IFERROR(__xludf.DUMMYFUNCTION("""COMPUTED_VALUE"""),"Troy St.")</f>
        <v>Troy St.</v>
      </c>
      <c r="C94" s="1" t="str">
        <f ca="1">IFERROR(__xludf.DUMMYFUNCTION("""COMPUTED_VALUE"""),"ASun")</f>
        <v>ASun</v>
      </c>
      <c r="D94" s="1" t="str">
        <f ca="1">IFERROR(__xludf.DUMMYFUNCTION("""COMPUTED_VALUE"""),"24-7")</f>
        <v>24-7</v>
      </c>
      <c r="E94" s="1" t="str">
        <f ca="1">IFERROR(__xludf.DUMMYFUNCTION("""COMPUTED_VALUE"""),"+7.82")</f>
        <v>+7.82</v>
      </c>
      <c r="F94" s="1">
        <f ca="1">IFERROR(__xludf.DUMMYFUNCTION("""COMPUTED_VALUE"""),113.5)</f>
        <v>113.5</v>
      </c>
      <c r="G94" s="1">
        <f ca="1">IFERROR(__xludf.DUMMYFUNCTION("""COMPUTED_VALUE"""),25)</f>
        <v>25</v>
      </c>
      <c r="H94" s="1">
        <f ca="1">IFERROR(__xludf.DUMMYFUNCTION("""COMPUTED_VALUE"""),105.7)</f>
        <v>105.7</v>
      </c>
      <c r="I94" s="1">
        <f ca="1">IFERROR(__xludf.DUMMYFUNCTION("""COMPUTED_VALUE"""),203)</f>
        <v>203</v>
      </c>
      <c r="J94" s="1">
        <f ca="1">IFERROR(__xludf.DUMMYFUNCTION("""COMPUTED_VALUE"""),68)</f>
        <v>68</v>
      </c>
      <c r="K94" s="1">
        <f ca="1">IFERROR(__xludf.DUMMYFUNCTION("""COMPUTED_VALUE"""),85)</f>
        <v>85</v>
      </c>
      <c r="L94" s="1" t="str">
        <f ca="1">IFERROR(__xludf.DUMMYFUNCTION("""COMPUTED_VALUE"""),"+.017")</f>
        <v>+.017</v>
      </c>
      <c r="M94" s="1">
        <f ca="1">IFERROR(__xludf.DUMMYFUNCTION("""COMPUTED_VALUE"""),124)</f>
        <v>124</v>
      </c>
      <c r="N94" s="1">
        <f ca="1">IFERROR(__xludf.DUMMYFUNCTION("""COMPUTED_VALUE"""),-5)</f>
        <v>-5</v>
      </c>
      <c r="O94" s="1">
        <f ca="1">IFERROR(__xludf.DUMMYFUNCTION("""COMPUTED_VALUE"""),246)</f>
        <v>246</v>
      </c>
      <c r="P94" s="1">
        <f ca="1">IFERROR(__xludf.DUMMYFUNCTION("""COMPUTED_VALUE"""),101.1)</f>
        <v>101.1</v>
      </c>
      <c r="Q94" s="1">
        <f ca="1">IFERROR(__xludf.DUMMYFUNCTION("""COMPUTED_VALUE"""),241)</f>
        <v>241</v>
      </c>
      <c r="R94" s="1">
        <f ca="1">IFERROR(__xludf.DUMMYFUNCTION("""COMPUTED_VALUE"""),106.1)</f>
        <v>106.1</v>
      </c>
      <c r="S94" s="1">
        <f ca="1">IFERROR(__xludf.DUMMYFUNCTION("""COMPUTED_VALUE"""),271)</f>
        <v>271</v>
      </c>
      <c r="T94" s="1" t="str">
        <f ca="1">IFERROR(__xludf.DUMMYFUNCTION("""COMPUTED_VALUE"""),"+3.83")</f>
        <v>+3.83</v>
      </c>
      <c r="U94" s="1">
        <f ca="1">IFERROR(__xludf.DUMMYFUNCTION("""COMPUTED_VALUE"""),61)</f>
        <v>61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IFERROR(__xludf.DUMMYFUNCTION("""COMPUTED_VALUE"""),"Tennessee")</f>
        <v>Tennessee</v>
      </c>
      <c r="C95" s="1" t="str">
        <f ca="1">IFERROR(__xludf.DUMMYFUNCTION("""COMPUTED_VALUE"""),"SEC")</f>
        <v>SEC</v>
      </c>
      <c r="D95" s="1" t="str">
        <f ca="1">IFERROR(__xludf.DUMMYFUNCTION("""COMPUTED_VALUE"""),"15-14")</f>
        <v>15-14</v>
      </c>
      <c r="E95" s="1" t="str">
        <f ca="1">IFERROR(__xludf.DUMMYFUNCTION("""COMPUTED_VALUE"""),"+7.30")</f>
        <v>+7.30</v>
      </c>
      <c r="F95" s="1">
        <f ca="1">IFERROR(__xludf.DUMMYFUNCTION("""COMPUTED_VALUE"""),108.5)</f>
        <v>108.5</v>
      </c>
      <c r="G95" s="1">
        <f ca="1">IFERROR(__xludf.DUMMYFUNCTION("""COMPUTED_VALUE"""),77)</f>
        <v>77</v>
      </c>
      <c r="H95" s="1">
        <f ca="1">IFERROR(__xludf.DUMMYFUNCTION("""COMPUTED_VALUE"""),101.2)</f>
        <v>101.2</v>
      </c>
      <c r="I95" s="1">
        <f ca="1">IFERROR(__xludf.DUMMYFUNCTION("""COMPUTED_VALUE"""),124)</f>
        <v>124</v>
      </c>
      <c r="J95" s="1">
        <f ca="1">IFERROR(__xludf.DUMMYFUNCTION("""COMPUTED_VALUE"""),66.1)</f>
        <v>66.099999999999994</v>
      </c>
      <c r="K95" s="1">
        <f ca="1">IFERROR(__xludf.DUMMYFUNCTION("""COMPUTED_VALUE"""),152)</f>
        <v>152</v>
      </c>
      <c r="L95" s="1" t="str">
        <f ca="1">IFERROR(__xludf.DUMMYFUNCTION("""COMPUTED_VALUE"""),"+.020")</f>
        <v>+.020</v>
      </c>
      <c r="M95" s="1">
        <f ca="1">IFERROR(__xludf.DUMMYFUNCTION("""COMPUTED_VALUE"""),119)</f>
        <v>119</v>
      </c>
      <c r="N95" s="1" t="str">
        <f ca="1">IFERROR(__xludf.DUMMYFUNCTION("""COMPUTED_VALUE"""),"+7.83")</f>
        <v>+7.83</v>
      </c>
      <c r="O95" s="1">
        <f ca="1">IFERROR(__xludf.DUMMYFUNCTION("""COMPUTED_VALUE"""),30)</f>
        <v>30</v>
      </c>
      <c r="P95" s="1">
        <f ca="1">IFERROR(__xludf.DUMMYFUNCTION("""COMPUTED_VALUE"""),107.6)</f>
        <v>107.6</v>
      </c>
      <c r="Q95" s="1">
        <f ca="1">IFERROR(__xludf.DUMMYFUNCTION("""COMPUTED_VALUE"""),31)</f>
        <v>31</v>
      </c>
      <c r="R95" s="1">
        <f ca="1">IFERROR(__xludf.DUMMYFUNCTION("""COMPUTED_VALUE"""),99.8)</f>
        <v>99.8</v>
      </c>
      <c r="S95" s="1">
        <f ca="1">IFERROR(__xludf.DUMMYFUNCTION("""COMPUTED_VALUE"""),34)</f>
        <v>34</v>
      </c>
      <c r="T95" s="1">
        <f ca="1">IFERROR(__xludf.DUMMYFUNCTION("""COMPUTED_VALUE"""),-6.49)</f>
        <v>-6.49</v>
      </c>
      <c r="U95" s="1">
        <f ca="1">IFERROR(__xludf.DUMMYFUNCTION("""COMPUTED_VALUE"""),285)</f>
        <v>285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IFERROR(__xludf.DUMMYFUNCTION("""COMPUTED_VALUE"""),"Temple")</f>
        <v>Temple</v>
      </c>
      <c r="C96" s="1" t="str">
        <f ca="1">IFERROR(__xludf.DUMMYFUNCTION("""COMPUTED_VALUE"""),"A10")</f>
        <v>A10</v>
      </c>
      <c r="D96" s="1" t="str">
        <f ca="1">IFERROR(__xludf.DUMMYFUNCTION("""COMPUTED_VALUE"""),"15-14")</f>
        <v>15-14</v>
      </c>
      <c r="E96" s="1" t="str">
        <f ca="1">IFERROR(__xludf.DUMMYFUNCTION("""COMPUTED_VALUE"""),"+7.23")</f>
        <v>+7.23</v>
      </c>
      <c r="F96" s="1">
        <f ca="1">IFERROR(__xludf.DUMMYFUNCTION("""COMPUTED_VALUE"""),109.8)</f>
        <v>109.8</v>
      </c>
      <c r="G96" s="1">
        <f ca="1">IFERROR(__xludf.DUMMYFUNCTION("""COMPUTED_VALUE"""),63)</f>
        <v>63</v>
      </c>
      <c r="H96" s="1">
        <f ca="1">IFERROR(__xludf.DUMMYFUNCTION("""COMPUTED_VALUE"""),102.5)</f>
        <v>102.5</v>
      </c>
      <c r="I96" s="1">
        <f ca="1">IFERROR(__xludf.DUMMYFUNCTION("""COMPUTED_VALUE"""),155)</f>
        <v>155</v>
      </c>
      <c r="J96" s="1">
        <f ca="1">IFERROR(__xludf.DUMMYFUNCTION("""COMPUTED_VALUE"""),60.1)</f>
        <v>60.1</v>
      </c>
      <c r="K96" s="1">
        <f ca="1">IFERROR(__xludf.DUMMYFUNCTION("""COMPUTED_VALUE"""),311)</f>
        <v>311</v>
      </c>
      <c r="L96" s="1" t="str">
        <f ca="1">IFERROR(__xludf.DUMMYFUNCTION("""COMPUTED_VALUE"""),"+.011")</f>
        <v>+.011</v>
      </c>
      <c r="M96" s="1">
        <f ca="1">IFERROR(__xludf.DUMMYFUNCTION("""COMPUTED_VALUE"""),141)</f>
        <v>141</v>
      </c>
      <c r="N96" s="1" t="str">
        <f ca="1">IFERROR(__xludf.DUMMYFUNCTION("""COMPUTED_VALUE"""),"+6.05")</f>
        <v>+6.05</v>
      </c>
      <c r="O96" s="1">
        <f ca="1">IFERROR(__xludf.DUMMYFUNCTION("""COMPUTED_VALUE"""),55)</f>
        <v>55</v>
      </c>
      <c r="P96" s="1">
        <f ca="1">IFERROR(__xludf.DUMMYFUNCTION("""COMPUTED_VALUE"""),106.2)</f>
        <v>106.2</v>
      </c>
      <c r="Q96" s="1">
        <f ca="1">IFERROR(__xludf.DUMMYFUNCTION("""COMPUTED_VALUE"""),72)</f>
        <v>72</v>
      </c>
      <c r="R96" s="1">
        <f ca="1">IFERROR(__xludf.DUMMYFUNCTION("""COMPUTED_VALUE"""),100.2)</f>
        <v>100.2</v>
      </c>
      <c r="S96" s="1">
        <f ca="1">IFERROR(__xludf.DUMMYFUNCTION("""COMPUTED_VALUE"""),49)</f>
        <v>49</v>
      </c>
      <c r="T96" s="1" t="str">
        <f ca="1">IFERROR(__xludf.DUMMYFUNCTION("""COMPUTED_VALUE"""),"+6.95")</f>
        <v>+6.95</v>
      </c>
      <c r="U96" s="1">
        <f ca="1">IFERROR(__xludf.DUMMYFUNCTION("""COMPUTED_VALUE"""),25)</f>
        <v>25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IFERROR(__xludf.DUMMYFUNCTION("""COMPUTED_VALUE"""),"Fresno St.")</f>
        <v>Fresno St.</v>
      </c>
      <c r="C97" s="1" t="str">
        <f ca="1">IFERROR(__xludf.DUMMYFUNCTION("""COMPUTED_VALUE"""),"WAC")</f>
        <v>WAC</v>
      </c>
      <c r="D97" s="1" t="str">
        <f ca="1">IFERROR(__xludf.DUMMYFUNCTION("""COMPUTED_VALUE"""),"14-15")</f>
        <v>14-15</v>
      </c>
      <c r="E97" s="1" t="str">
        <f ca="1">IFERROR(__xludf.DUMMYFUNCTION("""COMPUTED_VALUE"""),"+7.09")</f>
        <v>+7.09</v>
      </c>
      <c r="F97" s="1">
        <f ca="1">IFERROR(__xludf.DUMMYFUNCTION("""COMPUTED_VALUE"""),106.7)</f>
        <v>106.7</v>
      </c>
      <c r="G97" s="1">
        <f ca="1">IFERROR(__xludf.DUMMYFUNCTION("""COMPUTED_VALUE"""),99)</f>
        <v>99</v>
      </c>
      <c r="H97" s="1">
        <f ca="1">IFERROR(__xludf.DUMMYFUNCTION("""COMPUTED_VALUE"""),99.6)</f>
        <v>99.6</v>
      </c>
      <c r="I97" s="1">
        <f ca="1">IFERROR(__xludf.DUMMYFUNCTION("""COMPUTED_VALUE"""),97)</f>
        <v>97</v>
      </c>
      <c r="J97" s="1">
        <f ca="1">IFERROR(__xludf.DUMMYFUNCTION("""COMPUTED_VALUE"""),58.7)</f>
        <v>58.7</v>
      </c>
      <c r="K97" s="1">
        <f ca="1">IFERROR(__xludf.DUMMYFUNCTION("""COMPUTED_VALUE"""),319)</f>
        <v>319</v>
      </c>
      <c r="L97" s="1">
        <f ca="1">IFERROR(__xludf.DUMMYFUNCTION("""COMPUTED_VALUE"""),-0.066)</f>
        <v>-6.6000000000000003E-2</v>
      </c>
      <c r="M97" s="1">
        <f ca="1">IFERROR(__xludf.DUMMYFUNCTION("""COMPUTED_VALUE"""),287)</f>
        <v>287</v>
      </c>
      <c r="N97" s="1" t="str">
        <f ca="1">IFERROR(__xludf.DUMMYFUNCTION("""COMPUTED_VALUE"""),"+5.37")</f>
        <v>+5.37</v>
      </c>
      <c r="O97" s="1">
        <f ca="1">IFERROR(__xludf.DUMMYFUNCTION("""COMPUTED_VALUE"""),74)</f>
        <v>74</v>
      </c>
      <c r="P97" s="1">
        <f ca="1">IFERROR(__xludf.DUMMYFUNCTION("""COMPUTED_VALUE"""),105.9)</f>
        <v>105.9</v>
      </c>
      <c r="Q97" s="1">
        <f ca="1">IFERROR(__xludf.DUMMYFUNCTION("""COMPUTED_VALUE"""),79)</f>
        <v>79</v>
      </c>
      <c r="R97" s="1">
        <f ca="1">IFERROR(__xludf.DUMMYFUNCTION("""COMPUTED_VALUE"""),100.5)</f>
        <v>100.5</v>
      </c>
      <c r="S97" s="1">
        <f ca="1">IFERROR(__xludf.DUMMYFUNCTION("""COMPUTED_VALUE"""),67)</f>
        <v>67</v>
      </c>
      <c r="T97" s="1" t="str">
        <f ca="1">IFERROR(__xludf.DUMMYFUNCTION("""COMPUTED_VALUE"""),"+2.19")</f>
        <v>+2.19</v>
      </c>
      <c r="U97" s="1">
        <f ca="1">IFERROR(__xludf.DUMMYFUNCTION("""COMPUTED_VALUE"""),106)</f>
        <v>106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IFERROR(__xludf.DUMMYFUNCTION("""COMPUTED_VALUE"""),"Marquette")</f>
        <v>Marquette</v>
      </c>
      <c r="C98" s="1" t="str">
        <f ca="1">IFERROR(__xludf.DUMMYFUNCTION("""COMPUTED_VALUE"""),"CUSA")</f>
        <v>CUSA</v>
      </c>
      <c r="D98" s="1" t="str">
        <f ca="1">IFERROR(__xludf.DUMMYFUNCTION("""COMPUTED_VALUE"""),"19-12")</f>
        <v>19-12</v>
      </c>
      <c r="E98" s="1" t="str">
        <f ca="1">IFERROR(__xludf.DUMMYFUNCTION("""COMPUTED_VALUE"""),"+7.03")</f>
        <v>+7.03</v>
      </c>
      <c r="F98" s="1">
        <f ca="1">IFERROR(__xludf.DUMMYFUNCTION("""COMPUTED_VALUE"""),111.7)</f>
        <v>111.7</v>
      </c>
      <c r="G98" s="1">
        <f ca="1">IFERROR(__xludf.DUMMYFUNCTION("""COMPUTED_VALUE"""),44)</f>
        <v>44</v>
      </c>
      <c r="H98" s="1">
        <f ca="1">IFERROR(__xludf.DUMMYFUNCTION("""COMPUTED_VALUE"""),104.6)</f>
        <v>104.6</v>
      </c>
      <c r="I98" s="1">
        <f ca="1">IFERROR(__xludf.DUMMYFUNCTION("""COMPUTED_VALUE"""),182)</f>
        <v>182</v>
      </c>
      <c r="J98" s="1">
        <f ca="1">IFERROR(__xludf.DUMMYFUNCTION("""COMPUTED_VALUE"""),64.2)</f>
        <v>64.2</v>
      </c>
      <c r="K98" s="1">
        <f ca="1">IFERROR(__xludf.DUMMYFUNCTION("""COMPUTED_VALUE"""),223)</f>
        <v>223</v>
      </c>
      <c r="L98" s="1" t="str">
        <f ca="1">IFERROR(__xludf.DUMMYFUNCTION("""COMPUTED_VALUE"""),"+.020")</f>
        <v>+.020</v>
      </c>
      <c r="M98" s="1">
        <f ca="1">IFERROR(__xludf.DUMMYFUNCTION("""COMPUTED_VALUE"""),118)</f>
        <v>118</v>
      </c>
      <c r="N98" s="1" t="str">
        <f ca="1">IFERROR(__xludf.DUMMYFUNCTION("""COMPUTED_VALUE"""),"+3.10")</f>
        <v>+3.10</v>
      </c>
      <c r="O98" s="1">
        <f ca="1">IFERROR(__xludf.DUMMYFUNCTION("""COMPUTED_VALUE"""),108)</f>
        <v>108</v>
      </c>
      <c r="P98" s="1">
        <f ca="1">IFERROR(__xludf.DUMMYFUNCTION("""COMPUTED_VALUE"""),104.3)</f>
        <v>104.3</v>
      </c>
      <c r="Q98" s="1">
        <f ca="1">IFERROR(__xludf.DUMMYFUNCTION("""COMPUTED_VALUE"""),131)</f>
        <v>131</v>
      </c>
      <c r="R98" s="1">
        <f ca="1">IFERROR(__xludf.DUMMYFUNCTION("""COMPUTED_VALUE"""),101.2)</f>
        <v>101.2</v>
      </c>
      <c r="S98" s="1">
        <f ca="1">IFERROR(__xludf.DUMMYFUNCTION("""COMPUTED_VALUE"""),90)</f>
        <v>90</v>
      </c>
      <c r="T98" s="1">
        <f ca="1">IFERROR(__xludf.DUMMYFUNCTION("""COMPUTED_VALUE"""),-6.5)</f>
        <v>-6.5</v>
      </c>
      <c r="U98" s="1">
        <f ca="1">IFERROR(__xludf.DUMMYFUNCTION("""COMPUTED_VALUE"""),286)</f>
        <v>286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IFERROR(__xludf.DUMMYFUNCTION("""COMPUTED_VALUE"""),"West Virginia")</f>
        <v>West Virginia</v>
      </c>
      <c r="C99" s="1" t="str">
        <f ca="1">IFERROR(__xludf.DUMMYFUNCTION("""COMPUTED_VALUE"""),"BE")</f>
        <v>BE</v>
      </c>
      <c r="D99" s="1" t="str">
        <f ca="1">IFERROR(__xludf.DUMMYFUNCTION("""COMPUTED_VALUE"""),"17-14")</f>
        <v>17-14</v>
      </c>
      <c r="E99" s="1" t="str">
        <f ca="1">IFERROR(__xludf.DUMMYFUNCTION("""COMPUTED_VALUE"""),"+6.81")</f>
        <v>+6.81</v>
      </c>
      <c r="F99" s="1">
        <f ca="1">IFERROR(__xludf.DUMMYFUNCTION("""COMPUTED_VALUE"""),107)</f>
        <v>107</v>
      </c>
      <c r="G99" s="1">
        <f ca="1">IFERROR(__xludf.DUMMYFUNCTION("""COMPUTED_VALUE"""),95)</f>
        <v>95</v>
      </c>
      <c r="H99" s="1">
        <f ca="1">IFERROR(__xludf.DUMMYFUNCTION("""COMPUTED_VALUE"""),100.2)</f>
        <v>100.2</v>
      </c>
      <c r="I99" s="1">
        <f ca="1">IFERROR(__xludf.DUMMYFUNCTION("""COMPUTED_VALUE"""),104)</f>
        <v>104</v>
      </c>
      <c r="J99" s="1">
        <f ca="1">IFERROR(__xludf.DUMMYFUNCTION("""COMPUTED_VALUE"""),62.3)</f>
        <v>62.3</v>
      </c>
      <c r="K99" s="1">
        <f ca="1">IFERROR(__xludf.DUMMYFUNCTION("""COMPUTED_VALUE"""),288)</f>
        <v>288</v>
      </c>
      <c r="L99" s="1" t="str">
        <f ca="1">IFERROR(__xludf.DUMMYFUNCTION("""COMPUTED_VALUE"""),"+.064")</f>
        <v>+.064</v>
      </c>
      <c r="M99" s="1">
        <f ca="1">IFERROR(__xludf.DUMMYFUNCTION("""COMPUTED_VALUE"""),37)</f>
        <v>37</v>
      </c>
      <c r="N99" s="1" t="str">
        <f ca="1">IFERROR(__xludf.DUMMYFUNCTION("""COMPUTED_VALUE"""),"+6.80")</f>
        <v>+6.80</v>
      </c>
      <c r="O99" s="1">
        <f ca="1">IFERROR(__xludf.DUMMYFUNCTION("""COMPUTED_VALUE"""),42)</f>
        <v>42</v>
      </c>
      <c r="P99" s="1">
        <f ca="1">IFERROR(__xludf.DUMMYFUNCTION("""COMPUTED_VALUE"""),106.6)</f>
        <v>106.6</v>
      </c>
      <c r="Q99" s="1">
        <f ca="1">IFERROR(__xludf.DUMMYFUNCTION("""COMPUTED_VALUE"""),60)</f>
        <v>60</v>
      </c>
      <c r="R99" s="1">
        <f ca="1">IFERROR(__xludf.DUMMYFUNCTION("""COMPUTED_VALUE"""),99.8)</f>
        <v>99.8</v>
      </c>
      <c r="S99" s="1">
        <f ca="1">IFERROR(__xludf.DUMMYFUNCTION("""COMPUTED_VALUE"""),31)</f>
        <v>31</v>
      </c>
      <c r="T99" s="1" t="str">
        <f ca="1">IFERROR(__xludf.DUMMYFUNCTION("""COMPUTED_VALUE"""),"+0.71")</f>
        <v>+0.71</v>
      </c>
      <c r="U99" s="1">
        <f ca="1">IFERROR(__xludf.DUMMYFUNCTION("""COMPUTED_VALUE"""),146)</f>
        <v>146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IFERROR(__xludf.DUMMYFUNCTION("""COMPUTED_VALUE"""),"Indiana")</f>
        <v>Indiana</v>
      </c>
      <c r="C100" s="1" t="str">
        <f ca="1">IFERROR(__xludf.DUMMYFUNCTION("""COMPUTED_VALUE"""),"B10")</f>
        <v>B10</v>
      </c>
      <c r="D100" s="1" t="str">
        <f ca="1">IFERROR(__xludf.DUMMYFUNCTION("""COMPUTED_VALUE"""),"14-15")</f>
        <v>14-15</v>
      </c>
      <c r="E100" s="1" t="str">
        <f ca="1">IFERROR(__xludf.DUMMYFUNCTION("""COMPUTED_VALUE"""),"+6.81")</f>
        <v>+6.81</v>
      </c>
      <c r="F100" s="1">
        <f ca="1">IFERROR(__xludf.DUMMYFUNCTION("""COMPUTED_VALUE"""),105.3)</f>
        <v>105.3</v>
      </c>
      <c r="G100" s="1">
        <f ca="1">IFERROR(__xludf.DUMMYFUNCTION("""COMPUTED_VALUE"""),120)</f>
        <v>120</v>
      </c>
      <c r="H100" s="1">
        <f ca="1">IFERROR(__xludf.DUMMYFUNCTION("""COMPUTED_VALUE"""),98.4)</f>
        <v>98.4</v>
      </c>
      <c r="I100" s="1">
        <f ca="1">IFERROR(__xludf.DUMMYFUNCTION("""COMPUTED_VALUE"""),72)</f>
        <v>72</v>
      </c>
      <c r="J100" s="1">
        <f ca="1">IFERROR(__xludf.DUMMYFUNCTION("""COMPUTED_VALUE"""),64)</f>
        <v>64</v>
      </c>
      <c r="K100" s="1">
        <f ca="1">IFERROR(__xludf.DUMMYFUNCTION("""COMPUTED_VALUE"""),234)</f>
        <v>234</v>
      </c>
      <c r="L100" s="1" t="str">
        <f ca="1">IFERROR(__xludf.DUMMYFUNCTION("""COMPUTED_VALUE"""),"+.053")</f>
        <v>+.053</v>
      </c>
      <c r="M100" s="1">
        <f ca="1">IFERROR(__xludf.DUMMYFUNCTION("""COMPUTED_VALUE"""),53)</f>
        <v>53</v>
      </c>
      <c r="N100" s="1" t="str">
        <f ca="1">IFERROR(__xludf.DUMMYFUNCTION("""COMPUTED_VALUE"""),"+8.97")</f>
        <v>+8.97</v>
      </c>
      <c r="O100" s="1">
        <f ca="1">IFERROR(__xludf.DUMMYFUNCTION("""COMPUTED_VALUE"""),17)</f>
        <v>17</v>
      </c>
      <c r="P100" s="1">
        <f ca="1">IFERROR(__xludf.DUMMYFUNCTION("""COMPUTED_VALUE"""),109.3)</f>
        <v>109.3</v>
      </c>
      <c r="Q100" s="1">
        <f ca="1">IFERROR(__xludf.DUMMYFUNCTION("""COMPUTED_VALUE"""),8)</f>
        <v>8</v>
      </c>
      <c r="R100" s="1">
        <f ca="1">IFERROR(__xludf.DUMMYFUNCTION("""COMPUTED_VALUE"""),100.3)</f>
        <v>100.3</v>
      </c>
      <c r="S100" s="1">
        <f ca="1">IFERROR(__xludf.DUMMYFUNCTION("""COMPUTED_VALUE"""),53)</f>
        <v>53</v>
      </c>
      <c r="T100" s="1" t="str">
        <f ca="1">IFERROR(__xludf.DUMMYFUNCTION("""COMPUTED_VALUE"""),"+8.13")</f>
        <v>+8.13</v>
      </c>
      <c r="U100" s="1">
        <f ca="1">IFERROR(__xludf.DUMMYFUNCTION("""COMPUTED_VALUE"""),14)</f>
        <v>14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IFERROR(__xludf.DUMMYFUNCTION("""COMPUTED_VALUE"""),"Southwest Missouri St.")</f>
        <v>Southwest Missouri St.</v>
      </c>
      <c r="C101" s="1" t="str">
        <f ca="1">IFERROR(__xludf.DUMMYFUNCTION("""COMPUTED_VALUE"""),"MVC")</f>
        <v>MVC</v>
      </c>
      <c r="D101" s="1" t="str">
        <f ca="1">IFERROR(__xludf.DUMMYFUNCTION("""COMPUTED_VALUE"""),"19-14")</f>
        <v>19-14</v>
      </c>
      <c r="E101" s="1" t="str">
        <f ca="1">IFERROR(__xludf.DUMMYFUNCTION("""COMPUTED_VALUE"""),"+6.48")</f>
        <v>+6.48</v>
      </c>
      <c r="F101" s="1">
        <f ca="1">IFERROR(__xludf.DUMMYFUNCTION("""COMPUTED_VALUE"""),105.6)</f>
        <v>105.6</v>
      </c>
      <c r="G101" s="1">
        <f ca="1">IFERROR(__xludf.DUMMYFUNCTION("""COMPUTED_VALUE"""),116)</f>
        <v>116</v>
      </c>
      <c r="H101" s="1">
        <f ca="1">IFERROR(__xludf.DUMMYFUNCTION("""COMPUTED_VALUE"""),99.1)</f>
        <v>99.1</v>
      </c>
      <c r="I101" s="1">
        <f ca="1">IFERROR(__xludf.DUMMYFUNCTION("""COMPUTED_VALUE"""),86)</f>
        <v>86</v>
      </c>
      <c r="J101" s="1">
        <f ca="1">IFERROR(__xludf.DUMMYFUNCTION("""COMPUTED_VALUE"""),63.2)</f>
        <v>63.2</v>
      </c>
      <c r="K101" s="1">
        <f ca="1">IFERROR(__xludf.DUMMYFUNCTION("""COMPUTED_VALUE"""),265)</f>
        <v>265</v>
      </c>
      <c r="L101" s="1">
        <f ca="1">IFERROR(__xludf.DUMMYFUNCTION("""COMPUTED_VALUE"""),-0.026)</f>
        <v>-2.5999999999999999E-2</v>
      </c>
      <c r="M101" s="1">
        <f ca="1">IFERROR(__xludf.DUMMYFUNCTION("""COMPUTED_VALUE"""),230)</f>
        <v>230</v>
      </c>
      <c r="N101" s="1" t="str">
        <f ca="1">IFERROR(__xludf.DUMMYFUNCTION("""COMPUTED_VALUE"""),"+1.31")</f>
        <v>+1.31</v>
      </c>
      <c r="O101" s="1">
        <f ca="1">IFERROR(__xludf.DUMMYFUNCTION("""COMPUTED_VALUE"""),138)</f>
        <v>138</v>
      </c>
      <c r="P101" s="1">
        <f ca="1">IFERROR(__xludf.DUMMYFUNCTION("""COMPUTED_VALUE"""),103.4)</f>
        <v>103.4</v>
      </c>
      <c r="Q101" s="1">
        <f ca="1">IFERROR(__xludf.DUMMYFUNCTION("""COMPUTED_VALUE"""),167)</f>
        <v>167</v>
      </c>
      <c r="R101" s="1">
        <f ca="1">IFERROR(__xludf.DUMMYFUNCTION("""COMPUTED_VALUE"""),102.1)</f>
        <v>102.1</v>
      </c>
      <c r="S101" s="1">
        <f ca="1">IFERROR(__xludf.DUMMYFUNCTION("""COMPUTED_VALUE"""),113)</f>
        <v>113</v>
      </c>
      <c r="T101" s="1">
        <f ca="1">IFERROR(__xludf.DUMMYFUNCTION("""COMPUTED_VALUE"""),-4.18)</f>
        <v>-4.18</v>
      </c>
      <c r="U101" s="1">
        <f ca="1">IFERROR(__xludf.DUMMYFUNCTION("""COMPUTED_VALUE"""),253)</f>
        <v>253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IFERROR(__xludf.DUMMYFUNCTION("""COMPUTED_VALUE"""),"George Mason")</f>
        <v>George Mason</v>
      </c>
      <c r="C102" s="1" t="str">
        <f ca="1">IFERROR(__xludf.DUMMYFUNCTION("""COMPUTED_VALUE"""),"CAA")</f>
        <v>CAA</v>
      </c>
      <c r="D102" s="1" t="str">
        <f ca="1">IFERROR(__xludf.DUMMYFUNCTION("""COMPUTED_VALUE"""),"23-10")</f>
        <v>23-10</v>
      </c>
      <c r="E102" s="1" t="str">
        <f ca="1">IFERROR(__xludf.DUMMYFUNCTION("""COMPUTED_VALUE"""),"+6.24")</f>
        <v>+6.24</v>
      </c>
      <c r="F102" s="1">
        <f ca="1">IFERROR(__xludf.DUMMYFUNCTION("""COMPUTED_VALUE"""),103)</f>
        <v>103</v>
      </c>
      <c r="G102" s="1">
        <f ca="1">IFERROR(__xludf.DUMMYFUNCTION("""COMPUTED_VALUE"""),155)</f>
        <v>155</v>
      </c>
      <c r="H102" s="1">
        <f ca="1">IFERROR(__xludf.DUMMYFUNCTION("""COMPUTED_VALUE"""),96.8)</f>
        <v>96.8</v>
      </c>
      <c r="I102" s="1">
        <f ca="1">IFERROR(__xludf.DUMMYFUNCTION("""COMPUTED_VALUE"""),52)</f>
        <v>52</v>
      </c>
      <c r="J102" s="1">
        <f ca="1">IFERROR(__xludf.DUMMYFUNCTION("""COMPUTED_VALUE"""),67.5)</f>
        <v>67.5</v>
      </c>
      <c r="K102" s="1">
        <f ca="1">IFERROR(__xludf.DUMMYFUNCTION("""COMPUTED_VALUE"""),103)</f>
        <v>103</v>
      </c>
      <c r="L102" s="1" t="str">
        <f ca="1">IFERROR(__xludf.DUMMYFUNCTION("""COMPUTED_VALUE"""),"+.093")</f>
        <v>+.093</v>
      </c>
      <c r="M102" s="1">
        <f ca="1">IFERROR(__xludf.DUMMYFUNCTION("""COMPUTED_VALUE"""),15)</f>
        <v>15</v>
      </c>
      <c r="N102" s="1" t="str">
        <f ca="1">IFERROR(__xludf.DUMMYFUNCTION("""COMPUTED_VALUE"""),"+0.36")</f>
        <v>+0.36</v>
      </c>
      <c r="O102" s="1">
        <f ca="1">IFERROR(__xludf.DUMMYFUNCTION("""COMPUTED_VALUE"""),148)</f>
        <v>148</v>
      </c>
      <c r="P102" s="1">
        <f ca="1">IFERROR(__xludf.DUMMYFUNCTION("""COMPUTED_VALUE"""),103)</f>
        <v>103</v>
      </c>
      <c r="Q102" s="1">
        <f ca="1">IFERROR(__xludf.DUMMYFUNCTION("""COMPUTED_VALUE"""),183)</f>
        <v>183</v>
      </c>
      <c r="R102" s="1">
        <f ca="1">IFERROR(__xludf.DUMMYFUNCTION("""COMPUTED_VALUE"""),102.6)</f>
        <v>102.6</v>
      </c>
      <c r="S102" s="1">
        <f ca="1">IFERROR(__xludf.DUMMYFUNCTION("""COMPUTED_VALUE"""),136)</f>
        <v>136</v>
      </c>
      <c r="T102" s="1">
        <f ca="1">IFERROR(__xludf.DUMMYFUNCTION("""COMPUTED_VALUE"""),-0.35)</f>
        <v>-0.35</v>
      </c>
      <c r="U102" s="1">
        <f ca="1">IFERROR(__xludf.DUMMYFUNCTION("""COMPUTED_VALUE"""),174)</f>
        <v>174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IFERROR(__xludf.DUMMYFUNCTION("""COMPUTED_VALUE"""),"Arkansas")</f>
        <v>Arkansas</v>
      </c>
      <c r="C103" s="1" t="str">
        <f ca="1">IFERROR(__xludf.DUMMYFUNCTION("""COMPUTED_VALUE"""),"SEC")</f>
        <v>SEC</v>
      </c>
      <c r="D103" s="2">
        <f ca="1">IFERROR(__xludf.DUMMYFUNCTION("""COMPUTED_VALUE"""),44911)</f>
        <v>44911</v>
      </c>
      <c r="E103" s="1" t="str">
        <f ca="1">IFERROR(__xludf.DUMMYFUNCTION("""COMPUTED_VALUE"""),"+6.03")</f>
        <v>+6.03</v>
      </c>
      <c r="F103" s="1">
        <f ca="1">IFERROR(__xludf.DUMMYFUNCTION("""COMPUTED_VALUE"""),104.6)</f>
        <v>104.6</v>
      </c>
      <c r="G103" s="1">
        <f ca="1">IFERROR(__xludf.DUMMYFUNCTION("""COMPUTED_VALUE"""),132)</f>
        <v>132</v>
      </c>
      <c r="H103" s="1">
        <f ca="1">IFERROR(__xludf.DUMMYFUNCTION("""COMPUTED_VALUE"""),98.6)</f>
        <v>98.6</v>
      </c>
      <c r="I103" s="1">
        <f ca="1">IFERROR(__xludf.DUMMYFUNCTION("""COMPUTED_VALUE"""),76)</f>
        <v>76</v>
      </c>
      <c r="J103" s="1">
        <f ca="1">IFERROR(__xludf.DUMMYFUNCTION("""COMPUTED_VALUE"""),66.1)</f>
        <v>66.099999999999994</v>
      </c>
      <c r="K103" s="1">
        <f ca="1">IFERROR(__xludf.DUMMYFUNCTION("""COMPUTED_VALUE"""),153)</f>
        <v>153</v>
      </c>
      <c r="L103" s="1">
        <f ca="1">IFERROR(__xludf.DUMMYFUNCTION("""COMPUTED_VALUE"""),-0.067)</f>
        <v>-6.7000000000000004E-2</v>
      </c>
      <c r="M103" s="1">
        <f ca="1">IFERROR(__xludf.DUMMYFUNCTION("""COMPUTED_VALUE"""),289)</f>
        <v>289</v>
      </c>
      <c r="N103" s="1" t="str">
        <f ca="1">IFERROR(__xludf.DUMMYFUNCTION("""COMPUTED_VALUE"""),"+6.44")</f>
        <v>+6.44</v>
      </c>
      <c r="O103" s="1">
        <f ca="1">IFERROR(__xludf.DUMMYFUNCTION("""COMPUTED_VALUE"""),46)</f>
        <v>46</v>
      </c>
      <c r="P103" s="1">
        <f ca="1">IFERROR(__xludf.DUMMYFUNCTION("""COMPUTED_VALUE"""),107)</f>
        <v>107</v>
      </c>
      <c r="Q103" s="1">
        <f ca="1">IFERROR(__xludf.DUMMYFUNCTION("""COMPUTED_VALUE"""),42)</f>
        <v>42</v>
      </c>
      <c r="R103" s="1">
        <f ca="1">IFERROR(__xludf.DUMMYFUNCTION("""COMPUTED_VALUE"""),100.6)</f>
        <v>100.6</v>
      </c>
      <c r="S103" s="1">
        <f ca="1">IFERROR(__xludf.DUMMYFUNCTION("""COMPUTED_VALUE"""),70)</f>
        <v>70</v>
      </c>
      <c r="T103" s="1">
        <f ca="1">IFERROR(__xludf.DUMMYFUNCTION("""COMPUTED_VALUE"""),-6.94)</f>
        <v>-6.94</v>
      </c>
      <c r="U103" s="1">
        <f ca="1">IFERROR(__xludf.DUMMYFUNCTION("""COMPUTED_VALUE"""),295)</f>
        <v>295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IFERROR(__xludf.DUMMYFUNCTION("""COMPUTED_VALUE"""),"UCF14")</f>
        <v>UCF14</v>
      </c>
      <c r="C104" s="1" t="str">
        <f ca="1">IFERROR(__xludf.DUMMYFUNCTION("""COMPUTED_VALUE"""),"ASun")</f>
        <v>ASun</v>
      </c>
      <c r="D104" s="1" t="str">
        <f ca="1">IFERROR(__xludf.DUMMYFUNCTION("""COMPUTED_VALUE"""),"25-6")</f>
        <v>25-6</v>
      </c>
      <c r="E104" s="1" t="str">
        <f ca="1">IFERROR(__xludf.DUMMYFUNCTION("""COMPUTED_VALUE"""),"+5.91")</f>
        <v>+5.91</v>
      </c>
      <c r="F104" s="1">
        <f ca="1">IFERROR(__xludf.DUMMYFUNCTION("""COMPUTED_VALUE"""),103.3)</f>
        <v>103.3</v>
      </c>
      <c r="G104" s="1">
        <f ca="1">IFERROR(__xludf.DUMMYFUNCTION("""COMPUTED_VALUE"""),153)</f>
        <v>153</v>
      </c>
      <c r="H104" s="1">
        <f ca="1">IFERROR(__xludf.DUMMYFUNCTION("""COMPUTED_VALUE"""),97.4)</f>
        <v>97.4</v>
      </c>
      <c r="I104" s="1">
        <f ca="1">IFERROR(__xludf.DUMMYFUNCTION("""COMPUTED_VALUE"""),60)</f>
        <v>60</v>
      </c>
      <c r="J104" s="1">
        <f ca="1">IFERROR(__xludf.DUMMYFUNCTION("""COMPUTED_VALUE"""),62.6)</f>
        <v>62.6</v>
      </c>
      <c r="K104" s="1">
        <f ca="1">IFERROR(__xludf.DUMMYFUNCTION("""COMPUTED_VALUE"""),283)</f>
        <v>283</v>
      </c>
      <c r="L104" s="1" t="str">
        <f ca="1">IFERROR(__xludf.DUMMYFUNCTION("""COMPUTED_VALUE"""),"+.087")</f>
        <v>+.087</v>
      </c>
      <c r="M104" s="1">
        <f ca="1">IFERROR(__xludf.DUMMYFUNCTION("""COMPUTED_VALUE"""),18)</f>
        <v>18</v>
      </c>
      <c r="N104" s="1">
        <f ca="1">IFERROR(__xludf.DUMMYFUNCTION("""COMPUTED_VALUE"""),-5.87)</f>
        <v>-5.87</v>
      </c>
      <c r="O104" s="1">
        <f ca="1">IFERROR(__xludf.DUMMYFUNCTION("""COMPUTED_VALUE"""),255)</f>
        <v>255</v>
      </c>
      <c r="P104" s="1">
        <f ca="1">IFERROR(__xludf.DUMMYFUNCTION("""COMPUTED_VALUE"""),101.4)</f>
        <v>101.4</v>
      </c>
      <c r="Q104" s="1">
        <f ca="1">IFERROR(__xludf.DUMMYFUNCTION("""COMPUTED_VALUE"""),234)</f>
        <v>234</v>
      </c>
      <c r="R104" s="1">
        <f ca="1">IFERROR(__xludf.DUMMYFUNCTION("""COMPUTED_VALUE"""),107.2)</f>
        <v>107.2</v>
      </c>
      <c r="S104" s="1">
        <f ca="1">IFERROR(__xludf.DUMMYFUNCTION("""COMPUTED_VALUE"""),306)</f>
        <v>306</v>
      </c>
      <c r="T104" s="1">
        <f ca="1">IFERROR(__xludf.DUMMYFUNCTION("""COMPUTED_VALUE"""),-3.79)</f>
        <v>-3.79</v>
      </c>
      <c r="U104" s="1">
        <f ca="1">IFERROR(__xludf.DUMMYFUNCTION("""COMPUTED_VALUE"""),246)</f>
        <v>246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IFERROR(__xludf.DUMMYFUNCTION("""COMPUTED_VALUE"""),"Drexel")</f>
        <v>Drexel</v>
      </c>
      <c r="C105" s="1" t="str">
        <f ca="1">IFERROR(__xludf.DUMMYFUNCTION("""COMPUTED_VALUE"""),"CAA")</f>
        <v>CAA</v>
      </c>
      <c r="D105" s="1" t="str">
        <f ca="1">IFERROR(__xludf.DUMMYFUNCTION("""COMPUTED_VALUE"""),"18-11")</f>
        <v>18-11</v>
      </c>
      <c r="E105" s="1" t="str">
        <f ca="1">IFERROR(__xludf.DUMMYFUNCTION("""COMPUTED_VALUE"""),"+5.78")</f>
        <v>+5.78</v>
      </c>
      <c r="F105" s="1">
        <f ca="1">IFERROR(__xludf.DUMMYFUNCTION("""COMPUTED_VALUE"""),106.7)</f>
        <v>106.7</v>
      </c>
      <c r="G105" s="1">
        <f ca="1">IFERROR(__xludf.DUMMYFUNCTION("""COMPUTED_VALUE"""),100)</f>
        <v>100</v>
      </c>
      <c r="H105" s="1">
        <f ca="1">IFERROR(__xludf.DUMMYFUNCTION("""COMPUTED_VALUE"""),100.9)</f>
        <v>100.9</v>
      </c>
      <c r="I105" s="1">
        <f ca="1">IFERROR(__xludf.DUMMYFUNCTION("""COMPUTED_VALUE"""),118)</f>
        <v>118</v>
      </c>
      <c r="J105" s="1">
        <f ca="1">IFERROR(__xludf.DUMMYFUNCTION("""COMPUTED_VALUE"""),67.7)</f>
        <v>67.7</v>
      </c>
      <c r="K105" s="1">
        <f ca="1">IFERROR(__xludf.DUMMYFUNCTION("""COMPUTED_VALUE"""),95)</f>
        <v>95</v>
      </c>
      <c r="L105" s="1">
        <f ca="1">IFERROR(__xludf.DUMMYFUNCTION("""COMPUTED_VALUE"""),-0.017)</f>
        <v>-1.7000000000000001E-2</v>
      </c>
      <c r="M105" s="1">
        <f ca="1">IFERROR(__xludf.DUMMYFUNCTION("""COMPUTED_VALUE"""),206)</f>
        <v>206</v>
      </c>
      <c r="N105" s="1">
        <f ca="1">IFERROR(__xludf.DUMMYFUNCTION("""COMPUTED_VALUE"""),-1.3)</f>
        <v>-1.3</v>
      </c>
      <c r="O105" s="1">
        <f ca="1">IFERROR(__xludf.DUMMYFUNCTION("""COMPUTED_VALUE"""),188)</f>
        <v>188</v>
      </c>
      <c r="P105" s="1">
        <f ca="1">IFERROR(__xludf.DUMMYFUNCTION("""COMPUTED_VALUE"""),102.1)</f>
        <v>102.1</v>
      </c>
      <c r="Q105" s="1">
        <f ca="1">IFERROR(__xludf.DUMMYFUNCTION("""COMPUTED_VALUE"""),216)</f>
        <v>216</v>
      </c>
      <c r="R105" s="1">
        <f ca="1">IFERROR(__xludf.DUMMYFUNCTION("""COMPUTED_VALUE"""),103.4)</f>
        <v>103.4</v>
      </c>
      <c r="S105" s="1">
        <f ca="1">IFERROR(__xludf.DUMMYFUNCTION("""COMPUTED_VALUE"""),153)</f>
        <v>153</v>
      </c>
      <c r="T105" s="1">
        <f ca="1">IFERROR(__xludf.DUMMYFUNCTION("""COMPUTED_VALUE"""),-5.62)</f>
        <v>-5.62</v>
      </c>
      <c r="U105" s="1">
        <f ca="1">IFERROR(__xludf.DUMMYFUNCTION("""COMPUTED_VALUE"""),277)</f>
        <v>277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IFERROR(__xludf.DUMMYFUNCTION("""COMPUTED_VALUE"""),"Northwestern")</f>
        <v>Northwestern</v>
      </c>
      <c r="C106" s="1" t="str">
        <f ca="1">IFERROR(__xludf.DUMMYFUNCTION("""COMPUTED_VALUE"""),"B10")</f>
        <v>B10</v>
      </c>
      <c r="D106" s="1" t="str">
        <f ca="1">IFERROR(__xludf.DUMMYFUNCTION("""COMPUTED_VALUE"""),"14-15")</f>
        <v>14-15</v>
      </c>
      <c r="E106" s="1" t="str">
        <f ca="1">IFERROR(__xludf.DUMMYFUNCTION("""COMPUTED_VALUE"""),"+5.65")</f>
        <v>+5.65</v>
      </c>
      <c r="F106" s="1">
        <f ca="1">IFERROR(__xludf.DUMMYFUNCTION("""COMPUTED_VALUE"""),106.7)</f>
        <v>106.7</v>
      </c>
      <c r="G106" s="1">
        <f ca="1">IFERROR(__xludf.DUMMYFUNCTION("""COMPUTED_VALUE"""),101)</f>
        <v>101</v>
      </c>
      <c r="H106" s="1">
        <f ca="1">IFERROR(__xludf.DUMMYFUNCTION("""COMPUTED_VALUE"""),101.1)</f>
        <v>101.1</v>
      </c>
      <c r="I106" s="1">
        <f ca="1">IFERROR(__xludf.DUMMYFUNCTION("""COMPUTED_VALUE"""),123)</f>
        <v>123</v>
      </c>
      <c r="J106" s="1">
        <f ca="1">IFERROR(__xludf.DUMMYFUNCTION("""COMPUTED_VALUE"""),59.3)</f>
        <v>59.3</v>
      </c>
      <c r="K106" s="1">
        <f ca="1">IFERROR(__xludf.DUMMYFUNCTION("""COMPUTED_VALUE"""),315)</f>
        <v>315</v>
      </c>
      <c r="L106" s="1" t="str">
        <f ca="1">IFERROR(__xludf.DUMMYFUNCTION("""COMPUTED_VALUE"""),"+.023")</f>
        <v>+.023</v>
      </c>
      <c r="M106" s="1">
        <f ca="1">IFERROR(__xludf.DUMMYFUNCTION("""COMPUTED_VALUE"""),106)</f>
        <v>106</v>
      </c>
      <c r="N106" s="1" t="str">
        <f ca="1">IFERROR(__xludf.DUMMYFUNCTION("""COMPUTED_VALUE"""),"+6.62")</f>
        <v>+6.62</v>
      </c>
      <c r="O106" s="1">
        <f ca="1">IFERROR(__xludf.DUMMYFUNCTION("""COMPUTED_VALUE"""),45)</f>
        <v>45</v>
      </c>
      <c r="P106" s="1">
        <f ca="1">IFERROR(__xludf.DUMMYFUNCTION("""COMPUTED_VALUE"""),106.8)</f>
        <v>106.8</v>
      </c>
      <c r="Q106" s="1">
        <f ca="1">IFERROR(__xludf.DUMMYFUNCTION("""COMPUTED_VALUE"""),48)</f>
        <v>48</v>
      </c>
      <c r="R106" s="1">
        <f ca="1">IFERROR(__xludf.DUMMYFUNCTION("""COMPUTED_VALUE"""),100.2)</f>
        <v>100.2</v>
      </c>
      <c r="S106" s="1">
        <f ca="1">IFERROR(__xludf.DUMMYFUNCTION("""COMPUTED_VALUE"""),51)</f>
        <v>51</v>
      </c>
      <c r="T106" s="1" t="str">
        <f ca="1">IFERROR(__xludf.DUMMYFUNCTION("""COMPUTED_VALUE"""),"+2.13")</f>
        <v>+2.13</v>
      </c>
      <c r="U106" s="1">
        <f ca="1">IFERROR(__xludf.DUMMYFUNCTION("""COMPUTED_VALUE"""),108)</f>
        <v>108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IFERROR(__xludf.DUMMYFUNCTION("""COMPUTED_VALUE"""),"Old Dominion")</f>
        <v>Old Dominion</v>
      </c>
      <c r="C107" s="1" t="str">
        <f ca="1">IFERROR(__xludf.DUMMYFUNCTION("""COMPUTED_VALUE"""),"CAA")</f>
        <v>CAA</v>
      </c>
      <c r="D107" s="1" t="str">
        <f ca="1">IFERROR(__xludf.DUMMYFUNCTION("""COMPUTED_VALUE"""),"17-12")</f>
        <v>17-12</v>
      </c>
      <c r="E107" s="1" t="str">
        <f ca="1">IFERROR(__xludf.DUMMYFUNCTION("""COMPUTED_VALUE"""),"+5.57")</f>
        <v>+5.57</v>
      </c>
      <c r="F107" s="1">
        <f ca="1">IFERROR(__xludf.DUMMYFUNCTION("""COMPUTED_VALUE"""),104.6)</f>
        <v>104.6</v>
      </c>
      <c r="G107" s="1">
        <f ca="1">IFERROR(__xludf.DUMMYFUNCTION("""COMPUTED_VALUE"""),135)</f>
        <v>135</v>
      </c>
      <c r="H107" s="1">
        <f ca="1">IFERROR(__xludf.DUMMYFUNCTION("""COMPUTED_VALUE"""),99)</f>
        <v>99</v>
      </c>
      <c r="I107" s="1">
        <f ca="1">IFERROR(__xludf.DUMMYFUNCTION("""COMPUTED_VALUE"""),84)</f>
        <v>84</v>
      </c>
      <c r="J107" s="1">
        <f ca="1">IFERROR(__xludf.DUMMYFUNCTION("""COMPUTED_VALUE"""),69.1)</f>
        <v>69.099999999999994</v>
      </c>
      <c r="K107" s="1">
        <f ca="1">IFERROR(__xludf.DUMMYFUNCTION("""COMPUTED_VALUE"""),53)</f>
        <v>53</v>
      </c>
      <c r="L107" s="1">
        <f ca="1">IFERROR(__xludf.DUMMYFUNCTION("""COMPUTED_VALUE"""),-0.019)</f>
        <v>-1.9E-2</v>
      </c>
      <c r="M107" s="1">
        <f ca="1">IFERROR(__xludf.DUMMYFUNCTION("""COMPUTED_VALUE"""),214)</f>
        <v>214</v>
      </c>
      <c r="N107" s="1" t="str">
        <f ca="1">IFERROR(__xludf.DUMMYFUNCTION("""COMPUTED_VALUE"""),"+0.66")</f>
        <v>+0.66</v>
      </c>
      <c r="O107" s="1">
        <f ca="1">IFERROR(__xludf.DUMMYFUNCTION("""COMPUTED_VALUE"""),142)</f>
        <v>142</v>
      </c>
      <c r="P107" s="1">
        <f ca="1">IFERROR(__xludf.DUMMYFUNCTION("""COMPUTED_VALUE"""),103)</f>
        <v>103</v>
      </c>
      <c r="Q107" s="1">
        <f ca="1">IFERROR(__xludf.DUMMYFUNCTION("""COMPUTED_VALUE"""),182)</f>
        <v>182</v>
      </c>
      <c r="R107" s="1">
        <f ca="1">IFERROR(__xludf.DUMMYFUNCTION("""COMPUTED_VALUE"""),102.4)</f>
        <v>102.4</v>
      </c>
      <c r="S107" s="1">
        <f ca="1">IFERROR(__xludf.DUMMYFUNCTION("""COMPUTED_VALUE"""),125)</f>
        <v>125</v>
      </c>
      <c r="T107" s="1" t="str">
        <f ca="1">IFERROR(__xludf.DUMMYFUNCTION("""COMPUTED_VALUE"""),"+2.85")</f>
        <v>+2.85</v>
      </c>
      <c r="U107" s="1">
        <f ca="1">IFERROR(__xludf.DUMMYFUNCTION("""COMPUTED_VALUE"""),78)</f>
        <v>78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IFERROR(__xludf.DUMMYFUNCTION("""COMPUTED_VALUE"""),"California")</f>
        <v>California</v>
      </c>
      <c r="C108" s="1" t="str">
        <f ca="1">IFERROR(__xludf.DUMMYFUNCTION("""COMPUTED_VALUE"""),"P10")</f>
        <v>P10</v>
      </c>
      <c r="D108" s="1" t="str">
        <f ca="1">IFERROR(__xludf.DUMMYFUNCTION("""COMPUTED_VALUE"""),"13-15")</f>
        <v>13-15</v>
      </c>
      <c r="E108" s="1" t="str">
        <f ca="1">IFERROR(__xludf.DUMMYFUNCTION("""COMPUTED_VALUE"""),"+5.51")</f>
        <v>+5.51</v>
      </c>
      <c r="F108" s="1">
        <f ca="1">IFERROR(__xludf.DUMMYFUNCTION("""COMPUTED_VALUE"""),103.7)</f>
        <v>103.7</v>
      </c>
      <c r="G108" s="1">
        <f ca="1">IFERROR(__xludf.DUMMYFUNCTION("""COMPUTED_VALUE"""),147)</f>
        <v>147</v>
      </c>
      <c r="H108" s="1">
        <f ca="1">IFERROR(__xludf.DUMMYFUNCTION("""COMPUTED_VALUE"""),98.2)</f>
        <v>98.2</v>
      </c>
      <c r="I108" s="1">
        <f ca="1">IFERROR(__xludf.DUMMYFUNCTION("""COMPUTED_VALUE"""),68)</f>
        <v>68</v>
      </c>
      <c r="J108" s="1">
        <f ca="1">IFERROR(__xludf.DUMMYFUNCTION("""COMPUTED_VALUE"""),64)</f>
        <v>64</v>
      </c>
      <c r="K108" s="1">
        <f ca="1">IFERROR(__xludf.DUMMYFUNCTION("""COMPUTED_VALUE"""),237)</f>
        <v>237</v>
      </c>
      <c r="L108" s="1">
        <f ca="1">IFERROR(__xludf.DUMMYFUNCTION("""COMPUTED_VALUE"""),-0.018)</f>
        <v>-1.7999999999999999E-2</v>
      </c>
      <c r="M108" s="1">
        <f ca="1">IFERROR(__xludf.DUMMYFUNCTION("""COMPUTED_VALUE"""),213)</f>
        <v>213</v>
      </c>
      <c r="N108" s="1" t="str">
        <f ca="1">IFERROR(__xludf.DUMMYFUNCTION("""COMPUTED_VALUE"""),"+5.91")</f>
        <v>+5.91</v>
      </c>
      <c r="O108" s="1">
        <f ca="1">IFERROR(__xludf.DUMMYFUNCTION("""COMPUTED_VALUE"""),58)</f>
        <v>58</v>
      </c>
      <c r="P108" s="1">
        <f ca="1">IFERROR(__xludf.DUMMYFUNCTION("""COMPUTED_VALUE"""),107.4)</f>
        <v>107.4</v>
      </c>
      <c r="Q108" s="1">
        <f ca="1">IFERROR(__xludf.DUMMYFUNCTION("""COMPUTED_VALUE"""),35)</f>
        <v>35</v>
      </c>
      <c r="R108" s="1">
        <f ca="1">IFERROR(__xludf.DUMMYFUNCTION("""COMPUTED_VALUE"""),101.5)</f>
        <v>101.5</v>
      </c>
      <c r="S108" s="1">
        <f ca="1">IFERROR(__xludf.DUMMYFUNCTION("""COMPUTED_VALUE"""),98)</f>
        <v>98</v>
      </c>
      <c r="T108" s="1" t="str">
        <f ca="1">IFERROR(__xludf.DUMMYFUNCTION("""COMPUTED_VALUE"""),"+3.39")</f>
        <v>+3.39</v>
      </c>
      <c r="U108" s="1">
        <f ca="1">IFERROR(__xludf.DUMMYFUNCTION("""COMPUTED_VALUE"""),68)</f>
        <v>68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IFERROR(__xludf.DUMMYFUNCTION("""COMPUTED_VALUE"""),"Austin Peay")</f>
        <v>Austin Peay</v>
      </c>
      <c r="C109" s="1" t="str">
        <f ca="1">IFERROR(__xludf.DUMMYFUNCTION("""COMPUTED_VALUE"""),"OVC")</f>
        <v>OVC</v>
      </c>
      <c r="D109" s="1" t="str">
        <f ca="1">IFERROR(__xludf.DUMMYFUNCTION("""COMPUTED_VALUE"""),"22-10")</f>
        <v>22-10</v>
      </c>
      <c r="E109" s="1" t="str">
        <f ca="1">IFERROR(__xludf.DUMMYFUNCTION("""COMPUTED_VALUE"""),"+5.49")</f>
        <v>+5.49</v>
      </c>
      <c r="F109" s="1">
        <f ca="1">IFERROR(__xludf.DUMMYFUNCTION("""COMPUTED_VALUE"""),100.1)</f>
        <v>100.1</v>
      </c>
      <c r="G109" s="1">
        <f ca="1">IFERROR(__xludf.DUMMYFUNCTION("""COMPUTED_VALUE"""),215)</f>
        <v>215</v>
      </c>
      <c r="H109" s="1">
        <f ca="1">IFERROR(__xludf.DUMMYFUNCTION("""COMPUTED_VALUE"""),94.6)</f>
        <v>94.6</v>
      </c>
      <c r="I109" s="1">
        <f ca="1">IFERROR(__xludf.DUMMYFUNCTION("""COMPUTED_VALUE"""),27)</f>
        <v>27</v>
      </c>
      <c r="J109" s="1">
        <f ca="1">IFERROR(__xludf.DUMMYFUNCTION("""COMPUTED_VALUE"""),62.1)</f>
        <v>62.1</v>
      </c>
      <c r="K109" s="1">
        <f ca="1">IFERROR(__xludf.DUMMYFUNCTION("""COMPUTED_VALUE"""),294)</f>
        <v>294</v>
      </c>
      <c r="L109" s="1" t="str">
        <f ca="1">IFERROR(__xludf.DUMMYFUNCTION("""COMPUTED_VALUE"""),"+.070")</f>
        <v>+.070</v>
      </c>
      <c r="M109" s="1">
        <f ca="1">IFERROR(__xludf.DUMMYFUNCTION("""COMPUTED_VALUE"""),31)</f>
        <v>31</v>
      </c>
      <c r="N109" s="1">
        <f ca="1">IFERROR(__xludf.DUMMYFUNCTION("""COMPUTED_VALUE"""),-0.01)</f>
        <v>-0.01</v>
      </c>
      <c r="O109" s="1">
        <f ca="1">IFERROR(__xludf.DUMMYFUNCTION("""COMPUTED_VALUE"""),153)</f>
        <v>153</v>
      </c>
      <c r="P109" s="1">
        <f ca="1">IFERROR(__xludf.DUMMYFUNCTION("""COMPUTED_VALUE"""),105.4)</f>
        <v>105.4</v>
      </c>
      <c r="Q109" s="1">
        <f ca="1">IFERROR(__xludf.DUMMYFUNCTION("""COMPUTED_VALUE"""),97)</f>
        <v>97</v>
      </c>
      <c r="R109" s="1">
        <f ca="1">IFERROR(__xludf.DUMMYFUNCTION("""COMPUTED_VALUE"""),105.4)</f>
        <v>105.4</v>
      </c>
      <c r="S109" s="1">
        <f ca="1">IFERROR(__xludf.DUMMYFUNCTION("""COMPUTED_VALUE"""),236)</f>
        <v>236</v>
      </c>
      <c r="T109" s="1" t="str">
        <f ca="1">IFERROR(__xludf.DUMMYFUNCTION("""COMPUTED_VALUE"""),"+14.88")</f>
        <v>+14.88</v>
      </c>
      <c r="U109" s="1">
        <f ca="1">IFERROR(__xludf.DUMMYFUNCTION("""COMPUTED_VALUE"""),2)</f>
        <v>2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IFERROR(__xludf.DUMMYFUNCTION("""COMPUTED_VALUE"""),"Niagara")</f>
        <v>Niagara</v>
      </c>
      <c r="C110" s="1" t="str">
        <f ca="1">IFERROR(__xludf.DUMMYFUNCTION("""COMPUTED_VALUE"""),"MAAC")</f>
        <v>MAAC</v>
      </c>
      <c r="D110" s="1" t="str">
        <f ca="1">IFERROR(__xludf.DUMMYFUNCTION("""COMPUTED_VALUE"""),"22-10")</f>
        <v>22-10</v>
      </c>
      <c r="E110" s="1" t="str">
        <f ca="1">IFERROR(__xludf.DUMMYFUNCTION("""COMPUTED_VALUE"""),"+5.45")</f>
        <v>+5.45</v>
      </c>
      <c r="F110" s="1">
        <f ca="1">IFERROR(__xludf.DUMMYFUNCTION("""COMPUTED_VALUE"""),111.5)</f>
        <v>111.5</v>
      </c>
      <c r="G110" s="1">
        <f ca="1">IFERROR(__xludf.DUMMYFUNCTION("""COMPUTED_VALUE"""),45)</f>
        <v>45</v>
      </c>
      <c r="H110" s="1">
        <f ca="1">IFERROR(__xludf.DUMMYFUNCTION("""COMPUTED_VALUE"""),106.1)</f>
        <v>106.1</v>
      </c>
      <c r="I110" s="1">
        <f ca="1">IFERROR(__xludf.DUMMYFUNCTION("""COMPUTED_VALUE"""),212)</f>
        <v>212</v>
      </c>
      <c r="J110" s="1">
        <f ca="1">IFERROR(__xludf.DUMMYFUNCTION("""COMPUTED_VALUE"""),69.9)</f>
        <v>69.900000000000006</v>
      </c>
      <c r="K110" s="1">
        <f ca="1">IFERROR(__xludf.DUMMYFUNCTION("""COMPUTED_VALUE"""),28)</f>
        <v>28</v>
      </c>
      <c r="L110" s="1">
        <f ca="1">IFERROR(__xludf.DUMMYFUNCTION("""COMPUTED_VALUE"""),-0.028)</f>
        <v>-2.8000000000000001E-2</v>
      </c>
      <c r="M110" s="1">
        <f ca="1">IFERROR(__xludf.DUMMYFUNCTION("""COMPUTED_VALUE"""),233)</f>
        <v>233</v>
      </c>
      <c r="N110" s="1">
        <f ca="1">IFERROR(__xludf.DUMMYFUNCTION("""COMPUTED_VALUE"""),-3.24)</f>
        <v>-3.24</v>
      </c>
      <c r="O110" s="1">
        <f ca="1">IFERROR(__xludf.DUMMYFUNCTION("""COMPUTED_VALUE"""),227)</f>
        <v>227</v>
      </c>
      <c r="P110" s="1">
        <f ca="1">IFERROR(__xludf.DUMMYFUNCTION("""COMPUTED_VALUE"""),101.7)</f>
        <v>101.7</v>
      </c>
      <c r="Q110" s="1">
        <f ca="1">IFERROR(__xludf.DUMMYFUNCTION("""COMPUTED_VALUE"""),228)</f>
        <v>228</v>
      </c>
      <c r="R110" s="1">
        <f ca="1">IFERROR(__xludf.DUMMYFUNCTION("""COMPUTED_VALUE"""),104.9)</f>
        <v>104.9</v>
      </c>
      <c r="S110" s="1">
        <f ca="1">IFERROR(__xludf.DUMMYFUNCTION("""COMPUTED_VALUE"""),213)</f>
        <v>213</v>
      </c>
      <c r="T110" s="1">
        <f ca="1">IFERROR(__xludf.DUMMYFUNCTION("""COMPUTED_VALUE"""),-4.1)</f>
        <v>-4.0999999999999996</v>
      </c>
      <c r="U110" s="1">
        <f ca="1">IFERROR(__xludf.DUMMYFUNCTION("""COMPUTED_VALUE"""),250)</f>
        <v>250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IFERROR(__xludf.DUMMYFUNCTION("""COMPUTED_VALUE"""),"Belmont")</f>
        <v>Belmont</v>
      </c>
      <c r="C111" s="1" t="str">
        <f ca="1">IFERROR(__xludf.DUMMYFUNCTION("""COMPUTED_VALUE"""),"ASun")</f>
        <v>ASun</v>
      </c>
      <c r="D111" s="1" t="str">
        <f ca="1">IFERROR(__xludf.DUMMYFUNCTION("""COMPUTED_VALUE"""),"21-9")</f>
        <v>21-9</v>
      </c>
      <c r="E111" s="1" t="str">
        <f ca="1">IFERROR(__xludf.DUMMYFUNCTION("""COMPUTED_VALUE"""),"+5.22")</f>
        <v>+5.22</v>
      </c>
      <c r="F111" s="1">
        <f ca="1">IFERROR(__xludf.DUMMYFUNCTION("""COMPUTED_VALUE"""),106)</f>
        <v>106</v>
      </c>
      <c r="G111" s="1">
        <f ca="1">IFERROR(__xludf.DUMMYFUNCTION("""COMPUTED_VALUE"""),107)</f>
        <v>107</v>
      </c>
      <c r="H111" s="1">
        <f ca="1">IFERROR(__xludf.DUMMYFUNCTION("""COMPUTED_VALUE"""),100.8)</f>
        <v>100.8</v>
      </c>
      <c r="I111" s="1">
        <f ca="1">IFERROR(__xludf.DUMMYFUNCTION("""COMPUTED_VALUE"""),117)</f>
        <v>117</v>
      </c>
      <c r="J111" s="1">
        <f ca="1">IFERROR(__xludf.DUMMYFUNCTION("""COMPUTED_VALUE"""),63.8)</f>
        <v>63.8</v>
      </c>
      <c r="K111" s="1">
        <f ca="1">IFERROR(__xludf.DUMMYFUNCTION("""COMPUTED_VALUE"""),241)</f>
        <v>241</v>
      </c>
      <c r="L111" s="1">
        <f ca="1">IFERROR(__xludf.DUMMYFUNCTION("""COMPUTED_VALUE"""),-0.047)</f>
        <v>-4.7E-2</v>
      </c>
      <c r="M111" s="1">
        <f ca="1">IFERROR(__xludf.DUMMYFUNCTION("""COMPUTED_VALUE"""),264)</f>
        <v>264</v>
      </c>
      <c r="N111" s="1">
        <f ca="1">IFERROR(__xludf.DUMMYFUNCTION("""COMPUTED_VALUE"""),-5.08)</f>
        <v>-5.08</v>
      </c>
      <c r="O111" s="1">
        <f ca="1">IFERROR(__xludf.DUMMYFUNCTION("""COMPUTED_VALUE"""),247)</f>
        <v>247</v>
      </c>
      <c r="P111" s="1">
        <f ca="1">IFERROR(__xludf.DUMMYFUNCTION("""COMPUTED_VALUE"""),101)</f>
        <v>101</v>
      </c>
      <c r="Q111" s="1">
        <f ca="1">IFERROR(__xludf.DUMMYFUNCTION("""COMPUTED_VALUE"""),242)</f>
        <v>242</v>
      </c>
      <c r="R111" s="1">
        <f ca="1">IFERROR(__xludf.DUMMYFUNCTION("""COMPUTED_VALUE"""),106.1)</f>
        <v>106.1</v>
      </c>
      <c r="S111" s="1">
        <f ca="1">IFERROR(__xludf.DUMMYFUNCTION("""COMPUTED_VALUE"""),269)</f>
        <v>269</v>
      </c>
      <c r="T111" s="1" t="str">
        <f ca="1">IFERROR(__xludf.DUMMYFUNCTION("""COMPUTED_VALUE"""),"+7.27")</f>
        <v>+7.27</v>
      </c>
      <c r="U111" s="1">
        <f ca="1">IFERROR(__xludf.DUMMYFUNCTION("""COMPUTED_VALUE"""),21)</f>
        <v>21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IFERROR(__xludf.DUMMYFUNCTION("""COMPUTED_VALUE"""),"Fairfield")</f>
        <v>Fairfield</v>
      </c>
      <c r="C112" s="1" t="str">
        <f ca="1">IFERROR(__xludf.DUMMYFUNCTION("""COMPUTED_VALUE"""),"MAAC")</f>
        <v>MAAC</v>
      </c>
      <c r="D112" s="1" t="str">
        <f ca="1">IFERROR(__xludf.DUMMYFUNCTION("""COMPUTED_VALUE"""),"19-11")</f>
        <v>19-11</v>
      </c>
      <c r="E112" s="1" t="str">
        <f ca="1">IFERROR(__xludf.DUMMYFUNCTION("""COMPUTED_VALUE"""),"+4.95")</f>
        <v>+4.95</v>
      </c>
      <c r="F112" s="1">
        <f ca="1">IFERROR(__xludf.DUMMYFUNCTION("""COMPUTED_VALUE"""),102.2)</f>
        <v>102.2</v>
      </c>
      <c r="G112" s="1">
        <f ca="1">IFERROR(__xludf.DUMMYFUNCTION("""COMPUTED_VALUE"""),171)</f>
        <v>171</v>
      </c>
      <c r="H112" s="1">
        <f ca="1">IFERROR(__xludf.DUMMYFUNCTION("""COMPUTED_VALUE"""),97.3)</f>
        <v>97.3</v>
      </c>
      <c r="I112" s="1">
        <f ca="1">IFERROR(__xludf.DUMMYFUNCTION("""COMPUTED_VALUE"""),58)</f>
        <v>58</v>
      </c>
      <c r="J112" s="1">
        <f ca="1">IFERROR(__xludf.DUMMYFUNCTION("""COMPUTED_VALUE"""),62.1)</f>
        <v>62.1</v>
      </c>
      <c r="K112" s="1">
        <f ca="1">IFERROR(__xludf.DUMMYFUNCTION("""COMPUTED_VALUE"""),290)</f>
        <v>290</v>
      </c>
      <c r="L112" s="1" t="str">
        <f ca="1">IFERROR(__xludf.DUMMYFUNCTION("""COMPUTED_VALUE"""),"+.025")</f>
        <v>+.025</v>
      </c>
      <c r="M112" s="1">
        <f ca="1">IFERROR(__xludf.DUMMYFUNCTION("""COMPUTED_VALUE"""),103)</f>
        <v>103</v>
      </c>
      <c r="N112" s="1">
        <f ca="1">IFERROR(__xludf.DUMMYFUNCTION("""COMPUTED_VALUE"""),-2.12)</f>
        <v>-2.12</v>
      </c>
      <c r="O112" s="1">
        <f ca="1">IFERROR(__xludf.DUMMYFUNCTION("""COMPUTED_VALUE"""),206)</f>
        <v>206</v>
      </c>
      <c r="P112" s="1">
        <f ca="1">IFERROR(__xludf.DUMMYFUNCTION("""COMPUTED_VALUE"""),102.9)</f>
        <v>102.9</v>
      </c>
      <c r="Q112" s="1">
        <f ca="1">IFERROR(__xludf.DUMMYFUNCTION("""COMPUTED_VALUE"""),188)</f>
        <v>188</v>
      </c>
      <c r="R112" s="1">
        <f ca="1">IFERROR(__xludf.DUMMYFUNCTION("""COMPUTED_VALUE"""),105)</f>
        <v>105</v>
      </c>
      <c r="S112" s="1">
        <f ca="1">IFERROR(__xludf.DUMMYFUNCTION("""COMPUTED_VALUE"""),218)</f>
        <v>218</v>
      </c>
      <c r="T112" s="1" t="str">
        <f ca="1">IFERROR(__xludf.DUMMYFUNCTION("""COMPUTED_VALUE"""),"+2.62")</f>
        <v>+2.62</v>
      </c>
      <c r="U112" s="1">
        <f ca="1">IFERROR(__xludf.DUMMYFUNCTION("""COMPUTED_VALUE"""),87)</f>
        <v>87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IFERROR(__xludf.DUMMYFUNCTION("""COMPUTED_VALUE"""),"Clemson")</f>
        <v>Clemson</v>
      </c>
      <c r="C113" s="1" t="str">
        <f ca="1">IFERROR(__xludf.DUMMYFUNCTION("""COMPUTED_VALUE"""),"ACC")</f>
        <v>ACC</v>
      </c>
      <c r="D113" s="2">
        <f ca="1">IFERROR(__xludf.DUMMYFUNCTION("""COMPUTED_VALUE"""),44852)</f>
        <v>44852</v>
      </c>
      <c r="E113" s="1" t="str">
        <f ca="1">IFERROR(__xludf.DUMMYFUNCTION("""COMPUTED_VALUE"""),"+4.93")</f>
        <v>+4.93</v>
      </c>
      <c r="F113" s="1">
        <f ca="1">IFERROR(__xludf.DUMMYFUNCTION("""COMPUTED_VALUE"""),102.1)</f>
        <v>102.1</v>
      </c>
      <c r="G113" s="1">
        <f ca="1">IFERROR(__xludf.DUMMYFUNCTION("""COMPUTED_VALUE"""),176)</f>
        <v>176</v>
      </c>
      <c r="H113" s="1">
        <f ca="1">IFERROR(__xludf.DUMMYFUNCTION("""COMPUTED_VALUE"""),97.1)</f>
        <v>97.1</v>
      </c>
      <c r="I113" s="1">
        <f ca="1">IFERROR(__xludf.DUMMYFUNCTION("""COMPUTED_VALUE"""),55)</f>
        <v>55</v>
      </c>
      <c r="J113" s="1">
        <f ca="1">IFERROR(__xludf.DUMMYFUNCTION("""COMPUTED_VALUE"""),64.9)</f>
        <v>64.900000000000006</v>
      </c>
      <c r="K113" s="1">
        <f ca="1">IFERROR(__xludf.DUMMYFUNCTION("""COMPUTED_VALUE"""),198)</f>
        <v>198</v>
      </c>
      <c r="L113" s="1" t="str">
        <f ca="1">IFERROR(__xludf.DUMMYFUNCTION("""COMPUTED_VALUE"""),"+.022")</f>
        <v>+.022</v>
      </c>
      <c r="M113" s="1">
        <f ca="1">IFERROR(__xludf.DUMMYFUNCTION("""COMPUTED_VALUE"""),110)</f>
        <v>110</v>
      </c>
      <c r="N113" s="1" t="str">
        <f ca="1">IFERROR(__xludf.DUMMYFUNCTION("""COMPUTED_VALUE"""),"+13.44")</f>
        <v>+13.44</v>
      </c>
      <c r="O113" s="1">
        <f ca="1">IFERROR(__xludf.DUMMYFUNCTION("""COMPUTED_VALUE"""),5)</f>
        <v>5</v>
      </c>
      <c r="P113" s="1">
        <f ca="1">IFERROR(__xludf.DUMMYFUNCTION("""COMPUTED_VALUE"""),110.6)</f>
        <v>110.6</v>
      </c>
      <c r="Q113" s="1">
        <f ca="1">IFERROR(__xludf.DUMMYFUNCTION("""COMPUTED_VALUE"""),3)</f>
        <v>3</v>
      </c>
      <c r="R113" s="1">
        <f ca="1">IFERROR(__xludf.DUMMYFUNCTION("""COMPUTED_VALUE"""),97.2)</f>
        <v>97.2</v>
      </c>
      <c r="S113" s="1">
        <f ca="1">IFERROR(__xludf.DUMMYFUNCTION("""COMPUTED_VALUE"""),6)</f>
        <v>6</v>
      </c>
      <c r="T113" s="1">
        <f ca="1">IFERROR(__xludf.DUMMYFUNCTION("""COMPUTED_VALUE"""),-1.35)</f>
        <v>-1.35</v>
      </c>
      <c r="U113" s="1">
        <f ca="1">IFERROR(__xludf.DUMMYFUNCTION("""COMPUTED_VALUE"""),202)</f>
        <v>202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IFERROR(__xludf.DUMMYFUNCTION("""COMPUTED_VALUE"""),"Princeton14")</f>
        <v>Princeton14</v>
      </c>
      <c r="C114" s="1" t="str">
        <f ca="1">IFERROR(__xludf.DUMMYFUNCTION("""COMPUTED_VALUE"""),"Ivy")</f>
        <v>Ivy</v>
      </c>
      <c r="D114" s="1" t="str">
        <f ca="1">IFERROR(__xludf.DUMMYFUNCTION("""COMPUTED_VALUE"""),"20-8")</f>
        <v>20-8</v>
      </c>
      <c r="E114" s="1" t="str">
        <f ca="1">IFERROR(__xludf.DUMMYFUNCTION("""COMPUTED_VALUE"""),"+4.86")</f>
        <v>+4.86</v>
      </c>
      <c r="F114" s="1">
        <f ca="1">IFERROR(__xludf.DUMMYFUNCTION("""COMPUTED_VALUE"""),106.3)</f>
        <v>106.3</v>
      </c>
      <c r="G114" s="1">
        <f ca="1">IFERROR(__xludf.DUMMYFUNCTION("""COMPUTED_VALUE"""),106)</f>
        <v>106</v>
      </c>
      <c r="H114" s="1">
        <f ca="1">IFERROR(__xludf.DUMMYFUNCTION("""COMPUTED_VALUE"""),101.4)</f>
        <v>101.4</v>
      </c>
      <c r="I114" s="1">
        <f ca="1">IFERROR(__xludf.DUMMYFUNCTION("""COMPUTED_VALUE"""),127)</f>
        <v>127</v>
      </c>
      <c r="J114" s="1">
        <f ca="1">IFERROR(__xludf.DUMMYFUNCTION("""COMPUTED_VALUE"""),56.4)</f>
        <v>56.4</v>
      </c>
      <c r="K114" s="1">
        <f ca="1">IFERROR(__xludf.DUMMYFUNCTION("""COMPUTED_VALUE"""),325)</f>
        <v>325</v>
      </c>
      <c r="L114" s="1" t="str">
        <f ca="1">IFERROR(__xludf.DUMMYFUNCTION("""COMPUTED_VALUE"""),"+.033")</f>
        <v>+.033</v>
      </c>
      <c r="M114" s="1">
        <f ca="1">IFERROR(__xludf.DUMMYFUNCTION("""COMPUTED_VALUE"""),85)</f>
        <v>85</v>
      </c>
      <c r="N114" s="1">
        <f ca="1">IFERROR(__xludf.DUMMYFUNCTION("""COMPUTED_VALUE"""),-4.32)</f>
        <v>-4.32</v>
      </c>
      <c r="O114" s="1">
        <f ca="1">IFERROR(__xludf.DUMMYFUNCTION("""COMPUTED_VALUE"""),240)</f>
        <v>240</v>
      </c>
      <c r="P114" s="1">
        <f ca="1">IFERROR(__xludf.DUMMYFUNCTION("""COMPUTED_VALUE"""),100.2)</f>
        <v>100.2</v>
      </c>
      <c r="Q114" s="1">
        <f ca="1">IFERROR(__xludf.DUMMYFUNCTION("""COMPUTED_VALUE"""),254)</f>
        <v>254</v>
      </c>
      <c r="R114" s="1">
        <f ca="1">IFERROR(__xludf.DUMMYFUNCTION("""COMPUTED_VALUE"""),104.6)</f>
        <v>104.6</v>
      </c>
      <c r="S114" s="1">
        <f ca="1">IFERROR(__xludf.DUMMYFUNCTION("""COMPUTED_VALUE"""),200)</f>
        <v>200</v>
      </c>
      <c r="T114" s="1">
        <f ca="1">IFERROR(__xludf.DUMMYFUNCTION("""COMPUTED_VALUE"""),-0.07)</f>
        <v>-7.0000000000000007E-2</v>
      </c>
      <c r="U114" s="1">
        <f ca="1">IFERROR(__xludf.DUMMYFUNCTION("""COMPUTED_VALUE"""),166)</f>
        <v>166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IFERROR(__xludf.DUMMYFUNCTION("""COMPUTED_VALUE"""),"Buffalo")</f>
        <v>Buffalo</v>
      </c>
      <c r="C115" s="1" t="str">
        <f ca="1">IFERROR(__xludf.DUMMYFUNCTION("""COMPUTED_VALUE"""),"MAC")</f>
        <v>MAC</v>
      </c>
      <c r="D115" s="1" t="str">
        <f ca="1">IFERROR(__xludf.DUMMYFUNCTION("""COMPUTED_VALUE"""),"17-12")</f>
        <v>17-12</v>
      </c>
      <c r="E115" s="1" t="str">
        <f ca="1">IFERROR(__xludf.DUMMYFUNCTION("""COMPUTED_VALUE"""),"+4.67")</f>
        <v>+4.67</v>
      </c>
      <c r="F115" s="1">
        <f ca="1">IFERROR(__xludf.DUMMYFUNCTION("""COMPUTED_VALUE"""),107.6)</f>
        <v>107.6</v>
      </c>
      <c r="G115" s="1">
        <f ca="1">IFERROR(__xludf.DUMMYFUNCTION("""COMPUTED_VALUE"""),85)</f>
        <v>85</v>
      </c>
      <c r="H115" s="1">
        <f ca="1">IFERROR(__xludf.DUMMYFUNCTION("""COMPUTED_VALUE"""),102.9)</f>
        <v>102.9</v>
      </c>
      <c r="I115" s="1">
        <f ca="1">IFERROR(__xludf.DUMMYFUNCTION("""COMPUTED_VALUE"""),161)</f>
        <v>161</v>
      </c>
      <c r="J115" s="1">
        <f ca="1">IFERROR(__xludf.DUMMYFUNCTION("""COMPUTED_VALUE"""),69.5)</f>
        <v>69.5</v>
      </c>
      <c r="K115" s="1">
        <f ca="1">IFERROR(__xludf.DUMMYFUNCTION("""COMPUTED_VALUE"""),37)</f>
        <v>37</v>
      </c>
      <c r="L115" s="1">
        <f ca="1">IFERROR(__xludf.DUMMYFUNCTION("""COMPUTED_VALUE"""),-0.018)</f>
        <v>-1.7999999999999999E-2</v>
      </c>
      <c r="M115" s="1">
        <f ca="1">IFERROR(__xludf.DUMMYFUNCTION("""COMPUTED_VALUE"""),210)</f>
        <v>210</v>
      </c>
      <c r="N115" s="1">
        <f ca="1">IFERROR(__xludf.DUMMYFUNCTION("""COMPUTED_VALUE"""),-1.87)</f>
        <v>-1.87</v>
      </c>
      <c r="O115" s="1">
        <f ca="1">IFERROR(__xludf.DUMMYFUNCTION("""COMPUTED_VALUE"""),198)</f>
        <v>198</v>
      </c>
      <c r="P115" s="1">
        <f ca="1">IFERROR(__xludf.DUMMYFUNCTION("""COMPUTED_VALUE"""),102.9)</f>
        <v>102.9</v>
      </c>
      <c r="Q115" s="1">
        <f ca="1">IFERROR(__xludf.DUMMYFUNCTION("""COMPUTED_VALUE"""),189)</f>
        <v>189</v>
      </c>
      <c r="R115" s="1">
        <f ca="1">IFERROR(__xludf.DUMMYFUNCTION("""COMPUTED_VALUE"""),104.7)</f>
        <v>104.7</v>
      </c>
      <c r="S115" s="1">
        <f ca="1">IFERROR(__xludf.DUMMYFUNCTION("""COMPUTED_VALUE"""),207)</f>
        <v>207</v>
      </c>
      <c r="T115" s="1">
        <f ca="1">IFERROR(__xludf.DUMMYFUNCTION("""COMPUTED_VALUE"""),-4.78)</f>
        <v>-4.78</v>
      </c>
      <c r="U115" s="1">
        <f ca="1">IFERROR(__xludf.DUMMYFUNCTION("""COMPUTED_VALUE"""),263)</f>
        <v>263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IFERROR(__xludf.DUMMYFUNCTION("""COMPUTED_VALUE"""),"Miami FL")</f>
        <v>Miami FL</v>
      </c>
      <c r="C116" s="1" t="str">
        <f ca="1">IFERROR(__xludf.DUMMYFUNCTION("""COMPUTED_VALUE"""),"BE")</f>
        <v>BE</v>
      </c>
      <c r="D116" s="1" t="str">
        <f ca="1">IFERROR(__xludf.DUMMYFUNCTION("""COMPUTED_VALUE"""),"14-16")</f>
        <v>14-16</v>
      </c>
      <c r="E116" s="1" t="str">
        <f ca="1">IFERROR(__xludf.DUMMYFUNCTION("""COMPUTED_VALUE"""),"+4.60")</f>
        <v>+4.60</v>
      </c>
      <c r="F116" s="1">
        <f ca="1">IFERROR(__xludf.DUMMYFUNCTION("""COMPUTED_VALUE"""),107.4)</f>
        <v>107.4</v>
      </c>
      <c r="G116" s="1">
        <f ca="1">IFERROR(__xludf.DUMMYFUNCTION("""COMPUTED_VALUE"""),89)</f>
        <v>89</v>
      </c>
      <c r="H116" s="1">
        <f ca="1">IFERROR(__xludf.DUMMYFUNCTION("""COMPUTED_VALUE"""),102.8)</f>
        <v>102.8</v>
      </c>
      <c r="I116" s="1">
        <f ca="1">IFERROR(__xludf.DUMMYFUNCTION("""COMPUTED_VALUE"""),160)</f>
        <v>160</v>
      </c>
      <c r="J116" s="1">
        <f ca="1">IFERROR(__xludf.DUMMYFUNCTION("""COMPUTED_VALUE"""),65.2)</f>
        <v>65.2</v>
      </c>
      <c r="K116" s="1">
        <f ca="1">IFERROR(__xludf.DUMMYFUNCTION("""COMPUTED_VALUE"""),189)</f>
        <v>189</v>
      </c>
      <c r="L116" s="1">
        <f ca="1">IFERROR(__xludf.DUMMYFUNCTION("""COMPUTED_VALUE"""),-0.104)</f>
        <v>-0.104</v>
      </c>
      <c r="M116" s="1">
        <f ca="1">IFERROR(__xludf.DUMMYFUNCTION("""COMPUTED_VALUE"""),318)</f>
        <v>318</v>
      </c>
      <c r="N116" s="1" t="str">
        <f ca="1">IFERROR(__xludf.DUMMYFUNCTION("""COMPUTED_VALUE"""),"+2.44")</f>
        <v>+2.44</v>
      </c>
      <c r="O116" s="1">
        <f ca="1">IFERROR(__xludf.DUMMYFUNCTION("""COMPUTED_VALUE"""),115)</f>
        <v>115</v>
      </c>
      <c r="P116" s="1">
        <f ca="1">IFERROR(__xludf.DUMMYFUNCTION("""COMPUTED_VALUE"""),102.8)</f>
        <v>102.8</v>
      </c>
      <c r="Q116" s="1">
        <f ca="1">IFERROR(__xludf.DUMMYFUNCTION("""COMPUTED_VALUE"""),195)</f>
        <v>195</v>
      </c>
      <c r="R116" s="1">
        <f ca="1">IFERROR(__xludf.DUMMYFUNCTION("""COMPUTED_VALUE"""),100.3)</f>
        <v>100.3</v>
      </c>
      <c r="S116" s="1">
        <f ca="1">IFERROR(__xludf.DUMMYFUNCTION("""COMPUTED_VALUE"""),57)</f>
        <v>57</v>
      </c>
      <c r="T116" s="1">
        <f ca="1">IFERROR(__xludf.DUMMYFUNCTION("""COMPUTED_VALUE"""),-11.93)</f>
        <v>-11.93</v>
      </c>
      <c r="U116" s="1">
        <f ca="1">IFERROR(__xludf.DUMMYFUNCTION("""COMPUTED_VALUE"""),321)</f>
        <v>321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IFERROR(__xludf.DUMMYFUNCTION("""COMPUTED_VALUE"""),"San Diego St.")</f>
        <v>San Diego St.</v>
      </c>
      <c r="C117" s="1" t="str">
        <f ca="1">IFERROR(__xludf.DUMMYFUNCTION("""COMPUTED_VALUE"""),"MWC")</f>
        <v>MWC</v>
      </c>
      <c r="D117" s="1" t="str">
        <f ca="1">IFERROR(__xludf.DUMMYFUNCTION("""COMPUTED_VALUE"""),"14-16")</f>
        <v>14-16</v>
      </c>
      <c r="E117" s="1" t="str">
        <f ca="1">IFERROR(__xludf.DUMMYFUNCTION("""COMPUTED_VALUE"""),"+4.49")</f>
        <v>+4.49</v>
      </c>
      <c r="F117" s="1">
        <f ca="1">IFERROR(__xludf.DUMMYFUNCTION("""COMPUTED_VALUE"""),105)</f>
        <v>105</v>
      </c>
      <c r="G117" s="1">
        <f ca="1">IFERROR(__xludf.DUMMYFUNCTION("""COMPUTED_VALUE"""),124)</f>
        <v>124</v>
      </c>
      <c r="H117" s="1">
        <f ca="1">IFERROR(__xludf.DUMMYFUNCTION("""COMPUTED_VALUE"""),100.6)</f>
        <v>100.6</v>
      </c>
      <c r="I117" s="1">
        <f ca="1">IFERROR(__xludf.DUMMYFUNCTION("""COMPUTED_VALUE"""),112)</f>
        <v>112</v>
      </c>
      <c r="J117" s="1">
        <f ca="1">IFERROR(__xludf.DUMMYFUNCTION("""COMPUTED_VALUE"""),66.9)</f>
        <v>66.900000000000006</v>
      </c>
      <c r="K117" s="1">
        <f ca="1">IFERROR(__xludf.DUMMYFUNCTION("""COMPUTED_VALUE"""),120)</f>
        <v>120</v>
      </c>
      <c r="L117" s="1">
        <f ca="1">IFERROR(__xludf.DUMMYFUNCTION("""COMPUTED_VALUE"""),-0.035)</f>
        <v>-3.5000000000000003E-2</v>
      </c>
      <c r="M117" s="1">
        <f ca="1">IFERROR(__xludf.DUMMYFUNCTION("""COMPUTED_VALUE"""),245)</f>
        <v>245</v>
      </c>
      <c r="N117" s="1" t="str">
        <f ca="1">IFERROR(__xludf.DUMMYFUNCTION("""COMPUTED_VALUE"""),"+5.88")</f>
        <v>+5.88</v>
      </c>
      <c r="O117" s="1">
        <f ca="1">IFERROR(__xludf.DUMMYFUNCTION("""COMPUTED_VALUE"""),59)</f>
        <v>59</v>
      </c>
      <c r="P117" s="1">
        <f ca="1">IFERROR(__xludf.DUMMYFUNCTION("""COMPUTED_VALUE"""),108)</f>
        <v>108</v>
      </c>
      <c r="Q117" s="1">
        <f ca="1">IFERROR(__xludf.DUMMYFUNCTION("""COMPUTED_VALUE"""),21)</f>
        <v>21</v>
      </c>
      <c r="R117" s="1">
        <f ca="1">IFERROR(__xludf.DUMMYFUNCTION("""COMPUTED_VALUE"""),102.2)</f>
        <v>102.2</v>
      </c>
      <c r="S117" s="1">
        <f ca="1">IFERROR(__xludf.DUMMYFUNCTION("""COMPUTED_VALUE"""),114)</f>
        <v>114</v>
      </c>
      <c r="T117" s="1" t="str">
        <f ca="1">IFERROR(__xludf.DUMMYFUNCTION("""COMPUTED_VALUE"""),"+2.26")</f>
        <v>+2.26</v>
      </c>
      <c r="U117" s="1">
        <f ca="1">IFERROR(__xludf.DUMMYFUNCTION("""COMPUTED_VALUE"""),102)</f>
        <v>102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IFERROR(__xludf.DUMMYFUNCTION("""COMPUTED_VALUE"""),"Toledo")</f>
        <v>Toledo</v>
      </c>
      <c r="C118" s="1" t="str">
        <f ca="1">IFERROR(__xludf.DUMMYFUNCTION("""COMPUTED_VALUE"""),"MAC")</f>
        <v>MAC</v>
      </c>
      <c r="D118" s="1" t="str">
        <f ca="1">IFERROR(__xludf.DUMMYFUNCTION("""COMPUTED_VALUE"""),"20-11")</f>
        <v>20-11</v>
      </c>
      <c r="E118" s="1" t="str">
        <f ca="1">IFERROR(__xludf.DUMMYFUNCTION("""COMPUTED_VALUE"""),"+4.36")</f>
        <v>+4.36</v>
      </c>
      <c r="F118" s="1">
        <f ca="1">IFERROR(__xludf.DUMMYFUNCTION("""COMPUTED_VALUE"""),109)</f>
        <v>109</v>
      </c>
      <c r="G118" s="1">
        <f ca="1">IFERROR(__xludf.DUMMYFUNCTION("""COMPUTED_VALUE"""),72)</f>
        <v>72</v>
      </c>
      <c r="H118" s="1">
        <f ca="1">IFERROR(__xludf.DUMMYFUNCTION("""COMPUTED_VALUE"""),104.7)</f>
        <v>104.7</v>
      </c>
      <c r="I118" s="1">
        <f ca="1">IFERROR(__xludf.DUMMYFUNCTION("""COMPUTED_VALUE"""),183)</f>
        <v>183</v>
      </c>
      <c r="J118" s="1">
        <f ca="1">IFERROR(__xludf.DUMMYFUNCTION("""COMPUTED_VALUE"""),69.6)</f>
        <v>69.599999999999994</v>
      </c>
      <c r="K118" s="1">
        <f ca="1">IFERROR(__xludf.DUMMYFUNCTION("""COMPUTED_VALUE"""),35)</f>
        <v>35</v>
      </c>
      <c r="L118" s="1" t="str">
        <f ca="1">IFERROR(__xludf.DUMMYFUNCTION("""COMPUTED_VALUE"""),"+.115")</f>
        <v>+.115</v>
      </c>
      <c r="M118" s="1">
        <f ca="1">IFERROR(__xludf.DUMMYFUNCTION("""COMPUTED_VALUE"""),2)</f>
        <v>2</v>
      </c>
      <c r="N118" s="1" t="str">
        <f ca="1">IFERROR(__xludf.DUMMYFUNCTION("""COMPUTED_VALUE"""),"+1.39")</f>
        <v>+1.39</v>
      </c>
      <c r="O118" s="1">
        <f ca="1">IFERROR(__xludf.DUMMYFUNCTION("""COMPUTED_VALUE"""),137)</f>
        <v>137</v>
      </c>
      <c r="P118" s="1">
        <f ca="1">IFERROR(__xludf.DUMMYFUNCTION("""COMPUTED_VALUE"""),104.7)</f>
        <v>104.7</v>
      </c>
      <c r="Q118" s="1">
        <f ca="1">IFERROR(__xludf.DUMMYFUNCTION("""COMPUTED_VALUE"""),121)</f>
        <v>121</v>
      </c>
      <c r="R118" s="1">
        <f ca="1">IFERROR(__xludf.DUMMYFUNCTION("""COMPUTED_VALUE"""),103.3)</f>
        <v>103.3</v>
      </c>
      <c r="S118" s="1">
        <f ca="1">IFERROR(__xludf.DUMMYFUNCTION("""COMPUTED_VALUE"""),152)</f>
        <v>152</v>
      </c>
      <c r="T118" s="1" t="str">
        <f ca="1">IFERROR(__xludf.DUMMYFUNCTION("""COMPUTED_VALUE"""),"+6.00")</f>
        <v>+6.00</v>
      </c>
      <c r="U118" s="1">
        <f ca="1">IFERROR(__xludf.DUMMYFUNCTION("""COMPUTED_VALUE"""),35)</f>
        <v>35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IFERROR(__xludf.DUMMYFUNCTION("""COMPUTED_VALUE"""),"East Carolina")</f>
        <v>East Carolina</v>
      </c>
      <c r="C119" s="1" t="str">
        <f ca="1">IFERROR(__xludf.DUMMYFUNCTION("""COMPUTED_VALUE"""),"CUSA")</f>
        <v>CUSA</v>
      </c>
      <c r="D119" s="1" t="str">
        <f ca="1">IFERROR(__xludf.DUMMYFUNCTION("""COMPUTED_VALUE"""),"13-14")</f>
        <v>13-14</v>
      </c>
      <c r="E119" s="1" t="str">
        <f ca="1">IFERROR(__xludf.DUMMYFUNCTION("""COMPUTED_VALUE"""),"+4.35")</f>
        <v>+4.35</v>
      </c>
      <c r="F119" s="1">
        <f ca="1">IFERROR(__xludf.DUMMYFUNCTION("""COMPUTED_VALUE"""),104.7)</f>
        <v>104.7</v>
      </c>
      <c r="G119" s="1">
        <f ca="1">IFERROR(__xludf.DUMMYFUNCTION("""COMPUTED_VALUE"""),127)</f>
        <v>127</v>
      </c>
      <c r="H119" s="1">
        <f ca="1">IFERROR(__xludf.DUMMYFUNCTION("""COMPUTED_VALUE"""),100.4)</f>
        <v>100.4</v>
      </c>
      <c r="I119" s="1">
        <f ca="1">IFERROR(__xludf.DUMMYFUNCTION("""COMPUTED_VALUE"""),108)</f>
        <v>108</v>
      </c>
      <c r="J119" s="1">
        <f ca="1">IFERROR(__xludf.DUMMYFUNCTION("""COMPUTED_VALUE"""),65.4)</f>
        <v>65.400000000000006</v>
      </c>
      <c r="K119" s="1">
        <f ca="1">IFERROR(__xludf.DUMMYFUNCTION("""COMPUTED_VALUE"""),179)</f>
        <v>179</v>
      </c>
      <c r="L119" s="1">
        <f ca="1">IFERROR(__xludf.DUMMYFUNCTION("""COMPUTED_VALUE"""),-0.101)</f>
        <v>-0.10100000000000001</v>
      </c>
      <c r="M119" s="1">
        <f ca="1">IFERROR(__xludf.DUMMYFUNCTION("""COMPUTED_VALUE"""),317)</f>
        <v>317</v>
      </c>
      <c r="N119" s="1" t="str">
        <f ca="1">IFERROR(__xludf.DUMMYFUNCTION("""COMPUTED_VALUE"""),"+1.63")</f>
        <v>+1.63</v>
      </c>
      <c r="O119" s="1">
        <f ca="1">IFERROR(__xludf.DUMMYFUNCTION("""COMPUTED_VALUE"""),129)</f>
        <v>129</v>
      </c>
      <c r="P119" s="1">
        <f ca="1">IFERROR(__xludf.DUMMYFUNCTION("""COMPUTED_VALUE"""),102.7)</f>
        <v>102.7</v>
      </c>
      <c r="Q119" s="1">
        <f ca="1">IFERROR(__xludf.DUMMYFUNCTION("""COMPUTED_VALUE"""),200)</f>
        <v>200</v>
      </c>
      <c r="R119" s="1">
        <f ca="1">IFERROR(__xludf.DUMMYFUNCTION("""COMPUTED_VALUE"""),101)</f>
        <v>101</v>
      </c>
      <c r="S119" s="1">
        <f ca="1">IFERROR(__xludf.DUMMYFUNCTION("""COMPUTED_VALUE"""),85)</f>
        <v>85</v>
      </c>
      <c r="T119" s="1">
        <f ca="1">IFERROR(__xludf.DUMMYFUNCTION("""COMPUTED_VALUE"""),-12.96)</f>
        <v>-12.96</v>
      </c>
      <c r="U119" s="1">
        <f ca="1">IFERROR(__xludf.DUMMYFUNCTION("""COMPUTED_VALUE"""),323)</f>
        <v>323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IFERROR(__xludf.DUMMYFUNCTION("""COMPUTED_VALUE"""),"Wyoming")</f>
        <v>Wyoming</v>
      </c>
      <c r="C120" s="1" t="str">
        <f ca="1">IFERROR(__xludf.DUMMYFUNCTION("""COMPUTED_VALUE"""),"MWC")</f>
        <v>MWC</v>
      </c>
      <c r="D120" s="2">
        <f ca="1">IFERROR(__xludf.DUMMYFUNCTION("""COMPUTED_VALUE"""),44882)</f>
        <v>44882</v>
      </c>
      <c r="E120" s="1" t="str">
        <f ca="1">IFERROR(__xludf.DUMMYFUNCTION("""COMPUTED_VALUE"""),"+4.34")</f>
        <v>+4.34</v>
      </c>
      <c r="F120" s="1">
        <f ca="1">IFERROR(__xludf.DUMMYFUNCTION("""COMPUTED_VALUE"""),104.7)</f>
        <v>104.7</v>
      </c>
      <c r="G120" s="1">
        <f ca="1">IFERROR(__xludf.DUMMYFUNCTION("""COMPUTED_VALUE"""),129)</f>
        <v>129</v>
      </c>
      <c r="H120" s="1">
        <f ca="1">IFERROR(__xludf.DUMMYFUNCTION("""COMPUTED_VALUE"""),100.3)</f>
        <v>100.3</v>
      </c>
      <c r="I120" s="1">
        <f ca="1">IFERROR(__xludf.DUMMYFUNCTION("""COMPUTED_VALUE"""),106)</f>
        <v>106</v>
      </c>
      <c r="J120" s="1">
        <f ca="1">IFERROR(__xludf.DUMMYFUNCTION("""COMPUTED_VALUE"""),68)</f>
        <v>68</v>
      </c>
      <c r="K120" s="1">
        <f ca="1">IFERROR(__xludf.DUMMYFUNCTION("""COMPUTED_VALUE"""),88)</f>
        <v>88</v>
      </c>
      <c r="L120" s="1">
        <f ca="1">IFERROR(__xludf.DUMMYFUNCTION("""COMPUTED_VALUE"""),-0.123)</f>
        <v>-0.123</v>
      </c>
      <c r="M120" s="1">
        <f ca="1">IFERROR(__xludf.DUMMYFUNCTION("""COMPUTED_VALUE"""),322)</f>
        <v>322</v>
      </c>
      <c r="N120" s="1" t="str">
        <f ca="1">IFERROR(__xludf.DUMMYFUNCTION("""COMPUTED_VALUE"""),"+4.78")</f>
        <v>+4.78</v>
      </c>
      <c r="O120" s="1">
        <f ca="1">IFERROR(__xludf.DUMMYFUNCTION("""COMPUTED_VALUE"""),84)</f>
        <v>84</v>
      </c>
      <c r="P120" s="1">
        <f ca="1">IFERROR(__xludf.DUMMYFUNCTION("""COMPUTED_VALUE"""),106.4)</f>
        <v>106.4</v>
      </c>
      <c r="Q120" s="1">
        <f ca="1">IFERROR(__xludf.DUMMYFUNCTION("""COMPUTED_VALUE"""),66)</f>
        <v>66</v>
      </c>
      <c r="R120" s="1">
        <f ca="1">IFERROR(__xludf.DUMMYFUNCTION("""COMPUTED_VALUE"""),101.6)</f>
        <v>101.6</v>
      </c>
      <c r="S120" s="1">
        <f ca="1">IFERROR(__xludf.DUMMYFUNCTION("""COMPUTED_VALUE"""),101)</f>
        <v>101</v>
      </c>
      <c r="T120" s="1">
        <f ca="1">IFERROR(__xludf.DUMMYFUNCTION("""COMPUTED_VALUE"""),-0.34)</f>
        <v>-0.34</v>
      </c>
      <c r="U120" s="1">
        <f ca="1">IFERROR(__xludf.DUMMYFUNCTION("""COMPUTED_VALUE"""),173)</f>
        <v>173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IFERROR(__xludf.DUMMYFUNCTION("""COMPUTED_VALUE"""),"New Mexico")</f>
        <v>New Mexico</v>
      </c>
      <c r="C121" s="1" t="str">
        <f ca="1">IFERROR(__xludf.DUMMYFUNCTION("""COMPUTED_VALUE"""),"MWC")</f>
        <v>MWC</v>
      </c>
      <c r="D121" s="1" t="str">
        <f ca="1">IFERROR(__xludf.DUMMYFUNCTION("""COMPUTED_VALUE"""),"14-14")</f>
        <v>14-14</v>
      </c>
      <c r="E121" s="1" t="str">
        <f ca="1">IFERROR(__xludf.DUMMYFUNCTION("""COMPUTED_VALUE"""),"+4.19")</f>
        <v>+4.19</v>
      </c>
      <c r="F121" s="1">
        <f ca="1">IFERROR(__xludf.DUMMYFUNCTION("""COMPUTED_VALUE"""),110.3)</f>
        <v>110.3</v>
      </c>
      <c r="G121" s="1">
        <f ca="1">IFERROR(__xludf.DUMMYFUNCTION("""COMPUTED_VALUE"""),59)</f>
        <v>59</v>
      </c>
      <c r="H121" s="1">
        <f ca="1">IFERROR(__xludf.DUMMYFUNCTION("""COMPUTED_VALUE"""),106.1)</f>
        <v>106.1</v>
      </c>
      <c r="I121" s="1">
        <f ca="1">IFERROR(__xludf.DUMMYFUNCTION("""COMPUTED_VALUE"""),213)</f>
        <v>213</v>
      </c>
      <c r="J121" s="1">
        <f ca="1">IFERROR(__xludf.DUMMYFUNCTION("""COMPUTED_VALUE"""),61.6)</f>
        <v>61.6</v>
      </c>
      <c r="K121" s="1">
        <f ca="1">IFERROR(__xludf.DUMMYFUNCTION("""COMPUTED_VALUE"""),299)</f>
        <v>299</v>
      </c>
      <c r="L121" s="1">
        <f ca="1">IFERROR(__xludf.DUMMYFUNCTION("""COMPUTED_VALUE"""),-0.058)</f>
        <v>-5.8000000000000003E-2</v>
      </c>
      <c r="M121" s="1">
        <f ca="1">IFERROR(__xludf.DUMMYFUNCTION("""COMPUTED_VALUE"""),278)</f>
        <v>278</v>
      </c>
      <c r="N121" s="1" t="str">
        <f ca="1">IFERROR(__xludf.DUMMYFUNCTION("""COMPUTED_VALUE"""),"+2.21")</f>
        <v>+2.21</v>
      </c>
      <c r="O121" s="1">
        <f ca="1">IFERROR(__xludf.DUMMYFUNCTION("""COMPUTED_VALUE"""),121)</f>
        <v>121</v>
      </c>
      <c r="P121" s="1">
        <f ca="1">IFERROR(__xludf.DUMMYFUNCTION("""COMPUTED_VALUE"""),104.6)</f>
        <v>104.6</v>
      </c>
      <c r="Q121" s="1">
        <f ca="1">IFERROR(__xludf.DUMMYFUNCTION("""COMPUTED_VALUE"""),123)</f>
        <v>123</v>
      </c>
      <c r="R121" s="1">
        <f ca="1">IFERROR(__xludf.DUMMYFUNCTION("""COMPUTED_VALUE"""),102.4)</f>
        <v>102.4</v>
      </c>
      <c r="S121" s="1">
        <f ca="1">IFERROR(__xludf.DUMMYFUNCTION("""COMPUTED_VALUE"""),127)</f>
        <v>127</v>
      </c>
      <c r="T121" s="1">
        <f ca="1">IFERROR(__xludf.DUMMYFUNCTION("""COMPUTED_VALUE"""),-7.44)</f>
        <v>-7.44</v>
      </c>
      <c r="U121" s="1">
        <f ca="1">IFERROR(__xludf.DUMMYFUNCTION("""COMPUTED_VALUE"""),300)</f>
        <v>300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IFERROR(__xludf.DUMMYFUNCTION("""COMPUTED_VALUE"""),"College of Charleston")</f>
        <v>College of Charleston</v>
      </c>
      <c r="C122" s="1" t="str">
        <f ca="1">IFERROR(__xludf.DUMMYFUNCTION("""COMPUTED_VALUE"""),"SC")</f>
        <v>SC</v>
      </c>
      <c r="D122" s="1" t="str">
        <f ca="1">IFERROR(__xludf.DUMMYFUNCTION("""COMPUTED_VALUE"""),"20-9")</f>
        <v>20-9</v>
      </c>
      <c r="E122" s="1" t="str">
        <f ca="1">IFERROR(__xludf.DUMMYFUNCTION("""COMPUTED_VALUE"""),"+3.92")</f>
        <v>+3.92</v>
      </c>
      <c r="F122" s="1">
        <f ca="1">IFERROR(__xludf.DUMMYFUNCTION("""COMPUTED_VALUE"""),105.5)</f>
        <v>105.5</v>
      </c>
      <c r="G122" s="1">
        <f ca="1">IFERROR(__xludf.DUMMYFUNCTION("""COMPUTED_VALUE"""),117)</f>
        <v>117</v>
      </c>
      <c r="H122" s="1">
        <f ca="1">IFERROR(__xludf.DUMMYFUNCTION("""COMPUTED_VALUE"""),101.6)</f>
        <v>101.6</v>
      </c>
      <c r="I122" s="1">
        <f ca="1">IFERROR(__xludf.DUMMYFUNCTION("""COMPUTED_VALUE"""),130)</f>
        <v>130</v>
      </c>
      <c r="J122" s="1">
        <f ca="1">IFERROR(__xludf.DUMMYFUNCTION("""COMPUTED_VALUE"""),67.7)</f>
        <v>67.7</v>
      </c>
      <c r="K122" s="1">
        <f ca="1">IFERROR(__xludf.DUMMYFUNCTION("""COMPUTED_VALUE"""),91)</f>
        <v>91</v>
      </c>
      <c r="L122" s="1" t="str">
        <f ca="1">IFERROR(__xludf.DUMMYFUNCTION("""COMPUTED_VALUE"""),"+.017")</f>
        <v>+.017</v>
      </c>
      <c r="M122" s="1">
        <f ca="1">IFERROR(__xludf.DUMMYFUNCTION("""COMPUTED_VALUE"""),123)</f>
        <v>123</v>
      </c>
      <c r="N122" s="1">
        <f ca="1">IFERROR(__xludf.DUMMYFUNCTION("""COMPUTED_VALUE"""),-3.61)</f>
        <v>-3.61</v>
      </c>
      <c r="O122" s="1">
        <f ca="1">IFERROR(__xludf.DUMMYFUNCTION("""COMPUTED_VALUE"""),230)</f>
        <v>230</v>
      </c>
      <c r="P122" s="1">
        <f ca="1">IFERROR(__xludf.DUMMYFUNCTION("""COMPUTED_VALUE"""),100.5)</f>
        <v>100.5</v>
      </c>
      <c r="Q122" s="1">
        <f ca="1">IFERROR(__xludf.DUMMYFUNCTION("""COMPUTED_VALUE"""),249)</f>
        <v>249</v>
      </c>
      <c r="R122" s="1">
        <f ca="1">IFERROR(__xludf.DUMMYFUNCTION("""COMPUTED_VALUE"""),104.1)</f>
        <v>104.1</v>
      </c>
      <c r="S122" s="1">
        <f ca="1">IFERROR(__xludf.DUMMYFUNCTION("""COMPUTED_VALUE"""),184)</f>
        <v>184</v>
      </c>
      <c r="T122" s="1" t="str">
        <f ca="1">IFERROR(__xludf.DUMMYFUNCTION("""COMPUTED_VALUE"""),"+1.40")</f>
        <v>+1.40</v>
      </c>
      <c r="U122" s="1">
        <f ca="1">IFERROR(__xludf.DUMMYFUNCTION("""COMPUTED_VALUE"""),127)</f>
        <v>127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IFERROR(__xludf.DUMMYFUNCTION("""COMPUTED_VALUE"""),"IUPUI")</f>
        <v>IUPUI</v>
      </c>
      <c r="C123" s="1" t="str">
        <f ca="1">IFERROR(__xludf.DUMMYFUNCTION("""COMPUTED_VALUE"""),"MCon")</f>
        <v>MCon</v>
      </c>
      <c r="D123" s="1" t="str">
        <f ca="1">IFERROR(__xludf.DUMMYFUNCTION("""COMPUTED_VALUE"""),"21-11")</f>
        <v>21-11</v>
      </c>
      <c r="E123" s="1" t="str">
        <f ca="1">IFERROR(__xludf.DUMMYFUNCTION("""COMPUTED_VALUE"""),"+3.85")</f>
        <v>+3.85</v>
      </c>
      <c r="F123" s="1">
        <f ca="1">IFERROR(__xludf.DUMMYFUNCTION("""COMPUTED_VALUE"""),110.7)</f>
        <v>110.7</v>
      </c>
      <c r="G123" s="1">
        <f ca="1">IFERROR(__xludf.DUMMYFUNCTION("""COMPUTED_VALUE"""),54)</f>
        <v>54</v>
      </c>
      <c r="H123" s="1">
        <f ca="1">IFERROR(__xludf.DUMMYFUNCTION("""COMPUTED_VALUE"""),106.9)</f>
        <v>106.9</v>
      </c>
      <c r="I123" s="1">
        <f ca="1">IFERROR(__xludf.DUMMYFUNCTION("""COMPUTED_VALUE"""),235)</f>
        <v>235</v>
      </c>
      <c r="J123" s="1">
        <f ca="1">IFERROR(__xludf.DUMMYFUNCTION("""COMPUTED_VALUE"""),64.5)</f>
        <v>64.5</v>
      </c>
      <c r="K123" s="1">
        <f ca="1">IFERROR(__xludf.DUMMYFUNCTION("""COMPUTED_VALUE"""),213)</f>
        <v>213</v>
      </c>
      <c r="L123" s="1">
        <f ca="1">IFERROR(__xludf.DUMMYFUNCTION("""COMPUTED_VALUE"""),-0.017)</f>
        <v>-1.7000000000000001E-2</v>
      </c>
      <c r="M123" s="1">
        <f ca="1">IFERROR(__xludf.DUMMYFUNCTION("""COMPUTED_VALUE"""),207)</f>
        <v>207</v>
      </c>
      <c r="N123" s="1">
        <f ca="1">IFERROR(__xludf.DUMMYFUNCTION("""COMPUTED_VALUE"""),-2.48)</f>
        <v>-2.48</v>
      </c>
      <c r="O123" s="1">
        <f ca="1">IFERROR(__xludf.DUMMYFUNCTION("""COMPUTED_VALUE"""),217)</f>
        <v>217</v>
      </c>
      <c r="P123" s="1">
        <f ca="1">IFERROR(__xludf.DUMMYFUNCTION("""COMPUTED_VALUE"""),103.3)</f>
        <v>103.3</v>
      </c>
      <c r="Q123" s="1">
        <f ca="1">IFERROR(__xludf.DUMMYFUNCTION("""COMPUTED_VALUE"""),171)</f>
        <v>171</v>
      </c>
      <c r="R123" s="1">
        <f ca="1">IFERROR(__xludf.DUMMYFUNCTION("""COMPUTED_VALUE"""),105.8)</f>
        <v>105.8</v>
      </c>
      <c r="S123" s="1">
        <f ca="1">IFERROR(__xludf.DUMMYFUNCTION("""COMPUTED_VALUE"""),259)</f>
        <v>259</v>
      </c>
      <c r="T123" s="1" t="str">
        <f ca="1">IFERROR(__xludf.DUMMYFUNCTION("""COMPUTED_VALUE"""),"+2.28")</f>
        <v>+2.28</v>
      </c>
      <c r="U123" s="1">
        <f ca="1">IFERROR(__xludf.DUMMYFUNCTION("""COMPUTED_VALUE"""),98)</f>
        <v>98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IFERROR(__xludf.DUMMYFUNCTION("""COMPUTED_VALUE"""),"Western Kentucky")</f>
        <v>Western Kentucky</v>
      </c>
      <c r="C124" s="1" t="str">
        <f ca="1">IFERROR(__xludf.DUMMYFUNCTION("""COMPUTED_VALUE"""),"SB")</f>
        <v>SB</v>
      </c>
      <c r="D124" s="1" t="str">
        <f ca="1">IFERROR(__xludf.DUMMYFUNCTION("""COMPUTED_VALUE"""),"15-13")</f>
        <v>15-13</v>
      </c>
      <c r="E124" s="1" t="str">
        <f ca="1">IFERROR(__xludf.DUMMYFUNCTION("""COMPUTED_VALUE"""),"+3.80")</f>
        <v>+3.80</v>
      </c>
      <c r="F124" s="1">
        <f ca="1">IFERROR(__xludf.DUMMYFUNCTION("""COMPUTED_VALUE"""),111.2)</f>
        <v>111.2</v>
      </c>
      <c r="G124" s="1">
        <f ca="1">IFERROR(__xludf.DUMMYFUNCTION("""COMPUTED_VALUE"""),49)</f>
        <v>49</v>
      </c>
      <c r="H124" s="1">
        <f ca="1">IFERROR(__xludf.DUMMYFUNCTION("""COMPUTED_VALUE"""),107.4)</f>
        <v>107.4</v>
      </c>
      <c r="I124" s="1">
        <f ca="1">IFERROR(__xludf.DUMMYFUNCTION("""COMPUTED_VALUE"""),246)</f>
        <v>246</v>
      </c>
      <c r="J124" s="1">
        <f ca="1">IFERROR(__xludf.DUMMYFUNCTION("""COMPUTED_VALUE"""),66.2)</f>
        <v>66.2</v>
      </c>
      <c r="K124" s="1">
        <f ca="1">IFERROR(__xludf.DUMMYFUNCTION("""COMPUTED_VALUE"""),146)</f>
        <v>146</v>
      </c>
      <c r="L124" s="1">
        <f ca="1">IFERROR(__xludf.DUMMYFUNCTION("""COMPUTED_VALUE"""),-0.056)</f>
        <v>-5.6000000000000001E-2</v>
      </c>
      <c r="M124" s="1">
        <f ca="1">IFERROR(__xludf.DUMMYFUNCTION("""COMPUTED_VALUE"""),275)</f>
        <v>275</v>
      </c>
      <c r="N124" s="1" t="str">
        <f ca="1">IFERROR(__xludf.DUMMYFUNCTION("""COMPUTED_VALUE"""),"+0.57")</f>
        <v>+0.57</v>
      </c>
      <c r="O124" s="1">
        <f ca="1">IFERROR(__xludf.DUMMYFUNCTION("""COMPUTED_VALUE"""),144)</f>
        <v>144</v>
      </c>
      <c r="P124" s="1">
        <f ca="1">IFERROR(__xludf.DUMMYFUNCTION("""COMPUTED_VALUE"""),102.5)</f>
        <v>102.5</v>
      </c>
      <c r="Q124" s="1">
        <f ca="1">IFERROR(__xludf.DUMMYFUNCTION("""COMPUTED_VALUE"""),202)</f>
        <v>202</v>
      </c>
      <c r="R124" s="1">
        <f ca="1">IFERROR(__xludf.DUMMYFUNCTION("""COMPUTED_VALUE"""),101.9)</f>
        <v>101.9</v>
      </c>
      <c r="S124" s="1">
        <f ca="1">IFERROR(__xludf.DUMMYFUNCTION("""COMPUTED_VALUE"""),108)</f>
        <v>108</v>
      </c>
      <c r="T124" s="1" t="str">
        <f ca="1">IFERROR(__xludf.DUMMYFUNCTION("""COMPUTED_VALUE"""),"+5.96")</f>
        <v>+5.96</v>
      </c>
      <c r="U124" s="1">
        <f ca="1">IFERROR(__xludf.DUMMYFUNCTION("""COMPUTED_VALUE"""),36)</f>
        <v>36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IFERROR(__xludf.DUMMYFUNCTION("""COMPUTED_VALUE"""),"Louisiana Tech")</f>
        <v>Louisiana Tech</v>
      </c>
      <c r="C125" s="1" t="str">
        <f ca="1">IFERROR(__xludf.DUMMYFUNCTION("""COMPUTED_VALUE"""),"WAC")</f>
        <v>WAC</v>
      </c>
      <c r="D125" s="1" t="str">
        <f ca="1">IFERROR(__xludf.DUMMYFUNCTION("""COMPUTED_VALUE"""),"15-15")</f>
        <v>15-15</v>
      </c>
      <c r="E125" s="1" t="str">
        <f ca="1">IFERROR(__xludf.DUMMYFUNCTION("""COMPUTED_VALUE"""),"+3.80")</f>
        <v>+3.80</v>
      </c>
      <c r="F125" s="1">
        <f ca="1">IFERROR(__xludf.DUMMYFUNCTION("""COMPUTED_VALUE"""),102.6)</f>
        <v>102.6</v>
      </c>
      <c r="G125" s="1">
        <f ca="1">IFERROR(__xludf.DUMMYFUNCTION("""COMPUTED_VALUE"""),167)</f>
        <v>167</v>
      </c>
      <c r="H125" s="1">
        <f ca="1">IFERROR(__xludf.DUMMYFUNCTION("""COMPUTED_VALUE"""),98.8)</f>
        <v>98.8</v>
      </c>
      <c r="I125" s="1">
        <f ca="1">IFERROR(__xludf.DUMMYFUNCTION("""COMPUTED_VALUE"""),82)</f>
        <v>82</v>
      </c>
      <c r="J125" s="1">
        <f ca="1">IFERROR(__xludf.DUMMYFUNCTION("""COMPUTED_VALUE"""),64.9)</f>
        <v>64.900000000000006</v>
      </c>
      <c r="K125" s="1">
        <f ca="1">IFERROR(__xludf.DUMMYFUNCTION("""COMPUTED_VALUE"""),197)</f>
        <v>197</v>
      </c>
      <c r="L125" s="1">
        <f ca="1">IFERROR(__xludf.DUMMYFUNCTION("""COMPUTED_VALUE"""),-0.018)</f>
        <v>-1.7999999999999999E-2</v>
      </c>
      <c r="M125" s="1">
        <f ca="1">IFERROR(__xludf.DUMMYFUNCTION("""COMPUTED_VALUE"""),211)</f>
        <v>211</v>
      </c>
      <c r="N125" s="1" t="str">
        <f ca="1">IFERROR(__xludf.DUMMYFUNCTION("""COMPUTED_VALUE"""),"+5.32")</f>
        <v>+5.32</v>
      </c>
      <c r="O125" s="1">
        <f ca="1">IFERROR(__xludf.DUMMYFUNCTION("""COMPUTED_VALUE"""),77)</f>
        <v>77</v>
      </c>
      <c r="P125" s="1">
        <f ca="1">IFERROR(__xludf.DUMMYFUNCTION("""COMPUTED_VALUE"""),105.4)</f>
        <v>105.4</v>
      </c>
      <c r="Q125" s="1">
        <f ca="1">IFERROR(__xludf.DUMMYFUNCTION("""COMPUTED_VALUE"""),96)</f>
        <v>96</v>
      </c>
      <c r="R125" s="1">
        <f ca="1">IFERROR(__xludf.DUMMYFUNCTION("""COMPUTED_VALUE"""),100.1)</f>
        <v>100.1</v>
      </c>
      <c r="S125" s="1">
        <f ca="1">IFERROR(__xludf.DUMMYFUNCTION("""COMPUTED_VALUE"""),42)</f>
        <v>42</v>
      </c>
      <c r="T125" s="1">
        <f ca="1">IFERROR(__xludf.DUMMYFUNCTION("""COMPUTED_VALUE"""),-1.03)</f>
        <v>-1.03</v>
      </c>
      <c r="U125" s="1">
        <f ca="1">IFERROR(__xludf.DUMMYFUNCTION("""COMPUTED_VALUE"""),189)</f>
        <v>189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IFERROR(__xludf.DUMMYFUNCTION("""COMPUTED_VALUE"""),"UNC Wilmington")</f>
        <v>UNC Wilmington</v>
      </c>
      <c r="C126" s="1" t="str">
        <f ca="1">IFERROR(__xludf.DUMMYFUNCTION("""COMPUTED_VALUE"""),"CAA")</f>
        <v>CAA</v>
      </c>
      <c r="D126" s="1" t="str">
        <f ca="1">IFERROR(__xludf.DUMMYFUNCTION("""COMPUTED_VALUE"""),"15-15")</f>
        <v>15-15</v>
      </c>
      <c r="E126" s="1" t="str">
        <f ca="1">IFERROR(__xludf.DUMMYFUNCTION("""COMPUTED_VALUE"""),"+3.66")</f>
        <v>+3.66</v>
      </c>
      <c r="F126" s="1">
        <f ca="1">IFERROR(__xludf.DUMMYFUNCTION("""COMPUTED_VALUE"""),98.7)</f>
        <v>98.7</v>
      </c>
      <c r="G126" s="1">
        <f ca="1">IFERROR(__xludf.DUMMYFUNCTION("""COMPUTED_VALUE"""),243)</f>
        <v>243</v>
      </c>
      <c r="H126" s="1">
        <f ca="1">IFERROR(__xludf.DUMMYFUNCTION("""COMPUTED_VALUE"""),95)</f>
        <v>95</v>
      </c>
      <c r="I126" s="1">
        <f ca="1">IFERROR(__xludf.DUMMYFUNCTION("""COMPUTED_VALUE"""),32)</f>
        <v>32</v>
      </c>
      <c r="J126" s="1">
        <f ca="1">IFERROR(__xludf.DUMMYFUNCTION("""COMPUTED_VALUE"""),59.8)</f>
        <v>59.8</v>
      </c>
      <c r="K126" s="1">
        <f ca="1">IFERROR(__xludf.DUMMYFUNCTION("""COMPUTED_VALUE"""),313)</f>
        <v>313</v>
      </c>
      <c r="L126" s="1">
        <f ca="1">IFERROR(__xludf.DUMMYFUNCTION("""COMPUTED_VALUE"""),-0.064)</f>
        <v>-6.4000000000000001E-2</v>
      </c>
      <c r="M126" s="1">
        <f ca="1">IFERROR(__xludf.DUMMYFUNCTION("""COMPUTED_VALUE"""),285)</f>
        <v>285</v>
      </c>
      <c r="N126" s="1" t="str">
        <f ca="1">IFERROR(__xludf.DUMMYFUNCTION("""COMPUTED_VALUE"""),"+0.29")</f>
        <v>+0.29</v>
      </c>
      <c r="O126" s="1">
        <f ca="1">IFERROR(__xludf.DUMMYFUNCTION("""COMPUTED_VALUE"""),149)</f>
        <v>149</v>
      </c>
      <c r="P126" s="1">
        <f ca="1">IFERROR(__xludf.DUMMYFUNCTION("""COMPUTED_VALUE"""),103.3)</f>
        <v>103.3</v>
      </c>
      <c r="Q126" s="1">
        <f ca="1">IFERROR(__xludf.DUMMYFUNCTION("""COMPUTED_VALUE"""),174)</f>
        <v>174</v>
      </c>
      <c r="R126" s="1">
        <f ca="1">IFERROR(__xludf.DUMMYFUNCTION("""COMPUTED_VALUE"""),103)</f>
        <v>103</v>
      </c>
      <c r="S126" s="1">
        <f ca="1">IFERROR(__xludf.DUMMYFUNCTION("""COMPUTED_VALUE"""),142)</f>
        <v>142</v>
      </c>
      <c r="T126" s="1" t="str">
        <f ca="1">IFERROR(__xludf.DUMMYFUNCTION("""COMPUTED_VALUE"""),"+2.50")</f>
        <v>+2.50</v>
      </c>
      <c r="U126" s="1">
        <f ca="1">IFERROR(__xludf.DUMMYFUNCTION("""COMPUTED_VALUE"""),90)</f>
        <v>90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IFERROR(__xludf.DUMMYFUNCTION("""COMPUTED_VALUE"""),"UC Santa Barbara")</f>
        <v>UC Santa Barbara</v>
      </c>
      <c r="C129" s="1" t="str">
        <f ca="1">IFERROR(__xludf.DUMMYFUNCTION("""COMPUTED_VALUE"""),"BW")</f>
        <v>BW</v>
      </c>
      <c r="D129" s="1" t="str">
        <f ca="1">IFERROR(__xludf.DUMMYFUNCTION("""COMPUTED_VALUE"""),"16-12")</f>
        <v>16-12</v>
      </c>
      <c r="E129" s="1" t="str">
        <f ca="1">IFERROR(__xludf.DUMMYFUNCTION("""COMPUTED_VALUE"""),"+3.45")</f>
        <v>+3.45</v>
      </c>
      <c r="F129" s="1">
        <f ca="1">IFERROR(__xludf.DUMMYFUNCTION("""COMPUTED_VALUE"""),101.9)</f>
        <v>101.9</v>
      </c>
      <c r="G129" s="1">
        <f ca="1">IFERROR(__xludf.DUMMYFUNCTION("""COMPUTED_VALUE"""),178)</f>
        <v>178</v>
      </c>
      <c r="H129" s="1">
        <f ca="1">IFERROR(__xludf.DUMMYFUNCTION("""COMPUTED_VALUE"""),98.5)</f>
        <v>98.5</v>
      </c>
      <c r="I129" s="1">
        <f ca="1">IFERROR(__xludf.DUMMYFUNCTION("""COMPUTED_VALUE"""),74)</f>
        <v>74</v>
      </c>
      <c r="J129" s="1">
        <f ca="1">IFERROR(__xludf.DUMMYFUNCTION("""COMPUTED_VALUE"""),63.1)</f>
        <v>63.1</v>
      </c>
      <c r="K129" s="1">
        <f ca="1">IFERROR(__xludf.DUMMYFUNCTION("""COMPUTED_VALUE"""),270)</f>
        <v>270</v>
      </c>
      <c r="L129" s="1">
        <f ca="1">IFERROR(__xludf.DUMMYFUNCTION("""COMPUTED_VALUE"""),-0.034)</f>
        <v>-3.4000000000000002E-2</v>
      </c>
      <c r="M129" s="1">
        <f ca="1">IFERROR(__xludf.DUMMYFUNCTION("""COMPUTED_VALUE"""),243)</f>
        <v>243</v>
      </c>
      <c r="N129" s="1">
        <f ca="1">IFERROR(__xludf.DUMMYFUNCTION("""COMPUTED_VALUE"""),-1.3)</f>
        <v>-1.3</v>
      </c>
      <c r="O129" s="1">
        <f ca="1">IFERROR(__xludf.DUMMYFUNCTION("""COMPUTED_VALUE"""),187)</f>
        <v>187</v>
      </c>
      <c r="P129" s="1">
        <f ca="1">IFERROR(__xludf.DUMMYFUNCTION("""COMPUTED_VALUE"""),103.6)</f>
        <v>103.6</v>
      </c>
      <c r="Q129" s="1">
        <f ca="1">IFERROR(__xludf.DUMMYFUNCTION("""COMPUTED_VALUE"""),152)</f>
        <v>152</v>
      </c>
      <c r="R129" s="1">
        <f ca="1">IFERROR(__xludf.DUMMYFUNCTION("""COMPUTED_VALUE"""),104.9)</f>
        <v>104.9</v>
      </c>
      <c r="S129" s="1">
        <f ca="1">IFERROR(__xludf.DUMMYFUNCTION("""COMPUTED_VALUE"""),212)</f>
        <v>212</v>
      </c>
      <c r="T129" s="1" t="str">
        <f ca="1">IFERROR(__xludf.DUMMYFUNCTION("""COMPUTED_VALUE"""),"+1.67")</f>
        <v>+1.67</v>
      </c>
      <c r="U129" s="1">
        <f ca="1">IFERROR(__xludf.DUMMYFUNCTION("""COMPUTED_VALUE"""),121)</f>
        <v>121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IFERROR(__xludf.DUMMYFUNCTION("""COMPUTED_VALUE"""),"Miami OH")</f>
        <v>Miami OH</v>
      </c>
      <c r="C130" s="1" t="str">
        <f ca="1">IFERROR(__xludf.DUMMYFUNCTION("""COMPUTED_VALUE"""),"MAC")</f>
        <v>MAC</v>
      </c>
      <c r="D130" s="1" t="str">
        <f ca="1">IFERROR(__xludf.DUMMYFUNCTION("""COMPUTED_VALUE"""),"18-11")</f>
        <v>18-11</v>
      </c>
      <c r="E130" s="1" t="str">
        <f ca="1">IFERROR(__xludf.DUMMYFUNCTION("""COMPUTED_VALUE"""),"+3.43")</f>
        <v>+3.43</v>
      </c>
      <c r="F130" s="1">
        <f ca="1">IFERROR(__xludf.DUMMYFUNCTION("""COMPUTED_VALUE"""),104.5)</f>
        <v>104.5</v>
      </c>
      <c r="G130" s="1">
        <f ca="1">IFERROR(__xludf.DUMMYFUNCTION("""COMPUTED_VALUE"""),138)</f>
        <v>138</v>
      </c>
      <c r="H130" s="1">
        <f ca="1">IFERROR(__xludf.DUMMYFUNCTION("""COMPUTED_VALUE"""),101.1)</f>
        <v>101.1</v>
      </c>
      <c r="I130" s="1">
        <f ca="1">IFERROR(__xludf.DUMMYFUNCTION("""COMPUTED_VALUE"""),121)</f>
        <v>121</v>
      </c>
      <c r="J130" s="1">
        <f ca="1">IFERROR(__xludf.DUMMYFUNCTION("""COMPUTED_VALUE"""),58.6)</f>
        <v>58.6</v>
      </c>
      <c r="K130" s="1">
        <f ca="1">IFERROR(__xludf.DUMMYFUNCTION("""COMPUTED_VALUE"""),321)</f>
        <v>321</v>
      </c>
      <c r="L130" s="1" t="str">
        <f ca="1">IFERROR(__xludf.DUMMYFUNCTION("""COMPUTED_VALUE"""),"+.085")</f>
        <v>+.085</v>
      </c>
      <c r="M130" s="1">
        <f ca="1">IFERROR(__xludf.DUMMYFUNCTION("""COMPUTED_VALUE"""),22)</f>
        <v>22</v>
      </c>
      <c r="N130" s="1" t="str">
        <f ca="1">IFERROR(__xludf.DUMMYFUNCTION("""COMPUTED_VALUE"""),"+1.50")</f>
        <v>+1.50</v>
      </c>
      <c r="O130" s="1">
        <f ca="1">IFERROR(__xludf.DUMMYFUNCTION("""COMPUTED_VALUE"""),133)</f>
        <v>133</v>
      </c>
      <c r="P130" s="1">
        <f ca="1">IFERROR(__xludf.DUMMYFUNCTION("""COMPUTED_VALUE"""),104.6)</f>
        <v>104.6</v>
      </c>
      <c r="Q130" s="1">
        <f ca="1">IFERROR(__xludf.DUMMYFUNCTION("""COMPUTED_VALUE"""),125)</f>
        <v>125</v>
      </c>
      <c r="R130" s="1">
        <f ca="1">IFERROR(__xludf.DUMMYFUNCTION("""COMPUTED_VALUE"""),103.1)</f>
        <v>103.1</v>
      </c>
      <c r="S130" s="1">
        <f ca="1">IFERROR(__xludf.DUMMYFUNCTION("""COMPUTED_VALUE"""),144)</f>
        <v>144</v>
      </c>
      <c r="T130" s="1" t="str">
        <f ca="1">IFERROR(__xludf.DUMMYFUNCTION("""COMPUTED_VALUE"""),"+4.46")</f>
        <v>+4.46</v>
      </c>
      <c r="U130" s="1">
        <f ca="1">IFERROR(__xludf.DUMMYFUNCTION("""COMPUTED_VALUE"""),54)</f>
        <v>54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IFERROR(__xludf.DUMMYFUNCTION("""COMPUTED_VALUE"""),"Virginia Tech")</f>
        <v>Virginia Tech</v>
      </c>
      <c r="C131" s="1" t="str">
        <f ca="1">IFERROR(__xludf.DUMMYFUNCTION("""COMPUTED_VALUE"""),"BE")</f>
        <v>BE</v>
      </c>
      <c r="D131" s="1" t="str">
        <f ca="1">IFERROR(__xludf.DUMMYFUNCTION("""COMPUTED_VALUE"""),"15-14")</f>
        <v>15-14</v>
      </c>
      <c r="E131" s="1" t="str">
        <f ca="1">IFERROR(__xludf.DUMMYFUNCTION("""COMPUTED_VALUE"""),"+3.16")</f>
        <v>+3.16</v>
      </c>
      <c r="F131" s="1">
        <f ca="1">IFERROR(__xludf.DUMMYFUNCTION("""COMPUTED_VALUE"""),101.9)</f>
        <v>101.9</v>
      </c>
      <c r="G131" s="1">
        <f ca="1">IFERROR(__xludf.DUMMYFUNCTION("""COMPUTED_VALUE"""),179)</f>
        <v>179</v>
      </c>
      <c r="H131" s="1">
        <f ca="1">IFERROR(__xludf.DUMMYFUNCTION("""COMPUTED_VALUE"""),98.8)</f>
        <v>98.8</v>
      </c>
      <c r="I131" s="1">
        <f ca="1">IFERROR(__xludf.DUMMYFUNCTION("""COMPUTED_VALUE"""),81)</f>
        <v>81</v>
      </c>
      <c r="J131" s="1">
        <f ca="1">IFERROR(__xludf.DUMMYFUNCTION("""COMPUTED_VALUE"""),66.3)</f>
        <v>66.3</v>
      </c>
      <c r="K131" s="1">
        <f ca="1">IFERROR(__xludf.DUMMYFUNCTION("""COMPUTED_VALUE"""),142)</f>
        <v>142</v>
      </c>
      <c r="L131" s="1" t="str">
        <f ca="1">IFERROR(__xludf.DUMMYFUNCTION("""COMPUTED_VALUE"""),"+.052")</f>
        <v>+.052</v>
      </c>
      <c r="M131" s="1">
        <f ca="1">IFERROR(__xludf.DUMMYFUNCTION("""COMPUTED_VALUE"""),55)</f>
        <v>55</v>
      </c>
      <c r="N131" s="1" t="str">
        <f ca="1">IFERROR(__xludf.DUMMYFUNCTION("""COMPUTED_VALUE"""),"+4.31")</f>
        <v>+4.31</v>
      </c>
      <c r="O131" s="1">
        <f ca="1">IFERROR(__xludf.DUMMYFUNCTION("""COMPUTED_VALUE"""),93)</f>
        <v>93</v>
      </c>
      <c r="P131" s="1">
        <f ca="1">IFERROR(__xludf.DUMMYFUNCTION("""COMPUTED_VALUE"""),104.9)</f>
        <v>104.9</v>
      </c>
      <c r="Q131" s="1">
        <f ca="1">IFERROR(__xludf.DUMMYFUNCTION("""COMPUTED_VALUE"""),114)</f>
        <v>114</v>
      </c>
      <c r="R131" s="1">
        <f ca="1">IFERROR(__xludf.DUMMYFUNCTION("""COMPUTED_VALUE"""),100.5)</f>
        <v>100.5</v>
      </c>
      <c r="S131" s="1">
        <f ca="1">IFERROR(__xludf.DUMMYFUNCTION("""COMPUTED_VALUE"""),68)</f>
        <v>68</v>
      </c>
      <c r="T131" s="1">
        <f ca="1">IFERROR(__xludf.DUMMYFUNCTION("""COMPUTED_VALUE"""),-9.42)</f>
        <v>-9.42</v>
      </c>
      <c r="U131" s="1">
        <f ca="1">IFERROR(__xludf.DUMMYFUNCTION("""COMPUTED_VALUE"""),310)</f>
        <v>310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IFERROR(__xludf.DUMMYFUNCTION("""COMPUTED_VALUE"""),"Georgetown")</f>
        <v>Georgetown</v>
      </c>
      <c r="C132" s="1" t="str">
        <f ca="1">IFERROR(__xludf.DUMMYFUNCTION("""COMPUTED_VALUE"""),"BE")</f>
        <v>BE</v>
      </c>
      <c r="D132" s="1" t="str">
        <f ca="1">IFERROR(__xludf.DUMMYFUNCTION("""COMPUTED_VALUE"""),"13-15")</f>
        <v>13-15</v>
      </c>
      <c r="E132" s="1" t="str">
        <f ca="1">IFERROR(__xludf.DUMMYFUNCTION("""COMPUTED_VALUE"""),"+3.10")</f>
        <v>+3.10</v>
      </c>
      <c r="F132" s="1">
        <f ca="1">IFERROR(__xludf.DUMMYFUNCTION("""COMPUTED_VALUE"""),99.1)</f>
        <v>99.1</v>
      </c>
      <c r="G132" s="1">
        <f ca="1">IFERROR(__xludf.DUMMYFUNCTION("""COMPUTED_VALUE"""),235)</f>
        <v>235</v>
      </c>
      <c r="H132" s="1">
        <f ca="1">IFERROR(__xludf.DUMMYFUNCTION("""COMPUTED_VALUE"""),96)</f>
        <v>96</v>
      </c>
      <c r="I132" s="1">
        <f ca="1">IFERROR(__xludf.DUMMYFUNCTION("""COMPUTED_VALUE"""),44)</f>
        <v>44</v>
      </c>
      <c r="J132" s="1">
        <f ca="1">IFERROR(__xludf.DUMMYFUNCTION("""COMPUTED_VALUE"""),68.4)</f>
        <v>68.400000000000006</v>
      </c>
      <c r="K132" s="1">
        <f ca="1">IFERROR(__xludf.DUMMYFUNCTION("""COMPUTED_VALUE"""),66)</f>
        <v>66</v>
      </c>
      <c r="L132" s="1">
        <f ca="1">IFERROR(__xludf.DUMMYFUNCTION("""COMPUTED_VALUE"""),-0.053)</f>
        <v>-5.2999999999999999E-2</v>
      </c>
      <c r="M132" s="1">
        <f ca="1">IFERROR(__xludf.DUMMYFUNCTION("""COMPUTED_VALUE"""),273)</f>
        <v>273</v>
      </c>
      <c r="N132" s="1" t="str">
        <f ca="1">IFERROR(__xludf.DUMMYFUNCTION("""COMPUTED_VALUE"""),"+2.93")</f>
        <v>+2.93</v>
      </c>
      <c r="O132" s="1">
        <f ca="1">IFERROR(__xludf.DUMMYFUNCTION("""COMPUTED_VALUE"""),109)</f>
        <v>109</v>
      </c>
      <c r="P132" s="1">
        <f ca="1">IFERROR(__xludf.DUMMYFUNCTION("""COMPUTED_VALUE"""),104.2)</f>
        <v>104.2</v>
      </c>
      <c r="Q132" s="1">
        <f ca="1">IFERROR(__xludf.DUMMYFUNCTION("""COMPUTED_VALUE"""),134)</f>
        <v>134</v>
      </c>
      <c r="R132" s="1">
        <f ca="1">IFERROR(__xludf.DUMMYFUNCTION("""COMPUTED_VALUE"""),101.3)</f>
        <v>101.3</v>
      </c>
      <c r="S132" s="1">
        <f ca="1">IFERROR(__xludf.DUMMYFUNCTION("""COMPUTED_VALUE"""),91)</f>
        <v>91</v>
      </c>
      <c r="T132" s="1">
        <f ca="1">IFERROR(__xludf.DUMMYFUNCTION("""COMPUTED_VALUE"""),-10.85)</f>
        <v>-10.85</v>
      </c>
      <c r="U132" s="1">
        <f ca="1">IFERROR(__xludf.DUMMYFUNCTION("""COMPUTED_VALUE"""),320)</f>
        <v>320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IFERROR(__xludf.DUMMYFUNCTION("""COMPUTED_VALUE"""),"Eastern Washington15")</f>
        <v>Eastern Washington15</v>
      </c>
      <c r="C133" s="1" t="str">
        <f ca="1">IFERROR(__xludf.DUMMYFUNCTION("""COMPUTED_VALUE"""),"BSky")</f>
        <v>BSky</v>
      </c>
      <c r="D133" s="1" t="str">
        <f ca="1">IFERROR(__xludf.DUMMYFUNCTION("""COMPUTED_VALUE"""),"17-13")</f>
        <v>17-13</v>
      </c>
      <c r="E133" s="1" t="str">
        <f ca="1">IFERROR(__xludf.DUMMYFUNCTION("""COMPUTED_VALUE"""),"+3.09")</f>
        <v>+3.09</v>
      </c>
      <c r="F133" s="1">
        <f ca="1">IFERROR(__xludf.DUMMYFUNCTION("""COMPUTED_VALUE"""),105.4)</f>
        <v>105.4</v>
      </c>
      <c r="G133" s="1">
        <f ca="1">IFERROR(__xludf.DUMMYFUNCTION("""COMPUTED_VALUE"""),118)</f>
        <v>118</v>
      </c>
      <c r="H133" s="1">
        <f ca="1">IFERROR(__xludf.DUMMYFUNCTION("""COMPUTED_VALUE"""),102.3)</f>
        <v>102.3</v>
      </c>
      <c r="I133" s="1">
        <f ca="1">IFERROR(__xludf.DUMMYFUNCTION("""COMPUTED_VALUE"""),150)</f>
        <v>150</v>
      </c>
      <c r="J133" s="1">
        <f ca="1">IFERROR(__xludf.DUMMYFUNCTION("""COMPUTED_VALUE"""),64.5)</f>
        <v>64.5</v>
      </c>
      <c r="K133" s="1">
        <f ca="1">IFERROR(__xludf.DUMMYFUNCTION("""COMPUTED_VALUE"""),215)</f>
        <v>215</v>
      </c>
      <c r="L133" s="1" t="str">
        <f ca="1">IFERROR(__xludf.DUMMYFUNCTION("""COMPUTED_VALUE"""),"+.014")</f>
        <v>+.014</v>
      </c>
      <c r="M133" s="1">
        <f ca="1">IFERROR(__xludf.DUMMYFUNCTION("""COMPUTED_VALUE"""),133)</f>
        <v>133</v>
      </c>
      <c r="N133" s="1">
        <f ca="1">IFERROR(__xludf.DUMMYFUNCTION("""COMPUTED_VALUE"""),-0.25)</f>
        <v>-0.25</v>
      </c>
      <c r="O133" s="1">
        <f ca="1">IFERROR(__xludf.DUMMYFUNCTION("""COMPUTED_VALUE"""),162)</f>
        <v>162</v>
      </c>
      <c r="P133" s="1">
        <f ca="1">IFERROR(__xludf.DUMMYFUNCTION("""COMPUTED_VALUE"""),103.3)</f>
        <v>103.3</v>
      </c>
      <c r="Q133" s="1">
        <f ca="1">IFERROR(__xludf.DUMMYFUNCTION("""COMPUTED_VALUE"""),176)</f>
        <v>176</v>
      </c>
      <c r="R133" s="1">
        <f ca="1">IFERROR(__xludf.DUMMYFUNCTION("""COMPUTED_VALUE"""),103.5)</f>
        <v>103.5</v>
      </c>
      <c r="S133" s="1">
        <f ca="1">IFERROR(__xludf.DUMMYFUNCTION("""COMPUTED_VALUE"""),156)</f>
        <v>156</v>
      </c>
      <c r="T133" s="1" t="str">
        <f ca="1">IFERROR(__xludf.DUMMYFUNCTION("""COMPUTED_VALUE"""),"+7.22")</f>
        <v>+7.22</v>
      </c>
      <c r="U133" s="1">
        <f ca="1">IFERROR(__xludf.DUMMYFUNCTION("""COMPUTED_VALUE"""),22)</f>
        <v>22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IFERROR(__xludf.DUMMYFUNCTION("""COMPUTED_VALUE"""),"Washington St.")</f>
        <v>Washington St.</v>
      </c>
      <c r="C134" s="1" t="str">
        <f ca="1">IFERROR(__xludf.DUMMYFUNCTION("""COMPUTED_VALUE"""),"P10")</f>
        <v>P10</v>
      </c>
      <c r="D134" s="1" t="str">
        <f ca="1">IFERROR(__xludf.DUMMYFUNCTION("""COMPUTED_VALUE"""),"13-16")</f>
        <v>13-16</v>
      </c>
      <c r="E134" s="1" t="str">
        <f ca="1">IFERROR(__xludf.DUMMYFUNCTION("""COMPUTED_VALUE"""),"+3.04")</f>
        <v>+3.04</v>
      </c>
      <c r="F134" s="1">
        <f ca="1">IFERROR(__xludf.DUMMYFUNCTION("""COMPUTED_VALUE"""),100.9)</f>
        <v>100.9</v>
      </c>
      <c r="G134" s="1">
        <f ca="1">IFERROR(__xludf.DUMMYFUNCTION("""COMPUTED_VALUE"""),202)</f>
        <v>202</v>
      </c>
      <c r="H134" s="1">
        <f ca="1">IFERROR(__xludf.DUMMYFUNCTION("""COMPUTED_VALUE"""),97.9)</f>
        <v>97.9</v>
      </c>
      <c r="I134" s="1">
        <f ca="1">IFERROR(__xludf.DUMMYFUNCTION("""COMPUTED_VALUE"""),63)</f>
        <v>63</v>
      </c>
      <c r="J134" s="1">
        <f ca="1">IFERROR(__xludf.DUMMYFUNCTION("""COMPUTED_VALUE"""),56.5)</f>
        <v>56.5</v>
      </c>
      <c r="K134" s="1">
        <f ca="1">IFERROR(__xludf.DUMMYFUNCTION("""COMPUTED_VALUE"""),323)</f>
        <v>323</v>
      </c>
      <c r="L134" s="1">
        <f ca="1">IFERROR(__xludf.DUMMYFUNCTION("""COMPUTED_VALUE"""),-0.014)</f>
        <v>-1.4E-2</v>
      </c>
      <c r="M134" s="1">
        <f ca="1">IFERROR(__xludf.DUMMYFUNCTION("""COMPUTED_VALUE"""),199)</f>
        <v>199</v>
      </c>
      <c r="N134" s="1" t="str">
        <f ca="1">IFERROR(__xludf.DUMMYFUNCTION("""COMPUTED_VALUE"""),"+5.37")</f>
        <v>+5.37</v>
      </c>
      <c r="O134" s="1">
        <f ca="1">IFERROR(__xludf.DUMMYFUNCTION("""COMPUTED_VALUE"""),73)</f>
        <v>73</v>
      </c>
      <c r="P134" s="1">
        <f ca="1">IFERROR(__xludf.DUMMYFUNCTION("""COMPUTED_VALUE"""),106.7)</f>
        <v>106.7</v>
      </c>
      <c r="Q134" s="1">
        <f ca="1">IFERROR(__xludf.DUMMYFUNCTION("""COMPUTED_VALUE"""),53)</f>
        <v>53</v>
      </c>
      <c r="R134" s="1">
        <f ca="1">IFERROR(__xludf.DUMMYFUNCTION("""COMPUTED_VALUE"""),101.4)</f>
        <v>101.4</v>
      </c>
      <c r="S134" s="1">
        <f ca="1">IFERROR(__xludf.DUMMYFUNCTION("""COMPUTED_VALUE"""),93)</f>
        <v>93</v>
      </c>
      <c r="T134" s="1">
        <f ca="1">IFERROR(__xludf.DUMMYFUNCTION("""COMPUTED_VALUE"""),-1.9)</f>
        <v>-1.9</v>
      </c>
      <c r="U134" s="1">
        <f ca="1">IFERROR(__xludf.DUMMYFUNCTION("""COMPUTED_VALUE"""),211)</f>
        <v>211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IFERROR(__xludf.DUMMYFUNCTION("""COMPUTED_VALUE"""),"Boston University")</f>
        <v>Boston University</v>
      </c>
      <c r="C135" s="1" t="str">
        <f ca="1">IFERROR(__xludf.DUMMYFUNCTION("""COMPUTED_VALUE"""),"AE")</f>
        <v>AE</v>
      </c>
      <c r="D135" s="1" t="str">
        <f ca="1">IFERROR(__xludf.DUMMYFUNCTION("""COMPUTED_VALUE"""),"23-6")</f>
        <v>23-6</v>
      </c>
      <c r="E135" s="1" t="str">
        <f ca="1">IFERROR(__xludf.DUMMYFUNCTION("""COMPUTED_VALUE"""),"+3.01")</f>
        <v>+3.01</v>
      </c>
      <c r="F135" s="1">
        <f ca="1">IFERROR(__xludf.DUMMYFUNCTION("""COMPUTED_VALUE"""),102.5)</f>
        <v>102.5</v>
      </c>
      <c r="G135" s="1">
        <f ca="1">IFERROR(__xludf.DUMMYFUNCTION("""COMPUTED_VALUE"""),169)</f>
        <v>169</v>
      </c>
      <c r="H135" s="1">
        <f ca="1">IFERROR(__xludf.DUMMYFUNCTION("""COMPUTED_VALUE"""),99.5)</f>
        <v>99.5</v>
      </c>
      <c r="I135" s="1">
        <f ca="1">IFERROR(__xludf.DUMMYFUNCTION("""COMPUTED_VALUE"""),92)</f>
        <v>92</v>
      </c>
      <c r="J135" s="1">
        <f ca="1">IFERROR(__xludf.DUMMYFUNCTION("""COMPUTED_VALUE"""),63.4)</f>
        <v>63.4</v>
      </c>
      <c r="K135" s="1">
        <f ca="1">IFERROR(__xludf.DUMMYFUNCTION("""COMPUTED_VALUE"""),261)</f>
        <v>261</v>
      </c>
      <c r="L135" s="1" t="str">
        <f ca="1">IFERROR(__xludf.DUMMYFUNCTION("""COMPUTED_VALUE"""),"+.115")</f>
        <v>+.115</v>
      </c>
      <c r="M135" s="1">
        <f ca="1">IFERROR(__xludf.DUMMYFUNCTION("""COMPUTED_VALUE"""),3)</f>
        <v>3</v>
      </c>
      <c r="N135" s="1">
        <f ca="1">IFERROR(__xludf.DUMMYFUNCTION("""COMPUTED_VALUE"""),-7.79)</f>
        <v>-7.79</v>
      </c>
      <c r="O135" s="1">
        <f ca="1">IFERROR(__xludf.DUMMYFUNCTION("""COMPUTED_VALUE"""),277)</f>
        <v>277</v>
      </c>
      <c r="P135" s="1">
        <f ca="1">IFERROR(__xludf.DUMMYFUNCTION("""COMPUTED_VALUE"""),97.3)</f>
        <v>97.3</v>
      </c>
      <c r="Q135" s="1">
        <f ca="1">IFERROR(__xludf.DUMMYFUNCTION("""COMPUTED_VALUE"""),297)</f>
        <v>297</v>
      </c>
      <c r="R135" s="1">
        <f ca="1">IFERROR(__xludf.DUMMYFUNCTION("""COMPUTED_VALUE"""),105.1)</f>
        <v>105.1</v>
      </c>
      <c r="S135" s="1">
        <f ca="1">IFERROR(__xludf.DUMMYFUNCTION("""COMPUTED_VALUE"""),225)</f>
        <v>225</v>
      </c>
      <c r="T135" s="1" t="str">
        <f ca="1">IFERROR(__xludf.DUMMYFUNCTION("""COMPUTED_VALUE"""),"+0.37")</f>
        <v>+0.37</v>
      </c>
      <c r="U135" s="1">
        <f ca="1">IFERROR(__xludf.DUMMYFUNCTION("""COMPUTED_VALUE"""),153)</f>
        <v>153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IFERROR(__xludf.DUMMYFUNCTION("""COMPUTED_VALUE"""),"Mississippi")</f>
        <v>Mississippi</v>
      </c>
      <c r="C136" s="1" t="str">
        <f ca="1">IFERROR(__xludf.DUMMYFUNCTION("""COMPUTED_VALUE"""),"SEC")</f>
        <v>SEC</v>
      </c>
      <c r="D136" s="1" t="str">
        <f ca="1">IFERROR(__xludf.DUMMYFUNCTION("""COMPUTED_VALUE"""),"13-15")</f>
        <v>13-15</v>
      </c>
      <c r="E136" s="1" t="str">
        <f ca="1">IFERROR(__xludf.DUMMYFUNCTION("""COMPUTED_VALUE"""),"+2.99")</f>
        <v>+2.99</v>
      </c>
      <c r="F136" s="1">
        <f ca="1">IFERROR(__xludf.DUMMYFUNCTION("""COMPUTED_VALUE"""),102.7)</f>
        <v>102.7</v>
      </c>
      <c r="G136" s="1">
        <f ca="1">IFERROR(__xludf.DUMMYFUNCTION("""COMPUTED_VALUE"""),163)</f>
        <v>163</v>
      </c>
      <c r="H136" s="1">
        <f ca="1">IFERROR(__xludf.DUMMYFUNCTION("""COMPUTED_VALUE"""),99.7)</f>
        <v>99.7</v>
      </c>
      <c r="I136" s="1">
        <f ca="1">IFERROR(__xludf.DUMMYFUNCTION("""COMPUTED_VALUE"""),100)</f>
        <v>100</v>
      </c>
      <c r="J136" s="1">
        <f ca="1">IFERROR(__xludf.DUMMYFUNCTION("""COMPUTED_VALUE"""),62.9)</f>
        <v>62.9</v>
      </c>
      <c r="K136" s="1">
        <f ca="1">IFERROR(__xludf.DUMMYFUNCTION("""COMPUTED_VALUE"""),274)</f>
        <v>274</v>
      </c>
      <c r="L136" s="1" t="str">
        <f ca="1">IFERROR(__xludf.DUMMYFUNCTION("""COMPUTED_VALUE"""),"+.022")</f>
        <v>+.022</v>
      </c>
      <c r="M136" s="1">
        <f ca="1">IFERROR(__xludf.DUMMYFUNCTION("""COMPUTED_VALUE"""),112)</f>
        <v>112</v>
      </c>
      <c r="N136" s="1" t="str">
        <f ca="1">IFERROR(__xludf.DUMMYFUNCTION("""COMPUTED_VALUE"""),"+6.19")</f>
        <v>+6.19</v>
      </c>
      <c r="O136" s="1">
        <f ca="1">IFERROR(__xludf.DUMMYFUNCTION("""COMPUTED_VALUE"""),51)</f>
        <v>51</v>
      </c>
      <c r="P136" s="1">
        <f ca="1">IFERROR(__xludf.DUMMYFUNCTION("""COMPUTED_VALUE"""),106.6)</f>
        <v>106.6</v>
      </c>
      <c r="Q136" s="1">
        <f ca="1">IFERROR(__xludf.DUMMYFUNCTION("""COMPUTED_VALUE"""),59)</f>
        <v>59</v>
      </c>
      <c r="R136" s="1">
        <f ca="1">IFERROR(__xludf.DUMMYFUNCTION("""COMPUTED_VALUE"""),100.4)</f>
        <v>100.4</v>
      </c>
      <c r="S136" s="1">
        <f ca="1">IFERROR(__xludf.DUMMYFUNCTION("""COMPUTED_VALUE"""),61)</f>
        <v>61</v>
      </c>
      <c r="T136" s="1">
        <f ca="1">IFERROR(__xludf.DUMMYFUNCTION("""COMPUTED_VALUE"""),-7.42)</f>
        <v>-7.42</v>
      </c>
      <c r="U136" s="1">
        <f ca="1">IFERROR(__xludf.DUMMYFUNCTION("""COMPUTED_VALUE"""),299)</f>
        <v>299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IFERROR(__xludf.DUMMYFUNCTION("""COMPUTED_VALUE"""),"Pepperdine")</f>
        <v>Pepperdine</v>
      </c>
      <c r="C137" s="1" t="str">
        <f ca="1">IFERROR(__xludf.DUMMYFUNCTION("""COMPUTED_VALUE"""),"WCC")</f>
        <v>WCC</v>
      </c>
      <c r="D137" s="1" t="str">
        <f ca="1">IFERROR(__xludf.DUMMYFUNCTION("""COMPUTED_VALUE"""),"15-16")</f>
        <v>15-16</v>
      </c>
      <c r="E137" s="1" t="str">
        <f ca="1">IFERROR(__xludf.DUMMYFUNCTION("""COMPUTED_VALUE"""),"+2.93")</f>
        <v>+2.93</v>
      </c>
      <c r="F137" s="1">
        <f ca="1">IFERROR(__xludf.DUMMYFUNCTION("""COMPUTED_VALUE"""),113.7)</f>
        <v>113.7</v>
      </c>
      <c r="G137" s="1">
        <f ca="1">IFERROR(__xludf.DUMMYFUNCTION("""COMPUTED_VALUE"""),22)</f>
        <v>22</v>
      </c>
      <c r="H137" s="1">
        <f ca="1">IFERROR(__xludf.DUMMYFUNCTION("""COMPUTED_VALUE"""),110.8)</f>
        <v>110.8</v>
      </c>
      <c r="I137" s="1">
        <f ca="1">IFERROR(__xludf.DUMMYFUNCTION("""COMPUTED_VALUE"""),298)</f>
        <v>298</v>
      </c>
      <c r="J137" s="1">
        <f ca="1">IFERROR(__xludf.DUMMYFUNCTION("""COMPUTED_VALUE"""),69.3)</f>
        <v>69.3</v>
      </c>
      <c r="K137" s="1">
        <f ca="1">IFERROR(__xludf.DUMMYFUNCTION("""COMPUTED_VALUE"""),41)</f>
        <v>41</v>
      </c>
      <c r="L137" s="1">
        <f ca="1">IFERROR(__xludf.DUMMYFUNCTION("""COMPUTED_VALUE"""),-0.001)</f>
        <v>-1E-3</v>
      </c>
      <c r="M137" s="1">
        <f ca="1">IFERROR(__xludf.DUMMYFUNCTION("""COMPUTED_VALUE"""),175)</f>
        <v>175</v>
      </c>
      <c r="N137" s="1" t="str">
        <f ca="1">IFERROR(__xludf.DUMMYFUNCTION("""COMPUTED_VALUE"""),"+2.22")</f>
        <v>+2.22</v>
      </c>
      <c r="O137" s="1">
        <f ca="1">IFERROR(__xludf.DUMMYFUNCTION("""COMPUTED_VALUE"""),120)</f>
        <v>120</v>
      </c>
      <c r="P137" s="1">
        <f ca="1">IFERROR(__xludf.DUMMYFUNCTION("""COMPUTED_VALUE"""),104.7)</f>
        <v>104.7</v>
      </c>
      <c r="Q137" s="1">
        <f ca="1">IFERROR(__xludf.DUMMYFUNCTION("""COMPUTED_VALUE"""),119)</f>
        <v>119</v>
      </c>
      <c r="R137" s="1">
        <f ca="1">IFERROR(__xludf.DUMMYFUNCTION("""COMPUTED_VALUE"""),102.5)</f>
        <v>102.5</v>
      </c>
      <c r="S137" s="1">
        <f ca="1">IFERROR(__xludf.DUMMYFUNCTION("""COMPUTED_VALUE"""),132)</f>
        <v>132</v>
      </c>
      <c r="T137" s="1" t="str">
        <f ca="1">IFERROR(__xludf.DUMMYFUNCTION("""COMPUTED_VALUE"""),"+2.89")</f>
        <v>+2.89</v>
      </c>
      <c r="U137" s="1">
        <f ca="1">IFERROR(__xludf.DUMMYFUNCTION("""COMPUTED_VALUE"""),76)</f>
        <v>76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IFERROR(__xludf.DUMMYFUNCTION("""COMPUTED_VALUE"""),"Butler")</f>
        <v>Butler</v>
      </c>
      <c r="C138" s="1" t="str">
        <f ca="1">IFERROR(__xludf.DUMMYFUNCTION("""COMPUTED_VALUE"""),"Horz")</f>
        <v>Horz</v>
      </c>
      <c r="D138" s="1" t="str">
        <f ca="1">IFERROR(__xludf.DUMMYFUNCTION("""COMPUTED_VALUE"""),"16-14")</f>
        <v>16-14</v>
      </c>
      <c r="E138" s="1" t="str">
        <f ca="1">IFERROR(__xludf.DUMMYFUNCTION("""COMPUTED_VALUE"""),"+2.77")</f>
        <v>+2.77</v>
      </c>
      <c r="F138" s="1">
        <f ca="1">IFERROR(__xludf.DUMMYFUNCTION("""COMPUTED_VALUE"""),107.5)</f>
        <v>107.5</v>
      </c>
      <c r="G138" s="1">
        <f ca="1">IFERROR(__xludf.DUMMYFUNCTION("""COMPUTED_VALUE"""),87)</f>
        <v>87</v>
      </c>
      <c r="H138" s="1">
        <f ca="1">IFERROR(__xludf.DUMMYFUNCTION("""COMPUTED_VALUE"""),104.7)</f>
        <v>104.7</v>
      </c>
      <c r="I138" s="1">
        <f ca="1">IFERROR(__xludf.DUMMYFUNCTION("""COMPUTED_VALUE"""),184)</f>
        <v>184</v>
      </c>
      <c r="J138" s="1">
        <f ca="1">IFERROR(__xludf.DUMMYFUNCTION("""COMPUTED_VALUE"""),56.4)</f>
        <v>56.4</v>
      </c>
      <c r="K138" s="1">
        <f ca="1">IFERROR(__xludf.DUMMYFUNCTION("""COMPUTED_VALUE"""),324)</f>
        <v>324</v>
      </c>
      <c r="L138" s="1">
        <f ca="1">IFERROR(__xludf.DUMMYFUNCTION("""COMPUTED_VALUE"""),-0.038)</f>
        <v>-3.7999999999999999E-2</v>
      </c>
      <c r="M138" s="1">
        <f ca="1">IFERROR(__xludf.DUMMYFUNCTION("""COMPUTED_VALUE"""),250)</f>
        <v>250</v>
      </c>
      <c r="N138" s="1">
        <f ca="1">IFERROR(__xludf.DUMMYFUNCTION("""COMPUTED_VALUE"""),-0.58)</f>
        <v>-0.57999999999999996</v>
      </c>
      <c r="O138" s="1">
        <f ca="1">IFERROR(__xludf.DUMMYFUNCTION("""COMPUTED_VALUE"""),172)</f>
        <v>172</v>
      </c>
      <c r="P138" s="1">
        <f ca="1">IFERROR(__xludf.DUMMYFUNCTION("""COMPUTED_VALUE"""),102.3)</f>
        <v>102.3</v>
      </c>
      <c r="Q138" s="1">
        <f ca="1">IFERROR(__xludf.DUMMYFUNCTION("""COMPUTED_VALUE"""),209)</f>
        <v>209</v>
      </c>
      <c r="R138" s="1">
        <f ca="1">IFERROR(__xludf.DUMMYFUNCTION("""COMPUTED_VALUE"""),102.8)</f>
        <v>102.8</v>
      </c>
      <c r="S138" s="1">
        <f ca="1">IFERROR(__xludf.DUMMYFUNCTION("""COMPUTED_VALUE"""),139)</f>
        <v>139</v>
      </c>
      <c r="T138" s="1" t="str">
        <f ca="1">IFERROR(__xludf.DUMMYFUNCTION("""COMPUTED_VALUE"""),"+1.04")</f>
        <v>+1.04</v>
      </c>
      <c r="U138" s="1">
        <f ca="1">IFERROR(__xludf.DUMMYFUNCTION("""COMPUTED_VALUE"""),136)</f>
        <v>136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IFERROR(__xludf.DUMMYFUNCTION("""COMPUTED_VALUE"""),"Colorado St.")</f>
        <v>Colorado St.</v>
      </c>
      <c r="C139" s="1" t="str">
        <f ca="1">IFERROR(__xludf.DUMMYFUNCTION("""COMPUTED_VALUE"""),"MWC")</f>
        <v>MWC</v>
      </c>
      <c r="D139" s="1" t="str">
        <f ca="1">IFERROR(__xludf.DUMMYFUNCTION("""COMPUTED_VALUE"""),"13-16")</f>
        <v>13-16</v>
      </c>
      <c r="E139" s="1" t="str">
        <f ca="1">IFERROR(__xludf.DUMMYFUNCTION("""COMPUTED_VALUE"""),"+2.63")</f>
        <v>+2.63</v>
      </c>
      <c r="F139" s="1">
        <f ca="1">IFERROR(__xludf.DUMMYFUNCTION("""COMPUTED_VALUE"""),104.3)</f>
        <v>104.3</v>
      </c>
      <c r="G139" s="1">
        <f ca="1">IFERROR(__xludf.DUMMYFUNCTION("""COMPUTED_VALUE"""),142)</f>
        <v>142</v>
      </c>
      <c r="H139" s="1">
        <f ca="1">IFERROR(__xludf.DUMMYFUNCTION("""COMPUTED_VALUE"""),101.6)</f>
        <v>101.6</v>
      </c>
      <c r="I139" s="1">
        <f ca="1">IFERROR(__xludf.DUMMYFUNCTION("""COMPUTED_VALUE"""),133)</f>
        <v>133</v>
      </c>
      <c r="J139" s="1">
        <f ca="1">IFERROR(__xludf.DUMMYFUNCTION("""COMPUTED_VALUE"""),68.3)</f>
        <v>68.3</v>
      </c>
      <c r="K139" s="1">
        <f ca="1">IFERROR(__xludf.DUMMYFUNCTION("""COMPUTED_VALUE"""),67)</f>
        <v>67</v>
      </c>
      <c r="L139" s="1" t="str">
        <f ca="1">IFERROR(__xludf.DUMMYFUNCTION("""COMPUTED_VALUE"""),"+.008")</f>
        <v>+.008</v>
      </c>
      <c r="M139" s="1">
        <f ca="1">IFERROR(__xludf.DUMMYFUNCTION("""COMPUTED_VALUE"""),150)</f>
        <v>150</v>
      </c>
      <c r="N139" s="1" t="str">
        <f ca="1">IFERROR(__xludf.DUMMYFUNCTION("""COMPUTED_VALUE"""),"+5.86")</f>
        <v>+5.86</v>
      </c>
      <c r="O139" s="1">
        <f ca="1">IFERROR(__xludf.DUMMYFUNCTION("""COMPUTED_VALUE"""),61)</f>
        <v>61</v>
      </c>
      <c r="P139" s="1">
        <f ca="1">IFERROR(__xludf.DUMMYFUNCTION("""COMPUTED_VALUE"""),106.8)</f>
        <v>106.8</v>
      </c>
      <c r="Q139" s="1">
        <f ca="1">IFERROR(__xludf.DUMMYFUNCTION("""COMPUTED_VALUE"""),52)</f>
        <v>52</v>
      </c>
      <c r="R139" s="1">
        <f ca="1">IFERROR(__xludf.DUMMYFUNCTION("""COMPUTED_VALUE"""),100.9)</f>
        <v>100.9</v>
      </c>
      <c r="S139" s="1">
        <f ca="1">IFERROR(__xludf.DUMMYFUNCTION("""COMPUTED_VALUE"""),75)</f>
        <v>75</v>
      </c>
      <c r="T139" s="1" t="str">
        <f ca="1">IFERROR(__xludf.DUMMYFUNCTION("""COMPUTED_VALUE"""),"+1.09")</f>
        <v>+1.09</v>
      </c>
      <c r="U139" s="1">
        <f ca="1">IFERROR(__xludf.DUMMYFUNCTION("""COMPUTED_VALUE"""),134)</f>
        <v>134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IFERROR(__xludf.DUMMYFUNCTION("""COMPUTED_VALUE"""),"USC")</f>
        <v>USC</v>
      </c>
      <c r="C140" s="1" t="str">
        <f ca="1">IFERROR(__xludf.DUMMYFUNCTION("""COMPUTED_VALUE"""),"P10")</f>
        <v>P10</v>
      </c>
      <c r="D140" s="1" t="str">
        <f ca="1">IFERROR(__xludf.DUMMYFUNCTION("""COMPUTED_VALUE"""),"13-15")</f>
        <v>13-15</v>
      </c>
      <c r="E140" s="1" t="str">
        <f ca="1">IFERROR(__xludf.DUMMYFUNCTION("""COMPUTED_VALUE"""),"+2.32")</f>
        <v>+2.32</v>
      </c>
      <c r="F140" s="1">
        <f ca="1">IFERROR(__xludf.DUMMYFUNCTION("""COMPUTED_VALUE"""),104.6)</f>
        <v>104.6</v>
      </c>
      <c r="G140" s="1">
        <f ca="1">IFERROR(__xludf.DUMMYFUNCTION("""COMPUTED_VALUE"""),134)</f>
        <v>134</v>
      </c>
      <c r="H140" s="1">
        <f ca="1">IFERROR(__xludf.DUMMYFUNCTION("""COMPUTED_VALUE"""),102.3)</f>
        <v>102.3</v>
      </c>
      <c r="I140" s="1">
        <f ca="1">IFERROR(__xludf.DUMMYFUNCTION("""COMPUTED_VALUE"""),148)</f>
        <v>148</v>
      </c>
      <c r="J140" s="1">
        <f ca="1">IFERROR(__xludf.DUMMYFUNCTION("""COMPUTED_VALUE"""),70.3)</f>
        <v>70.3</v>
      </c>
      <c r="K140" s="1">
        <f ca="1">IFERROR(__xludf.DUMMYFUNCTION("""COMPUTED_VALUE"""),26)</f>
        <v>26</v>
      </c>
      <c r="L140" s="1" t="str">
        <f ca="1">IFERROR(__xludf.DUMMYFUNCTION("""COMPUTED_VALUE"""),"+.086")</f>
        <v>+.086</v>
      </c>
      <c r="M140" s="1">
        <f ca="1">IFERROR(__xludf.DUMMYFUNCTION("""COMPUTED_VALUE"""),20)</f>
        <v>20</v>
      </c>
      <c r="N140" s="1" t="str">
        <f ca="1">IFERROR(__xludf.DUMMYFUNCTION("""COMPUTED_VALUE"""),"+6.21")</f>
        <v>+6.21</v>
      </c>
      <c r="O140" s="1">
        <f ca="1">IFERROR(__xludf.DUMMYFUNCTION("""COMPUTED_VALUE"""),50)</f>
        <v>50</v>
      </c>
      <c r="P140" s="1">
        <f ca="1">IFERROR(__xludf.DUMMYFUNCTION("""COMPUTED_VALUE"""),107.9)</f>
        <v>107.9</v>
      </c>
      <c r="Q140" s="1">
        <f ca="1">IFERROR(__xludf.DUMMYFUNCTION("""COMPUTED_VALUE"""),26)</f>
        <v>26</v>
      </c>
      <c r="R140" s="1">
        <f ca="1">IFERROR(__xludf.DUMMYFUNCTION("""COMPUTED_VALUE"""),101.6)</f>
        <v>101.6</v>
      </c>
      <c r="S140" s="1">
        <f ca="1">IFERROR(__xludf.DUMMYFUNCTION("""COMPUTED_VALUE"""),103)</f>
        <v>103</v>
      </c>
      <c r="T140" s="1" t="str">
        <f ca="1">IFERROR(__xludf.DUMMYFUNCTION("""COMPUTED_VALUE"""),"+3.17")</f>
        <v>+3.17</v>
      </c>
      <c r="U140" s="1">
        <f ca="1">IFERROR(__xludf.DUMMYFUNCTION("""COMPUTED_VALUE"""),72)</f>
        <v>72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IFERROR(__xludf.DUMMYFUNCTION("""COMPUTED_VALUE"""),"Minnesota")</f>
        <v>Minnesota</v>
      </c>
      <c r="C141" s="1" t="str">
        <f ca="1">IFERROR(__xludf.DUMMYFUNCTION("""COMPUTED_VALUE"""),"B10")</f>
        <v>B10</v>
      </c>
      <c r="D141" s="2">
        <f ca="1">IFERROR(__xludf.DUMMYFUNCTION("""COMPUTED_VALUE"""),44913)</f>
        <v>44913</v>
      </c>
      <c r="E141" s="1" t="str">
        <f ca="1">IFERROR(__xludf.DUMMYFUNCTION("""COMPUTED_VALUE"""),"+2.23")</f>
        <v>+2.23</v>
      </c>
      <c r="F141" s="1">
        <f ca="1">IFERROR(__xludf.DUMMYFUNCTION("""COMPUTED_VALUE"""),105.2)</f>
        <v>105.2</v>
      </c>
      <c r="G141" s="1">
        <f ca="1">IFERROR(__xludf.DUMMYFUNCTION("""COMPUTED_VALUE"""),123)</f>
        <v>123</v>
      </c>
      <c r="H141" s="1">
        <f ca="1">IFERROR(__xludf.DUMMYFUNCTION("""COMPUTED_VALUE"""),103)</f>
        <v>103</v>
      </c>
      <c r="I141" s="1">
        <f ca="1">IFERROR(__xludf.DUMMYFUNCTION("""COMPUTED_VALUE"""),162)</f>
        <v>162</v>
      </c>
      <c r="J141" s="1">
        <f ca="1">IFERROR(__xludf.DUMMYFUNCTION("""COMPUTED_VALUE"""),67.3)</f>
        <v>67.3</v>
      </c>
      <c r="K141" s="1">
        <f ca="1">IFERROR(__xludf.DUMMYFUNCTION("""COMPUTED_VALUE"""),112)</f>
        <v>112</v>
      </c>
      <c r="L141" s="1">
        <f ca="1">IFERROR(__xludf.DUMMYFUNCTION("""COMPUTED_VALUE"""),-0.034)</f>
        <v>-3.4000000000000002E-2</v>
      </c>
      <c r="M141" s="1">
        <f ca="1">IFERROR(__xludf.DUMMYFUNCTION("""COMPUTED_VALUE"""),244)</f>
        <v>244</v>
      </c>
      <c r="N141" s="1" t="str">
        <f ca="1">IFERROR(__xludf.DUMMYFUNCTION("""COMPUTED_VALUE"""),"+5.18")</f>
        <v>+5.18</v>
      </c>
      <c r="O141" s="1">
        <f ca="1">IFERROR(__xludf.DUMMYFUNCTION("""COMPUTED_VALUE"""),81)</f>
        <v>81</v>
      </c>
      <c r="P141" s="1">
        <f ca="1">IFERROR(__xludf.DUMMYFUNCTION("""COMPUTED_VALUE"""),106.4)</f>
        <v>106.4</v>
      </c>
      <c r="Q141" s="1">
        <f ca="1">IFERROR(__xludf.DUMMYFUNCTION("""COMPUTED_VALUE"""),67)</f>
        <v>67</v>
      </c>
      <c r="R141" s="1">
        <f ca="1">IFERROR(__xludf.DUMMYFUNCTION("""COMPUTED_VALUE"""),101.2)</f>
        <v>101.2</v>
      </c>
      <c r="S141" s="1">
        <f ca="1">IFERROR(__xludf.DUMMYFUNCTION("""COMPUTED_VALUE"""),89)</f>
        <v>89</v>
      </c>
      <c r="T141" s="1">
        <f ca="1">IFERROR(__xludf.DUMMYFUNCTION("""COMPUTED_VALUE"""),-2.5)</f>
        <v>-2.5</v>
      </c>
      <c r="U141" s="1">
        <f ca="1">IFERROR(__xludf.DUMMYFUNCTION("""COMPUTED_VALUE"""),228)</f>
        <v>228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IFERROR(__xludf.DUMMYFUNCTION("""COMPUTED_VALUE"""),"Georgia St.")</f>
        <v>Georgia St.</v>
      </c>
      <c r="C142" s="1" t="str">
        <f ca="1">IFERROR(__xludf.DUMMYFUNCTION("""COMPUTED_VALUE"""),"ASun")</f>
        <v>ASun</v>
      </c>
      <c r="D142" s="1" t="str">
        <f ca="1">IFERROR(__xludf.DUMMYFUNCTION("""COMPUTED_VALUE"""),"20-9")</f>
        <v>20-9</v>
      </c>
      <c r="E142" s="1" t="str">
        <f ca="1">IFERROR(__xludf.DUMMYFUNCTION("""COMPUTED_VALUE"""),"+1.88")</f>
        <v>+1.88</v>
      </c>
      <c r="F142" s="1">
        <f ca="1">IFERROR(__xludf.DUMMYFUNCTION("""COMPUTED_VALUE"""),104.5)</f>
        <v>104.5</v>
      </c>
      <c r="G142" s="1">
        <f ca="1">IFERROR(__xludf.DUMMYFUNCTION("""COMPUTED_VALUE"""),139)</f>
        <v>139</v>
      </c>
      <c r="H142" s="1">
        <f ca="1">IFERROR(__xludf.DUMMYFUNCTION("""COMPUTED_VALUE"""),102.6)</f>
        <v>102.6</v>
      </c>
      <c r="I142" s="1">
        <f ca="1">IFERROR(__xludf.DUMMYFUNCTION("""COMPUTED_VALUE"""),156)</f>
        <v>156</v>
      </c>
      <c r="J142" s="1">
        <f ca="1">IFERROR(__xludf.DUMMYFUNCTION("""COMPUTED_VALUE"""),65.5)</f>
        <v>65.5</v>
      </c>
      <c r="K142" s="1">
        <f ca="1">IFERROR(__xludf.DUMMYFUNCTION("""COMPUTED_VALUE"""),175)</f>
        <v>175</v>
      </c>
      <c r="L142" s="1" t="str">
        <f ca="1">IFERROR(__xludf.DUMMYFUNCTION("""COMPUTED_VALUE"""),"+.040")</f>
        <v>+.040</v>
      </c>
      <c r="M142" s="1">
        <f ca="1">IFERROR(__xludf.DUMMYFUNCTION("""COMPUTED_VALUE"""),70)</f>
        <v>70</v>
      </c>
      <c r="N142" s="1">
        <f ca="1">IFERROR(__xludf.DUMMYFUNCTION("""COMPUTED_VALUE"""),-5.19)</f>
        <v>-5.19</v>
      </c>
      <c r="O142" s="1">
        <f ca="1">IFERROR(__xludf.DUMMYFUNCTION("""COMPUTED_VALUE"""),248)</f>
        <v>248</v>
      </c>
      <c r="P142" s="1">
        <f ca="1">IFERROR(__xludf.DUMMYFUNCTION("""COMPUTED_VALUE"""),101.6)</f>
        <v>101.6</v>
      </c>
      <c r="Q142" s="1">
        <f ca="1">IFERROR(__xludf.DUMMYFUNCTION("""COMPUTED_VALUE"""),229)</f>
        <v>229</v>
      </c>
      <c r="R142" s="1">
        <f ca="1">IFERROR(__xludf.DUMMYFUNCTION("""COMPUTED_VALUE"""),106.8)</f>
        <v>106.8</v>
      </c>
      <c r="S142" s="1">
        <f ca="1">IFERROR(__xludf.DUMMYFUNCTION("""COMPUTED_VALUE"""),294)</f>
        <v>294</v>
      </c>
      <c r="T142" s="1" t="str">
        <f ca="1">IFERROR(__xludf.DUMMYFUNCTION("""COMPUTED_VALUE"""),"+6.99")</f>
        <v>+6.99</v>
      </c>
      <c r="U142" s="1">
        <f ca="1">IFERROR(__xludf.DUMMYFUNCTION("""COMPUTED_VALUE"""),24)</f>
        <v>24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IFERROR(__xludf.DUMMYFUNCTION("""COMPUTED_VALUE"""),"Middle Tennessee")</f>
        <v>Middle Tennessee</v>
      </c>
      <c r="C143" s="1" t="str">
        <f ca="1">IFERROR(__xludf.DUMMYFUNCTION("""COMPUTED_VALUE"""),"SB")</f>
        <v>SB</v>
      </c>
      <c r="D143" s="1" t="str">
        <f ca="1">IFERROR(__xludf.DUMMYFUNCTION("""COMPUTED_VALUE"""),"17-12")</f>
        <v>17-12</v>
      </c>
      <c r="E143" s="1" t="str">
        <f ca="1">IFERROR(__xludf.DUMMYFUNCTION("""COMPUTED_VALUE"""),"+1.81")</f>
        <v>+1.81</v>
      </c>
      <c r="F143" s="1">
        <f ca="1">IFERROR(__xludf.DUMMYFUNCTION("""COMPUTED_VALUE"""),103.4)</f>
        <v>103.4</v>
      </c>
      <c r="G143" s="1">
        <f ca="1">IFERROR(__xludf.DUMMYFUNCTION("""COMPUTED_VALUE"""),151)</f>
        <v>151</v>
      </c>
      <c r="H143" s="1">
        <f ca="1">IFERROR(__xludf.DUMMYFUNCTION("""COMPUTED_VALUE"""),101.6)</f>
        <v>101.6</v>
      </c>
      <c r="I143" s="1">
        <f ca="1">IFERROR(__xludf.DUMMYFUNCTION("""COMPUTED_VALUE"""),131)</f>
        <v>131</v>
      </c>
      <c r="J143" s="1">
        <f ca="1">IFERROR(__xludf.DUMMYFUNCTION("""COMPUTED_VALUE"""),65.3)</f>
        <v>65.3</v>
      </c>
      <c r="K143" s="1">
        <f ca="1">IFERROR(__xludf.DUMMYFUNCTION("""COMPUTED_VALUE"""),186)</f>
        <v>186</v>
      </c>
      <c r="L143" s="1" t="str">
        <f ca="1">IFERROR(__xludf.DUMMYFUNCTION("""COMPUTED_VALUE"""),"+.026")</f>
        <v>+.026</v>
      </c>
      <c r="M143" s="1">
        <f ca="1">IFERROR(__xludf.DUMMYFUNCTION("""COMPUTED_VALUE"""),100)</f>
        <v>100</v>
      </c>
      <c r="N143" s="1">
        <f ca="1">IFERROR(__xludf.DUMMYFUNCTION("""COMPUTED_VALUE"""),-0.74)</f>
        <v>-0.74</v>
      </c>
      <c r="O143" s="1">
        <f ca="1">IFERROR(__xludf.DUMMYFUNCTION("""COMPUTED_VALUE"""),178)</f>
        <v>178</v>
      </c>
      <c r="P143" s="1">
        <f ca="1">IFERROR(__xludf.DUMMYFUNCTION("""COMPUTED_VALUE"""),103.1)</f>
        <v>103.1</v>
      </c>
      <c r="Q143" s="1">
        <f ca="1">IFERROR(__xludf.DUMMYFUNCTION("""COMPUTED_VALUE"""),178)</f>
        <v>178</v>
      </c>
      <c r="R143" s="1">
        <f ca="1">IFERROR(__xludf.DUMMYFUNCTION("""COMPUTED_VALUE"""),103.8)</f>
        <v>103.8</v>
      </c>
      <c r="S143" s="1">
        <f ca="1">IFERROR(__xludf.DUMMYFUNCTION("""COMPUTED_VALUE"""),168)</f>
        <v>168</v>
      </c>
      <c r="T143" s="1" t="str">
        <f ca="1">IFERROR(__xludf.DUMMYFUNCTION("""COMPUTED_VALUE"""),"+0.13")</f>
        <v>+0.13</v>
      </c>
      <c r="U143" s="1">
        <f ca="1">IFERROR(__xludf.DUMMYFUNCTION("""COMPUTED_VALUE"""),160)</f>
        <v>160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IFERROR(__xludf.DUMMYFUNCTION("""COMPUTED_VALUE"""),"SMU")</f>
        <v>SMU</v>
      </c>
      <c r="C144" s="1" t="str">
        <f ca="1">IFERROR(__xludf.DUMMYFUNCTION("""COMPUTED_VALUE"""),"WAC")</f>
        <v>WAC</v>
      </c>
      <c r="D144" s="2">
        <f ca="1">IFERROR(__xludf.DUMMYFUNCTION("""COMPUTED_VALUE"""),44913)</f>
        <v>44913</v>
      </c>
      <c r="E144" s="1" t="str">
        <f ca="1">IFERROR(__xludf.DUMMYFUNCTION("""COMPUTED_VALUE"""),"+1.72")</f>
        <v>+1.72</v>
      </c>
      <c r="F144" s="1">
        <f ca="1">IFERROR(__xludf.DUMMYFUNCTION("""COMPUTED_VALUE"""),105.2)</f>
        <v>105.2</v>
      </c>
      <c r="G144" s="1">
        <f ca="1">IFERROR(__xludf.DUMMYFUNCTION("""COMPUTED_VALUE"""),121)</f>
        <v>121</v>
      </c>
      <c r="H144" s="1">
        <f ca="1">IFERROR(__xludf.DUMMYFUNCTION("""COMPUTED_VALUE"""),103.5)</f>
        <v>103.5</v>
      </c>
      <c r="I144" s="1">
        <f ca="1">IFERROR(__xludf.DUMMYFUNCTION("""COMPUTED_VALUE"""),170)</f>
        <v>170</v>
      </c>
      <c r="J144" s="1">
        <f ca="1">IFERROR(__xludf.DUMMYFUNCTION("""COMPUTED_VALUE"""),62.4)</f>
        <v>62.4</v>
      </c>
      <c r="K144" s="1">
        <f ca="1">IFERROR(__xludf.DUMMYFUNCTION("""COMPUTED_VALUE"""),286)</f>
        <v>286</v>
      </c>
      <c r="L144" s="1" t="str">
        <f ca="1">IFERROR(__xludf.DUMMYFUNCTION("""COMPUTED_VALUE"""),"+.001")</f>
        <v>+.001</v>
      </c>
      <c r="M144" s="1">
        <f ca="1">IFERROR(__xludf.DUMMYFUNCTION("""COMPUTED_VALUE"""),170)</f>
        <v>170</v>
      </c>
      <c r="N144" s="1" t="str">
        <f ca="1">IFERROR(__xludf.DUMMYFUNCTION("""COMPUTED_VALUE"""),"+6.16")</f>
        <v>+6.16</v>
      </c>
      <c r="O144" s="1">
        <f ca="1">IFERROR(__xludf.DUMMYFUNCTION("""COMPUTED_VALUE"""),53)</f>
        <v>53</v>
      </c>
      <c r="P144" s="1">
        <f ca="1">IFERROR(__xludf.DUMMYFUNCTION("""COMPUTED_VALUE"""),106.1)</f>
        <v>106.1</v>
      </c>
      <c r="Q144" s="1">
        <f ca="1">IFERROR(__xludf.DUMMYFUNCTION("""COMPUTED_VALUE"""),76)</f>
        <v>76</v>
      </c>
      <c r="R144" s="1">
        <f ca="1">IFERROR(__xludf.DUMMYFUNCTION("""COMPUTED_VALUE"""),100)</f>
        <v>100</v>
      </c>
      <c r="S144" s="1">
        <f ca="1">IFERROR(__xludf.DUMMYFUNCTION("""COMPUTED_VALUE"""),40)</f>
        <v>40</v>
      </c>
      <c r="T144" s="1" t="str">
        <f ca="1">IFERROR(__xludf.DUMMYFUNCTION("""COMPUTED_VALUE"""),"+2.44")</f>
        <v>+2.44</v>
      </c>
      <c r="U144" s="1">
        <f ca="1">IFERROR(__xludf.DUMMYFUNCTION("""COMPUTED_VALUE"""),92)</f>
        <v>92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IFERROR(__xludf.DUMMYFUNCTION("""COMPUTED_VALUE"""),"Davidson")</f>
        <v>Davidson</v>
      </c>
      <c r="C145" s="1" t="str">
        <f ca="1">IFERROR(__xludf.DUMMYFUNCTION("""COMPUTED_VALUE"""),"SC")</f>
        <v>SC</v>
      </c>
      <c r="D145" s="1" t="str">
        <f ca="1">IFERROR(__xludf.DUMMYFUNCTION("""COMPUTED_VALUE"""),"17-12")</f>
        <v>17-12</v>
      </c>
      <c r="E145" s="1" t="str">
        <f ca="1">IFERROR(__xludf.DUMMYFUNCTION("""COMPUTED_VALUE"""),"+1.55")</f>
        <v>+1.55</v>
      </c>
      <c r="F145" s="1">
        <f ca="1">IFERROR(__xludf.DUMMYFUNCTION("""COMPUTED_VALUE"""),103.6)</f>
        <v>103.6</v>
      </c>
      <c r="G145" s="1">
        <f ca="1">IFERROR(__xludf.DUMMYFUNCTION("""COMPUTED_VALUE"""),148)</f>
        <v>148</v>
      </c>
      <c r="H145" s="1">
        <f ca="1">IFERROR(__xludf.DUMMYFUNCTION("""COMPUTED_VALUE"""),102.1)</f>
        <v>102.1</v>
      </c>
      <c r="I145" s="1">
        <f ca="1">IFERROR(__xludf.DUMMYFUNCTION("""COMPUTED_VALUE"""),143)</f>
        <v>143</v>
      </c>
      <c r="J145" s="1">
        <f ca="1">IFERROR(__xludf.DUMMYFUNCTION("""COMPUTED_VALUE"""),66.3)</f>
        <v>66.3</v>
      </c>
      <c r="K145" s="1">
        <f ca="1">IFERROR(__xludf.DUMMYFUNCTION("""COMPUTED_VALUE"""),144)</f>
        <v>144</v>
      </c>
      <c r="L145" s="1" t="str">
        <f ca="1">IFERROR(__xludf.DUMMYFUNCTION("""COMPUTED_VALUE"""),"+.043")</f>
        <v>+.043</v>
      </c>
      <c r="M145" s="1">
        <f ca="1">IFERROR(__xludf.DUMMYFUNCTION("""COMPUTED_VALUE"""),65)</f>
        <v>65</v>
      </c>
      <c r="N145" s="1">
        <f ca="1">IFERROR(__xludf.DUMMYFUNCTION("""COMPUTED_VALUE"""),-0.03)</f>
        <v>-0.03</v>
      </c>
      <c r="O145" s="1">
        <f ca="1">IFERROR(__xludf.DUMMYFUNCTION("""COMPUTED_VALUE"""),155)</f>
        <v>155</v>
      </c>
      <c r="P145" s="1">
        <f ca="1">IFERROR(__xludf.DUMMYFUNCTION("""COMPUTED_VALUE"""),102.8)</f>
        <v>102.8</v>
      </c>
      <c r="Q145" s="1">
        <f ca="1">IFERROR(__xludf.DUMMYFUNCTION("""COMPUTED_VALUE"""),194)</f>
        <v>194</v>
      </c>
      <c r="R145" s="1">
        <f ca="1">IFERROR(__xludf.DUMMYFUNCTION("""COMPUTED_VALUE"""),102.9)</f>
        <v>102.9</v>
      </c>
      <c r="S145" s="1">
        <f ca="1">IFERROR(__xludf.DUMMYFUNCTION("""COMPUTED_VALUE"""),140)</f>
        <v>140</v>
      </c>
      <c r="T145" s="1" t="str">
        <f ca="1">IFERROR(__xludf.DUMMYFUNCTION("""COMPUTED_VALUE"""),"+15.04")</f>
        <v>+15.04</v>
      </c>
      <c r="U145" s="1">
        <f ca="1">IFERROR(__xludf.DUMMYFUNCTION("""COMPUTED_VALUE"""),1)</f>
        <v>1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IFERROR(__xludf.DUMMYFUNCTION("""COMPUTED_VALUE"""),"Ball St.")</f>
        <v>Ball St.</v>
      </c>
      <c r="C146" s="1" t="str">
        <f ca="1">IFERROR(__xludf.DUMMYFUNCTION("""COMPUTED_VALUE"""),"MAC")</f>
        <v>MAC</v>
      </c>
      <c r="D146" s="1" t="str">
        <f ca="1">IFERROR(__xludf.DUMMYFUNCTION("""COMPUTED_VALUE"""),"14-15")</f>
        <v>14-15</v>
      </c>
      <c r="E146" s="1" t="str">
        <f ca="1">IFERROR(__xludf.DUMMYFUNCTION("""COMPUTED_VALUE"""),"+1.47")</f>
        <v>+1.47</v>
      </c>
      <c r="F146" s="1">
        <f ca="1">IFERROR(__xludf.DUMMYFUNCTION("""COMPUTED_VALUE"""),103.3)</f>
        <v>103.3</v>
      </c>
      <c r="G146" s="1">
        <f ca="1">IFERROR(__xludf.DUMMYFUNCTION("""COMPUTED_VALUE"""),152)</f>
        <v>152</v>
      </c>
      <c r="H146" s="1">
        <f ca="1">IFERROR(__xludf.DUMMYFUNCTION("""COMPUTED_VALUE"""),101.9)</f>
        <v>101.9</v>
      </c>
      <c r="I146" s="1">
        <f ca="1">IFERROR(__xludf.DUMMYFUNCTION("""COMPUTED_VALUE"""),138)</f>
        <v>138</v>
      </c>
      <c r="J146" s="1">
        <f ca="1">IFERROR(__xludf.DUMMYFUNCTION("""COMPUTED_VALUE"""),67.1)</f>
        <v>67.099999999999994</v>
      </c>
      <c r="K146" s="1">
        <f ca="1">IFERROR(__xludf.DUMMYFUNCTION("""COMPUTED_VALUE"""),117)</f>
        <v>117</v>
      </c>
      <c r="L146" s="1">
        <f ca="1">IFERROR(__xludf.DUMMYFUNCTION("""COMPUTED_VALUE"""),-0.013)</f>
        <v>-1.2999999999999999E-2</v>
      </c>
      <c r="M146" s="1">
        <f ca="1">IFERROR(__xludf.DUMMYFUNCTION("""COMPUTED_VALUE"""),196)</f>
        <v>196</v>
      </c>
      <c r="N146" s="1" t="str">
        <f ca="1">IFERROR(__xludf.DUMMYFUNCTION("""COMPUTED_VALUE"""),"+1.47")</f>
        <v>+1.47</v>
      </c>
      <c r="O146" s="1">
        <f ca="1">IFERROR(__xludf.DUMMYFUNCTION("""COMPUTED_VALUE"""),134)</f>
        <v>134</v>
      </c>
      <c r="P146" s="1">
        <f ca="1">IFERROR(__xludf.DUMMYFUNCTION("""COMPUTED_VALUE"""),105.3)</f>
        <v>105.3</v>
      </c>
      <c r="Q146" s="1">
        <f ca="1">IFERROR(__xludf.DUMMYFUNCTION("""COMPUTED_VALUE"""),98)</f>
        <v>98</v>
      </c>
      <c r="R146" s="1">
        <f ca="1">IFERROR(__xludf.DUMMYFUNCTION("""COMPUTED_VALUE"""),103.9)</f>
        <v>103.9</v>
      </c>
      <c r="S146" s="1">
        <f ca="1">IFERROR(__xludf.DUMMYFUNCTION("""COMPUTED_VALUE"""),172)</f>
        <v>172</v>
      </c>
      <c r="T146" s="1" t="str">
        <f ca="1">IFERROR(__xludf.DUMMYFUNCTION("""COMPUTED_VALUE"""),"+6.51")</f>
        <v>+6.51</v>
      </c>
      <c r="U146" s="1">
        <f ca="1">IFERROR(__xludf.DUMMYFUNCTION("""COMPUTED_VALUE"""),31)</f>
        <v>31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IFERROR(__xludf.DUMMYFUNCTION("""COMPUTED_VALUE"""),"Stephen F. Austin")</f>
        <v>Stephen F. Austin</v>
      </c>
      <c r="C147" s="1" t="str">
        <f ca="1">IFERROR(__xludf.DUMMYFUNCTION("""COMPUTED_VALUE"""),"Slnd")</f>
        <v>Slnd</v>
      </c>
      <c r="D147" s="1" t="str">
        <f ca="1">IFERROR(__xludf.DUMMYFUNCTION("""COMPUTED_VALUE"""),"21-9")</f>
        <v>21-9</v>
      </c>
      <c r="E147" s="1" t="str">
        <f ca="1">IFERROR(__xludf.DUMMYFUNCTION("""COMPUTED_VALUE"""),"+1.45")</f>
        <v>+1.45</v>
      </c>
      <c r="F147" s="1">
        <f ca="1">IFERROR(__xludf.DUMMYFUNCTION("""COMPUTED_VALUE"""),99.6)</f>
        <v>99.6</v>
      </c>
      <c r="G147" s="1">
        <f ca="1">IFERROR(__xludf.DUMMYFUNCTION("""COMPUTED_VALUE"""),227)</f>
        <v>227</v>
      </c>
      <c r="H147" s="1">
        <f ca="1">IFERROR(__xludf.DUMMYFUNCTION("""COMPUTED_VALUE"""),98.2)</f>
        <v>98.2</v>
      </c>
      <c r="I147" s="1">
        <f ca="1">IFERROR(__xludf.DUMMYFUNCTION("""COMPUTED_VALUE"""),66)</f>
        <v>66</v>
      </c>
      <c r="J147" s="1">
        <f ca="1">IFERROR(__xludf.DUMMYFUNCTION("""COMPUTED_VALUE"""),63.4)</f>
        <v>63.4</v>
      </c>
      <c r="K147" s="1">
        <f ca="1">IFERROR(__xludf.DUMMYFUNCTION("""COMPUTED_VALUE"""),259)</f>
        <v>259</v>
      </c>
      <c r="L147" s="1">
        <f ca="1">IFERROR(__xludf.DUMMYFUNCTION("""COMPUTED_VALUE"""),-0.075)</f>
        <v>-7.4999999999999997E-2</v>
      </c>
      <c r="M147" s="1">
        <f ca="1">IFERROR(__xludf.DUMMYFUNCTION("""COMPUTED_VALUE"""),299)</f>
        <v>299</v>
      </c>
      <c r="N147" s="1">
        <f ca="1">IFERROR(__xludf.DUMMYFUNCTION("""COMPUTED_VALUE"""),-9.43)</f>
        <v>-9.43</v>
      </c>
      <c r="O147" s="1">
        <f ca="1">IFERROR(__xludf.DUMMYFUNCTION("""COMPUTED_VALUE"""),302)</f>
        <v>302</v>
      </c>
      <c r="P147" s="1">
        <f ca="1">IFERROR(__xludf.DUMMYFUNCTION("""COMPUTED_VALUE"""),98.4)</f>
        <v>98.4</v>
      </c>
      <c r="Q147" s="1">
        <f ca="1">IFERROR(__xludf.DUMMYFUNCTION("""COMPUTED_VALUE"""),280)</f>
        <v>280</v>
      </c>
      <c r="R147" s="1">
        <f ca="1">IFERROR(__xludf.DUMMYFUNCTION("""COMPUTED_VALUE"""),107.8)</f>
        <v>107.8</v>
      </c>
      <c r="S147" s="1">
        <f ca="1">IFERROR(__xludf.DUMMYFUNCTION("""COMPUTED_VALUE"""),321)</f>
        <v>321</v>
      </c>
      <c r="T147" s="1">
        <f ca="1">IFERROR(__xludf.DUMMYFUNCTION("""COMPUTED_VALUE"""),-9.43)</f>
        <v>-9.43</v>
      </c>
      <c r="U147" s="1">
        <f ca="1">IFERROR(__xludf.DUMMYFUNCTION("""COMPUTED_VALUE"""),311)</f>
        <v>311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IFERROR(__xludf.DUMMYFUNCTION("""COMPUTED_VALUE"""),"Hofstra")</f>
        <v>Hofstra</v>
      </c>
      <c r="C148" s="1" t="str">
        <f ca="1">IFERROR(__xludf.DUMMYFUNCTION("""COMPUTED_VALUE"""),"CAA")</f>
        <v>CAA</v>
      </c>
      <c r="D148" s="1" t="str">
        <f ca="1">IFERROR(__xludf.DUMMYFUNCTION("""COMPUTED_VALUE"""),"14-15")</f>
        <v>14-15</v>
      </c>
      <c r="E148" s="1" t="str">
        <f ca="1">IFERROR(__xludf.DUMMYFUNCTION("""COMPUTED_VALUE"""),"+1.42")</f>
        <v>+1.42</v>
      </c>
      <c r="F148" s="1">
        <f ca="1">IFERROR(__xludf.DUMMYFUNCTION("""COMPUTED_VALUE"""),105.7)</f>
        <v>105.7</v>
      </c>
      <c r="G148" s="1">
        <f ca="1">IFERROR(__xludf.DUMMYFUNCTION("""COMPUTED_VALUE"""),113)</f>
        <v>113</v>
      </c>
      <c r="H148" s="1">
        <f ca="1">IFERROR(__xludf.DUMMYFUNCTION("""COMPUTED_VALUE"""),104.3)</f>
        <v>104.3</v>
      </c>
      <c r="I148" s="1">
        <f ca="1">IFERROR(__xludf.DUMMYFUNCTION("""COMPUTED_VALUE"""),178)</f>
        <v>178</v>
      </c>
      <c r="J148" s="1">
        <f ca="1">IFERROR(__xludf.DUMMYFUNCTION("""COMPUTED_VALUE"""),67.4)</f>
        <v>67.400000000000006</v>
      </c>
      <c r="K148" s="1">
        <f ca="1">IFERROR(__xludf.DUMMYFUNCTION("""COMPUTED_VALUE"""),107)</f>
        <v>107</v>
      </c>
      <c r="L148" s="1">
        <f ca="1">IFERROR(__xludf.DUMMYFUNCTION("""COMPUTED_VALUE"""),-0.007)</f>
        <v>-7.0000000000000001E-3</v>
      </c>
      <c r="M148" s="1">
        <f ca="1">IFERROR(__xludf.DUMMYFUNCTION("""COMPUTED_VALUE"""),183)</f>
        <v>183</v>
      </c>
      <c r="N148" s="1" t="str">
        <f ca="1">IFERROR(__xludf.DUMMYFUNCTION("""COMPUTED_VALUE"""),"+1.52")</f>
        <v>+1.52</v>
      </c>
      <c r="O148" s="1">
        <f ca="1">IFERROR(__xludf.DUMMYFUNCTION("""COMPUTED_VALUE"""),132)</f>
        <v>132</v>
      </c>
      <c r="P148" s="1">
        <f ca="1">IFERROR(__xludf.DUMMYFUNCTION("""COMPUTED_VALUE"""),102.9)</f>
        <v>102.9</v>
      </c>
      <c r="Q148" s="1">
        <f ca="1">IFERROR(__xludf.DUMMYFUNCTION("""COMPUTED_VALUE"""),190)</f>
        <v>190</v>
      </c>
      <c r="R148" s="1">
        <f ca="1">IFERROR(__xludf.DUMMYFUNCTION("""COMPUTED_VALUE"""),101.3)</f>
        <v>101.3</v>
      </c>
      <c r="S148" s="1">
        <f ca="1">IFERROR(__xludf.DUMMYFUNCTION("""COMPUTED_VALUE"""),92)</f>
        <v>92</v>
      </c>
      <c r="T148" s="1" t="str">
        <f ca="1">IFERROR(__xludf.DUMMYFUNCTION("""COMPUTED_VALUE"""),"+5.24")</f>
        <v>+5.24</v>
      </c>
      <c r="U148" s="1">
        <f ca="1">IFERROR(__xludf.DUMMYFUNCTION("""COMPUTED_VALUE"""),45)</f>
        <v>45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IFERROR(__xludf.DUMMYFUNCTION("""COMPUTED_VALUE"""),"Oral Roberts")</f>
        <v>Oral Roberts</v>
      </c>
      <c r="C149" s="1" t="str">
        <f ca="1">IFERROR(__xludf.DUMMYFUNCTION("""COMPUTED_VALUE"""),"MCon")</f>
        <v>MCon</v>
      </c>
      <c r="D149" s="1" t="str">
        <f ca="1">IFERROR(__xludf.DUMMYFUNCTION("""COMPUTED_VALUE"""),"17-11")</f>
        <v>17-11</v>
      </c>
      <c r="E149" s="1" t="str">
        <f ca="1">IFERROR(__xludf.DUMMYFUNCTION("""COMPUTED_VALUE"""),"+1.30")</f>
        <v>+1.30</v>
      </c>
      <c r="F149" s="1">
        <f ca="1">IFERROR(__xludf.DUMMYFUNCTION("""COMPUTED_VALUE"""),109.4)</f>
        <v>109.4</v>
      </c>
      <c r="G149" s="1">
        <f ca="1">IFERROR(__xludf.DUMMYFUNCTION("""COMPUTED_VALUE"""),66)</f>
        <v>66</v>
      </c>
      <c r="H149" s="1">
        <f ca="1">IFERROR(__xludf.DUMMYFUNCTION("""COMPUTED_VALUE"""),108.1)</f>
        <v>108.1</v>
      </c>
      <c r="I149" s="1">
        <f ca="1">IFERROR(__xludf.DUMMYFUNCTION("""COMPUTED_VALUE"""),255)</f>
        <v>255</v>
      </c>
      <c r="J149" s="1">
        <f ca="1">IFERROR(__xludf.DUMMYFUNCTION("""COMPUTED_VALUE"""),68.1)</f>
        <v>68.099999999999994</v>
      </c>
      <c r="K149" s="1">
        <f ca="1">IFERROR(__xludf.DUMMYFUNCTION("""COMPUTED_VALUE"""),83)</f>
        <v>83</v>
      </c>
      <c r="L149" s="1" t="str">
        <f ca="1">IFERROR(__xludf.DUMMYFUNCTION("""COMPUTED_VALUE"""),"+.007")</f>
        <v>+.007</v>
      </c>
      <c r="M149" s="1">
        <f ca="1">IFERROR(__xludf.DUMMYFUNCTION("""COMPUTED_VALUE"""),151)</f>
        <v>151</v>
      </c>
      <c r="N149" s="1">
        <f ca="1">IFERROR(__xludf.DUMMYFUNCTION("""COMPUTED_VALUE"""),-1.83)</f>
        <v>-1.83</v>
      </c>
      <c r="O149" s="1">
        <f ca="1">IFERROR(__xludf.DUMMYFUNCTION("""COMPUTED_VALUE"""),196)</f>
        <v>196</v>
      </c>
      <c r="P149" s="1">
        <f ca="1">IFERROR(__xludf.DUMMYFUNCTION("""COMPUTED_VALUE"""),103.5)</f>
        <v>103.5</v>
      </c>
      <c r="Q149" s="1">
        <f ca="1">IFERROR(__xludf.DUMMYFUNCTION("""COMPUTED_VALUE"""),154)</f>
        <v>154</v>
      </c>
      <c r="R149" s="1">
        <f ca="1">IFERROR(__xludf.DUMMYFUNCTION("""COMPUTED_VALUE"""),105.4)</f>
        <v>105.4</v>
      </c>
      <c r="S149" s="1">
        <f ca="1">IFERROR(__xludf.DUMMYFUNCTION("""COMPUTED_VALUE"""),237)</f>
        <v>237</v>
      </c>
      <c r="T149" s="1" t="str">
        <f ca="1">IFERROR(__xludf.DUMMYFUNCTION("""COMPUTED_VALUE"""),"+2.26")</f>
        <v>+2.26</v>
      </c>
      <c r="U149" s="1">
        <f ca="1">IFERROR(__xludf.DUMMYFUNCTION("""COMPUTED_VALUE"""),100)</f>
        <v>100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IFERROR(__xludf.DUMMYFUNCTION("""COMPUTED_VALUE"""),"Arizona St.")</f>
        <v>Arizona St.</v>
      </c>
      <c r="C150" s="1" t="str">
        <f ca="1">IFERROR(__xludf.DUMMYFUNCTION("""COMPUTED_VALUE"""),"P10")</f>
        <v>P10</v>
      </c>
      <c r="D150" s="2">
        <f ca="1">IFERROR(__xludf.DUMMYFUNCTION("""COMPUTED_VALUE"""),44851)</f>
        <v>44851</v>
      </c>
      <c r="E150" s="1" t="str">
        <f ca="1">IFERROR(__xludf.DUMMYFUNCTION("""COMPUTED_VALUE"""),"+1.29")</f>
        <v>+1.29</v>
      </c>
      <c r="F150" s="1">
        <f ca="1">IFERROR(__xludf.DUMMYFUNCTION("""COMPUTED_VALUE"""),107.6)</f>
        <v>107.6</v>
      </c>
      <c r="G150" s="1">
        <f ca="1">IFERROR(__xludf.DUMMYFUNCTION("""COMPUTED_VALUE"""),84)</f>
        <v>84</v>
      </c>
      <c r="H150" s="1">
        <f ca="1">IFERROR(__xludf.DUMMYFUNCTION("""COMPUTED_VALUE"""),106.3)</f>
        <v>106.3</v>
      </c>
      <c r="I150" s="1">
        <f ca="1">IFERROR(__xludf.DUMMYFUNCTION("""COMPUTED_VALUE"""),222)</f>
        <v>222</v>
      </c>
      <c r="J150" s="1">
        <f ca="1">IFERROR(__xludf.DUMMYFUNCTION("""COMPUTED_VALUE"""),68.5)</f>
        <v>68.5</v>
      </c>
      <c r="K150" s="1">
        <f ca="1">IFERROR(__xludf.DUMMYFUNCTION("""COMPUTED_VALUE"""),65)</f>
        <v>65</v>
      </c>
      <c r="L150" s="1">
        <f ca="1">IFERROR(__xludf.DUMMYFUNCTION("""COMPUTED_VALUE"""),-0.049)</f>
        <v>-4.9000000000000002E-2</v>
      </c>
      <c r="M150" s="1">
        <f ca="1">IFERROR(__xludf.DUMMYFUNCTION("""COMPUTED_VALUE"""),266)</f>
        <v>266</v>
      </c>
      <c r="N150" s="1" t="str">
        <f ca="1">IFERROR(__xludf.DUMMYFUNCTION("""COMPUTED_VALUE"""),"+4.44")</f>
        <v>+4.44</v>
      </c>
      <c r="O150" s="1">
        <f ca="1">IFERROR(__xludf.DUMMYFUNCTION("""COMPUTED_VALUE"""),89)</f>
        <v>89</v>
      </c>
      <c r="P150" s="1">
        <f ca="1">IFERROR(__xludf.DUMMYFUNCTION("""COMPUTED_VALUE"""),106.4)</f>
        <v>106.4</v>
      </c>
      <c r="Q150" s="1">
        <f ca="1">IFERROR(__xludf.DUMMYFUNCTION("""COMPUTED_VALUE"""),65)</f>
        <v>65</v>
      </c>
      <c r="R150" s="1">
        <f ca="1">IFERROR(__xludf.DUMMYFUNCTION("""COMPUTED_VALUE"""),102)</f>
        <v>102</v>
      </c>
      <c r="S150" s="1">
        <f ca="1">IFERROR(__xludf.DUMMYFUNCTION("""COMPUTED_VALUE"""),110)</f>
        <v>110</v>
      </c>
      <c r="T150" s="1">
        <f ca="1">IFERROR(__xludf.DUMMYFUNCTION("""COMPUTED_VALUE"""),-2.29)</f>
        <v>-2.29</v>
      </c>
      <c r="U150" s="1">
        <f ca="1">IFERROR(__xludf.DUMMYFUNCTION("""COMPUTED_VALUE"""),220)</f>
        <v>220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IFERROR(__xludf.DUMMYFUNCTION("""COMPUTED_VALUE"""),"Georgia Southern")</f>
        <v>Georgia Southern</v>
      </c>
      <c r="C151" s="1" t="str">
        <f ca="1">IFERROR(__xludf.DUMMYFUNCTION("""COMPUTED_VALUE"""),"SC")</f>
        <v>SC</v>
      </c>
      <c r="D151" s="1" t="str">
        <f ca="1">IFERROR(__xludf.DUMMYFUNCTION("""COMPUTED_VALUE"""),"21-8")</f>
        <v>21-8</v>
      </c>
      <c r="E151" s="1" t="str">
        <f ca="1">IFERROR(__xludf.DUMMYFUNCTION("""COMPUTED_VALUE"""),"+1.27")</f>
        <v>+1.27</v>
      </c>
      <c r="F151" s="1">
        <f ca="1">IFERROR(__xludf.DUMMYFUNCTION("""COMPUTED_VALUE"""),100.9)</f>
        <v>100.9</v>
      </c>
      <c r="G151" s="1">
        <f ca="1">IFERROR(__xludf.DUMMYFUNCTION("""COMPUTED_VALUE"""),204)</f>
        <v>204</v>
      </c>
      <c r="H151" s="1">
        <f ca="1">IFERROR(__xludf.DUMMYFUNCTION("""COMPUTED_VALUE"""),99.6)</f>
        <v>99.6</v>
      </c>
      <c r="I151" s="1">
        <f ca="1">IFERROR(__xludf.DUMMYFUNCTION("""COMPUTED_VALUE"""),98)</f>
        <v>98</v>
      </c>
      <c r="J151" s="1">
        <f ca="1">IFERROR(__xludf.DUMMYFUNCTION("""COMPUTED_VALUE"""),72.5)</f>
        <v>72.5</v>
      </c>
      <c r="K151" s="1">
        <f ca="1">IFERROR(__xludf.DUMMYFUNCTION("""COMPUTED_VALUE"""),8)</f>
        <v>8</v>
      </c>
      <c r="L151" s="1">
        <f ca="1">IFERROR(__xludf.DUMMYFUNCTION("""COMPUTED_VALUE"""),-0.016)</f>
        <v>-1.6E-2</v>
      </c>
      <c r="M151" s="1">
        <f ca="1">IFERROR(__xludf.DUMMYFUNCTION("""COMPUTED_VALUE"""),205)</f>
        <v>205</v>
      </c>
      <c r="N151" s="1">
        <f ca="1">IFERROR(__xludf.DUMMYFUNCTION("""COMPUTED_VALUE"""),-6.46)</f>
        <v>-6.46</v>
      </c>
      <c r="O151" s="1">
        <f ca="1">IFERROR(__xludf.DUMMYFUNCTION("""COMPUTED_VALUE"""),261)</f>
        <v>261</v>
      </c>
      <c r="P151" s="1">
        <f ca="1">IFERROR(__xludf.DUMMYFUNCTION("""COMPUTED_VALUE"""),99.6)</f>
        <v>99.6</v>
      </c>
      <c r="Q151" s="1">
        <f ca="1">IFERROR(__xludf.DUMMYFUNCTION("""COMPUTED_VALUE"""),260)</f>
        <v>260</v>
      </c>
      <c r="R151" s="1">
        <f ca="1">IFERROR(__xludf.DUMMYFUNCTION("""COMPUTED_VALUE"""),106.1)</f>
        <v>106.1</v>
      </c>
      <c r="S151" s="1">
        <f ca="1">IFERROR(__xludf.DUMMYFUNCTION("""COMPUTED_VALUE"""),270)</f>
        <v>270</v>
      </c>
      <c r="T151" s="1">
        <f ca="1">IFERROR(__xludf.DUMMYFUNCTION("""COMPUTED_VALUE"""),-8.44)</f>
        <v>-8.44</v>
      </c>
      <c r="U151" s="1">
        <f ca="1">IFERROR(__xludf.DUMMYFUNCTION("""COMPUTED_VALUE"""),307)</f>
        <v>307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IFERROR(__xludf.DUMMYFUNCTION("""COMPUTED_VALUE"""),"UCLA")</f>
        <v>UCLA</v>
      </c>
      <c r="C152" s="1" t="str">
        <f ca="1">IFERROR(__xludf.DUMMYFUNCTION("""COMPUTED_VALUE"""),"P10")</f>
        <v>P10</v>
      </c>
      <c r="D152" s="2">
        <f ca="1">IFERROR(__xludf.DUMMYFUNCTION("""COMPUTED_VALUE"""),44882)</f>
        <v>44882</v>
      </c>
      <c r="E152" s="1" t="str">
        <f ca="1">IFERROR(__xludf.DUMMYFUNCTION("""COMPUTED_VALUE"""),"+1.24")</f>
        <v>+1.24</v>
      </c>
      <c r="F152" s="1">
        <f ca="1">IFERROR(__xludf.DUMMYFUNCTION("""COMPUTED_VALUE"""),102.7)</f>
        <v>102.7</v>
      </c>
      <c r="G152" s="1">
        <f ca="1">IFERROR(__xludf.DUMMYFUNCTION("""COMPUTED_VALUE"""),165)</f>
        <v>165</v>
      </c>
      <c r="H152" s="1">
        <f ca="1">IFERROR(__xludf.DUMMYFUNCTION("""COMPUTED_VALUE"""),101.4)</f>
        <v>101.4</v>
      </c>
      <c r="I152" s="1">
        <f ca="1">IFERROR(__xludf.DUMMYFUNCTION("""COMPUTED_VALUE"""),126)</f>
        <v>126</v>
      </c>
      <c r="J152" s="1">
        <f ca="1">IFERROR(__xludf.DUMMYFUNCTION("""COMPUTED_VALUE"""),63.2)</f>
        <v>63.2</v>
      </c>
      <c r="K152" s="1">
        <f ca="1">IFERROR(__xludf.DUMMYFUNCTION("""COMPUTED_VALUE"""),262)</f>
        <v>262</v>
      </c>
      <c r="L152" s="1" t="str">
        <f ca="1">IFERROR(__xludf.DUMMYFUNCTION("""COMPUTED_VALUE"""),"+.017")</f>
        <v>+.017</v>
      </c>
      <c r="M152" s="1">
        <f ca="1">IFERROR(__xludf.DUMMYFUNCTION("""COMPUTED_VALUE"""),126)</f>
        <v>126</v>
      </c>
      <c r="N152" s="1" t="str">
        <f ca="1">IFERROR(__xludf.DUMMYFUNCTION("""COMPUTED_VALUE"""),"+5.71")</f>
        <v>+5.71</v>
      </c>
      <c r="O152" s="1">
        <f ca="1">IFERROR(__xludf.DUMMYFUNCTION("""COMPUTED_VALUE"""),65)</f>
        <v>65</v>
      </c>
      <c r="P152" s="1">
        <f ca="1">IFERROR(__xludf.DUMMYFUNCTION("""COMPUTED_VALUE"""),106.9)</f>
        <v>106.9</v>
      </c>
      <c r="Q152" s="1">
        <f ca="1">IFERROR(__xludf.DUMMYFUNCTION("""COMPUTED_VALUE"""),45)</f>
        <v>45</v>
      </c>
      <c r="R152" s="1">
        <f ca="1">IFERROR(__xludf.DUMMYFUNCTION("""COMPUTED_VALUE"""),101.2)</f>
        <v>101.2</v>
      </c>
      <c r="S152" s="1">
        <f ca="1">IFERROR(__xludf.DUMMYFUNCTION("""COMPUTED_VALUE"""),87)</f>
        <v>87</v>
      </c>
      <c r="T152" s="1" t="str">
        <f ca="1">IFERROR(__xludf.DUMMYFUNCTION("""COMPUTED_VALUE"""),"+2.42")</f>
        <v>+2.42</v>
      </c>
      <c r="U152" s="1">
        <f ca="1">IFERROR(__xludf.DUMMYFUNCTION("""COMPUTED_VALUE"""),93)</f>
        <v>93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IFERROR(__xludf.DUMMYFUNCTION("""COMPUTED_VALUE"""),"Chattanooga")</f>
        <v>Chattanooga</v>
      </c>
      <c r="C153" s="1" t="str">
        <f ca="1">IFERROR(__xludf.DUMMYFUNCTION("""COMPUTED_VALUE"""),"SC")</f>
        <v>SC</v>
      </c>
      <c r="D153" s="1" t="str">
        <f ca="1">IFERROR(__xludf.DUMMYFUNCTION("""COMPUTED_VALUE"""),"19-11")</f>
        <v>19-11</v>
      </c>
      <c r="E153" s="1" t="str">
        <f ca="1">IFERROR(__xludf.DUMMYFUNCTION("""COMPUTED_VALUE"""),"+1.18")</f>
        <v>+1.18</v>
      </c>
      <c r="F153" s="1">
        <f ca="1">IFERROR(__xludf.DUMMYFUNCTION("""COMPUTED_VALUE"""),111.2)</f>
        <v>111.2</v>
      </c>
      <c r="G153" s="1">
        <f ca="1">IFERROR(__xludf.DUMMYFUNCTION("""COMPUTED_VALUE"""),50)</f>
        <v>50</v>
      </c>
      <c r="H153" s="1">
        <f ca="1">IFERROR(__xludf.DUMMYFUNCTION("""COMPUTED_VALUE"""),110)</f>
        <v>110</v>
      </c>
      <c r="I153" s="1">
        <f ca="1">IFERROR(__xludf.DUMMYFUNCTION("""COMPUTED_VALUE"""),286)</f>
        <v>286</v>
      </c>
      <c r="J153" s="1">
        <f ca="1">IFERROR(__xludf.DUMMYFUNCTION("""COMPUTED_VALUE"""),66.8)</f>
        <v>66.8</v>
      </c>
      <c r="K153" s="1">
        <f ca="1">IFERROR(__xludf.DUMMYFUNCTION("""COMPUTED_VALUE"""),122)</f>
        <v>122</v>
      </c>
      <c r="L153" s="1" t="str">
        <f ca="1">IFERROR(__xludf.DUMMYFUNCTION("""COMPUTED_VALUE"""),"+.043")</f>
        <v>+.043</v>
      </c>
      <c r="M153" s="1">
        <f ca="1">IFERROR(__xludf.DUMMYFUNCTION("""COMPUTED_VALUE"""),66)</f>
        <v>66</v>
      </c>
      <c r="N153" s="1">
        <f ca="1">IFERROR(__xludf.DUMMYFUNCTION("""COMPUTED_VALUE"""),-1.81)</f>
        <v>-1.81</v>
      </c>
      <c r="O153" s="1">
        <f ca="1">IFERROR(__xludf.DUMMYFUNCTION("""COMPUTED_VALUE"""),195)</f>
        <v>195</v>
      </c>
      <c r="P153" s="1">
        <f ca="1">IFERROR(__xludf.DUMMYFUNCTION("""COMPUTED_VALUE"""),102)</f>
        <v>102</v>
      </c>
      <c r="Q153" s="1">
        <f ca="1">IFERROR(__xludf.DUMMYFUNCTION("""COMPUTED_VALUE"""),217)</f>
        <v>217</v>
      </c>
      <c r="R153" s="1">
        <f ca="1">IFERROR(__xludf.DUMMYFUNCTION("""COMPUTED_VALUE"""),103.8)</f>
        <v>103.8</v>
      </c>
      <c r="S153" s="1">
        <f ca="1">IFERROR(__xludf.DUMMYFUNCTION("""COMPUTED_VALUE"""),171)</f>
        <v>171</v>
      </c>
      <c r="T153" s="1" t="str">
        <f ca="1">IFERROR(__xludf.DUMMYFUNCTION("""COMPUTED_VALUE"""),"+1.82")</f>
        <v>+1.82</v>
      </c>
      <c r="U153" s="1">
        <f ca="1">IFERROR(__xludf.DUMMYFUNCTION("""COMPUTED_VALUE"""),115)</f>
        <v>115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IFERROR(__xludf.DUMMYFUNCTION("""COMPUTED_VALUE"""),"Duquesne")</f>
        <v>Duquesne</v>
      </c>
      <c r="C154" s="1" t="str">
        <f ca="1">IFERROR(__xludf.DUMMYFUNCTION("""COMPUTED_VALUE"""),"A10")</f>
        <v>A10</v>
      </c>
      <c r="D154" s="2">
        <f ca="1">IFERROR(__xludf.DUMMYFUNCTION("""COMPUTED_VALUE"""),44912)</f>
        <v>44912</v>
      </c>
      <c r="E154" s="1" t="str">
        <f ca="1">IFERROR(__xludf.DUMMYFUNCTION("""COMPUTED_VALUE"""),"+1.01")</f>
        <v>+1.01</v>
      </c>
      <c r="F154" s="1">
        <f ca="1">IFERROR(__xludf.DUMMYFUNCTION("""COMPUTED_VALUE"""),104.5)</f>
        <v>104.5</v>
      </c>
      <c r="G154" s="1">
        <f ca="1">IFERROR(__xludf.DUMMYFUNCTION("""COMPUTED_VALUE"""),136)</f>
        <v>136</v>
      </c>
      <c r="H154" s="1">
        <f ca="1">IFERROR(__xludf.DUMMYFUNCTION("""COMPUTED_VALUE"""),103.5)</f>
        <v>103.5</v>
      </c>
      <c r="I154" s="1">
        <f ca="1">IFERROR(__xludf.DUMMYFUNCTION("""COMPUTED_VALUE"""),169)</f>
        <v>169</v>
      </c>
      <c r="J154" s="1">
        <f ca="1">IFERROR(__xludf.DUMMYFUNCTION("""COMPUTED_VALUE"""),67.5)</f>
        <v>67.5</v>
      </c>
      <c r="K154" s="1">
        <f ca="1">IFERROR(__xludf.DUMMYFUNCTION("""COMPUTED_VALUE"""),104)</f>
        <v>104</v>
      </c>
      <c r="L154" s="1">
        <f ca="1">IFERROR(__xludf.DUMMYFUNCTION("""COMPUTED_VALUE"""),-0.052)</f>
        <v>-5.1999999999999998E-2</v>
      </c>
      <c r="M154" s="1">
        <f ca="1">IFERROR(__xludf.DUMMYFUNCTION("""COMPUTED_VALUE"""),271)</f>
        <v>271</v>
      </c>
      <c r="N154" s="1" t="str">
        <f ca="1">IFERROR(__xludf.DUMMYFUNCTION("""COMPUTED_VALUE"""),"+2.77")</f>
        <v>+2.77</v>
      </c>
      <c r="O154" s="1">
        <f ca="1">IFERROR(__xludf.DUMMYFUNCTION("""COMPUTED_VALUE"""),111)</f>
        <v>111</v>
      </c>
      <c r="P154" s="1">
        <f ca="1">IFERROR(__xludf.DUMMYFUNCTION("""COMPUTED_VALUE"""),104.9)</f>
        <v>104.9</v>
      </c>
      <c r="Q154" s="1">
        <f ca="1">IFERROR(__xludf.DUMMYFUNCTION("""COMPUTED_VALUE"""),112)</f>
        <v>112</v>
      </c>
      <c r="R154" s="1">
        <f ca="1">IFERROR(__xludf.DUMMYFUNCTION("""COMPUTED_VALUE"""),102.2)</f>
        <v>102.2</v>
      </c>
      <c r="S154" s="1">
        <f ca="1">IFERROR(__xludf.DUMMYFUNCTION("""COMPUTED_VALUE"""),115)</f>
        <v>115</v>
      </c>
      <c r="T154" s="1">
        <f ca="1">IFERROR(__xludf.DUMMYFUNCTION("""COMPUTED_VALUE"""),-6.28)</f>
        <v>-6.28</v>
      </c>
      <c r="U154" s="1">
        <f ca="1">IFERROR(__xludf.DUMMYFUNCTION("""COMPUTED_VALUE"""),280)</f>
        <v>280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IFERROR(__xludf.DUMMYFUNCTION("""COMPUTED_VALUE"""),"UMKC")</f>
        <v>UMKC</v>
      </c>
      <c r="C155" s="1" t="str">
        <f ca="1">IFERROR(__xludf.DUMMYFUNCTION("""COMPUTED_VALUE"""),"MCon")</f>
        <v>MCon</v>
      </c>
      <c r="D155" s="1" t="str">
        <f ca="1">IFERROR(__xludf.DUMMYFUNCTION("""COMPUTED_VALUE"""),"15-14")</f>
        <v>15-14</v>
      </c>
      <c r="E155" s="1" t="str">
        <f ca="1">IFERROR(__xludf.DUMMYFUNCTION("""COMPUTED_VALUE"""),"+0.72")</f>
        <v>+0.72</v>
      </c>
      <c r="F155" s="1">
        <f ca="1">IFERROR(__xludf.DUMMYFUNCTION("""COMPUTED_VALUE"""),105.7)</f>
        <v>105.7</v>
      </c>
      <c r="G155" s="1">
        <f ca="1">IFERROR(__xludf.DUMMYFUNCTION("""COMPUTED_VALUE"""),112)</f>
        <v>112</v>
      </c>
      <c r="H155" s="1">
        <f ca="1">IFERROR(__xludf.DUMMYFUNCTION("""COMPUTED_VALUE"""),105)</f>
        <v>105</v>
      </c>
      <c r="I155" s="1">
        <f ca="1">IFERROR(__xludf.DUMMYFUNCTION("""COMPUTED_VALUE"""),190)</f>
        <v>190</v>
      </c>
      <c r="J155" s="1">
        <f ca="1">IFERROR(__xludf.DUMMYFUNCTION("""COMPUTED_VALUE"""),65.8)</f>
        <v>65.8</v>
      </c>
      <c r="K155" s="1">
        <f ca="1">IFERROR(__xludf.DUMMYFUNCTION("""COMPUTED_VALUE"""),168)</f>
        <v>168</v>
      </c>
      <c r="L155" s="1">
        <f ca="1">IFERROR(__xludf.DUMMYFUNCTION("""COMPUTED_VALUE"""),-0.069)</f>
        <v>-6.9000000000000006E-2</v>
      </c>
      <c r="M155" s="1">
        <f ca="1">IFERROR(__xludf.DUMMYFUNCTION("""COMPUTED_VALUE"""),293)</f>
        <v>293</v>
      </c>
      <c r="N155" s="1">
        <f ca="1">IFERROR(__xludf.DUMMYFUNCTION("""COMPUTED_VALUE"""),-4.24)</f>
        <v>-4.24</v>
      </c>
      <c r="O155" s="1">
        <f ca="1">IFERROR(__xludf.DUMMYFUNCTION("""COMPUTED_VALUE"""),238)</f>
        <v>238</v>
      </c>
      <c r="P155" s="1">
        <f ca="1">IFERROR(__xludf.DUMMYFUNCTION("""COMPUTED_VALUE"""),102)</f>
        <v>102</v>
      </c>
      <c r="Q155" s="1">
        <f ca="1">IFERROR(__xludf.DUMMYFUNCTION("""COMPUTED_VALUE"""),218)</f>
        <v>218</v>
      </c>
      <c r="R155" s="1">
        <f ca="1">IFERROR(__xludf.DUMMYFUNCTION("""COMPUTED_VALUE"""),106.3)</f>
        <v>106.3</v>
      </c>
      <c r="S155" s="1">
        <f ca="1">IFERROR(__xludf.DUMMYFUNCTION("""COMPUTED_VALUE"""),281)</f>
        <v>281</v>
      </c>
      <c r="T155" s="1">
        <f ca="1">IFERROR(__xludf.DUMMYFUNCTION("""COMPUTED_VALUE"""),-4.53)</f>
        <v>-4.53</v>
      </c>
      <c r="U155" s="1">
        <f ca="1">IFERROR(__xludf.DUMMYFUNCTION("""COMPUTED_VALUE"""),260)</f>
        <v>260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IFERROR(__xludf.DUMMYFUNCTION("""COMPUTED_VALUE"""),"Ohio St.")</f>
        <v>Ohio St.</v>
      </c>
      <c r="C156" s="1" t="str">
        <f ca="1">IFERROR(__xludf.DUMMYFUNCTION("""COMPUTED_VALUE"""),"B10")</f>
        <v>B10</v>
      </c>
      <c r="D156" s="1" t="str">
        <f ca="1">IFERROR(__xludf.DUMMYFUNCTION("""COMPUTED_VALUE"""),"14-16")</f>
        <v>14-16</v>
      </c>
      <c r="E156" s="1" t="str">
        <f ca="1">IFERROR(__xludf.DUMMYFUNCTION("""COMPUTED_VALUE"""),"+0.71")</f>
        <v>+0.71</v>
      </c>
      <c r="F156" s="1">
        <f ca="1">IFERROR(__xludf.DUMMYFUNCTION("""COMPUTED_VALUE"""),107.9)</f>
        <v>107.9</v>
      </c>
      <c r="G156" s="1">
        <f ca="1">IFERROR(__xludf.DUMMYFUNCTION("""COMPUTED_VALUE"""),83)</f>
        <v>83</v>
      </c>
      <c r="H156" s="1">
        <f ca="1">IFERROR(__xludf.DUMMYFUNCTION("""COMPUTED_VALUE"""),107.2)</f>
        <v>107.2</v>
      </c>
      <c r="I156" s="1">
        <f ca="1">IFERROR(__xludf.DUMMYFUNCTION("""COMPUTED_VALUE"""),243)</f>
        <v>243</v>
      </c>
      <c r="J156" s="1">
        <f ca="1">IFERROR(__xludf.DUMMYFUNCTION("""COMPUTED_VALUE"""),62.8)</f>
        <v>62.8</v>
      </c>
      <c r="K156" s="1">
        <f ca="1">IFERROR(__xludf.DUMMYFUNCTION("""COMPUTED_VALUE"""),277)</f>
        <v>277</v>
      </c>
      <c r="L156" s="1" t="str">
        <f ca="1">IFERROR(__xludf.DUMMYFUNCTION("""COMPUTED_VALUE"""),"+.056")</f>
        <v>+.056</v>
      </c>
      <c r="M156" s="1">
        <f ca="1">IFERROR(__xludf.DUMMYFUNCTION("""COMPUTED_VALUE"""),45)</f>
        <v>45</v>
      </c>
      <c r="N156" s="1" t="str">
        <f ca="1">IFERROR(__xludf.DUMMYFUNCTION("""COMPUTED_VALUE"""),"+4.63")</f>
        <v>+4.63</v>
      </c>
      <c r="O156" s="1">
        <f ca="1">IFERROR(__xludf.DUMMYFUNCTION("""COMPUTED_VALUE"""),85)</f>
        <v>85</v>
      </c>
      <c r="P156" s="1">
        <f ca="1">IFERROR(__xludf.DUMMYFUNCTION("""COMPUTED_VALUE"""),105.1)</f>
        <v>105.1</v>
      </c>
      <c r="Q156" s="1">
        <f ca="1">IFERROR(__xludf.DUMMYFUNCTION("""COMPUTED_VALUE"""),106)</f>
        <v>106</v>
      </c>
      <c r="R156" s="1">
        <f ca="1">IFERROR(__xludf.DUMMYFUNCTION("""COMPUTED_VALUE"""),100.4)</f>
        <v>100.4</v>
      </c>
      <c r="S156" s="1">
        <f ca="1">IFERROR(__xludf.DUMMYFUNCTION("""COMPUTED_VALUE"""),64)</f>
        <v>64</v>
      </c>
      <c r="T156" s="1">
        <f ca="1">IFERROR(__xludf.DUMMYFUNCTION("""COMPUTED_VALUE"""),-2.79)</f>
        <v>-2.79</v>
      </c>
      <c r="U156" s="1">
        <f ca="1">IFERROR(__xludf.DUMMYFUNCTION("""COMPUTED_VALUE"""),234)</f>
        <v>234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IFERROR(__xludf.DUMMYFUNCTION("""COMPUTED_VALUE"""),"Oregon St.")</f>
        <v>Oregon St.</v>
      </c>
      <c r="C157" s="1" t="str">
        <f ca="1">IFERROR(__xludf.DUMMYFUNCTION("""COMPUTED_VALUE"""),"P10")</f>
        <v>P10</v>
      </c>
      <c r="D157" s="2">
        <f ca="1">IFERROR(__xludf.DUMMYFUNCTION("""COMPUTED_VALUE"""),44911)</f>
        <v>44911</v>
      </c>
      <c r="E157" s="1" t="str">
        <f ca="1">IFERROR(__xludf.DUMMYFUNCTION("""COMPUTED_VALUE"""),"+0.66")</f>
        <v>+0.66</v>
      </c>
      <c r="F157" s="1">
        <f ca="1">IFERROR(__xludf.DUMMYFUNCTION("""COMPUTED_VALUE"""),102.8)</f>
        <v>102.8</v>
      </c>
      <c r="G157" s="1">
        <f ca="1">IFERROR(__xludf.DUMMYFUNCTION("""COMPUTED_VALUE"""),162)</f>
        <v>162</v>
      </c>
      <c r="H157" s="1">
        <f ca="1">IFERROR(__xludf.DUMMYFUNCTION("""COMPUTED_VALUE"""),102.1)</f>
        <v>102.1</v>
      </c>
      <c r="I157" s="1">
        <f ca="1">IFERROR(__xludf.DUMMYFUNCTION("""COMPUTED_VALUE"""),144)</f>
        <v>144</v>
      </c>
      <c r="J157" s="1">
        <f ca="1">IFERROR(__xludf.DUMMYFUNCTION("""COMPUTED_VALUE"""),67.6)</f>
        <v>67.599999999999994</v>
      </c>
      <c r="K157" s="1">
        <f ca="1">IFERROR(__xludf.DUMMYFUNCTION("""COMPUTED_VALUE"""),99)</f>
        <v>99</v>
      </c>
      <c r="L157" s="1" t="str">
        <f ca="1">IFERROR(__xludf.DUMMYFUNCTION("""COMPUTED_VALUE"""),"+.003")</f>
        <v>+.003</v>
      </c>
      <c r="M157" s="1">
        <f ca="1">IFERROR(__xludf.DUMMYFUNCTION("""COMPUTED_VALUE"""),164)</f>
        <v>164</v>
      </c>
      <c r="N157" s="1" t="str">
        <f ca="1">IFERROR(__xludf.DUMMYFUNCTION("""COMPUTED_VALUE"""),"+3.89")</f>
        <v>+3.89</v>
      </c>
      <c r="O157" s="1">
        <f ca="1">IFERROR(__xludf.DUMMYFUNCTION("""COMPUTED_VALUE"""),98)</f>
        <v>98</v>
      </c>
      <c r="P157" s="1">
        <f ca="1">IFERROR(__xludf.DUMMYFUNCTION("""COMPUTED_VALUE"""),105.7)</f>
        <v>105.7</v>
      </c>
      <c r="Q157" s="1">
        <f ca="1">IFERROR(__xludf.DUMMYFUNCTION("""COMPUTED_VALUE"""),88)</f>
        <v>88</v>
      </c>
      <c r="R157" s="1">
        <f ca="1">IFERROR(__xludf.DUMMYFUNCTION("""COMPUTED_VALUE"""),101.8)</f>
        <v>101.8</v>
      </c>
      <c r="S157" s="1">
        <f ca="1">IFERROR(__xludf.DUMMYFUNCTION("""COMPUTED_VALUE"""),105)</f>
        <v>105</v>
      </c>
      <c r="T157" s="1">
        <f ca="1">IFERROR(__xludf.DUMMYFUNCTION("""COMPUTED_VALUE"""),-5.14)</f>
        <v>-5.14</v>
      </c>
      <c r="U157" s="1">
        <f ca="1">IFERROR(__xludf.DUMMYFUNCTION("""COMPUTED_VALUE"""),269)</f>
        <v>269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IFERROR(__xludf.DUMMYFUNCTION("""COMPUTED_VALUE"""),"Delaware")</f>
        <v>Delaware</v>
      </c>
      <c r="C158" s="1" t="str">
        <f ca="1">IFERROR(__xludf.DUMMYFUNCTION("""COMPUTED_VALUE"""),"CAA")</f>
        <v>CAA</v>
      </c>
      <c r="D158" s="1" t="str">
        <f ca="1">IFERROR(__xludf.DUMMYFUNCTION("""COMPUTED_VALUE"""),"16-12")</f>
        <v>16-12</v>
      </c>
      <c r="E158" s="1" t="str">
        <f ca="1">IFERROR(__xludf.DUMMYFUNCTION("""COMPUTED_VALUE"""),"+0.62")</f>
        <v>+0.62</v>
      </c>
      <c r="F158" s="1">
        <f ca="1">IFERROR(__xludf.DUMMYFUNCTION("""COMPUTED_VALUE"""),99.3)</f>
        <v>99.3</v>
      </c>
      <c r="G158" s="1">
        <f ca="1">IFERROR(__xludf.DUMMYFUNCTION("""COMPUTED_VALUE"""),231)</f>
        <v>231</v>
      </c>
      <c r="H158" s="1">
        <f ca="1">IFERROR(__xludf.DUMMYFUNCTION("""COMPUTED_VALUE"""),98.6)</f>
        <v>98.6</v>
      </c>
      <c r="I158" s="1">
        <f ca="1">IFERROR(__xludf.DUMMYFUNCTION("""COMPUTED_VALUE"""),79)</f>
        <v>79</v>
      </c>
      <c r="J158" s="1">
        <f ca="1">IFERROR(__xludf.DUMMYFUNCTION("""COMPUTED_VALUE"""),68.9)</f>
        <v>68.900000000000006</v>
      </c>
      <c r="K158" s="1">
        <f ca="1">IFERROR(__xludf.DUMMYFUNCTION("""COMPUTED_VALUE"""),56)</f>
        <v>56</v>
      </c>
      <c r="L158" s="1" t="str">
        <f ca="1">IFERROR(__xludf.DUMMYFUNCTION("""COMPUTED_VALUE"""),"+.028")</f>
        <v>+.028</v>
      </c>
      <c r="M158" s="1">
        <f ca="1">IFERROR(__xludf.DUMMYFUNCTION("""COMPUTED_VALUE"""),96)</f>
        <v>96</v>
      </c>
      <c r="N158" s="1">
        <f ca="1">IFERROR(__xludf.DUMMYFUNCTION("""COMPUTED_VALUE"""),-1.81)</f>
        <v>-1.81</v>
      </c>
      <c r="O158" s="1">
        <f ca="1">IFERROR(__xludf.DUMMYFUNCTION("""COMPUTED_VALUE"""),194)</f>
        <v>194</v>
      </c>
      <c r="P158" s="1">
        <f ca="1">IFERROR(__xludf.DUMMYFUNCTION("""COMPUTED_VALUE"""),101.7)</f>
        <v>101.7</v>
      </c>
      <c r="Q158" s="1">
        <f ca="1">IFERROR(__xludf.DUMMYFUNCTION("""COMPUTED_VALUE"""),227)</f>
        <v>227</v>
      </c>
      <c r="R158" s="1">
        <f ca="1">IFERROR(__xludf.DUMMYFUNCTION("""COMPUTED_VALUE"""),103.5)</f>
        <v>103.5</v>
      </c>
      <c r="S158" s="1">
        <f ca="1">IFERROR(__xludf.DUMMYFUNCTION("""COMPUTED_VALUE"""),155)</f>
        <v>155</v>
      </c>
      <c r="T158" s="1">
        <f ca="1">IFERROR(__xludf.DUMMYFUNCTION("""COMPUTED_VALUE"""),-6.37)</f>
        <v>-6.37</v>
      </c>
      <c r="U158" s="1">
        <f ca="1">IFERROR(__xludf.DUMMYFUNCTION("""COMPUTED_VALUE"""),283)</f>
        <v>283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IFERROR(__xludf.DUMMYFUNCTION("""COMPUTED_VALUE"""),"Arkansas Little Rock")</f>
        <v>Arkansas Little Rock</v>
      </c>
      <c r="C159" s="1" t="str">
        <f ca="1">IFERROR(__xludf.DUMMYFUNCTION("""COMPUTED_VALUE"""),"SB")</f>
        <v>SB</v>
      </c>
      <c r="D159" s="1" t="str">
        <f ca="1">IFERROR(__xludf.DUMMYFUNCTION("""COMPUTED_VALUE"""),"17-12")</f>
        <v>17-12</v>
      </c>
      <c r="E159" s="1" t="str">
        <f ca="1">IFERROR(__xludf.DUMMYFUNCTION("""COMPUTED_VALUE"""),"+0.58")</f>
        <v>+0.58</v>
      </c>
      <c r="F159" s="1">
        <f ca="1">IFERROR(__xludf.DUMMYFUNCTION("""COMPUTED_VALUE"""),101)</f>
        <v>101</v>
      </c>
      <c r="G159" s="1">
        <f ca="1">IFERROR(__xludf.DUMMYFUNCTION("""COMPUTED_VALUE"""),200)</f>
        <v>200</v>
      </c>
      <c r="H159" s="1">
        <f ca="1">IFERROR(__xludf.DUMMYFUNCTION("""COMPUTED_VALUE"""),100.4)</f>
        <v>100.4</v>
      </c>
      <c r="I159" s="1">
        <f ca="1">IFERROR(__xludf.DUMMYFUNCTION("""COMPUTED_VALUE"""),110)</f>
        <v>110</v>
      </c>
      <c r="J159" s="1">
        <f ca="1">IFERROR(__xludf.DUMMYFUNCTION("""COMPUTED_VALUE"""),65.6)</f>
        <v>65.599999999999994</v>
      </c>
      <c r="K159" s="1">
        <f ca="1">IFERROR(__xludf.DUMMYFUNCTION("""COMPUTED_VALUE"""),171)</f>
        <v>171</v>
      </c>
      <c r="L159" s="1">
        <f ca="1">IFERROR(__xludf.DUMMYFUNCTION("""COMPUTED_VALUE"""),-0.052)</f>
        <v>-5.1999999999999998E-2</v>
      </c>
      <c r="M159" s="1">
        <f ca="1">IFERROR(__xludf.DUMMYFUNCTION("""COMPUTED_VALUE"""),272)</f>
        <v>272</v>
      </c>
      <c r="N159" s="1">
        <f ca="1">IFERROR(__xludf.DUMMYFUNCTION("""COMPUTED_VALUE"""),-4.51)</f>
        <v>-4.51</v>
      </c>
      <c r="O159" s="1">
        <f ca="1">IFERROR(__xludf.DUMMYFUNCTION("""COMPUTED_VALUE"""),243)</f>
        <v>243</v>
      </c>
      <c r="P159" s="1">
        <f ca="1">IFERROR(__xludf.DUMMYFUNCTION("""COMPUTED_VALUE"""),101.3)</f>
        <v>101.3</v>
      </c>
      <c r="Q159" s="1">
        <f ca="1">IFERROR(__xludf.DUMMYFUNCTION("""COMPUTED_VALUE"""),237)</f>
        <v>237</v>
      </c>
      <c r="R159" s="1">
        <f ca="1">IFERROR(__xludf.DUMMYFUNCTION("""COMPUTED_VALUE"""),105.8)</f>
        <v>105.8</v>
      </c>
      <c r="S159" s="1">
        <f ca="1">IFERROR(__xludf.DUMMYFUNCTION("""COMPUTED_VALUE"""),262)</f>
        <v>262</v>
      </c>
      <c r="T159" s="1">
        <f ca="1">IFERROR(__xludf.DUMMYFUNCTION("""COMPUTED_VALUE"""),-6.93)</f>
        <v>-6.93</v>
      </c>
      <c r="U159" s="1">
        <f ca="1">IFERROR(__xludf.DUMMYFUNCTION("""COMPUTED_VALUE"""),294)</f>
        <v>294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IFERROR(__xludf.DUMMYFUNCTION("""COMPUTED_VALUE"""),"Valparaiso15")</f>
        <v>Valparaiso15</v>
      </c>
      <c r="C160" s="1" t="str">
        <f ca="1">IFERROR(__xludf.DUMMYFUNCTION("""COMPUTED_VALUE"""),"MCon")</f>
        <v>MCon</v>
      </c>
      <c r="D160" s="1" t="str">
        <f ca="1">IFERROR(__xludf.DUMMYFUNCTION("""COMPUTED_VALUE"""),"18-13")</f>
        <v>18-13</v>
      </c>
      <c r="E160" s="1" t="str">
        <f ca="1">IFERROR(__xludf.DUMMYFUNCTION("""COMPUTED_VALUE"""),"+0.53")</f>
        <v>+0.53</v>
      </c>
      <c r="F160" s="1">
        <f ca="1">IFERROR(__xludf.DUMMYFUNCTION("""COMPUTED_VALUE"""),100.1)</f>
        <v>100.1</v>
      </c>
      <c r="G160" s="1">
        <f ca="1">IFERROR(__xludf.DUMMYFUNCTION("""COMPUTED_VALUE"""),212)</f>
        <v>212</v>
      </c>
      <c r="H160" s="1">
        <f ca="1">IFERROR(__xludf.DUMMYFUNCTION("""COMPUTED_VALUE"""),99.6)</f>
        <v>99.6</v>
      </c>
      <c r="I160" s="1">
        <f ca="1">IFERROR(__xludf.DUMMYFUNCTION("""COMPUTED_VALUE"""),96)</f>
        <v>96</v>
      </c>
      <c r="J160" s="1">
        <f ca="1">IFERROR(__xludf.DUMMYFUNCTION("""COMPUTED_VALUE"""),69.2)</f>
        <v>69.2</v>
      </c>
      <c r="K160" s="1">
        <f ca="1">IFERROR(__xludf.DUMMYFUNCTION("""COMPUTED_VALUE"""),47)</f>
        <v>47</v>
      </c>
      <c r="L160" s="1" t="str">
        <f ca="1">IFERROR(__xludf.DUMMYFUNCTION("""COMPUTED_VALUE"""),"+.068")</f>
        <v>+.068</v>
      </c>
      <c r="M160" s="1">
        <f ca="1">IFERROR(__xludf.DUMMYFUNCTION("""COMPUTED_VALUE"""),33)</f>
        <v>33</v>
      </c>
      <c r="N160" s="1">
        <f ca="1">IFERROR(__xludf.DUMMYFUNCTION("""COMPUTED_VALUE"""),-1.31)</f>
        <v>-1.31</v>
      </c>
      <c r="O160" s="1">
        <f ca="1">IFERROR(__xludf.DUMMYFUNCTION("""COMPUTED_VALUE"""),189)</f>
        <v>189</v>
      </c>
      <c r="P160" s="1">
        <f ca="1">IFERROR(__xludf.DUMMYFUNCTION("""COMPUTED_VALUE"""),104.7)</f>
        <v>104.7</v>
      </c>
      <c r="Q160" s="1">
        <f ca="1">IFERROR(__xludf.DUMMYFUNCTION("""COMPUTED_VALUE"""),118)</f>
        <v>118</v>
      </c>
      <c r="R160" s="1">
        <f ca="1">IFERROR(__xludf.DUMMYFUNCTION("""COMPUTED_VALUE"""),106)</f>
        <v>106</v>
      </c>
      <c r="S160" s="1">
        <f ca="1">IFERROR(__xludf.DUMMYFUNCTION("""COMPUTED_VALUE"""),267)</f>
        <v>267</v>
      </c>
      <c r="T160" s="1" t="str">
        <f ca="1">IFERROR(__xludf.DUMMYFUNCTION("""COMPUTED_VALUE"""),"+0.85")</f>
        <v>+0.85</v>
      </c>
      <c r="U160" s="1">
        <f ca="1">IFERROR(__xludf.DUMMYFUNCTION("""COMPUTED_VALUE"""),139)</f>
        <v>139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IFERROR(__xludf.DUMMYFUNCTION("""COMPUTED_VALUE"""),"Tulsa")</f>
        <v>Tulsa</v>
      </c>
      <c r="C161" s="1" t="str">
        <f ca="1">IFERROR(__xludf.DUMMYFUNCTION("""COMPUTED_VALUE"""),"WAC")</f>
        <v>WAC</v>
      </c>
      <c r="D161" s="2">
        <f ca="1">IFERROR(__xludf.DUMMYFUNCTION("""COMPUTED_VALUE"""),44824)</f>
        <v>44824</v>
      </c>
      <c r="E161" s="1" t="str">
        <f ca="1">IFERROR(__xludf.DUMMYFUNCTION("""COMPUTED_VALUE"""),"+0.16")</f>
        <v>+0.16</v>
      </c>
      <c r="F161" s="1">
        <f ca="1">IFERROR(__xludf.DUMMYFUNCTION("""COMPUTED_VALUE"""),102.2)</f>
        <v>102.2</v>
      </c>
      <c r="G161" s="1">
        <f ca="1">IFERROR(__xludf.DUMMYFUNCTION("""COMPUTED_VALUE"""),174)</f>
        <v>174</v>
      </c>
      <c r="H161" s="1">
        <f ca="1">IFERROR(__xludf.DUMMYFUNCTION("""COMPUTED_VALUE"""),102)</f>
        <v>102</v>
      </c>
      <c r="I161" s="1">
        <f ca="1">IFERROR(__xludf.DUMMYFUNCTION("""COMPUTED_VALUE"""),142)</f>
        <v>142</v>
      </c>
      <c r="J161" s="1">
        <f ca="1">IFERROR(__xludf.DUMMYFUNCTION("""COMPUTED_VALUE"""),67)</f>
        <v>67</v>
      </c>
      <c r="K161" s="1">
        <f ca="1">IFERROR(__xludf.DUMMYFUNCTION("""COMPUTED_VALUE"""),119)</f>
        <v>119</v>
      </c>
      <c r="L161" s="1">
        <f ca="1">IFERROR(__xludf.DUMMYFUNCTION("""COMPUTED_VALUE"""),-0.099)</f>
        <v>-9.9000000000000005E-2</v>
      </c>
      <c r="M161" s="1">
        <f ca="1">IFERROR(__xludf.DUMMYFUNCTION("""COMPUTED_VALUE"""),316)</f>
        <v>316</v>
      </c>
      <c r="N161" s="1" t="str">
        <f ca="1">IFERROR(__xludf.DUMMYFUNCTION("""COMPUTED_VALUE"""),"+5.87")</f>
        <v>+5.87</v>
      </c>
      <c r="O161" s="1">
        <f ca="1">IFERROR(__xludf.DUMMYFUNCTION("""COMPUTED_VALUE"""),60)</f>
        <v>60</v>
      </c>
      <c r="P161" s="1">
        <f ca="1">IFERROR(__xludf.DUMMYFUNCTION("""COMPUTED_VALUE"""),106.6)</f>
        <v>106.6</v>
      </c>
      <c r="Q161" s="1">
        <f ca="1">IFERROR(__xludf.DUMMYFUNCTION("""COMPUTED_VALUE"""),61)</f>
        <v>61</v>
      </c>
      <c r="R161" s="1">
        <f ca="1">IFERROR(__xludf.DUMMYFUNCTION("""COMPUTED_VALUE"""),100.7)</f>
        <v>100.7</v>
      </c>
      <c r="S161" s="1">
        <f ca="1">IFERROR(__xludf.DUMMYFUNCTION("""COMPUTED_VALUE"""),72)</f>
        <v>72</v>
      </c>
      <c r="T161" s="1" t="str">
        <f ca="1">IFERROR(__xludf.DUMMYFUNCTION("""COMPUTED_VALUE"""),"+2.74")</f>
        <v>+2.74</v>
      </c>
      <c r="U161" s="1">
        <f ca="1">IFERROR(__xludf.DUMMYFUNCTION("""COMPUTED_VALUE"""),82)</f>
        <v>82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IFERROR(__xludf.DUMMYFUNCTION("""COMPUTED_VALUE"""),"TCU")</f>
        <v>TCU</v>
      </c>
      <c r="C162" s="1" t="str">
        <f ca="1">IFERROR(__xludf.DUMMYFUNCTION("""COMPUTED_VALUE"""),"CUSA")</f>
        <v>CUSA</v>
      </c>
      <c r="D162" s="2">
        <f ca="1">IFERROR(__xludf.DUMMYFUNCTION("""COMPUTED_VALUE"""),44912)</f>
        <v>44912</v>
      </c>
      <c r="E162" s="1" t="str">
        <f ca="1">IFERROR(__xludf.DUMMYFUNCTION("""COMPUTED_VALUE"""),"+0.08")</f>
        <v>+0.08</v>
      </c>
      <c r="F162" s="1">
        <f ca="1">IFERROR(__xludf.DUMMYFUNCTION("""COMPUTED_VALUE"""),102.9)</f>
        <v>102.9</v>
      </c>
      <c r="G162" s="1">
        <f ca="1">IFERROR(__xludf.DUMMYFUNCTION("""COMPUTED_VALUE"""),161)</f>
        <v>161</v>
      </c>
      <c r="H162" s="1">
        <f ca="1">IFERROR(__xludf.DUMMYFUNCTION("""COMPUTED_VALUE"""),102.8)</f>
        <v>102.8</v>
      </c>
      <c r="I162" s="1">
        <f ca="1">IFERROR(__xludf.DUMMYFUNCTION("""COMPUTED_VALUE"""),158)</f>
        <v>158</v>
      </c>
      <c r="J162" s="1">
        <f ca="1">IFERROR(__xludf.DUMMYFUNCTION("""COMPUTED_VALUE"""),66.1)</f>
        <v>66.099999999999994</v>
      </c>
      <c r="K162" s="1">
        <f ca="1">IFERROR(__xludf.DUMMYFUNCTION("""COMPUTED_VALUE"""),149)</f>
        <v>149</v>
      </c>
      <c r="L162" s="1">
        <f ca="1">IFERROR(__xludf.DUMMYFUNCTION("""COMPUTED_VALUE"""),-0.001)</f>
        <v>-1E-3</v>
      </c>
      <c r="M162" s="1">
        <f ca="1">IFERROR(__xludf.DUMMYFUNCTION("""COMPUTED_VALUE"""),173)</f>
        <v>173</v>
      </c>
      <c r="N162" s="1" t="str">
        <f ca="1">IFERROR(__xludf.DUMMYFUNCTION("""COMPUTED_VALUE"""),"+3.94")</f>
        <v>+3.94</v>
      </c>
      <c r="O162" s="1">
        <f ca="1">IFERROR(__xludf.DUMMYFUNCTION("""COMPUTED_VALUE"""),96)</f>
        <v>96</v>
      </c>
      <c r="P162" s="1">
        <f ca="1">IFERROR(__xludf.DUMMYFUNCTION("""COMPUTED_VALUE"""),104.9)</f>
        <v>104.9</v>
      </c>
      <c r="Q162" s="1">
        <f ca="1">IFERROR(__xludf.DUMMYFUNCTION("""COMPUTED_VALUE"""),113)</f>
        <v>113</v>
      </c>
      <c r="R162" s="1">
        <f ca="1">IFERROR(__xludf.DUMMYFUNCTION("""COMPUTED_VALUE"""),101)</f>
        <v>101</v>
      </c>
      <c r="S162" s="1">
        <f ca="1">IFERROR(__xludf.DUMMYFUNCTION("""COMPUTED_VALUE"""),77)</f>
        <v>77</v>
      </c>
      <c r="T162" s="1">
        <f ca="1">IFERROR(__xludf.DUMMYFUNCTION("""COMPUTED_VALUE"""),-0.22)</f>
        <v>-0.22</v>
      </c>
      <c r="U162" s="1">
        <f ca="1">IFERROR(__xludf.DUMMYFUNCTION("""COMPUTED_VALUE"""),170)</f>
        <v>170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IFERROR(__xludf.DUMMYFUNCTION("""COMPUTED_VALUE"""),"Drake")</f>
        <v>Drake</v>
      </c>
      <c r="C163" s="1" t="str">
        <f ca="1">IFERROR(__xludf.DUMMYFUNCTION("""COMPUTED_VALUE"""),"MVC")</f>
        <v>MVC</v>
      </c>
      <c r="D163" s="2">
        <f ca="1">IFERROR(__xludf.DUMMYFUNCTION("""COMPUTED_VALUE"""),44911)</f>
        <v>44911</v>
      </c>
      <c r="E163" s="1">
        <f ca="1">IFERROR(__xludf.DUMMYFUNCTION("""COMPUTED_VALUE"""),-0.03)</f>
        <v>-0.03</v>
      </c>
      <c r="F163" s="1">
        <f ca="1">IFERROR(__xludf.DUMMYFUNCTION("""COMPUTED_VALUE"""),100.9)</f>
        <v>100.9</v>
      </c>
      <c r="G163" s="1">
        <f ca="1">IFERROR(__xludf.DUMMYFUNCTION("""COMPUTED_VALUE"""),203)</f>
        <v>203</v>
      </c>
      <c r="H163" s="1">
        <f ca="1">IFERROR(__xludf.DUMMYFUNCTION("""COMPUTED_VALUE"""),100.9)</f>
        <v>100.9</v>
      </c>
      <c r="I163" s="1">
        <f ca="1">IFERROR(__xludf.DUMMYFUNCTION("""COMPUTED_VALUE"""),119)</f>
        <v>119</v>
      </c>
      <c r="J163" s="1">
        <f ca="1">IFERROR(__xludf.DUMMYFUNCTION("""COMPUTED_VALUE"""),68.2)</f>
        <v>68.2</v>
      </c>
      <c r="K163" s="1">
        <f ca="1">IFERROR(__xludf.DUMMYFUNCTION("""COMPUTED_VALUE"""),73)</f>
        <v>73</v>
      </c>
      <c r="L163" s="1">
        <f ca="1">IFERROR(__xludf.DUMMYFUNCTION("""COMPUTED_VALUE"""),-0.012)</f>
        <v>-1.2E-2</v>
      </c>
      <c r="M163" s="1">
        <f ca="1">IFERROR(__xludf.DUMMYFUNCTION("""COMPUTED_VALUE"""),193)</f>
        <v>193</v>
      </c>
      <c r="N163" s="1" t="str">
        <f ca="1">IFERROR(__xludf.DUMMYFUNCTION("""COMPUTED_VALUE"""),"+2.24")</f>
        <v>+2.24</v>
      </c>
      <c r="O163" s="1">
        <f ca="1">IFERROR(__xludf.DUMMYFUNCTION("""COMPUTED_VALUE"""),119)</f>
        <v>119</v>
      </c>
      <c r="P163" s="1">
        <f ca="1">IFERROR(__xludf.DUMMYFUNCTION("""COMPUTED_VALUE"""),104.2)</f>
        <v>104.2</v>
      </c>
      <c r="Q163" s="1">
        <f ca="1">IFERROR(__xludf.DUMMYFUNCTION("""COMPUTED_VALUE"""),137)</f>
        <v>137</v>
      </c>
      <c r="R163" s="1">
        <f ca="1">IFERROR(__xludf.DUMMYFUNCTION("""COMPUTED_VALUE"""),101.9)</f>
        <v>101.9</v>
      </c>
      <c r="S163" s="1">
        <f ca="1">IFERROR(__xludf.DUMMYFUNCTION("""COMPUTED_VALUE"""),109)</f>
        <v>109</v>
      </c>
      <c r="T163" s="1">
        <f ca="1">IFERROR(__xludf.DUMMYFUNCTION("""COMPUTED_VALUE"""),-2.76)</f>
        <v>-2.76</v>
      </c>
      <c r="U163" s="1">
        <f ca="1">IFERROR(__xludf.DUMMYFUNCTION("""COMPUTED_VALUE"""),233)</f>
        <v>233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IFERROR(__xludf.DUMMYFUNCTION("""COMPUTED_VALUE"""),"Green Bay")</f>
        <v>Green Bay</v>
      </c>
      <c r="C164" s="1" t="str">
        <f ca="1">IFERROR(__xludf.DUMMYFUNCTION("""COMPUTED_VALUE"""),"Horz")</f>
        <v>Horz</v>
      </c>
      <c r="D164" s="1" t="str">
        <f ca="1">IFERROR(__xludf.DUMMYFUNCTION("""COMPUTED_VALUE"""),"17-11")</f>
        <v>17-11</v>
      </c>
      <c r="E164" s="1">
        <f ca="1">IFERROR(__xludf.DUMMYFUNCTION("""COMPUTED_VALUE"""),-0.04)</f>
        <v>-0.04</v>
      </c>
      <c r="F164" s="1">
        <f ca="1">IFERROR(__xludf.DUMMYFUNCTION("""COMPUTED_VALUE"""),101.7)</f>
        <v>101.7</v>
      </c>
      <c r="G164" s="1">
        <f ca="1">IFERROR(__xludf.DUMMYFUNCTION("""COMPUTED_VALUE"""),186)</f>
        <v>186</v>
      </c>
      <c r="H164" s="1">
        <f ca="1">IFERROR(__xludf.DUMMYFUNCTION("""COMPUTED_VALUE"""),101.7)</f>
        <v>101.7</v>
      </c>
      <c r="I164" s="1">
        <f ca="1">IFERROR(__xludf.DUMMYFUNCTION("""COMPUTED_VALUE"""),136)</f>
        <v>136</v>
      </c>
      <c r="J164" s="1">
        <f ca="1">IFERROR(__xludf.DUMMYFUNCTION("""COMPUTED_VALUE"""),63.1)</f>
        <v>63.1</v>
      </c>
      <c r="K164" s="1">
        <f ca="1">IFERROR(__xludf.DUMMYFUNCTION("""COMPUTED_VALUE"""),269)</f>
        <v>269</v>
      </c>
      <c r="L164" s="1" t="str">
        <f ca="1">IFERROR(__xludf.DUMMYFUNCTION("""COMPUTED_VALUE"""),"+.105")</f>
        <v>+.105</v>
      </c>
      <c r="M164" s="1">
        <f ca="1">IFERROR(__xludf.DUMMYFUNCTION("""COMPUTED_VALUE"""),7)</f>
        <v>7</v>
      </c>
      <c r="N164" s="1">
        <f ca="1">IFERROR(__xludf.DUMMYFUNCTION("""COMPUTED_VALUE"""),-0.38)</f>
        <v>-0.38</v>
      </c>
      <c r="O164" s="1">
        <f ca="1">IFERROR(__xludf.DUMMYFUNCTION("""COMPUTED_VALUE"""),167)</f>
        <v>167</v>
      </c>
      <c r="P164" s="1">
        <f ca="1">IFERROR(__xludf.DUMMYFUNCTION("""COMPUTED_VALUE"""),103.9)</f>
        <v>103.9</v>
      </c>
      <c r="Q164" s="1">
        <f ca="1">IFERROR(__xludf.DUMMYFUNCTION("""COMPUTED_VALUE"""),145)</f>
        <v>145</v>
      </c>
      <c r="R164" s="1">
        <f ca="1">IFERROR(__xludf.DUMMYFUNCTION("""COMPUTED_VALUE"""),104.3)</f>
        <v>104.3</v>
      </c>
      <c r="S164" s="1">
        <f ca="1">IFERROR(__xludf.DUMMYFUNCTION("""COMPUTED_VALUE"""),192)</f>
        <v>192</v>
      </c>
      <c r="T164" s="1">
        <f ca="1">IFERROR(__xludf.DUMMYFUNCTION("""COMPUTED_VALUE"""),-2.36)</f>
        <v>-2.36</v>
      </c>
      <c r="U164" s="1">
        <f ca="1">IFERROR(__xludf.DUMMYFUNCTION("""COMPUTED_VALUE"""),222)</f>
        <v>222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IFERROR(__xludf.DUMMYFUNCTION("""COMPUTED_VALUE"""),"Santa Clara")</f>
        <v>Santa Clara</v>
      </c>
      <c r="C165" s="1" t="str">
        <f ca="1">IFERROR(__xludf.DUMMYFUNCTION("""COMPUTED_VALUE"""),"WCC")</f>
        <v>WCC</v>
      </c>
      <c r="D165" s="1" t="str">
        <f ca="1">IFERROR(__xludf.DUMMYFUNCTION("""COMPUTED_VALUE"""),"16-16")</f>
        <v>16-16</v>
      </c>
      <c r="E165" s="1">
        <f ca="1">IFERROR(__xludf.DUMMYFUNCTION("""COMPUTED_VALUE"""),-0.13)</f>
        <v>-0.13</v>
      </c>
      <c r="F165" s="1">
        <f ca="1">IFERROR(__xludf.DUMMYFUNCTION("""COMPUTED_VALUE"""),101.8)</f>
        <v>101.8</v>
      </c>
      <c r="G165" s="1">
        <f ca="1">IFERROR(__xludf.DUMMYFUNCTION("""COMPUTED_VALUE"""),182)</f>
        <v>182</v>
      </c>
      <c r="H165" s="1">
        <f ca="1">IFERROR(__xludf.DUMMYFUNCTION("""COMPUTED_VALUE"""),102)</f>
        <v>102</v>
      </c>
      <c r="I165" s="1">
        <f ca="1">IFERROR(__xludf.DUMMYFUNCTION("""COMPUTED_VALUE"""),140)</f>
        <v>140</v>
      </c>
      <c r="J165" s="1">
        <f ca="1">IFERROR(__xludf.DUMMYFUNCTION("""COMPUTED_VALUE"""),61.4)</f>
        <v>61.4</v>
      </c>
      <c r="K165" s="1">
        <f ca="1">IFERROR(__xludf.DUMMYFUNCTION("""COMPUTED_VALUE"""),302)</f>
        <v>302</v>
      </c>
      <c r="L165" s="1" t="str">
        <f ca="1">IFERROR(__xludf.DUMMYFUNCTION("""COMPUTED_VALUE"""),"+.035")</f>
        <v>+.035</v>
      </c>
      <c r="M165" s="1">
        <f ca="1">IFERROR(__xludf.DUMMYFUNCTION("""COMPUTED_VALUE"""),79)</f>
        <v>79</v>
      </c>
      <c r="N165" s="1" t="str">
        <f ca="1">IFERROR(__xludf.DUMMYFUNCTION("""COMPUTED_VALUE"""),"+2.02")</f>
        <v>+2.02</v>
      </c>
      <c r="O165" s="1">
        <f ca="1">IFERROR(__xludf.DUMMYFUNCTION("""COMPUTED_VALUE"""),124)</f>
        <v>124</v>
      </c>
      <c r="P165" s="1">
        <f ca="1">IFERROR(__xludf.DUMMYFUNCTION("""COMPUTED_VALUE"""),105.8)</f>
        <v>105.8</v>
      </c>
      <c r="Q165" s="1">
        <f ca="1">IFERROR(__xludf.DUMMYFUNCTION("""COMPUTED_VALUE"""),84)</f>
        <v>84</v>
      </c>
      <c r="R165" s="1">
        <f ca="1">IFERROR(__xludf.DUMMYFUNCTION("""COMPUTED_VALUE"""),103.7)</f>
        <v>103.7</v>
      </c>
      <c r="S165" s="1">
        <f ca="1">IFERROR(__xludf.DUMMYFUNCTION("""COMPUTED_VALUE"""),165)</f>
        <v>165</v>
      </c>
      <c r="T165" s="1" t="str">
        <f ca="1">IFERROR(__xludf.DUMMYFUNCTION("""COMPUTED_VALUE"""),"+3.18")</f>
        <v>+3.18</v>
      </c>
      <c r="U165" s="1">
        <f ca="1">IFERROR(__xludf.DUMMYFUNCTION("""COMPUTED_VALUE"""),71)</f>
        <v>71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IFERROR(__xludf.DUMMYFUNCTION("""COMPUTED_VALUE"""),"Idaho")</f>
        <v>Idaho</v>
      </c>
      <c r="C166" s="1" t="str">
        <f ca="1">IFERROR(__xludf.DUMMYFUNCTION("""COMPUTED_VALUE"""),"BW")</f>
        <v>BW</v>
      </c>
      <c r="D166" s="1" t="str">
        <f ca="1">IFERROR(__xludf.DUMMYFUNCTION("""COMPUTED_VALUE"""),"14-16")</f>
        <v>14-16</v>
      </c>
      <c r="E166" s="1">
        <f ca="1">IFERROR(__xludf.DUMMYFUNCTION("""COMPUTED_VALUE"""),-0.31)</f>
        <v>-0.31</v>
      </c>
      <c r="F166" s="1">
        <f ca="1">IFERROR(__xludf.DUMMYFUNCTION("""COMPUTED_VALUE"""),99.7)</f>
        <v>99.7</v>
      </c>
      <c r="G166" s="1">
        <f ca="1">IFERROR(__xludf.DUMMYFUNCTION("""COMPUTED_VALUE"""),224)</f>
        <v>224</v>
      </c>
      <c r="H166" s="1">
        <f ca="1">IFERROR(__xludf.DUMMYFUNCTION("""COMPUTED_VALUE"""),100)</f>
        <v>100</v>
      </c>
      <c r="I166" s="1">
        <f ca="1">IFERROR(__xludf.DUMMYFUNCTION("""COMPUTED_VALUE"""),103)</f>
        <v>103</v>
      </c>
      <c r="J166" s="1">
        <f ca="1">IFERROR(__xludf.DUMMYFUNCTION("""COMPUTED_VALUE"""),63.4)</f>
        <v>63.4</v>
      </c>
      <c r="K166" s="1">
        <f ca="1">IFERROR(__xludf.DUMMYFUNCTION("""COMPUTED_VALUE"""),258)</f>
        <v>258</v>
      </c>
      <c r="L166" s="1">
        <f ca="1">IFERROR(__xludf.DUMMYFUNCTION("""COMPUTED_VALUE"""),-0.01)</f>
        <v>-0.01</v>
      </c>
      <c r="M166" s="1">
        <f ca="1">IFERROR(__xludf.DUMMYFUNCTION("""COMPUTED_VALUE"""),191)</f>
        <v>191</v>
      </c>
      <c r="N166" s="1" t="str">
        <f ca="1">IFERROR(__xludf.DUMMYFUNCTION("""COMPUTED_VALUE"""),"+0.50")</f>
        <v>+0.50</v>
      </c>
      <c r="O166" s="1">
        <f ca="1">IFERROR(__xludf.DUMMYFUNCTION("""COMPUTED_VALUE"""),145)</f>
        <v>145</v>
      </c>
      <c r="P166" s="1">
        <f ca="1">IFERROR(__xludf.DUMMYFUNCTION("""COMPUTED_VALUE"""),104.1)</f>
        <v>104.1</v>
      </c>
      <c r="Q166" s="1">
        <f ca="1">IFERROR(__xludf.DUMMYFUNCTION("""COMPUTED_VALUE"""),141)</f>
        <v>141</v>
      </c>
      <c r="R166" s="1">
        <f ca="1">IFERROR(__xludf.DUMMYFUNCTION("""COMPUTED_VALUE"""),103.6)</f>
        <v>103.6</v>
      </c>
      <c r="S166" s="1">
        <f ca="1">IFERROR(__xludf.DUMMYFUNCTION("""COMPUTED_VALUE"""),159)</f>
        <v>159</v>
      </c>
      <c r="T166" s="1" t="str">
        <f ca="1">IFERROR(__xludf.DUMMYFUNCTION("""COMPUTED_VALUE"""),"+5.91")</f>
        <v>+5.91</v>
      </c>
      <c r="U166" s="1">
        <f ca="1">IFERROR(__xludf.DUMMYFUNCTION("""COMPUTED_VALUE"""),37)</f>
        <v>37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IFERROR(__xludf.DUMMYFUNCTION("""COMPUTED_VALUE"""),"Akron")</f>
        <v>Akron</v>
      </c>
      <c r="C167" s="1" t="str">
        <f ca="1">IFERROR(__xludf.DUMMYFUNCTION("""COMPUTED_VALUE"""),"MAC")</f>
        <v>MAC</v>
      </c>
      <c r="D167" s="1" t="str">
        <f ca="1">IFERROR(__xludf.DUMMYFUNCTION("""COMPUTED_VALUE"""),"13-15")</f>
        <v>13-15</v>
      </c>
      <c r="E167" s="1">
        <f ca="1">IFERROR(__xludf.DUMMYFUNCTION("""COMPUTED_VALUE"""),-0.45)</f>
        <v>-0.45</v>
      </c>
      <c r="F167" s="1">
        <f ca="1">IFERROR(__xludf.DUMMYFUNCTION("""COMPUTED_VALUE"""),106.3)</f>
        <v>106.3</v>
      </c>
      <c r="G167" s="1">
        <f ca="1">IFERROR(__xludf.DUMMYFUNCTION("""COMPUTED_VALUE"""),104)</f>
        <v>104</v>
      </c>
      <c r="H167" s="1">
        <f ca="1">IFERROR(__xludf.DUMMYFUNCTION("""COMPUTED_VALUE"""),106.7)</f>
        <v>106.7</v>
      </c>
      <c r="I167" s="1">
        <f ca="1">IFERROR(__xludf.DUMMYFUNCTION("""COMPUTED_VALUE"""),233)</f>
        <v>233</v>
      </c>
      <c r="J167" s="1">
        <f ca="1">IFERROR(__xludf.DUMMYFUNCTION("""COMPUTED_VALUE"""),64.8)</f>
        <v>64.8</v>
      </c>
      <c r="K167" s="1">
        <f ca="1">IFERROR(__xludf.DUMMYFUNCTION("""COMPUTED_VALUE"""),202)</f>
        <v>202</v>
      </c>
      <c r="L167" s="1">
        <f ca="1">IFERROR(__xludf.DUMMYFUNCTION("""COMPUTED_VALUE"""),-0.019)</f>
        <v>-1.9E-2</v>
      </c>
      <c r="M167" s="1">
        <f ca="1">IFERROR(__xludf.DUMMYFUNCTION("""COMPUTED_VALUE"""),215)</f>
        <v>215</v>
      </c>
      <c r="N167" s="1">
        <f ca="1">IFERROR(__xludf.DUMMYFUNCTION("""COMPUTED_VALUE"""),-0.49)</f>
        <v>-0.49</v>
      </c>
      <c r="O167" s="1">
        <f ca="1">IFERROR(__xludf.DUMMYFUNCTION("""COMPUTED_VALUE"""),170)</f>
        <v>170</v>
      </c>
      <c r="P167" s="1">
        <f ca="1">IFERROR(__xludf.DUMMYFUNCTION("""COMPUTED_VALUE"""),103.4)</f>
        <v>103.4</v>
      </c>
      <c r="Q167" s="1">
        <f ca="1">IFERROR(__xludf.DUMMYFUNCTION("""COMPUTED_VALUE"""),163)</f>
        <v>163</v>
      </c>
      <c r="R167" s="1">
        <f ca="1">IFERROR(__xludf.DUMMYFUNCTION("""COMPUTED_VALUE"""),103.9)</f>
        <v>103.9</v>
      </c>
      <c r="S167" s="1">
        <f ca="1">IFERROR(__xludf.DUMMYFUNCTION("""COMPUTED_VALUE"""),174)</f>
        <v>174</v>
      </c>
      <c r="T167" s="1">
        <f ca="1">IFERROR(__xludf.DUMMYFUNCTION("""COMPUTED_VALUE"""),-2.33)</f>
        <v>-2.33</v>
      </c>
      <c r="U167" s="1">
        <f ca="1">IFERROR(__xludf.DUMMYFUNCTION("""COMPUTED_VALUE"""),221)</f>
        <v>221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IFERROR(__xludf.DUMMYFUNCTION("""COMPUTED_VALUE"""),"Arkansas St.")</f>
        <v>Arkansas St.</v>
      </c>
      <c r="C168" s="1" t="str">
        <f ca="1">IFERROR(__xludf.DUMMYFUNCTION("""COMPUTED_VALUE"""),"SB")</f>
        <v>SB</v>
      </c>
      <c r="D168" s="1" t="str">
        <f ca="1">IFERROR(__xludf.DUMMYFUNCTION("""COMPUTED_VALUE"""),"17-11")</f>
        <v>17-11</v>
      </c>
      <c r="E168" s="1">
        <f ca="1">IFERROR(__xludf.DUMMYFUNCTION("""COMPUTED_VALUE"""),-0.47)</f>
        <v>-0.47</v>
      </c>
      <c r="F168" s="1">
        <f ca="1">IFERROR(__xludf.DUMMYFUNCTION("""COMPUTED_VALUE"""),105.8)</f>
        <v>105.8</v>
      </c>
      <c r="G168" s="1">
        <f ca="1">IFERROR(__xludf.DUMMYFUNCTION("""COMPUTED_VALUE"""),111)</f>
        <v>111</v>
      </c>
      <c r="H168" s="1">
        <f ca="1">IFERROR(__xludf.DUMMYFUNCTION("""COMPUTED_VALUE"""),106.3)</f>
        <v>106.3</v>
      </c>
      <c r="I168" s="1">
        <f ca="1">IFERROR(__xludf.DUMMYFUNCTION("""COMPUTED_VALUE"""),220)</f>
        <v>220</v>
      </c>
      <c r="J168" s="1">
        <f ca="1">IFERROR(__xludf.DUMMYFUNCTION("""COMPUTED_VALUE"""),66)</f>
        <v>66</v>
      </c>
      <c r="K168" s="1">
        <f ca="1">IFERROR(__xludf.DUMMYFUNCTION("""COMPUTED_VALUE"""),158)</f>
        <v>158</v>
      </c>
      <c r="L168" s="1">
        <f ca="1">IFERROR(__xludf.DUMMYFUNCTION("""COMPUTED_VALUE"""),-0.017)</f>
        <v>-1.7000000000000001E-2</v>
      </c>
      <c r="M168" s="1">
        <f ca="1">IFERROR(__xludf.DUMMYFUNCTION("""COMPUTED_VALUE"""),208)</f>
        <v>208</v>
      </c>
      <c r="N168" s="1">
        <f ca="1">IFERROR(__xludf.DUMMYFUNCTION("""COMPUTED_VALUE"""),-4.23)</f>
        <v>-4.2300000000000004</v>
      </c>
      <c r="O168" s="1">
        <f ca="1">IFERROR(__xludf.DUMMYFUNCTION("""COMPUTED_VALUE"""),237)</f>
        <v>237</v>
      </c>
      <c r="P168" s="1">
        <f ca="1">IFERROR(__xludf.DUMMYFUNCTION("""COMPUTED_VALUE"""),99.8)</f>
        <v>99.8</v>
      </c>
      <c r="Q168" s="1">
        <f ca="1">IFERROR(__xludf.DUMMYFUNCTION("""COMPUTED_VALUE"""),259)</f>
        <v>259</v>
      </c>
      <c r="R168" s="1">
        <f ca="1">IFERROR(__xludf.DUMMYFUNCTION("""COMPUTED_VALUE"""),104)</f>
        <v>104</v>
      </c>
      <c r="S168" s="1">
        <f ca="1">IFERROR(__xludf.DUMMYFUNCTION("""COMPUTED_VALUE"""),176)</f>
        <v>176</v>
      </c>
      <c r="T168" s="1">
        <f ca="1">IFERROR(__xludf.DUMMYFUNCTION("""COMPUTED_VALUE"""),-7.05)</f>
        <v>-7.05</v>
      </c>
      <c r="U168" s="1">
        <f ca="1">IFERROR(__xludf.DUMMYFUNCTION("""COMPUTED_VALUE"""),296)</f>
        <v>296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IFERROR(__xludf.DUMMYFUNCTION("""COMPUTED_VALUE"""),"Saint Peter's")</f>
        <v>Saint Peter's</v>
      </c>
      <c r="C171" s="1" t="str">
        <f ca="1">IFERROR(__xludf.DUMMYFUNCTION("""COMPUTED_VALUE"""),"MAAC")</f>
        <v>MAAC</v>
      </c>
      <c r="D171" s="1" t="str">
        <f ca="1">IFERROR(__xludf.DUMMYFUNCTION("""COMPUTED_VALUE"""),"17-12")</f>
        <v>17-12</v>
      </c>
      <c r="E171" s="1">
        <f ca="1">IFERROR(__xludf.DUMMYFUNCTION("""COMPUTED_VALUE"""),-0.51)</f>
        <v>-0.51</v>
      </c>
      <c r="F171" s="1">
        <f ca="1">IFERROR(__xludf.DUMMYFUNCTION("""COMPUTED_VALUE"""),108.1)</f>
        <v>108.1</v>
      </c>
      <c r="G171" s="1">
        <f ca="1">IFERROR(__xludf.DUMMYFUNCTION("""COMPUTED_VALUE"""),81)</f>
        <v>81</v>
      </c>
      <c r="H171" s="1">
        <f ca="1">IFERROR(__xludf.DUMMYFUNCTION("""COMPUTED_VALUE"""),108.6)</f>
        <v>108.6</v>
      </c>
      <c r="I171" s="1">
        <f ca="1">IFERROR(__xludf.DUMMYFUNCTION("""COMPUTED_VALUE"""),268)</f>
        <v>268</v>
      </c>
      <c r="J171" s="1">
        <f ca="1">IFERROR(__xludf.DUMMYFUNCTION("""COMPUTED_VALUE"""),67.8)</f>
        <v>67.8</v>
      </c>
      <c r="K171" s="1">
        <f ca="1">IFERROR(__xludf.DUMMYFUNCTION("""COMPUTED_VALUE"""),90)</f>
        <v>90</v>
      </c>
      <c r="L171" s="1" t="str">
        <f ca="1">IFERROR(__xludf.DUMMYFUNCTION("""COMPUTED_VALUE"""),"+.069")</f>
        <v>+.069</v>
      </c>
      <c r="M171" s="1">
        <f ca="1">IFERROR(__xludf.DUMMYFUNCTION("""COMPUTED_VALUE"""),32)</f>
        <v>32</v>
      </c>
      <c r="N171" s="1">
        <f ca="1">IFERROR(__xludf.DUMMYFUNCTION("""COMPUTED_VALUE"""),-2.35)</f>
        <v>-2.35</v>
      </c>
      <c r="O171" s="1">
        <f ca="1">IFERROR(__xludf.DUMMYFUNCTION("""COMPUTED_VALUE"""),211)</f>
        <v>211</v>
      </c>
      <c r="P171" s="1">
        <f ca="1">IFERROR(__xludf.DUMMYFUNCTION("""COMPUTED_VALUE"""),102.3)</f>
        <v>102.3</v>
      </c>
      <c r="Q171" s="1">
        <f ca="1">IFERROR(__xludf.DUMMYFUNCTION("""COMPUTED_VALUE"""),207)</f>
        <v>207</v>
      </c>
      <c r="R171" s="1">
        <f ca="1">IFERROR(__xludf.DUMMYFUNCTION("""COMPUTED_VALUE"""),104.6)</f>
        <v>104.6</v>
      </c>
      <c r="S171" s="1">
        <f ca="1">IFERROR(__xludf.DUMMYFUNCTION("""COMPUTED_VALUE"""),203)</f>
        <v>203</v>
      </c>
      <c r="T171" s="1" t="str">
        <f ca="1">IFERROR(__xludf.DUMMYFUNCTION("""COMPUTED_VALUE"""),"+0.21")</f>
        <v>+0.21</v>
      </c>
      <c r="U171" s="1">
        <f ca="1">IFERROR(__xludf.DUMMYFUNCTION("""COMPUTED_VALUE"""),159)</f>
        <v>159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IFERROR(__xludf.DUMMYFUNCTION("""COMPUTED_VALUE"""),"Portland")</f>
        <v>Portland</v>
      </c>
      <c r="C172" s="1" t="str">
        <f ca="1">IFERROR(__xludf.DUMMYFUNCTION("""COMPUTED_VALUE"""),"WCC")</f>
        <v>WCC</v>
      </c>
      <c r="D172" s="2">
        <f ca="1">IFERROR(__xludf.DUMMYFUNCTION("""COMPUTED_VALUE"""),44882)</f>
        <v>44882</v>
      </c>
      <c r="E172" s="1">
        <f ca="1">IFERROR(__xludf.DUMMYFUNCTION("""COMPUTED_VALUE"""),-0.63)</f>
        <v>-0.63</v>
      </c>
      <c r="F172" s="1">
        <f ca="1">IFERROR(__xludf.DUMMYFUNCTION("""COMPUTED_VALUE"""),105)</f>
        <v>105</v>
      </c>
      <c r="G172" s="1">
        <f ca="1">IFERROR(__xludf.DUMMYFUNCTION("""COMPUTED_VALUE"""),125)</f>
        <v>125</v>
      </c>
      <c r="H172" s="1">
        <f ca="1">IFERROR(__xludf.DUMMYFUNCTION("""COMPUTED_VALUE"""),105.6)</f>
        <v>105.6</v>
      </c>
      <c r="I172" s="1">
        <f ca="1">IFERROR(__xludf.DUMMYFUNCTION("""COMPUTED_VALUE"""),200)</f>
        <v>200</v>
      </c>
      <c r="J172" s="1">
        <f ca="1">IFERROR(__xludf.DUMMYFUNCTION("""COMPUTED_VALUE"""),65.9)</f>
        <v>65.900000000000006</v>
      </c>
      <c r="K172" s="1">
        <f ca="1">IFERROR(__xludf.DUMMYFUNCTION("""COMPUTED_VALUE"""),163)</f>
        <v>163</v>
      </c>
      <c r="L172" s="1" t="str">
        <f ca="1">IFERROR(__xludf.DUMMYFUNCTION("""COMPUTED_VALUE"""),"+.004")</f>
        <v>+.004</v>
      </c>
      <c r="M172" s="1">
        <f ca="1">IFERROR(__xludf.DUMMYFUNCTION("""COMPUTED_VALUE"""),158)</f>
        <v>158</v>
      </c>
      <c r="N172" s="1" t="str">
        <f ca="1">IFERROR(__xludf.DUMMYFUNCTION("""COMPUTED_VALUE"""),"+3.54")</f>
        <v>+3.54</v>
      </c>
      <c r="O172" s="1">
        <f ca="1">IFERROR(__xludf.DUMMYFUNCTION("""COMPUTED_VALUE"""),100)</f>
        <v>100</v>
      </c>
      <c r="P172" s="1">
        <f ca="1">IFERROR(__xludf.DUMMYFUNCTION("""COMPUTED_VALUE"""),105.8)</f>
        <v>105.8</v>
      </c>
      <c r="Q172" s="1">
        <f ca="1">IFERROR(__xludf.DUMMYFUNCTION("""COMPUTED_VALUE"""),81)</f>
        <v>81</v>
      </c>
      <c r="R172" s="1">
        <f ca="1">IFERROR(__xludf.DUMMYFUNCTION("""COMPUTED_VALUE"""),102.3)</f>
        <v>102.3</v>
      </c>
      <c r="S172" s="1">
        <f ca="1">IFERROR(__xludf.DUMMYFUNCTION("""COMPUTED_VALUE"""),120)</f>
        <v>120</v>
      </c>
      <c r="T172" s="1" t="str">
        <f ca="1">IFERROR(__xludf.DUMMYFUNCTION("""COMPUTED_VALUE"""),"+5.83")</f>
        <v>+5.83</v>
      </c>
      <c r="U172" s="1">
        <f ca="1">IFERROR(__xludf.DUMMYFUNCTION("""COMPUTED_VALUE"""),38)</f>
        <v>38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IFERROR(__xludf.DUMMYFUNCTION("""COMPUTED_VALUE"""),"Bradley")</f>
        <v>Bradley</v>
      </c>
      <c r="C173" s="1" t="str">
        <f ca="1">IFERROR(__xludf.DUMMYFUNCTION("""COMPUTED_VALUE"""),"MVC")</f>
        <v>MVC</v>
      </c>
      <c r="D173" s="1" t="str">
        <f ca="1">IFERROR(__xludf.DUMMYFUNCTION("""COMPUTED_VALUE"""),"15-16")</f>
        <v>15-16</v>
      </c>
      <c r="E173" s="1">
        <f ca="1">IFERROR(__xludf.DUMMYFUNCTION("""COMPUTED_VALUE"""),-0.69)</f>
        <v>-0.69</v>
      </c>
      <c r="F173" s="1">
        <f ca="1">IFERROR(__xludf.DUMMYFUNCTION("""COMPUTED_VALUE"""),98.6)</f>
        <v>98.6</v>
      </c>
      <c r="G173" s="1">
        <f ca="1">IFERROR(__xludf.DUMMYFUNCTION("""COMPUTED_VALUE"""),244)</f>
        <v>244</v>
      </c>
      <c r="H173" s="1">
        <f ca="1">IFERROR(__xludf.DUMMYFUNCTION("""COMPUTED_VALUE"""),99.3)</f>
        <v>99.3</v>
      </c>
      <c r="I173" s="1">
        <f ca="1">IFERROR(__xludf.DUMMYFUNCTION("""COMPUTED_VALUE"""),90)</f>
        <v>90</v>
      </c>
      <c r="J173" s="1">
        <f ca="1">IFERROR(__xludf.DUMMYFUNCTION("""COMPUTED_VALUE"""),66.8)</f>
        <v>66.8</v>
      </c>
      <c r="K173" s="1">
        <f ca="1">IFERROR(__xludf.DUMMYFUNCTION("""COMPUTED_VALUE"""),123)</f>
        <v>123</v>
      </c>
      <c r="L173" s="1" t="str">
        <f ca="1">IFERROR(__xludf.DUMMYFUNCTION("""COMPUTED_VALUE"""),"+.066")</f>
        <v>+.066</v>
      </c>
      <c r="M173" s="1">
        <f ca="1">IFERROR(__xludf.DUMMYFUNCTION("""COMPUTED_VALUE"""),34)</f>
        <v>34</v>
      </c>
      <c r="N173" s="1" t="str">
        <f ca="1">IFERROR(__xludf.DUMMYFUNCTION("""COMPUTED_VALUE"""),"+1.25")</f>
        <v>+1.25</v>
      </c>
      <c r="O173" s="1">
        <f ca="1">IFERROR(__xludf.DUMMYFUNCTION("""COMPUTED_VALUE"""),139)</f>
        <v>139</v>
      </c>
      <c r="P173" s="1">
        <f ca="1">IFERROR(__xludf.DUMMYFUNCTION("""COMPUTED_VALUE"""),104.3)</f>
        <v>104.3</v>
      </c>
      <c r="Q173" s="1">
        <f ca="1">IFERROR(__xludf.DUMMYFUNCTION("""COMPUTED_VALUE"""),130)</f>
        <v>130</v>
      </c>
      <c r="R173" s="1">
        <f ca="1">IFERROR(__xludf.DUMMYFUNCTION("""COMPUTED_VALUE"""),103.1)</f>
        <v>103.1</v>
      </c>
      <c r="S173" s="1">
        <f ca="1">IFERROR(__xludf.DUMMYFUNCTION("""COMPUTED_VALUE"""),143)</f>
        <v>143</v>
      </c>
      <c r="T173" s="1">
        <f ca="1">IFERROR(__xludf.DUMMYFUNCTION("""COMPUTED_VALUE"""),-2.99)</f>
        <v>-2.99</v>
      </c>
      <c r="U173" s="1">
        <f ca="1">IFERROR(__xludf.DUMMYFUNCTION("""COMPUTED_VALUE"""),237)</f>
        <v>237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IFERROR(__xludf.DUMMYFUNCTION("""COMPUTED_VALUE"""),"Furman")</f>
        <v>Furman</v>
      </c>
      <c r="C174" s="1" t="str">
        <f ca="1">IFERROR(__xludf.DUMMYFUNCTION("""COMPUTED_VALUE"""),"SC")</f>
        <v>SC</v>
      </c>
      <c r="D174" s="1" t="str">
        <f ca="1">IFERROR(__xludf.DUMMYFUNCTION("""COMPUTED_VALUE"""),"17-12")</f>
        <v>17-12</v>
      </c>
      <c r="E174" s="1">
        <f ca="1">IFERROR(__xludf.DUMMYFUNCTION("""COMPUTED_VALUE"""),-0.76)</f>
        <v>-0.76</v>
      </c>
      <c r="F174" s="1">
        <f ca="1">IFERROR(__xludf.DUMMYFUNCTION("""COMPUTED_VALUE"""),101.6)</f>
        <v>101.6</v>
      </c>
      <c r="G174" s="1">
        <f ca="1">IFERROR(__xludf.DUMMYFUNCTION("""COMPUTED_VALUE"""),188)</f>
        <v>188</v>
      </c>
      <c r="H174" s="1">
        <f ca="1">IFERROR(__xludf.DUMMYFUNCTION("""COMPUTED_VALUE"""),102.4)</f>
        <v>102.4</v>
      </c>
      <c r="I174" s="1">
        <f ca="1">IFERROR(__xludf.DUMMYFUNCTION("""COMPUTED_VALUE"""),153)</f>
        <v>153</v>
      </c>
      <c r="J174" s="1">
        <f ca="1">IFERROR(__xludf.DUMMYFUNCTION("""COMPUTED_VALUE"""),66.6)</f>
        <v>66.599999999999994</v>
      </c>
      <c r="K174" s="1">
        <f ca="1">IFERROR(__xludf.DUMMYFUNCTION("""COMPUTED_VALUE"""),132)</f>
        <v>132</v>
      </c>
      <c r="L174" s="1">
        <f ca="1">IFERROR(__xludf.DUMMYFUNCTION("""COMPUTED_VALUE"""),-0.08)</f>
        <v>-0.08</v>
      </c>
      <c r="M174" s="1">
        <f ca="1">IFERROR(__xludf.DUMMYFUNCTION("""COMPUTED_VALUE"""),306)</f>
        <v>306</v>
      </c>
      <c r="N174" s="1">
        <f ca="1">IFERROR(__xludf.DUMMYFUNCTION("""COMPUTED_VALUE"""),-5.34)</f>
        <v>-5.34</v>
      </c>
      <c r="O174" s="1">
        <f ca="1">IFERROR(__xludf.DUMMYFUNCTION("""COMPUTED_VALUE"""),251)</f>
        <v>251</v>
      </c>
      <c r="P174" s="1">
        <f ca="1">IFERROR(__xludf.DUMMYFUNCTION("""COMPUTED_VALUE"""),100.3)</f>
        <v>100.3</v>
      </c>
      <c r="Q174" s="1">
        <f ca="1">IFERROR(__xludf.DUMMYFUNCTION("""COMPUTED_VALUE"""),252)</f>
        <v>252</v>
      </c>
      <c r="R174" s="1">
        <f ca="1">IFERROR(__xludf.DUMMYFUNCTION("""COMPUTED_VALUE"""),105.6)</f>
        <v>105.6</v>
      </c>
      <c r="S174" s="1">
        <f ca="1">IFERROR(__xludf.DUMMYFUNCTION("""COMPUTED_VALUE"""),250)</f>
        <v>250</v>
      </c>
      <c r="T174" s="1">
        <f ca="1">IFERROR(__xludf.DUMMYFUNCTION("""COMPUTED_VALUE"""),-7.29)</f>
        <v>-7.29</v>
      </c>
      <c r="U174" s="1">
        <f ca="1">IFERROR(__xludf.DUMMYFUNCTION("""COMPUTED_VALUE"""),298)</f>
        <v>298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IFERROR(__xludf.DUMMYFUNCTION("""COMPUTED_VALUE"""),"Oakland")</f>
        <v>Oakland</v>
      </c>
      <c r="C175" s="1" t="str">
        <f ca="1">IFERROR(__xludf.DUMMYFUNCTION("""COMPUTED_VALUE"""),"MCon")</f>
        <v>MCon</v>
      </c>
      <c r="D175" s="1" t="str">
        <f ca="1">IFERROR(__xludf.DUMMYFUNCTION("""COMPUTED_VALUE"""),"13-17")</f>
        <v>13-17</v>
      </c>
      <c r="E175" s="1">
        <f ca="1">IFERROR(__xludf.DUMMYFUNCTION("""COMPUTED_VALUE"""),-0.98)</f>
        <v>-0.98</v>
      </c>
      <c r="F175" s="1">
        <f ca="1">IFERROR(__xludf.DUMMYFUNCTION("""COMPUTED_VALUE"""),104.3)</f>
        <v>104.3</v>
      </c>
      <c r="G175" s="1">
        <f ca="1">IFERROR(__xludf.DUMMYFUNCTION("""COMPUTED_VALUE"""),141)</f>
        <v>141</v>
      </c>
      <c r="H175" s="1">
        <f ca="1">IFERROR(__xludf.DUMMYFUNCTION("""COMPUTED_VALUE"""),105.3)</f>
        <v>105.3</v>
      </c>
      <c r="I175" s="1">
        <f ca="1">IFERROR(__xludf.DUMMYFUNCTION("""COMPUTED_VALUE"""),193)</f>
        <v>193</v>
      </c>
      <c r="J175" s="1">
        <f ca="1">IFERROR(__xludf.DUMMYFUNCTION("""COMPUTED_VALUE"""),69)</f>
        <v>69</v>
      </c>
      <c r="K175" s="1">
        <f ca="1">IFERROR(__xludf.DUMMYFUNCTION("""COMPUTED_VALUE"""),55)</f>
        <v>55</v>
      </c>
      <c r="L175" s="1">
        <f ca="1">IFERROR(__xludf.DUMMYFUNCTION("""COMPUTED_VALUE"""),-0.079)</f>
        <v>-7.9000000000000001E-2</v>
      </c>
      <c r="M175" s="1">
        <f ca="1">IFERROR(__xludf.DUMMYFUNCTION("""COMPUTED_VALUE"""),304)</f>
        <v>304</v>
      </c>
      <c r="N175" s="1">
        <f ca="1">IFERROR(__xludf.DUMMYFUNCTION("""COMPUTED_VALUE"""),-0.09)</f>
        <v>-0.09</v>
      </c>
      <c r="O175" s="1">
        <f ca="1">IFERROR(__xludf.DUMMYFUNCTION("""COMPUTED_VALUE"""),156)</f>
        <v>156</v>
      </c>
      <c r="P175" s="1">
        <f ca="1">IFERROR(__xludf.DUMMYFUNCTION("""COMPUTED_VALUE"""),104.6)</f>
        <v>104.6</v>
      </c>
      <c r="Q175" s="1">
        <f ca="1">IFERROR(__xludf.DUMMYFUNCTION("""COMPUTED_VALUE"""),124)</f>
        <v>124</v>
      </c>
      <c r="R175" s="1">
        <f ca="1">IFERROR(__xludf.DUMMYFUNCTION("""COMPUTED_VALUE"""),104.7)</f>
        <v>104.7</v>
      </c>
      <c r="S175" s="1">
        <f ca="1">IFERROR(__xludf.DUMMYFUNCTION("""COMPUTED_VALUE"""),206)</f>
        <v>206</v>
      </c>
      <c r="T175" s="1" t="str">
        <f ca="1">IFERROR(__xludf.DUMMYFUNCTION("""COMPUTED_VALUE"""),"+7.61")</f>
        <v>+7.61</v>
      </c>
      <c r="U175" s="1">
        <f ca="1">IFERROR(__xludf.DUMMYFUNCTION("""COMPUTED_VALUE"""),18)</f>
        <v>18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IFERROR(__xludf.DUMMYFUNCTION("""COMPUTED_VALUE"""),"Birmingham Southern")</f>
        <v>Birmingham Southern</v>
      </c>
      <c r="C176" s="1" t="str">
        <f ca="1">IFERROR(__xludf.DUMMYFUNCTION("""COMPUTED_VALUE"""),"BSth")</f>
        <v>BSth</v>
      </c>
      <c r="D176" s="1" t="str">
        <f ca="1">IFERROR(__xludf.DUMMYFUNCTION("""COMPUTED_VALUE"""),"20-7")</f>
        <v>20-7</v>
      </c>
      <c r="E176" s="1">
        <f ca="1">IFERROR(__xludf.DUMMYFUNCTION("""COMPUTED_VALUE"""),-1.1)</f>
        <v>-1.1000000000000001</v>
      </c>
      <c r="F176" s="1">
        <f ca="1">IFERROR(__xludf.DUMMYFUNCTION("""COMPUTED_VALUE"""),107.5)</f>
        <v>107.5</v>
      </c>
      <c r="G176" s="1">
        <f ca="1">IFERROR(__xludf.DUMMYFUNCTION("""COMPUTED_VALUE"""),88)</f>
        <v>88</v>
      </c>
      <c r="H176" s="1">
        <f ca="1">IFERROR(__xludf.DUMMYFUNCTION("""COMPUTED_VALUE"""),108.6)</f>
        <v>108.6</v>
      </c>
      <c r="I176" s="1">
        <f ca="1">IFERROR(__xludf.DUMMYFUNCTION("""COMPUTED_VALUE"""),267)</f>
        <v>267</v>
      </c>
      <c r="J176" s="1">
        <f ca="1">IFERROR(__xludf.DUMMYFUNCTION("""COMPUTED_VALUE"""),63.5)</f>
        <v>63.5</v>
      </c>
      <c r="K176" s="1">
        <f ca="1">IFERROR(__xludf.DUMMYFUNCTION("""COMPUTED_VALUE"""),253)</f>
        <v>253</v>
      </c>
      <c r="L176" s="1" t="str">
        <f ca="1">IFERROR(__xludf.DUMMYFUNCTION("""COMPUTED_VALUE"""),"+.034")</f>
        <v>+.034</v>
      </c>
      <c r="M176" s="1">
        <f ca="1">IFERROR(__xludf.DUMMYFUNCTION("""COMPUTED_VALUE"""),80)</f>
        <v>80</v>
      </c>
      <c r="N176" s="1">
        <f ca="1">IFERROR(__xludf.DUMMYFUNCTION("""COMPUTED_VALUE"""),-11.72)</f>
        <v>-11.72</v>
      </c>
      <c r="O176" s="1">
        <f ca="1">IFERROR(__xludf.DUMMYFUNCTION("""COMPUTED_VALUE"""),316)</f>
        <v>316</v>
      </c>
      <c r="P176" s="1">
        <f ca="1">IFERROR(__xludf.DUMMYFUNCTION("""COMPUTED_VALUE"""),95.5)</f>
        <v>95.5</v>
      </c>
      <c r="Q176" s="1">
        <f ca="1">IFERROR(__xludf.DUMMYFUNCTION("""COMPUTED_VALUE"""),315)</f>
        <v>315</v>
      </c>
      <c r="R176" s="1">
        <f ca="1">IFERROR(__xludf.DUMMYFUNCTION("""COMPUTED_VALUE"""),107.2)</f>
        <v>107.2</v>
      </c>
      <c r="S176" s="1">
        <f ca="1">IFERROR(__xludf.DUMMYFUNCTION("""COMPUTED_VALUE"""),305)</f>
        <v>305</v>
      </c>
      <c r="T176" s="1">
        <f ca="1">IFERROR(__xludf.DUMMYFUNCTION("""COMPUTED_VALUE"""),-9.51)</f>
        <v>-9.51</v>
      </c>
      <c r="U176" s="1">
        <f ca="1">IFERROR(__xludf.DUMMYFUNCTION("""COMPUTED_VALUE"""),314)</f>
        <v>314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IFERROR(__xludf.DUMMYFUNCTION("""COMPUTED_VALUE"""),"New Orleans")</f>
        <v>New Orleans</v>
      </c>
      <c r="C177" s="1" t="str">
        <f ca="1">IFERROR(__xludf.DUMMYFUNCTION("""COMPUTED_VALUE"""),"SB")</f>
        <v>SB</v>
      </c>
      <c r="D177" s="1" t="str">
        <f ca="1">IFERROR(__xludf.DUMMYFUNCTION("""COMPUTED_VALUE"""),"17-14")</f>
        <v>17-14</v>
      </c>
      <c r="E177" s="1">
        <f ca="1">IFERROR(__xludf.DUMMYFUNCTION("""COMPUTED_VALUE"""),-1.11)</f>
        <v>-1.1100000000000001</v>
      </c>
      <c r="F177" s="1">
        <f ca="1">IFERROR(__xludf.DUMMYFUNCTION("""COMPUTED_VALUE"""),102.6)</f>
        <v>102.6</v>
      </c>
      <c r="G177" s="1">
        <f ca="1">IFERROR(__xludf.DUMMYFUNCTION("""COMPUTED_VALUE"""),166)</f>
        <v>166</v>
      </c>
      <c r="H177" s="1">
        <f ca="1">IFERROR(__xludf.DUMMYFUNCTION("""COMPUTED_VALUE"""),103.7)</f>
        <v>103.7</v>
      </c>
      <c r="I177" s="1">
        <f ca="1">IFERROR(__xludf.DUMMYFUNCTION("""COMPUTED_VALUE"""),174)</f>
        <v>174</v>
      </c>
      <c r="J177" s="1">
        <f ca="1">IFERROR(__xludf.DUMMYFUNCTION("""COMPUTED_VALUE"""),64.8)</f>
        <v>64.8</v>
      </c>
      <c r="K177" s="1">
        <f ca="1">IFERROR(__xludf.DUMMYFUNCTION("""COMPUTED_VALUE"""),205)</f>
        <v>205</v>
      </c>
      <c r="L177" s="1" t="str">
        <f ca="1">IFERROR(__xludf.DUMMYFUNCTION("""COMPUTED_VALUE"""),"+.085")</f>
        <v>+.085</v>
      </c>
      <c r="M177" s="1">
        <f ca="1">IFERROR(__xludf.DUMMYFUNCTION("""COMPUTED_VALUE"""),21)</f>
        <v>21</v>
      </c>
      <c r="N177" s="1">
        <f ca="1">IFERROR(__xludf.DUMMYFUNCTION("""COMPUTED_VALUE"""),-0.22)</f>
        <v>-0.22</v>
      </c>
      <c r="O177" s="1">
        <f ca="1">IFERROR(__xludf.DUMMYFUNCTION("""COMPUTED_VALUE"""),161)</f>
        <v>161</v>
      </c>
      <c r="P177" s="1">
        <f ca="1">IFERROR(__xludf.DUMMYFUNCTION("""COMPUTED_VALUE"""),103.4)</f>
        <v>103.4</v>
      </c>
      <c r="Q177" s="1">
        <f ca="1">IFERROR(__xludf.DUMMYFUNCTION("""COMPUTED_VALUE"""),161)</f>
        <v>161</v>
      </c>
      <c r="R177" s="1">
        <f ca="1">IFERROR(__xludf.DUMMYFUNCTION("""COMPUTED_VALUE"""),103.7)</f>
        <v>103.7</v>
      </c>
      <c r="S177" s="1">
        <f ca="1">IFERROR(__xludf.DUMMYFUNCTION("""COMPUTED_VALUE"""),161)</f>
        <v>161</v>
      </c>
      <c r="T177" s="1" t="str">
        <f ca="1">IFERROR(__xludf.DUMMYFUNCTION("""COMPUTED_VALUE"""),"+2.96")</f>
        <v>+2.96</v>
      </c>
      <c r="U177" s="1">
        <f ca="1">IFERROR(__xludf.DUMMYFUNCTION("""COMPUTED_VALUE"""),73)</f>
        <v>73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IFERROR(__xludf.DUMMYFUNCTION("""COMPUTED_VALUE"""),"Mississippi Valley St.")</f>
        <v>Mississippi Valley St.</v>
      </c>
      <c r="C178" s="1" t="str">
        <f ca="1">IFERROR(__xludf.DUMMYFUNCTION("""COMPUTED_VALUE"""),"SWAC")</f>
        <v>SWAC</v>
      </c>
      <c r="D178" s="1" t="str">
        <f ca="1">IFERROR(__xludf.DUMMYFUNCTION("""COMPUTED_VALUE"""),"22-7")</f>
        <v>22-7</v>
      </c>
      <c r="E178" s="1">
        <f ca="1">IFERROR(__xludf.DUMMYFUNCTION("""COMPUTED_VALUE"""),-1.13)</f>
        <v>-1.1299999999999999</v>
      </c>
      <c r="F178" s="1">
        <f ca="1">IFERROR(__xludf.DUMMYFUNCTION("""COMPUTED_VALUE"""),99.4)</f>
        <v>99.4</v>
      </c>
      <c r="G178" s="1">
        <f ca="1">IFERROR(__xludf.DUMMYFUNCTION("""COMPUTED_VALUE"""),230)</f>
        <v>230</v>
      </c>
      <c r="H178" s="1">
        <f ca="1">IFERROR(__xludf.DUMMYFUNCTION("""COMPUTED_VALUE"""),100.5)</f>
        <v>100.5</v>
      </c>
      <c r="I178" s="1">
        <f ca="1">IFERROR(__xludf.DUMMYFUNCTION("""COMPUTED_VALUE"""),111)</f>
        <v>111</v>
      </c>
      <c r="J178" s="1">
        <f ca="1">IFERROR(__xludf.DUMMYFUNCTION("""COMPUTED_VALUE"""),63.8)</f>
        <v>63.8</v>
      </c>
      <c r="K178" s="1">
        <f ca="1">IFERROR(__xludf.DUMMYFUNCTION("""COMPUTED_VALUE"""),242)</f>
        <v>242</v>
      </c>
      <c r="L178" s="1" t="str">
        <f ca="1">IFERROR(__xludf.DUMMYFUNCTION("""COMPUTED_VALUE"""),"+.050")</f>
        <v>+.050</v>
      </c>
      <c r="M178" s="1">
        <f ca="1">IFERROR(__xludf.DUMMYFUNCTION("""COMPUTED_VALUE"""),57)</f>
        <v>57</v>
      </c>
      <c r="N178" s="1">
        <f ca="1">IFERROR(__xludf.DUMMYFUNCTION("""COMPUTED_VALUE"""),-14.95)</f>
        <v>-14.95</v>
      </c>
      <c r="O178" s="1">
        <f ca="1">IFERROR(__xludf.DUMMYFUNCTION("""COMPUTED_VALUE"""),326)</f>
        <v>326</v>
      </c>
      <c r="P178" s="1">
        <f ca="1">IFERROR(__xludf.DUMMYFUNCTION("""COMPUTED_VALUE"""),93.5)</f>
        <v>93.5</v>
      </c>
      <c r="Q178" s="1">
        <f ca="1">IFERROR(__xludf.DUMMYFUNCTION("""COMPUTED_VALUE"""),326)</f>
        <v>326</v>
      </c>
      <c r="R178" s="1">
        <f ca="1">IFERROR(__xludf.DUMMYFUNCTION("""COMPUTED_VALUE"""),108.4)</f>
        <v>108.4</v>
      </c>
      <c r="S178" s="1">
        <f ca="1">IFERROR(__xludf.DUMMYFUNCTION("""COMPUTED_VALUE"""),326)</f>
        <v>326</v>
      </c>
      <c r="T178" s="1">
        <f ca="1">IFERROR(__xludf.DUMMYFUNCTION("""COMPUTED_VALUE"""),-3)</f>
        <v>-3</v>
      </c>
      <c r="U178" s="1">
        <f ca="1">IFERROR(__xludf.DUMMYFUNCTION("""COMPUTED_VALUE"""),238)</f>
        <v>238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IFERROR(__xludf.DUMMYFUNCTION("""COMPUTED_VALUE"""),"Wright St.")</f>
        <v>Wright St.</v>
      </c>
      <c r="C179" s="1" t="str">
        <f ca="1">IFERROR(__xludf.DUMMYFUNCTION("""COMPUTED_VALUE"""),"Horz")</f>
        <v>Horz</v>
      </c>
      <c r="D179" s="1" t="str">
        <f ca="1">IFERROR(__xludf.DUMMYFUNCTION("""COMPUTED_VALUE"""),"14-14")</f>
        <v>14-14</v>
      </c>
      <c r="E179" s="1">
        <f ca="1">IFERROR(__xludf.DUMMYFUNCTION("""COMPUTED_VALUE"""),-1.15)</f>
        <v>-1.1499999999999999</v>
      </c>
      <c r="F179" s="1">
        <f ca="1">IFERROR(__xludf.DUMMYFUNCTION("""COMPUTED_VALUE"""),104.2)</f>
        <v>104.2</v>
      </c>
      <c r="G179" s="1">
        <f ca="1">IFERROR(__xludf.DUMMYFUNCTION("""COMPUTED_VALUE"""),144)</f>
        <v>144</v>
      </c>
      <c r="H179" s="1">
        <f ca="1">IFERROR(__xludf.DUMMYFUNCTION("""COMPUTED_VALUE"""),105.3)</f>
        <v>105.3</v>
      </c>
      <c r="I179" s="1">
        <f ca="1">IFERROR(__xludf.DUMMYFUNCTION("""COMPUTED_VALUE"""),195)</f>
        <v>195</v>
      </c>
      <c r="J179" s="1">
        <f ca="1">IFERROR(__xludf.DUMMYFUNCTION("""COMPUTED_VALUE"""),63.1)</f>
        <v>63.1</v>
      </c>
      <c r="K179" s="1">
        <f ca="1">IFERROR(__xludf.DUMMYFUNCTION("""COMPUTED_VALUE"""),268)</f>
        <v>268</v>
      </c>
      <c r="L179" s="1" t="str">
        <f ca="1">IFERROR(__xludf.DUMMYFUNCTION("""COMPUTED_VALUE"""),"+.048")</f>
        <v>+.048</v>
      </c>
      <c r="M179" s="1">
        <f ca="1">IFERROR(__xludf.DUMMYFUNCTION("""COMPUTED_VALUE"""),59)</f>
        <v>59</v>
      </c>
      <c r="N179" s="1">
        <f ca="1">IFERROR(__xludf.DUMMYFUNCTION("""COMPUTED_VALUE"""),-0.46)</f>
        <v>-0.46</v>
      </c>
      <c r="O179" s="1">
        <f ca="1">IFERROR(__xludf.DUMMYFUNCTION("""COMPUTED_VALUE"""),168)</f>
        <v>168</v>
      </c>
      <c r="P179" s="1">
        <f ca="1">IFERROR(__xludf.DUMMYFUNCTION("""COMPUTED_VALUE"""),103.3)</f>
        <v>103.3</v>
      </c>
      <c r="Q179" s="1">
        <f ca="1">IFERROR(__xludf.DUMMYFUNCTION("""COMPUTED_VALUE"""),175)</f>
        <v>175</v>
      </c>
      <c r="R179" s="1">
        <f ca="1">IFERROR(__xludf.DUMMYFUNCTION("""COMPUTED_VALUE"""),103.7)</f>
        <v>103.7</v>
      </c>
      <c r="S179" s="1">
        <f ca="1">IFERROR(__xludf.DUMMYFUNCTION("""COMPUTED_VALUE"""),164)</f>
        <v>164</v>
      </c>
      <c r="T179" s="1">
        <f ca="1">IFERROR(__xludf.DUMMYFUNCTION("""COMPUTED_VALUE"""),-0.35)</f>
        <v>-0.35</v>
      </c>
      <c r="U179" s="1">
        <f ca="1">IFERROR(__xludf.DUMMYFUNCTION("""COMPUTED_VALUE"""),175)</f>
        <v>175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IFERROR(__xludf.DUMMYFUNCTION("""COMPUTED_VALUE"""),"Weber St.")</f>
        <v>Weber St.</v>
      </c>
      <c r="C180" s="1" t="str">
        <f ca="1">IFERROR(__xludf.DUMMYFUNCTION("""COMPUTED_VALUE"""),"BSky")</f>
        <v>BSky</v>
      </c>
      <c r="D180" s="1" t="str">
        <f ca="1">IFERROR(__xludf.DUMMYFUNCTION("""COMPUTED_VALUE"""),"15-14")</f>
        <v>15-14</v>
      </c>
      <c r="E180" s="1">
        <f ca="1">IFERROR(__xludf.DUMMYFUNCTION("""COMPUTED_VALUE"""),-1.17)</f>
        <v>-1.17</v>
      </c>
      <c r="F180" s="1">
        <f ca="1">IFERROR(__xludf.DUMMYFUNCTION("""COMPUTED_VALUE"""),105.9)</f>
        <v>105.9</v>
      </c>
      <c r="G180" s="1">
        <f ca="1">IFERROR(__xludf.DUMMYFUNCTION("""COMPUTED_VALUE"""),110)</f>
        <v>110</v>
      </c>
      <c r="H180" s="1">
        <f ca="1">IFERROR(__xludf.DUMMYFUNCTION("""COMPUTED_VALUE"""),107)</f>
        <v>107</v>
      </c>
      <c r="I180" s="1">
        <f ca="1">IFERROR(__xludf.DUMMYFUNCTION("""COMPUTED_VALUE"""),238)</f>
        <v>238</v>
      </c>
      <c r="J180" s="1">
        <f ca="1">IFERROR(__xludf.DUMMYFUNCTION("""COMPUTED_VALUE"""),61.7)</f>
        <v>61.7</v>
      </c>
      <c r="K180" s="1">
        <f ca="1">IFERROR(__xludf.DUMMYFUNCTION("""COMPUTED_VALUE"""),297)</f>
        <v>297</v>
      </c>
      <c r="L180" s="1">
        <f ca="1">IFERROR(__xludf.DUMMYFUNCTION("""COMPUTED_VALUE"""),-0.024)</f>
        <v>-2.4E-2</v>
      </c>
      <c r="M180" s="1">
        <f ca="1">IFERROR(__xludf.DUMMYFUNCTION("""COMPUTED_VALUE"""),226)</f>
        <v>226</v>
      </c>
      <c r="N180" s="1">
        <f ca="1">IFERROR(__xludf.DUMMYFUNCTION("""COMPUTED_VALUE"""),-2.11)</f>
        <v>-2.11</v>
      </c>
      <c r="O180" s="1">
        <f ca="1">IFERROR(__xludf.DUMMYFUNCTION("""COMPUTED_VALUE"""),205)</f>
        <v>205</v>
      </c>
      <c r="P180" s="1">
        <f ca="1">IFERROR(__xludf.DUMMYFUNCTION("""COMPUTED_VALUE"""),102.3)</f>
        <v>102.3</v>
      </c>
      <c r="Q180" s="1">
        <f ca="1">IFERROR(__xludf.DUMMYFUNCTION("""COMPUTED_VALUE"""),204)</f>
        <v>204</v>
      </c>
      <c r="R180" s="1">
        <f ca="1">IFERROR(__xludf.DUMMYFUNCTION("""COMPUTED_VALUE"""),104.5)</f>
        <v>104.5</v>
      </c>
      <c r="S180" s="1">
        <f ca="1">IFERROR(__xludf.DUMMYFUNCTION("""COMPUTED_VALUE"""),197)</f>
        <v>197</v>
      </c>
      <c r="T180" s="1" t="str">
        <f ca="1">IFERROR(__xludf.DUMMYFUNCTION("""COMPUTED_VALUE"""),"+1.76")</f>
        <v>+1.76</v>
      </c>
      <c r="U180" s="1">
        <f ca="1">IFERROR(__xludf.DUMMYFUNCTION("""COMPUTED_VALUE"""),119)</f>
        <v>119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IFERROR(__xludf.DUMMYFUNCTION("""COMPUTED_VALUE"""),"Holy Cross")</f>
        <v>Holy Cross</v>
      </c>
      <c r="C181" s="1" t="str">
        <f ca="1">IFERROR(__xludf.DUMMYFUNCTION("""COMPUTED_VALUE"""),"Pat")</f>
        <v>Pat</v>
      </c>
      <c r="D181" s="1" t="str">
        <f ca="1">IFERROR(__xludf.DUMMYFUNCTION("""COMPUTED_VALUE"""),"13-15")</f>
        <v>13-15</v>
      </c>
      <c r="E181" s="1">
        <f ca="1">IFERROR(__xludf.DUMMYFUNCTION("""COMPUTED_VALUE"""),-1.23)</f>
        <v>-1.23</v>
      </c>
      <c r="F181" s="1">
        <f ca="1">IFERROR(__xludf.DUMMYFUNCTION("""COMPUTED_VALUE"""),96.8)</f>
        <v>96.8</v>
      </c>
      <c r="G181" s="1">
        <f ca="1">IFERROR(__xludf.DUMMYFUNCTION("""COMPUTED_VALUE"""),270)</f>
        <v>270</v>
      </c>
      <c r="H181" s="1">
        <f ca="1">IFERROR(__xludf.DUMMYFUNCTION("""COMPUTED_VALUE"""),98)</f>
        <v>98</v>
      </c>
      <c r="I181" s="1">
        <f ca="1">IFERROR(__xludf.DUMMYFUNCTION("""COMPUTED_VALUE"""),65)</f>
        <v>65</v>
      </c>
      <c r="J181" s="1">
        <f ca="1">IFERROR(__xludf.DUMMYFUNCTION("""COMPUTED_VALUE"""),63.4)</f>
        <v>63.4</v>
      </c>
      <c r="K181" s="1">
        <f ca="1">IFERROR(__xludf.DUMMYFUNCTION("""COMPUTED_VALUE"""),254)</f>
        <v>254</v>
      </c>
      <c r="L181" s="1">
        <f ca="1">IFERROR(__xludf.DUMMYFUNCTION("""COMPUTED_VALUE"""),-0.141)</f>
        <v>-0.14099999999999999</v>
      </c>
      <c r="M181" s="1">
        <f ca="1">IFERROR(__xludf.DUMMYFUNCTION("""COMPUTED_VALUE"""),325)</f>
        <v>325</v>
      </c>
      <c r="N181" s="1">
        <f ca="1">IFERROR(__xludf.DUMMYFUNCTION("""COMPUTED_VALUE"""),-7.92)</f>
        <v>-7.92</v>
      </c>
      <c r="O181" s="1">
        <f ca="1">IFERROR(__xludf.DUMMYFUNCTION("""COMPUTED_VALUE"""),280)</f>
        <v>280</v>
      </c>
      <c r="P181" s="1">
        <f ca="1">IFERROR(__xludf.DUMMYFUNCTION("""COMPUTED_VALUE"""),97.4)</f>
        <v>97.4</v>
      </c>
      <c r="Q181" s="1">
        <f ca="1">IFERROR(__xludf.DUMMYFUNCTION("""COMPUTED_VALUE"""),296)</f>
        <v>296</v>
      </c>
      <c r="R181" s="1">
        <f ca="1">IFERROR(__xludf.DUMMYFUNCTION("""COMPUTED_VALUE"""),105.3)</f>
        <v>105.3</v>
      </c>
      <c r="S181" s="1">
        <f ca="1">IFERROR(__xludf.DUMMYFUNCTION("""COMPUTED_VALUE"""),230)</f>
        <v>230</v>
      </c>
      <c r="T181" s="1">
        <f ca="1">IFERROR(__xludf.DUMMYFUNCTION("""COMPUTED_VALUE"""),-1.34)</f>
        <v>-1.34</v>
      </c>
      <c r="U181" s="1">
        <f ca="1">IFERROR(__xludf.DUMMYFUNCTION("""COMPUTED_VALUE"""),200)</f>
        <v>200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IFERROR(__xludf.DUMMYFUNCTION("""COMPUTED_VALUE"""),"Vermont15")</f>
        <v>Vermont15</v>
      </c>
      <c r="C182" s="1" t="str">
        <f ca="1">IFERROR(__xludf.DUMMYFUNCTION("""COMPUTED_VALUE"""),"AE")</f>
        <v>AE</v>
      </c>
      <c r="D182" s="1" t="str">
        <f ca="1">IFERROR(__xludf.DUMMYFUNCTION("""COMPUTED_VALUE"""),"22-9")</f>
        <v>22-9</v>
      </c>
      <c r="E182" s="1">
        <f ca="1">IFERROR(__xludf.DUMMYFUNCTION("""COMPUTED_VALUE"""),-1.37)</f>
        <v>-1.37</v>
      </c>
      <c r="F182" s="1">
        <f ca="1">IFERROR(__xludf.DUMMYFUNCTION("""COMPUTED_VALUE"""),101)</f>
        <v>101</v>
      </c>
      <c r="G182" s="1">
        <f ca="1">IFERROR(__xludf.DUMMYFUNCTION("""COMPUTED_VALUE"""),199)</f>
        <v>199</v>
      </c>
      <c r="H182" s="1">
        <f ca="1">IFERROR(__xludf.DUMMYFUNCTION("""COMPUTED_VALUE"""),102.4)</f>
        <v>102.4</v>
      </c>
      <c r="I182" s="1">
        <f ca="1">IFERROR(__xludf.DUMMYFUNCTION("""COMPUTED_VALUE"""),154)</f>
        <v>154</v>
      </c>
      <c r="J182" s="1">
        <f ca="1">IFERROR(__xludf.DUMMYFUNCTION("""COMPUTED_VALUE"""),63.9)</f>
        <v>63.9</v>
      </c>
      <c r="K182" s="1">
        <f ca="1">IFERROR(__xludf.DUMMYFUNCTION("""COMPUTED_VALUE"""),239)</f>
        <v>239</v>
      </c>
      <c r="L182" s="1" t="str">
        <f ca="1">IFERROR(__xludf.DUMMYFUNCTION("""COMPUTED_VALUE"""),"+.113")</f>
        <v>+.113</v>
      </c>
      <c r="M182" s="1">
        <f ca="1">IFERROR(__xludf.DUMMYFUNCTION("""COMPUTED_VALUE"""),4)</f>
        <v>4</v>
      </c>
      <c r="N182" s="1">
        <f ca="1">IFERROR(__xludf.DUMMYFUNCTION("""COMPUTED_VALUE"""),-8.08)</f>
        <v>-8.08</v>
      </c>
      <c r="O182" s="1">
        <f ca="1">IFERROR(__xludf.DUMMYFUNCTION("""COMPUTED_VALUE"""),284)</f>
        <v>284</v>
      </c>
      <c r="P182" s="1">
        <f ca="1">IFERROR(__xludf.DUMMYFUNCTION("""COMPUTED_VALUE"""),97.4)</f>
        <v>97.4</v>
      </c>
      <c r="Q182" s="1">
        <f ca="1">IFERROR(__xludf.DUMMYFUNCTION("""COMPUTED_VALUE"""),295)</f>
        <v>295</v>
      </c>
      <c r="R182" s="1">
        <f ca="1">IFERROR(__xludf.DUMMYFUNCTION("""COMPUTED_VALUE"""),105.5)</f>
        <v>105.5</v>
      </c>
      <c r="S182" s="1">
        <f ca="1">IFERROR(__xludf.DUMMYFUNCTION("""COMPUTED_VALUE"""),244)</f>
        <v>244</v>
      </c>
      <c r="T182" s="1">
        <f ca="1">IFERROR(__xludf.DUMMYFUNCTION("""COMPUTED_VALUE"""),-2.5)</f>
        <v>-2.5</v>
      </c>
      <c r="U182" s="1">
        <f ca="1">IFERROR(__xludf.DUMMYFUNCTION("""COMPUTED_VALUE"""),229)</f>
        <v>229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IFERROR(__xludf.DUMMYFUNCTION("""COMPUTED_VALUE"""),"Centenary")</f>
        <v>Centenary</v>
      </c>
      <c r="C183" s="1" t="str">
        <f ca="1">IFERROR(__xludf.DUMMYFUNCTION("""COMPUTED_VALUE"""),"MCon")</f>
        <v>MCon</v>
      </c>
      <c r="D183" s="1" t="str">
        <f ca="1">IFERROR(__xludf.DUMMYFUNCTION("""COMPUTED_VALUE"""),"16-12")</f>
        <v>16-12</v>
      </c>
      <c r="E183" s="1">
        <f ca="1">IFERROR(__xludf.DUMMYFUNCTION("""COMPUTED_VALUE"""),-1.53)</f>
        <v>-1.53</v>
      </c>
      <c r="F183" s="1">
        <f ca="1">IFERROR(__xludf.DUMMYFUNCTION("""COMPUTED_VALUE"""),102.6)</f>
        <v>102.6</v>
      </c>
      <c r="G183" s="1">
        <f ca="1">IFERROR(__xludf.DUMMYFUNCTION("""COMPUTED_VALUE"""),168)</f>
        <v>168</v>
      </c>
      <c r="H183" s="1">
        <f ca="1">IFERROR(__xludf.DUMMYFUNCTION("""COMPUTED_VALUE"""),104.1)</f>
        <v>104.1</v>
      </c>
      <c r="I183" s="1">
        <f ca="1">IFERROR(__xludf.DUMMYFUNCTION("""COMPUTED_VALUE"""),177)</f>
        <v>177</v>
      </c>
      <c r="J183" s="1">
        <f ca="1">IFERROR(__xludf.DUMMYFUNCTION("""COMPUTED_VALUE"""),63.7)</f>
        <v>63.7</v>
      </c>
      <c r="K183" s="1">
        <f ca="1">IFERROR(__xludf.DUMMYFUNCTION("""COMPUTED_VALUE"""),243)</f>
        <v>243</v>
      </c>
      <c r="L183" s="1" t="str">
        <f ca="1">IFERROR(__xludf.DUMMYFUNCTION("""COMPUTED_VALUE"""),"+.028")</f>
        <v>+.028</v>
      </c>
      <c r="M183" s="1">
        <f ca="1">IFERROR(__xludf.DUMMYFUNCTION("""COMPUTED_VALUE"""),97)</f>
        <v>97</v>
      </c>
      <c r="N183" s="1">
        <f ca="1">IFERROR(__xludf.DUMMYFUNCTION("""COMPUTED_VALUE"""),-2.52)</f>
        <v>-2.52</v>
      </c>
      <c r="O183" s="1">
        <f ca="1">IFERROR(__xludf.DUMMYFUNCTION("""COMPUTED_VALUE"""),218)</f>
        <v>218</v>
      </c>
      <c r="P183" s="1">
        <f ca="1">IFERROR(__xludf.DUMMYFUNCTION("""COMPUTED_VALUE"""),102.7)</f>
        <v>102.7</v>
      </c>
      <c r="Q183" s="1">
        <f ca="1">IFERROR(__xludf.DUMMYFUNCTION("""COMPUTED_VALUE"""),197)</f>
        <v>197</v>
      </c>
      <c r="R183" s="1">
        <f ca="1">IFERROR(__xludf.DUMMYFUNCTION("""COMPUTED_VALUE"""),105.2)</f>
        <v>105.2</v>
      </c>
      <c r="S183" s="1">
        <f ca="1">IFERROR(__xludf.DUMMYFUNCTION("""COMPUTED_VALUE"""),229)</f>
        <v>229</v>
      </c>
      <c r="T183" s="1" t="str">
        <f ca="1">IFERROR(__xludf.DUMMYFUNCTION("""COMPUTED_VALUE"""),"+1.01")</f>
        <v>+1.01</v>
      </c>
      <c r="U183" s="1">
        <f ca="1">IFERROR(__xludf.DUMMYFUNCTION("""COMPUTED_VALUE"""),137)</f>
        <v>137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IFERROR(__xludf.DUMMYFUNCTION("""COMPUTED_VALUE"""),"San Francisco")</f>
        <v>San Francisco</v>
      </c>
      <c r="C184" s="1" t="str">
        <f ca="1">IFERROR(__xludf.DUMMYFUNCTION("""COMPUTED_VALUE"""),"WCC")</f>
        <v>WCC</v>
      </c>
      <c r="D184" s="1" t="str">
        <f ca="1">IFERROR(__xludf.DUMMYFUNCTION("""COMPUTED_VALUE"""),"17-14")</f>
        <v>17-14</v>
      </c>
      <c r="E184" s="1">
        <f ca="1">IFERROR(__xludf.DUMMYFUNCTION("""COMPUTED_VALUE"""),-1.61)</f>
        <v>-1.61</v>
      </c>
      <c r="F184" s="1">
        <f ca="1">IFERROR(__xludf.DUMMYFUNCTION("""COMPUTED_VALUE"""),100.1)</f>
        <v>100.1</v>
      </c>
      <c r="G184" s="1">
        <f ca="1">IFERROR(__xludf.DUMMYFUNCTION("""COMPUTED_VALUE"""),216)</f>
        <v>216</v>
      </c>
      <c r="H184" s="1">
        <f ca="1">IFERROR(__xludf.DUMMYFUNCTION("""COMPUTED_VALUE"""),101.7)</f>
        <v>101.7</v>
      </c>
      <c r="I184" s="1">
        <f ca="1">IFERROR(__xludf.DUMMYFUNCTION("""COMPUTED_VALUE"""),134)</f>
        <v>134</v>
      </c>
      <c r="J184" s="1">
        <f ca="1">IFERROR(__xludf.DUMMYFUNCTION("""COMPUTED_VALUE"""),65.1)</f>
        <v>65.099999999999994</v>
      </c>
      <c r="K184" s="1">
        <f ca="1">IFERROR(__xludf.DUMMYFUNCTION("""COMPUTED_VALUE"""),192)</f>
        <v>192</v>
      </c>
      <c r="L184" s="1" t="str">
        <f ca="1">IFERROR(__xludf.DUMMYFUNCTION("""COMPUTED_VALUE"""),"+.138")</f>
        <v>+.138</v>
      </c>
      <c r="M184" s="1">
        <f ca="1">IFERROR(__xludf.DUMMYFUNCTION("""COMPUTED_VALUE"""),1)</f>
        <v>1</v>
      </c>
      <c r="N184" s="1" t="str">
        <f ca="1">IFERROR(__xludf.DUMMYFUNCTION("""COMPUTED_VALUE"""),"+2.10")</f>
        <v>+2.10</v>
      </c>
      <c r="O184" s="1">
        <f ca="1">IFERROR(__xludf.DUMMYFUNCTION("""COMPUTED_VALUE"""),122)</f>
        <v>122</v>
      </c>
      <c r="P184" s="1">
        <f ca="1">IFERROR(__xludf.DUMMYFUNCTION("""COMPUTED_VALUE"""),105.3)</f>
        <v>105.3</v>
      </c>
      <c r="Q184" s="1">
        <f ca="1">IFERROR(__xludf.DUMMYFUNCTION("""COMPUTED_VALUE"""),101)</f>
        <v>101</v>
      </c>
      <c r="R184" s="1">
        <f ca="1">IFERROR(__xludf.DUMMYFUNCTION("""COMPUTED_VALUE"""),103.2)</f>
        <v>103.2</v>
      </c>
      <c r="S184" s="1">
        <f ca="1">IFERROR(__xludf.DUMMYFUNCTION("""COMPUTED_VALUE"""),148)</f>
        <v>148</v>
      </c>
      <c r="T184" s="1" t="str">
        <f ca="1">IFERROR(__xludf.DUMMYFUNCTION("""COMPUTED_VALUE"""),"+1.79")</f>
        <v>+1.79</v>
      </c>
      <c r="U184" s="1">
        <f ca="1">IFERROR(__xludf.DUMMYFUNCTION("""COMPUTED_VALUE"""),117)</f>
        <v>117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IFERROR(__xludf.DUMMYFUNCTION("""COMPUTED_VALUE"""),"Bowling Green")</f>
        <v>Bowling Green</v>
      </c>
      <c r="C185" s="1" t="str">
        <f ca="1">IFERROR(__xludf.DUMMYFUNCTION("""COMPUTED_VALUE"""),"MAC")</f>
        <v>MAC</v>
      </c>
      <c r="D185" s="1" t="str">
        <f ca="1">IFERROR(__xludf.DUMMYFUNCTION("""COMPUTED_VALUE"""),"14-17")</f>
        <v>14-17</v>
      </c>
      <c r="E185" s="1">
        <f ca="1">IFERROR(__xludf.DUMMYFUNCTION("""COMPUTED_VALUE"""),-1.71)</f>
        <v>-1.71</v>
      </c>
      <c r="F185" s="1">
        <f ca="1">IFERROR(__xludf.DUMMYFUNCTION("""COMPUTED_VALUE"""),104.7)</f>
        <v>104.7</v>
      </c>
      <c r="G185" s="1">
        <f ca="1">IFERROR(__xludf.DUMMYFUNCTION("""COMPUTED_VALUE"""),128)</f>
        <v>128</v>
      </c>
      <c r="H185" s="1">
        <f ca="1">IFERROR(__xludf.DUMMYFUNCTION("""COMPUTED_VALUE"""),106.4)</f>
        <v>106.4</v>
      </c>
      <c r="I185" s="1">
        <f ca="1">IFERROR(__xludf.DUMMYFUNCTION("""COMPUTED_VALUE"""),228)</f>
        <v>228</v>
      </c>
      <c r="J185" s="1">
        <f ca="1">IFERROR(__xludf.DUMMYFUNCTION("""COMPUTED_VALUE"""),65.6)</f>
        <v>65.599999999999994</v>
      </c>
      <c r="K185" s="1">
        <f ca="1">IFERROR(__xludf.DUMMYFUNCTION("""COMPUTED_VALUE"""),174)</f>
        <v>174</v>
      </c>
      <c r="L185" s="1">
        <f ca="1">IFERROR(__xludf.DUMMYFUNCTION("""COMPUTED_VALUE"""),-0.025)</f>
        <v>-2.5000000000000001E-2</v>
      </c>
      <c r="M185" s="1">
        <f ca="1">IFERROR(__xludf.DUMMYFUNCTION("""COMPUTED_VALUE"""),227)</f>
        <v>227</v>
      </c>
      <c r="N185" s="1" t="str">
        <f ca="1">IFERROR(__xludf.DUMMYFUNCTION("""COMPUTED_VALUE"""),"+0.15")</f>
        <v>+0.15</v>
      </c>
      <c r="O185" s="1">
        <f ca="1">IFERROR(__xludf.DUMMYFUNCTION("""COMPUTED_VALUE"""),152)</f>
        <v>152</v>
      </c>
      <c r="P185" s="1">
        <f ca="1">IFERROR(__xludf.DUMMYFUNCTION("""COMPUTED_VALUE"""),103.4)</f>
        <v>103.4</v>
      </c>
      <c r="Q185" s="1">
        <f ca="1">IFERROR(__xludf.DUMMYFUNCTION("""COMPUTED_VALUE"""),162)</f>
        <v>162</v>
      </c>
      <c r="R185" s="1">
        <f ca="1">IFERROR(__xludf.DUMMYFUNCTION("""COMPUTED_VALUE"""),103.3)</f>
        <v>103.3</v>
      </c>
      <c r="S185" s="1">
        <f ca="1">IFERROR(__xludf.DUMMYFUNCTION("""COMPUTED_VALUE"""),151)</f>
        <v>151</v>
      </c>
      <c r="T185" s="1">
        <f ca="1">IFERROR(__xludf.DUMMYFUNCTION("""COMPUTED_VALUE"""),-1.64)</f>
        <v>-1.64</v>
      </c>
      <c r="U185" s="1">
        <f ca="1">IFERROR(__xludf.DUMMYFUNCTION("""COMPUTED_VALUE"""),207)</f>
        <v>207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IFERROR(__xludf.DUMMYFUNCTION("""COMPUTED_VALUE"""),"Southern Miss")</f>
        <v>Southern Miss</v>
      </c>
      <c r="C186" s="1" t="str">
        <f ca="1">IFERROR(__xludf.DUMMYFUNCTION("""COMPUTED_VALUE"""),"CUSA")</f>
        <v>CUSA</v>
      </c>
      <c r="D186" s="1" t="str">
        <f ca="1">IFERROR(__xludf.DUMMYFUNCTION("""COMPUTED_VALUE"""),"13-15")</f>
        <v>13-15</v>
      </c>
      <c r="E186" s="1">
        <f ca="1">IFERROR(__xludf.DUMMYFUNCTION("""COMPUTED_VALUE"""),-1.72)</f>
        <v>-1.72</v>
      </c>
      <c r="F186" s="1">
        <f ca="1">IFERROR(__xludf.DUMMYFUNCTION("""COMPUTED_VALUE"""),100.5)</f>
        <v>100.5</v>
      </c>
      <c r="G186" s="1">
        <f ca="1">IFERROR(__xludf.DUMMYFUNCTION("""COMPUTED_VALUE"""),210)</f>
        <v>210</v>
      </c>
      <c r="H186" s="1">
        <f ca="1">IFERROR(__xludf.DUMMYFUNCTION("""COMPUTED_VALUE"""),102.2)</f>
        <v>102.2</v>
      </c>
      <c r="I186" s="1">
        <f ca="1">IFERROR(__xludf.DUMMYFUNCTION("""COMPUTED_VALUE"""),146)</f>
        <v>146</v>
      </c>
      <c r="J186" s="1">
        <f ca="1">IFERROR(__xludf.DUMMYFUNCTION("""COMPUTED_VALUE"""),64.1)</f>
        <v>64.099999999999994</v>
      </c>
      <c r="K186" s="1">
        <f ca="1">IFERROR(__xludf.DUMMYFUNCTION("""COMPUTED_VALUE"""),226)</f>
        <v>226</v>
      </c>
      <c r="L186" s="1" t="str">
        <f ca="1">IFERROR(__xludf.DUMMYFUNCTION("""COMPUTED_VALUE"""),"+.054")</f>
        <v>+.054</v>
      </c>
      <c r="M186" s="1">
        <f ca="1">IFERROR(__xludf.DUMMYFUNCTION("""COMPUTED_VALUE"""),50)</f>
        <v>50</v>
      </c>
      <c r="N186" s="1" t="str">
        <f ca="1">IFERROR(__xludf.DUMMYFUNCTION("""COMPUTED_VALUE"""),"+3.43")</f>
        <v>+3.43</v>
      </c>
      <c r="O186" s="1">
        <f ca="1">IFERROR(__xludf.DUMMYFUNCTION("""COMPUTED_VALUE"""),101)</f>
        <v>101</v>
      </c>
      <c r="P186" s="1">
        <f ca="1">IFERROR(__xludf.DUMMYFUNCTION("""COMPUTED_VALUE"""),104)</f>
        <v>104</v>
      </c>
      <c r="Q186" s="1">
        <f ca="1">IFERROR(__xludf.DUMMYFUNCTION("""COMPUTED_VALUE"""),142)</f>
        <v>142</v>
      </c>
      <c r="R186" s="1">
        <f ca="1">IFERROR(__xludf.DUMMYFUNCTION("""COMPUTED_VALUE"""),100.6)</f>
        <v>100.6</v>
      </c>
      <c r="S186" s="1">
        <f ca="1">IFERROR(__xludf.DUMMYFUNCTION("""COMPUTED_VALUE"""),69)</f>
        <v>69</v>
      </c>
      <c r="T186" s="1">
        <f ca="1">IFERROR(__xludf.DUMMYFUNCTION("""COMPUTED_VALUE"""),-3.23)</f>
        <v>-3.23</v>
      </c>
      <c r="U186" s="1">
        <f ca="1">IFERROR(__xludf.DUMMYFUNCTION("""COMPUTED_VALUE"""),240)</f>
        <v>240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IFERROR(__xludf.DUMMYFUNCTION("""COMPUTED_VALUE"""),"Illinois St.")</f>
        <v>Illinois St.</v>
      </c>
      <c r="C187" s="1" t="str">
        <f ca="1">IFERROR(__xludf.DUMMYFUNCTION("""COMPUTED_VALUE"""),"MVC")</f>
        <v>MVC</v>
      </c>
      <c r="D187" s="2">
        <f ca="1">IFERROR(__xludf.DUMMYFUNCTION("""COMPUTED_VALUE"""),44853)</f>
        <v>44853</v>
      </c>
      <c r="E187" s="1">
        <f ca="1">IFERROR(__xludf.DUMMYFUNCTION("""COMPUTED_VALUE"""),-1.98)</f>
        <v>-1.98</v>
      </c>
      <c r="F187" s="1">
        <f ca="1">IFERROR(__xludf.DUMMYFUNCTION("""COMPUTED_VALUE"""),101.4)</f>
        <v>101.4</v>
      </c>
      <c r="G187" s="1">
        <f ca="1">IFERROR(__xludf.DUMMYFUNCTION("""COMPUTED_VALUE"""),191)</f>
        <v>191</v>
      </c>
      <c r="H187" s="1">
        <f ca="1">IFERROR(__xludf.DUMMYFUNCTION("""COMPUTED_VALUE"""),103.4)</f>
        <v>103.4</v>
      </c>
      <c r="I187" s="1">
        <f ca="1">IFERROR(__xludf.DUMMYFUNCTION("""COMPUTED_VALUE"""),166)</f>
        <v>166</v>
      </c>
      <c r="J187" s="1">
        <f ca="1">IFERROR(__xludf.DUMMYFUNCTION("""COMPUTED_VALUE"""),61.5)</f>
        <v>61.5</v>
      </c>
      <c r="K187" s="1">
        <f ca="1">IFERROR(__xludf.DUMMYFUNCTION("""COMPUTED_VALUE"""),301)</f>
        <v>301</v>
      </c>
      <c r="L187" s="1">
        <f ca="1">IFERROR(__xludf.DUMMYFUNCTION("""COMPUTED_VALUE"""),-0.061)</f>
        <v>-6.0999999999999999E-2</v>
      </c>
      <c r="M187" s="1">
        <f ca="1">IFERROR(__xludf.DUMMYFUNCTION("""COMPUTED_VALUE"""),282)</f>
        <v>282</v>
      </c>
      <c r="N187" s="1" t="str">
        <f ca="1">IFERROR(__xludf.DUMMYFUNCTION("""COMPUTED_VALUE"""),"+3.35")</f>
        <v>+3.35</v>
      </c>
      <c r="O187" s="1">
        <f ca="1">IFERROR(__xludf.DUMMYFUNCTION("""COMPUTED_VALUE"""),103)</f>
        <v>103</v>
      </c>
      <c r="P187" s="1">
        <f ca="1">IFERROR(__xludf.DUMMYFUNCTION("""COMPUTED_VALUE"""),104.8)</f>
        <v>104.8</v>
      </c>
      <c r="Q187" s="1">
        <f ca="1">IFERROR(__xludf.DUMMYFUNCTION("""COMPUTED_VALUE"""),117)</f>
        <v>117</v>
      </c>
      <c r="R187" s="1">
        <f ca="1">IFERROR(__xludf.DUMMYFUNCTION("""COMPUTED_VALUE"""),101.4)</f>
        <v>101.4</v>
      </c>
      <c r="S187" s="1">
        <f ca="1">IFERROR(__xludf.DUMMYFUNCTION("""COMPUTED_VALUE"""),97)</f>
        <v>97</v>
      </c>
      <c r="T187" s="1" t="str">
        <f ca="1">IFERROR(__xludf.DUMMYFUNCTION("""COMPUTED_VALUE"""),"+1.49")</f>
        <v>+1.49</v>
      </c>
      <c r="U187" s="1">
        <f ca="1">IFERROR(__xludf.DUMMYFUNCTION("""COMPUTED_VALUE"""),124)</f>
        <v>124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IFERROR(__xludf.DUMMYFUNCTION("""COMPUTED_VALUE"""),"Denver")</f>
        <v>Denver</v>
      </c>
      <c r="C188" s="1" t="str">
        <f ca="1">IFERROR(__xludf.DUMMYFUNCTION("""COMPUTED_VALUE"""),"SB")</f>
        <v>SB</v>
      </c>
      <c r="D188" s="1" t="str">
        <f ca="1">IFERROR(__xludf.DUMMYFUNCTION("""COMPUTED_VALUE"""),"14-13")</f>
        <v>14-13</v>
      </c>
      <c r="E188" s="1">
        <f ca="1">IFERROR(__xludf.DUMMYFUNCTION("""COMPUTED_VALUE"""),-2.02)</f>
        <v>-2.02</v>
      </c>
      <c r="F188" s="1">
        <f ca="1">IFERROR(__xludf.DUMMYFUNCTION("""COMPUTED_VALUE"""),103.9)</f>
        <v>103.9</v>
      </c>
      <c r="G188" s="1">
        <f ca="1">IFERROR(__xludf.DUMMYFUNCTION("""COMPUTED_VALUE"""),146)</f>
        <v>146</v>
      </c>
      <c r="H188" s="1">
        <f ca="1">IFERROR(__xludf.DUMMYFUNCTION("""COMPUTED_VALUE"""),105.9)</f>
        <v>105.9</v>
      </c>
      <c r="I188" s="1">
        <f ca="1">IFERROR(__xludf.DUMMYFUNCTION("""COMPUTED_VALUE"""),207)</f>
        <v>207</v>
      </c>
      <c r="J188" s="1">
        <f ca="1">IFERROR(__xludf.DUMMYFUNCTION("""COMPUTED_VALUE"""),64.8)</f>
        <v>64.8</v>
      </c>
      <c r="K188" s="1">
        <f ca="1">IFERROR(__xludf.DUMMYFUNCTION("""COMPUTED_VALUE"""),200)</f>
        <v>200</v>
      </c>
      <c r="L188" s="1" t="str">
        <f ca="1">IFERROR(__xludf.DUMMYFUNCTION("""COMPUTED_VALUE"""),"+.021")</f>
        <v>+.021</v>
      </c>
      <c r="M188" s="1">
        <f ca="1">IFERROR(__xludf.DUMMYFUNCTION("""COMPUTED_VALUE"""),115)</f>
        <v>115</v>
      </c>
      <c r="N188" s="1">
        <f ca="1">IFERROR(__xludf.DUMMYFUNCTION("""COMPUTED_VALUE"""),-1.29)</f>
        <v>-1.29</v>
      </c>
      <c r="O188" s="1">
        <f ca="1">IFERROR(__xludf.DUMMYFUNCTION("""COMPUTED_VALUE"""),186)</f>
        <v>186</v>
      </c>
      <c r="P188" s="1">
        <f ca="1">IFERROR(__xludf.DUMMYFUNCTION("""COMPUTED_VALUE"""),102.7)</f>
        <v>102.7</v>
      </c>
      <c r="Q188" s="1">
        <f ca="1">IFERROR(__xludf.DUMMYFUNCTION("""COMPUTED_VALUE"""),199)</f>
        <v>199</v>
      </c>
      <c r="R188" s="1">
        <f ca="1">IFERROR(__xludf.DUMMYFUNCTION("""COMPUTED_VALUE"""),104)</f>
        <v>104</v>
      </c>
      <c r="S188" s="1">
        <f ca="1">IFERROR(__xludf.DUMMYFUNCTION("""COMPUTED_VALUE"""),177)</f>
        <v>177</v>
      </c>
      <c r="T188" s="1">
        <f ca="1">IFERROR(__xludf.DUMMYFUNCTION("""COMPUTED_VALUE"""),-1.3)</f>
        <v>-1.3</v>
      </c>
      <c r="U188" s="1">
        <f ca="1">IFERROR(__xludf.DUMMYFUNCTION("""COMPUTED_VALUE"""),199)</f>
        <v>199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IFERROR(__xludf.DUMMYFUNCTION("""COMPUTED_VALUE"""),"Cal St. Northridge")</f>
        <v>Cal St. Northridge</v>
      </c>
      <c r="C189" s="1" t="str">
        <f ca="1">IFERROR(__xludf.DUMMYFUNCTION("""COMPUTED_VALUE"""),"BW")</f>
        <v>BW</v>
      </c>
      <c r="D189" s="1" t="str">
        <f ca="1">IFERROR(__xludf.DUMMYFUNCTION("""COMPUTED_VALUE"""),"14-16")</f>
        <v>14-16</v>
      </c>
      <c r="E189" s="1">
        <f ca="1">IFERROR(__xludf.DUMMYFUNCTION("""COMPUTED_VALUE"""),-2.27)</f>
        <v>-2.27</v>
      </c>
      <c r="F189" s="1">
        <f ca="1">IFERROR(__xludf.DUMMYFUNCTION("""COMPUTED_VALUE"""),99.7)</f>
        <v>99.7</v>
      </c>
      <c r="G189" s="1">
        <f ca="1">IFERROR(__xludf.DUMMYFUNCTION("""COMPUTED_VALUE"""),225)</f>
        <v>225</v>
      </c>
      <c r="H189" s="1">
        <f ca="1">IFERROR(__xludf.DUMMYFUNCTION("""COMPUTED_VALUE"""),102)</f>
        <v>102</v>
      </c>
      <c r="I189" s="1">
        <f ca="1">IFERROR(__xludf.DUMMYFUNCTION("""COMPUTED_VALUE"""),139)</f>
        <v>139</v>
      </c>
      <c r="J189" s="1">
        <f ca="1">IFERROR(__xludf.DUMMYFUNCTION("""COMPUTED_VALUE"""),68.1)</f>
        <v>68.099999999999994</v>
      </c>
      <c r="K189" s="1">
        <f ca="1">IFERROR(__xludf.DUMMYFUNCTION("""COMPUTED_VALUE"""),81)</f>
        <v>81</v>
      </c>
      <c r="L189" s="1" t="str">
        <f ca="1">IFERROR(__xludf.DUMMYFUNCTION("""COMPUTED_VALUE"""),"+.001")</f>
        <v>+.001</v>
      </c>
      <c r="M189" s="1">
        <f ca="1">IFERROR(__xludf.DUMMYFUNCTION("""COMPUTED_VALUE"""),168)</f>
        <v>168</v>
      </c>
      <c r="N189" s="1">
        <f ca="1">IFERROR(__xludf.DUMMYFUNCTION("""COMPUTED_VALUE"""),-0.88)</f>
        <v>-0.88</v>
      </c>
      <c r="O189" s="1">
        <f ca="1">IFERROR(__xludf.DUMMYFUNCTION("""COMPUTED_VALUE"""),182)</f>
        <v>182</v>
      </c>
      <c r="P189" s="1">
        <f ca="1">IFERROR(__xludf.DUMMYFUNCTION("""COMPUTED_VALUE"""),103.3)</f>
        <v>103.3</v>
      </c>
      <c r="Q189" s="1">
        <f ca="1">IFERROR(__xludf.DUMMYFUNCTION("""COMPUTED_VALUE"""),172)</f>
        <v>172</v>
      </c>
      <c r="R189" s="1">
        <f ca="1">IFERROR(__xludf.DUMMYFUNCTION("""COMPUTED_VALUE"""),104.2)</f>
        <v>104.2</v>
      </c>
      <c r="S189" s="1">
        <f ca="1">IFERROR(__xludf.DUMMYFUNCTION("""COMPUTED_VALUE"""),188)</f>
        <v>188</v>
      </c>
      <c r="T189" s="1">
        <f ca="1">IFERROR(__xludf.DUMMYFUNCTION("""COMPUTED_VALUE"""),-1.94)</f>
        <v>-1.94</v>
      </c>
      <c r="U189" s="1">
        <f ca="1">IFERROR(__xludf.DUMMYFUNCTION("""COMPUTED_VALUE"""),213)</f>
        <v>213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IFERROR(__xludf.DUMMYFUNCTION("""COMPUTED_VALUE"""),"Marshall")</f>
        <v>Marshall</v>
      </c>
      <c r="C190" s="1" t="str">
        <f ca="1">IFERROR(__xludf.DUMMYFUNCTION("""COMPUTED_VALUE"""),"MAC")</f>
        <v>MAC</v>
      </c>
      <c r="D190" s="2">
        <f ca="1">IFERROR(__xludf.DUMMYFUNCTION("""COMPUTED_VALUE"""),44912)</f>
        <v>44912</v>
      </c>
      <c r="E190" s="1">
        <f ca="1">IFERROR(__xludf.DUMMYFUNCTION("""COMPUTED_VALUE"""),-2.44)</f>
        <v>-2.44</v>
      </c>
      <c r="F190" s="1">
        <f ca="1">IFERROR(__xludf.DUMMYFUNCTION("""COMPUTED_VALUE"""),101.2)</f>
        <v>101.2</v>
      </c>
      <c r="G190" s="1">
        <f ca="1">IFERROR(__xludf.DUMMYFUNCTION("""COMPUTED_VALUE"""),195)</f>
        <v>195</v>
      </c>
      <c r="H190" s="1">
        <f ca="1">IFERROR(__xludf.DUMMYFUNCTION("""COMPUTED_VALUE"""),103.6)</f>
        <v>103.6</v>
      </c>
      <c r="I190" s="1">
        <f ca="1">IFERROR(__xludf.DUMMYFUNCTION("""COMPUTED_VALUE"""),173)</f>
        <v>173</v>
      </c>
      <c r="J190" s="1">
        <f ca="1">IFERROR(__xludf.DUMMYFUNCTION("""COMPUTED_VALUE"""),68.2)</f>
        <v>68.2</v>
      </c>
      <c r="K190" s="1">
        <f ca="1">IFERROR(__xludf.DUMMYFUNCTION("""COMPUTED_VALUE"""),72)</f>
        <v>72</v>
      </c>
      <c r="L190" s="1" t="str">
        <f ca="1">IFERROR(__xludf.DUMMYFUNCTION("""COMPUTED_VALUE"""),"+.039")</f>
        <v>+.039</v>
      </c>
      <c r="M190" s="1">
        <f ca="1">IFERROR(__xludf.DUMMYFUNCTION("""COMPUTED_VALUE"""),71)</f>
        <v>71</v>
      </c>
      <c r="N190" s="1" t="str">
        <f ca="1">IFERROR(__xludf.DUMMYFUNCTION("""COMPUTED_VALUE"""),"+2.29")</f>
        <v>+2.29</v>
      </c>
      <c r="O190" s="1">
        <f ca="1">IFERROR(__xludf.DUMMYFUNCTION("""COMPUTED_VALUE"""),117)</f>
        <v>117</v>
      </c>
      <c r="P190" s="1">
        <f ca="1">IFERROR(__xludf.DUMMYFUNCTION("""COMPUTED_VALUE"""),105.4)</f>
        <v>105.4</v>
      </c>
      <c r="Q190" s="1">
        <f ca="1">IFERROR(__xludf.DUMMYFUNCTION("""COMPUTED_VALUE"""),95)</f>
        <v>95</v>
      </c>
      <c r="R190" s="1">
        <f ca="1">IFERROR(__xludf.DUMMYFUNCTION("""COMPUTED_VALUE"""),103.1)</f>
        <v>103.1</v>
      </c>
      <c r="S190" s="1">
        <f ca="1">IFERROR(__xludf.DUMMYFUNCTION("""COMPUTED_VALUE"""),145)</f>
        <v>145</v>
      </c>
      <c r="T190" s="1" t="str">
        <f ca="1">IFERROR(__xludf.DUMMYFUNCTION("""COMPUTED_VALUE"""),"+4.01")</f>
        <v>+4.01</v>
      </c>
      <c r="U190" s="1">
        <f ca="1">IFERROR(__xludf.DUMMYFUNCTION("""COMPUTED_VALUE"""),60)</f>
        <v>60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IFERROR(__xludf.DUMMYFUNCTION("""COMPUTED_VALUE"""),"Liberty16")</f>
        <v>Liberty16</v>
      </c>
      <c r="C191" s="1" t="str">
        <f ca="1">IFERROR(__xludf.DUMMYFUNCTION("""COMPUTED_VALUE"""),"BSth")</f>
        <v>BSth</v>
      </c>
      <c r="D191" s="1" t="str">
        <f ca="1">IFERROR(__xludf.DUMMYFUNCTION("""COMPUTED_VALUE"""),"18-15")</f>
        <v>18-15</v>
      </c>
      <c r="E191" s="1">
        <f ca="1">IFERROR(__xludf.DUMMYFUNCTION("""COMPUTED_VALUE"""),-2.5)</f>
        <v>-2.5</v>
      </c>
      <c r="F191" s="1">
        <f ca="1">IFERROR(__xludf.DUMMYFUNCTION("""COMPUTED_VALUE"""),98.3)</f>
        <v>98.3</v>
      </c>
      <c r="G191" s="1">
        <f ca="1">IFERROR(__xludf.DUMMYFUNCTION("""COMPUTED_VALUE"""),248)</f>
        <v>248</v>
      </c>
      <c r="H191" s="1">
        <f ca="1">IFERROR(__xludf.DUMMYFUNCTION("""COMPUTED_VALUE"""),100.8)</f>
        <v>100.8</v>
      </c>
      <c r="I191" s="1">
        <f ca="1">IFERROR(__xludf.DUMMYFUNCTION("""COMPUTED_VALUE"""),116)</f>
        <v>116</v>
      </c>
      <c r="J191" s="1">
        <f ca="1">IFERROR(__xludf.DUMMYFUNCTION("""COMPUTED_VALUE"""),67.5)</f>
        <v>67.5</v>
      </c>
      <c r="K191" s="1">
        <f ca="1">IFERROR(__xludf.DUMMYFUNCTION("""COMPUTED_VALUE"""),101)</f>
        <v>101</v>
      </c>
      <c r="L191" s="1" t="str">
        <f ca="1">IFERROR(__xludf.DUMMYFUNCTION("""COMPUTED_VALUE"""),"+.000")</f>
        <v>+.000</v>
      </c>
      <c r="M191" s="1">
        <f ca="1">IFERROR(__xludf.DUMMYFUNCTION("""COMPUTED_VALUE"""),171)</f>
        <v>171</v>
      </c>
      <c r="N191" s="1">
        <f ca="1">IFERROR(__xludf.DUMMYFUNCTION("""COMPUTED_VALUE"""),-5.73)</f>
        <v>-5.73</v>
      </c>
      <c r="O191" s="1">
        <f ca="1">IFERROR(__xludf.DUMMYFUNCTION("""COMPUTED_VALUE"""),254)</f>
        <v>254</v>
      </c>
      <c r="P191" s="1">
        <f ca="1">IFERROR(__xludf.DUMMYFUNCTION("""COMPUTED_VALUE"""),100.5)</f>
        <v>100.5</v>
      </c>
      <c r="Q191" s="1">
        <f ca="1">IFERROR(__xludf.DUMMYFUNCTION("""COMPUTED_VALUE"""),248)</f>
        <v>248</v>
      </c>
      <c r="R191" s="1">
        <f ca="1">IFERROR(__xludf.DUMMYFUNCTION("""COMPUTED_VALUE"""),106.2)</f>
        <v>106.2</v>
      </c>
      <c r="S191" s="1">
        <f ca="1">IFERROR(__xludf.DUMMYFUNCTION("""COMPUTED_VALUE"""),279)</f>
        <v>279</v>
      </c>
      <c r="T191" s="1" t="str">
        <f ca="1">IFERROR(__xludf.DUMMYFUNCTION("""COMPUTED_VALUE"""),"+5.71")</f>
        <v>+5.71</v>
      </c>
      <c r="U191" s="1">
        <f ca="1">IFERROR(__xludf.DUMMYFUNCTION("""COMPUTED_VALUE"""),40)</f>
        <v>40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IFERROR(__xludf.DUMMYFUNCTION("""COMPUTED_VALUE"""),"Loyola Marymount")</f>
        <v>Loyola Marymount</v>
      </c>
      <c r="C192" s="1" t="str">
        <f ca="1">IFERROR(__xludf.DUMMYFUNCTION("""COMPUTED_VALUE"""),"WCC")</f>
        <v>WCC</v>
      </c>
      <c r="D192" s="1" t="str">
        <f ca="1">IFERROR(__xludf.DUMMYFUNCTION("""COMPUTED_VALUE"""),"15-14")</f>
        <v>15-14</v>
      </c>
      <c r="E192" s="1">
        <f ca="1">IFERROR(__xludf.DUMMYFUNCTION("""COMPUTED_VALUE"""),-2.81)</f>
        <v>-2.81</v>
      </c>
      <c r="F192" s="1">
        <f ca="1">IFERROR(__xludf.DUMMYFUNCTION("""COMPUTED_VALUE"""),97.4)</f>
        <v>97.4</v>
      </c>
      <c r="G192" s="1">
        <f ca="1">IFERROR(__xludf.DUMMYFUNCTION("""COMPUTED_VALUE"""),263)</f>
        <v>263</v>
      </c>
      <c r="H192" s="1">
        <f ca="1">IFERROR(__xludf.DUMMYFUNCTION("""COMPUTED_VALUE"""),100.2)</f>
        <v>100.2</v>
      </c>
      <c r="I192" s="1">
        <f ca="1">IFERROR(__xludf.DUMMYFUNCTION("""COMPUTED_VALUE"""),105)</f>
        <v>105</v>
      </c>
      <c r="J192" s="1">
        <f ca="1">IFERROR(__xludf.DUMMYFUNCTION("""COMPUTED_VALUE"""),66.3)</f>
        <v>66.3</v>
      </c>
      <c r="K192" s="1">
        <f ca="1">IFERROR(__xludf.DUMMYFUNCTION("""COMPUTED_VALUE"""),143)</f>
        <v>143</v>
      </c>
      <c r="L192" s="1" t="str">
        <f ca="1">IFERROR(__xludf.DUMMYFUNCTION("""COMPUTED_VALUE"""),"+.074")</f>
        <v>+.074</v>
      </c>
      <c r="M192" s="1">
        <f ca="1">IFERROR(__xludf.DUMMYFUNCTION("""COMPUTED_VALUE"""),28)</f>
        <v>28</v>
      </c>
      <c r="N192" s="1">
        <f ca="1">IFERROR(__xludf.DUMMYFUNCTION("""COMPUTED_VALUE"""),-0.79)</f>
        <v>-0.79</v>
      </c>
      <c r="O192" s="1">
        <f ca="1">IFERROR(__xludf.DUMMYFUNCTION("""COMPUTED_VALUE"""),180)</f>
        <v>180</v>
      </c>
      <c r="P192" s="1">
        <f ca="1">IFERROR(__xludf.DUMMYFUNCTION("""COMPUTED_VALUE"""),104.7)</f>
        <v>104.7</v>
      </c>
      <c r="Q192" s="1">
        <f ca="1">IFERROR(__xludf.DUMMYFUNCTION("""COMPUTED_VALUE"""),122)</f>
        <v>122</v>
      </c>
      <c r="R192" s="1">
        <f ca="1">IFERROR(__xludf.DUMMYFUNCTION("""COMPUTED_VALUE"""),105.5)</f>
        <v>105.5</v>
      </c>
      <c r="S192" s="1">
        <f ca="1">IFERROR(__xludf.DUMMYFUNCTION("""COMPUTED_VALUE"""),243)</f>
        <v>243</v>
      </c>
      <c r="T192" s="1">
        <f ca="1">IFERROR(__xludf.DUMMYFUNCTION("""COMPUTED_VALUE"""),-4.28)</f>
        <v>-4.28</v>
      </c>
      <c r="U192" s="1">
        <f ca="1">IFERROR(__xludf.DUMMYFUNCTION("""COMPUTED_VALUE"""),256)</f>
        <v>256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IFERROR(__xludf.DUMMYFUNCTION("""COMPUTED_VALUE"""),"La Salle")</f>
        <v>La Salle</v>
      </c>
      <c r="C193" s="1" t="str">
        <f ca="1">IFERROR(__xludf.DUMMYFUNCTION("""COMPUTED_VALUE"""),"A10")</f>
        <v>A10</v>
      </c>
      <c r="D193" s="2">
        <f ca="1">IFERROR(__xludf.DUMMYFUNCTION("""COMPUTED_VALUE"""),44854)</f>
        <v>44854</v>
      </c>
      <c r="E193" s="1">
        <f ca="1">IFERROR(__xludf.DUMMYFUNCTION("""COMPUTED_VALUE"""),-3.02)</f>
        <v>-3.02</v>
      </c>
      <c r="F193" s="1">
        <f ca="1">IFERROR(__xludf.DUMMYFUNCTION("""COMPUTED_VALUE"""),103)</f>
        <v>103</v>
      </c>
      <c r="G193" s="1">
        <f ca="1">IFERROR(__xludf.DUMMYFUNCTION("""COMPUTED_VALUE"""),156)</f>
        <v>156</v>
      </c>
      <c r="H193" s="1">
        <f ca="1">IFERROR(__xludf.DUMMYFUNCTION("""COMPUTED_VALUE"""),106.1)</f>
        <v>106.1</v>
      </c>
      <c r="I193" s="1">
        <f ca="1">IFERROR(__xludf.DUMMYFUNCTION("""COMPUTED_VALUE"""),211)</f>
        <v>211</v>
      </c>
      <c r="J193" s="1">
        <f ca="1">IFERROR(__xludf.DUMMYFUNCTION("""COMPUTED_VALUE"""),64.1)</f>
        <v>64.099999999999994</v>
      </c>
      <c r="K193" s="1">
        <f ca="1">IFERROR(__xludf.DUMMYFUNCTION("""COMPUTED_VALUE"""),231)</f>
        <v>231</v>
      </c>
      <c r="L193" s="1">
        <f ca="1">IFERROR(__xludf.DUMMYFUNCTION("""COMPUTED_VALUE"""),-0.023)</f>
        <v>-2.3E-2</v>
      </c>
      <c r="M193" s="1">
        <f ca="1">IFERROR(__xludf.DUMMYFUNCTION("""COMPUTED_VALUE"""),223)</f>
        <v>223</v>
      </c>
      <c r="N193" s="1" t="str">
        <f ca="1">IFERROR(__xludf.DUMMYFUNCTION("""COMPUTED_VALUE"""),"+3.36")</f>
        <v>+3.36</v>
      </c>
      <c r="O193" s="1">
        <f ca="1">IFERROR(__xludf.DUMMYFUNCTION("""COMPUTED_VALUE"""),102)</f>
        <v>102</v>
      </c>
      <c r="P193" s="1">
        <f ca="1">IFERROR(__xludf.DUMMYFUNCTION("""COMPUTED_VALUE"""),105.2)</f>
        <v>105.2</v>
      </c>
      <c r="Q193" s="1">
        <f ca="1">IFERROR(__xludf.DUMMYFUNCTION("""COMPUTED_VALUE"""),103)</f>
        <v>103</v>
      </c>
      <c r="R193" s="1">
        <f ca="1">IFERROR(__xludf.DUMMYFUNCTION("""COMPUTED_VALUE"""),101.8)</f>
        <v>101.8</v>
      </c>
      <c r="S193" s="1">
        <f ca="1">IFERROR(__xludf.DUMMYFUNCTION("""COMPUTED_VALUE"""),106)</f>
        <v>106</v>
      </c>
      <c r="T193" s="1">
        <f ca="1">IFERROR(__xludf.DUMMYFUNCTION("""COMPUTED_VALUE"""),-2.07)</f>
        <v>-2.0699999999999998</v>
      </c>
      <c r="U193" s="1">
        <f ca="1">IFERROR(__xludf.DUMMYFUNCTION("""COMPUTED_VALUE"""),217)</f>
        <v>217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IFERROR(__xludf.DUMMYFUNCTION("""COMPUTED_VALUE"""),"Massachusetts")</f>
        <v>Massachusetts</v>
      </c>
      <c r="C194" s="1" t="str">
        <f ca="1">IFERROR(__xludf.DUMMYFUNCTION("""COMPUTED_VALUE"""),"A10")</f>
        <v>A10</v>
      </c>
      <c r="D194" s="2">
        <f ca="1">IFERROR(__xludf.DUMMYFUNCTION("""COMPUTED_VALUE"""),44853)</f>
        <v>44853</v>
      </c>
      <c r="E194" s="1">
        <f ca="1">IFERROR(__xludf.DUMMYFUNCTION("""COMPUTED_VALUE"""),-3.13)</f>
        <v>-3.13</v>
      </c>
      <c r="F194" s="1">
        <f ca="1">IFERROR(__xludf.DUMMYFUNCTION("""COMPUTED_VALUE"""),103)</f>
        <v>103</v>
      </c>
      <c r="G194" s="1">
        <f ca="1">IFERROR(__xludf.DUMMYFUNCTION("""COMPUTED_VALUE"""),157)</f>
        <v>157</v>
      </c>
      <c r="H194" s="1">
        <f ca="1">IFERROR(__xludf.DUMMYFUNCTION("""COMPUTED_VALUE"""),106.1)</f>
        <v>106.1</v>
      </c>
      <c r="I194" s="1">
        <f ca="1">IFERROR(__xludf.DUMMYFUNCTION("""COMPUTED_VALUE"""),215)</f>
        <v>215</v>
      </c>
      <c r="J194" s="1">
        <f ca="1">IFERROR(__xludf.DUMMYFUNCTION("""COMPUTED_VALUE"""),66.5)</f>
        <v>66.5</v>
      </c>
      <c r="K194" s="1">
        <f ca="1">IFERROR(__xludf.DUMMYFUNCTION("""COMPUTED_VALUE"""),133)</f>
        <v>133</v>
      </c>
      <c r="L194" s="1">
        <f ca="1">IFERROR(__xludf.DUMMYFUNCTION("""COMPUTED_VALUE"""),-0.022)</f>
        <v>-2.1999999999999999E-2</v>
      </c>
      <c r="M194" s="1">
        <f ca="1">IFERROR(__xludf.DUMMYFUNCTION("""COMPUTED_VALUE"""),220)</f>
        <v>220</v>
      </c>
      <c r="N194" s="1" t="str">
        <f ca="1">IFERROR(__xludf.DUMMYFUNCTION("""COMPUTED_VALUE"""),"+2.04")</f>
        <v>+2.04</v>
      </c>
      <c r="O194" s="1">
        <f ca="1">IFERROR(__xludf.DUMMYFUNCTION("""COMPUTED_VALUE"""),123)</f>
        <v>123</v>
      </c>
      <c r="P194" s="1">
        <f ca="1">IFERROR(__xludf.DUMMYFUNCTION("""COMPUTED_VALUE"""),104.3)</f>
        <v>104.3</v>
      </c>
      <c r="Q194" s="1">
        <f ca="1">IFERROR(__xludf.DUMMYFUNCTION("""COMPUTED_VALUE"""),129)</f>
        <v>129</v>
      </c>
      <c r="R194" s="1">
        <f ca="1">IFERROR(__xludf.DUMMYFUNCTION("""COMPUTED_VALUE"""),102.3)</f>
        <v>102.3</v>
      </c>
      <c r="S194" s="1">
        <f ca="1">IFERROR(__xludf.DUMMYFUNCTION("""COMPUTED_VALUE"""),119)</f>
        <v>119</v>
      </c>
      <c r="T194" s="1">
        <f ca="1">IFERROR(__xludf.DUMMYFUNCTION("""COMPUTED_VALUE"""),-2.91)</f>
        <v>-2.91</v>
      </c>
      <c r="U194" s="1">
        <f ca="1">IFERROR(__xludf.DUMMYFUNCTION("""COMPUTED_VALUE"""),235)</f>
        <v>235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IFERROR(__xludf.DUMMYFUNCTION("""COMPUTED_VALUE"""),"American")</f>
        <v>American</v>
      </c>
      <c r="C195" s="1" t="str">
        <f ca="1">IFERROR(__xludf.DUMMYFUNCTION("""COMPUTED_VALUE"""),"Pat")</f>
        <v>Pat</v>
      </c>
      <c r="D195" s="1" t="str">
        <f ca="1">IFERROR(__xludf.DUMMYFUNCTION("""COMPUTED_VALUE"""),"18-13")</f>
        <v>18-13</v>
      </c>
      <c r="E195" s="1">
        <f ca="1">IFERROR(__xludf.DUMMYFUNCTION("""COMPUTED_VALUE"""),-3.16)</f>
        <v>-3.16</v>
      </c>
      <c r="F195" s="1">
        <f ca="1">IFERROR(__xludf.DUMMYFUNCTION("""COMPUTED_VALUE"""),102.7)</f>
        <v>102.7</v>
      </c>
      <c r="G195" s="1">
        <f ca="1">IFERROR(__xludf.DUMMYFUNCTION("""COMPUTED_VALUE"""),164)</f>
        <v>164</v>
      </c>
      <c r="H195" s="1">
        <f ca="1">IFERROR(__xludf.DUMMYFUNCTION("""COMPUTED_VALUE"""),105.8)</f>
        <v>105.8</v>
      </c>
      <c r="I195" s="1">
        <f ca="1">IFERROR(__xludf.DUMMYFUNCTION("""COMPUTED_VALUE"""),206)</f>
        <v>206</v>
      </c>
      <c r="J195" s="1">
        <f ca="1">IFERROR(__xludf.DUMMYFUNCTION("""COMPUTED_VALUE"""),63.4)</f>
        <v>63.4</v>
      </c>
      <c r="K195" s="1">
        <f ca="1">IFERROR(__xludf.DUMMYFUNCTION("""COMPUTED_VALUE"""),255)</f>
        <v>255</v>
      </c>
      <c r="L195" s="1">
        <f ca="1">IFERROR(__xludf.DUMMYFUNCTION("""COMPUTED_VALUE"""),-0.006)</f>
        <v>-6.0000000000000001E-3</v>
      </c>
      <c r="M195" s="1">
        <f ca="1">IFERROR(__xludf.DUMMYFUNCTION("""COMPUTED_VALUE"""),182)</f>
        <v>182</v>
      </c>
      <c r="N195" s="1">
        <f ca="1">IFERROR(__xludf.DUMMYFUNCTION("""COMPUTED_VALUE"""),-7.56)</f>
        <v>-7.56</v>
      </c>
      <c r="O195" s="1">
        <f ca="1">IFERROR(__xludf.DUMMYFUNCTION("""COMPUTED_VALUE"""),274)</f>
        <v>274</v>
      </c>
      <c r="P195" s="1">
        <f ca="1">IFERROR(__xludf.DUMMYFUNCTION("""COMPUTED_VALUE"""),98.2)</f>
        <v>98.2</v>
      </c>
      <c r="Q195" s="1">
        <f ca="1">IFERROR(__xludf.DUMMYFUNCTION("""COMPUTED_VALUE"""),284)</f>
        <v>284</v>
      </c>
      <c r="R195" s="1">
        <f ca="1">IFERROR(__xludf.DUMMYFUNCTION("""COMPUTED_VALUE"""),105.7)</f>
        <v>105.7</v>
      </c>
      <c r="S195" s="1">
        <f ca="1">IFERROR(__xludf.DUMMYFUNCTION("""COMPUTED_VALUE"""),253)</f>
        <v>253</v>
      </c>
      <c r="T195" s="1">
        <f ca="1">IFERROR(__xludf.DUMMYFUNCTION("""COMPUTED_VALUE"""),-1.27)</f>
        <v>-1.27</v>
      </c>
      <c r="U195" s="1">
        <f ca="1">IFERROR(__xludf.DUMMYFUNCTION("""COMPUTED_VALUE"""),198)</f>
        <v>198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IFERROR(__xludf.DUMMYFUNCTION("""COMPUTED_VALUE"""),"Northern Arizona")</f>
        <v>Northern Arizona</v>
      </c>
      <c r="C196" s="1" t="str">
        <f ca="1">IFERROR(__xludf.DUMMYFUNCTION("""COMPUTED_VALUE"""),"BSky")</f>
        <v>BSky</v>
      </c>
      <c r="D196" s="1" t="str">
        <f ca="1">IFERROR(__xludf.DUMMYFUNCTION("""COMPUTED_VALUE"""),"15-14")</f>
        <v>15-14</v>
      </c>
      <c r="E196" s="1">
        <f ca="1">IFERROR(__xludf.DUMMYFUNCTION("""COMPUTED_VALUE"""),-3.33)</f>
        <v>-3.33</v>
      </c>
      <c r="F196" s="1">
        <f ca="1">IFERROR(__xludf.DUMMYFUNCTION("""COMPUTED_VALUE"""),102.1)</f>
        <v>102.1</v>
      </c>
      <c r="G196" s="1">
        <f ca="1">IFERROR(__xludf.DUMMYFUNCTION("""COMPUTED_VALUE"""),175)</f>
        <v>175</v>
      </c>
      <c r="H196" s="1">
        <f ca="1">IFERROR(__xludf.DUMMYFUNCTION("""COMPUTED_VALUE"""),105.4)</f>
        <v>105.4</v>
      </c>
      <c r="I196" s="1">
        <f ca="1">IFERROR(__xludf.DUMMYFUNCTION("""COMPUTED_VALUE"""),197)</f>
        <v>197</v>
      </c>
      <c r="J196" s="1">
        <f ca="1">IFERROR(__xludf.DUMMYFUNCTION("""COMPUTED_VALUE"""),69.4)</f>
        <v>69.400000000000006</v>
      </c>
      <c r="K196" s="1">
        <f ca="1">IFERROR(__xludf.DUMMYFUNCTION("""COMPUTED_VALUE"""),38)</f>
        <v>38</v>
      </c>
      <c r="L196" s="1" t="str">
        <f ca="1">IFERROR(__xludf.DUMMYFUNCTION("""COMPUTED_VALUE"""),"+.017")</f>
        <v>+.017</v>
      </c>
      <c r="M196" s="1">
        <f ca="1">IFERROR(__xludf.DUMMYFUNCTION("""COMPUTED_VALUE"""),127)</f>
        <v>127</v>
      </c>
      <c r="N196" s="1">
        <f ca="1">IFERROR(__xludf.DUMMYFUNCTION("""COMPUTED_VALUE"""),-3.06)</f>
        <v>-3.06</v>
      </c>
      <c r="O196" s="1">
        <f ca="1">IFERROR(__xludf.DUMMYFUNCTION("""COMPUTED_VALUE"""),225)</f>
        <v>225</v>
      </c>
      <c r="P196" s="1">
        <f ca="1">IFERROR(__xludf.DUMMYFUNCTION("""COMPUTED_VALUE"""),102.7)</f>
        <v>102.7</v>
      </c>
      <c r="Q196" s="1">
        <f ca="1">IFERROR(__xludf.DUMMYFUNCTION("""COMPUTED_VALUE"""),198)</f>
        <v>198</v>
      </c>
      <c r="R196" s="1">
        <f ca="1">IFERROR(__xludf.DUMMYFUNCTION("""COMPUTED_VALUE"""),105.8)</f>
        <v>105.8</v>
      </c>
      <c r="S196" s="1">
        <f ca="1">IFERROR(__xludf.DUMMYFUNCTION("""COMPUTED_VALUE"""),257)</f>
        <v>257</v>
      </c>
      <c r="T196" s="1">
        <f ca="1">IFERROR(__xludf.DUMMYFUNCTION("""COMPUTED_VALUE"""),-0.15)</f>
        <v>-0.15</v>
      </c>
      <c r="U196" s="1">
        <f ca="1">IFERROR(__xludf.DUMMYFUNCTION("""COMPUTED_VALUE"""),169)</f>
        <v>169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IFERROR(__xludf.DUMMYFUNCTION("""COMPUTED_VALUE"""),"South Alabama")</f>
        <v>South Alabama</v>
      </c>
      <c r="C197" s="1" t="str">
        <f ca="1">IFERROR(__xludf.DUMMYFUNCTION("""COMPUTED_VALUE"""),"SB")</f>
        <v>SB</v>
      </c>
      <c r="D197" s="2">
        <f ca="1">IFERROR(__xludf.DUMMYFUNCTION("""COMPUTED_VALUE"""),44911)</f>
        <v>44911</v>
      </c>
      <c r="E197" s="1">
        <f ca="1">IFERROR(__xludf.DUMMYFUNCTION("""COMPUTED_VALUE"""),-3.39)</f>
        <v>-3.39</v>
      </c>
      <c r="F197" s="1">
        <f ca="1">IFERROR(__xludf.DUMMYFUNCTION("""COMPUTED_VALUE"""),103.1)</f>
        <v>103.1</v>
      </c>
      <c r="G197" s="1">
        <f ca="1">IFERROR(__xludf.DUMMYFUNCTION("""COMPUTED_VALUE"""),154)</f>
        <v>154</v>
      </c>
      <c r="H197" s="1">
        <f ca="1">IFERROR(__xludf.DUMMYFUNCTION("""COMPUTED_VALUE"""),106.4)</f>
        <v>106.4</v>
      </c>
      <c r="I197" s="1">
        <f ca="1">IFERROR(__xludf.DUMMYFUNCTION("""COMPUTED_VALUE"""),230)</f>
        <v>230</v>
      </c>
      <c r="J197" s="1">
        <f ca="1">IFERROR(__xludf.DUMMYFUNCTION("""COMPUTED_VALUE"""),63)</f>
        <v>63</v>
      </c>
      <c r="K197" s="1">
        <f ca="1">IFERROR(__xludf.DUMMYFUNCTION("""COMPUTED_VALUE"""),273)</f>
        <v>273</v>
      </c>
      <c r="L197" s="1">
        <f ca="1">IFERROR(__xludf.DUMMYFUNCTION("""COMPUTED_VALUE"""),-0.039)</f>
        <v>-3.9E-2</v>
      </c>
      <c r="M197" s="1">
        <f ca="1">IFERROR(__xludf.DUMMYFUNCTION("""COMPUTED_VALUE"""),253)</f>
        <v>253</v>
      </c>
      <c r="N197" s="1">
        <f ca="1">IFERROR(__xludf.DUMMYFUNCTION("""COMPUTED_VALUE"""),-0.35)</f>
        <v>-0.35</v>
      </c>
      <c r="O197" s="1">
        <f ca="1">IFERROR(__xludf.DUMMYFUNCTION("""COMPUTED_VALUE"""),166)</f>
        <v>166</v>
      </c>
      <c r="P197" s="1">
        <f ca="1">IFERROR(__xludf.DUMMYFUNCTION("""COMPUTED_VALUE"""),102.4)</f>
        <v>102.4</v>
      </c>
      <c r="Q197" s="1">
        <f ca="1">IFERROR(__xludf.DUMMYFUNCTION("""COMPUTED_VALUE"""),203)</f>
        <v>203</v>
      </c>
      <c r="R197" s="1">
        <f ca="1">IFERROR(__xludf.DUMMYFUNCTION("""COMPUTED_VALUE"""),102.7)</f>
        <v>102.7</v>
      </c>
      <c r="S197" s="1">
        <f ca="1">IFERROR(__xludf.DUMMYFUNCTION("""COMPUTED_VALUE"""),137)</f>
        <v>137</v>
      </c>
      <c r="T197" s="1" t="str">
        <f ca="1">IFERROR(__xludf.DUMMYFUNCTION("""COMPUTED_VALUE"""),"+1.36")</f>
        <v>+1.36</v>
      </c>
      <c r="U197" s="1">
        <f ca="1">IFERROR(__xludf.DUMMYFUNCTION("""COMPUTED_VALUE"""),129)</f>
        <v>129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IFERROR(__xludf.DUMMYFUNCTION("""COMPUTED_VALUE"""),"Ohio")</f>
        <v>Ohio</v>
      </c>
      <c r="C198" s="1" t="str">
        <f ca="1">IFERROR(__xludf.DUMMYFUNCTION("""COMPUTED_VALUE"""),"MAC")</f>
        <v>MAC</v>
      </c>
      <c r="D198" s="2">
        <f ca="1">IFERROR(__xludf.DUMMYFUNCTION("""COMPUTED_VALUE"""),44854)</f>
        <v>44854</v>
      </c>
      <c r="E198" s="1">
        <f ca="1">IFERROR(__xludf.DUMMYFUNCTION("""COMPUTED_VALUE"""),-3.41)</f>
        <v>-3.41</v>
      </c>
      <c r="F198" s="1">
        <f ca="1">IFERROR(__xludf.DUMMYFUNCTION("""COMPUTED_VALUE"""),101.2)</f>
        <v>101.2</v>
      </c>
      <c r="G198" s="1">
        <f ca="1">IFERROR(__xludf.DUMMYFUNCTION("""COMPUTED_VALUE"""),194)</f>
        <v>194</v>
      </c>
      <c r="H198" s="1">
        <f ca="1">IFERROR(__xludf.DUMMYFUNCTION("""COMPUTED_VALUE"""),104.6)</f>
        <v>104.6</v>
      </c>
      <c r="I198" s="1">
        <f ca="1">IFERROR(__xludf.DUMMYFUNCTION("""COMPUTED_VALUE"""),181)</f>
        <v>181</v>
      </c>
      <c r="J198" s="1">
        <f ca="1">IFERROR(__xludf.DUMMYFUNCTION("""COMPUTED_VALUE"""),64.3)</f>
        <v>64.3</v>
      </c>
      <c r="K198" s="1">
        <f ca="1">IFERROR(__xludf.DUMMYFUNCTION("""COMPUTED_VALUE"""),222)</f>
        <v>222</v>
      </c>
      <c r="L198" s="1">
        <f ca="1">IFERROR(__xludf.DUMMYFUNCTION("""COMPUTED_VALUE"""),-0.058)</f>
        <v>-5.8000000000000003E-2</v>
      </c>
      <c r="M198" s="1">
        <f ca="1">IFERROR(__xludf.DUMMYFUNCTION("""COMPUTED_VALUE"""),279)</f>
        <v>279</v>
      </c>
      <c r="N198" s="1">
        <f ca="1">IFERROR(__xludf.DUMMYFUNCTION("""COMPUTED_VALUE"""),-0.14)</f>
        <v>-0.14000000000000001</v>
      </c>
      <c r="O198" s="1">
        <f ca="1">IFERROR(__xludf.DUMMYFUNCTION("""COMPUTED_VALUE"""),157)</f>
        <v>157</v>
      </c>
      <c r="P198" s="1">
        <f ca="1">IFERROR(__xludf.DUMMYFUNCTION("""COMPUTED_VALUE"""),103.7)</f>
        <v>103.7</v>
      </c>
      <c r="Q198" s="1">
        <f ca="1">IFERROR(__xludf.DUMMYFUNCTION("""COMPUTED_VALUE"""),151)</f>
        <v>151</v>
      </c>
      <c r="R198" s="1">
        <f ca="1">IFERROR(__xludf.DUMMYFUNCTION("""COMPUTED_VALUE"""),103.8)</f>
        <v>103.8</v>
      </c>
      <c r="S198" s="1">
        <f ca="1">IFERROR(__xludf.DUMMYFUNCTION("""COMPUTED_VALUE"""),169)</f>
        <v>169</v>
      </c>
      <c r="T198" s="1">
        <f ca="1">IFERROR(__xludf.DUMMYFUNCTION("""COMPUTED_VALUE"""),-1.49)</f>
        <v>-1.49</v>
      </c>
      <c r="U198" s="1">
        <f ca="1">IFERROR(__xludf.DUMMYFUNCTION("""COMPUTED_VALUE"""),203)</f>
        <v>203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IFERROR(__xludf.DUMMYFUNCTION("""COMPUTED_VALUE"""),"Texas A&amp;M")</f>
        <v>Texas A&amp;M</v>
      </c>
      <c r="C199" s="1" t="str">
        <f ca="1">IFERROR(__xludf.DUMMYFUNCTION("""COMPUTED_VALUE"""),"B12")</f>
        <v>B12</v>
      </c>
      <c r="D199" s="2">
        <f ca="1">IFERROR(__xludf.DUMMYFUNCTION("""COMPUTED_VALUE"""),44763)</f>
        <v>44763</v>
      </c>
      <c r="E199" s="1">
        <f ca="1">IFERROR(__xludf.DUMMYFUNCTION("""COMPUTED_VALUE"""),-3.58)</f>
        <v>-3.58</v>
      </c>
      <c r="F199" s="1">
        <f ca="1">IFERROR(__xludf.DUMMYFUNCTION("""COMPUTED_VALUE"""),105.6)</f>
        <v>105.6</v>
      </c>
      <c r="G199" s="1">
        <f ca="1">IFERROR(__xludf.DUMMYFUNCTION("""COMPUTED_VALUE"""),114)</f>
        <v>114</v>
      </c>
      <c r="H199" s="1">
        <f ca="1">IFERROR(__xludf.DUMMYFUNCTION("""COMPUTED_VALUE"""),109.2)</f>
        <v>109.2</v>
      </c>
      <c r="I199" s="1">
        <f ca="1">IFERROR(__xludf.DUMMYFUNCTION("""COMPUTED_VALUE"""),278)</f>
        <v>278</v>
      </c>
      <c r="J199" s="1">
        <f ca="1">IFERROR(__xludf.DUMMYFUNCTION("""COMPUTED_VALUE"""),66.8)</f>
        <v>66.8</v>
      </c>
      <c r="K199" s="1">
        <f ca="1">IFERROR(__xludf.DUMMYFUNCTION("""COMPUTED_VALUE"""),121)</f>
        <v>121</v>
      </c>
      <c r="L199" s="1">
        <f ca="1">IFERROR(__xludf.DUMMYFUNCTION("""COMPUTED_VALUE"""),-0.131)</f>
        <v>-0.13100000000000001</v>
      </c>
      <c r="M199" s="1">
        <f ca="1">IFERROR(__xludf.DUMMYFUNCTION("""COMPUTED_VALUE"""),324)</f>
        <v>324</v>
      </c>
      <c r="N199" s="1" t="str">
        <f ca="1">IFERROR(__xludf.DUMMYFUNCTION("""COMPUTED_VALUE"""),"+4.45")</f>
        <v>+4.45</v>
      </c>
      <c r="O199" s="1">
        <f ca="1">IFERROR(__xludf.DUMMYFUNCTION("""COMPUTED_VALUE"""),88)</f>
        <v>88</v>
      </c>
      <c r="P199" s="1">
        <f ca="1">IFERROR(__xludf.DUMMYFUNCTION("""COMPUTED_VALUE"""),105.2)</f>
        <v>105.2</v>
      </c>
      <c r="Q199" s="1">
        <f ca="1">IFERROR(__xludf.DUMMYFUNCTION("""COMPUTED_VALUE"""),102)</f>
        <v>102</v>
      </c>
      <c r="R199" s="1">
        <f ca="1">IFERROR(__xludf.DUMMYFUNCTION("""COMPUTED_VALUE"""),100.7)</f>
        <v>100.7</v>
      </c>
      <c r="S199" s="1">
        <f ca="1">IFERROR(__xludf.DUMMYFUNCTION("""COMPUTED_VALUE"""),73)</f>
        <v>73</v>
      </c>
      <c r="T199" s="1">
        <f ca="1">IFERROR(__xludf.DUMMYFUNCTION("""COMPUTED_VALUE"""),-13.03)</f>
        <v>-13.03</v>
      </c>
      <c r="U199" s="1">
        <f ca="1">IFERROR(__xludf.DUMMYFUNCTION("""COMPUTED_VALUE"""),324)</f>
        <v>324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IFERROR(__xludf.DUMMYFUNCTION("""COMPUTED_VALUE"""),"Indiana St.")</f>
        <v>Indiana St.</v>
      </c>
      <c r="C200" s="1" t="str">
        <f ca="1">IFERROR(__xludf.DUMMYFUNCTION("""COMPUTED_VALUE"""),"MVC")</f>
        <v>MVC</v>
      </c>
      <c r="D200" s="2">
        <f ca="1">IFERROR(__xludf.DUMMYFUNCTION("""COMPUTED_VALUE"""),44823)</f>
        <v>44823</v>
      </c>
      <c r="E200" s="1">
        <f ca="1">IFERROR(__xludf.DUMMYFUNCTION("""COMPUTED_VALUE"""),-3.69)</f>
        <v>-3.69</v>
      </c>
      <c r="F200" s="1">
        <f ca="1">IFERROR(__xludf.DUMMYFUNCTION("""COMPUTED_VALUE"""),97)</f>
        <v>97</v>
      </c>
      <c r="G200" s="1">
        <f ca="1">IFERROR(__xludf.DUMMYFUNCTION("""COMPUTED_VALUE"""),269)</f>
        <v>269</v>
      </c>
      <c r="H200" s="1">
        <f ca="1">IFERROR(__xludf.DUMMYFUNCTION("""COMPUTED_VALUE"""),100.7)</f>
        <v>100.7</v>
      </c>
      <c r="I200" s="1">
        <f ca="1">IFERROR(__xludf.DUMMYFUNCTION("""COMPUTED_VALUE"""),115)</f>
        <v>115</v>
      </c>
      <c r="J200" s="1">
        <f ca="1">IFERROR(__xludf.DUMMYFUNCTION("""COMPUTED_VALUE"""),59.9)</f>
        <v>59.9</v>
      </c>
      <c r="K200" s="1">
        <f ca="1">IFERROR(__xludf.DUMMYFUNCTION("""COMPUTED_VALUE"""),312)</f>
        <v>312</v>
      </c>
      <c r="L200" s="1">
        <f ca="1">IFERROR(__xludf.DUMMYFUNCTION("""COMPUTED_VALUE"""),-0.069)</f>
        <v>-6.9000000000000006E-2</v>
      </c>
      <c r="M200" s="1">
        <f ca="1">IFERROR(__xludf.DUMMYFUNCTION("""COMPUTED_VALUE"""),294)</f>
        <v>294</v>
      </c>
      <c r="N200" s="1" t="str">
        <f ca="1">IFERROR(__xludf.DUMMYFUNCTION("""COMPUTED_VALUE"""),"+1.72")</f>
        <v>+1.72</v>
      </c>
      <c r="O200" s="1">
        <f ca="1">IFERROR(__xludf.DUMMYFUNCTION("""COMPUTED_VALUE"""),127)</f>
        <v>127</v>
      </c>
      <c r="P200" s="1">
        <f ca="1">IFERROR(__xludf.DUMMYFUNCTION("""COMPUTED_VALUE"""),104.2)</f>
        <v>104.2</v>
      </c>
      <c r="Q200" s="1">
        <f ca="1">IFERROR(__xludf.DUMMYFUNCTION("""COMPUTED_VALUE"""),135)</f>
        <v>135</v>
      </c>
      <c r="R200" s="1">
        <f ca="1">IFERROR(__xludf.DUMMYFUNCTION("""COMPUTED_VALUE"""),102.5)</f>
        <v>102.5</v>
      </c>
      <c r="S200" s="1">
        <f ca="1">IFERROR(__xludf.DUMMYFUNCTION("""COMPUTED_VALUE"""),131)</f>
        <v>131</v>
      </c>
      <c r="T200" s="1">
        <f ca="1">IFERROR(__xludf.DUMMYFUNCTION("""COMPUTED_VALUE"""),-2.4)</f>
        <v>-2.4</v>
      </c>
      <c r="U200" s="1">
        <f ca="1">IFERROR(__xludf.DUMMYFUNCTION("""COMPUTED_VALUE"""),225)</f>
        <v>225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IFERROR(__xludf.DUMMYFUNCTION("""COMPUTED_VALUE"""),"Loyola Chicago")</f>
        <v>Loyola Chicago</v>
      </c>
      <c r="C201" s="1" t="str">
        <f ca="1">IFERROR(__xludf.DUMMYFUNCTION("""COMPUTED_VALUE"""),"Horz")</f>
        <v>Horz</v>
      </c>
      <c r="D201" s="2">
        <f ca="1">IFERROR(__xludf.DUMMYFUNCTION("""COMPUTED_VALUE"""),44824)</f>
        <v>44824</v>
      </c>
      <c r="E201" s="1">
        <f ca="1">IFERROR(__xludf.DUMMYFUNCTION("""COMPUTED_VALUE"""),-3.94)</f>
        <v>-3.94</v>
      </c>
      <c r="F201" s="1">
        <f ca="1">IFERROR(__xludf.DUMMYFUNCTION("""COMPUTED_VALUE"""),101)</f>
        <v>101</v>
      </c>
      <c r="G201" s="1">
        <f ca="1">IFERROR(__xludf.DUMMYFUNCTION("""COMPUTED_VALUE"""),198)</f>
        <v>198</v>
      </c>
      <c r="H201" s="1">
        <f ca="1">IFERROR(__xludf.DUMMYFUNCTION("""COMPUTED_VALUE"""),104.9)</f>
        <v>104.9</v>
      </c>
      <c r="I201" s="1">
        <f ca="1">IFERROR(__xludf.DUMMYFUNCTION("""COMPUTED_VALUE"""),189)</f>
        <v>189</v>
      </c>
      <c r="J201" s="1">
        <f ca="1">IFERROR(__xludf.DUMMYFUNCTION("""COMPUTED_VALUE"""),69.8)</f>
        <v>69.8</v>
      </c>
      <c r="K201" s="1">
        <f ca="1">IFERROR(__xludf.DUMMYFUNCTION("""COMPUTED_VALUE"""),31)</f>
        <v>31</v>
      </c>
      <c r="L201" s="1" t="str">
        <f ca="1">IFERROR(__xludf.DUMMYFUNCTION("""COMPUTED_VALUE"""),"+.008")</f>
        <v>+.008</v>
      </c>
      <c r="M201" s="1">
        <f ca="1">IFERROR(__xludf.DUMMYFUNCTION("""COMPUTED_VALUE"""),147)</f>
        <v>147</v>
      </c>
      <c r="N201" s="1" t="str">
        <f ca="1">IFERROR(__xludf.DUMMYFUNCTION("""COMPUTED_VALUE"""),"+2.92")</f>
        <v>+2.92</v>
      </c>
      <c r="O201" s="1">
        <f ca="1">IFERROR(__xludf.DUMMYFUNCTION("""COMPUTED_VALUE"""),110)</f>
        <v>110</v>
      </c>
      <c r="P201" s="1">
        <f ca="1">IFERROR(__xludf.DUMMYFUNCTION("""COMPUTED_VALUE"""),105.3)</f>
        <v>105.3</v>
      </c>
      <c r="Q201" s="1">
        <f ca="1">IFERROR(__xludf.DUMMYFUNCTION("""COMPUTED_VALUE"""),100)</f>
        <v>100</v>
      </c>
      <c r="R201" s="1">
        <f ca="1">IFERROR(__xludf.DUMMYFUNCTION("""COMPUTED_VALUE"""),102.3)</f>
        <v>102.3</v>
      </c>
      <c r="S201" s="1">
        <f ca="1">IFERROR(__xludf.DUMMYFUNCTION("""COMPUTED_VALUE"""),123)</f>
        <v>123</v>
      </c>
      <c r="T201" s="1" t="str">
        <f ca="1">IFERROR(__xludf.DUMMYFUNCTION("""COMPUTED_VALUE"""),"+5.50")</f>
        <v>+5.50</v>
      </c>
      <c r="U201" s="1">
        <f ca="1">IFERROR(__xludf.DUMMYFUNCTION("""COMPUTED_VALUE"""),43)</f>
        <v>43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IFERROR(__xludf.DUMMYFUNCTION("""COMPUTED_VALUE"""),"Southeastern Louisiana")</f>
        <v>Southeastern Louisiana</v>
      </c>
      <c r="C202" s="1" t="str">
        <f ca="1">IFERROR(__xludf.DUMMYFUNCTION("""COMPUTED_VALUE"""),"Slnd")</f>
        <v>Slnd</v>
      </c>
      <c r="D202" s="1" t="str">
        <f ca="1">IFERROR(__xludf.DUMMYFUNCTION("""COMPUTED_VALUE"""),"20-9")</f>
        <v>20-9</v>
      </c>
      <c r="E202" s="1">
        <f ca="1">IFERROR(__xludf.DUMMYFUNCTION("""COMPUTED_VALUE"""),-3.96)</f>
        <v>-3.96</v>
      </c>
      <c r="F202" s="1">
        <f ca="1">IFERROR(__xludf.DUMMYFUNCTION("""COMPUTED_VALUE"""),101.4)</f>
        <v>101.4</v>
      </c>
      <c r="G202" s="1">
        <f ca="1">IFERROR(__xludf.DUMMYFUNCTION("""COMPUTED_VALUE"""),192)</f>
        <v>192</v>
      </c>
      <c r="H202" s="1">
        <f ca="1">IFERROR(__xludf.DUMMYFUNCTION("""COMPUTED_VALUE"""),105.3)</f>
        <v>105.3</v>
      </c>
      <c r="I202" s="1">
        <f ca="1">IFERROR(__xludf.DUMMYFUNCTION("""COMPUTED_VALUE"""),194)</f>
        <v>194</v>
      </c>
      <c r="J202" s="1">
        <f ca="1">IFERROR(__xludf.DUMMYFUNCTION("""COMPUTED_VALUE"""),66.2)</f>
        <v>66.2</v>
      </c>
      <c r="K202" s="1">
        <f ca="1">IFERROR(__xludf.DUMMYFUNCTION("""COMPUTED_VALUE"""),147)</f>
        <v>147</v>
      </c>
      <c r="L202" s="1" t="str">
        <f ca="1">IFERROR(__xludf.DUMMYFUNCTION("""COMPUTED_VALUE"""),"+.021")</f>
        <v>+.021</v>
      </c>
      <c r="M202" s="1">
        <f ca="1">IFERROR(__xludf.DUMMYFUNCTION("""COMPUTED_VALUE"""),113)</f>
        <v>113</v>
      </c>
      <c r="N202" s="1">
        <f ca="1">IFERROR(__xludf.DUMMYFUNCTION("""COMPUTED_VALUE"""),-8.86)</f>
        <v>-8.86</v>
      </c>
      <c r="O202" s="1">
        <f ca="1">IFERROR(__xludf.DUMMYFUNCTION("""COMPUTED_VALUE"""),292)</f>
        <v>292</v>
      </c>
      <c r="P202" s="1">
        <f ca="1">IFERROR(__xludf.DUMMYFUNCTION("""COMPUTED_VALUE"""),98)</f>
        <v>98</v>
      </c>
      <c r="Q202" s="1">
        <f ca="1">IFERROR(__xludf.DUMMYFUNCTION("""COMPUTED_VALUE"""),288)</f>
        <v>288</v>
      </c>
      <c r="R202" s="1">
        <f ca="1">IFERROR(__xludf.DUMMYFUNCTION("""COMPUTED_VALUE"""),106.9)</f>
        <v>106.9</v>
      </c>
      <c r="S202" s="1">
        <f ca="1">IFERROR(__xludf.DUMMYFUNCTION("""COMPUTED_VALUE"""),297)</f>
        <v>297</v>
      </c>
      <c r="T202" s="1">
        <f ca="1">IFERROR(__xludf.DUMMYFUNCTION("""COMPUTED_VALUE"""),-4.27)</f>
        <v>-4.2699999999999996</v>
      </c>
      <c r="U202" s="1">
        <f ca="1">IFERROR(__xludf.DUMMYFUNCTION("""COMPUTED_VALUE"""),254)</f>
        <v>254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IFERROR(__xludf.DUMMYFUNCTION("""COMPUTED_VALUE"""),"Iona")</f>
        <v>Iona</v>
      </c>
      <c r="C203" s="1" t="str">
        <f ca="1">IFERROR(__xludf.DUMMYFUNCTION("""COMPUTED_VALUE"""),"MAAC")</f>
        <v>MAAC</v>
      </c>
      <c r="D203" s="2">
        <f ca="1">IFERROR(__xludf.DUMMYFUNCTION("""COMPUTED_VALUE"""),44883)</f>
        <v>44883</v>
      </c>
      <c r="E203" s="1">
        <f ca="1">IFERROR(__xludf.DUMMYFUNCTION("""COMPUTED_VALUE"""),-3.98)</f>
        <v>-3.98</v>
      </c>
      <c r="F203" s="1">
        <f ca="1">IFERROR(__xludf.DUMMYFUNCTION("""COMPUTED_VALUE"""),101.6)</f>
        <v>101.6</v>
      </c>
      <c r="G203" s="1">
        <f ca="1">IFERROR(__xludf.DUMMYFUNCTION("""COMPUTED_VALUE"""),187)</f>
        <v>187</v>
      </c>
      <c r="H203" s="1">
        <f ca="1">IFERROR(__xludf.DUMMYFUNCTION("""COMPUTED_VALUE"""),105.6)</f>
        <v>105.6</v>
      </c>
      <c r="I203" s="1">
        <f ca="1">IFERROR(__xludf.DUMMYFUNCTION("""COMPUTED_VALUE"""),199)</f>
        <v>199</v>
      </c>
      <c r="J203" s="1">
        <f ca="1">IFERROR(__xludf.DUMMYFUNCTION("""COMPUTED_VALUE"""),69.2)</f>
        <v>69.2</v>
      </c>
      <c r="K203" s="1">
        <f ca="1">IFERROR(__xludf.DUMMYFUNCTION("""COMPUTED_VALUE"""),45)</f>
        <v>45</v>
      </c>
      <c r="L203" s="1">
        <f ca="1">IFERROR(__xludf.DUMMYFUNCTION("""COMPUTED_VALUE"""),-0.051)</f>
        <v>-5.0999999999999997E-2</v>
      </c>
      <c r="M203" s="1">
        <f ca="1">IFERROR(__xludf.DUMMYFUNCTION("""COMPUTED_VALUE"""),270)</f>
        <v>270</v>
      </c>
      <c r="N203" s="1">
        <f ca="1">IFERROR(__xludf.DUMMYFUNCTION("""COMPUTED_VALUE"""),-1.75)</f>
        <v>-1.75</v>
      </c>
      <c r="O203" s="1">
        <f ca="1">IFERROR(__xludf.DUMMYFUNCTION("""COMPUTED_VALUE"""),192)</f>
        <v>192</v>
      </c>
      <c r="P203" s="1">
        <f ca="1">IFERROR(__xludf.DUMMYFUNCTION("""COMPUTED_VALUE"""),102.3)</f>
        <v>102.3</v>
      </c>
      <c r="Q203" s="1">
        <f ca="1">IFERROR(__xludf.DUMMYFUNCTION("""COMPUTED_VALUE"""),205)</f>
        <v>205</v>
      </c>
      <c r="R203" s="1">
        <f ca="1">IFERROR(__xludf.DUMMYFUNCTION("""COMPUTED_VALUE"""),104.1)</f>
        <v>104.1</v>
      </c>
      <c r="S203" s="1">
        <f ca="1">IFERROR(__xludf.DUMMYFUNCTION("""COMPUTED_VALUE"""),185)</f>
        <v>185</v>
      </c>
      <c r="T203" s="1" t="str">
        <f ca="1">IFERROR(__xludf.DUMMYFUNCTION("""COMPUTED_VALUE"""),"+2.89")</f>
        <v>+2.89</v>
      </c>
      <c r="U203" s="1">
        <f ca="1">IFERROR(__xludf.DUMMYFUNCTION("""COMPUTED_VALUE"""),75)</f>
        <v>75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IFERROR(__xludf.DUMMYFUNCTION("""COMPUTED_VALUE"""),"Monmouth15")</f>
        <v>Monmouth15</v>
      </c>
      <c r="C204" s="1" t="str">
        <f ca="1">IFERROR(__xludf.DUMMYFUNCTION("""COMPUTED_VALUE"""),"NEC")</f>
        <v>NEC</v>
      </c>
      <c r="D204" s="1" t="str">
        <f ca="1">IFERROR(__xludf.DUMMYFUNCTION("""COMPUTED_VALUE"""),"21-12")</f>
        <v>21-12</v>
      </c>
      <c r="E204" s="1">
        <f ca="1">IFERROR(__xludf.DUMMYFUNCTION("""COMPUTED_VALUE"""),-3.99)</f>
        <v>-3.99</v>
      </c>
      <c r="F204" s="1">
        <f ca="1">IFERROR(__xludf.DUMMYFUNCTION("""COMPUTED_VALUE"""),98.1)</f>
        <v>98.1</v>
      </c>
      <c r="G204" s="1">
        <f ca="1">IFERROR(__xludf.DUMMYFUNCTION("""COMPUTED_VALUE"""),251)</f>
        <v>251</v>
      </c>
      <c r="H204" s="1">
        <f ca="1">IFERROR(__xludf.DUMMYFUNCTION("""COMPUTED_VALUE"""),102.1)</f>
        <v>102.1</v>
      </c>
      <c r="I204" s="1">
        <f ca="1">IFERROR(__xludf.DUMMYFUNCTION("""COMPUTED_VALUE"""),145)</f>
        <v>145</v>
      </c>
      <c r="J204" s="1">
        <f ca="1">IFERROR(__xludf.DUMMYFUNCTION("""COMPUTED_VALUE"""),66)</f>
        <v>66</v>
      </c>
      <c r="K204" s="1">
        <f ca="1">IFERROR(__xludf.DUMMYFUNCTION("""COMPUTED_VALUE"""),155)</f>
        <v>155</v>
      </c>
      <c r="L204" s="1" t="str">
        <f ca="1">IFERROR(__xludf.DUMMYFUNCTION("""COMPUTED_VALUE"""),"+.112")</f>
        <v>+.112</v>
      </c>
      <c r="M204" s="1">
        <f ca="1">IFERROR(__xludf.DUMMYFUNCTION("""COMPUTED_VALUE"""),5)</f>
        <v>5</v>
      </c>
      <c r="N204" s="1">
        <f ca="1">IFERROR(__xludf.DUMMYFUNCTION("""COMPUTED_VALUE"""),-6.71)</f>
        <v>-6.71</v>
      </c>
      <c r="O204" s="1">
        <f ca="1">IFERROR(__xludf.DUMMYFUNCTION("""COMPUTED_VALUE"""),264)</f>
        <v>264</v>
      </c>
      <c r="P204" s="1">
        <f ca="1">IFERROR(__xludf.DUMMYFUNCTION("""COMPUTED_VALUE"""),100.6)</f>
        <v>100.6</v>
      </c>
      <c r="Q204" s="1">
        <f ca="1">IFERROR(__xludf.DUMMYFUNCTION("""COMPUTED_VALUE"""),246)</f>
        <v>246</v>
      </c>
      <c r="R204" s="1">
        <f ca="1">IFERROR(__xludf.DUMMYFUNCTION("""COMPUTED_VALUE"""),107.3)</f>
        <v>107.3</v>
      </c>
      <c r="S204" s="1">
        <f ca="1">IFERROR(__xludf.DUMMYFUNCTION("""COMPUTED_VALUE"""),308)</f>
        <v>308</v>
      </c>
      <c r="T204" s="1" t="str">
        <f ca="1">IFERROR(__xludf.DUMMYFUNCTION("""COMPUTED_VALUE"""),"+2.53")</f>
        <v>+2.53</v>
      </c>
      <c r="U204" s="1">
        <f ca="1">IFERROR(__xludf.DUMMYFUNCTION("""COMPUTED_VALUE"""),88)</f>
        <v>88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IFERROR(__xludf.DUMMYFUNCTION("""COMPUTED_VALUE"""),"Yale")</f>
        <v>Yale</v>
      </c>
      <c r="C205" s="1" t="str">
        <f ca="1">IFERROR(__xludf.DUMMYFUNCTION("""COMPUTED_VALUE"""),"Ivy")</f>
        <v>Ivy</v>
      </c>
      <c r="D205" s="2">
        <f ca="1">IFERROR(__xludf.DUMMYFUNCTION("""COMPUTED_VALUE"""),44910)</f>
        <v>44910</v>
      </c>
      <c r="E205" s="1">
        <f ca="1">IFERROR(__xludf.DUMMYFUNCTION("""COMPUTED_VALUE"""),-4.07)</f>
        <v>-4.07</v>
      </c>
      <c r="F205" s="1">
        <f ca="1">IFERROR(__xludf.DUMMYFUNCTION("""COMPUTED_VALUE"""),99.7)</f>
        <v>99.7</v>
      </c>
      <c r="G205" s="1">
        <f ca="1">IFERROR(__xludf.DUMMYFUNCTION("""COMPUTED_VALUE"""),223)</f>
        <v>223</v>
      </c>
      <c r="H205" s="1">
        <f ca="1">IFERROR(__xludf.DUMMYFUNCTION("""COMPUTED_VALUE"""),103.8)</f>
        <v>103.8</v>
      </c>
      <c r="I205" s="1">
        <f ca="1">IFERROR(__xludf.DUMMYFUNCTION("""COMPUTED_VALUE"""),175)</f>
        <v>175</v>
      </c>
      <c r="J205" s="1">
        <f ca="1">IFERROR(__xludf.DUMMYFUNCTION("""COMPUTED_VALUE"""),62.8)</f>
        <v>62.8</v>
      </c>
      <c r="K205" s="1">
        <f ca="1">IFERROR(__xludf.DUMMYFUNCTION("""COMPUTED_VALUE"""),276)</f>
        <v>276</v>
      </c>
      <c r="L205" s="1">
        <f ca="1">IFERROR(__xludf.DUMMYFUNCTION("""COMPUTED_VALUE"""),-0.038)</f>
        <v>-3.7999999999999999E-2</v>
      </c>
      <c r="M205" s="1">
        <f ca="1">IFERROR(__xludf.DUMMYFUNCTION("""COMPUTED_VALUE"""),249)</f>
        <v>249</v>
      </c>
      <c r="N205" s="1">
        <f ca="1">IFERROR(__xludf.DUMMYFUNCTION("""COMPUTED_VALUE"""),-2.41)</f>
        <v>-2.41</v>
      </c>
      <c r="O205" s="1">
        <f ca="1">IFERROR(__xludf.DUMMYFUNCTION("""COMPUTED_VALUE"""),215)</f>
        <v>215</v>
      </c>
      <c r="P205" s="1">
        <f ca="1">IFERROR(__xludf.DUMMYFUNCTION("""COMPUTED_VALUE"""),101.9)</f>
        <v>101.9</v>
      </c>
      <c r="Q205" s="1">
        <f ca="1">IFERROR(__xludf.DUMMYFUNCTION("""COMPUTED_VALUE"""),222)</f>
        <v>222</v>
      </c>
      <c r="R205" s="1">
        <f ca="1">IFERROR(__xludf.DUMMYFUNCTION("""COMPUTED_VALUE"""),104.3)</f>
        <v>104.3</v>
      </c>
      <c r="S205" s="1">
        <f ca="1">IFERROR(__xludf.DUMMYFUNCTION("""COMPUTED_VALUE"""),191)</f>
        <v>191</v>
      </c>
      <c r="T205" s="1" t="str">
        <f ca="1">IFERROR(__xludf.DUMMYFUNCTION("""COMPUTED_VALUE"""),"+4.35")</f>
        <v>+4.35</v>
      </c>
      <c r="U205" s="1">
        <f ca="1">IFERROR(__xludf.DUMMYFUNCTION("""COMPUTED_VALUE"""),56)</f>
        <v>56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IFERROR(__xludf.DUMMYFUNCTION("""COMPUTED_VALUE"""),"UC Riverside")</f>
        <v>UC Riverside</v>
      </c>
      <c r="C206" s="1" t="str">
        <f ca="1">IFERROR(__xludf.DUMMYFUNCTION("""COMPUTED_VALUE"""),"BW")</f>
        <v>BW</v>
      </c>
      <c r="D206" s="2">
        <f ca="1">IFERROR(__xludf.DUMMYFUNCTION("""COMPUTED_VALUE"""),44882)</f>
        <v>44882</v>
      </c>
      <c r="E206" s="1">
        <f ca="1">IFERROR(__xludf.DUMMYFUNCTION("""COMPUTED_VALUE"""),-4.12)</f>
        <v>-4.12</v>
      </c>
      <c r="F206" s="1">
        <f ca="1">IFERROR(__xludf.DUMMYFUNCTION("""COMPUTED_VALUE"""),101.9)</f>
        <v>101.9</v>
      </c>
      <c r="G206" s="1">
        <f ca="1">IFERROR(__xludf.DUMMYFUNCTION("""COMPUTED_VALUE"""),181)</f>
        <v>181</v>
      </c>
      <c r="H206" s="1">
        <f ca="1">IFERROR(__xludf.DUMMYFUNCTION("""COMPUTED_VALUE"""),106)</f>
        <v>106</v>
      </c>
      <c r="I206" s="1">
        <f ca="1">IFERROR(__xludf.DUMMYFUNCTION("""COMPUTED_VALUE"""),209)</f>
        <v>209</v>
      </c>
      <c r="J206" s="1">
        <f ca="1">IFERROR(__xludf.DUMMYFUNCTION("""COMPUTED_VALUE"""),64.8)</f>
        <v>64.8</v>
      </c>
      <c r="K206" s="1">
        <f ca="1">IFERROR(__xludf.DUMMYFUNCTION("""COMPUTED_VALUE"""),204)</f>
        <v>204</v>
      </c>
      <c r="L206" s="1">
        <f ca="1">IFERROR(__xludf.DUMMYFUNCTION("""COMPUTED_VALUE"""),-0.007)</f>
        <v>-7.0000000000000001E-3</v>
      </c>
      <c r="M206" s="1">
        <f ca="1">IFERROR(__xludf.DUMMYFUNCTION("""COMPUTED_VALUE"""),184)</f>
        <v>184</v>
      </c>
      <c r="N206" s="1">
        <f ca="1">IFERROR(__xludf.DUMMYFUNCTION("""COMPUTED_VALUE"""),-0.2)</f>
        <v>-0.2</v>
      </c>
      <c r="O206" s="1">
        <f ca="1">IFERROR(__xludf.DUMMYFUNCTION("""COMPUTED_VALUE"""),160)</f>
        <v>160</v>
      </c>
      <c r="P206" s="1">
        <f ca="1">IFERROR(__xludf.DUMMYFUNCTION("""COMPUTED_VALUE"""),103.3)</f>
        <v>103.3</v>
      </c>
      <c r="Q206" s="1">
        <f ca="1">IFERROR(__xludf.DUMMYFUNCTION("""COMPUTED_VALUE"""),169)</f>
        <v>169</v>
      </c>
      <c r="R206" s="1">
        <f ca="1">IFERROR(__xludf.DUMMYFUNCTION("""COMPUTED_VALUE"""),103.5)</f>
        <v>103.5</v>
      </c>
      <c r="S206" s="1">
        <f ca="1">IFERROR(__xludf.DUMMYFUNCTION("""COMPUTED_VALUE"""),157)</f>
        <v>157</v>
      </c>
      <c r="T206" s="1" t="str">
        <f ca="1">IFERROR(__xludf.DUMMYFUNCTION("""COMPUTED_VALUE"""),"+3.78")</f>
        <v>+3.78</v>
      </c>
      <c r="U206" s="1">
        <f ca="1">IFERROR(__xludf.DUMMYFUNCTION("""COMPUTED_VALUE"""),63)</f>
        <v>63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IFERROR(__xludf.DUMMYFUNCTION("""COMPUTED_VALUE"""),"Eastern Kentucky")</f>
        <v>Eastern Kentucky</v>
      </c>
      <c r="C207" s="1" t="str">
        <f ca="1">IFERROR(__xludf.DUMMYFUNCTION("""COMPUTED_VALUE"""),"OVC")</f>
        <v>OVC</v>
      </c>
      <c r="D207" s="1" t="str">
        <f ca="1">IFERROR(__xludf.DUMMYFUNCTION("""COMPUTED_VALUE"""),"14-15")</f>
        <v>14-15</v>
      </c>
      <c r="E207" s="1">
        <f ca="1">IFERROR(__xludf.DUMMYFUNCTION("""COMPUTED_VALUE"""),-4.18)</f>
        <v>-4.18</v>
      </c>
      <c r="F207" s="1">
        <f ca="1">IFERROR(__xludf.DUMMYFUNCTION("""COMPUTED_VALUE"""),102.2)</f>
        <v>102.2</v>
      </c>
      <c r="G207" s="1">
        <f ca="1">IFERROR(__xludf.DUMMYFUNCTION("""COMPUTED_VALUE"""),172)</f>
        <v>172</v>
      </c>
      <c r="H207" s="1">
        <f ca="1">IFERROR(__xludf.DUMMYFUNCTION("""COMPUTED_VALUE"""),106.4)</f>
        <v>106.4</v>
      </c>
      <c r="I207" s="1">
        <f ca="1">IFERROR(__xludf.DUMMYFUNCTION("""COMPUTED_VALUE"""),227)</f>
        <v>227</v>
      </c>
      <c r="J207" s="1">
        <f ca="1">IFERROR(__xludf.DUMMYFUNCTION("""COMPUTED_VALUE"""),67.2)</f>
        <v>67.2</v>
      </c>
      <c r="K207" s="1">
        <f ca="1">IFERROR(__xludf.DUMMYFUNCTION("""COMPUTED_VALUE"""),115)</f>
        <v>115</v>
      </c>
      <c r="L207" s="1">
        <f ca="1">IFERROR(__xludf.DUMMYFUNCTION("""COMPUTED_VALUE"""),-0.05)</f>
        <v>-0.05</v>
      </c>
      <c r="M207" s="1">
        <f ca="1">IFERROR(__xludf.DUMMYFUNCTION("""COMPUTED_VALUE"""),268)</f>
        <v>268</v>
      </c>
      <c r="N207" s="1">
        <f ca="1">IFERROR(__xludf.DUMMYFUNCTION("""COMPUTED_VALUE"""),-5.28)</f>
        <v>-5.28</v>
      </c>
      <c r="O207" s="1">
        <f ca="1">IFERROR(__xludf.DUMMYFUNCTION("""COMPUTED_VALUE"""),249)</f>
        <v>249</v>
      </c>
      <c r="P207" s="1">
        <f ca="1">IFERROR(__xludf.DUMMYFUNCTION("""COMPUTED_VALUE"""),101.4)</f>
        <v>101.4</v>
      </c>
      <c r="Q207" s="1">
        <f ca="1">IFERROR(__xludf.DUMMYFUNCTION("""COMPUTED_VALUE"""),233)</f>
        <v>233</v>
      </c>
      <c r="R207" s="1">
        <f ca="1">IFERROR(__xludf.DUMMYFUNCTION("""COMPUTED_VALUE"""),106.7)</f>
        <v>106.7</v>
      </c>
      <c r="S207" s="1">
        <f ca="1">IFERROR(__xludf.DUMMYFUNCTION("""COMPUTED_VALUE"""),291)</f>
        <v>291</v>
      </c>
      <c r="T207" s="1">
        <f ca="1">IFERROR(__xludf.DUMMYFUNCTION("""COMPUTED_VALUE"""),-6.6)</f>
        <v>-6.6</v>
      </c>
      <c r="U207" s="1">
        <f ca="1">IFERROR(__xludf.DUMMYFUNCTION("""COMPUTED_VALUE"""),290)</f>
        <v>290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IFERROR(__xludf.DUMMYFUNCTION("""COMPUTED_VALUE"""),"Northeastern")</f>
        <v>Northeastern</v>
      </c>
      <c r="C208" s="1" t="str">
        <f ca="1">IFERROR(__xludf.DUMMYFUNCTION("""COMPUTED_VALUE"""),"AE")</f>
        <v>AE</v>
      </c>
      <c r="D208" s="1" t="str">
        <f ca="1">IFERROR(__xludf.DUMMYFUNCTION("""COMPUTED_VALUE"""),"19-11")</f>
        <v>19-11</v>
      </c>
      <c r="E208" s="1">
        <f ca="1">IFERROR(__xludf.DUMMYFUNCTION("""COMPUTED_VALUE"""),-4.26)</f>
        <v>-4.26</v>
      </c>
      <c r="F208" s="1">
        <f ca="1">IFERROR(__xludf.DUMMYFUNCTION("""COMPUTED_VALUE"""),103)</f>
        <v>103</v>
      </c>
      <c r="G208" s="1">
        <f ca="1">IFERROR(__xludf.DUMMYFUNCTION("""COMPUTED_VALUE"""),158)</f>
        <v>158</v>
      </c>
      <c r="H208" s="1">
        <f ca="1">IFERROR(__xludf.DUMMYFUNCTION("""COMPUTED_VALUE"""),107.3)</f>
        <v>107.3</v>
      </c>
      <c r="I208" s="1">
        <f ca="1">IFERROR(__xludf.DUMMYFUNCTION("""COMPUTED_VALUE"""),244)</f>
        <v>244</v>
      </c>
      <c r="J208" s="1">
        <f ca="1">IFERROR(__xludf.DUMMYFUNCTION("""COMPUTED_VALUE"""),72.9)</f>
        <v>72.900000000000006</v>
      </c>
      <c r="K208" s="1">
        <f ca="1">IFERROR(__xludf.DUMMYFUNCTION("""COMPUTED_VALUE"""),7)</f>
        <v>7</v>
      </c>
      <c r="L208" s="1" t="str">
        <f ca="1">IFERROR(__xludf.DUMMYFUNCTION("""COMPUTED_VALUE"""),"+.052")</f>
        <v>+.052</v>
      </c>
      <c r="M208" s="1">
        <f ca="1">IFERROR(__xludf.DUMMYFUNCTION("""COMPUTED_VALUE"""),54)</f>
        <v>54</v>
      </c>
      <c r="N208" s="1">
        <f ca="1">IFERROR(__xludf.DUMMYFUNCTION("""COMPUTED_VALUE"""),-7.86)</f>
        <v>-7.86</v>
      </c>
      <c r="O208" s="1">
        <f ca="1">IFERROR(__xludf.DUMMYFUNCTION("""COMPUTED_VALUE"""),279)</f>
        <v>279</v>
      </c>
      <c r="P208" s="1">
        <f ca="1">IFERROR(__xludf.DUMMYFUNCTION("""COMPUTED_VALUE"""),97.2)</f>
        <v>97.2</v>
      </c>
      <c r="Q208" s="1">
        <f ca="1">IFERROR(__xludf.DUMMYFUNCTION("""COMPUTED_VALUE"""),299)</f>
        <v>299</v>
      </c>
      <c r="R208" s="1">
        <f ca="1">IFERROR(__xludf.DUMMYFUNCTION("""COMPUTED_VALUE"""),105)</f>
        <v>105</v>
      </c>
      <c r="S208" s="1">
        <f ca="1">IFERROR(__xludf.DUMMYFUNCTION("""COMPUTED_VALUE"""),221)</f>
        <v>221</v>
      </c>
      <c r="T208" s="1" t="str">
        <f ca="1">IFERROR(__xludf.DUMMYFUNCTION("""COMPUTED_VALUE"""),"+1.15")</f>
        <v>+1.15</v>
      </c>
      <c r="U208" s="1">
        <f ca="1">IFERROR(__xludf.DUMMYFUNCTION("""COMPUTED_VALUE"""),133)</f>
        <v>133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IFERROR(__xludf.DUMMYFUNCTION("""COMPUTED_VALUE"""),"New Mexico St.")</f>
        <v>New Mexico St.</v>
      </c>
      <c r="C209" s="1" t="str">
        <f ca="1">IFERROR(__xludf.DUMMYFUNCTION("""COMPUTED_VALUE"""),"SB")</f>
        <v>SB</v>
      </c>
      <c r="D209" s="1" t="str">
        <f ca="1">IFERROR(__xludf.DUMMYFUNCTION("""COMPUTED_VALUE"""),"13-14")</f>
        <v>13-14</v>
      </c>
      <c r="E209" s="1">
        <f ca="1">IFERROR(__xludf.DUMMYFUNCTION("""COMPUTED_VALUE"""),-4.28)</f>
        <v>-4.28</v>
      </c>
      <c r="F209" s="1">
        <f ca="1">IFERROR(__xludf.DUMMYFUNCTION("""COMPUTED_VALUE"""),98.3)</f>
        <v>98.3</v>
      </c>
      <c r="G209" s="1">
        <f ca="1">IFERROR(__xludf.DUMMYFUNCTION("""COMPUTED_VALUE"""),247)</f>
        <v>247</v>
      </c>
      <c r="H209" s="1">
        <f ca="1">IFERROR(__xludf.DUMMYFUNCTION("""COMPUTED_VALUE"""),102.6)</f>
        <v>102.6</v>
      </c>
      <c r="I209" s="1">
        <f ca="1">IFERROR(__xludf.DUMMYFUNCTION("""COMPUTED_VALUE"""),157)</f>
        <v>157</v>
      </c>
      <c r="J209" s="1">
        <f ca="1">IFERROR(__xludf.DUMMYFUNCTION("""COMPUTED_VALUE"""),63.7)</f>
        <v>63.7</v>
      </c>
      <c r="K209" s="1">
        <f ca="1">IFERROR(__xludf.DUMMYFUNCTION("""COMPUTED_VALUE"""),244)</f>
        <v>244</v>
      </c>
      <c r="L209" s="1">
        <f ca="1">IFERROR(__xludf.DUMMYFUNCTION("""COMPUTED_VALUE"""),-0.015)</f>
        <v>-1.4999999999999999E-2</v>
      </c>
      <c r="M209" s="1">
        <f ca="1">IFERROR(__xludf.DUMMYFUNCTION("""COMPUTED_VALUE"""),203)</f>
        <v>203</v>
      </c>
      <c r="N209" s="1">
        <f ca="1">IFERROR(__xludf.DUMMYFUNCTION("""COMPUTED_VALUE"""),-1.19)</f>
        <v>-1.19</v>
      </c>
      <c r="O209" s="1">
        <f ca="1">IFERROR(__xludf.DUMMYFUNCTION("""COMPUTED_VALUE"""),185)</f>
        <v>185</v>
      </c>
      <c r="P209" s="1">
        <f ca="1">IFERROR(__xludf.DUMMYFUNCTION("""COMPUTED_VALUE"""),103.5)</f>
        <v>103.5</v>
      </c>
      <c r="Q209" s="1">
        <f ca="1">IFERROR(__xludf.DUMMYFUNCTION("""COMPUTED_VALUE"""),156)</f>
        <v>156</v>
      </c>
      <c r="R209" s="1">
        <f ca="1">IFERROR(__xludf.DUMMYFUNCTION("""COMPUTED_VALUE"""),104.7)</f>
        <v>104.7</v>
      </c>
      <c r="S209" s="1">
        <f ca="1">IFERROR(__xludf.DUMMYFUNCTION("""COMPUTED_VALUE"""),205)</f>
        <v>205</v>
      </c>
      <c r="T209" s="1" t="str">
        <f ca="1">IFERROR(__xludf.DUMMYFUNCTION("""COMPUTED_VALUE"""),"+0.08")</f>
        <v>+0.08</v>
      </c>
      <c r="U209" s="1">
        <f ca="1">IFERROR(__xludf.DUMMYFUNCTION("""COMPUTED_VALUE"""),164)</f>
        <v>164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IFERROR(__xludf.DUMMYFUNCTION("""COMPUTED_VALUE"""),"St. John's")</f>
        <v>St. John's</v>
      </c>
      <c r="C210" s="1" t="str">
        <f ca="1">IFERROR(__xludf.DUMMYFUNCTION("""COMPUTED_VALUE"""),"BE")</f>
        <v>BE</v>
      </c>
      <c r="D210" s="2">
        <f ca="1">IFERROR(__xludf.DUMMYFUNCTION("""COMPUTED_VALUE"""),44733)</f>
        <v>44733</v>
      </c>
      <c r="E210" s="1">
        <f ca="1">IFERROR(__xludf.DUMMYFUNCTION("""COMPUTED_VALUE"""),-4.31)</f>
        <v>-4.3099999999999996</v>
      </c>
      <c r="F210" s="1">
        <f ca="1">IFERROR(__xludf.DUMMYFUNCTION("""COMPUTED_VALUE"""),98.9)</f>
        <v>98.9</v>
      </c>
      <c r="G210" s="1">
        <f ca="1">IFERROR(__xludf.DUMMYFUNCTION("""COMPUTED_VALUE"""),240)</f>
        <v>240</v>
      </c>
      <c r="H210" s="1">
        <f ca="1">IFERROR(__xludf.DUMMYFUNCTION("""COMPUTED_VALUE"""),103.2)</f>
        <v>103.2</v>
      </c>
      <c r="I210" s="1">
        <f ca="1">IFERROR(__xludf.DUMMYFUNCTION("""COMPUTED_VALUE"""),163)</f>
        <v>163</v>
      </c>
      <c r="J210" s="1">
        <f ca="1">IFERROR(__xludf.DUMMYFUNCTION("""COMPUTED_VALUE"""),65)</f>
        <v>65</v>
      </c>
      <c r="K210" s="1">
        <f ca="1">IFERROR(__xludf.DUMMYFUNCTION("""COMPUTED_VALUE"""),195)</f>
        <v>195</v>
      </c>
      <c r="L210" s="1">
        <f ca="1">IFERROR(__xludf.DUMMYFUNCTION("""COMPUTED_VALUE"""),-0.017)</f>
        <v>-1.7000000000000001E-2</v>
      </c>
      <c r="M210" s="1">
        <f ca="1">IFERROR(__xludf.DUMMYFUNCTION("""COMPUTED_VALUE"""),209)</f>
        <v>209</v>
      </c>
      <c r="N210" s="1" t="str">
        <f ca="1">IFERROR(__xludf.DUMMYFUNCTION("""COMPUTED_VALUE"""),"+7.54")</f>
        <v>+7.54</v>
      </c>
      <c r="O210" s="1">
        <f ca="1">IFERROR(__xludf.DUMMYFUNCTION("""COMPUTED_VALUE"""),32)</f>
        <v>32</v>
      </c>
      <c r="P210" s="1">
        <f ca="1">IFERROR(__xludf.DUMMYFUNCTION("""COMPUTED_VALUE"""),106.8)</f>
        <v>106.8</v>
      </c>
      <c r="Q210" s="1">
        <f ca="1">IFERROR(__xludf.DUMMYFUNCTION("""COMPUTED_VALUE"""),49)</f>
        <v>49</v>
      </c>
      <c r="R210" s="1">
        <f ca="1">IFERROR(__xludf.DUMMYFUNCTION("""COMPUTED_VALUE"""),99.3)</f>
        <v>99.3</v>
      </c>
      <c r="S210" s="1">
        <f ca="1">IFERROR(__xludf.DUMMYFUNCTION("""COMPUTED_VALUE"""),20)</f>
        <v>20</v>
      </c>
      <c r="T210" s="1" t="str">
        <f ca="1">IFERROR(__xludf.DUMMYFUNCTION("""COMPUTED_VALUE"""),"+0.34")</f>
        <v>+0.34</v>
      </c>
      <c r="U210" s="1">
        <f ca="1">IFERROR(__xludf.DUMMYFUNCTION("""COMPUTED_VALUE"""),154)</f>
        <v>154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IFERROR(__xludf.DUMMYFUNCTION("""COMPUTED_VALUE"""),"Brown")</f>
        <v>Brown</v>
      </c>
      <c r="C213" s="1" t="str">
        <f ca="1">IFERROR(__xludf.DUMMYFUNCTION("""COMPUTED_VALUE"""),"Ivy")</f>
        <v>Ivy</v>
      </c>
      <c r="D213" s="1" t="str">
        <f ca="1">IFERROR(__xludf.DUMMYFUNCTION("""COMPUTED_VALUE"""),"14-13")</f>
        <v>14-13</v>
      </c>
      <c r="E213" s="1">
        <f ca="1">IFERROR(__xludf.DUMMYFUNCTION("""COMPUTED_VALUE"""),-4.35)</f>
        <v>-4.3499999999999996</v>
      </c>
      <c r="F213" s="1">
        <f ca="1">IFERROR(__xludf.DUMMYFUNCTION("""COMPUTED_VALUE"""),101.8)</f>
        <v>101.8</v>
      </c>
      <c r="G213" s="1">
        <f ca="1">IFERROR(__xludf.DUMMYFUNCTION("""COMPUTED_VALUE"""),183)</f>
        <v>183</v>
      </c>
      <c r="H213" s="1">
        <f ca="1">IFERROR(__xludf.DUMMYFUNCTION("""COMPUTED_VALUE"""),106.2)</f>
        <v>106.2</v>
      </c>
      <c r="I213" s="1">
        <f ca="1">IFERROR(__xludf.DUMMYFUNCTION("""COMPUTED_VALUE"""),216)</f>
        <v>216</v>
      </c>
      <c r="J213" s="1">
        <f ca="1">IFERROR(__xludf.DUMMYFUNCTION("""COMPUTED_VALUE"""),70.4)</f>
        <v>70.400000000000006</v>
      </c>
      <c r="K213" s="1">
        <f ca="1">IFERROR(__xludf.DUMMYFUNCTION("""COMPUTED_VALUE"""),24)</f>
        <v>24</v>
      </c>
      <c r="L213" s="1" t="str">
        <f ca="1">IFERROR(__xludf.DUMMYFUNCTION("""COMPUTED_VALUE"""),"+.032")</f>
        <v>+.032</v>
      </c>
      <c r="M213" s="1">
        <f ca="1">IFERROR(__xludf.DUMMYFUNCTION("""COMPUTED_VALUE"""),86)</f>
        <v>86</v>
      </c>
      <c r="N213" s="1">
        <f ca="1">IFERROR(__xludf.DUMMYFUNCTION("""COMPUTED_VALUE"""),-4.75)</f>
        <v>-4.75</v>
      </c>
      <c r="O213" s="1">
        <f ca="1">IFERROR(__xludf.DUMMYFUNCTION("""COMPUTED_VALUE"""),245)</f>
        <v>245</v>
      </c>
      <c r="P213" s="1">
        <f ca="1">IFERROR(__xludf.DUMMYFUNCTION("""COMPUTED_VALUE"""),100.2)</f>
        <v>100.2</v>
      </c>
      <c r="Q213" s="1">
        <f ca="1">IFERROR(__xludf.DUMMYFUNCTION("""COMPUTED_VALUE"""),253)</f>
        <v>253</v>
      </c>
      <c r="R213" s="1">
        <f ca="1">IFERROR(__xludf.DUMMYFUNCTION("""COMPUTED_VALUE"""),105)</f>
        <v>105</v>
      </c>
      <c r="S213" s="1">
        <f ca="1">IFERROR(__xludf.DUMMYFUNCTION("""COMPUTED_VALUE"""),216)</f>
        <v>216</v>
      </c>
      <c r="T213" s="1">
        <f ca="1">IFERROR(__xludf.DUMMYFUNCTION("""COMPUTED_VALUE"""),-0.93)</f>
        <v>-0.93</v>
      </c>
      <c r="U213" s="1">
        <f ca="1">IFERROR(__xludf.DUMMYFUNCTION("""COMPUTED_VALUE"""),187)</f>
        <v>187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IFERROR(__xludf.DUMMYFUNCTION("""COMPUTED_VALUE"""),"Morehead St.")</f>
        <v>Morehead St.</v>
      </c>
      <c r="C214" s="1" t="str">
        <f ca="1">IFERROR(__xludf.DUMMYFUNCTION("""COMPUTED_VALUE"""),"OVC")</f>
        <v>OVC</v>
      </c>
      <c r="D214" s="1" t="str">
        <f ca="1">IFERROR(__xludf.DUMMYFUNCTION("""COMPUTED_VALUE"""),"16-13")</f>
        <v>16-13</v>
      </c>
      <c r="E214" s="1">
        <f ca="1">IFERROR(__xludf.DUMMYFUNCTION("""COMPUTED_VALUE"""),-4.45)</f>
        <v>-4.45</v>
      </c>
      <c r="F214" s="1">
        <f ca="1">IFERROR(__xludf.DUMMYFUNCTION("""COMPUTED_VALUE"""),107.1)</f>
        <v>107.1</v>
      </c>
      <c r="G214" s="1">
        <f ca="1">IFERROR(__xludf.DUMMYFUNCTION("""COMPUTED_VALUE"""),93)</f>
        <v>93</v>
      </c>
      <c r="H214" s="1">
        <f ca="1">IFERROR(__xludf.DUMMYFUNCTION("""COMPUTED_VALUE"""),111.6)</f>
        <v>111.6</v>
      </c>
      <c r="I214" s="1">
        <f ca="1">IFERROR(__xludf.DUMMYFUNCTION("""COMPUTED_VALUE"""),304)</f>
        <v>304</v>
      </c>
      <c r="J214" s="1">
        <f ca="1">IFERROR(__xludf.DUMMYFUNCTION("""COMPUTED_VALUE"""),66.6)</f>
        <v>66.599999999999994</v>
      </c>
      <c r="K214" s="1">
        <f ca="1">IFERROR(__xludf.DUMMYFUNCTION("""COMPUTED_VALUE"""),129)</f>
        <v>129</v>
      </c>
      <c r="L214" s="1" t="str">
        <f ca="1">IFERROR(__xludf.DUMMYFUNCTION("""COMPUTED_VALUE"""),"+.082")</f>
        <v>+.082</v>
      </c>
      <c r="M214" s="1">
        <f ca="1">IFERROR(__xludf.DUMMYFUNCTION("""COMPUTED_VALUE"""),24)</f>
        <v>24</v>
      </c>
      <c r="N214" s="1">
        <f ca="1">IFERROR(__xludf.DUMMYFUNCTION("""COMPUTED_VALUE"""),-2.22)</f>
        <v>-2.2200000000000002</v>
      </c>
      <c r="O214" s="1">
        <f ca="1">IFERROR(__xludf.DUMMYFUNCTION("""COMPUTED_VALUE"""),208)</f>
        <v>208</v>
      </c>
      <c r="P214" s="1">
        <f ca="1">IFERROR(__xludf.DUMMYFUNCTION("""COMPUTED_VALUE"""),103.9)</f>
        <v>103.9</v>
      </c>
      <c r="Q214" s="1">
        <f ca="1">IFERROR(__xludf.DUMMYFUNCTION("""COMPUTED_VALUE"""),146)</f>
        <v>146</v>
      </c>
      <c r="R214" s="1">
        <f ca="1">IFERROR(__xludf.DUMMYFUNCTION("""COMPUTED_VALUE"""),106.1)</f>
        <v>106.1</v>
      </c>
      <c r="S214" s="1">
        <f ca="1">IFERROR(__xludf.DUMMYFUNCTION("""COMPUTED_VALUE"""),275)</f>
        <v>275</v>
      </c>
      <c r="T214" s="1" t="str">
        <f ca="1">IFERROR(__xludf.DUMMYFUNCTION("""COMPUTED_VALUE"""),"+5.12")</f>
        <v>+5.12</v>
      </c>
      <c r="U214" s="1">
        <f ca="1">IFERROR(__xludf.DUMMYFUNCTION("""COMPUTED_VALUE"""),46)</f>
        <v>46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IFERROR(__xludf.DUMMYFUNCTION("""COMPUTED_VALUE"""),"Sacramento St.")</f>
        <v>Sacramento St.</v>
      </c>
      <c r="C215" s="1" t="str">
        <f ca="1">IFERROR(__xludf.DUMMYFUNCTION("""COMPUTED_VALUE"""),"BSky")</f>
        <v>BSky</v>
      </c>
      <c r="D215" s="1" t="str">
        <f ca="1">IFERROR(__xludf.DUMMYFUNCTION("""COMPUTED_VALUE"""),"13-15")</f>
        <v>13-15</v>
      </c>
      <c r="E215" s="1">
        <f ca="1">IFERROR(__xludf.DUMMYFUNCTION("""COMPUTED_VALUE"""),-4.57)</f>
        <v>-4.57</v>
      </c>
      <c r="F215" s="1">
        <f ca="1">IFERROR(__xludf.DUMMYFUNCTION("""COMPUTED_VALUE"""),98.6)</f>
        <v>98.6</v>
      </c>
      <c r="G215" s="1">
        <f ca="1">IFERROR(__xludf.DUMMYFUNCTION("""COMPUTED_VALUE"""),245)</f>
        <v>245</v>
      </c>
      <c r="H215" s="1">
        <f ca="1">IFERROR(__xludf.DUMMYFUNCTION("""COMPUTED_VALUE"""),103.2)</f>
        <v>103.2</v>
      </c>
      <c r="I215" s="1">
        <f ca="1">IFERROR(__xludf.DUMMYFUNCTION("""COMPUTED_VALUE"""),164)</f>
        <v>164</v>
      </c>
      <c r="J215" s="1">
        <f ca="1">IFERROR(__xludf.DUMMYFUNCTION("""COMPUTED_VALUE"""),69.2)</f>
        <v>69.2</v>
      </c>
      <c r="K215" s="1">
        <f ca="1">IFERROR(__xludf.DUMMYFUNCTION("""COMPUTED_VALUE"""),44)</f>
        <v>44</v>
      </c>
      <c r="L215" s="1">
        <f ca="1">IFERROR(__xludf.DUMMYFUNCTION("""COMPUTED_VALUE"""),-0.018)</f>
        <v>-1.7999999999999999E-2</v>
      </c>
      <c r="M215" s="1">
        <f ca="1">IFERROR(__xludf.DUMMYFUNCTION("""COMPUTED_VALUE"""),212)</f>
        <v>212</v>
      </c>
      <c r="N215" s="1">
        <f ca="1">IFERROR(__xludf.DUMMYFUNCTION("""COMPUTED_VALUE"""),-3.02)</f>
        <v>-3.02</v>
      </c>
      <c r="O215" s="1">
        <f ca="1">IFERROR(__xludf.DUMMYFUNCTION("""COMPUTED_VALUE"""),223)</f>
        <v>223</v>
      </c>
      <c r="P215" s="1">
        <f ca="1">IFERROR(__xludf.DUMMYFUNCTION("""COMPUTED_VALUE"""),102.1)</f>
        <v>102.1</v>
      </c>
      <c r="Q215" s="1">
        <f ca="1">IFERROR(__xludf.DUMMYFUNCTION("""COMPUTED_VALUE"""),211)</f>
        <v>211</v>
      </c>
      <c r="R215" s="1">
        <f ca="1">IFERROR(__xludf.DUMMYFUNCTION("""COMPUTED_VALUE"""),105.2)</f>
        <v>105.2</v>
      </c>
      <c r="S215" s="1">
        <f ca="1">IFERROR(__xludf.DUMMYFUNCTION("""COMPUTED_VALUE"""),227)</f>
        <v>227</v>
      </c>
      <c r="T215" s="1" t="str">
        <f ca="1">IFERROR(__xludf.DUMMYFUNCTION("""COMPUTED_VALUE"""),"+0.28")</f>
        <v>+0.28</v>
      </c>
      <c r="U215" s="1">
        <f ca="1">IFERROR(__xludf.DUMMYFUNCTION("""COMPUTED_VALUE"""),157)</f>
        <v>157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IFERROR(__xludf.DUMMYFUNCTION("""COMPUTED_VALUE"""),"Maine")</f>
        <v>Maine</v>
      </c>
      <c r="C216" s="1" t="str">
        <f ca="1">IFERROR(__xludf.DUMMYFUNCTION("""COMPUTED_VALUE"""),"AE")</f>
        <v>AE</v>
      </c>
      <c r="D216" s="1" t="str">
        <f ca="1">IFERROR(__xludf.DUMMYFUNCTION("""COMPUTED_VALUE"""),"20-10")</f>
        <v>20-10</v>
      </c>
      <c r="E216" s="1">
        <f ca="1">IFERROR(__xludf.DUMMYFUNCTION("""COMPUTED_VALUE"""),-4.57)</f>
        <v>-4.57</v>
      </c>
      <c r="F216" s="1">
        <f ca="1">IFERROR(__xludf.DUMMYFUNCTION("""COMPUTED_VALUE"""),99)</f>
        <v>99</v>
      </c>
      <c r="G216" s="1">
        <f ca="1">IFERROR(__xludf.DUMMYFUNCTION("""COMPUTED_VALUE"""),238)</f>
        <v>238</v>
      </c>
      <c r="H216" s="1">
        <f ca="1">IFERROR(__xludf.DUMMYFUNCTION("""COMPUTED_VALUE"""),103.5)</f>
        <v>103.5</v>
      </c>
      <c r="I216" s="1">
        <f ca="1">IFERROR(__xludf.DUMMYFUNCTION("""COMPUTED_VALUE"""),172)</f>
        <v>172</v>
      </c>
      <c r="J216" s="1">
        <f ca="1">IFERROR(__xludf.DUMMYFUNCTION("""COMPUTED_VALUE"""),65.4)</f>
        <v>65.400000000000006</v>
      </c>
      <c r="K216" s="1">
        <f ca="1">IFERROR(__xludf.DUMMYFUNCTION("""COMPUTED_VALUE"""),178)</f>
        <v>178</v>
      </c>
      <c r="L216" s="1" t="str">
        <f ca="1">IFERROR(__xludf.DUMMYFUNCTION("""COMPUTED_VALUE"""),"+.040")</f>
        <v>+.040</v>
      </c>
      <c r="M216" s="1">
        <f ca="1">IFERROR(__xludf.DUMMYFUNCTION("""COMPUTED_VALUE"""),69)</f>
        <v>69</v>
      </c>
      <c r="N216" s="1">
        <f ca="1">IFERROR(__xludf.DUMMYFUNCTION("""COMPUTED_VALUE"""),-10.14)</f>
        <v>-10.14</v>
      </c>
      <c r="O216" s="1">
        <f ca="1">IFERROR(__xludf.DUMMYFUNCTION("""COMPUTED_VALUE"""),309)</f>
        <v>309</v>
      </c>
      <c r="P216" s="1">
        <f ca="1">IFERROR(__xludf.DUMMYFUNCTION("""COMPUTED_VALUE"""),96.2)</f>
        <v>96.2</v>
      </c>
      <c r="Q216" s="1">
        <f ca="1">IFERROR(__xludf.DUMMYFUNCTION("""COMPUTED_VALUE"""),310)</f>
        <v>310</v>
      </c>
      <c r="R216" s="1">
        <f ca="1">IFERROR(__xludf.DUMMYFUNCTION("""COMPUTED_VALUE"""),106.3)</f>
        <v>106.3</v>
      </c>
      <c r="S216" s="1">
        <f ca="1">IFERROR(__xludf.DUMMYFUNCTION("""COMPUTED_VALUE"""),282)</f>
        <v>282</v>
      </c>
      <c r="T216" s="1">
        <f ca="1">IFERROR(__xludf.DUMMYFUNCTION("""COMPUTED_VALUE"""),-10.69)</f>
        <v>-10.69</v>
      </c>
      <c r="U216" s="1">
        <f ca="1">IFERROR(__xludf.DUMMYFUNCTION("""COMPUTED_VALUE"""),319)</f>
        <v>319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IFERROR(__xludf.DUMMYFUNCTION("""COMPUTED_VALUE"""),"UT Arlington")</f>
        <v>UT Arlington</v>
      </c>
      <c r="C217" s="1" t="str">
        <f ca="1">IFERROR(__xludf.DUMMYFUNCTION("""COMPUTED_VALUE"""),"Slnd")</f>
        <v>Slnd</v>
      </c>
      <c r="D217" s="1" t="str">
        <f ca="1">IFERROR(__xludf.DUMMYFUNCTION("""COMPUTED_VALUE"""),"17-12")</f>
        <v>17-12</v>
      </c>
      <c r="E217" s="1">
        <f ca="1">IFERROR(__xludf.DUMMYFUNCTION("""COMPUTED_VALUE"""),-4.64)</f>
        <v>-4.6399999999999997</v>
      </c>
      <c r="F217" s="1">
        <f ca="1">IFERROR(__xludf.DUMMYFUNCTION("""COMPUTED_VALUE"""),103.9)</f>
        <v>103.9</v>
      </c>
      <c r="G217" s="1">
        <f ca="1">IFERROR(__xludf.DUMMYFUNCTION("""COMPUTED_VALUE"""),145)</f>
        <v>145</v>
      </c>
      <c r="H217" s="1">
        <f ca="1">IFERROR(__xludf.DUMMYFUNCTION("""COMPUTED_VALUE"""),108.5)</f>
        <v>108.5</v>
      </c>
      <c r="I217" s="1">
        <f ca="1">IFERROR(__xludf.DUMMYFUNCTION("""COMPUTED_VALUE"""),266)</f>
        <v>266</v>
      </c>
      <c r="J217" s="1">
        <f ca="1">IFERROR(__xludf.DUMMYFUNCTION("""COMPUTED_VALUE"""),65.4)</f>
        <v>65.400000000000006</v>
      </c>
      <c r="K217" s="1">
        <f ca="1">IFERROR(__xludf.DUMMYFUNCTION("""COMPUTED_VALUE"""),181)</f>
        <v>181</v>
      </c>
      <c r="L217" s="1" t="str">
        <f ca="1">IFERROR(__xludf.DUMMYFUNCTION("""COMPUTED_VALUE"""),"+.024")</f>
        <v>+.024</v>
      </c>
      <c r="M217" s="1">
        <f ca="1">IFERROR(__xludf.DUMMYFUNCTION("""COMPUTED_VALUE"""),104)</f>
        <v>104</v>
      </c>
      <c r="N217" s="1">
        <f ca="1">IFERROR(__xludf.DUMMYFUNCTION("""COMPUTED_VALUE"""),-6.83)</f>
        <v>-6.83</v>
      </c>
      <c r="O217" s="1">
        <f ca="1">IFERROR(__xludf.DUMMYFUNCTION("""COMPUTED_VALUE"""),267)</f>
        <v>267</v>
      </c>
      <c r="P217" s="1">
        <f ca="1">IFERROR(__xludf.DUMMYFUNCTION("""COMPUTED_VALUE"""),98.7)</f>
        <v>98.7</v>
      </c>
      <c r="Q217" s="1">
        <f ca="1">IFERROR(__xludf.DUMMYFUNCTION("""COMPUTED_VALUE"""),275)</f>
        <v>275</v>
      </c>
      <c r="R217" s="1">
        <f ca="1">IFERROR(__xludf.DUMMYFUNCTION("""COMPUTED_VALUE"""),105.5)</f>
        <v>105.5</v>
      </c>
      <c r="S217" s="1">
        <f ca="1">IFERROR(__xludf.DUMMYFUNCTION("""COMPUTED_VALUE"""),245)</f>
        <v>245</v>
      </c>
      <c r="T217" s="1" t="str">
        <f ca="1">IFERROR(__xludf.DUMMYFUNCTION("""COMPUTED_VALUE"""),"+2.63")</f>
        <v>+2.63</v>
      </c>
      <c r="U217" s="1">
        <f ca="1">IFERROR(__xludf.DUMMYFUNCTION("""COMPUTED_VALUE"""),86)</f>
        <v>86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IFERROR(__xludf.DUMMYFUNCTION("""COMPUTED_VALUE"""),"Cal Poly")</f>
        <v>Cal Poly</v>
      </c>
      <c r="C218" s="1" t="str">
        <f ca="1">IFERROR(__xludf.DUMMYFUNCTION("""COMPUTED_VALUE"""),"BW")</f>
        <v>BW</v>
      </c>
      <c r="D218" s="2">
        <f ca="1">IFERROR(__xludf.DUMMYFUNCTION("""COMPUTED_VALUE"""),44881)</f>
        <v>44881</v>
      </c>
      <c r="E218" s="1">
        <f ca="1">IFERROR(__xludf.DUMMYFUNCTION("""COMPUTED_VALUE"""),-4.69)</f>
        <v>-4.6900000000000004</v>
      </c>
      <c r="F218" s="1">
        <f ca="1">IFERROR(__xludf.DUMMYFUNCTION("""COMPUTED_VALUE"""),101.1)</f>
        <v>101.1</v>
      </c>
      <c r="G218" s="1">
        <f ca="1">IFERROR(__xludf.DUMMYFUNCTION("""COMPUTED_VALUE"""),196)</f>
        <v>196</v>
      </c>
      <c r="H218" s="1">
        <f ca="1">IFERROR(__xludf.DUMMYFUNCTION("""COMPUTED_VALUE"""),105.8)</f>
        <v>105.8</v>
      </c>
      <c r="I218" s="1">
        <f ca="1">IFERROR(__xludf.DUMMYFUNCTION("""COMPUTED_VALUE"""),205)</f>
        <v>205</v>
      </c>
      <c r="J218" s="1">
        <f ca="1">IFERROR(__xludf.DUMMYFUNCTION("""COMPUTED_VALUE"""),69.9)</f>
        <v>69.900000000000006</v>
      </c>
      <c r="K218" s="1">
        <f ca="1">IFERROR(__xludf.DUMMYFUNCTION("""COMPUTED_VALUE"""),30)</f>
        <v>30</v>
      </c>
      <c r="L218" s="1">
        <f ca="1">IFERROR(__xludf.DUMMYFUNCTION("""COMPUTED_VALUE"""),-0.015)</f>
        <v>-1.4999999999999999E-2</v>
      </c>
      <c r="M218" s="1">
        <f ca="1">IFERROR(__xludf.DUMMYFUNCTION("""COMPUTED_VALUE"""),202)</f>
        <v>202</v>
      </c>
      <c r="N218" s="1">
        <f ca="1">IFERROR(__xludf.DUMMYFUNCTION("""COMPUTED_VALUE"""),-0.63)</f>
        <v>-0.63</v>
      </c>
      <c r="O218" s="1">
        <f ca="1">IFERROR(__xludf.DUMMYFUNCTION("""COMPUTED_VALUE"""),174)</f>
        <v>174</v>
      </c>
      <c r="P218" s="1">
        <f ca="1">IFERROR(__xludf.DUMMYFUNCTION("""COMPUTED_VALUE"""),102.9)</f>
        <v>102.9</v>
      </c>
      <c r="Q218" s="1">
        <f ca="1">IFERROR(__xludf.DUMMYFUNCTION("""COMPUTED_VALUE"""),185)</f>
        <v>185</v>
      </c>
      <c r="R218" s="1">
        <f ca="1">IFERROR(__xludf.DUMMYFUNCTION("""COMPUTED_VALUE"""),103.6)</f>
        <v>103.6</v>
      </c>
      <c r="S218" s="1">
        <f ca="1">IFERROR(__xludf.DUMMYFUNCTION("""COMPUTED_VALUE"""),158)</f>
        <v>158</v>
      </c>
      <c r="T218" s="1" t="str">
        <f ca="1">IFERROR(__xludf.DUMMYFUNCTION("""COMPUTED_VALUE"""),"+1.88")</f>
        <v>+1.88</v>
      </c>
      <c r="U218" s="1">
        <f ca="1">IFERROR(__xludf.DUMMYFUNCTION("""COMPUTED_VALUE"""),113)</f>
        <v>113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IFERROR(__xludf.DUMMYFUNCTION("""COMPUTED_VALUE"""),"Bucknell")</f>
        <v>Bucknell</v>
      </c>
      <c r="C219" s="1" t="str">
        <f ca="1">IFERROR(__xludf.DUMMYFUNCTION("""COMPUTED_VALUE"""),"Pat")</f>
        <v>Pat</v>
      </c>
      <c r="D219" s="1" t="str">
        <f ca="1">IFERROR(__xludf.DUMMYFUNCTION("""COMPUTED_VALUE"""),"14-15")</f>
        <v>14-15</v>
      </c>
      <c r="E219" s="1">
        <f ca="1">IFERROR(__xludf.DUMMYFUNCTION("""COMPUTED_VALUE"""),-4.69)</f>
        <v>-4.6900000000000004</v>
      </c>
      <c r="F219" s="1">
        <f ca="1">IFERROR(__xludf.DUMMYFUNCTION("""COMPUTED_VALUE"""),96.6)</f>
        <v>96.6</v>
      </c>
      <c r="G219" s="1">
        <f ca="1">IFERROR(__xludf.DUMMYFUNCTION("""COMPUTED_VALUE"""),273)</f>
        <v>273</v>
      </c>
      <c r="H219" s="1">
        <f ca="1">IFERROR(__xludf.DUMMYFUNCTION("""COMPUTED_VALUE"""),101.3)</f>
        <v>101.3</v>
      </c>
      <c r="I219" s="1">
        <f ca="1">IFERROR(__xludf.DUMMYFUNCTION("""COMPUTED_VALUE"""),125)</f>
        <v>125</v>
      </c>
      <c r="J219" s="1">
        <f ca="1">IFERROR(__xludf.DUMMYFUNCTION("""COMPUTED_VALUE"""),64.5)</f>
        <v>64.5</v>
      </c>
      <c r="K219" s="1">
        <f ca="1">IFERROR(__xludf.DUMMYFUNCTION("""COMPUTED_VALUE"""),211)</f>
        <v>211</v>
      </c>
      <c r="L219" s="1">
        <f ca="1">IFERROR(__xludf.DUMMYFUNCTION("""COMPUTED_VALUE"""),-0.115)</f>
        <v>-0.115</v>
      </c>
      <c r="M219" s="1">
        <f ca="1">IFERROR(__xludf.DUMMYFUNCTION("""COMPUTED_VALUE"""),321)</f>
        <v>321</v>
      </c>
      <c r="N219" s="1">
        <f ca="1">IFERROR(__xludf.DUMMYFUNCTION("""COMPUTED_VALUE"""),-6.88)</f>
        <v>-6.88</v>
      </c>
      <c r="O219" s="1">
        <f ca="1">IFERROR(__xludf.DUMMYFUNCTION("""COMPUTED_VALUE"""),268)</f>
        <v>268</v>
      </c>
      <c r="P219" s="1">
        <f ca="1">IFERROR(__xludf.DUMMYFUNCTION("""COMPUTED_VALUE"""),98.9)</f>
        <v>98.9</v>
      </c>
      <c r="Q219" s="1">
        <f ca="1">IFERROR(__xludf.DUMMYFUNCTION("""COMPUTED_VALUE"""),273)</f>
        <v>273</v>
      </c>
      <c r="R219" s="1">
        <f ca="1">IFERROR(__xludf.DUMMYFUNCTION("""COMPUTED_VALUE"""),105.8)</f>
        <v>105.8</v>
      </c>
      <c r="S219" s="1">
        <f ca="1">IFERROR(__xludf.DUMMYFUNCTION("""COMPUTED_VALUE"""),261)</f>
        <v>261</v>
      </c>
      <c r="T219" s="1">
        <f ca="1">IFERROR(__xludf.DUMMYFUNCTION("""COMPUTED_VALUE"""),-0.23)</f>
        <v>-0.23</v>
      </c>
      <c r="U219" s="1">
        <f ca="1">IFERROR(__xludf.DUMMYFUNCTION("""COMPUTED_VALUE"""),171)</f>
        <v>171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IFERROR(__xludf.DUMMYFUNCTION("""COMPUTED_VALUE"""),"Evansville")</f>
        <v>Evansville</v>
      </c>
      <c r="C220" s="1" t="str">
        <f ca="1">IFERROR(__xludf.DUMMYFUNCTION("""COMPUTED_VALUE"""),"MVC")</f>
        <v>MVC</v>
      </c>
      <c r="D220" s="2">
        <f ca="1">IFERROR(__xludf.DUMMYFUNCTION("""COMPUTED_VALUE"""),44764)</f>
        <v>44764</v>
      </c>
      <c r="E220" s="1">
        <f ca="1">IFERROR(__xludf.DUMMYFUNCTION("""COMPUTED_VALUE"""),-4.76)</f>
        <v>-4.76</v>
      </c>
      <c r="F220" s="1">
        <f ca="1">IFERROR(__xludf.DUMMYFUNCTION("""COMPUTED_VALUE"""),104.7)</f>
        <v>104.7</v>
      </c>
      <c r="G220" s="1">
        <f ca="1">IFERROR(__xludf.DUMMYFUNCTION("""COMPUTED_VALUE"""),130)</f>
        <v>130</v>
      </c>
      <c r="H220" s="1">
        <f ca="1">IFERROR(__xludf.DUMMYFUNCTION("""COMPUTED_VALUE"""),109.4)</f>
        <v>109.4</v>
      </c>
      <c r="I220" s="1">
        <f ca="1">IFERROR(__xludf.DUMMYFUNCTION("""COMPUTED_VALUE"""),282)</f>
        <v>282</v>
      </c>
      <c r="J220" s="1">
        <f ca="1">IFERROR(__xludf.DUMMYFUNCTION("""COMPUTED_VALUE"""),67.5)</f>
        <v>67.5</v>
      </c>
      <c r="K220" s="1">
        <f ca="1">IFERROR(__xludf.DUMMYFUNCTION("""COMPUTED_VALUE"""),100)</f>
        <v>100</v>
      </c>
      <c r="L220" s="1">
        <f ca="1">IFERROR(__xludf.DUMMYFUNCTION("""COMPUTED_VALUE"""),-0.062)</f>
        <v>-6.2E-2</v>
      </c>
      <c r="M220" s="1">
        <f ca="1">IFERROR(__xludf.DUMMYFUNCTION("""COMPUTED_VALUE"""),284)</f>
        <v>284</v>
      </c>
      <c r="N220" s="1" t="str">
        <f ca="1">IFERROR(__xludf.DUMMYFUNCTION("""COMPUTED_VALUE"""),"+4.39")</f>
        <v>+4.39</v>
      </c>
      <c r="O220" s="1">
        <f ca="1">IFERROR(__xludf.DUMMYFUNCTION("""COMPUTED_VALUE"""),91)</f>
        <v>91</v>
      </c>
      <c r="P220" s="1">
        <f ca="1">IFERROR(__xludf.DUMMYFUNCTION("""COMPUTED_VALUE"""),104.2)</f>
        <v>104.2</v>
      </c>
      <c r="Q220" s="1">
        <f ca="1">IFERROR(__xludf.DUMMYFUNCTION("""COMPUTED_VALUE"""),132)</f>
        <v>132</v>
      </c>
      <c r="R220" s="1">
        <f ca="1">IFERROR(__xludf.DUMMYFUNCTION("""COMPUTED_VALUE"""),99.9)</f>
        <v>99.9</v>
      </c>
      <c r="S220" s="1">
        <f ca="1">IFERROR(__xludf.DUMMYFUNCTION("""COMPUTED_VALUE"""),36)</f>
        <v>36</v>
      </c>
      <c r="T220" s="1" t="str">
        <f ca="1">IFERROR(__xludf.DUMMYFUNCTION("""COMPUTED_VALUE"""),"+4.16")</f>
        <v>+4.16</v>
      </c>
      <c r="U220" s="1">
        <f ca="1">IFERROR(__xludf.DUMMYFUNCTION("""COMPUTED_VALUE"""),58)</f>
        <v>58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IFERROR(__xludf.DUMMYFUNCTION("""COMPUTED_VALUE"""),"UC Irvine")</f>
        <v>UC Irvine</v>
      </c>
      <c r="C221" s="1" t="str">
        <f ca="1">IFERROR(__xludf.DUMMYFUNCTION("""COMPUTED_VALUE"""),"BW")</f>
        <v>BW</v>
      </c>
      <c r="D221" s="2">
        <f ca="1">IFERROR(__xludf.DUMMYFUNCTION("""COMPUTED_VALUE"""),44882)</f>
        <v>44882</v>
      </c>
      <c r="E221" s="1">
        <f ca="1">IFERROR(__xludf.DUMMYFUNCTION("""COMPUTED_VALUE"""),-4.79)</f>
        <v>-4.79</v>
      </c>
      <c r="F221" s="1">
        <f ca="1">IFERROR(__xludf.DUMMYFUNCTION("""COMPUTED_VALUE"""),101.4)</f>
        <v>101.4</v>
      </c>
      <c r="G221" s="1">
        <f ca="1">IFERROR(__xludf.DUMMYFUNCTION("""COMPUTED_VALUE"""),193)</f>
        <v>193</v>
      </c>
      <c r="H221" s="1">
        <f ca="1">IFERROR(__xludf.DUMMYFUNCTION("""COMPUTED_VALUE"""),106.2)</f>
        <v>106.2</v>
      </c>
      <c r="I221" s="1">
        <f ca="1">IFERROR(__xludf.DUMMYFUNCTION("""COMPUTED_VALUE"""),218)</f>
        <v>218</v>
      </c>
      <c r="J221" s="1">
        <f ca="1">IFERROR(__xludf.DUMMYFUNCTION("""COMPUTED_VALUE"""),61.5)</f>
        <v>61.5</v>
      </c>
      <c r="K221" s="1">
        <f ca="1">IFERROR(__xludf.DUMMYFUNCTION("""COMPUTED_VALUE"""),300)</f>
        <v>300</v>
      </c>
      <c r="L221" s="1" t="str">
        <f ca="1">IFERROR(__xludf.DUMMYFUNCTION("""COMPUTED_VALUE"""),"+.034")</f>
        <v>+.034</v>
      </c>
      <c r="M221" s="1">
        <f ca="1">IFERROR(__xludf.DUMMYFUNCTION("""COMPUTED_VALUE"""),81)</f>
        <v>81</v>
      </c>
      <c r="N221" s="1">
        <f ca="1">IFERROR(__xludf.DUMMYFUNCTION("""COMPUTED_VALUE"""),-0.32)</f>
        <v>-0.32</v>
      </c>
      <c r="O221" s="1">
        <f ca="1">IFERROR(__xludf.DUMMYFUNCTION("""COMPUTED_VALUE"""),164)</f>
        <v>164</v>
      </c>
      <c r="P221" s="1">
        <f ca="1">IFERROR(__xludf.DUMMYFUNCTION("""COMPUTED_VALUE"""),103.4)</f>
        <v>103.4</v>
      </c>
      <c r="Q221" s="1">
        <f ca="1">IFERROR(__xludf.DUMMYFUNCTION("""COMPUTED_VALUE"""),168)</f>
        <v>168</v>
      </c>
      <c r="R221" s="1">
        <f ca="1">IFERROR(__xludf.DUMMYFUNCTION("""COMPUTED_VALUE"""),103.7)</f>
        <v>103.7</v>
      </c>
      <c r="S221" s="1">
        <f ca="1">IFERROR(__xludf.DUMMYFUNCTION("""COMPUTED_VALUE"""),163)</f>
        <v>163</v>
      </c>
      <c r="T221" s="1" t="str">
        <f ca="1">IFERROR(__xludf.DUMMYFUNCTION("""COMPUTED_VALUE"""),"+1.88")</f>
        <v>+1.88</v>
      </c>
      <c r="U221" s="1">
        <f ca="1">IFERROR(__xludf.DUMMYFUNCTION("""COMPUTED_VALUE"""),112)</f>
        <v>112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IFERROR(__xludf.DUMMYFUNCTION("""COMPUTED_VALUE"""),"Cal St. Fullerton")</f>
        <v>Cal St. Fullerton</v>
      </c>
      <c r="C222" s="1" t="str">
        <f ca="1">IFERROR(__xludf.DUMMYFUNCTION("""COMPUTED_VALUE"""),"BW")</f>
        <v>BW</v>
      </c>
      <c r="D222" s="2">
        <f ca="1">IFERROR(__xludf.DUMMYFUNCTION("""COMPUTED_VALUE"""),44882)</f>
        <v>44882</v>
      </c>
      <c r="E222" s="1">
        <f ca="1">IFERROR(__xludf.DUMMYFUNCTION("""COMPUTED_VALUE"""),-4.85)</f>
        <v>-4.8499999999999996</v>
      </c>
      <c r="F222" s="1">
        <f ca="1">IFERROR(__xludf.DUMMYFUNCTION("""COMPUTED_VALUE"""),102.9)</f>
        <v>102.9</v>
      </c>
      <c r="G222" s="1">
        <f ca="1">IFERROR(__xludf.DUMMYFUNCTION("""COMPUTED_VALUE"""),160)</f>
        <v>160</v>
      </c>
      <c r="H222" s="1">
        <f ca="1">IFERROR(__xludf.DUMMYFUNCTION("""COMPUTED_VALUE"""),107.8)</f>
        <v>107.8</v>
      </c>
      <c r="I222" s="1">
        <f ca="1">IFERROR(__xludf.DUMMYFUNCTION("""COMPUTED_VALUE"""),252)</f>
        <v>252</v>
      </c>
      <c r="J222" s="1">
        <f ca="1">IFERROR(__xludf.DUMMYFUNCTION("""COMPUTED_VALUE"""),66.5)</f>
        <v>66.5</v>
      </c>
      <c r="K222" s="1">
        <f ca="1">IFERROR(__xludf.DUMMYFUNCTION("""COMPUTED_VALUE"""),134)</f>
        <v>134</v>
      </c>
      <c r="L222" s="1">
        <f ca="1">IFERROR(__xludf.DUMMYFUNCTION("""COMPUTED_VALUE"""),-0.023)</f>
        <v>-2.3E-2</v>
      </c>
      <c r="M222" s="1">
        <f ca="1">IFERROR(__xludf.DUMMYFUNCTION("""COMPUTED_VALUE"""),221)</f>
        <v>221</v>
      </c>
      <c r="N222" s="1">
        <f ca="1">IFERROR(__xludf.DUMMYFUNCTION("""COMPUTED_VALUE"""),-1.4)</f>
        <v>-1.4</v>
      </c>
      <c r="O222" s="1">
        <f ca="1">IFERROR(__xludf.DUMMYFUNCTION("""COMPUTED_VALUE"""),190)</f>
        <v>190</v>
      </c>
      <c r="P222" s="1">
        <f ca="1">IFERROR(__xludf.DUMMYFUNCTION("""COMPUTED_VALUE"""),102.9)</f>
        <v>102.9</v>
      </c>
      <c r="Q222" s="1">
        <f ca="1">IFERROR(__xludf.DUMMYFUNCTION("""COMPUTED_VALUE"""),191)</f>
        <v>191</v>
      </c>
      <c r="R222" s="1">
        <f ca="1">IFERROR(__xludf.DUMMYFUNCTION("""COMPUTED_VALUE"""),104.3)</f>
        <v>104.3</v>
      </c>
      <c r="S222" s="1">
        <f ca="1">IFERROR(__xludf.DUMMYFUNCTION("""COMPUTED_VALUE"""),190)</f>
        <v>190</v>
      </c>
      <c r="T222" s="1">
        <f ca="1">IFERROR(__xludf.DUMMYFUNCTION("""COMPUTED_VALUE"""),-1.22)</f>
        <v>-1.22</v>
      </c>
      <c r="U222" s="1">
        <f ca="1">IFERROR(__xludf.DUMMYFUNCTION("""COMPUTED_VALUE"""),197)</f>
        <v>197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IFERROR(__xludf.DUMMYFUNCTION("""COMPUTED_VALUE"""),"Portland St.")</f>
        <v>Portland St.</v>
      </c>
      <c r="C223" s="1" t="str">
        <f ca="1">IFERROR(__xludf.DUMMYFUNCTION("""COMPUTED_VALUE"""),"BSky")</f>
        <v>BSky</v>
      </c>
      <c r="D223" s="2">
        <f ca="1">IFERROR(__xludf.DUMMYFUNCTION("""COMPUTED_VALUE"""),44881)</f>
        <v>44881</v>
      </c>
      <c r="E223" s="1">
        <f ca="1">IFERROR(__xludf.DUMMYFUNCTION("""COMPUTED_VALUE"""),-4.9)</f>
        <v>-4.9000000000000004</v>
      </c>
      <c r="F223" s="1">
        <f ca="1">IFERROR(__xludf.DUMMYFUNCTION("""COMPUTED_VALUE"""),96.6)</f>
        <v>96.6</v>
      </c>
      <c r="G223" s="1">
        <f ca="1">IFERROR(__xludf.DUMMYFUNCTION("""COMPUTED_VALUE"""),274)</f>
        <v>274</v>
      </c>
      <c r="H223" s="1">
        <f ca="1">IFERROR(__xludf.DUMMYFUNCTION("""COMPUTED_VALUE"""),101.5)</f>
        <v>101.5</v>
      </c>
      <c r="I223" s="1">
        <f ca="1">IFERROR(__xludf.DUMMYFUNCTION("""COMPUTED_VALUE"""),128)</f>
        <v>128</v>
      </c>
      <c r="J223" s="1">
        <f ca="1">IFERROR(__xludf.DUMMYFUNCTION("""COMPUTED_VALUE"""),65.3)</f>
        <v>65.3</v>
      </c>
      <c r="K223" s="1">
        <f ca="1">IFERROR(__xludf.DUMMYFUNCTION("""COMPUTED_VALUE"""),185)</f>
        <v>185</v>
      </c>
      <c r="L223" s="1">
        <f ca="1">IFERROR(__xludf.DUMMYFUNCTION("""COMPUTED_VALUE"""),-0.065)</f>
        <v>-6.5000000000000002E-2</v>
      </c>
      <c r="M223" s="1">
        <f ca="1">IFERROR(__xludf.DUMMYFUNCTION("""COMPUTED_VALUE"""),286)</f>
        <v>286</v>
      </c>
      <c r="N223" s="1">
        <f ca="1">IFERROR(__xludf.DUMMYFUNCTION("""COMPUTED_VALUE"""),-2.15)</f>
        <v>-2.15</v>
      </c>
      <c r="O223" s="1">
        <f ca="1">IFERROR(__xludf.DUMMYFUNCTION("""COMPUTED_VALUE"""),207)</f>
        <v>207</v>
      </c>
      <c r="P223" s="1">
        <f ca="1">IFERROR(__xludf.DUMMYFUNCTION("""COMPUTED_VALUE"""),102.8)</f>
        <v>102.8</v>
      </c>
      <c r="Q223" s="1">
        <f ca="1">IFERROR(__xludf.DUMMYFUNCTION("""COMPUTED_VALUE"""),193)</f>
        <v>193</v>
      </c>
      <c r="R223" s="1">
        <f ca="1">IFERROR(__xludf.DUMMYFUNCTION("""COMPUTED_VALUE"""),105)</f>
        <v>105</v>
      </c>
      <c r="S223" s="1">
        <f ca="1">IFERROR(__xludf.DUMMYFUNCTION("""COMPUTED_VALUE"""),215)</f>
        <v>215</v>
      </c>
      <c r="T223" s="1" t="str">
        <f ca="1">IFERROR(__xludf.DUMMYFUNCTION("""COMPUTED_VALUE"""),"+2.19")</f>
        <v>+2.19</v>
      </c>
      <c r="U223" s="1">
        <f ca="1">IFERROR(__xludf.DUMMYFUNCTION("""COMPUTED_VALUE"""),105)</f>
        <v>105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IFERROR(__xludf.DUMMYFUNCTION("""COMPUTED_VALUE"""),"Siena")</f>
        <v>Siena</v>
      </c>
      <c r="C224" s="1" t="str">
        <f ca="1">IFERROR(__xludf.DUMMYFUNCTION("""COMPUTED_VALUE"""),"MAAC")</f>
        <v>MAAC</v>
      </c>
      <c r="D224" s="1" t="str">
        <f ca="1">IFERROR(__xludf.DUMMYFUNCTION("""COMPUTED_VALUE"""),"14-16")</f>
        <v>14-16</v>
      </c>
      <c r="E224" s="1">
        <f ca="1">IFERROR(__xludf.DUMMYFUNCTION("""COMPUTED_VALUE"""),-5.03)</f>
        <v>-5.03</v>
      </c>
      <c r="F224" s="1">
        <f ca="1">IFERROR(__xludf.DUMMYFUNCTION("""COMPUTED_VALUE"""),100.7)</f>
        <v>100.7</v>
      </c>
      <c r="G224" s="1">
        <f ca="1">IFERROR(__xludf.DUMMYFUNCTION("""COMPUTED_VALUE"""),206)</f>
        <v>206</v>
      </c>
      <c r="H224" s="1">
        <f ca="1">IFERROR(__xludf.DUMMYFUNCTION("""COMPUTED_VALUE"""),105.7)</f>
        <v>105.7</v>
      </c>
      <c r="I224" s="1">
        <f ca="1">IFERROR(__xludf.DUMMYFUNCTION("""COMPUTED_VALUE"""),202)</f>
        <v>202</v>
      </c>
      <c r="J224" s="1">
        <f ca="1">IFERROR(__xludf.DUMMYFUNCTION("""COMPUTED_VALUE"""),67.1)</f>
        <v>67.099999999999994</v>
      </c>
      <c r="K224" s="1">
        <f ca="1">IFERROR(__xludf.DUMMYFUNCTION("""COMPUTED_VALUE"""),116)</f>
        <v>116</v>
      </c>
      <c r="L224" s="1" t="str">
        <f ca="1">IFERROR(__xludf.DUMMYFUNCTION("""COMPUTED_VALUE"""),"+.034")</f>
        <v>+.034</v>
      </c>
      <c r="M224" s="1">
        <f ca="1">IFERROR(__xludf.DUMMYFUNCTION("""COMPUTED_VALUE"""),82)</f>
        <v>82</v>
      </c>
      <c r="N224" s="1">
        <f ca="1">IFERROR(__xludf.DUMMYFUNCTION("""COMPUTED_VALUE"""),-2.61)</f>
        <v>-2.61</v>
      </c>
      <c r="O224" s="1">
        <f ca="1">IFERROR(__xludf.DUMMYFUNCTION("""COMPUTED_VALUE"""),219)</f>
        <v>219</v>
      </c>
      <c r="P224" s="1">
        <f ca="1">IFERROR(__xludf.DUMMYFUNCTION("""COMPUTED_VALUE"""),101.9)</f>
        <v>101.9</v>
      </c>
      <c r="Q224" s="1">
        <f ca="1">IFERROR(__xludf.DUMMYFUNCTION("""COMPUTED_VALUE"""),221)</f>
        <v>221</v>
      </c>
      <c r="R224" s="1">
        <f ca="1">IFERROR(__xludf.DUMMYFUNCTION("""COMPUTED_VALUE"""),104.5)</f>
        <v>104.5</v>
      </c>
      <c r="S224" s="1">
        <f ca="1">IFERROR(__xludf.DUMMYFUNCTION("""COMPUTED_VALUE"""),198)</f>
        <v>198</v>
      </c>
      <c r="T224" s="1" t="str">
        <f ca="1">IFERROR(__xludf.DUMMYFUNCTION("""COMPUTED_VALUE"""),"+2.24")</f>
        <v>+2.24</v>
      </c>
      <c r="U224" s="1">
        <f ca="1">IFERROR(__xludf.DUMMYFUNCTION("""COMPUTED_VALUE"""),104)</f>
        <v>104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IFERROR(__xludf.DUMMYFUNCTION("""COMPUTED_VALUE"""),"Appalachian St.")</f>
        <v>Appalachian St.</v>
      </c>
      <c r="C225" s="1" t="str">
        <f ca="1">IFERROR(__xludf.DUMMYFUNCTION("""COMPUTED_VALUE"""),"SC")</f>
        <v>SC</v>
      </c>
      <c r="D225" s="2">
        <f ca="1">IFERROR(__xludf.DUMMYFUNCTION("""COMPUTED_VALUE"""),44825)</f>
        <v>44825</v>
      </c>
      <c r="E225" s="1">
        <f ca="1">IFERROR(__xludf.DUMMYFUNCTION("""COMPUTED_VALUE"""),-5.05)</f>
        <v>-5.05</v>
      </c>
      <c r="F225" s="1">
        <f ca="1">IFERROR(__xludf.DUMMYFUNCTION("""COMPUTED_VALUE"""),95.6)</f>
        <v>95.6</v>
      </c>
      <c r="G225" s="1">
        <f ca="1">IFERROR(__xludf.DUMMYFUNCTION("""COMPUTED_VALUE"""),284)</f>
        <v>284</v>
      </c>
      <c r="H225" s="1">
        <f ca="1">IFERROR(__xludf.DUMMYFUNCTION("""COMPUTED_VALUE"""),100.7)</f>
        <v>100.7</v>
      </c>
      <c r="I225" s="1">
        <f ca="1">IFERROR(__xludf.DUMMYFUNCTION("""COMPUTED_VALUE"""),114)</f>
        <v>114</v>
      </c>
      <c r="J225" s="1">
        <f ca="1">IFERROR(__xludf.DUMMYFUNCTION("""COMPUTED_VALUE"""),69.9)</f>
        <v>69.900000000000006</v>
      </c>
      <c r="K225" s="1">
        <f ca="1">IFERROR(__xludf.DUMMYFUNCTION("""COMPUTED_VALUE"""),29)</f>
        <v>29</v>
      </c>
      <c r="L225" s="1">
        <f ca="1">IFERROR(__xludf.DUMMYFUNCTION("""COMPUTED_VALUE"""),-0.088)</f>
        <v>-8.7999999999999995E-2</v>
      </c>
      <c r="M225" s="1">
        <f ca="1">IFERROR(__xludf.DUMMYFUNCTION("""COMPUTED_VALUE"""),309)</f>
        <v>309</v>
      </c>
      <c r="N225" s="1" t="str">
        <f ca="1">IFERROR(__xludf.DUMMYFUNCTION("""COMPUTED_VALUE"""),"+0.46")</f>
        <v>+0.46</v>
      </c>
      <c r="O225" s="1">
        <f ca="1">IFERROR(__xludf.DUMMYFUNCTION("""COMPUTED_VALUE"""),146)</f>
        <v>146</v>
      </c>
      <c r="P225" s="1">
        <f ca="1">IFERROR(__xludf.DUMMYFUNCTION("""COMPUTED_VALUE"""),104.1)</f>
        <v>104.1</v>
      </c>
      <c r="Q225" s="1">
        <f ca="1">IFERROR(__xludf.DUMMYFUNCTION("""COMPUTED_VALUE"""),138)</f>
        <v>138</v>
      </c>
      <c r="R225" s="1">
        <f ca="1">IFERROR(__xludf.DUMMYFUNCTION("""COMPUTED_VALUE"""),103.7)</f>
        <v>103.7</v>
      </c>
      <c r="S225" s="1">
        <f ca="1">IFERROR(__xludf.DUMMYFUNCTION("""COMPUTED_VALUE"""),162)</f>
        <v>162</v>
      </c>
      <c r="T225" s="1" t="str">
        <f ca="1">IFERROR(__xludf.DUMMYFUNCTION("""COMPUTED_VALUE"""),"+6.40")</f>
        <v>+6.40</v>
      </c>
      <c r="U225" s="1">
        <f ca="1">IFERROR(__xludf.DUMMYFUNCTION("""COMPUTED_VALUE"""),33)</f>
        <v>33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IFERROR(__xludf.DUMMYFUNCTION("""COMPUTED_VALUE"""),"North Texas")</f>
        <v>North Texas</v>
      </c>
      <c r="C226" s="1" t="str">
        <f ca="1">IFERROR(__xludf.DUMMYFUNCTION("""COMPUTED_VALUE"""),"SB")</f>
        <v>SB</v>
      </c>
      <c r="D226" s="1" t="str">
        <f ca="1">IFERROR(__xludf.DUMMYFUNCTION("""COMPUTED_VALUE"""),"13-15")</f>
        <v>13-15</v>
      </c>
      <c r="E226" s="1">
        <f ca="1">IFERROR(__xludf.DUMMYFUNCTION("""COMPUTED_VALUE"""),-5.06)</f>
        <v>-5.0599999999999996</v>
      </c>
      <c r="F226" s="1">
        <f ca="1">IFERROR(__xludf.DUMMYFUNCTION("""COMPUTED_VALUE"""),101.1)</f>
        <v>101.1</v>
      </c>
      <c r="G226" s="1">
        <f ca="1">IFERROR(__xludf.DUMMYFUNCTION("""COMPUTED_VALUE"""),197)</f>
        <v>197</v>
      </c>
      <c r="H226" s="1">
        <f ca="1">IFERROR(__xludf.DUMMYFUNCTION("""COMPUTED_VALUE"""),106.2)</f>
        <v>106.2</v>
      </c>
      <c r="I226" s="1">
        <f ca="1">IFERROR(__xludf.DUMMYFUNCTION("""COMPUTED_VALUE"""),217)</f>
        <v>217</v>
      </c>
      <c r="J226" s="1">
        <f ca="1">IFERROR(__xludf.DUMMYFUNCTION("""COMPUTED_VALUE"""),69)</f>
        <v>69</v>
      </c>
      <c r="K226" s="1">
        <f ca="1">IFERROR(__xludf.DUMMYFUNCTION("""COMPUTED_VALUE"""),54)</f>
        <v>54</v>
      </c>
      <c r="L226" s="1" t="str">
        <f ca="1">IFERROR(__xludf.DUMMYFUNCTION("""COMPUTED_VALUE"""),"+.025")</f>
        <v>+.025</v>
      </c>
      <c r="M226" s="1">
        <f ca="1">IFERROR(__xludf.DUMMYFUNCTION("""COMPUTED_VALUE"""),102)</f>
        <v>102</v>
      </c>
      <c r="N226" s="1">
        <f ca="1">IFERROR(__xludf.DUMMYFUNCTION("""COMPUTED_VALUE"""),-2.09)</f>
        <v>-2.09</v>
      </c>
      <c r="O226" s="1">
        <f ca="1">IFERROR(__xludf.DUMMYFUNCTION("""COMPUTED_VALUE"""),204)</f>
        <v>204</v>
      </c>
      <c r="P226" s="1">
        <f ca="1">IFERROR(__xludf.DUMMYFUNCTION("""COMPUTED_VALUE"""),102.3)</f>
        <v>102.3</v>
      </c>
      <c r="Q226" s="1">
        <f ca="1">IFERROR(__xludf.DUMMYFUNCTION("""COMPUTED_VALUE"""),206)</f>
        <v>206</v>
      </c>
      <c r="R226" s="1">
        <f ca="1">IFERROR(__xludf.DUMMYFUNCTION("""COMPUTED_VALUE"""),104.4)</f>
        <v>104.4</v>
      </c>
      <c r="S226" s="1">
        <f ca="1">IFERROR(__xludf.DUMMYFUNCTION("""COMPUTED_VALUE"""),195)</f>
        <v>195</v>
      </c>
      <c r="T226" s="1">
        <f ca="1">IFERROR(__xludf.DUMMYFUNCTION("""COMPUTED_VALUE"""),-3.85)</f>
        <v>-3.85</v>
      </c>
      <c r="U226" s="1">
        <f ca="1">IFERROR(__xludf.DUMMYFUNCTION("""COMPUTED_VALUE"""),248)</f>
        <v>248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IFERROR(__xludf.DUMMYFUNCTION("""COMPUTED_VALUE"""),"Texas A&amp;M Corpus Chris")</f>
        <v>Texas A&amp;M Corpus Chris</v>
      </c>
      <c r="C227" s="1" t="str">
        <f ca="1">IFERROR(__xludf.DUMMYFUNCTION("""COMPUTED_VALUE"""),"ind")</f>
        <v>ind</v>
      </c>
      <c r="D227" s="1" t="str">
        <f ca="1">IFERROR(__xludf.DUMMYFUNCTION("""COMPUTED_VALUE"""),"15-11")</f>
        <v>15-11</v>
      </c>
      <c r="E227" s="1">
        <f ca="1">IFERROR(__xludf.DUMMYFUNCTION("""COMPUTED_VALUE"""),-5.13)</f>
        <v>-5.13</v>
      </c>
      <c r="F227" s="1">
        <f ca="1">IFERROR(__xludf.DUMMYFUNCTION("""COMPUTED_VALUE"""),102.4)</f>
        <v>102.4</v>
      </c>
      <c r="G227" s="1">
        <f ca="1">IFERROR(__xludf.DUMMYFUNCTION("""COMPUTED_VALUE"""),170)</f>
        <v>170</v>
      </c>
      <c r="H227" s="1">
        <f ca="1">IFERROR(__xludf.DUMMYFUNCTION("""COMPUTED_VALUE"""),107.5)</f>
        <v>107.5</v>
      </c>
      <c r="I227" s="1">
        <f ca="1">IFERROR(__xludf.DUMMYFUNCTION("""COMPUTED_VALUE"""),248)</f>
        <v>248</v>
      </c>
      <c r="J227" s="1">
        <f ca="1">IFERROR(__xludf.DUMMYFUNCTION("""COMPUTED_VALUE"""),67.6)</f>
        <v>67.599999999999994</v>
      </c>
      <c r="K227" s="1">
        <f ca="1">IFERROR(__xludf.DUMMYFUNCTION("""COMPUTED_VALUE"""),98)</f>
        <v>98</v>
      </c>
      <c r="L227" s="1" t="str">
        <f ca="1">IFERROR(__xludf.DUMMYFUNCTION("""COMPUTED_VALUE"""),"+.033")</f>
        <v>+.033</v>
      </c>
      <c r="M227" s="1">
        <f ca="1">IFERROR(__xludf.DUMMYFUNCTION("""COMPUTED_VALUE"""),84)</f>
        <v>84</v>
      </c>
      <c r="N227" s="1">
        <f ca="1">IFERROR(__xludf.DUMMYFUNCTION("""COMPUTED_VALUE"""),-4.41)</f>
        <v>-4.41</v>
      </c>
      <c r="O227" s="1">
        <f ca="1">IFERROR(__xludf.DUMMYFUNCTION("""COMPUTED_VALUE"""),241)</f>
        <v>241</v>
      </c>
      <c r="P227" s="1">
        <f ca="1">IFERROR(__xludf.DUMMYFUNCTION("""COMPUTED_VALUE"""),100.3)</f>
        <v>100.3</v>
      </c>
      <c r="Q227" s="1">
        <f ca="1">IFERROR(__xludf.DUMMYFUNCTION("""COMPUTED_VALUE"""),251)</f>
        <v>251</v>
      </c>
      <c r="R227" s="1">
        <f ca="1">IFERROR(__xludf.DUMMYFUNCTION("""COMPUTED_VALUE"""),104.8)</f>
        <v>104.8</v>
      </c>
      <c r="S227" s="1">
        <f ca="1">IFERROR(__xludf.DUMMYFUNCTION("""COMPUTED_VALUE"""),208)</f>
        <v>208</v>
      </c>
      <c r="T227" s="1">
        <f ca="1">IFERROR(__xludf.DUMMYFUNCTION("""COMPUTED_VALUE"""),-2.39)</f>
        <v>-2.39</v>
      </c>
      <c r="U227" s="1">
        <f ca="1">IFERROR(__xludf.DUMMYFUNCTION("""COMPUTED_VALUE"""),224)</f>
        <v>224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IFERROR(__xludf.DUMMYFUNCTION("""COMPUTED_VALUE"""),"Eastern Michigan")</f>
        <v>Eastern Michigan</v>
      </c>
      <c r="C228" s="1" t="str">
        <f ca="1">IFERROR(__xludf.DUMMYFUNCTION("""COMPUTED_VALUE"""),"MAC")</f>
        <v>MAC</v>
      </c>
      <c r="D228" s="1" t="str">
        <f ca="1">IFERROR(__xludf.DUMMYFUNCTION("""COMPUTED_VALUE"""),"13-15")</f>
        <v>13-15</v>
      </c>
      <c r="E228" s="1">
        <f ca="1">IFERROR(__xludf.DUMMYFUNCTION("""COMPUTED_VALUE"""),-5.17)</f>
        <v>-5.17</v>
      </c>
      <c r="F228" s="1">
        <f ca="1">IFERROR(__xludf.DUMMYFUNCTION("""COMPUTED_VALUE"""),99.2)</f>
        <v>99.2</v>
      </c>
      <c r="G228" s="1">
        <f ca="1">IFERROR(__xludf.DUMMYFUNCTION("""COMPUTED_VALUE"""),232)</f>
        <v>232</v>
      </c>
      <c r="H228" s="1">
        <f ca="1">IFERROR(__xludf.DUMMYFUNCTION("""COMPUTED_VALUE"""),104.4)</f>
        <v>104.4</v>
      </c>
      <c r="I228" s="1">
        <f ca="1">IFERROR(__xludf.DUMMYFUNCTION("""COMPUTED_VALUE"""),179)</f>
        <v>179</v>
      </c>
      <c r="J228" s="1">
        <f ca="1">IFERROR(__xludf.DUMMYFUNCTION("""COMPUTED_VALUE"""),68)</f>
        <v>68</v>
      </c>
      <c r="K228" s="1">
        <f ca="1">IFERROR(__xludf.DUMMYFUNCTION("""COMPUTED_VALUE"""),87)</f>
        <v>87</v>
      </c>
      <c r="L228" s="1">
        <f ca="1">IFERROR(__xludf.DUMMYFUNCTION("""COMPUTED_VALUE"""),-0.031)</f>
        <v>-3.1E-2</v>
      </c>
      <c r="M228" s="1">
        <f ca="1">IFERROR(__xludf.DUMMYFUNCTION("""COMPUTED_VALUE"""),237)</f>
        <v>237</v>
      </c>
      <c r="N228" s="1">
        <f ca="1">IFERROR(__xludf.DUMMYFUNCTION("""COMPUTED_VALUE"""),-0.63)</f>
        <v>-0.63</v>
      </c>
      <c r="O228" s="1">
        <f ca="1">IFERROR(__xludf.DUMMYFUNCTION("""COMPUTED_VALUE"""),176)</f>
        <v>176</v>
      </c>
      <c r="P228" s="1">
        <f ca="1">IFERROR(__xludf.DUMMYFUNCTION("""COMPUTED_VALUE"""),103.4)</f>
        <v>103.4</v>
      </c>
      <c r="Q228" s="1">
        <f ca="1">IFERROR(__xludf.DUMMYFUNCTION("""COMPUTED_VALUE"""),165)</f>
        <v>165</v>
      </c>
      <c r="R228" s="1">
        <f ca="1">IFERROR(__xludf.DUMMYFUNCTION("""COMPUTED_VALUE"""),104)</f>
        <v>104</v>
      </c>
      <c r="S228" s="1">
        <f ca="1">IFERROR(__xludf.DUMMYFUNCTION("""COMPUTED_VALUE"""),181)</f>
        <v>181</v>
      </c>
      <c r="T228" s="1">
        <f ca="1">IFERROR(__xludf.DUMMYFUNCTION("""COMPUTED_VALUE"""),-5.1)</f>
        <v>-5.0999999999999996</v>
      </c>
      <c r="U228" s="1">
        <f ca="1">IFERROR(__xludf.DUMMYFUNCTION("""COMPUTED_VALUE"""),267)</f>
        <v>267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IFERROR(__xludf.DUMMYFUNCTION("""COMPUTED_VALUE"""),"South Florida")</f>
        <v>South Florida</v>
      </c>
      <c r="C229" s="1" t="str">
        <f ca="1">IFERROR(__xludf.DUMMYFUNCTION("""COMPUTED_VALUE"""),"CUSA")</f>
        <v>CUSA</v>
      </c>
      <c r="D229" s="2">
        <f ca="1">IFERROR(__xludf.DUMMYFUNCTION("""COMPUTED_VALUE"""),44762)</f>
        <v>44762</v>
      </c>
      <c r="E229" s="1">
        <f ca="1">IFERROR(__xludf.DUMMYFUNCTION("""COMPUTED_VALUE"""),-5.21)</f>
        <v>-5.21</v>
      </c>
      <c r="F229" s="1">
        <f ca="1">IFERROR(__xludf.DUMMYFUNCTION("""COMPUTED_VALUE"""),99.7)</f>
        <v>99.7</v>
      </c>
      <c r="G229" s="1">
        <f ca="1">IFERROR(__xludf.DUMMYFUNCTION("""COMPUTED_VALUE"""),226)</f>
        <v>226</v>
      </c>
      <c r="H229" s="1">
        <f ca="1">IFERROR(__xludf.DUMMYFUNCTION("""COMPUTED_VALUE"""),104.9)</f>
        <v>104.9</v>
      </c>
      <c r="I229" s="1">
        <f ca="1">IFERROR(__xludf.DUMMYFUNCTION("""COMPUTED_VALUE"""),187)</f>
        <v>187</v>
      </c>
      <c r="J229" s="1">
        <f ca="1">IFERROR(__xludf.DUMMYFUNCTION("""COMPUTED_VALUE"""),63.5)</f>
        <v>63.5</v>
      </c>
      <c r="K229" s="1">
        <f ca="1">IFERROR(__xludf.DUMMYFUNCTION("""COMPUTED_VALUE"""),250)</f>
        <v>250</v>
      </c>
      <c r="L229" s="1">
        <f ca="1">IFERROR(__xludf.DUMMYFUNCTION("""COMPUTED_VALUE"""),-0.044)</f>
        <v>-4.3999999999999997E-2</v>
      </c>
      <c r="M229" s="1">
        <f ca="1">IFERROR(__xludf.DUMMYFUNCTION("""COMPUTED_VALUE"""),259)</f>
        <v>259</v>
      </c>
      <c r="N229" s="1" t="str">
        <f ca="1">IFERROR(__xludf.DUMMYFUNCTION("""COMPUTED_VALUE"""),"+4.40")</f>
        <v>+4.40</v>
      </c>
      <c r="O229" s="1">
        <f ca="1">IFERROR(__xludf.DUMMYFUNCTION("""COMPUTED_VALUE"""),90)</f>
        <v>90</v>
      </c>
      <c r="P229" s="1">
        <f ca="1">IFERROR(__xludf.DUMMYFUNCTION("""COMPUTED_VALUE"""),104.7)</f>
        <v>104.7</v>
      </c>
      <c r="Q229" s="1">
        <f ca="1">IFERROR(__xludf.DUMMYFUNCTION("""COMPUTED_VALUE"""),120)</f>
        <v>120</v>
      </c>
      <c r="R229" s="1">
        <f ca="1">IFERROR(__xludf.DUMMYFUNCTION("""COMPUTED_VALUE"""),100.3)</f>
        <v>100.3</v>
      </c>
      <c r="S229" s="1">
        <f ca="1">IFERROR(__xludf.DUMMYFUNCTION("""COMPUTED_VALUE"""),54)</f>
        <v>54</v>
      </c>
      <c r="T229" s="1" t="str">
        <f ca="1">IFERROR(__xludf.DUMMYFUNCTION("""COMPUTED_VALUE"""),"+0.47")</f>
        <v>+0.47</v>
      </c>
      <c r="U229" s="1">
        <f ca="1">IFERROR(__xludf.DUMMYFUNCTION("""COMPUTED_VALUE"""),151)</f>
        <v>151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IFERROR(__xludf.DUMMYFUNCTION("""COMPUTED_VALUE"""),"Lafayette")</f>
        <v>Lafayette</v>
      </c>
      <c r="C230" s="1" t="str">
        <f ca="1">IFERROR(__xludf.DUMMYFUNCTION("""COMPUTED_VALUE"""),"Pat")</f>
        <v>Pat</v>
      </c>
      <c r="D230" s="1" t="str">
        <f ca="1">IFERROR(__xludf.DUMMYFUNCTION("""COMPUTED_VALUE"""),"18-10")</f>
        <v>18-10</v>
      </c>
      <c r="E230" s="1">
        <f ca="1">IFERROR(__xludf.DUMMYFUNCTION("""COMPUTED_VALUE"""),-5.28)</f>
        <v>-5.28</v>
      </c>
      <c r="F230" s="1">
        <f ca="1">IFERROR(__xludf.DUMMYFUNCTION("""COMPUTED_VALUE"""),106.6)</f>
        <v>106.6</v>
      </c>
      <c r="G230" s="1">
        <f ca="1">IFERROR(__xludf.DUMMYFUNCTION("""COMPUTED_VALUE"""),102)</f>
        <v>102</v>
      </c>
      <c r="H230" s="1">
        <f ca="1">IFERROR(__xludf.DUMMYFUNCTION("""COMPUTED_VALUE"""),111.9)</f>
        <v>111.9</v>
      </c>
      <c r="I230" s="1">
        <f ca="1">IFERROR(__xludf.DUMMYFUNCTION("""COMPUTED_VALUE"""),309)</f>
        <v>309</v>
      </c>
      <c r="J230" s="1">
        <f ca="1">IFERROR(__xludf.DUMMYFUNCTION("""COMPUTED_VALUE"""),68.2)</f>
        <v>68.2</v>
      </c>
      <c r="K230" s="1">
        <f ca="1">IFERROR(__xludf.DUMMYFUNCTION("""COMPUTED_VALUE"""),74)</f>
        <v>74</v>
      </c>
      <c r="L230" s="1" t="str">
        <f ca="1">IFERROR(__xludf.DUMMYFUNCTION("""COMPUTED_VALUE"""),"+.074")</f>
        <v>+.074</v>
      </c>
      <c r="M230" s="1">
        <f ca="1">IFERROR(__xludf.DUMMYFUNCTION("""COMPUTED_VALUE"""),26)</f>
        <v>26</v>
      </c>
      <c r="N230" s="1">
        <f ca="1">IFERROR(__xludf.DUMMYFUNCTION("""COMPUTED_VALUE"""),-6.81)</f>
        <v>-6.81</v>
      </c>
      <c r="O230" s="1">
        <f ca="1">IFERROR(__xludf.DUMMYFUNCTION("""COMPUTED_VALUE"""),266)</f>
        <v>266</v>
      </c>
      <c r="P230" s="1">
        <f ca="1">IFERROR(__xludf.DUMMYFUNCTION("""COMPUTED_VALUE"""),97.8)</f>
        <v>97.8</v>
      </c>
      <c r="Q230" s="1">
        <f ca="1">IFERROR(__xludf.DUMMYFUNCTION("""COMPUTED_VALUE"""),291)</f>
        <v>291</v>
      </c>
      <c r="R230" s="1">
        <f ca="1">IFERROR(__xludf.DUMMYFUNCTION("""COMPUTED_VALUE"""),104.6)</f>
        <v>104.6</v>
      </c>
      <c r="S230" s="1">
        <f ca="1">IFERROR(__xludf.DUMMYFUNCTION("""COMPUTED_VALUE"""),204)</f>
        <v>204</v>
      </c>
      <c r="T230" s="1" t="str">
        <f ca="1">IFERROR(__xludf.DUMMYFUNCTION("""COMPUTED_VALUE"""),"+0.83")</f>
        <v>+0.83</v>
      </c>
      <c r="U230" s="1">
        <f ca="1">IFERROR(__xludf.DUMMYFUNCTION("""COMPUTED_VALUE"""),142)</f>
        <v>142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IFERROR(__xludf.DUMMYFUNCTION("""COMPUTED_VALUE"""),"South Carolina St.")</f>
        <v>South Carolina St.</v>
      </c>
      <c r="C231" s="1" t="str">
        <f ca="1">IFERROR(__xludf.DUMMYFUNCTION("""COMPUTED_VALUE"""),"MEAC")</f>
        <v>MEAC</v>
      </c>
      <c r="D231" s="1" t="str">
        <f ca="1">IFERROR(__xludf.DUMMYFUNCTION("""COMPUTED_VALUE"""),"18-11")</f>
        <v>18-11</v>
      </c>
      <c r="E231" s="1">
        <f ca="1">IFERROR(__xludf.DUMMYFUNCTION("""COMPUTED_VALUE"""),-5.32)</f>
        <v>-5.32</v>
      </c>
      <c r="F231" s="1">
        <f ca="1">IFERROR(__xludf.DUMMYFUNCTION("""COMPUTED_VALUE"""),101)</f>
        <v>101</v>
      </c>
      <c r="G231" s="1">
        <f ca="1">IFERROR(__xludf.DUMMYFUNCTION("""COMPUTED_VALUE"""),201)</f>
        <v>201</v>
      </c>
      <c r="H231" s="1">
        <f ca="1">IFERROR(__xludf.DUMMYFUNCTION("""COMPUTED_VALUE"""),106.3)</f>
        <v>106.3</v>
      </c>
      <c r="I231" s="1">
        <f ca="1">IFERROR(__xludf.DUMMYFUNCTION("""COMPUTED_VALUE"""),221)</f>
        <v>221</v>
      </c>
      <c r="J231" s="1">
        <f ca="1">IFERROR(__xludf.DUMMYFUNCTION("""COMPUTED_VALUE"""),65.5)</f>
        <v>65.5</v>
      </c>
      <c r="K231" s="1">
        <f ca="1">IFERROR(__xludf.DUMMYFUNCTION("""COMPUTED_VALUE"""),177)</f>
        <v>177</v>
      </c>
      <c r="L231" s="1" t="str">
        <f ca="1">IFERROR(__xludf.DUMMYFUNCTION("""COMPUTED_VALUE"""),"+.019")</f>
        <v>+.019</v>
      </c>
      <c r="M231" s="1">
        <f ca="1">IFERROR(__xludf.DUMMYFUNCTION("""COMPUTED_VALUE"""),121)</f>
        <v>121</v>
      </c>
      <c r="N231" s="1">
        <f ca="1">IFERROR(__xludf.DUMMYFUNCTION("""COMPUTED_VALUE"""),-11.89)</f>
        <v>-11.89</v>
      </c>
      <c r="O231" s="1">
        <f ca="1">IFERROR(__xludf.DUMMYFUNCTION("""COMPUTED_VALUE"""),318)</f>
        <v>318</v>
      </c>
      <c r="P231" s="1">
        <f ca="1">IFERROR(__xludf.DUMMYFUNCTION("""COMPUTED_VALUE"""),95.6)</f>
        <v>95.6</v>
      </c>
      <c r="Q231" s="1">
        <f ca="1">IFERROR(__xludf.DUMMYFUNCTION("""COMPUTED_VALUE"""),312)</f>
        <v>312</v>
      </c>
      <c r="R231" s="1">
        <f ca="1">IFERROR(__xludf.DUMMYFUNCTION("""COMPUTED_VALUE"""),107.5)</f>
        <v>107.5</v>
      </c>
      <c r="S231" s="1">
        <f ca="1">IFERROR(__xludf.DUMMYFUNCTION("""COMPUTED_VALUE"""),311)</f>
        <v>311</v>
      </c>
      <c r="T231" s="1" t="str">
        <f ca="1">IFERROR(__xludf.DUMMYFUNCTION("""COMPUTED_VALUE"""),"+4.45")</f>
        <v>+4.45</v>
      </c>
      <c r="U231" s="1">
        <f ca="1">IFERROR(__xludf.DUMMYFUNCTION("""COMPUTED_VALUE"""),55)</f>
        <v>55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IFERROR(__xludf.DUMMYFUNCTION("""COMPUTED_VALUE"""),"Houston")</f>
        <v>Houston</v>
      </c>
      <c r="C232" s="1" t="str">
        <f ca="1">IFERROR(__xludf.DUMMYFUNCTION("""COMPUTED_VALUE"""),"CUSA")</f>
        <v>CUSA</v>
      </c>
      <c r="D232" s="2">
        <f ca="1">IFERROR(__xludf.DUMMYFUNCTION("""COMPUTED_VALUE"""),44822)</f>
        <v>44822</v>
      </c>
      <c r="E232" s="1">
        <f ca="1">IFERROR(__xludf.DUMMYFUNCTION("""COMPUTED_VALUE"""),-5.5)</f>
        <v>-5.5</v>
      </c>
      <c r="F232" s="1">
        <f ca="1">IFERROR(__xludf.DUMMYFUNCTION("""COMPUTED_VALUE"""),93.9)</f>
        <v>93.9</v>
      </c>
      <c r="G232" s="1">
        <f ca="1">IFERROR(__xludf.DUMMYFUNCTION("""COMPUTED_VALUE"""),294)</f>
        <v>294</v>
      </c>
      <c r="H232" s="1">
        <f ca="1">IFERROR(__xludf.DUMMYFUNCTION("""COMPUTED_VALUE"""),99.4)</f>
        <v>99.4</v>
      </c>
      <c r="I232" s="1">
        <f ca="1">IFERROR(__xludf.DUMMYFUNCTION("""COMPUTED_VALUE"""),91)</f>
        <v>91</v>
      </c>
      <c r="J232" s="1">
        <f ca="1">IFERROR(__xludf.DUMMYFUNCTION("""COMPUTED_VALUE"""),61)</f>
        <v>61</v>
      </c>
      <c r="K232" s="1">
        <f ca="1">IFERROR(__xludf.DUMMYFUNCTION("""COMPUTED_VALUE"""),308)</f>
        <v>308</v>
      </c>
      <c r="L232" s="1" t="str">
        <f ca="1">IFERROR(__xludf.DUMMYFUNCTION("""COMPUTED_VALUE"""),"+.020")</f>
        <v>+.020</v>
      </c>
      <c r="M232" s="1">
        <f ca="1">IFERROR(__xludf.DUMMYFUNCTION("""COMPUTED_VALUE"""),117)</f>
        <v>117</v>
      </c>
      <c r="N232" s="1" t="str">
        <f ca="1">IFERROR(__xludf.DUMMYFUNCTION("""COMPUTED_VALUE"""),"+2.28")</f>
        <v>+2.28</v>
      </c>
      <c r="O232" s="1">
        <f ca="1">IFERROR(__xludf.DUMMYFUNCTION("""COMPUTED_VALUE"""),118)</f>
        <v>118</v>
      </c>
      <c r="P232" s="1">
        <f ca="1">IFERROR(__xludf.DUMMYFUNCTION("""COMPUTED_VALUE"""),104.6)</f>
        <v>104.6</v>
      </c>
      <c r="Q232" s="1">
        <f ca="1">IFERROR(__xludf.DUMMYFUNCTION("""COMPUTED_VALUE"""),126)</f>
        <v>126</v>
      </c>
      <c r="R232" s="1">
        <f ca="1">IFERROR(__xludf.DUMMYFUNCTION("""COMPUTED_VALUE"""),102.3)</f>
        <v>102.3</v>
      </c>
      <c r="S232" s="1">
        <f ca="1">IFERROR(__xludf.DUMMYFUNCTION("""COMPUTED_VALUE"""),118)</f>
        <v>118</v>
      </c>
      <c r="T232" s="1">
        <f ca="1">IFERROR(__xludf.DUMMYFUNCTION("""COMPUTED_VALUE"""),-2.49)</f>
        <v>-2.4900000000000002</v>
      </c>
      <c r="U232" s="1">
        <f ca="1">IFERROR(__xludf.DUMMYFUNCTION("""COMPUTED_VALUE"""),227)</f>
        <v>227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IFERROR(__xludf.DUMMYFUNCTION("""COMPUTED_VALUE"""),"Southeast Missouri St.")</f>
        <v>Southeast Missouri St.</v>
      </c>
      <c r="C233" s="1" t="str">
        <f ca="1">IFERROR(__xludf.DUMMYFUNCTION("""COMPUTED_VALUE"""),"OVC")</f>
        <v>OVC</v>
      </c>
      <c r="D233" s="2">
        <f ca="1">IFERROR(__xludf.DUMMYFUNCTION("""COMPUTED_VALUE"""),44881)</f>
        <v>44881</v>
      </c>
      <c r="E233" s="1">
        <f ca="1">IFERROR(__xludf.DUMMYFUNCTION("""COMPUTED_VALUE"""),-5.66)</f>
        <v>-5.66</v>
      </c>
      <c r="F233" s="1">
        <f ca="1">IFERROR(__xludf.DUMMYFUNCTION("""COMPUTED_VALUE"""),107.4)</f>
        <v>107.4</v>
      </c>
      <c r="G233" s="1">
        <f ca="1">IFERROR(__xludf.DUMMYFUNCTION("""COMPUTED_VALUE"""),90)</f>
        <v>90</v>
      </c>
      <c r="H233" s="1">
        <f ca="1">IFERROR(__xludf.DUMMYFUNCTION("""COMPUTED_VALUE"""),113.1)</f>
        <v>113.1</v>
      </c>
      <c r="I233" s="1">
        <f ca="1">IFERROR(__xludf.DUMMYFUNCTION("""COMPUTED_VALUE"""),319)</f>
        <v>319</v>
      </c>
      <c r="J233" s="1">
        <f ca="1">IFERROR(__xludf.DUMMYFUNCTION("""COMPUTED_VALUE"""),63.5)</f>
        <v>63.5</v>
      </c>
      <c r="K233" s="1">
        <f ca="1">IFERROR(__xludf.DUMMYFUNCTION("""COMPUTED_VALUE"""),251)</f>
        <v>251</v>
      </c>
      <c r="L233" s="1">
        <f ca="1">IFERROR(__xludf.DUMMYFUNCTION("""COMPUTED_VALUE"""),-0.048)</f>
        <v>-4.8000000000000001E-2</v>
      </c>
      <c r="M233" s="1">
        <f ca="1">IFERROR(__xludf.DUMMYFUNCTION("""COMPUTED_VALUE"""),265)</f>
        <v>265</v>
      </c>
      <c r="N233" s="1">
        <f ca="1">IFERROR(__xludf.DUMMYFUNCTION("""COMPUTED_VALUE"""),-2.94)</f>
        <v>-2.94</v>
      </c>
      <c r="O233" s="1">
        <f ca="1">IFERROR(__xludf.DUMMYFUNCTION("""COMPUTED_VALUE"""),222)</f>
        <v>222</v>
      </c>
      <c r="P233" s="1">
        <f ca="1">IFERROR(__xludf.DUMMYFUNCTION("""COMPUTED_VALUE"""),102.8)</f>
        <v>102.8</v>
      </c>
      <c r="Q233" s="1">
        <f ca="1">IFERROR(__xludf.DUMMYFUNCTION("""COMPUTED_VALUE"""),192)</f>
        <v>192</v>
      </c>
      <c r="R233" s="1">
        <f ca="1">IFERROR(__xludf.DUMMYFUNCTION("""COMPUTED_VALUE"""),105.8)</f>
        <v>105.8</v>
      </c>
      <c r="S233" s="1">
        <f ca="1">IFERROR(__xludf.DUMMYFUNCTION("""COMPUTED_VALUE"""),255)</f>
        <v>255</v>
      </c>
      <c r="T233" s="1" t="str">
        <f ca="1">IFERROR(__xludf.DUMMYFUNCTION("""COMPUTED_VALUE"""),"+1.45")</f>
        <v>+1.45</v>
      </c>
      <c r="U233" s="1">
        <f ca="1">IFERROR(__xludf.DUMMYFUNCTION("""COMPUTED_VALUE"""),126)</f>
        <v>126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IFERROR(__xludf.DUMMYFUNCTION("""COMPUTED_VALUE"""),"Montana St.")</f>
        <v>Montana St.</v>
      </c>
      <c r="C234" s="1" t="str">
        <f ca="1">IFERROR(__xludf.DUMMYFUNCTION("""COMPUTED_VALUE"""),"BSky")</f>
        <v>BSky</v>
      </c>
      <c r="D234" s="1" t="str">
        <f ca="1">IFERROR(__xludf.DUMMYFUNCTION("""COMPUTED_VALUE"""),"14-13")</f>
        <v>14-13</v>
      </c>
      <c r="E234" s="1">
        <f ca="1">IFERROR(__xludf.DUMMYFUNCTION("""COMPUTED_VALUE"""),-5.69)</f>
        <v>-5.69</v>
      </c>
      <c r="F234" s="1">
        <f ca="1">IFERROR(__xludf.DUMMYFUNCTION("""COMPUTED_VALUE"""),97.1)</f>
        <v>97.1</v>
      </c>
      <c r="G234" s="1">
        <f ca="1">IFERROR(__xludf.DUMMYFUNCTION("""COMPUTED_VALUE"""),268)</f>
        <v>268</v>
      </c>
      <c r="H234" s="1">
        <f ca="1">IFERROR(__xludf.DUMMYFUNCTION("""COMPUTED_VALUE"""),102.8)</f>
        <v>102.8</v>
      </c>
      <c r="I234" s="1">
        <f ca="1">IFERROR(__xludf.DUMMYFUNCTION("""COMPUTED_VALUE"""),159)</f>
        <v>159</v>
      </c>
      <c r="J234" s="1">
        <f ca="1">IFERROR(__xludf.DUMMYFUNCTION("""COMPUTED_VALUE"""),66)</f>
        <v>66</v>
      </c>
      <c r="K234" s="1">
        <f ca="1">IFERROR(__xludf.DUMMYFUNCTION("""COMPUTED_VALUE"""),154)</f>
        <v>154</v>
      </c>
      <c r="L234" s="1" t="str">
        <f ca="1">IFERROR(__xludf.DUMMYFUNCTION("""COMPUTED_VALUE"""),"+.010")</f>
        <v>+.010</v>
      </c>
      <c r="M234" s="1">
        <f ca="1">IFERROR(__xludf.DUMMYFUNCTION("""COMPUTED_VALUE"""),142)</f>
        <v>142</v>
      </c>
      <c r="N234" s="1">
        <f ca="1">IFERROR(__xludf.DUMMYFUNCTION("""COMPUTED_VALUE"""),-5.54)</f>
        <v>-5.54</v>
      </c>
      <c r="O234" s="1">
        <f ca="1">IFERROR(__xludf.DUMMYFUNCTION("""COMPUTED_VALUE"""),252)</f>
        <v>252</v>
      </c>
      <c r="P234" s="1">
        <f ca="1">IFERROR(__xludf.DUMMYFUNCTION("""COMPUTED_VALUE"""),100.6)</f>
        <v>100.6</v>
      </c>
      <c r="Q234" s="1">
        <f ca="1">IFERROR(__xludf.DUMMYFUNCTION("""COMPUTED_VALUE"""),247)</f>
        <v>247</v>
      </c>
      <c r="R234" s="1">
        <f ca="1">IFERROR(__xludf.DUMMYFUNCTION("""COMPUTED_VALUE"""),106.1)</f>
        <v>106.1</v>
      </c>
      <c r="S234" s="1">
        <f ca="1">IFERROR(__xludf.DUMMYFUNCTION("""COMPUTED_VALUE"""),274)</f>
        <v>274</v>
      </c>
      <c r="T234" s="1">
        <f ca="1">IFERROR(__xludf.DUMMYFUNCTION("""COMPUTED_VALUE"""),-6.6)</f>
        <v>-6.6</v>
      </c>
      <c r="U234" s="1">
        <f ca="1">IFERROR(__xludf.DUMMYFUNCTION("""COMPUTED_VALUE"""),289)</f>
        <v>289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IFERROR(__xludf.DUMMYFUNCTION("""COMPUTED_VALUE"""),"Northern Illinois")</f>
        <v>Northern Illinois</v>
      </c>
      <c r="C235" s="1" t="str">
        <f ca="1">IFERROR(__xludf.DUMMYFUNCTION("""COMPUTED_VALUE"""),"MAC")</f>
        <v>MAC</v>
      </c>
      <c r="D235" s="2">
        <f ca="1">IFERROR(__xludf.DUMMYFUNCTION("""COMPUTED_VALUE"""),44854)</f>
        <v>44854</v>
      </c>
      <c r="E235" s="1">
        <f ca="1">IFERROR(__xludf.DUMMYFUNCTION("""COMPUTED_VALUE"""),-5.89)</f>
        <v>-5.89</v>
      </c>
      <c r="F235" s="1">
        <f ca="1">IFERROR(__xludf.DUMMYFUNCTION("""COMPUTED_VALUE"""),100.6)</f>
        <v>100.6</v>
      </c>
      <c r="G235" s="1">
        <f ca="1">IFERROR(__xludf.DUMMYFUNCTION("""COMPUTED_VALUE"""),208)</f>
        <v>208</v>
      </c>
      <c r="H235" s="1">
        <f ca="1">IFERROR(__xludf.DUMMYFUNCTION("""COMPUTED_VALUE"""),106.5)</f>
        <v>106.5</v>
      </c>
      <c r="I235" s="1">
        <f ca="1">IFERROR(__xludf.DUMMYFUNCTION("""COMPUTED_VALUE"""),231)</f>
        <v>231</v>
      </c>
      <c r="J235" s="1">
        <f ca="1">IFERROR(__xludf.DUMMYFUNCTION("""COMPUTED_VALUE"""),64.5)</f>
        <v>64.5</v>
      </c>
      <c r="K235" s="1">
        <f ca="1">IFERROR(__xludf.DUMMYFUNCTION("""COMPUTED_VALUE"""),214)</f>
        <v>214</v>
      </c>
      <c r="L235" s="1">
        <f ca="1">IFERROR(__xludf.DUMMYFUNCTION("""COMPUTED_VALUE"""),-0.069)</f>
        <v>-6.9000000000000006E-2</v>
      </c>
      <c r="M235" s="1">
        <f ca="1">IFERROR(__xludf.DUMMYFUNCTION("""COMPUTED_VALUE"""),292)</f>
        <v>292</v>
      </c>
      <c r="N235" s="1">
        <f ca="1">IFERROR(__xludf.DUMMYFUNCTION("""COMPUTED_VALUE"""),-0.01)</f>
        <v>-0.01</v>
      </c>
      <c r="O235" s="1">
        <f ca="1">IFERROR(__xludf.DUMMYFUNCTION("""COMPUTED_VALUE"""),154)</f>
        <v>154</v>
      </c>
      <c r="P235" s="1">
        <f ca="1">IFERROR(__xludf.DUMMYFUNCTION("""COMPUTED_VALUE"""),103.8)</f>
        <v>103.8</v>
      </c>
      <c r="Q235" s="1">
        <f ca="1">IFERROR(__xludf.DUMMYFUNCTION("""COMPUTED_VALUE"""),148)</f>
        <v>148</v>
      </c>
      <c r="R235" s="1">
        <f ca="1">IFERROR(__xludf.DUMMYFUNCTION("""COMPUTED_VALUE"""),103.8)</f>
        <v>103.8</v>
      </c>
      <c r="S235" s="1">
        <f ca="1">IFERROR(__xludf.DUMMYFUNCTION("""COMPUTED_VALUE"""),170)</f>
        <v>170</v>
      </c>
      <c r="T235" s="1" t="str">
        <f ca="1">IFERROR(__xludf.DUMMYFUNCTION("""COMPUTED_VALUE"""),"+0.80")</f>
        <v>+0.80</v>
      </c>
      <c r="U235" s="1">
        <f ca="1">IFERROR(__xludf.DUMMYFUNCTION("""COMPUTED_VALUE"""),144)</f>
        <v>144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IFERROR(__xludf.DUMMYFUNCTION("""COMPUTED_VALUE"""),"Rider")</f>
        <v>Rider</v>
      </c>
      <c r="C236" s="1" t="str">
        <f ca="1">IFERROR(__xludf.DUMMYFUNCTION("""COMPUTED_VALUE"""),"MAAC")</f>
        <v>MAAC</v>
      </c>
      <c r="D236" s="1" t="str">
        <f ca="1">IFERROR(__xludf.DUMMYFUNCTION("""COMPUTED_VALUE"""),"17-14")</f>
        <v>17-14</v>
      </c>
      <c r="E236" s="1">
        <f ca="1">IFERROR(__xludf.DUMMYFUNCTION("""COMPUTED_VALUE"""),-6.17)</f>
        <v>-6.17</v>
      </c>
      <c r="F236" s="1">
        <f ca="1">IFERROR(__xludf.DUMMYFUNCTION("""COMPUTED_VALUE"""),100)</f>
        <v>100</v>
      </c>
      <c r="G236" s="1">
        <f ca="1">IFERROR(__xludf.DUMMYFUNCTION("""COMPUTED_VALUE"""),217)</f>
        <v>217</v>
      </c>
      <c r="H236" s="1">
        <f ca="1">IFERROR(__xludf.DUMMYFUNCTION("""COMPUTED_VALUE"""),106.1)</f>
        <v>106.1</v>
      </c>
      <c r="I236" s="1">
        <f ca="1">IFERROR(__xludf.DUMMYFUNCTION("""COMPUTED_VALUE"""),214)</f>
        <v>214</v>
      </c>
      <c r="J236" s="1">
        <f ca="1">IFERROR(__xludf.DUMMYFUNCTION("""COMPUTED_VALUE"""),63.8)</f>
        <v>63.8</v>
      </c>
      <c r="K236" s="1">
        <f ca="1">IFERROR(__xludf.DUMMYFUNCTION("""COMPUTED_VALUE"""),240)</f>
        <v>240</v>
      </c>
      <c r="L236" s="1" t="str">
        <f ca="1">IFERROR(__xludf.DUMMYFUNCTION("""COMPUTED_VALUE"""),"+.095")</f>
        <v>+.095</v>
      </c>
      <c r="M236" s="1">
        <f ca="1">IFERROR(__xludf.DUMMYFUNCTION("""COMPUTED_VALUE"""),14)</f>
        <v>14</v>
      </c>
      <c r="N236" s="1">
        <f ca="1">IFERROR(__xludf.DUMMYFUNCTION("""COMPUTED_VALUE"""),-5.34)</f>
        <v>-5.34</v>
      </c>
      <c r="O236" s="1">
        <f ca="1">IFERROR(__xludf.DUMMYFUNCTION("""COMPUTED_VALUE"""),250)</f>
        <v>250</v>
      </c>
      <c r="P236" s="1">
        <f ca="1">IFERROR(__xludf.DUMMYFUNCTION("""COMPUTED_VALUE"""),100.7)</f>
        <v>100.7</v>
      </c>
      <c r="Q236" s="1">
        <f ca="1">IFERROR(__xludf.DUMMYFUNCTION("""COMPUTED_VALUE"""),245)</f>
        <v>245</v>
      </c>
      <c r="R236" s="1">
        <f ca="1">IFERROR(__xludf.DUMMYFUNCTION("""COMPUTED_VALUE"""),106)</f>
        <v>106</v>
      </c>
      <c r="S236" s="1">
        <f ca="1">IFERROR(__xludf.DUMMYFUNCTION("""COMPUTED_VALUE"""),268)</f>
        <v>268</v>
      </c>
      <c r="T236" s="1">
        <f ca="1">IFERROR(__xludf.DUMMYFUNCTION("""COMPUTED_VALUE"""),-6.68)</f>
        <v>-6.68</v>
      </c>
      <c r="U236" s="1">
        <f ca="1">IFERROR(__xludf.DUMMYFUNCTION("""COMPUTED_VALUE"""),292)</f>
        <v>292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IFERROR(__xludf.DUMMYFUNCTION("""COMPUTED_VALUE"""),"Tulane")</f>
        <v>Tulane</v>
      </c>
      <c r="C237" s="1" t="str">
        <f ca="1">IFERROR(__xludf.DUMMYFUNCTION("""COMPUTED_VALUE"""),"CUSA")</f>
        <v>CUSA</v>
      </c>
      <c r="D237" s="2">
        <f ca="1">IFERROR(__xludf.DUMMYFUNCTION("""COMPUTED_VALUE"""),44882)</f>
        <v>44882</v>
      </c>
      <c r="E237" s="1">
        <f ca="1">IFERROR(__xludf.DUMMYFUNCTION("""COMPUTED_VALUE"""),-6.21)</f>
        <v>-6.21</v>
      </c>
      <c r="F237" s="1">
        <f ca="1">IFERROR(__xludf.DUMMYFUNCTION("""COMPUTED_VALUE"""),97.8)</f>
        <v>97.8</v>
      </c>
      <c r="G237" s="1">
        <f ca="1">IFERROR(__xludf.DUMMYFUNCTION("""COMPUTED_VALUE"""),258)</f>
        <v>258</v>
      </c>
      <c r="H237" s="1">
        <f ca="1">IFERROR(__xludf.DUMMYFUNCTION("""COMPUTED_VALUE"""),104)</f>
        <v>104</v>
      </c>
      <c r="I237" s="1">
        <f ca="1">IFERROR(__xludf.DUMMYFUNCTION("""COMPUTED_VALUE"""),176)</f>
        <v>176</v>
      </c>
      <c r="J237" s="1">
        <f ca="1">IFERROR(__xludf.DUMMYFUNCTION("""COMPUTED_VALUE"""),66.8)</f>
        <v>66.8</v>
      </c>
      <c r="K237" s="1">
        <f ca="1">IFERROR(__xludf.DUMMYFUNCTION("""COMPUTED_VALUE"""),124)</f>
        <v>124</v>
      </c>
      <c r="L237" s="1" t="str">
        <f ca="1">IFERROR(__xludf.DUMMYFUNCTION("""COMPUTED_VALUE"""),"+.009")</f>
        <v>+.009</v>
      </c>
      <c r="M237" s="1">
        <f ca="1">IFERROR(__xludf.DUMMYFUNCTION("""COMPUTED_VALUE"""),144)</f>
        <v>144</v>
      </c>
      <c r="N237" s="1" t="str">
        <f ca="1">IFERROR(__xludf.DUMMYFUNCTION("""COMPUTED_VALUE"""),"+1.41")</f>
        <v>+1.41</v>
      </c>
      <c r="O237" s="1">
        <f ca="1">IFERROR(__xludf.DUMMYFUNCTION("""COMPUTED_VALUE"""),136)</f>
        <v>136</v>
      </c>
      <c r="P237" s="1">
        <f ca="1">IFERROR(__xludf.DUMMYFUNCTION("""COMPUTED_VALUE"""),103)</f>
        <v>103</v>
      </c>
      <c r="Q237" s="1">
        <f ca="1">IFERROR(__xludf.DUMMYFUNCTION("""COMPUTED_VALUE"""),181)</f>
        <v>181</v>
      </c>
      <c r="R237" s="1">
        <f ca="1">IFERROR(__xludf.DUMMYFUNCTION("""COMPUTED_VALUE"""),101.6)</f>
        <v>101.6</v>
      </c>
      <c r="S237" s="1">
        <f ca="1">IFERROR(__xludf.DUMMYFUNCTION("""COMPUTED_VALUE"""),102)</f>
        <v>102</v>
      </c>
      <c r="T237" s="1">
        <f ca="1">IFERROR(__xludf.DUMMYFUNCTION("""COMPUTED_VALUE"""),-12.62)</f>
        <v>-12.62</v>
      </c>
      <c r="U237" s="1">
        <f ca="1">IFERROR(__xludf.DUMMYFUNCTION("""COMPUTED_VALUE"""),322)</f>
        <v>322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IFERROR(__xludf.DUMMYFUNCTION("""COMPUTED_VALUE"""),"Fairleigh Dickinson")</f>
        <v>Fairleigh Dickinson</v>
      </c>
      <c r="C238" s="1" t="str">
        <f ca="1">IFERROR(__xludf.DUMMYFUNCTION("""COMPUTED_VALUE"""),"NEC")</f>
        <v>NEC</v>
      </c>
      <c r="D238" s="1" t="str">
        <f ca="1">IFERROR(__xludf.DUMMYFUNCTION("""COMPUTED_VALUE"""),"17-12")</f>
        <v>17-12</v>
      </c>
      <c r="E238" s="1">
        <f ca="1">IFERROR(__xludf.DUMMYFUNCTION("""COMPUTED_VALUE"""),-6.23)</f>
        <v>-6.23</v>
      </c>
      <c r="F238" s="1">
        <f ca="1">IFERROR(__xludf.DUMMYFUNCTION("""COMPUTED_VALUE"""),100.1)</f>
        <v>100.1</v>
      </c>
      <c r="G238" s="1">
        <f ca="1">IFERROR(__xludf.DUMMYFUNCTION("""COMPUTED_VALUE"""),214)</f>
        <v>214</v>
      </c>
      <c r="H238" s="1">
        <f ca="1">IFERROR(__xludf.DUMMYFUNCTION("""COMPUTED_VALUE"""),106.3)</f>
        <v>106.3</v>
      </c>
      <c r="I238" s="1">
        <f ca="1">IFERROR(__xludf.DUMMYFUNCTION("""COMPUTED_VALUE"""),225)</f>
        <v>225</v>
      </c>
      <c r="J238" s="1">
        <f ca="1">IFERROR(__xludf.DUMMYFUNCTION("""COMPUTED_VALUE"""),64.1)</f>
        <v>64.099999999999994</v>
      </c>
      <c r="K238" s="1">
        <f ca="1">IFERROR(__xludf.DUMMYFUNCTION("""COMPUTED_VALUE"""),229)</f>
        <v>229</v>
      </c>
      <c r="L238" s="1" t="str">
        <f ca="1">IFERROR(__xludf.DUMMYFUNCTION("""COMPUTED_VALUE"""),"+.049")</f>
        <v>+.049</v>
      </c>
      <c r="M238" s="1">
        <f ca="1">IFERROR(__xludf.DUMMYFUNCTION("""COMPUTED_VALUE"""),58)</f>
        <v>58</v>
      </c>
      <c r="N238" s="1">
        <f ca="1">IFERROR(__xludf.DUMMYFUNCTION("""COMPUTED_VALUE"""),-8.86)</f>
        <v>-8.86</v>
      </c>
      <c r="O238" s="1">
        <f ca="1">IFERROR(__xludf.DUMMYFUNCTION("""COMPUTED_VALUE"""),293)</f>
        <v>293</v>
      </c>
      <c r="P238" s="1">
        <f ca="1">IFERROR(__xludf.DUMMYFUNCTION("""COMPUTED_VALUE"""),99)</f>
        <v>99</v>
      </c>
      <c r="Q238" s="1">
        <f ca="1">IFERROR(__xludf.DUMMYFUNCTION("""COMPUTED_VALUE"""),271)</f>
        <v>271</v>
      </c>
      <c r="R238" s="1">
        <f ca="1">IFERROR(__xludf.DUMMYFUNCTION("""COMPUTED_VALUE"""),107.8)</f>
        <v>107.8</v>
      </c>
      <c r="S238" s="1">
        <f ca="1">IFERROR(__xludf.DUMMYFUNCTION("""COMPUTED_VALUE"""),320)</f>
        <v>320</v>
      </c>
      <c r="T238" s="1">
        <f ca="1">IFERROR(__xludf.DUMMYFUNCTION("""COMPUTED_VALUE"""),-2.01)</f>
        <v>-2.0099999999999998</v>
      </c>
      <c r="U238" s="1">
        <f ca="1">IFERROR(__xludf.DUMMYFUNCTION("""COMPUTED_VALUE"""),215)</f>
        <v>215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IFERROR(__xludf.DUMMYFUNCTION("""COMPUTED_VALUE"""),"Penn St.")</f>
        <v>Penn St.</v>
      </c>
      <c r="C239" s="1" t="str">
        <f ca="1">IFERROR(__xludf.DUMMYFUNCTION("""COMPUTED_VALUE"""),"B10")</f>
        <v>B10</v>
      </c>
      <c r="D239" s="2">
        <f ca="1">IFERROR(__xludf.DUMMYFUNCTION("""COMPUTED_VALUE"""),44823)</f>
        <v>44823</v>
      </c>
      <c r="E239" s="1">
        <f ca="1">IFERROR(__xludf.DUMMYFUNCTION("""COMPUTED_VALUE"""),-6.35)</f>
        <v>-6.35</v>
      </c>
      <c r="F239" s="1">
        <f ca="1">IFERROR(__xludf.DUMMYFUNCTION("""COMPUTED_VALUE"""),97.2)</f>
        <v>97.2</v>
      </c>
      <c r="G239" s="1">
        <f ca="1">IFERROR(__xludf.DUMMYFUNCTION("""COMPUTED_VALUE"""),266)</f>
        <v>266</v>
      </c>
      <c r="H239" s="1">
        <f ca="1">IFERROR(__xludf.DUMMYFUNCTION("""COMPUTED_VALUE"""),103.5)</f>
        <v>103.5</v>
      </c>
      <c r="I239" s="1">
        <f ca="1">IFERROR(__xludf.DUMMYFUNCTION("""COMPUTED_VALUE"""),171)</f>
        <v>171</v>
      </c>
      <c r="J239" s="1">
        <f ca="1">IFERROR(__xludf.DUMMYFUNCTION("""COMPUTED_VALUE"""),62.8)</f>
        <v>62.8</v>
      </c>
      <c r="K239" s="1">
        <f ca="1">IFERROR(__xludf.DUMMYFUNCTION("""COMPUTED_VALUE"""),279)</f>
        <v>279</v>
      </c>
      <c r="L239" s="1" t="str">
        <f ca="1">IFERROR(__xludf.DUMMYFUNCTION("""COMPUTED_VALUE"""),"+.055")</f>
        <v>+.055</v>
      </c>
      <c r="M239" s="1">
        <f ca="1">IFERROR(__xludf.DUMMYFUNCTION("""COMPUTED_VALUE"""),48)</f>
        <v>48</v>
      </c>
      <c r="N239" s="1" t="str">
        <f ca="1">IFERROR(__xludf.DUMMYFUNCTION("""COMPUTED_VALUE"""),"+5.91")</f>
        <v>+5.91</v>
      </c>
      <c r="O239" s="1">
        <f ca="1">IFERROR(__xludf.DUMMYFUNCTION("""COMPUTED_VALUE"""),57)</f>
        <v>57</v>
      </c>
      <c r="P239" s="1">
        <f ca="1">IFERROR(__xludf.DUMMYFUNCTION("""COMPUTED_VALUE"""),106.9)</f>
        <v>106.9</v>
      </c>
      <c r="Q239" s="1">
        <f ca="1">IFERROR(__xludf.DUMMYFUNCTION("""COMPUTED_VALUE"""),46)</f>
        <v>46</v>
      </c>
      <c r="R239" s="1">
        <f ca="1">IFERROR(__xludf.DUMMYFUNCTION("""COMPUTED_VALUE"""),101)</f>
        <v>101</v>
      </c>
      <c r="S239" s="1">
        <f ca="1">IFERROR(__xludf.DUMMYFUNCTION("""COMPUTED_VALUE"""),79)</f>
        <v>79</v>
      </c>
      <c r="T239" s="1">
        <f ca="1">IFERROR(__xludf.DUMMYFUNCTION("""COMPUTED_VALUE"""),-0.78)</f>
        <v>-0.78</v>
      </c>
      <c r="U239" s="1">
        <f ca="1">IFERROR(__xludf.DUMMYFUNCTION("""COMPUTED_VALUE"""),185)</f>
        <v>185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IFERROR(__xludf.DUMMYFUNCTION("""COMPUTED_VALUE"""),"Winthrop")</f>
        <v>Winthrop</v>
      </c>
      <c r="C240" s="1" t="str">
        <f ca="1">IFERROR(__xludf.DUMMYFUNCTION("""COMPUTED_VALUE"""),"BSth")</f>
        <v>BSth</v>
      </c>
      <c r="D240" s="1" t="str">
        <f ca="1">IFERROR(__xludf.DUMMYFUNCTION("""COMPUTED_VALUE"""),"16-12")</f>
        <v>16-12</v>
      </c>
      <c r="E240" s="1">
        <f ca="1">IFERROR(__xludf.DUMMYFUNCTION("""COMPUTED_VALUE"""),-6.36)</f>
        <v>-6.36</v>
      </c>
      <c r="F240" s="1">
        <f ca="1">IFERROR(__xludf.DUMMYFUNCTION("""COMPUTED_VALUE"""),99.8)</f>
        <v>99.8</v>
      </c>
      <c r="G240" s="1">
        <f ca="1">IFERROR(__xludf.DUMMYFUNCTION("""COMPUTED_VALUE"""),221)</f>
        <v>221</v>
      </c>
      <c r="H240" s="1">
        <f ca="1">IFERROR(__xludf.DUMMYFUNCTION("""COMPUTED_VALUE"""),106.2)</f>
        <v>106.2</v>
      </c>
      <c r="I240" s="1">
        <f ca="1">IFERROR(__xludf.DUMMYFUNCTION("""COMPUTED_VALUE"""),219)</f>
        <v>219</v>
      </c>
      <c r="J240" s="1">
        <f ca="1">IFERROR(__xludf.DUMMYFUNCTION("""COMPUTED_VALUE"""),62.8)</f>
        <v>62.8</v>
      </c>
      <c r="K240" s="1">
        <f ca="1">IFERROR(__xludf.DUMMYFUNCTION("""COMPUTED_VALUE"""),275)</f>
        <v>275</v>
      </c>
      <c r="L240" s="1" t="str">
        <f ca="1">IFERROR(__xludf.DUMMYFUNCTION("""COMPUTED_VALUE"""),"+.017")</f>
        <v>+.017</v>
      </c>
      <c r="M240" s="1">
        <f ca="1">IFERROR(__xludf.DUMMYFUNCTION("""COMPUTED_VALUE"""),128)</f>
        <v>128</v>
      </c>
      <c r="N240" s="1">
        <f ca="1">IFERROR(__xludf.DUMMYFUNCTION("""COMPUTED_VALUE"""),-8.63)</f>
        <v>-8.6300000000000008</v>
      </c>
      <c r="O240" s="1">
        <f ca="1">IFERROR(__xludf.DUMMYFUNCTION("""COMPUTED_VALUE"""),291)</f>
        <v>291</v>
      </c>
      <c r="P240" s="1">
        <f ca="1">IFERROR(__xludf.DUMMYFUNCTION("""COMPUTED_VALUE"""),98.3)</f>
        <v>98.3</v>
      </c>
      <c r="Q240" s="1">
        <f ca="1">IFERROR(__xludf.DUMMYFUNCTION("""COMPUTED_VALUE"""),281)</f>
        <v>281</v>
      </c>
      <c r="R240" s="1">
        <f ca="1">IFERROR(__xludf.DUMMYFUNCTION("""COMPUTED_VALUE"""),106.9)</f>
        <v>106.9</v>
      </c>
      <c r="S240" s="1">
        <f ca="1">IFERROR(__xludf.DUMMYFUNCTION("""COMPUTED_VALUE"""),299)</f>
        <v>299</v>
      </c>
      <c r="T240" s="1" t="str">
        <f ca="1">IFERROR(__xludf.DUMMYFUNCTION("""COMPUTED_VALUE"""),"+1.36")</f>
        <v>+1.36</v>
      </c>
      <c r="U240" s="1">
        <f ca="1">IFERROR(__xludf.DUMMYFUNCTION("""COMPUTED_VALUE"""),128)</f>
        <v>128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IFERROR(__xludf.DUMMYFUNCTION("""COMPUTED_VALUE"""),"UNC Greensboro")</f>
        <v>UNC Greensboro</v>
      </c>
      <c r="C241" s="1" t="str">
        <f ca="1">IFERROR(__xludf.DUMMYFUNCTION("""COMPUTED_VALUE"""),"SC")</f>
        <v>SC</v>
      </c>
      <c r="D241" s="2">
        <f ca="1">IFERROR(__xludf.DUMMYFUNCTION("""COMPUTED_VALUE"""),44882)</f>
        <v>44882</v>
      </c>
      <c r="E241" s="1">
        <f ca="1">IFERROR(__xludf.DUMMYFUNCTION("""COMPUTED_VALUE"""),-6.52)</f>
        <v>-6.52</v>
      </c>
      <c r="F241" s="1">
        <f ca="1">IFERROR(__xludf.DUMMYFUNCTION("""COMPUTED_VALUE"""),102.2)</f>
        <v>102.2</v>
      </c>
      <c r="G241" s="1">
        <f ca="1">IFERROR(__xludf.DUMMYFUNCTION("""COMPUTED_VALUE"""),173)</f>
        <v>173</v>
      </c>
      <c r="H241" s="1">
        <f ca="1">IFERROR(__xludf.DUMMYFUNCTION("""COMPUTED_VALUE"""),108.7)</f>
        <v>108.7</v>
      </c>
      <c r="I241" s="1">
        <f ca="1">IFERROR(__xludf.DUMMYFUNCTION("""COMPUTED_VALUE"""),270)</f>
        <v>270</v>
      </c>
      <c r="J241" s="1">
        <f ca="1">IFERROR(__xludf.DUMMYFUNCTION("""COMPUTED_VALUE"""),67)</f>
        <v>67</v>
      </c>
      <c r="K241" s="1">
        <f ca="1">IFERROR(__xludf.DUMMYFUNCTION("""COMPUTED_VALUE"""),118)</f>
        <v>118</v>
      </c>
      <c r="L241" s="1">
        <f ca="1">IFERROR(__xludf.DUMMYFUNCTION("""COMPUTED_VALUE"""),-0.036)</f>
        <v>-3.5999999999999997E-2</v>
      </c>
      <c r="M241" s="1">
        <f ca="1">IFERROR(__xludf.DUMMYFUNCTION("""COMPUTED_VALUE"""),247)</f>
        <v>247</v>
      </c>
      <c r="N241" s="1">
        <f ca="1">IFERROR(__xludf.DUMMYFUNCTION("""COMPUTED_VALUE"""),-3.08)</f>
        <v>-3.08</v>
      </c>
      <c r="O241" s="1">
        <f ca="1">IFERROR(__xludf.DUMMYFUNCTION("""COMPUTED_VALUE"""),226)</f>
        <v>226</v>
      </c>
      <c r="P241" s="1">
        <f ca="1">IFERROR(__xludf.DUMMYFUNCTION("""COMPUTED_VALUE"""),101.4)</f>
        <v>101.4</v>
      </c>
      <c r="Q241" s="1">
        <f ca="1">IFERROR(__xludf.DUMMYFUNCTION("""COMPUTED_VALUE"""),235)</f>
        <v>235</v>
      </c>
      <c r="R241" s="1">
        <f ca="1">IFERROR(__xludf.DUMMYFUNCTION("""COMPUTED_VALUE"""),104.4)</f>
        <v>104.4</v>
      </c>
      <c r="S241" s="1">
        <f ca="1">IFERROR(__xludf.DUMMYFUNCTION("""COMPUTED_VALUE"""),196)</f>
        <v>196</v>
      </c>
      <c r="T241" s="1" t="str">
        <f ca="1">IFERROR(__xludf.DUMMYFUNCTION("""COMPUTED_VALUE"""),"+0.08")</f>
        <v>+0.08</v>
      </c>
      <c r="U241" s="1">
        <f ca="1">IFERROR(__xludf.DUMMYFUNCTION("""COMPUTED_VALUE"""),162)</f>
        <v>162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IFERROR(__xludf.DUMMYFUNCTION("""COMPUTED_VALUE"""),"Central Connecticut")</f>
        <v>Central Connecticut</v>
      </c>
      <c r="C242" s="1" t="str">
        <f ca="1">IFERROR(__xludf.DUMMYFUNCTION("""COMPUTED_VALUE"""),"NEC")</f>
        <v>NEC</v>
      </c>
      <c r="D242" s="1" t="str">
        <f ca="1">IFERROR(__xludf.DUMMYFUNCTION("""COMPUTED_VALUE"""),"14-14")</f>
        <v>14-14</v>
      </c>
      <c r="E242" s="1">
        <f ca="1">IFERROR(__xludf.DUMMYFUNCTION("""COMPUTED_VALUE"""),-6.53)</f>
        <v>-6.53</v>
      </c>
      <c r="F242" s="1">
        <f ca="1">IFERROR(__xludf.DUMMYFUNCTION("""COMPUTED_VALUE"""),101.9)</f>
        <v>101.9</v>
      </c>
      <c r="G242" s="1">
        <f ca="1">IFERROR(__xludf.DUMMYFUNCTION("""COMPUTED_VALUE"""),180)</f>
        <v>180</v>
      </c>
      <c r="H242" s="1">
        <f ca="1">IFERROR(__xludf.DUMMYFUNCTION("""COMPUTED_VALUE"""),108.4)</f>
        <v>108.4</v>
      </c>
      <c r="I242" s="1">
        <f ca="1">IFERROR(__xludf.DUMMYFUNCTION("""COMPUTED_VALUE"""),263)</f>
        <v>263</v>
      </c>
      <c r="J242" s="1">
        <f ca="1">IFERROR(__xludf.DUMMYFUNCTION("""COMPUTED_VALUE"""),64.2)</f>
        <v>64.2</v>
      </c>
      <c r="K242" s="1">
        <f ca="1">IFERROR(__xludf.DUMMYFUNCTION("""COMPUTED_VALUE"""),224)</f>
        <v>224</v>
      </c>
      <c r="L242" s="1">
        <f ca="1">IFERROR(__xludf.DUMMYFUNCTION("""COMPUTED_VALUE"""),-0.041)</f>
        <v>-4.1000000000000002E-2</v>
      </c>
      <c r="M242" s="1">
        <f ca="1">IFERROR(__xludf.DUMMYFUNCTION("""COMPUTED_VALUE"""),258)</f>
        <v>258</v>
      </c>
      <c r="N242" s="1">
        <f ca="1">IFERROR(__xludf.DUMMYFUNCTION("""COMPUTED_VALUE"""),-9.42)</f>
        <v>-9.42</v>
      </c>
      <c r="O242" s="1">
        <f ca="1">IFERROR(__xludf.DUMMYFUNCTION("""COMPUTED_VALUE"""),300)</f>
        <v>300</v>
      </c>
      <c r="P242" s="1">
        <f ca="1">IFERROR(__xludf.DUMMYFUNCTION("""COMPUTED_VALUE"""),98.6)</f>
        <v>98.6</v>
      </c>
      <c r="Q242" s="1">
        <f ca="1">IFERROR(__xludf.DUMMYFUNCTION("""COMPUTED_VALUE"""),276)</f>
        <v>276</v>
      </c>
      <c r="R242" s="1">
        <f ca="1">IFERROR(__xludf.DUMMYFUNCTION("""COMPUTED_VALUE"""),108.1)</f>
        <v>108.1</v>
      </c>
      <c r="S242" s="1">
        <f ca="1">IFERROR(__xludf.DUMMYFUNCTION("""COMPUTED_VALUE"""),322)</f>
        <v>322</v>
      </c>
      <c r="T242" s="1">
        <f ca="1">IFERROR(__xludf.DUMMYFUNCTION("""COMPUTED_VALUE"""),-5.74)</f>
        <v>-5.74</v>
      </c>
      <c r="U242" s="1">
        <f ca="1">IFERROR(__xludf.DUMMYFUNCTION("""COMPUTED_VALUE"""),278)</f>
        <v>278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IFERROR(__xludf.DUMMYFUNCTION("""COMPUTED_VALUE"""),"Cornell")</f>
        <v>Cornell</v>
      </c>
      <c r="C243" s="1" t="str">
        <f ca="1">IFERROR(__xludf.DUMMYFUNCTION("""COMPUTED_VALUE"""),"Ivy")</f>
        <v>Ivy</v>
      </c>
      <c r="D243" s="2">
        <f ca="1">IFERROR(__xludf.DUMMYFUNCTION("""COMPUTED_VALUE"""),44881)</f>
        <v>44881</v>
      </c>
      <c r="E243" s="1">
        <f ca="1">IFERROR(__xludf.DUMMYFUNCTION("""COMPUTED_VALUE"""),-6.57)</f>
        <v>-6.57</v>
      </c>
      <c r="F243" s="1">
        <f ca="1">IFERROR(__xludf.DUMMYFUNCTION("""COMPUTED_VALUE"""),100.1)</f>
        <v>100.1</v>
      </c>
      <c r="G243" s="1">
        <f ca="1">IFERROR(__xludf.DUMMYFUNCTION("""COMPUTED_VALUE"""),213)</f>
        <v>213</v>
      </c>
      <c r="H243" s="1">
        <f ca="1">IFERROR(__xludf.DUMMYFUNCTION("""COMPUTED_VALUE"""),106.7)</f>
        <v>106.7</v>
      </c>
      <c r="I243" s="1">
        <f ca="1">IFERROR(__xludf.DUMMYFUNCTION("""COMPUTED_VALUE"""),232)</f>
        <v>232</v>
      </c>
      <c r="J243" s="1">
        <f ca="1">IFERROR(__xludf.DUMMYFUNCTION("""COMPUTED_VALUE"""),68.3)</f>
        <v>68.3</v>
      </c>
      <c r="K243" s="1">
        <f ca="1">IFERROR(__xludf.DUMMYFUNCTION("""COMPUTED_VALUE"""),68)</f>
        <v>68</v>
      </c>
      <c r="L243" s="1">
        <f ca="1">IFERROR(__xludf.DUMMYFUNCTION("""COMPUTED_VALUE"""),-0.096)</f>
        <v>-9.6000000000000002E-2</v>
      </c>
      <c r="M243" s="1">
        <f ca="1">IFERROR(__xludf.DUMMYFUNCTION("""COMPUTED_VALUE"""),314)</f>
        <v>314</v>
      </c>
      <c r="N243" s="1">
        <f ca="1">IFERROR(__xludf.DUMMYFUNCTION("""COMPUTED_VALUE"""),-6.04)</f>
        <v>-6.04</v>
      </c>
      <c r="O243" s="1">
        <f ca="1">IFERROR(__xludf.DUMMYFUNCTION("""COMPUTED_VALUE"""),258)</f>
        <v>258</v>
      </c>
      <c r="P243" s="1">
        <f ca="1">IFERROR(__xludf.DUMMYFUNCTION("""COMPUTED_VALUE"""),99.4)</f>
        <v>99.4</v>
      </c>
      <c r="Q243" s="1">
        <f ca="1">IFERROR(__xludf.DUMMYFUNCTION("""COMPUTED_VALUE"""),264)</f>
        <v>264</v>
      </c>
      <c r="R243" s="1">
        <f ca="1">IFERROR(__xludf.DUMMYFUNCTION("""COMPUTED_VALUE"""),105.4)</f>
        <v>105.4</v>
      </c>
      <c r="S243" s="1">
        <f ca="1">IFERROR(__xludf.DUMMYFUNCTION("""COMPUTED_VALUE"""),239)</f>
        <v>239</v>
      </c>
      <c r="T243" s="1">
        <f ca="1">IFERROR(__xludf.DUMMYFUNCTION("""COMPUTED_VALUE"""),-4.15)</f>
        <v>-4.1500000000000004</v>
      </c>
      <c r="U243" s="1">
        <f ca="1">IFERROR(__xludf.DUMMYFUNCTION("""COMPUTED_VALUE"""),252)</f>
        <v>252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IFERROR(__xludf.DUMMYFUNCTION("""COMPUTED_VALUE"""),"Baylor")</f>
        <v>Baylor</v>
      </c>
      <c r="C244" s="1" t="str">
        <f ca="1">IFERROR(__xludf.DUMMYFUNCTION("""COMPUTED_VALUE"""),"B12")</f>
        <v>B12</v>
      </c>
      <c r="D244" s="2">
        <f ca="1">IFERROR(__xludf.DUMMYFUNCTION("""COMPUTED_VALUE"""),44794)</f>
        <v>44794</v>
      </c>
      <c r="E244" s="1">
        <f ca="1">IFERROR(__xludf.DUMMYFUNCTION("""COMPUTED_VALUE"""),-6.63)</f>
        <v>-6.63</v>
      </c>
      <c r="F244" s="1">
        <f ca="1">IFERROR(__xludf.DUMMYFUNCTION("""COMPUTED_VALUE"""),102)</f>
        <v>102</v>
      </c>
      <c r="G244" s="1">
        <f ca="1">IFERROR(__xludf.DUMMYFUNCTION("""COMPUTED_VALUE"""),177)</f>
        <v>177</v>
      </c>
      <c r="H244" s="1">
        <f ca="1">IFERROR(__xludf.DUMMYFUNCTION("""COMPUTED_VALUE"""),108.7)</f>
        <v>108.7</v>
      </c>
      <c r="I244" s="1">
        <f ca="1">IFERROR(__xludf.DUMMYFUNCTION("""COMPUTED_VALUE"""),269)</f>
        <v>269</v>
      </c>
      <c r="J244" s="1">
        <f ca="1">IFERROR(__xludf.DUMMYFUNCTION("""COMPUTED_VALUE"""),61)</f>
        <v>61</v>
      </c>
      <c r="K244" s="1">
        <f ca="1">IFERROR(__xludf.DUMMYFUNCTION("""COMPUTED_VALUE"""),307)</f>
        <v>307</v>
      </c>
      <c r="L244" s="1" t="str">
        <f ca="1">IFERROR(__xludf.DUMMYFUNCTION("""COMPUTED_VALUE"""),"+.007")</f>
        <v>+.007</v>
      </c>
      <c r="M244" s="1">
        <f ca="1">IFERROR(__xludf.DUMMYFUNCTION("""COMPUTED_VALUE"""),152)</f>
        <v>152</v>
      </c>
      <c r="N244" s="1" t="str">
        <f ca="1">IFERROR(__xludf.DUMMYFUNCTION("""COMPUTED_VALUE"""),"+4.01")</f>
        <v>+4.01</v>
      </c>
      <c r="O244" s="1">
        <f ca="1">IFERROR(__xludf.DUMMYFUNCTION("""COMPUTED_VALUE"""),95)</f>
        <v>95</v>
      </c>
      <c r="P244" s="1">
        <f ca="1">IFERROR(__xludf.DUMMYFUNCTION("""COMPUTED_VALUE"""),104.9)</f>
        <v>104.9</v>
      </c>
      <c r="Q244" s="1">
        <f ca="1">IFERROR(__xludf.DUMMYFUNCTION("""COMPUTED_VALUE"""),111)</f>
        <v>111</v>
      </c>
      <c r="R244" s="1">
        <f ca="1">IFERROR(__xludf.DUMMYFUNCTION("""COMPUTED_VALUE"""),100.9)</f>
        <v>100.9</v>
      </c>
      <c r="S244" s="1">
        <f ca="1">IFERROR(__xludf.DUMMYFUNCTION("""COMPUTED_VALUE"""),76)</f>
        <v>76</v>
      </c>
      <c r="T244" s="1">
        <f ca="1">IFERROR(__xludf.DUMMYFUNCTION("""COMPUTED_VALUE"""),-9.5)</f>
        <v>-9.5</v>
      </c>
      <c r="U244" s="1">
        <f ca="1">IFERROR(__xludf.DUMMYFUNCTION("""COMPUTED_VALUE"""),313)</f>
        <v>313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IFERROR(__xludf.DUMMYFUNCTION("""COMPUTED_VALUE"""),"William &amp; Mary")</f>
        <v>William &amp; Mary</v>
      </c>
      <c r="C245" s="1" t="str">
        <f ca="1">IFERROR(__xludf.DUMMYFUNCTION("""COMPUTED_VALUE"""),"CAA")</f>
        <v>CAA</v>
      </c>
      <c r="D245" s="2">
        <f ca="1">IFERROR(__xludf.DUMMYFUNCTION("""COMPUTED_VALUE"""),44763)</f>
        <v>44763</v>
      </c>
      <c r="E245" s="1">
        <f ca="1">IFERROR(__xludf.DUMMYFUNCTION("""COMPUTED_VALUE"""),-6.66)</f>
        <v>-6.66</v>
      </c>
      <c r="F245" s="1">
        <f ca="1">IFERROR(__xludf.DUMMYFUNCTION("""COMPUTED_VALUE"""),105.4)</f>
        <v>105.4</v>
      </c>
      <c r="G245" s="1">
        <f ca="1">IFERROR(__xludf.DUMMYFUNCTION("""COMPUTED_VALUE"""),119)</f>
        <v>119</v>
      </c>
      <c r="H245" s="1">
        <f ca="1">IFERROR(__xludf.DUMMYFUNCTION("""COMPUTED_VALUE"""),112)</f>
        <v>112</v>
      </c>
      <c r="I245" s="1">
        <f ca="1">IFERROR(__xludf.DUMMYFUNCTION("""COMPUTED_VALUE"""),310)</f>
        <v>310</v>
      </c>
      <c r="J245" s="1">
        <f ca="1">IFERROR(__xludf.DUMMYFUNCTION("""COMPUTED_VALUE"""),67.7)</f>
        <v>67.7</v>
      </c>
      <c r="K245" s="1">
        <f ca="1">IFERROR(__xludf.DUMMYFUNCTION("""COMPUTED_VALUE"""),92)</f>
        <v>92</v>
      </c>
      <c r="L245" s="1">
        <f ca="1">IFERROR(__xludf.DUMMYFUNCTION("""COMPUTED_VALUE"""),-0.094)</f>
        <v>-9.4E-2</v>
      </c>
      <c r="M245" s="1">
        <f ca="1">IFERROR(__xludf.DUMMYFUNCTION("""COMPUTED_VALUE"""),313)</f>
        <v>313</v>
      </c>
      <c r="N245" s="1">
        <f ca="1">IFERROR(__xludf.DUMMYFUNCTION("""COMPUTED_VALUE"""),-0.15)</f>
        <v>-0.15</v>
      </c>
      <c r="O245" s="1">
        <f ca="1">IFERROR(__xludf.DUMMYFUNCTION("""COMPUTED_VALUE"""),159)</f>
        <v>159</v>
      </c>
      <c r="P245" s="1">
        <f ca="1">IFERROR(__xludf.DUMMYFUNCTION("""COMPUTED_VALUE"""),101.9)</f>
        <v>101.9</v>
      </c>
      <c r="Q245" s="1">
        <f ca="1">IFERROR(__xludf.DUMMYFUNCTION("""COMPUTED_VALUE"""),223)</f>
        <v>223</v>
      </c>
      <c r="R245" s="1">
        <f ca="1">IFERROR(__xludf.DUMMYFUNCTION("""COMPUTED_VALUE"""),102)</f>
        <v>102</v>
      </c>
      <c r="S245" s="1">
        <f ca="1">IFERROR(__xludf.DUMMYFUNCTION("""COMPUTED_VALUE"""),112)</f>
        <v>112</v>
      </c>
      <c r="T245" s="1">
        <f ca="1">IFERROR(__xludf.DUMMYFUNCTION("""COMPUTED_VALUE"""),-0.5)</f>
        <v>-0.5</v>
      </c>
      <c r="U245" s="1">
        <f ca="1">IFERROR(__xludf.DUMMYFUNCTION("""COMPUTED_VALUE"""),177)</f>
        <v>177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IFERROR(__xludf.DUMMYFUNCTION("""COMPUTED_VALUE"""),"Chicago St.")</f>
        <v>Chicago St.</v>
      </c>
      <c r="C246" s="1" t="str">
        <f ca="1">IFERROR(__xludf.DUMMYFUNCTION("""COMPUTED_VALUE"""),"MCon")</f>
        <v>MCon</v>
      </c>
      <c r="D246" s="2">
        <f ca="1">IFERROR(__xludf.DUMMYFUNCTION("""COMPUTED_VALUE"""),44915)</f>
        <v>44915</v>
      </c>
      <c r="E246" s="1">
        <f ca="1">IFERROR(__xludf.DUMMYFUNCTION("""COMPUTED_VALUE"""),-6.66)</f>
        <v>-6.66</v>
      </c>
      <c r="F246" s="1">
        <f ca="1">IFERROR(__xludf.DUMMYFUNCTION("""COMPUTED_VALUE"""),101.7)</f>
        <v>101.7</v>
      </c>
      <c r="G246" s="1">
        <f ca="1">IFERROR(__xludf.DUMMYFUNCTION("""COMPUTED_VALUE"""),185)</f>
        <v>185</v>
      </c>
      <c r="H246" s="1">
        <f ca="1">IFERROR(__xludf.DUMMYFUNCTION("""COMPUTED_VALUE"""),108.4)</f>
        <v>108.4</v>
      </c>
      <c r="I246" s="1">
        <f ca="1">IFERROR(__xludf.DUMMYFUNCTION("""COMPUTED_VALUE"""),260)</f>
        <v>260</v>
      </c>
      <c r="J246" s="1">
        <f ca="1">IFERROR(__xludf.DUMMYFUNCTION("""COMPUTED_VALUE"""),63.2)</f>
        <v>63.2</v>
      </c>
      <c r="K246" s="1">
        <f ca="1">IFERROR(__xludf.DUMMYFUNCTION("""COMPUTED_VALUE"""),263)</f>
        <v>263</v>
      </c>
      <c r="L246" s="1" t="str">
        <f ca="1">IFERROR(__xludf.DUMMYFUNCTION("""COMPUTED_VALUE"""),"+.054")</f>
        <v>+.054</v>
      </c>
      <c r="M246" s="1">
        <f ca="1">IFERROR(__xludf.DUMMYFUNCTION("""COMPUTED_VALUE"""),52)</f>
        <v>52</v>
      </c>
      <c r="N246" s="1" t="str">
        <f ca="1">IFERROR(__xludf.DUMMYFUNCTION("""COMPUTED_VALUE"""),"+1.55")</f>
        <v>+1.55</v>
      </c>
      <c r="O246" s="1">
        <f ca="1">IFERROR(__xludf.DUMMYFUNCTION("""COMPUTED_VALUE"""),131)</f>
        <v>131</v>
      </c>
      <c r="P246" s="1">
        <f ca="1">IFERROR(__xludf.DUMMYFUNCTION("""COMPUTED_VALUE"""),105)</f>
        <v>105</v>
      </c>
      <c r="Q246" s="1">
        <f ca="1">IFERROR(__xludf.DUMMYFUNCTION("""COMPUTED_VALUE"""),110)</f>
        <v>110</v>
      </c>
      <c r="R246" s="1">
        <f ca="1">IFERROR(__xludf.DUMMYFUNCTION("""COMPUTED_VALUE"""),103.4)</f>
        <v>103.4</v>
      </c>
      <c r="S246" s="1">
        <f ca="1">IFERROR(__xludf.DUMMYFUNCTION("""COMPUTED_VALUE"""),154)</f>
        <v>154</v>
      </c>
      <c r="T246" s="1" t="str">
        <f ca="1">IFERROR(__xludf.DUMMYFUNCTION("""COMPUTED_VALUE"""),"+8.85")</f>
        <v>+8.85</v>
      </c>
      <c r="U246" s="1">
        <f ca="1">IFERROR(__xludf.DUMMYFUNCTION("""COMPUTED_VALUE"""),11)</f>
        <v>11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IFERROR(__xludf.DUMMYFUNCTION("""COMPUTED_VALUE"""),"Canisius")</f>
        <v>Canisius</v>
      </c>
      <c r="C247" s="1" t="str">
        <f ca="1">IFERROR(__xludf.DUMMYFUNCTION("""COMPUTED_VALUE"""),"MAAC")</f>
        <v>MAAC</v>
      </c>
      <c r="D247" s="2">
        <f ca="1">IFERROR(__xludf.DUMMYFUNCTION("""COMPUTED_VALUE"""),44854)</f>
        <v>44854</v>
      </c>
      <c r="E247" s="1">
        <f ca="1">IFERROR(__xludf.DUMMYFUNCTION("""COMPUTED_VALUE"""),-6.68)</f>
        <v>-6.68</v>
      </c>
      <c r="F247" s="1">
        <f ca="1">IFERROR(__xludf.DUMMYFUNCTION("""COMPUTED_VALUE"""),100.5)</f>
        <v>100.5</v>
      </c>
      <c r="G247" s="1">
        <f ca="1">IFERROR(__xludf.DUMMYFUNCTION("""COMPUTED_VALUE"""),209)</f>
        <v>209</v>
      </c>
      <c r="H247" s="1">
        <f ca="1">IFERROR(__xludf.DUMMYFUNCTION("""COMPUTED_VALUE"""),107.2)</f>
        <v>107.2</v>
      </c>
      <c r="I247" s="1">
        <f ca="1">IFERROR(__xludf.DUMMYFUNCTION("""COMPUTED_VALUE"""),242)</f>
        <v>242</v>
      </c>
      <c r="J247" s="1">
        <f ca="1">IFERROR(__xludf.DUMMYFUNCTION("""COMPUTED_VALUE"""),66.4)</f>
        <v>66.400000000000006</v>
      </c>
      <c r="K247" s="1">
        <f ca="1">IFERROR(__xludf.DUMMYFUNCTION("""COMPUTED_VALUE"""),135)</f>
        <v>135</v>
      </c>
      <c r="L247" s="1">
        <f ca="1">IFERROR(__xludf.DUMMYFUNCTION("""COMPUTED_VALUE"""),-0.026)</f>
        <v>-2.5999999999999999E-2</v>
      </c>
      <c r="M247" s="1">
        <f ca="1">IFERROR(__xludf.DUMMYFUNCTION("""COMPUTED_VALUE"""),229)</f>
        <v>229</v>
      </c>
      <c r="N247" s="1">
        <f ca="1">IFERROR(__xludf.DUMMYFUNCTION("""COMPUTED_VALUE"""),-2.28)</f>
        <v>-2.2799999999999998</v>
      </c>
      <c r="O247" s="1">
        <f ca="1">IFERROR(__xludf.DUMMYFUNCTION("""COMPUTED_VALUE"""),209)</f>
        <v>209</v>
      </c>
      <c r="P247" s="1">
        <f ca="1">IFERROR(__xludf.DUMMYFUNCTION("""COMPUTED_VALUE"""),102.1)</f>
        <v>102.1</v>
      </c>
      <c r="Q247" s="1">
        <f ca="1">IFERROR(__xludf.DUMMYFUNCTION("""COMPUTED_VALUE"""),214)</f>
        <v>214</v>
      </c>
      <c r="R247" s="1">
        <f ca="1">IFERROR(__xludf.DUMMYFUNCTION("""COMPUTED_VALUE"""),104.4)</f>
        <v>104.4</v>
      </c>
      <c r="S247" s="1">
        <f ca="1">IFERROR(__xludf.DUMMYFUNCTION("""COMPUTED_VALUE"""),193)</f>
        <v>193</v>
      </c>
      <c r="T247" s="1" t="str">
        <f ca="1">IFERROR(__xludf.DUMMYFUNCTION("""COMPUTED_VALUE"""),"+0.71")</f>
        <v>+0.71</v>
      </c>
      <c r="U247" s="1">
        <f ca="1">IFERROR(__xludf.DUMMYFUNCTION("""COMPUTED_VALUE"""),145)</f>
        <v>145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IFERROR(__xludf.DUMMYFUNCTION("""COMPUTED_VALUE"""),"Tennessee Tech")</f>
        <v>Tennessee Tech</v>
      </c>
      <c r="C248" s="1" t="str">
        <f ca="1">IFERROR(__xludf.DUMMYFUNCTION("""COMPUTED_VALUE"""),"OVC")</f>
        <v>OVC</v>
      </c>
      <c r="D248" s="1" t="str">
        <f ca="1">IFERROR(__xludf.DUMMYFUNCTION("""COMPUTED_VALUE"""),"13-15")</f>
        <v>13-15</v>
      </c>
      <c r="E248" s="1">
        <f ca="1">IFERROR(__xludf.DUMMYFUNCTION("""COMPUTED_VALUE"""),-6.76)</f>
        <v>-6.76</v>
      </c>
      <c r="F248" s="1">
        <f ca="1">IFERROR(__xludf.DUMMYFUNCTION("""COMPUTED_VALUE"""),104.2)</f>
        <v>104.2</v>
      </c>
      <c r="G248" s="1">
        <f ca="1">IFERROR(__xludf.DUMMYFUNCTION("""COMPUTED_VALUE"""),143)</f>
        <v>143</v>
      </c>
      <c r="H248" s="1">
        <f ca="1">IFERROR(__xludf.DUMMYFUNCTION("""COMPUTED_VALUE"""),111)</f>
        <v>111</v>
      </c>
      <c r="I248" s="1">
        <f ca="1">IFERROR(__xludf.DUMMYFUNCTION("""COMPUTED_VALUE"""),299)</f>
        <v>299</v>
      </c>
      <c r="J248" s="1">
        <f ca="1">IFERROR(__xludf.DUMMYFUNCTION("""COMPUTED_VALUE"""),67.7)</f>
        <v>67.7</v>
      </c>
      <c r="K248" s="1">
        <f ca="1">IFERROR(__xludf.DUMMYFUNCTION("""COMPUTED_VALUE"""),93)</f>
        <v>93</v>
      </c>
      <c r="L248" s="1" t="str">
        <f ca="1">IFERROR(__xludf.DUMMYFUNCTION("""COMPUTED_VALUE"""),"+.002")</f>
        <v>+.002</v>
      </c>
      <c r="M248" s="1">
        <f ca="1">IFERROR(__xludf.DUMMYFUNCTION("""COMPUTED_VALUE"""),166)</f>
        <v>166</v>
      </c>
      <c r="N248" s="1">
        <f ca="1">IFERROR(__xludf.DUMMYFUNCTION("""COMPUTED_VALUE"""),-2.62)</f>
        <v>-2.62</v>
      </c>
      <c r="O248" s="1">
        <f ca="1">IFERROR(__xludf.DUMMYFUNCTION("""COMPUTED_VALUE"""),220)</f>
        <v>220</v>
      </c>
      <c r="P248" s="1">
        <f ca="1">IFERROR(__xludf.DUMMYFUNCTION("""COMPUTED_VALUE"""),103.3)</f>
        <v>103.3</v>
      </c>
      <c r="Q248" s="1">
        <f ca="1">IFERROR(__xludf.DUMMYFUNCTION("""COMPUTED_VALUE"""),173)</f>
        <v>173</v>
      </c>
      <c r="R248" s="1">
        <f ca="1">IFERROR(__xludf.DUMMYFUNCTION("""COMPUTED_VALUE"""),105.9)</f>
        <v>105.9</v>
      </c>
      <c r="S248" s="1">
        <f ca="1">IFERROR(__xludf.DUMMYFUNCTION("""COMPUTED_VALUE"""),264)</f>
        <v>264</v>
      </c>
      <c r="T248" s="1" t="str">
        <f ca="1">IFERROR(__xludf.DUMMYFUNCTION("""COMPUTED_VALUE"""),"+2.27")</f>
        <v>+2.27</v>
      </c>
      <c r="U248" s="1">
        <f ca="1">IFERROR(__xludf.DUMMYFUNCTION("""COMPUTED_VALUE"""),99)</f>
        <v>99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IFERROR(__xludf.DUMMYFUNCTION("""COMPUTED_VALUE"""),"Western Carolina")</f>
        <v>Western Carolina</v>
      </c>
      <c r="C249" s="1" t="str">
        <f ca="1">IFERROR(__xludf.DUMMYFUNCTION("""COMPUTED_VALUE"""),"SC")</f>
        <v>SC</v>
      </c>
      <c r="D249" s="1" t="str">
        <f ca="1">IFERROR(__xludf.DUMMYFUNCTION("""COMPUTED_VALUE"""),"13-15")</f>
        <v>13-15</v>
      </c>
      <c r="E249" s="1">
        <f ca="1">IFERROR(__xludf.DUMMYFUNCTION("""COMPUTED_VALUE"""),-6.88)</f>
        <v>-6.88</v>
      </c>
      <c r="F249" s="1">
        <f ca="1">IFERROR(__xludf.DUMMYFUNCTION("""COMPUTED_VALUE"""),98)</f>
        <v>98</v>
      </c>
      <c r="G249" s="1">
        <f ca="1">IFERROR(__xludf.DUMMYFUNCTION("""COMPUTED_VALUE"""),252)</f>
        <v>252</v>
      </c>
      <c r="H249" s="1">
        <f ca="1">IFERROR(__xludf.DUMMYFUNCTION("""COMPUTED_VALUE"""),104.9)</f>
        <v>104.9</v>
      </c>
      <c r="I249" s="1">
        <f ca="1">IFERROR(__xludf.DUMMYFUNCTION("""COMPUTED_VALUE"""),188)</f>
        <v>188</v>
      </c>
      <c r="J249" s="1">
        <f ca="1">IFERROR(__xludf.DUMMYFUNCTION("""COMPUTED_VALUE"""),67.9)</f>
        <v>67.900000000000006</v>
      </c>
      <c r="K249" s="1">
        <f ca="1">IFERROR(__xludf.DUMMYFUNCTION("""COMPUTED_VALUE"""),89)</f>
        <v>89</v>
      </c>
      <c r="L249" s="1">
        <f ca="1">IFERROR(__xludf.DUMMYFUNCTION("""COMPUTED_VALUE"""),-0.028)</f>
        <v>-2.8000000000000001E-2</v>
      </c>
      <c r="M249" s="1">
        <f ca="1">IFERROR(__xludf.DUMMYFUNCTION("""COMPUTED_VALUE"""),234)</f>
        <v>234</v>
      </c>
      <c r="N249" s="1">
        <f ca="1">IFERROR(__xludf.DUMMYFUNCTION("""COMPUTED_VALUE"""),-2.48)</f>
        <v>-2.48</v>
      </c>
      <c r="O249" s="1">
        <f ca="1">IFERROR(__xludf.DUMMYFUNCTION("""COMPUTED_VALUE"""),216)</f>
        <v>216</v>
      </c>
      <c r="P249" s="1">
        <f ca="1">IFERROR(__xludf.DUMMYFUNCTION("""COMPUTED_VALUE"""),101.6)</f>
        <v>101.6</v>
      </c>
      <c r="Q249" s="1">
        <f ca="1">IFERROR(__xludf.DUMMYFUNCTION("""COMPUTED_VALUE"""),230)</f>
        <v>230</v>
      </c>
      <c r="R249" s="1">
        <f ca="1">IFERROR(__xludf.DUMMYFUNCTION("""COMPUTED_VALUE"""),104)</f>
        <v>104</v>
      </c>
      <c r="S249" s="1">
        <f ca="1">IFERROR(__xludf.DUMMYFUNCTION("""COMPUTED_VALUE"""),180)</f>
        <v>180</v>
      </c>
      <c r="T249" s="1">
        <f ca="1">IFERROR(__xludf.DUMMYFUNCTION("""COMPUTED_VALUE"""),-1.13)</f>
        <v>-1.1299999999999999</v>
      </c>
      <c r="U249" s="1">
        <f ca="1">IFERROR(__xludf.DUMMYFUNCTION("""COMPUTED_VALUE"""),191)</f>
        <v>191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IFERROR(__xludf.DUMMYFUNCTION("""COMPUTED_VALUE"""),"McNeese St.")</f>
        <v>McNeese St.</v>
      </c>
      <c r="C250" s="1" t="str">
        <f ca="1">IFERROR(__xludf.DUMMYFUNCTION("""COMPUTED_VALUE"""),"Slnd")</f>
        <v>Slnd</v>
      </c>
      <c r="D250" s="2">
        <f ca="1">IFERROR(__xludf.DUMMYFUNCTION("""COMPUTED_VALUE"""),44881)</f>
        <v>44881</v>
      </c>
      <c r="E250" s="1">
        <f ca="1">IFERROR(__xludf.DUMMYFUNCTION("""COMPUTED_VALUE"""),-6.92)</f>
        <v>-6.92</v>
      </c>
      <c r="F250" s="1">
        <f ca="1">IFERROR(__xludf.DUMMYFUNCTION("""COMPUTED_VALUE"""),99.5)</f>
        <v>99.5</v>
      </c>
      <c r="G250" s="1">
        <f ca="1">IFERROR(__xludf.DUMMYFUNCTION("""COMPUTED_VALUE"""),229)</f>
        <v>229</v>
      </c>
      <c r="H250" s="1">
        <f ca="1">IFERROR(__xludf.DUMMYFUNCTION("""COMPUTED_VALUE"""),106.4)</f>
        <v>106.4</v>
      </c>
      <c r="I250" s="1">
        <f ca="1">IFERROR(__xludf.DUMMYFUNCTION("""COMPUTED_VALUE"""),229)</f>
        <v>229</v>
      </c>
      <c r="J250" s="1">
        <f ca="1">IFERROR(__xludf.DUMMYFUNCTION("""COMPUTED_VALUE"""),71.1)</f>
        <v>71.099999999999994</v>
      </c>
      <c r="K250" s="1">
        <f ca="1">IFERROR(__xludf.DUMMYFUNCTION("""COMPUTED_VALUE"""),11)</f>
        <v>11</v>
      </c>
      <c r="L250" s="1">
        <f ca="1">IFERROR(__xludf.DUMMYFUNCTION("""COMPUTED_VALUE"""),-0.076)</f>
        <v>-7.5999999999999998E-2</v>
      </c>
      <c r="M250" s="1">
        <f ca="1">IFERROR(__xludf.DUMMYFUNCTION("""COMPUTED_VALUE"""),301)</f>
        <v>301</v>
      </c>
      <c r="N250" s="1">
        <f ca="1">IFERROR(__xludf.DUMMYFUNCTION("""COMPUTED_VALUE"""),-4.08)</f>
        <v>-4.08</v>
      </c>
      <c r="O250" s="1">
        <f ca="1">IFERROR(__xludf.DUMMYFUNCTION("""COMPUTED_VALUE"""),235)</f>
        <v>235</v>
      </c>
      <c r="P250" s="1">
        <f ca="1">IFERROR(__xludf.DUMMYFUNCTION("""COMPUTED_VALUE"""),100.9)</f>
        <v>100.9</v>
      </c>
      <c r="Q250" s="1">
        <f ca="1">IFERROR(__xludf.DUMMYFUNCTION("""COMPUTED_VALUE"""),243)</f>
        <v>243</v>
      </c>
      <c r="R250" s="1">
        <f ca="1">IFERROR(__xludf.DUMMYFUNCTION("""COMPUTED_VALUE"""),105)</f>
        <v>105</v>
      </c>
      <c r="S250" s="1">
        <f ca="1">IFERROR(__xludf.DUMMYFUNCTION("""COMPUTED_VALUE"""),219)</f>
        <v>219</v>
      </c>
      <c r="T250" s="1" t="str">
        <f ca="1">IFERROR(__xludf.DUMMYFUNCTION("""COMPUTED_VALUE"""),"+8.24")</f>
        <v>+8.24</v>
      </c>
      <c r="U250" s="1">
        <f ca="1">IFERROR(__xludf.DUMMYFUNCTION("""COMPUTED_VALUE"""),13)</f>
        <v>13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IFERROR(__xludf.DUMMYFUNCTION("""COMPUTED_VALUE"""),"Jacksonville St.")</f>
        <v>Jacksonville St.</v>
      </c>
      <c r="C251" s="1" t="str">
        <f ca="1">IFERROR(__xludf.DUMMYFUNCTION("""COMPUTED_VALUE"""),"OVC")</f>
        <v>OVC</v>
      </c>
      <c r="D251" s="1" t="str">
        <f ca="1">IFERROR(__xludf.DUMMYFUNCTION("""COMPUTED_VALUE"""),"14-14")</f>
        <v>14-14</v>
      </c>
      <c r="E251" s="1">
        <f ca="1">IFERROR(__xludf.DUMMYFUNCTION("""COMPUTED_VALUE"""),-6.96)</f>
        <v>-6.96</v>
      </c>
      <c r="F251" s="1">
        <f ca="1">IFERROR(__xludf.DUMMYFUNCTION("""COMPUTED_VALUE"""),104.8)</f>
        <v>104.8</v>
      </c>
      <c r="G251" s="1">
        <f ca="1">IFERROR(__xludf.DUMMYFUNCTION("""COMPUTED_VALUE"""),126)</f>
        <v>126</v>
      </c>
      <c r="H251" s="1">
        <f ca="1">IFERROR(__xludf.DUMMYFUNCTION("""COMPUTED_VALUE"""),111.7)</f>
        <v>111.7</v>
      </c>
      <c r="I251" s="1">
        <f ca="1">IFERROR(__xludf.DUMMYFUNCTION("""COMPUTED_VALUE"""),308)</f>
        <v>308</v>
      </c>
      <c r="J251" s="1">
        <f ca="1">IFERROR(__xludf.DUMMYFUNCTION("""COMPUTED_VALUE"""),67.3)</f>
        <v>67.3</v>
      </c>
      <c r="K251" s="1">
        <f ca="1">IFERROR(__xludf.DUMMYFUNCTION("""COMPUTED_VALUE"""),111)</f>
        <v>111</v>
      </c>
      <c r="L251" s="1">
        <f ca="1">IFERROR(__xludf.DUMMYFUNCTION("""COMPUTED_VALUE"""),-0.026)</f>
        <v>-2.5999999999999999E-2</v>
      </c>
      <c r="M251" s="1">
        <f ca="1">IFERROR(__xludf.DUMMYFUNCTION("""COMPUTED_VALUE"""),228)</f>
        <v>228</v>
      </c>
      <c r="N251" s="1">
        <f ca="1">IFERROR(__xludf.DUMMYFUNCTION("""COMPUTED_VALUE"""),-7.68)</f>
        <v>-7.68</v>
      </c>
      <c r="O251" s="1">
        <f ca="1">IFERROR(__xludf.DUMMYFUNCTION("""COMPUTED_VALUE"""),275)</f>
        <v>275</v>
      </c>
      <c r="P251" s="1">
        <f ca="1">IFERROR(__xludf.DUMMYFUNCTION("""COMPUTED_VALUE"""),99.9)</f>
        <v>99.9</v>
      </c>
      <c r="Q251" s="1">
        <f ca="1">IFERROR(__xludf.DUMMYFUNCTION("""COMPUTED_VALUE"""),257)</f>
        <v>257</v>
      </c>
      <c r="R251" s="1">
        <f ca="1">IFERROR(__xludf.DUMMYFUNCTION("""COMPUTED_VALUE"""),107.6)</f>
        <v>107.6</v>
      </c>
      <c r="S251" s="1">
        <f ca="1">IFERROR(__xludf.DUMMYFUNCTION("""COMPUTED_VALUE"""),315)</f>
        <v>315</v>
      </c>
      <c r="T251" s="1">
        <f ca="1">IFERROR(__xludf.DUMMYFUNCTION("""COMPUTED_VALUE"""),-13.61)</f>
        <v>-13.61</v>
      </c>
      <c r="U251" s="1">
        <f ca="1">IFERROR(__xludf.DUMMYFUNCTION("""COMPUTED_VALUE"""),326)</f>
        <v>326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IFERROR(__xludf.DUMMYFUNCTION("""COMPUTED_VALUE"""),"Lehigh16")</f>
        <v>Lehigh16</v>
      </c>
      <c r="C252" s="1" t="str">
        <f ca="1">IFERROR(__xludf.DUMMYFUNCTION("""COMPUTED_VALUE"""),"Pat")</f>
        <v>Pat</v>
      </c>
      <c r="D252" s="1" t="str">
        <f ca="1">IFERROR(__xludf.DUMMYFUNCTION("""COMPUTED_VALUE"""),"20-11")</f>
        <v>20-11</v>
      </c>
      <c r="E252" s="1">
        <f ca="1">IFERROR(__xludf.DUMMYFUNCTION("""COMPUTED_VALUE"""),-7.01)</f>
        <v>-7.01</v>
      </c>
      <c r="F252" s="1">
        <f ca="1">IFERROR(__xludf.DUMMYFUNCTION("""COMPUTED_VALUE"""),97.7)</f>
        <v>97.7</v>
      </c>
      <c r="G252" s="1">
        <f ca="1">IFERROR(__xludf.DUMMYFUNCTION("""COMPUTED_VALUE"""),259)</f>
        <v>259</v>
      </c>
      <c r="H252" s="1">
        <f ca="1">IFERROR(__xludf.DUMMYFUNCTION("""COMPUTED_VALUE"""),104.7)</f>
        <v>104.7</v>
      </c>
      <c r="I252" s="1">
        <f ca="1">IFERROR(__xludf.DUMMYFUNCTION("""COMPUTED_VALUE"""),185)</f>
        <v>185</v>
      </c>
      <c r="J252" s="1">
        <f ca="1">IFERROR(__xludf.DUMMYFUNCTION("""COMPUTED_VALUE"""),63.4)</f>
        <v>63.4</v>
      </c>
      <c r="K252" s="1">
        <f ca="1">IFERROR(__xludf.DUMMYFUNCTION("""COMPUTED_VALUE"""),257)</f>
        <v>257</v>
      </c>
      <c r="L252" s="1" t="str">
        <f ca="1">IFERROR(__xludf.DUMMYFUNCTION("""COMPUTED_VALUE"""),"+.055")</f>
        <v>+.055</v>
      </c>
      <c r="M252" s="1">
        <f ca="1">IFERROR(__xludf.DUMMYFUNCTION("""COMPUTED_VALUE"""),46)</f>
        <v>46</v>
      </c>
      <c r="N252" s="1">
        <f ca="1">IFERROR(__xludf.DUMMYFUNCTION("""COMPUTED_VALUE"""),-11.5)</f>
        <v>-11.5</v>
      </c>
      <c r="O252" s="1">
        <f ca="1">IFERROR(__xludf.DUMMYFUNCTION("""COMPUTED_VALUE"""),314)</f>
        <v>314</v>
      </c>
      <c r="P252" s="1">
        <f ca="1">IFERROR(__xludf.DUMMYFUNCTION("""COMPUTED_VALUE"""),95.4)</f>
        <v>95.4</v>
      </c>
      <c r="Q252" s="1">
        <f ca="1">IFERROR(__xludf.DUMMYFUNCTION("""COMPUTED_VALUE"""),316)</f>
        <v>316</v>
      </c>
      <c r="R252" s="1">
        <f ca="1">IFERROR(__xludf.DUMMYFUNCTION("""COMPUTED_VALUE"""),106.9)</f>
        <v>106.9</v>
      </c>
      <c r="S252" s="1">
        <f ca="1">IFERROR(__xludf.DUMMYFUNCTION("""COMPUTED_VALUE"""),298)</f>
        <v>298</v>
      </c>
      <c r="T252" s="1">
        <f ca="1">IFERROR(__xludf.DUMMYFUNCTION("""COMPUTED_VALUE"""),-9.88)</f>
        <v>-9.8800000000000008</v>
      </c>
      <c r="U252" s="1">
        <f ca="1">IFERROR(__xludf.DUMMYFUNCTION("""COMPUTED_VALUE"""),316)</f>
        <v>316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IFERROR(__xludf.DUMMYFUNCTION("""COMPUTED_VALUE"""),"Coppin St.")</f>
        <v>Coppin St.</v>
      </c>
      <c r="C255" s="1" t="str">
        <f ca="1">IFERROR(__xludf.DUMMYFUNCTION("""COMPUTED_VALUE"""),"MEAC")</f>
        <v>MEAC</v>
      </c>
      <c r="D255" s="1" t="str">
        <f ca="1">IFERROR(__xludf.DUMMYFUNCTION("""COMPUTED_VALUE"""),"18-14")</f>
        <v>18-14</v>
      </c>
      <c r="E255" s="1">
        <f ca="1">IFERROR(__xludf.DUMMYFUNCTION("""COMPUTED_VALUE"""),-7.05)</f>
        <v>-7.05</v>
      </c>
      <c r="F255" s="1">
        <f ca="1">IFERROR(__xludf.DUMMYFUNCTION("""COMPUTED_VALUE"""),95)</f>
        <v>95</v>
      </c>
      <c r="G255" s="1">
        <f ca="1">IFERROR(__xludf.DUMMYFUNCTION("""COMPUTED_VALUE"""),291)</f>
        <v>291</v>
      </c>
      <c r="H255" s="1">
        <f ca="1">IFERROR(__xludf.DUMMYFUNCTION("""COMPUTED_VALUE"""),102)</f>
        <v>102</v>
      </c>
      <c r="I255" s="1">
        <f ca="1">IFERROR(__xludf.DUMMYFUNCTION("""COMPUTED_VALUE"""),141)</f>
        <v>141</v>
      </c>
      <c r="J255" s="1">
        <f ca="1">IFERROR(__xludf.DUMMYFUNCTION("""COMPUTED_VALUE"""),61.7)</f>
        <v>61.7</v>
      </c>
      <c r="K255" s="1">
        <f ca="1">IFERROR(__xludf.DUMMYFUNCTION("""COMPUTED_VALUE"""),298)</f>
        <v>298</v>
      </c>
      <c r="L255" s="1" t="str">
        <f ca="1">IFERROR(__xludf.DUMMYFUNCTION("""COMPUTED_VALUE"""),"+.041")</f>
        <v>+.041</v>
      </c>
      <c r="M255" s="1">
        <f ca="1">IFERROR(__xludf.DUMMYFUNCTION("""COMPUTED_VALUE"""),68)</f>
        <v>68</v>
      </c>
      <c r="N255" s="1">
        <f ca="1">IFERROR(__xludf.DUMMYFUNCTION("""COMPUTED_VALUE"""),-10)</f>
        <v>-10</v>
      </c>
      <c r="O255" s="1">
        <f ca="1">IFERROR(__xludf.DUMMYFUNCTION("""COMPUTED_VALUE"""),307)</f>
        <v>307</v>
      </c>
      <c r="P255" s="1">
        <f ca="1">IFERROR(__xludf.DUMMYFUNCTION("""COMPUTED_VALUE"""),97.8)</f>
        <v>97.8</v>
      </c>
      <c r="Q255" s="1">
        <f ca="1">IFERROR(__xludf.DUMMYFUNCTION("""COMPUTED_VALUE"""),293)</f>
        <v>293</v>
      </c>
      <c r="R255" s="1">
        <f ca="1">IFERROR(__xludf.DUMMYFUNCTION("""COMPUTED_VALUE"""),107.8)</f>
        <v>107.8</v>
      </c>
      <c r="S255" s="1">
        <f ca="1">IFERROR(__xludf.DUMMYFUNCTION("""COMPUTED_VALUE"""),319)</f>
        <v>319</v>
      </c>
      <c r="T255" s="1" t="str">
        <f ca="1">IFERROR(__xludf.DUMMYFUNCTION("""COMPUTED_VALUE"""),"+5.49")</f>
        <v>+5.49</v>
      </c>
      <c r="U255" s="1">
        <f ca="1">IFERROR(__xludf.DUMMYFUNCTION("""COMPUTED_VALUE"""),44)</f>
        <v>44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IFERROR(__xludf.DUMMYFUNCTION("""COMPUTED_VALUE"""),"Coastal Carolina")</f>
        <v>Coastal Carolina</v>
      </c>
      <c r="C256" s="1" t="str">
        <f ca="1">IFERROR(__xludf.DUMMYFUNCTION("""COMPUTED_VALUE"""),"BSth")</f>
        <v>BSth</v>
      </c>
      <c r="D256" s="1" t="str">
        <f ca="1">IFERROR(__xludf.DUMMYFUNCTION("""COMPUTED_VALUE"""),"14-15")</f>
        <v>14-15</v>
      </c>
      <c r="E256" s="1">
        <f ca="1">IFERROR(__xludf.DUMMYFUNCTION("""COMPUTED_VALUE"""),-7.11)</f>
        <v>-7.11</v>
      </c>
      <c r="F256" s="1">
        <f ca="1">IFERROR(__xludf.DUMMYFUNCTION("""COMPUTED_VALUE"""),98.4)</f>
        <v>98.4</v>
      </c>
      <c r="G256" s="1">
        <f ca="1">IFERROR(__xludf.DUMMYFUNCTION("""COMPUTED_VALUE"""),246)</f>
        <v>246</v>
      </c>
      <c r="H256" s="1">
        <f ca="1">IFERROR(__xludf.DUMMYFUNCTION("""COMPUTED_VALUE"""),105.5)</f>
        <v>105.5</v>
      </c>
      <c r="I256" s="1">
        <f ca="1">IFERROR(__xludf.DUMMYFUNCTION("""COMPUTED_VALUE"""),198)</f>
        <v>198</v>
      </c>
      <c r="J256" s="1">
        <f ca="1">IFERROR(__xludf.DUMMYFUNCTION("""COMPUTED_VALUE"""),66.6)</f>
        <v>66.599999999999994</v>
      </c>
      <c r="K256" s="1">
        <f ca="1">IFERROR(__xludf.DUMMYFUNCTION("""COMPUTED_VALUE"""),130)</f>
        <v>130</v>
      </c>
      <c r="L256" s="1">
        <f ca="1">IFERROR(__xludf.DUMMYFUNCTION("""COMPUTED_VALUE"""),-0.06)</f>
        <v>-0.06</v>
      </c>
      <c r="M256" s="1">
        <f ca="1">IFERROR(__xludf.DUMMYFUNCTION("""COMPUTED_VALUE"""),280)</f>
        <v>280</v>
      </c>
      <c r="N256" s="1">
        <f ca="1">IFERROR(__xludf.DUMMYFUNCTION("""COMPUTED_VALUE"""),-8.13)</f>
        <v>-8.1300000000000008</v>
      </c>
      <c r="O256" s="1">
        <f ca="1">IFERROR(__xludf.DUMMYFUNCTION("""COMPUTED_VALUE"""),286)</f>
        <v>286</v>
      </c>
      <c r="P256" s="1">
        <f ca="1">IFERROR(__xludf.DUMMYFUNCTION("""COMPUTED_VALUE"""),98)</f>
        <v>98</v>
      </c>
      <c r="Q256" s="1">
        <f ca="1">IFERROR(__xludf.DUMMYFUNCTION("""COMPUTED_VALUE"""),287)</f>
        <v>287</v>
      </c>
      <c r="R256" s="1">
        <f ca="1">IFERROR(__xludf.DUMMYFUNCTION("""COMPUTED_VALUE"""),106.2)</f>
        <v>106.2</v>
      </c>
      <c r="S256" s="1">
        <f ca="1">IFERROR(__xludf.DUMMYFUNCTION("""COMPUTED_VALUE"""),276)</f>
        <v>276</v>
      </c>
      <c r="T256" s="1" t="str">
        <f ca="1">IFERROR(__xludf.DUMMYFUNCTION("""COMPUTED_VALUE"""),"+0.53")</f>
        <v>+0.53</v>
      </c>
      <c r="U256" s="1">
        <f ca="1">IFERROR(__xludf.DUMMYFUNCTION("""COMPUTED_VALUE"""),149)</f>
        <v>149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IFERROR(__xludf.DUMMYFUNCTION("""COMPUTED_VALUE"""),"San Jose St.")</f>
        <v>San Jose St.</v>
      </c>
      <c r="C257" s="1" t="str">
        <f ca="1">IFERROR(__xludf.DUMMYFUNCTION("""COMPUTED_VALUE"""),"WAC")</f>
        <v>WAC</v>
      </c>
      <c r="D257" s="2">
        <f ca="1">IFERROR(__xludf.DUMMYFUNCTION("""COMPUTED_VALUE"""),44735)</f>
        <v>44735</v>
      </c>
      <c r="E257" s="1">
        <f ca="1">IFERROR(__xludf.DUMMYFUNCTION("""COMPUTED_VALUE"""),-7.14)</f>
        <v>-7.14</v>
      </c>
      <c r="F257" s="1">
        <f ca="1">IFERROR(__xludf.DUMMYFUNCTION("""COMPUTED_VALUE"""),99.2)</f>
        <v>99.2</v>
      </c>
      <c r="G257" s="1">
        <f ca="1">IFERROR(__xludf.DUMMYFUNCTION("""COMPUTED_VALUE"""),233)</f>
        <v>233</v>
      </c>
      <c r="H257" s="1">
        <f ca="1">IFERROR(__xludf.DUMMYFUNCTION("""COMPUTED_VALUE"""),106.3)</f>
        <v>106.3</v>
      </c>
      <c r="I257" s="1">
        <f ca="1">IFERROR(__xludf.DUMMYFUNCTION("""COMPUTED_VALUE"""),224)</f>
        <v>224</v>
      </c>
      <c r="J257" s="1">
        <f ca="1">IFERROR(__xludf.DUMMYFUNCTION("""COMPUTED_VALUE"""),60.9)</f>
        <v>60.9</v>
      </c>
      <c r="K257" s="1">
        <f ca="1">IFERROR(__xludf.DUMMYFUNCTION("""COMPUTED_VALUE"""),309)</f>
        <v>309</v>
      </c>
      <c r="L257" s="1">
        <f ca="1">IFERROR(__xludf.DUMMYFUNCTION("""COMPUTED_VALUE"""),-0.062)</f>
        <v>-6.2E-2</v>
      </c>
      <c r="M257" s="1">
        <f ca="1">IFERROR(__xludf.DUMMYFUNCTION("""COMPUTED_VALUE"""),283)</f>
        <v>283</v>
      </c>
      <c r="N257" s="1" t="str">
        <f ca="1">IFERROR(__xludf.DUMMYFUNCTION("""COMPUTED_VALUE"""),"+3.89")</f>
        <v>+3.89</v>
      </c>
      <c r="O257" s="1">
        <f ca="1">IFERROR(__xludf.DUMMYFUNCTION("""COMPUTED_VALUE"""),97)</f>
        <v>97</v>
      </c>
      <c r="P257" s="1">
        <f ca="1">IFERROR(__xludf.DUMMYFUNCTION("""COMPUTED_VALUE"""),105.1)</f>
        <v>105.1</v>
      </c>
      <c r="Q257" s="1">
        <f ca="1">IFERROR(__xludf.DUMMYFUNCTION("""COMPUTED_VALUE"""),105)</f>
        <v>105</v>
      </c>
      <c r="R257" s="1">
        <f ca="1">IFERROR(__xludf.DUMMYFUNCTION("""COMPUTED_VALUE"""),101.2)</f>
        <v>101.2</v>
      </c>
      <c r="S257" s="1">
        <f ca="1">IFERROR(__xludf.DUMMYFUNCTION("""COMPUTED_VALUE"""),88)</f>
        <v>88</v>
      </c>
      <c r="T257" s="1">
        <f ca="1">IFERROR(__xludf.DUMMYFUNCTION("""COMPUTED_VALUE"""),-6.68)</f>
        <v>-6.68</v>
      </c>
      <c r="U257" s="1">
        <f ca="1">IFERROR(__xludf.DUMMYFUNCTION("""COMPUTED_VALUE"""),291)</f>
        <v>291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IFERROR(__xludf.DUMMYFUNCTION("""COMPUTED_VALUE"""),"St. Francis NY")</f>
        <v>St. Francis NY</v>
      </c>
      <c r="C258" s="1" t="str">
        <f ca="1">IFERROR(__xludf.DUMMYFUNCTION("""COMPUTED_VALUE"""),"NEC")</f>
        <v>NEC</v>
      </c>
      <c r="D258" s="1" t="str">
        <f ca="1">IFERROR(__xludf.DUMMYFUNCTION("""COMPUTED_VALUE"""),"15-13")</f>
        <v>15-13</v>
      </c>
      <c r="E258" s="1">
        <f ca="1">IFERROR(__xludf.DUMMYFUNCTION("""COMPUTED_VALUE"""),-7.22)</f>
        <v>-7.22</v>
      </c>
      <c r="F258" s="1">
        <f ca="1">IFERROR(__xludf.DUMMYFUNCTION("""COMPUTED_VALUE"""),98)</f>
        <v>98</v>
      </c>
      <c r="G258" s="1">
        <f ca="1">IFERROR(__xludf.DUMMYFUNCTION("""COMPUTED_VALUE"""),254)</f>
        <v>254</v>
      </c>
      <c r="H258" s="1">
        <f ca="1">IFERROR(__xludf.DUMMYFUNCTION("""COMPUTED_VALUE"""),105.2)</f>
        <v>105.2</v>
      </c>
      <c r="I258" s="1">
        <f ca="1">IFERROR(__xludf.DUMMYFUNCTION("""COMPUTED_VALUE"""),192)</f>
        <v>192</v>
      </c>
      <c r="J258" s="1">
        <f ca="1">IFERROR(__xludf.DUMMYFUNCTION("""COMPUTED_VALUE"""),68.6)</f>
        <v>68.599999999999994</v>
      </c>
      <c r="K258" s="1">
        <f ca="1">IFERROR(__xludf.DUMMYFUNCTION("""COMPUTED_VALUE"""),62)</f>
        <v>62</v>
      </c>
      <c r="L258" s="1">
        <f ca="1">IFERROR(__xludf.DUMMYFUNCTION("""COMPUTED_VALUE"""),-0.015)</f>
        <v>-1.4999999999999999E-2</v>
      </c>
      <c r="M258" s="1">
        <f ca="1">IFERROR(__xludf.DUMMYFUNCTION("""COMPUTED_VALUE"""),204)</f>
        <v>204</v>
      </c>
      <c r="N258" s="1">
        <f ca="1">IFERROR(__xludf.DUMMYFUNCTION("""COMPUTED_VALUE"""),-10.16)</f>
        <v>-10.16</v>
      </c>
      <c r="O258" s="1">
        <f ca="1">IFERROR(__xludf.DUMMYFUNCTION("""COMPUTED_VALUE"""),310)</f>
        <v>310</v>
      </c>
      <c r="P258" s="1">
        <f ca="1">IFERROR(__xludf.DUMMYFUNCTION("""COMPUTED_VALUE"""),98)</f>
        <v>98</v>
      </c>
      <c r="Q258" s="1">
        <f ca="1">IFERROR(__xludf.DUMMYFUNCTION("""COMPUTED_VALUE"""),289)</f>
        <v>289</v>
      </c>
      <c r="R258" s="1">
        <f ca="1">IFERROR(__xludf.DUMMYFUNCTION("""COMPUTED_VALUE"""),108.2)</f>
        <v>108.2</v>
      </c>
      <c r="S258" s="1">
        <f ca="1">IFERROR(__xludf.DUMMYFUNCTION("""COMPUTED_VALUE"""),323)</f>
        <v>323</v>
      </c>
      <c r="T258" s="1">
        <f ca="1">IFERROR(__xludf.DUMMYFUNCTION("""COMPUTED_VALUE"""),-8.4)</f>
        <v>-8.4</v>
      </c>
      <c r="U258" s="1">
        <f ca="1">IFERROR(__xludf.DUMMYFUNCTION("""COMPUTED_VALUE"""),306)</f>
        <v>306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IFERROR(__xludf.DUMMYFUNCTION("""COMPUTED_VALUE"""),"Florida Atlantic")</f>
        <v>Florida Atlantic</v>
      </c>
      <c r="C259" s="1" t="str">
        <f ca="1">IFERROR(__xludf.DUMMYFUNCTION("""COMPUTED_VALUE"""),"ASun")</f>
        <v>ASun</v>
      </c>
      <c r="D259" s="2">
        <f ca="1">IFERROR(__xludf.DUMMYFUNCTION("""COMPUTED_VALUE"""),44823)</f>
        <v>44823</v>
      </c>
      <c r="E259" s="1">
        <f ca="1">IFERROR(__xludf.DUMMYFUNCTION("""COMPUTED_VALUE"""),-7.28)</f>
        <v>-7.28</v>
      </c>
      <c r="F259" s="1">
        <f ca="1">IFERROR(__xludf.DUMMYFUNCTION("""COMPUTED_VALUE"""),99.9)</f>
        <v>99.9</v>
      </c>
      <c r="G259" s="1">
        <f ca="1">IFERROR(__xludf.DUMMYFUNCTION("""COMPUTED_VALUE"""),220)</f>
        <v>220</v>
      </c>
      <c r="H259" s="1">
        <f ca="1">IFERROR(__xludf.DUMMYFUNCTION("""COMPUTED_VALUE"""),107.2)</f>
        <v>107.2</v>
      </c>
      <c r="I259" s="1">
        <f ca="1">IFERROR(__xludf.DUMMYFUNCTION("""COMPUTED_VALUE"""),241)</f>
        <v>241</v>
      </c>
      <c r="J259" s="1">
        <f ca="1">IFERROR(__xludf.DUMMYFUNCTION("""COMPUTED_VALUE"""),71.1)</f>
        <v>71.099999999999994</v>
      </c>
      <c r="K259" s="1">
        <f ca="1">IFERROR(__xludf.DUMMYFUNCTION("""COMPUTED_VALUE"""),13)</f>
        <v>13</v>
      </c>
      <c r="L259" s="1">
        <f ca="1">IFERROR(__xludf.DUMMYFUNCTION("""COMPUTED_VALUE"""),-0.187)</f>
        <v>-0.187</v>
      </c>
      <c r="M259" s="1">
        <f ca="1">IFERROR(__xludf.DUMMYFUNCTION("""COMPUTED_VALUE"""),326)</f>
        <v>326</v>
      </c>
      <c r="N259" s="1">
        <f ca="1">IFERROR(__xludf.DUMMYFUNCTION("""COMPUTED_VALUE"""),-5.93)</f>
        <v>-5.93</v>
      </c>
      <c r="O259" s="1">
        <f ca="1">IFERROR(__xludf.DUMMYFUNCTION("""COMPUTED_VALUE"""),256)</f>
        <v>256</v>
      </c>
      <c r="P259" s="1">
        <f ca="1">IFERROR(__xludf.DUMMYFUNCTION("""COMPUTED_VALUE"""),101.1)</f>
        <v>101.1</v>
      </c>
      <c r="Q259" s="1">
        <f ca="1">IFERROR(__xludf.DUMMYFUNCTION("""COMPUTED_VALUE"""),240)</f>
        <v>240</v>
      </c>
      <c r="R259" s="1">
        <f ca="1">IFERROR(__xludf.DUMMYFUNCTION("""COMPUTED_VALUE"""),107)</f>
        <v>107</v>
      </c>
      <c r="S259" s="1">
        <f ca="1">IFERROR(__xludf.DUMMYFUNCTION("""COMPUTED_VALUE"""),304)</f>
        <v>304</v>
      </c>
      <c r="T259" s="1">
        <f ca="1">IFERROR(__xludf.DUMMYFUNCTION("""COMPUTED_VALUE"""),-3.27)</f>
        <v>-3.27</v>
      </c>
      <c r="U259" s="1">
        <f ca="1">IFERROR(__xludf.DUMMYFUNCTION("""COMPUTED_VALUE"""),241)</f>
        <v>241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IFERROR(__xludf.DUMMYFUNCTION("""COMPUTED_VALUE"""),"Montana")</f>
        <v>Montana</v>
      </c>
      <c r="C260" s="1" t="str">
        <f ca="1">IFERROR(__xludf.DUMMYFUNCTION("""COMPUTED_VALUE"""),"BSky")</f>
        <v>BSky</v>
      </c>
      <c r="D260" s="2">
        <f ca="1">IFERROR(__xludf.DUMMYFUNCTION("""COMPUTED_VALUE"""),44852)</f>
        <v>44852</v>
      </c>
      <c r="E260" s="1">
        <f ca="1">IFERROR(__xludf.DUMMYFUNCTION("""COMPUTED_VALUE"""),-7.28)</f>
        <v>-7.28</v>
      </c>
      <c r="F260" s="1">
        <f ca="1">IFERROR(__xludf.DUMMYFUNCTION("""COMPUTED_VALUE"""),99)</f>
        <v>99</v>
      </c>
      <c r="G260" s="1">
        <f ca="1">IFERROR(__xludf.DUMMYFUNCTION("""COMPUTED_VALUE"""),236)</f>
        <v>236</v>
      </c>
      <c r="H260" s="1">
        <f ca="1">IFERROR(__xludf.DUMMYFUNCTION("""COMPUTED_VALUE"""),106.3)</f>
        <v>106.3</v>
      </c>
      <c r="I260" s="1">
        <f ca="1">IFERROR(__xludf.DUMMYFUNCTION("""COMPUTED_VALUE"""),223)</f>
        <v>223</v>
      </c>
      <c r="J260" s="1">
        <f ca="1">IFERROR(__xludf.DUMMYFUNCTION("""COMPUTED_VALUE"""),67.3)</f>
        <v>67.3</v>
      </c>
      <c r="K260" s="1">
        <f ca="1">IFERROR(__xludf.DUMMYFUNCTION("""COMPUTED_VALUE"""),110)</f>
        <v>110</v>
      </c>
      <c r="L260" s="1">
        <f ca="1">IFERROR(__xludf.DUMMYFUNCTION("""COMPUTED_VALUE"""),-0.013)</f>
        <v>-1.2999999999999999E-2</v>
      </c>
      <c r="M260" s="1">
        <f ca="1">IFERROR(__xludf.DUMMYFUNCTION("""COMPUTED_VALUE"""),194)</f>
        <v>194</v>
      </c>
      <c r="N260" s="1">
        <f ca="1">IFERROR(__xludf.DUMMYFUNCTION("""COMPUTED_VALUE"""),-0.97)</f>
        <v>-0.97</v>
      </c>
      <c r="O260" s="1">
        <f ca="1">IFERROR(__xludf.DUMMYFUNCTION("""COMPUTED_VALUE"""),183)</f>
        <v>183</v>
      </c>
      <c r="P260" s="1">
        <f ca="1">IFERROR(__xludf.DUMMYFUNCTION("""COMPUTED_VALUE"""),102.9)</f>
        <v>102.9</v>
      </c>
      <c r="Q260" s="1">
        <f ca="1">IFERROR(__xludf.DUMMYFUNCTION("""COMPUTED_VALUE"""),187)</f>
        <v>187</v>
      </c>
      <c r="R260" s="1">
        <f ca="1">IFERROR(__xludf.DUMMYFUNCTION("""COMPUTED_VALUE"""),103.9)</f>
        <v>103.9</v>
      </c>
      <c r="S260" s="1">
        <f ca="1">IFERROR(__xludf.DUMMYFUNCTION("""COMPUTED_VALUE"""),173)</f>
        <v>173</v>
      </c>
      <c r="T260" s="1" t="str">
        <f ca="1">IFERROR(__xludf.DUMMYFUNCTION("""COMPUTED_VALUE"""),"+5.61")</f>
        <v>+5.61</v>
      </c>
      <c r="U260" s="1">
        <f ca="1">IFERROR(__xludf.DUMMYFUNCTION("""COMPUTED_VALUE"""),41)</f>
        <v>41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IFERROR(__xludf.DUMMYFUNCTION("""COMPUTED_VALUE"""),"Mercer")</f>
        <v>Mercer</v>
      </c>
      <c r="C261" s="1" t="str">
        <f ca="1">IFERROR(__xludf.DUMMYFUNCTION("""COMPUTED_VALUE"""),"ASun")</f>
        <v>ASun</v>
      </c>
      <c r="D261" s="2">
        <f ca="1">IFERROR(__xludf.DUMMYFUNCTION("""COMPUTED_VALUE"""),44913)</f>
        <v>44913</v>
      </c>
      <c r="E261" s="1">
        <f ca="1">IFERROR(__xludf.DUMMYFUNCTION("""COMPUTED_VALUE"""),-7.29)</f>
        <v>-7.29</v>
      </c>
      <c r="F261" s="1">
        <f ca="1">IFERROR(__xludf.DUMMYFUNCTION("""COMPUTED_VALUE"""),103)</f>
        <v>103</v>
      </c>
      <c r="G261" s="1">
        <f ca="1">IFERROR(__xludf.DUMMYFUNCTION("""COMPUTED_VALUE"""),159)</f>
        <v>159</v>
      </c>
      <c r="H261" s="1">
        <f ca="1">IFERROR(__xludf.DUMMYFUNCTION("""COMPUTED_VALUE"""),110.3)</f>
        <v>110.3</v>
      </c>
      <c r="I261" s="1">
        <f ca="1">IFERROR(__xludf.DUMMYFUNCTION("""COMPUTED_VALUE"""),292)</f>
        <v>292</v>
      </c>
      <c r="J261" s="1">
        <f ca="1">IFERROR(__xludf.DUMMYFUNCTION("""COMPUTED_VALUE"""),67.2)</f>
        <v>67.2</v>
      </c>
      <c r="K261" s="1">
        <f ca="1">IFERROR(__xludf.DUMMYFUNCTION("""COMPUTED_VALUE"""),114)</f>
        <v>114</v>
      </c>
      <c r="L261" s="1" t="str">
        <f ca="1">IFERROR(__xludf.DUMMYFUNCTION("""COMPUTED_VALUE"""),"+.009")</f>
        <v>+.009</v>
      </c>
      <c r="M261" s="1">
        <f ca="1">IFERROR(__xludf.DUMMYFUNCTION("""COMPUTED_VALUE"""),146)</f>
        <v>146</v>
      </c>
      <c r="N261" s="1">
        <f ca="1">IFERROR(__xludf.DUMMYFUNCTION("""COMPUTED_VALUE"""),-1.91)</f>
        <v>-1.91</v>
      </c>
      <c r="O261" s="1">
        <f ca="1">IFERROR(__xludf.DUMMYFUNCTION("""COMPUTED_VALUE"""),199)</f>
        <v>199</v>
      </c>
      <c r="P261" s="1">
        <f ca="1">IFERROR(__xludf.DUMMYFUNCTION("""COMPUTED_VALUE"""),103)</f>
        <v>103</v>
      </c>
      <c r="Q261" s="1">
        <f ca="1">IFERROR(__xludf.DUMMYFUNCTION("""COMPUTED_VALUE"""),184)</f>
        <v>184</v>
      </c>
      <c r="R261" s="1">
        <f ca="1">IFERROR(__xludf.DUMMYFUNCTION("""COMPUTED_VALUE"""),104.9)</f>
        <v>104.9</v>
      </c>
      <c r="S261" s="1">
        <f ca="1">IFERROR(__xludf.DUMMYFUNCTION("""COMPUTED_VALUE"""),210)</f>
        <v>210</v>
      </c>
      <c r="T261" s="1" t="str">
        <f ca="1">IFERROR(__xludf.DUMMYFUNCTION("""COMPUTED_VALUE"""),"+11.29")</f>
        <v>+11.29</v>
      </c>
      <c r="U261" s="1">
        <f ca="1">IFERROR(__xludf.DUMMYFUNCTION("""COMPUTED_VALUE"""),5)</f>
        <v>5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IFERROR(__xludf.DUMMYFUNCTION("""COMPUTED_VALUE"""),"UTSA16")</f>
        <v>UTSA16</v>
      </c>
      <c r="C262" s="1" t="str">
        <f ca="1">IFERROR(__xludf.DUMMYFUNCTION("""COMPUTED_VALUE"""),"Slnd")</f>
        <v>Slnd</v>
      </c>
      <c r="D262" s="1" t="str">
        <f ca="1">IFERROR(__xludf.DUMMYFUNCTION("""COMPUTED_VALUE"""),"19-14")</f>
        <v>19-14</v>
      </c>
      <c r="E262" s="1">
        <f ca="1">IFERROR(__xludf.DUMMYFUNCTION("""COMPUTED_VALUE"""),-7.69)</f>
        <v>-7.69</v>
      </c>
      <c r="F262" s="1">
        <f ca="1">IFERROR(__xludf.DUMMYFUNCTION("""COMPUTED_VALUE"""),98)</f>
        <v>98</v>
      </c>
      <c r="G262" s="1">
        <f ca="1">IFERROR(__xludf.DUMMYFUNCTION("""COMPUTED_VALUE"""),253)</f>
        <v>253</v>
      </c>
      <c r="H262" s="1">
        <f ca="1">IFERROR(__xludf.DUMMYFUNCTION("""COMPUTED_VALUE"""),105.7)</f>
        <v>105.7</v>
      </c>
      <c r="I262" s="1">
        <f ca="1">IFERROR(__xludf.DUMMYFUNCTION("""COMPUTED_VALUE"""),201)</f>
        <v>201</v>
      </c>
      <c r="J262" s="1">
        <f ca="1">IFERROR(__xludf.DUMMYFUNCTION("""COMPUTED_VALUE"""),68.7)</f>
        <v>68.7</v>
      </c>
      <c r="K262" s="1">
        <f ca="1">IFERROR(__xludf.DUMMYFUNCTION("""COMPUTED_VALUE"""),61)</f>
        <v>61</v>
      </c>
      <c r="L262" s="1" t="str">
        <f ca="1">IFERROR(__xludf.DUMMYFUNCTION("""COMPUTED_VALUE"""),"+.103")</f>
        <v>+.103</v>
      </c>
      <c r="M262" s="1">
        <f ca="1">IFERROR(__xludf.DUMMYFUNCTION("""COMPUTED_VALUE"""),8)</f>
        <v>8</v>
      </c>
      <c r="N262" s="1">
        <f ca="1">IFERROR(__xludf.DUMMYFUNCTION("""COMPUTED_VALUE"""),-7.71)</f>
        <v>-7.71</v>
      </c>
      <c r="O262" s="1">
        <f ca="1">IFERROR(__xludf.DUMMYFUNCTION("""COMPUTED_VALUE"""),276)</f>
        <v>276</v>
      </c>
      <c r="P262" s="1">
        <f ca="1">IFERROR(__xludf.DUMMYFUNCTION("""COMPUTED_VALUE"""),99.1)</f>
        <v>99.1</v>
      </c>
      <c r="Q262" s="1">
        <f ca="1">IFERROR(__xludf.DUMMYFUNCTION("""COMPUTED_VALUE"""),267)</f>
        <v>267</v>
      </c>
      <c r="R262" s="1">
        <f ca="1">IFERROR(__xludf.DUMMYFUNCTION("""COMPUTED_VALUE"""),106.8)</f>
        <v>106.8</v>
      </c>
      <c r="S262" s="1">
        <f ca="1">IFERROR(__xludf.DUMMYFUNCTION("""COMPUTED_VALUE"""),295)</f>
        <v>295</v>
      </c>
      <c r="T262" s="1">
        <f ca="1">IFERROR(__xludf.DUMMYFUNCTION("""COMPUTED_VALUE"""),-5.14)</f>
        <v>-5.14</v>
      </c>
      <c r="U262" s="1">
        <f ca="1">IFERROR(__xludf.DUMMYFUNCTION("""COMPUTED_VALUE"""),268)</f>
        <v>268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IFERROR(__xludf.DUMMYFUNCTION("""COMPUTED_VALUE"""),"Youngstown St.")</f>
        <v>Youngstown St.</v>
      </c>
      <c r="C263" s="1" t="str">
        <f ca="1">IFERROR(__xludf.DUMMYFUNCTION("""COMPUTED_VALUE"""),"Horz")</f>
        <v>Horz</v>
      </c>
      <c r="D263" s="2">
        <f ca="1">IFERROR(__xludf.DUMMYFUNCTION("""COMPUTED_VALUE"""),44793)</f>
        <v>44793</v>
      </c>
      <c r="E263" s="1">
        <f ca="1">IFERROR(__xludf.DUMMYFUNCTION("""COMPUTED_VALUE"""),-8.13)</f>
        <v>-8.1300000000000008</v>
      </c>
      <c r="F263" s="1">
        <f ca="1">IFERROR(__xludf.DUMMYFUNCTION("""COMPUTED_VALUE"""),97.6)</f>
        <v>97.6</v>
      </c>
      <c r="G263" s="1">
        <f ca="1">IFERROR(__xludf.DUMMYFUNCTION("""COMPUTED_VALUE"""),260)</f>
        <v>260</v>
      </c>
      <c r="H263" s="1">
        <f ca="1">IFERROR(__xludf.DUMMYFUNCTION("""COMPUTED_VALUE"""),105.8)</f>
        <v>105.8</v>
      </c>
      <c r="I263" s="1">
        <f ca="1">IFERROR(__xludf.DUMMYFUNCTION("""COMPUTED_VALUE"""),204)</f>
        <v>204</v>
      </c>
      <c r="J263" s="1">
        <f ca="1">IFERROR(__xludf.DUMMYFUNCTION("""COMPUTED_VALUE"""),67.3)</f>
        <v>67.3</v>
      </c>
      <c r="K263" s="1">
        <f ca="1">IFERROR(__xludf.DUMMYFUNCTION("""COMPUTED_VALUE"""),108)</f>
        <v>108</v>
      </c>
      <c r="L263" s="1" t="str">
        <f ca="1">IFERROR(__xludf.DUMMYFUNCTION("""COMPUTED_VALUE"""),"+.004")</f>
        <v>+.004</v>
      </c>
      <c r="M263" s="1">
        <f ca="1">IFERROR(__xludf.DUMMYFUNCTION("""COMPUTED_VALUE"""),160)</f>
        <v>160</v>
      </c>
      <c r="N263" s="1" t="str">
        <f ca="1">IFERROR(__xludf.DUMMYFUNCTION("""COMPUTED_VALUE"""),"+1.77")</f>
        <v>+1.77</v>
      </c>
      <c r="O263" s="1">
        <f ca="1">IFERROR(__xludf.DUMMYFUNCTION("""COMPUTED_VALUE"""),126)</f>
        <v>126</v>
      </c>
      <c r="P263" s="1">
        <f ca="1">IFERROR(__xludf.DUMMYFUNCTION("""COMPUTED_VALUE"""),105)</f>
        <v>105</v>
      </c>
      <c r="Q263" s="1">
        <f ca="1">IFERROR(__xludf.DUMMYFUNCTION("""COMPUTED_VALUE"""),108)</f>
        <v>108</v>
      </c>
      <c r="R263" s="1">
        <f ca="1">IFERROR(__xludf.DUMMYFUNCTION("""COMPUTED_VALUE"""),103.3)</f>
        <v>103.3</v>
      </c>
      <c r="S263" s="1">
        <f ca="1">IFERROR(__xludf.DUMMYFUNCTION("""COMPUTED_VALUE"""),150)</f>
        <v>150</v>
      </c>
      <c r="T263" s="1" t="str">
        <f ca="1">IFERROR(__xludf.DUMMYFUNCTION("""COMPUTED_VALUE"""),"+2.03")</f>
        <v>+2.03</v>
      </c>
      <c r="U263" s="1">
        <f ca="1">IFERROR(__xludf.DUMMYFUNCTION("""COMPUTED_VALUE"""),109)</f>
        <v>109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IFERROR(__xludf.DUMMYFUNCTION("""COMPUTED_VALUE"""),"Texas Pan American")</f>
        <v>Texas Pan American</v>
      </c>
      <c r="C264" s="1" t="str">
        <f ca="1">IFERROR(__xludf.DUMMYFUNCTION("""COMPUTED_VALUE"""),"ind")</f>
        <v>ind</v>
      </c>
      <c r="D264" s="1" t="str">
        <f ca="1">IFERROR(__xludf.DUMMYFUNCTION("""COMPUTED_VALUE"""),"14-14")</f>
        <v>14-14</v>
      </c>
      <c r="E264" s="1">
        <f ca="1">IFERROR(__xludf.DUMMYFUNCTION("""COMPUTED_VALUE"""),-8.19)</f>
        <v>-8.19</v>
      </c>
      <c r="F264" s="1">
        <f ca="1">IFERROR(__xludf.DUMMYFUNCTION("""COMPUTED_VALUE"""),95.3)</f>
        <v>95.3</v>
      </c>
      <c r="G264" s="1">
        <f ca="1">IFERROR(__xludf.DUMMYFUNCTION("""COMPUTED_VALUE"""),289)</f>
        <v>289</v>
      </c>
      <c r="H264" s="1">
        <f ca="1">IFERROR(__xludf.DUMMYFUNCTION("""COMPUTED_VALUE"""),103.5)</f>
        <v>103.5</v>
      </c>
      <c r="I264" s="1">
        <f ca="1">IFERROR(__xludf.DUMMYFUNCTION("""COMPUTED_VALUE"""),168)</f>
        <v>168</v>
      </c>
      <c r="J264" s="1">
        <f ca="1">IFERROR(__xludf.DUMMYFUNCTION("""COMPUTED_VALUE"""),68)</f>
        <v>68</v>
      </c>
      <c r="K264" s="1">
        <f ca="1">IFERROR(__xludf.DUMMYFUNCTION("""COMPUTED_VALUE"""),86)</f>
        <v>86</v>
      </c>
      <c r="L264" s="1" t="str">
        <f ca="1">IFERROR(__xludf.DUMMYFUNCTION("""COMPUTED_VALUE"""),"+.061")</f>
        <v>+.061</v>
      </c>
      <c r="M264" s="1">
        <f ca="1">IFERROR(__xludf.DUMMYFUNCTION("""COMPUTED_VALUE"""),40)</f>
        <v>40</v>
      </c>
      <c r="N264" s="1">
        <f ca="1">IFERROR(__xludf.DUMMYFUNCTION("""COMPUTED_VALUE"""),-2.31)</f>
        <v>-2.31</v>
      </c>
      <c r="O264" s="1">
        <f ca="1">IFERROR(__xludf.DUMMYFUNCTION("""COMPUTED_VALUE"""),210)</f>
        <v>210</v>
      </c>
      <c r="P264" s="1">
        <f ca="1">IFERROR(__xludf.DUMMYFUNCTION("""COMPUTED_VALUE"""),103.1)</f>
        <v>103.1</v>
      </c>
      <c r="Q264" s="1">
        <f ca="1">IFERROR(__xludf.DUMMYFUNCTION("""COMPUTED_VALUE"""),179)</f>
        <v>179</v>
      </c>
      <c r="R264" s="1">
        <f ca="1">IFERROR(__xludf.DUMMYFUNCTION("""COMPUTED_VALUE"""),105.4)</f>
        <v>105.4</v>
      </c>
      <c r="S264" s="1">
        <f ca="1">IFERROR(__xludf.DUMMYFUNCTION("""COMPUTED_VALUE"""),238)</f>
        <v>238</v>
      </c>
      <c r="T264" s="1">
        <f ca="1">IFERROR(__xludf.DUMMYFUNCTION("""COMPUTED_VALUE"""),-0.69)</f>
        <v>-0.69</v>
      </c>
      <c r="U264" s="1">
        <f ca="1">IFERROR(__xludf.DUMMYFUNCTION("""COMPUTED_VALUE"""),181)</f>
        <v>181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IFERROR(__xludf.DUMMYFUNCTION("""COMPUTED_VALUE"""),"Delaware St.")</f>
        <v>Delaware St.</v>
      </c>
      <c r="C265" s="1" t="str">
        <f ca="1">IFERROR(__xludf.DUMMYFUNCTION("""COMPUTED_VALUE"""),"MEAC")</f>
        <v>MEAC</v>
      </c>
      <c r="D265" s="1" t="str">
        <f ca="1">IFERROR(__xludf.DUMMYFUNCTION("""COMPUTED_VALUE"""),"13-15")</f>
        <v>13-15</v>
      </c>
      <c r="E265" s="1">
        <f ca="1">IFERROR(__xludf.DUMMYFUNCTION("""COMPUTED_VALUE"""),-8.46)</f>
        <v>-8.4600000000000009</v>
      </c>
      <c r="F265" s="1">
        <f ca="1">IFERROR(__xludf.DUMMYFUNCTION("""COMPUTED_VALUE"""),99.9)</f>
        <v>99.9</v>
      </c>
      <c r="G265" s="1">
        <f ca="1">IFERROR(__xludf.DUMMYFUNCTION("""COMPUTED_VALUE"""),219)</f>
        <v>219</v>
      </c>
      <c r="H265" s="1">
        <f ca="1">IFERROR(__xludf.DUMMYFUNCTION("""COMPUTED_VALUE"""),108.4)</f>
        <v>108.4</v>
      </c>
      <c r="I265" s="1">
        <f ca="1">IFERROR(__xludf.DUMMYFUNCTION("""COMPUTED_VALUE"""),262)</f>
        <v>262</v>
      </c>
      <c r="J265" s="1">
        <f ca="1">IFERROR(__xludf.DUMMYFUNCTION("""COMPUTED_VALUE"""),58.7)</f>
        <v>58.7</v>
      </c>
      <c r="K265" s="1">
        <f ca="1">IFERROR(__xludf.DUMMYFUNCTION("""COMPUTED_VALUE"""),320)</f>
        <v>320</v>
      </c>
      <c r="L265" s="1">
        <f ca="1">IFERROR(__xludf.DUMMYFUNCTION("""COMPUTED_VALUE"""),-0.013)</f>
        <v>-1.2999999999999999E-2</v>
      </c>
      <c r="M265" s="1">
        <f ca="1">IFERROR(__xludf.DUMMYFUNCTION("""COMPUTED_VALUE"""),195)</f>
        <v>195</v>
      </c>
      <c r="N265" s="1">
        <f ca="1">IFERROR(__xludf.DUMMYFUNCTION("""COMPUTED_VALUE"""),-8.31)</f>
        <v>-8.31</v>
      </c>
      <c r="O265" s="1">
        <f ca="1">IFERROR(__xludf.DUMMYFUNCTION("""COMPUTED_VALUE"""),288)</f>
        <v>288</v>
      </c>
      <c r="P265" s="1">
        <f ca="1">IFERROR(__xludf.DUMMYFUNCTION("""COMPUTED_VALUE"""),97.5)</f>
        <v>97.5</v>
      </c>
      <c r="Q265" s="1">
        <f ca="1">IFERROR(__xludf.DUMMYFUNCTION("""COMPUTED_VALUE"""),294)</f>
        <v>294</v>
      </c>
      <c r="R265" s="1">
        <f ca="1">IFERROR(__xludf.DUMMYFUNCTION("""COMPUTED_VALUE"""),105.8)</f>
        <v>105.8</v>
      </c>
      <c r="S265" s="1">
        <f ca="1">IFERROR(__xludf.DUMMYFUNCTION("""COMPUTED_VALUE"""),256)</f>
        <v>256</v>
      </c>
      <c r="T265" s="1" t="str">
        <f ca="1">IFERROR(__xludf.DUMMYFUNCTION("""COMPUTED_VALUE"""),"+12.46")</f>
        <v>+12.46</v>
      </c>
      <c r="U265" s="1">
        <f ca="1">IFERROR(__xludf.DUMMYFUNCTION("""COMPUTED_VALUE"""),3)</f>
        <v>3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IFERROR(__xludf.DUMMYFUNCTION("""COMPUTED_VALUE"""),"Elon")</f>
        <v>Elon</v>
      </c>
      <c r="C266" s="1" t="str">
        <f ca="1">IFERROR(__xludf.DUMMYFUNCTION("""COMPUTED_VALUE"""),"SC")</f>
        <v>SC</v>
      </c>
      <c r="D266" s="2">
        <f ca="1">IFERROR(__xludf.DUMMYFUNCTION("""COMPUTED_VALUE"""),44913)</f>
        <v>44913</v>
      </c>
      <c r="E266" s="1">
        <f ca="1">IFERROR(__xludf.DUMMYFUNCTION("""COMPUTED_VALUE"""),-8.69)</f>
        <v>-8.69</v>
      </c>
      <c r="F266" s="1">
        <f ca="1">IFERROR(__xludf.DUMMYFUNCTION("""COMPUTED_VALUE"""),99)</f>
        <v>99</v>
      </c>
      <c r="G266" s="1">
        <f ca="1">IFERROR(__xludf.DUMMYFUNCTION("""COMPUTED_VALUE"""),237)</f>
        <v>237</v>
      </c>
      <c r="H266" s="1">
        <f ca="1">IFERROR(__xludf.DUMMYFUNCTION("""COMPUTED_VALUE"""),107.7)</f>
        <v>107.7</v>
      </c>
      <c r="I266" s="1">
        <f ca="1">IFERROR(__xludf.DUMMYFUNCTION("""COMPUTED_VALUE"""),251)</f>
        <v>251</v>
      </c>
      <c r="J266" s="1">
        <f ca="1">IFERROR(__xludf.DUMMYFUNCTION("""COMPUTED_VALUE"""),65.4)</f>
        <v>65.400000000000006</v>
      </c>
      <c r="K266" s="1">
        <f ca="1">IFERROR(__xludf.DUMMYFUNCTION("""COMPUTED_VALUE"""),182)</f>
        <v>182</v>
      </c>
      <c r="L266" s="1" t="str">
        <f ca="1">IFERROR(__xludf.DUMMYFUNCTION("""COMPUTED_VALUE"""),"+.012")</f>
        <v>+.012</v>
      </c>
      <c r="M266" s="1">
        <f ca="1">IFERROR(__xludf.DUMMYFUNCTION("""COMPUTED_VALUE"""),138)</f>
        <v>138</v>
      </c>
      <c r="N266" s="1">
        <f ca="1">IFERROR(__xludf.DUMMYFUNCTION("""COMPUTED_VALUE"""),-2.08)</f>
        <v>-2.08</v>
      </c>
      <c r="O266" s="1">
        <f ca="1">IFERROR(__xludf.DUMMYFUNCTION("""COMPUTED_VALUE"""),203)</f>
        <v>203</v>
      </c>
      <c r="P266" s="1">
        <f ca="1">IFERROR(__xludf.DUMMYFUNCTION("""COMPUTED_VALUE"""),102)</f>
        <v>102</v>
      </c>
      <c r="Q266" s="1">
        <f ca="1">IFERROR(__xludf.DUMMYFUNCTION("""COMPUTED_VALUE"""),219)</f>
        <v>219</v>
      </c>
      <c r="R266" s="1">
        <f ca="1">IFERROR(__xludf.DUMMYFUNCTION("""COMPUTED_VALUE"""),104.1)</f>
        <v>104.1</v>
      </c>
      <c r="S266" s="1">
        <f ca="1">IFERROR(__xludf.DUMMYFUNCTION("""COMPUTED_VALUE"""),183)</f>
        <v>183</v>
      </c>
      <c r="T266" s="1" t="str">
        <f ca="1">IFERROR(__xludf.DUMMYFUNCTION("""COMPUTED_VALUE"""),"+2.94")</f>
        <v>+2.94</v>
      </c>
      <c r="U266" s="1">
        <f ca="1">IFERROR(__xludf.DUMMYFUNCTION("""COMPUTED_VALUE"""),74)</f>
        <v>74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IFERROR(__xludf.DUMMYFUNCTION("""COMPUTED_VALUE"""),"Tennessee Martin")</f>
        <v>Tennessee Martin</v>
      </c>
      <c r="C267" s="1" t="str">
        <f ca="1">IFERROR(__xludf.DUMMYFUNCTION("""COMPUTED_VALUE"""),"OVC")</f>
        <v>OVC</v>
      </c>
      <c r="D267" s="2">
        <f ca="1">IFERROR(__xludf.DUMMYFUNCTION("""COMPUTED_VALUE"""),44852)</f>
        <v>44852</v>
      </c>
      <c r="E267" s="1">
        <f ca="1">IFERROR(__xludf.DUMMYFUNCTION("""COMPUTED_VALUE"""),-8.87)</f>
        <v>-8.8699999999999992</v>
      </c>
      <c r="F267" s="1">
        <f ca="1">IFERROR(__xludf.DUMMYFUNCTION("""COMPUTED_VALUE"""),99.6)</f>
        <v>99.6</v>
      </c>
      <c r="G267" s="1">
        <f ca="1">IFERROR(__xludf.DUMMYFUNCTION("""COMPUTED_VALUE"""),228)</f>
        <v>228</v>
      </c>
      <c r="H267" s="1">
        <f ca="1">IFERROR(__xludf.DUMMYFUNCTION("""COMPUTED_VALUE"""),108.5)</f>
        <v>108.5</v>
      </c>
      <c r="I267" s="1">
        <f ca="1">IFERROR(__xludf.DUMMYFUNCTION("""COMPUTED_VALUE"""),265)</f>
        <v>265</v>
      </c>
      <c r="J267" s="1">
        <f ca="1">IFERROR(__xludf.DUMMYFUNCTION("""COMPUTED_VALUE"""),68.9)</f>
        <v>68.900000000000006</v>
      </c>
      <c r="K267" s="1">
        <f ca="1">IFERROR(__xludf.DUMMYFUNCTION("""COMPUTED_VALUE"""),57)</f>
        <v>57</v>
      </c>
      <c r="L267" s="1">
        <f ca="1">IFERROR(__xludf.DUMMYFUNCTION("""COMPUTED_VALUE"""),-0.045)</f>
        <v>-4.4999999999999998E-2</v>
      </c>
      <c r="M267" s="1">
        <f ca="1">IFERROR(__xludf.DUMMYFUNCTION("""COMPUTED_VALUE"""),260)</f>
        <v>260</v>
      </c>
      <c r="N267" s="1">
        <f ca="1">IFERROR(__xludf.DUMMYFUNCTION("""COMPUTED_VALUE"""),-1.94)</f>
        <v>-1.94</v>
      </c>
      <c r="O267" s="1">
        <f ca="1">IFERROR(__xludf.DUMMYFUNCTION("""COMPUTED_VALUE"""),200)</f>
        <v>200</v>
      </c>
      <c r="P267" s="1">
        <f ca="1">IFERROR(__xludf.DUMMYFUNCTION("""COMPUTED_VALUE"""),103.5)</f>
        <v>103.5</v>
      </c>
      <c r="Q267" s="1">
        <f ca="1">IFERROR(__xludf.DUMMYFUNCTION("""COMPUTED_VALUE"""),158)</f>
        <v>158</v>
      </c>
      <c r="R267" s="1">
        <f ca="1">IFERROR(__xludf.DUMMYFUNCTION("""COMPUTED_VALUE"""),105.4)</f>
        <v>105.4</v>
      </c>
      <c r="S267" s="1">
        <f ca="1">IFERROR(__xludf.DUMMYFUNCTION("""COMPUTED_VALUE"""),240)</f>
        <v>240</v>
      </c>
      <c r="T267" s="1" t="str">
        <f ca="1">IFERROR(__xludf.DUMMYFUNCTION("""COMPUTED_VALUE"""),"+4.72")</f>
        <v>+4.72</v>
      </c>
      <c r="U267" s="1">
        <f ca="1">IFERROR(__xludf.DUMMYFUNCTION("""COMPUTED_VALUE"""),50)</f>
        <v>50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IFERROR(__xludf.DUMMYFUNCTION("""COMPUTED_VALUE"""),"St. Bonaventure")</f>
        <v>St. Bonaventure</v>
      </c>
      <c r="C268" s="1" t="str">
        <f ca="1">IFERROR(__xludf.DUMMYFUNCTION("""COMPUTED_VALUE"""),"A10")</f>
        <v>A10</v>
      </c>
      <c r="D268" s="2">
        <f ca="1">IFERROR(__xludf.DUMMYFUNCTION("""COMPUTED_VALUE"""),44763)</f>
        <v>44763</v>
      </c>
      <c r="E268" s="1">
        <f ca="1">IFERROR(__xludf.DUMMYFUNCTION("""COMPUTED_VALUE"""),-8.95)</f>
        <v>-8.9499999999999993</v>
      </c>
      <c r="F268" s="1">
        <f ca="1">IFERROR(__xludf.DUMMYFUNCTION("""COMPUTED_VALUE"""),100.8)</f>
        <v>100.8</v>
      </c>
      <c r="G268" s="1">
        <f ca="1">IFERROR(__xludf.DUMMYFUNCTION("""COMPUTED_VALUE"""),205)</f>
        <v>205</v>
      </c>
      <c r="H268" s="1">
        <f ca="1">IFERROR(__xludf.DUMMYFUNCTION("""COMPUTED_VALUE"""),109.7)</f>
        <v>109.7</v>
      </c>
      <c r="I268" s="1">
        <f ca="1">IFERROR(__xludf.DUMMYFUNCTION("""COMPUTED_VALUE"""),283)</f>
        <v>283</v>
      </c>
      <c r="J268" s="1">
        <f ca="1">IFERROR(__xludf.DUMMYFUNCTION("""COMPUTED_VALUE"""),69.1)</f>
        <v>69.099999999999994</v>
      </c>
      <c r="K268" s="1">
        <f ca="1">IFERROR(__xludf.DUMMYFUNCTION("""COMPUTED_VALUE"""),50)</f>
        <v>50</v>
      </c>
      <c r="L268" s="1" t="str">
        <f ca="1">IFERROR(__xludf.DUMMYFUNCTION("""COMPUTED_VALUE"""),"+.037")</f>
        <v>+.037</v>
      </c>
      <c r="M268" s="1">
        <f ca="1">IFERROR(__xludf.DUMMYFUNCTION("""COMPUTED_VALUE"""),75)</f>
        <v>75</v>
      </c>
      <c r="N268" s="1" t="str">
        <f ca="1">IFERROR(__xludf.DUMMYFUNCTION("""COMPUTED_VALUE"""),"+5.56")</f>
        <v>+5.56</v>
      </c>
      <c r="O268" s="1">
        <f ca="1">IFERROR(__xludf.DUMMYFUNCTION("""COMPUTED_VALUE"""),68)</f>
        <v>68</v>
      </c>
      <c r="P268" s="1">
        <f ca="1">IFERROR(__xludf.DUMMYFUNCTION("""COMPUTED_VALUE"""),106.5)</f>
        <v>106.5</v>
      </c>
      <c r="Q268" s="1">
        <f ca="1">IFERROR(__xludf.DUMMYFUNCTION("""COMPUTED_VALUE"""),62)</f>
        <v>62</v>
      </c>
      <c r="R268" s="1">
        <f ca="1">IFERROR(__xludf.DUMMYFUNCTION("""COMPUTED_VALUE"""),101)</f>
        <v>101</v>
      </c>
      <c r="S268" s="1">
        <f ca="1">IFERROR(__xludf.DUMMYFUNCTION("""COMPUTED_VALUE"""),82)</f>
        <v>82</v>
      </c>
      <c r="T268" s="1" t="str">
        <f ca="1">IFERROR(__xludf.DUMMYFUNCTION("""COMPUTED_VALUE"""),"+2.66")</f>
        <v>+2.66</v>
      </c>
      <c r="U268" s="1">
        <f ca="1">IFERROR(__xludf.DUMMYFUNCTION("""COMPUTED_VALUE"""),84)</f>
        <v>84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IFERROR(__xludf.DUMMYFUNCTION("""COMPUTED_VALUE"""),"High Point")</f>
        <v>High Point</v>
      </c>
      <c r="C269" s="1" t="str">
        <f ca="1">IFERROR(__xludf.DUMMYFUNCTION("""COMPUTED_VALUE"""),"BSth")</f>
        <v>BSth</v>
      </c>
      <c r="D269" s="1" t="str">
        <f ca="1">IFERROR(__xludf.DUMMYFUNCTION("""COMPUTED_VALUE"""),"19-11")</f>
        <v>19-11</v>
      </c>
      <c r="E269" s="1">
        <f ca="1">IFERROR(__xludf.DUMMYFUNCTION("""COMPUTED_VALUE"""),-9.19)</f>
        <v>-9.19</v>
      </c>
      <c r="F269" s="1">
        <f ca="1">IFERROR(__xludf.DUMMYFUNCTION("""COMPUTED_VALUE"""),97.9)</f>
        <v>97.9</v>
      </c>
      <c r="G269" s="1">
        <f ca="1">IFERROR(__xludf.DUMMYFUNCTION("""COMPUTED_VALUE"""),256)</f>
        <v>256</v>
      </c>
      <c r="H269" s="1">
        <f ca="1">IFERROR(__xludf.DUMMYFUNCTION("""COMPUTED_VALUE"""),107.1)</f>
        <v>107.1</v>
      </c>
      <c r="I269" s="1">
        <f ca="1">IFERROR(__xludf.DUMMYFUNCTION("""COMPUTED_VALUE"""),240)</f>
        <v>240</v>
      </c>
      <c r="J269" s="1">
        <f ca="1">IFERROR(__xludf.DUMMYFUNCTION("""COMPUTED_VALUE"""),69.3)</f>
        <v>69.3</v>
      </c>
      <c r="K269" s="1">
        <f ca="1">IFERROR(__xludf.DUMMYFUNCTION("""COMPUTED_VALUE"""),43)</f>
        <v>43</v>
      </c>
      <c r="L269" s="1" t="str">
        <f ca="1">IFERROR(__xludf.DUMMYFUNCTION("""COMPUTED_VALUE"""),"+.107")</f>
        <v>+.107</v>
      </c>
      <c r="M269" s="1">
        <f ca="1">IFERROR(__xludf.DUMMYFUNCTION("""COMPUTED_VALUE"""),6)</f>
        <v>6</v>
      </c>
      <c r="N269" s="1">
        <f ca="1">IFERROR(__xludf.DUMMYFUNCTION("""COMPUTED_VALUE"""),-9.52)</f>
        <v>-9.52</v>
      </c>
      <c r="O269" s="1">
        <f ca="1">IFERROR(__xludf.DUMMYFUNCTION("""COMPUTED_VALUE"""),304)</f>
        <v>304</v>
      </c>
      <c r="P269" s="1">
        <f ca="1">IFERROR(__xludf.DUMMYFUNCTION("""COMPUTED_VALUE"""),96.3)</f>
        <v>96.3</v>
      </c>
      <c r="Q269" s="1">
        <f ca="1">IFERROR(__xludf.DUMMYFUNCTION("""COMPUTED_VALUE"""),308)</f>
        <v>308</v>
      </c>
      <c r="R269" s="1">
        <f ca="1">IFERROR(__xludf.DUMMYFUNCTION("""COMPUTED_VALUE"""),105.9)</f>
        <v>105.9</v>
      </c>
      <c r="S269" s="1">
        <f ca="1">IFERROR(__xludf.DUMMYFUNCTION("""COMPUTED_VALUE"""),263)</f>
        <v>263</v>
      </c>
      <c r="T269" s="1">
        <f ca="1">IFERROR(__xludf.DUMMYFUNCTION("""COMPUTED_VALUE"""),-1.14)</f>
        <v>-1.1399999999999999</v>
      </c>
      <c r="U269" s="1">
        <f ca="1">IFERROR(__xludf.DUMMYFUNCTION("""COMPUTED_VALUE"""),194)</f>
        <v>194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IFERROR(__xludf.DUMMYFUNCTION("""COMPUTED_VALUE"""),"Florida A&amp;M16")</f>
        <v>Florida A&amp;M16</v>
      </c>
      <c r="C270" s="1" t="str">
        <f ca="1">IFERROR(__xludf.DUMMYFUNCTION("""COMPUTED_VALUE"""),"MEAC")</f>
        <v>MEAC</v>
      </c>
      <c r="D270" s="1" t="str">
        <f ca="1">IFERROR(__xludf.DUMMYFUNCTION("""COMPUTED_VALUE"""),"15-17")</f>
        <v>15-17</v>
      </c>
      <c r="E270" s="1">
        <f ca="1">IFERROR(__xludf.DUMMYFUNCTION("""COMPUTED_VALUE"""),-9.35)</f>
        <v>-9.35</v>
      </c>
      <c r="F270" s="1">
        <f ca="1">IFERROR(__xludf.DUMMYFUNCTION("""COMPUTED_VALUE"""),98.9)</f>
        <v>98.9</v>
      </c>
      <c r="G270" s="1">
        <f ca="1">IFERROR(__xludf.DUMMYFUNCTION("""COMPUTED_VALUE"""),239)</f>
        <v>239</v>
      </c>
      <c r="H270" s="1">
        <f ca="1">IFERROR(__xludf.DUMMYFUNCTION("""COMPUTED_VALUE"""),108.3)</f>
        <v>108.3</v>
      </c>
      <c r="I270" s="1">
        <f ca="1">IFERROR(__xludf.DUMMYFUNCTION("""COMPUTED_VALUE"""),257)</f>
        <v>257</v>
      </c>
      <c r="J270" s="1">
        <f ca="1">IFERROR(__xludf.DUMMYFUNCTION("""COMPUTED_VALUE"""),70.9)</f>
        <v>70.900000000000006</v>
      </c>
      <c r="K270" s="1">
        <f ca="1">IFERROR(__xludf.DUMMYFUNCTION("""COMPUTED_VALUE"""),15)</f>
        <v>15</v>
      </c>
      <c r="L270" s="1" t="str">
        <f ca="1">IFERROR(__xludf.DUMMYFUNCTION("""COMPUTED_VALUE"""),"+.005")</f>
        <v>+.005</v>
      </c>
      <c r="M270" s="1">
        <f ca="1">IFERROR(__xludf.DUMMYFUNCTION("""COMPUTED_VALUE"""),156)</f>
        <v>156</v>
      </c>
      <c r="N270" s="1">
        <f ca="1">IFERROR(__xludf.DUMMYFUNCTION("""COMPUTED_VALUE"""),-9.84)</f>
        <v>-9.84</v>
      </c>
      <c r="O270" s="1">
        <f ca="1">IFERROR(__xludf.DUMMYFUNCTION("""COMPUTED_VALUE"""),306)</f>
        <v>306</v>
      </c>
      <c r="P270" s="1">
        <f ca="1">IFERROR(__xludf.DUMMYFUNCTION("""COMPUTED_VALUE"""),96.9)</f>
        <v>96.9</v>
      </c>
      <c r="Q270" s="1">
        <f ca="1">IFERROR(__xludf.DUMMYFUNCTION("""COMPUTED_VALUE"""),305)</f>
        <v>305</v>
      </c>
      <c r="R270" s="1">
        <f ca="1">IFERROR(__xludf.DUMMYFUNCTION("""COMPUTED_VALUE"""),106.7)</f>
        <v>106.7</v>
      </c>
      <c r="S270" s="1">
        <f ca="1">IFERROR(__xludf.DUMMYFUNCTION("""COMPUTED_VALUE"""),293)</f>
        <v>293</v>
      </c>
      <c r="T270" s="1" t="str">
        <f ca="1">IFERROR(__xludf.DUMMYFUNCTION("""COMPUTED_VALUE"""),"+1.67")</f>
        <v>+1.67</v>
      </c>
      <c r="U270" s="1">
        <f ca="1">IFERROR(__xludf.DUMMYFUNCTION("""COMPUTED_VALUE"""),120)</f>
        <v>120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IFERROR(__xludf.DUMMYFUNCTION("""COMPUTED_VALUE"""),"Samford")</f>
        <v>Samford</v>
      </c>
      <c r="C271" s="1" t="str">
        <f ca="1">IFERROR(__xludf.DUMMYFUNCTION("""COMPUTED_VALUE"""),"OVC")</f>
        <v>OVC</v>
      </c>
      <c r="D271" s="2">
        <f ca="1">IFERROR(__xludf.DUMMYFUNCTION("""COMPUTED_VALUE"""),44911)</f>
        <v>44911</v>
      </c>
      <c r="E271" s="1">
        <f ca="1">IFERROR(__xludf.DUMMYFUNCTION("""COMPUTED_VALUE"""),-9.45)</f>
        <v>-9.4499999999999993</v>
      </c>
      <c r="F271" s="1">
        <f ca="1">IFERROR(__xludf.DUMMYFUNCTION("""COMPUTED_VALUE"""),98.9)</f>
        <v>98.9</v>
      </c>
      <c r="G271" s="1">
        <f ca="1">IFERROR(__xludf.DUMMYFUNCTION("""COMPUTED_VALUE"""),241)</f>
        <v>241</v>
      </c>
      <c r="H271" s="1">
        <f ca="1">IFERROR(__xludf.DUMMYFUNCTION("""COMPUTED_VALUE"""),108.3)</f>
        <v>108.3</v>
      </c>
      <c r="I271" s="1">
        <f ca="1">IFERROR(__xludf.DUMMYFUNCTION("""COMPUTED_VALUE"""),259)</f>
        <v>259</v>
      </c>
      <c r="J271" s="1">
        <f ca="1">IFERROR(__xludf.DUMMYFUNCTION("""COMPUTED_VALUE"""),58.8)</f>
        <v>58.8</v>
      </c>
      <c r="K271" s="1">
        <f ca="1">IFERROR(__xludf.DUMMYFUNCTION("""COMPUTED_VALUE"""),318)</f>
        <v>318</v>
      </c>
      <c r="L271" s="1" t="str">
        <f ca="1">IFERROR(__xludf.DUMMYFUNCTION("""COMPUTED_VALUE"""),"+.030")</f>
        <v>+.030</v>
      </c>
      <c r="M271" s="1">
        <f ca="1">IFERROR(__xludf.DUMMYFUNCTION("""COMPUTED_VALUE"""),90)</f>
        <v>90</v>
      </c>
      <c r="N271" s="1">
        <f ca="1">IFERROR(__xludf.DUMMYFUNCTION("""COMPUTED_VALUE"""),-0.58)</f>
        <v>-0.57999999999999996</v>
      </c>
      <c r="O271" s="1">
        <f ca="1">IFERROR(__xludf.DUMMYFUNCTION("""COMPUTED_VALUE"""),173)</f>
        <v>173</v>
      </c>
      <c r="P271" s="1">
        <f ca="1">IFERROR(__xludf.DUMMYFUNCTION("""COMPUTED_VALUE"""),104.8)</f>
        <v>104.8</v>
      </c>
      <c r="Q271" s="1">
        <f ca="1">IFERROR(__xludf.DUMMYFUNCTION("""COMPUTED_VALUE"""),115)</f>
        <v>115</v>
      </c>
      <c r="R271" s="1">
        <f ca="1">IFERROR(__xludf.DUMMYFUNCTION("""COMPUTED_VALUE"""),105.4)</f>
        <v>105.4</v>
      </c>
      <c r="S271" s="1">
        <f ca="1">IFERROR(__xludf.DUMMYFUNCTION("""COMPUTED_VALUE"""),241)</f>
        <v>241</v>
      </c>
      <c r="T271" s="1" t="str">
        <f ca="1">IFERROR(__xludf.DUMMYFUNCTION("""COMPUTED_VALUE"""),"+11.40")</f>
        <v>+11.40</v>
      </c>
      <c r="U271" s="1">
        <f ca="1">IFERROR(__xludf.DUMMYFUNCTION("""COMPUTED_VALUE"""),4)</f>
        <v>4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IFERROR(__xludf.DUMMYFUNCTION("""COMPUTED_VALUE"""),"Texas St.")</f>
        <v>Texas St.</v>
      </c>
      <c r="C272" s="1" t="str">
        <f ca="1">IFERROR(__xludf.DUMMYFUNCTION("""COMPUTED_VALUE"""),"Slnd")</f>
        <v>Slnd</v>
      </c>
      <c r="D272" s="1" t="str">
        <f ca="1">IFERROR(__xludf.DUMMYFUNCTION("""COMPUTED_VALUE"""),"13-15")</f>
        <v>13-15</v>
      </c>
      <c r="E272" s="1">
        <f ca="1">IFERROR(__xludf.DUMMYFUNCTION("""COMPUTED_VALUE"""),-9.46)</f>
        <v>-9.4600000000000009</v>
      </c>
      <c r="F272" s="1">
        <f ca="1">IFERROR(__xludf.DUMMYFUNCTION("""COMPUTED_VALUE"""),101.7)</f>
        <v>101.7</v>
      </c>
      <c r="G272" s="1">
        <f ca="1">IFERROR(__xludf.DUMMYFUNCTION("""COMPUTED_VALUE"""),184)</f>
        <v>184</v>
      </c>
      <c r="H272" s="1">
        <f ca="1">IFERROR(__xludf.DUMMYFUNCTION("""COMPUTED_VALUE"""),111.2)</f>
        <v>111.2</v>
      </c>
      <c r="I272" s="1">
        <f ca="1">IFERROR(__xludf.DUMMYFUNCTION("""COMPUTED_VALUE"""),300)</f>
        <v>300</v>
      </c>
      <c r="J272" s="1">
        <f ca="1">IFERROR(__xludf.DUMMYFUNCTION("""COMPUTED_VALUE"""),63)</f>
        <v>63</v>
      </c>
      <c r="K272" s="1">
        <f ca="1">IFERROR(__xludf.DUMMYFUNCTION("""COMPUTED_VALUE"""),271)</f>
        <v>271</v>
      </c>
      <c r="L272" s="1">
        <f ca="1">IFERROR(__xludf.DUMMYFUNCTION("""COMPUTED_VALUE"""),-0.04)</f>
        <v>-0.04</v>
      </c>
      <c r="M272" s="1">
        <f ca="1">IFERROR(__xludf.DUMMYFUNCTION("""COMPUTED_VALUE"""),255)</f>
        <v>255</v>
      </c>
      <c r="N272" s="1">
        <f ca="1">IFERROR(__xludf.DUMMYFUNCTION("""COMPUTED_VALUE"""),-6.72)</f>
        <v>-6.72</v>
      </c>
      <c r="O272" s="1">
        <f ca="1">IFERROR(__xludf.DUMMYFUNCTION("""COMPUTED_VALUE"""),265)</f>
        <v>265</v>
      </c>
      <c r="P272" s="1">
        <f ca="1">IFERROR(__xludf.DUMMYFUNCTION("""COMPUTED_VALUE"""),99.1)</f>
        <v>99.1</v>
      </c>
      <c r="Q272" s="1">
        <f ca="1">IFERROR(__xludf.DUMMYFUNCTION("""COMPUTED_VALUE"""),268)</f>
        <v>268</v>
      </c>
      <c r="R272" s="1">
        <f ca="1">IFERROR(__xludf.DUMMYFUNCTION("""COMPUTED_VALUE"""),105.8)</f>
        <v>105.8</v>
      </c>
      <c r="S272" s="1">
        <f ca="1">IFERROR(__xludf.DUMMYFUNCTION("""COMPUTED_VALUE"""),260)</f>
        <v>260</v>
      </c>
      <c r="T272" s="1" t="str">
        <f ca="1">IFERROR(__xludf.DUMMYFUNCTION("""COMPUTED_VALUE"""),"+3.38")</f>
        <v>+3.38</v>
      </c>
      <c r="U272" s="1">
        <f ca="1">IFERROR(__xludf.DUMMYFUNCTION("""COMPUTED_VALUE"""),69)</f>
        <v>69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IFERROR(__xludf.DUMMYFUNCTION("""COMPUTED_VALUE"""),"Northwestern St.")</f>
        <v>Northwestern St.</v>
      </c>
      <c r="C273" s="1" t="str">
        <f ca="1">IFERROR(__xludf.DUMMYFUNCTION("""COMPUTED_VALUE"""),"Slnd")</f>
        <v>Slnd</v>
      </c>
      <c r="D273" s="2">
        <f ca="1">IFERROR(__xludf.DUMMYFUNCTION("""COMPUTED_VALUE"""),44882)</f>
        <v>44882</v>
      </c>
      <c r="E273" s="1">
        <f ca="1">IFERROR(__xludf.DUMMYFUNCTION("""COMPUTED_VALUE"""),-9.61)</f>
        <v>-9.61</v>
      </c>
      <c r="F273" s="1">
        <f ca="1">IFERROR(__xludf.DUMMYFUNCTION("""COMPUTED_VALUE"""),95.7)</f>
        <v>95.7</v>
      </c>
      <c r="G273" s="1">
        <f ca="1">IFERROR(__xludf.DUMMYFUNCTION("""COMPUTED_VALUE"""),281)</f>
        <v>281</v>
      </c>
      <c r="H273" s="1">
        <f ca="1">IFERROR(__xludf.DUMMYFUNCTION("""COMPUTED_VALUE"""),105.3)</f>
        <v>105.3</v>
      </c>
      <c r="I273" s="1">
        <f ca="1">IFERROR(__xludf.DUMMYFUNCTION("""COMPUTED_VALUE"""),196)</f>
        <v>196</v>
      </c>
      <c r="J273" s="1">
        <f ca="1">IFERROR(__xludf.DUMMYFUNCTION("""COMPUTED_VALUE"""),72.5)</f>
        <v>72.5</v>
      </c>
      <c r="K273" s="1">
        <f ca="1">IFERROR(__xludf.DUMMYFUNCTION("""COMPUTED_VALUE"""),9)</f>
        <v>9</v>
      </c>
      <c r="L273" s="1">
        <f ca="1">IFERROR(__xludf.DUMMYFUNCTION("""COMPUTED_VALUE"""),-0.057)</f>
        <v>-5.7000000000000002E-2</v>
      </c>
      <c r="M273" s="1">
        <f ca="1">IFERROR(__xludf.DUMMYFUNCTION("""COMPUTED_VALUE"""),277)</f>
        <v>277</v>
      </c>
      <c r="N273" s="1">
        <f ca="1">IFERROR(__xludf.DUMMYFUNCTION("""COMPUTED_VALUE"""),-4.61)</f>
        <v>-4.6100000000000003</v>
      </c>
      <c r="O273" s="1">
        <f ca="1">IFERROR(__xludf.DUMMYFUNCTION("""COMPUTED_VALUE"""),244)</f>
        <v>244</v>
      </c>
      <c r="P273" s="1">
        <f ca="1">IFERROR(__xludf.DUMMYFUNCTION("""COMPUTED_VALUE"""),101.2)</f>
        <v>101.2</v>
      </c>
      <c r="Q273" s="1">
        <f ca="1">IFERROR(__xludf.DUMMYFUNCTION("""COMPUTED_VALUE"""),239)</f>
        <v>239</v>
      </c>
      <c r="R273" s="1">
        <f ca="1">IFERROR(__xludf.DUMMYFUNCTION("""COMPUTED_VALUE"""),105.8)</f>
        <v>105.8</v>
      </c>
      <c r="S273" s="1">
        <f ca="1">IFERROR(__xludf.DUMMYFUNCTION("""COMPUTED_VALUE"""),254)</f>
        <v>254</v>
      </c>
      <c r="T273" s="1" t="str">
        <f ca="1">IFERROR(__xludf.DUMMYFUNCTION("""COMPUTED_VALUE"""),"+6.66")</f>
        <v>+6.66</v>
      </c>
      <c r="U273" s="1">
        <f ca="1">IFERROR(__xludf.DUMMYFUNCTION("""COMPUTED_VALUE"""),28)</f>
        <v>28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IFERROR(__xludf.DUMMYFUNCTION("""COMPUTED_VALUE"""),"Binghamton")</f>
        <v>Binghamton</v>
      </c>
      <c r="C274" s="1" t="str">
        <f ca="1">IFERROR(__xludf.DUMMYFUNCTION("""COMPUTED_VALUE"""),"AE")</f>
        <v>AE</v>
      </c>
      <c r="D274" s="1" t="str">
        <f ca="1">IFERROR(__xludf.DUMMYFUNCTION("""COMPUTED_VALUE"""),"14-16")</f>
        <v>14-16</v>
      </c>
      <c r="E274" s="1">
        <f ca="1">IFERROR(__xludf.DUMMYFUNCTION("""COMPUTED_VALUE"""),-9.69)</f>
        <v>-9.69</v>
      </c>
      <c r="F274" s="1">
        <f ca="1">IFERROR(__xludf.DUMMYFUNCTION("""COMPUTED_VALUE"""),91.4)</f>
        <v>91.4</v>
      </c>
      <c r="G274" s="1">
        <f ca="1">IFERROR(__xludf.DUMMYFUNCTION("""COMPUTED_VALUE"""),306)</f>
        <v>306</v>
      </c>
      <c r="H274" s="1">
        <f ca="1">IFERROR(__xludf.DUMMYFUNCTION("""COMPUTED_VALUE"""),101.1)</f>
        <v>101.1</v>
      </c>
      <c r="I274" s="1">
        <f ca="1">IFERROR(__xludf.DUMMYFUNCTION("""COMPUTED_VALUE"""),122)</f>
        <v>122</v>
      </c>
      <c r="J274" s="1">
        <f ca="1">IFERROR(__xludf.DUMMYFUNCTION("""COMPUTED_VALUE"""),63.9)</f>
        <v>63.9</v>
      </c>
      <c r="K274" s="1">
        <f ca="1">IFERROR(__xludf.DUMMYFUNCTION("""COMPUTED_VALUE"""),238)</f>
        <v>238</v>
      </c>
      <c r="L274" s="1" t="str">
        <f ca="1">IFERROR(__xludf.DUMMYFUNCTION("""COMPUTED_VALUE"""),"+.037")</f>
        <v>+.037</v>
      </c>
      <c r="M274" s="1">
        <f ca="1">IFERROR(__xludf.DUMMYFUNCTION("""COMPUTED_VALUE"""),76)</f>
        <v>76</v>
      </c>
      <c r="N274" s="1">
        <f ca="1">IFERROR(__xludf.DUMMYFUNCTION("""COMPUTED_VALUE"""),-7.82)</f>
        <v>-7.82</v>
      </c>
      <c r="O274" s="1">
        <f ca="1">IFERROR(__xludf.DUMMYFUNCTION("""COMPUTED_VALUE"""),278)</f>
        <v>278</v>
      </c>
      <c r="P274" s="1">
        <f ca="1">IFERROR(__xludf.DUMMYFUNCTION("""COMPUTED_VALUE"""),98.1)</f>
        <v>98.1</v>
      </c>
      <c r="Q274" s="1">
        <f ca="1">IFERROR(__xludf.DUMMYFUNCTION("""COMPUTED_VALUE"""),285)</f>
        <v>285</v>
      </c>
      <c r="R274" s="1">
        <f ca="1">IFERROR(__xludf.DUMMYFUNCTION("""COMPUTED_VALUE"""),106)</f>
        <v>106</v>
      </c>
      <c r="S274" s="1">
        <f ca="1">IFERROR(__xludf.DUMMYFUNCTION("""COMPUTED_VALUE"""),266)</f>
        <v>266</v>
      </c>
      <c r="T274" s="1">
        <f ca="1">IFERROR(__xludf.DUMMYFUNCTION("""COMPUTED_VALUE"""),-4.27)</f>
        <v>-4.2699999999999996</v>
      </c>
      <c r="U274" s="1">
        <f ca="1">IFERROR(__xludf.DUMMYFUNCTION("""COMPUTED_VALUE"""),255)</f>
        <v>255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IFERROR(__xludf.DUMMYFUNCTION("""COMPUTED_VALUE"""),"Southern Utah")</f>
        <v>Southern Utah</v>
      </c>
      <c r="C275" s="1" t="str">
        <f ca="1">IFERROR(__xludf.DUMMYFUNCTION("""COMPUTED_VALUE"""),"MCon")</f>
        <v>MCon</v>
      </c>
      <c r="D275" s="2">
        <f ca="1">IFERROR(__xludf.DUMMYFUNCTION("""COMPUTED_VALUE"""),44852)</f>
        <v>44852</v>
      </c>
      <c r="E275" s="1">
        <f ca="1">IFERROR(__xludf.DUMMYFUNCTION("""COMPUTED_VALUE"""),-9.85)</f>
        <v>-9.85</v>
      </c>
      <c r="F275" s="1">
        <f ca="1">IFERROR(__xludf.DUMMYFUNCTION("""COMPUTED_VALUE"""),100.7)</f>
        <v>100.7</v>
      </c>
      <c r="G275" s="1">
        <f ca="1">IFERROR(__xludf.DUMMYFUNCTION("""COMPUTED_VALUE"""),207)</f>
        <v>207</v>
      </c>
      <c r="H275" s="1">
        <f ca="1">IFERROR(__xludf.DUMMYFUNCTION("""COMPUTED_VALUE"""),110.5)</f>
        <v>110.5</v>
      </c>
      <c r="I275" s="1">
        <f ca="1">IFERROR(__xludf.DUMMYFUNCTION("""COMPUTED_VALUE"""),294)</f>
        <v>294</v>
      </c>
      <c r="J275" s="1">
        <f ca="1">IFERROR(__xludf.DUMMYFUNCTION("""COMPUTED_VALUE"""),62.5)</f>
        <v>62.5</v>
      </c>
      <c r="K275" s="1">
        <f ca="1">IFERROR(__xludf.DUMMYFUNCTION("""COMPUTED_VALUE"""),285)</f>
        <v>285</v>
      </c>
      <c r="L275" s="1">
        <f ca="1">IFERROR(__xludf.DUMMYFUNCTION("""COMPUTED_VALUE"""),-0.004)</f>
        <v>-4.0000000000000001E-3</v>
      </c>
      <c r="M275" s="1">
        <f ca="1">IFERROR(__xludf.DUMMYFUNCTION("""COMPUTED_VALUE"""),179)</f>
        <v>179</v>
      </c>
      <c r="N275" s="1">
        <f ca="1">IFERROR(__xludf.DUMMYFUNCTION("""COMPUTED_VALUE"""),-0.34)</f>
        <v>-0.34</v>
      </c>
      <c r="O275" s="1">
        <f ca="1">IFERROR(__xludf.DUMMYFUNCTION("""COMPUTED_VALUE"""),165)</f>
        <v>165</v>
      </c>
      <c r="P275" s="1">
        <f ca="1">IFERROR(__xludf.DUMMYFUNCTION("""COMPUTED_VALUE"""),104.5)</f>
        <v>104.5</v>
      </c>
      <c r="Q275" s="1">
        <f ca="1">IFERROR(__xludf.DUMMYFUNCTION("""COMPUTED_VALUE"""),128)</f>
        <v>128</v>
      </c>
      <c r="R275" s="1">
        <f ca="1">IFERROR(__xludf.DUMMYFUNCTION("""COMPUTED_VALUE"""),104.9)</f>
        <v>104.9</v>
      </c>
      <c r="S275" s="1">
        <f ca="1">IFERROR(__xludf.DUMMYFUNCTION("""COMPUTED_VALUE"""),211)</f>
        <v>211</v>
      </c>
      <c r="T275" s="1" t="str">
        <f ca="1">IFERROR(__xludf.DUMMYFUNCTION("""COMPUTED_VALUE"""),"+4.79")</f>
        <v>+4.79</v>
      </c>
      <c r="U275" s="1">
        <f ca="1">IFERROR(__xludf.DUMMYFUNCTION("""COMPUTED_VALUE"""),49)</f>
        <v>49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IFERROR(__xludf.DUMMYFUNCTION("""COMPUTED_VALUE"""),"Fordham")</f>
        <v>Fordham</v>
      </c>
      <c r="C276" s="1" t="str">
        <f ca="1">IFERROR(__xludf.DUMMYFUNCTION("""COMPUTED_VALUE"""),"A10")</f>
        <v>A10</v>
      </c>
      <c r="D276" s="2">
        <f ca="1">IFERROR(__xludf.DUMMYFUNCTION("""COMPUTED_VALUE"""),44734)</f>
        <v>44734</v>
      </c>
      <c r="E276" s="1">
        <f ca="1">IFERROR(__xludf.DUMMYFUNCTION("""COMPUTED_VALUE"""),-9.91)</f>
        <v>-9.91</v>
      </c>
      <c r="F276" s="1">
        <f ca="1">IFERROR(__xludf.DUMMYFUNCTION("""COMPUTED_VALUE"""),96.5)</f>
        <v>96.5</v>
      </c>
      <c r="G276" s="1">
        <f ca="1">IFERROR(__xludf.DUMMYFUNCTION("""COMPUTED_VALUE"""),276)</f>
        <v>276</v>
      </c>
      <c r="H276" s="1">
        <f ca="1">IFERROR(__xludf.DUMMYFUNCTION("""COMPUTED_VALUE"""),106.4)</f>
        <v>106.4</v>
      </c>
      <c r="I276" s="1">
        <f ca="1">IFERROR(__xludf.DUMMYFUNCTION("""COMPUTED_VALUE"""),226)</f>
        <v>226</v>
      </c>
      <c r="J276" s="1">
        <f ca="1">IFERROR(__xludf.DUMMYFUNCTION("""COMPUTED_VALUE"""),66.4)</f>
        <v>66.400000000000006</v>
      </c>
      <c r="K276" s="1">
        <f ca="1">IFERROR(__xludf.DUMMYFUNCTION("""COMPUTED_VALUE"""),139)</f>
        <v>139</v>
      </c>
      <c r="L276" s="1" t="str">
        <f ca="1">IFERROR(__xludf.DUMMYFUNCTION("""COMPUTED_VALUE"""),"+.014")</f>
        <v>+.014</v>
      </c>
      <c r="M276" s="1">
        <f ca="1">IFERROR(__xludf.DUMMYFUNCTION("""COMPUTED_VALUE"""),135)</f>
        <v>135</v>
      </c>
      <c r="N276" s="1" t="str">
        <f ca="1">IFERROR(__xludf.DUMMYFUNCTION("""COMPUTED_VALUE"""),"+5.59")</f>
        <v>+5.59</v>
      </c>
      <c r="O276" s="1">
        <f ca="1">IFERROR(__xludf.DUMMYFUNCTION("""COMPUTED_VALUE"""),67)</f>
        <v>67</v>
      </c>
      <c r="P276" s="1">
        <f ca="1">IFERROR(__xludf.DUMMYFUNCTION("""COMPUTED_VALUE"""),106.3)</f>
        <v>106.3</v>
      </c>
      <c r="Q276" s="1">
        <f ca="1">IFERROR(__xludf.DUMMYFUNCTION("""COMPUTED_VALUE"""),68)</f>
        <v>68</v>
      </c>
      <c r="R276" s="1">
        <f ca="1">IFERROR(__xludf.DUMMYFUNCTION("""COMPUTED_VALUE"""),100.8)</f>
        <v>100.8</v>
      </c>
      <c r="S276" s="1">
        <f ca="1">IFERROR(__xludf.DUMMYFUNCTION("""COMPUTED_VALUE"""),74)</f>
        <v>74</v>
      </c>
      <c r="T276" s="1" t="str">
        <f ca="1">IFERROR(__xludf.DUMMYFUNCTION("""COMPUTED_VALUE"""),"+3.60")</f>
        <v>+3.60</v>
      </c>
      <c r="U276" s="1">
        <f ca="1">IFERROR(__xludf.DUMMYFUNCTION("""COMPUTED_VALUE"""),65)</f>
        <v>65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IFERROR(__xludf.DUMMYFUNCTION("""COMPUTED_VALUE"""),"Idaho St.")</f>
        <v>Idaho St.</v>
      </c>
      <c r="C277" s="1" t="str">
        <f ca="1">IFERROR(__xludf.DUMMYFUNCTION("""COMPUTED_VALUE"""),"BSky")</f>
        <v>BSky</v>
      </c>
      <c r="D277" s="1" t="str">
        <f ca="1">IFERROR(__xludf.DUMMYFUNCTION("""COMPUTED_VALUE"""),"13-18")</f>
        <v>13-18</v>
      </c>
      <c r="E277" s="1">
        <f ca="1">IFERROR(__xludf.DUMMYFUNCTION("""COMPUTED_VALUE"""),-10.15)</f>
        <v>-10.15</v>
      </c>
      <c r="F277" s="1">
        <f ca="1">IFERROR(__xludf.DUMMYFUNCTION("""COMPUTED_VALUE"""),101.5)</f>
        <v>101.5</v>
      </c>
      <c r="G277" s="1">
        <f ca="1">IFERROR(__xludf.DUMMYFUNCTION("""COMPUTED_VALUE"""),189)</f>
        <v>189</v>
      </c>
      <c r="H277" s="1">
        <f ca="1">IFERROR(__xludf.DUMMYFUNCTION("""COMPUTED_VALUE"""),111.6)</f>
        <v>111.6</v>
      </c>
      <c r="I277" s="1">
        <f ca="1">IFERROR(__xludf.DUMMYFUNCTION("""COMPUTED_VALUE"""),306)</f>
        <v>306</v>
      </c>
      <c r="J277" s="1">
        <f ca="1">IFERROR(__xludf.DUMMYFUNCTION("""COMPUTED_VALUE"""),69.4)</f>
        <v>69.400000000000006</v>
      </c>
      <c r="K277" s="1">
        <f ca="1">IFERROR(__xludf.DUMMYFUNCTION("""COMPUTED_VALUE"""),39)</f>
        <v>39</v>
      </c>
      <c r="L277" s="1" t="str">
        <f ca="1">IFERROR(__xludf.DUMMYFUNCTION("""COMPUTED_VALUE"""),"+.093")</f>
        <v>+.093</v>
      </c>
      <c r="M277" s="1">
        <f ca="1">IFERROR(__xludf.DUMMYFUNCTION("""COMPUTED_VALUE"""),16)</f>
        <v>16</v>
      </c>
      <c r="N277" s="1">
        <f ca="1">IFERROR(__xludf.DUMMYFUNCTION("""COMPUTED_VALUE"""),-1.87)</f>
        <v>-1.87</v>
      </c>
      <c r="O277" s="1">
        <f ca="1">IFERROR(__xludf.DUMMYFUNCTION("""COMPUTED_VALUE"""),197)</f>
        <v>197</v>
      </c>
      <c r="P277" s="1">
        <f ca="1">IFERROR(__xludf.DUMMYFUNCTION("""COMPUTED_VALUE"""),101.9)</f>
        <v>101.9</v>
      </c>
      <c r="Q277" s="1">
        <f ca="1">IFERROR(__xludf.DUMMYFUNCTION("""COMPUTED_VALUE"""),220)</f>
        <v>220</v>
      </c>
      <c r="R277" s="1">
        <f ca="1">IFERROR(__xludf.DUMMYFUNCTION("""COMPUTED_VALUE"""),103.8)</f>
        <v>103.8</v>
      </c>
      <c r="S277" s="1">
        <f ca="1">IFERROR(__xludf.DUMMYFUNCTION("""COMPUTED_VALUE"""),167)</f>
        <v>167</v>
      </c>
      <c r="T277" s="1" t="str">
        <f ca="1">IFERROR(__xludf.DUMMYFUNCTION("""COMPUTED_VALUE"""),"+1.96")</f>
        <v>+1.96</v>
      </c>
      <c r="U277" s="1">
        <f ca="1">IFERROR(__xludf.DUMMYFUNCTION("""COMPUTED_VALUE"""),111)</f>
        <v>111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IFERROR(__xludf.DUMMYFUNCTION("""COMPUTED_VALUE"""),"James Madison")</f>
        <v>James Madison</v>
      </c>
      <c r="C278" s="1" t="str">
        <f ca="1">IFERROR(__xludf.DUMMYFUNCTION("""COMPUTED_VALUE"""),"CAA")</f>
        <v>CAA</v>
      </c>
      <c r="D278" s="2">
        <f ca="1">IFERROR(__xludf.DUMMYFUNCTION("""COMPUTED_VALUE"""),44763)</f>
        <v>44763</v>
      </c>
      <c r="E278" s="1">
        <f ca="1">IFERROR(__xludf.DUMMYFUNCTION("""COMPUTED_VALUE"""),-10.19)</f>
        <v>-10.19</v>
      </c>
      <c r="F278" s="1">
        <f ca="1">IFERROR(__xludf.DUMMYFUNCTION("""COMPUTED_VALUE"""),99.8)</f>
        <v>99.8</v>
      </c>
      <c r="G278" s="1">
        <f ca="1">IFERROR(__xludf.DUMMYFUNCTION("""COMPUTED_VALUE"""),222)</f>
        <v>222</v>
      </c>
      <c r="H278" s="1">
        <f ca="1">IFERROR(__xludf.DUMMYFUNCTION("""COMPUTED_VALUE"""),110)</f>
        <v>110</v>
      </c>
      <c r="I278" s="1">
        <f ca="1">IFERROR(__xludf.DUMMYFUNCTION("""COMPUTED_VALUE"""),287)</f>
        <v>287</v>
      </c>
      <c r="J278" s="1">
        <f ca="1">IFERROR(__xludf.DUMMYFUNCTION("""COMPUTED_VALUE"""),64.3)</f>
        <v>64.3</v>
      </c>
      <c r="K278" s="1">
        <f ca="1">IFERROR(__xludf.DUMMYFUNCTION("""COMPUTED_VALUE"""),219)</f>
        <v>219</v>
      </c>
      <c r="L278" s="1">
        <f ca="1">IFERROR(__xludf.DUMMYFUNCTION("""COMPUTED_VALUE"""),-0.005)</f>
        <v>-5.0000000000000001E-3</v>
      </c>
      <c r="M278" s="1">
        <f ca="1">IFERROR(__xludf.DUMMYFUNCTION("""COMPUTED_VALUE"""),180)</f>
        <v>180</v>
      </c>
      <c r="N278" s="1">
        <f ca="1">IFERROR(__xludf.DUMMYFUNCTION("""COMPUTED_VALUE"""),-0.46)</f>
        <v>-0.46</v>
      </c>
      <c r="O278" s="1">
        <f ca="1">IFERROR(__xludf.DUMMYFUNCTION("""COMPUTED_VALUE"""),169)</f>
        <v>169</v>
      </c>
      <c r="P278" s="1">
        <f ca="1">IFERROR(__xludf.DUMMYFUNCTION("""COMPUTED_VALUE"""),101.5)</f>
        <v>101.5</v>
      </c>
      <c r="Q278" s="1">
        <f ca="1">IFERROR(__xludf.DUMMYFUNCTION("""COMPUTED_VALUE"""),232)</f>
        <v>232</v>
      </c>
      <c r="R278" s="1">
        <f ca="1">IFERROR(__xludf.DUMMYFUNCTION("""COMPUTED_VALUE"""),102)</f>
        <v>102</v>
      </c>
      <c r="S278" s="1">
        <f ca="1">IFERROR(__xludf.DUMMYFUNCTION("""COMPUTED_VALUE"""),111)</f>
        <v>111</v>
      </c>
      <c r="T278" s="1">
        <f ca="1">IFERROR(__xludf.DUMMYFUNCTION("""COMPUTED_VALUE"""),-4.28)</f>
        <v>-4.28</v>
      </c>
      <c r="U278" s="1">
        <f ca="1">IFERROR(__xludf.DUMMYFUNCTION("""COMPUTED_VALUE"""),257)</f>
        <v>257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IFERROR(__xludf.DUMMYFUNCTION("""COMPUTED_VALUE"""),"Tennessee St.")</f>
        <v>Tennessee St.</v>
      </c>
      <c r="C279" s="1" t="str">
        <f ca="1">IFERROR(__xludf.DUMMYFUNCTION("""COMPUTED_VALUE"""),"OVC")</f>
        <v>OVC</v>
      </c>
      <c r="D279" s="2">
        <f ca="1">IFERROR(__xludf.DUMMYFUNCTION("""COMPUTED_VALUE"""),44763)</f>
        <v>44763</v>
      </c>
      <c r="E279" s="1">
        <f ca="1">IFERROR(__xludf.DUMMYFUNCTION("""COMPUTED_VALUE"""),-10.29)</f>
        <v>-10.29</v>
      </c>
      <c r="F279" s="1">
        <f ca="1">IFERROR(__xludf.DUMMYFUNCTION("""COMPUTED_VALUE"""),103.6)</f>
        <v>103.6</v>
      </c>
      <c r="G279" s="1">
        <f ca="1">IFERROR(__xludf.DUMMYFUNCTION("""COMPUTED_VALUE"""),149)</f>
        <v>149</v>
      </c>
      <c r="H279" s="1">
        <f ca="1">IFERROR(__xludf.DUMMYFUNCTION("""COMPUTED_VALUE"""),113.9)</f>
        <v>113.9</v>
      </c>
      <c r="I279" s="1">
        <f ca="1">IFERROR(__xludf.DUMMYFUNCTION("""COMPUTED_VALUE"""),322)</f>
        <v>322</v>
      </c>
      <c r="J279" s="1">
        <f ca="1">IFERROR(__xludf.DUMMYFUNCTION("""COMPUTED_VALUE"""),66.3)</f>
        <v>66.3</v>
      </c>
      <c r="K279" s="1">
        <f ca="1">IFERROR(__xludf.DUMMYFUNCTION("""COMPUTED_VALUE"""),140)</f>
        <v>140</v>
      </c>
      <c r="L279" s="1">
        <f ca="1">IFERROR(__xludf.DUMMYFUNCTION("""COMPUTED_VALUE"""),-0.051)</f>
        <v>-5.0999999999999997E-2</v>
      </c>
      <c r="M279" s="1">
        <f ca="1">IFERROR(__xludf.DUMMYFUNCTION("""COMPUTED_VALUE"""),269)</f>
        <v>269</v>
      </c>
      <c r="N279" s="1">
        <f ca="1">IFERROR(__xludf.DUMMYFUNCTION("""COMPUTED_VALUE"""),-0.74)</f>
        <v>-0.74</v>
      </c>
      <c r="O279" s="1">
        <f ca="1">IFERROR(__xludf.DUMMYFUNCTION("""COMPUTED_VALUE"""),179)</f>
        <v>179</v>
      </c>
      <c r="P279" s="1">
        <f ca="1">IFERROR(__xludf.DUMMYFUNCTION("""COMPUTED_VALUE"""),104.6)</f>
        <v>104.6</v>
      </c>
      <c r="Q279" s="1">
        <f ca="1">IFERROR(__xludf.DUMMYFUNCTION("""COMPUTED_VALUE"""),127)</f>
        <v>127</v>
      </c>
      <c r="R279" s="1">
        <f ca="1">IFERROR(__xludf.DUMMYFUNCTION("""COMPUTED_VALUE"""),105.3)</f>
        <v>105.3</v>
      </c>
      <c r="S279" s="1">
        <f ca="1">IFERROR(__xludf.DUMMYFUNCTION("""COMPUTED_VALUE"""),234)</f>
        <v>234</v>
      </c>
      <c r="T279" s="1" t="str">
        <f ca="1">IFERROR(__xludf.DUMMYFUNCTION("""COMPUTED_VALUE"""),"+7.82")</f>
        <v>+7.82</v>
      </c>
      <c r="U279" s="1">
        <f ca="1">IFERROR(__xludf.DUMMYFUNCTION("""COMPUTED_VALUE"""),16)</f>
        <v>16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IFERROR(__xludf.DUMMYFUNCTION("""COMPUTED_VALUE"""),"Alabama St.16")</f>
        <v>Alabama St.16</v>
      </c>
      <c r="C280" s="1" t="str">
        <f ca="1">IFERROR(__xludf.DUMMYFUNCTION("""COMPUTED_VALUE"""),"SWAC")</f>
        <v>SWAC</v>
      </c>
      <c r="D280" s="1" t="str">
        <f ca="1">IFERROR(__xludf.DUMMYFUNCTION("""COMPUTED_VALUE"""),"16-15")</f>
        <v>16-15</v>
      </c>
      <c r="E280" s="1">
        <f ca="1">IFERROR(__xludf.DUMMYFUNCTION("""COMPUTED_VALUE"""),-10.72)</f>
        <v>-10.72</v>
      </c>
      <c r="F280" s="1">
        <f ca="1">IFERROR(__xludf.DUMMYFUNCTION("""COMPUTED_VALUE"""),93.8)</f>
        <v>93.8</v>
      </c>
      <c r="G280" s="1">
        <f ca="1">IFERROR(__xludf.DUMMYFUNCTION("""COMPUTED_VALUE"""),295)</f>
        <v>295</v>
      </c>
      <c r="H280" s="1">
        <f ca="1">IFERROR(__xludf.DUMMYFUNCTION("""COMPUTED_VALUE"""),104.5)</f>
        <v>104.5</v>
      </c>
      <c r="I280" s="1">
        <f ca="1">IFERROR(__xludf.DUMMYFUNCTION("""COMPUTED_VALUE"""),180)</f>
        <v>180</v>
      </c>
      <c r="J280" s="1">
        <f ca="1">IFERROR(__xludf.DUMMYFUNCTION("""COMPUTED_VALUE"""),61.4)</f>
        <v>61.4</v>
      </c>
      <c r="K280" s="1">
        <f ca="1">IFERROR(__xludf.DUMMYFUNCTION("""COMPUTED_VALUE"""),304)</f>
        <v>304</v>
      </c>
      <c r="L280" s="1" t="str">
        <f ca="1">IFERROR(__xludf.DUMMYFUNCTION("""COMPUTED_VALUE"""),"+.023")</f>
        <v>+.023</v>
      </c>
      <c r="M280" s="1">
        <f ca="1">IFERROR(__xludf.DUMMYFUNCTION("""COMPUTED_VALUE"""),108)</f>
        <v>108</v>
      </c>
      <c r="N280" s="1">
        <f ca="1">IFERROR(__xludf.DUMMYFUNCTION("""COMPUTED_VALUE"""),-12.06)</f>
        <v>-12.06</v>
      </c>
      <c r="O280" s="1">
        <f ca="1">IFERROR(__xludf.DUMMYFUNCTION("""COMPUTED_VALUE"""),320)</f>
        <v>320</v>
      </c>
      <c r="P280" s="1">
        <f ca="1">IFERROR(__xludf.DUMMYFUNCTION("""COMPUTED_VALUE"""),94.6)</f>
        <v>94.6</v>
      </c>
      <c r="Q280" s="1">
        <f ca="1">IFERROR(__xludf.DUMMYFUNCTION("""COMPUTED_VALUE"""),320)</f>
        <v>320</v>
      </c>
      <c r="R280" s="1">
        <f ca="1">IFERROR(__xludf.DUMMYFUNCTION("""COMPUTED_VALUE"""),106.7)</f>
        <v>106.7</v>
      </c>
      <c r="S280" s="1">
        <f ca="1">IFERROR(__xludf.DUMMYFUNCTION("""COMPUTED_VALUE"""),292)</f>
        <v>292</v>
      </c>
      <c r="T280" s="1" t="str">
        <f ca="1">IFERROR(__xludf.DUMMYFUNCTION("""COMPUTED_VALUE"""),"+0.53")</f>
        <v>+0.53</v>
      </c>
      <c r="U280" s="1">
        <f ca="1">IFERROR(__xludf.DUMMYFUNCTION("""COMPUTED_VALUE"""),148)</f>
        <v>148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IFERROR(__xludf.DUMMYFUNCTION("""COMPUTED_VALUE"""),"Columbia")</f>
        <v>Columbia</v>
      </c>
      <c r="C281" s="1" t="str">
        <f ca="1">IFERROR(__xludf.DUMMYFUNCTION("""COMPUTED_VALUE"""),"Ivy")</f>
        <v>Ivy</v>
      </c>
      <c r="D281" s="2">
        <f ca="1">IFERROR(__xludf.DUMMYFUNCTION("""COMPUTED_VALUE"""),44851)</f>
        <v>44851</v>
      </c>
      <c r="E281" s="1">
        <f ca="1">IFERROR(__xludf.DUMMYFUNCTION("""COMPUTED_VALUE"""),-10.76)</f>
        <v>-10.76</v>
      </c>
      <c r="F281" s="1">
        <f ca="1">IFERROR(__xludf.DUMMYFUNCTION("""COMPUTED_VALUE"""),95.2)</f>
        <v>95.2</v>
      </c>
      <c r="G281" s="1">
        <f ca="1">IFERROR(__xludf.DUMMYFUNCTION("""COMPUTED_VALUE"""),290)</f>
        <v>290</v>
      </c>
      <c r="H281" s="1">
        <f ca="1">IFERROR(__xludf.DUMMYFUNCTION("""COMPUTED_VALUE"""),105.9)</f>
        <v>105.9</v>
      </c>
      <c r="I281" s="1">
        <f ca="1">IFERROR(__xludf.DUMMYFUNCTION("""COMPUTED_VALUE"""),208)</f>
        <v>208</v>
      </c>
      <c r="J281" s="1">
        <f ca="1">IFERROR(__xludf.DUMMYFUNCTION("""COMPUTED_VALUE"""),67.5)</f>
        <v>67.5</v>
      </c>
      <c r="K281" s="1">
        <f ca="1">IFERROR(__xludf.DUMMYFUNCTION("""COMPUTED_VALUE"""),102)</f>
        <v>102</v>
      </c>
      <c r="L281" s="1">
        <f ca="1">IFERROR(__xludf.DUMMYFUNCTION("""COMPUTED_VALUE"""),-0.032)</f>
        <v>-3.2000000000000001E-2</v>
      </c>
      <c r="M281" s="1">
        <f ca="1">IFERROR(__xludf.DUMMYFUNCTION("""COMPUTED_VALUE"""),240)</f>
        <v>240</v>
      </c>
      <c r="N281" s="1">
        <f ca="1">IFERROR(__xludf.DUMMYFUNCTION("""COMPUTED_VALUE"""),-5.62)</f>
        <v>-5.62</v>
      </c>
      <c r="O281" s="1">
        <f ca="1">IFERROR(__xludf.DUMMYFUNCTION("""COMPUTED_VALUE"""),253)</f>
        <v>253</v>
      </c>
      <c r="P281" s="1">
        <f ca="1">IFERROR(__xludf.DUMMYFUNCTION("""COMPUTED_VALUE"""),99.9)</f>
        <v>99.9</v>
      </c>
      <c r="Q281" s="1">
        <f ca="1">IFERROR(__xludf.DUMMYFUNCTION("""COMPUTED_VALUE"""),258)</f>
        <v>258</v>
      </c>
      <c r="R281" s="1">
        <f ca="1">IFERROR(__xludf.DUMMYFUNCTION("""COMPUTED_VALUE"""),105.5)</f>
        <v>105.5</v>
      </c>
      <c r="S281" s="1">
        <f ca="1">IFERROR(__xludf.DUMMYFUNCTION("""COMPUTED_VALUE"""),246)</f>
        <v>246</v>
      </c>
      <c r="T281" s="1">
        <f ca="1">IFERROR(__xludf.DUMMYFUNCTION("""COMPUTED_VALUE"""),-4.03)</f>
        <v>-4.03</v>
      </c>
      <c r="U281" s="1">
        <f ca="1">IFERROR(__xludf.DUMMYFUNCTION("""COMPUTED_VALUE"""),249)</f>
        <v>249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IFERROR(__xludf.DUMMYFUNCTION("""COMPUTED_VALUE"""),"Hampton")</f>
        <v>Hampton</v>
      </c>
      <c r="C282" s="1" t="str">
        <f ca="1">IFERROR(__xludf.DUMMYFUNCTION("""COMPUTED_VALUE"""),"MEAC")</f>
        <v>MEAC</v>
      </c>
      <c r="D282" s="1" t="str">
        <f ca="1">IFERROR(__xludf.DUMMYFUNCTION("""COMPUTED_VALUE"""),"13-17")</f>
        <v>13-17</v>
      </c>
      <c r="E282" s="1">
        <f ca="1">IFERROR(__xludf.DUMMYFUNCTION("""COMPUTED_VALUE"""),-10.91)</f>
        <v>-10.91</v>
      </c>
      <c r="F282" s="1">
        <f ca="1">IFERROR(__xludf.DUMMYFUNCTION("""COMPUTED_VALUE"""),98.2)</f>
        <v>98.2</v>
      </c>
      <c r="G282" s="1">
        <f ca="1">IFERROR(__xludf.DUMMYFUNCTION("""COMPUTED_VALUE"""),249)</f>
        <v>249</v>
      </c>
      <c r="H282" s="1">
        <f ca="1">IFERROR(__xludf.DUMMYFUNCTION("""COMPUTED_VALUE"""),109.2)</f>
        <v>109.2</v>
      </c>
      <c r="I282" s="1">
        <f ca="1">IFERROR(__xludf.DUMMYFUNCTION("""COMPUTED_VALUE"""),276)</f>
        <v>276</v>
      </c>
      <c r="J282" s="1">
        <f ca="1">IFERROR(__xludf.DUMMYFUNCTION("""COMPUTED_VALUE"""),68.3)</f>
        <v>68.3</v>
      </c>
      <c r="K282" s="1">
        <f ca="1">IFERROR(__xludf.DUMMYFUNCTION("""COMPUTED_VALUE"""),70)</f>
        <v>70</v>
      </c>
      <c r="L282" s="1">
        <f ca="1">IFERROR(__xludf.DUMMYFUNCTION("""COMPUTED_VALUE"""),-0.022)</f>
        <v>-2.1999999999999999E-2</v>
      </c>
      <c r="M282" s="1">
        <f ca="1">IFERROR(__xludf.DUMMYFUNCTION("""COMPUTED_VALUE"""),218)</f>
        <v>218</v>
      </c>
      <c r="N282" s="1">
        <f ca="1">IFERROR(__xludf.DUMMYFUNCTION("""COMPUTED_VALUE"""),-9.42)</f>
        <v>-9.42</v>
      </c>
      <c r="O282" s="1">
        <f ca="1">IFERROR(__xludf.DUMMYFUNCTION("""COMPUTED_VALUE"""),301)</f>
        <v>301</v>
      </c>
      <c r="P282" s="1">
        <f ca="1">IFERROR(__xludf.DUMMYFUNCTION("""COMPUTED_VALUE"""),97)</f>
        <v>97</v>
      </c>
      <c r="Q282" s="1">
        <f ca="1">IFERROR(__xludf.DUMMYFUNCTION("""COMPUTED_VALUE"""),301)</f>
        <v>301</v>
      </c>
      <c r="R282" s="1">
        <f ca="1">IFERROR(__xludf.DUMMYFUNCTION("""COMPUTED_VALUE"""),106.4)</f>
        <v>106.4</v>
      </c>
      <c r="S282" s="1">
        <f ca="1">IFERROR(__xludf.DUMMYFUNCTION("""COMPUTED_VALUE"""),286)</f>
        <v>286</v>
      </c>
      <c r="T282" s="1" t="str">
        <f ca="1">IFERROR(__xludf.DUMMYFUNCTION("""COMPUTED_VALUE"""),"+2.38")</f>
        <v>+2.38</v>
      </c>
      <c r="U282" s="1">
        <f ca="1">IFERROR(__xludf.DUMMYFUNCTION("""COMPUTED_VALUE"""),96)</f>
        <v>96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IFERROR(__xludf.DUMMYFUNCTION("""COMPUTED_VALUE"""),"St. Francis PA")</f>
        <v>St. Francis PA</v>
      </c>
      <c r="C283" s="1" t="str">
        <f ca="1">IFERROR(__xludf.DUMMYFUNCTION("""COMPUTED_VALUE"""),"NEC")</f>
        <v>NEC</v>
      </c>
      <c r="D283" s="1" t="str">
        <f ca="1">IFERROR(__xludf.DUMMYFUNCTION("""COMPUTED_VALUE"""),"13-15")</f>
        <v>13-15</v>
      </c>
      <c r="E283" s="1">
        <f ca="1">IFERROR(__xludf.DUMMYFUNCTION("""COMPUTED_VALUE"""),-11.1)</f>
        <v>-11.1</v>
      </c>
      <c r="F283" s="1">
        <f ca="1">IFERROR(__xludf.DUMMYFUNCTION("""COMPUTED_VALUE"""),100.3)</f>
        <v>100.3</v>
      </c>
      <c r="G283" s="1">
        <f ca="1">IFERROR(__xludf.DUMMYFUNCTION("""COMPUTED_VALUE"""),211)</f>
        <v>211</v>
      </c>
      <c r="H283" s="1">
        <f ca="1">IFERROR(__xludf.DUMMYFUNCTION("""COMPUTED_VALUE"""),111.4)</f>
        <v>111.4</v>
      </c>
      <c r="I283" s="1">
        <f ca="1">IFERROR(__xludf.DUMMYFUNCTION("""COMPUTED_VALUE"""),302)</f>
        <v>302</v>
      </c>
      <c r="J283" s="1">
        <f ca="1">IFERROR(__xludf.DUMMYFUNCTION("""COMPUTED_VALUE"""),63.6)</f>
        <v>63.6</v>
      </c>
      <c r="K283" s="1">
        <f ca="1">IFERROR(__xludf.DUMMYFUNCTION("""COMPUTED_VALUE"""),245)</f>
        <v>245</v>
      </c>
      <c r="L283" s="1" t="str">
        <f ca="1">IFERROR(__xludf.DUMMYFUNCTION("""COMPUTED_VALUE"""),"+.048")</f>
        <v>+.048</v>
      </c>
      <c r="M283" s="1">
        <f ca="1">IFERROR(__xludf.DUMMYFUNCTION("""COMPUTED_VALUE"""),60)</f>
        <v>60</v>
      </c>
      <c r="N283" s="1">
        <f ca="1">IFERROR(__xludf.DUMMYFUNCTION("""COMPUTED_VALUE"""),-8.95)</f>
        <v>-8.9499999999999993</v>
      </c>
      <c r="O283" s="1">
        <f ca="1">IFERROR(__xludf.DUMMYFUNCTION("""COMPUTED_VALUE"""),295)</f>
        <v>295</v>
      </c>
      <c r="P283" s="1">
        <f ca="1">IFERROR(__xludf.DUMMYFUNCTION("""COMPUTED_VALUE"""),98.4)</f>
        <v>98.4</v>
      </c>
      <c r="Q283" s="1">
        <f ca="1">IFERROR(__xludf.DUMMYFUNCTION("""COMPUTED_VALUE"""),278)</f>
        <v>278</v>
      </c>
      <c r="R283" s="1">
        <f ca="1">IFERROR(__xludf.DUMMYFUNCTION("""COMPUTED_VALUE"""),107.4)</f>
        <v>107.4</v>
      </c>
      <c r="S283" s="1">
        <f ca="1">IFERROR(__xludf.DUMMYFUNCTION("""COMPUTED_VALUE"""),310)</f>
        <v>310</v>
      </c>
      <c r="T283" s="1">
        <f ca="1">IFERROR(__xludf.DUMMYFUNCTION("""COMPUTED_VALUE"""),-2.64)</f>
        <v>-2.64</v>
      </c>
      <c r="U283" s="1">
        <f ca="1">IFERROR(__xludf.DUMMYFUNCTION("""COMPUTED_VALUE"""),230)</f>
        <v>230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IFERROR(__xludf.DUMMYFUNCTION("""COMPUTED_VALUE"""),"Robert Morris")</f>
        <v>Robert Morris</v>
      </c>
      <c r="C284" s="1" t="str">
        <f ca="1">IFERROR(__xludf.DUMMYFUNCTION("""COMPUTED_VALUE"""),"NEC")</f>
        <v>NEC</v>
      </c>
      <c r="D284" s="1" t="str">
        <f ca="1">IFERROR(__xludf.DUMMYFUNCTION("""COMPUTED_VALUE"""),"14-15")</f>
        <v>14-15</v>
      </c>
      <c r="E284" s="1">
        <f ca="1">IFERROR(__xludf.DUMMYFUNCTION("""COMPUTED_VALUE"""),-11.5)</f>
        <v>-11.5</v>
      </c>
      <c r="F284" s="1">
        <f ca="1">IFERROR(__xludf.DUMMYFUNCTION("""COMPUTED_VALUE"""),101.4)</f>
        <v>101.4</v>
      </c>
      <c r="G284" s="1">
        <f ca="1">IFERROR(__xludf.DUMMYFUNCTION("""COMPUTED_VALUE"""),190)</f>
        <v>190</v>
      </c>
      <c r="H284" s="1">
        <f ca="1">IFERROR(__xludf.DUMMYFUNCTION("""COMPUTED_VALUE"""),112.9)</f>
        <v>112.9</v>
      </c>
      <c r="I284" s="1">
        <f ca="1">IFERROR(__xludf.DUMMYFUNCTION("""COMPUTED_VALUE"""),317)</f>
        <v>317</v>
      </c>
      <c r="J284" s="1">
        <f ca="1">IFERROR(__xludf.DUMMYFUNCTION("""COMPUTED_VALUE"""),62.8)</f>
        <v>62.8</v>
      </c>
      <c r="K284" s="1">
        <f ca="1">IFERROR(__xludf.DUMMYFUNCTION("""COMPUTED_VALUE"""),278)</f>
        <v>278</v>
      </c>
      <c r="L284" s="1" t="str">
        <f ca="1">IFERROR(__xludf.DUMMYFUNCTION("""COMPUTED_VALUE"""),"+.061")</f>
        <v>+.061</v>
      </c>
      <c r="M284" s="1">
        <f ca="1">IFERROR(__xludf.DUMMYFUNCTION("""COMPUTED_VALUE"""),41)</f>
        <v>41</v>
      </c>
      <c r="N284" s="1">
        <f ca="1">IFERROR(__xludf.DUMMYFUNCTION("""COMPUTED_VALUE"""),-8.05)</f>
        <v>-8.0500000000000007</v>
      </c>
      <c r="O284" s="1">
        <f ca="1">IFERROR(__xludf.DUMMYFUNCTION("""COMPUTED_VALUE"""),283)</f>
        <v>283</v>
      </c>
      <c r="P284" s="1">
        <f ca="1">IFERROR(__xludf.DUMMYFUNCTION("""COMPUTED_VALUE"""),99.5)</f>
        <v>99.5</v>
      </c>
      <c r="Q284" s="1">
        <f ca="1">IFERROR(__xludf.DUMMYFUNCTION("""COMPUTED_VALUE"""),261)</f>
        <v>261</v>
      </c>
      <c r="R284" s="1">
        <f ca="1">IFERROR(__xludf.DUMMYFUNCTION("""COMPUTED_VALUE"""),107.6)</f>
        <v>107.6</v>
      </c>
      <c r="S284" s="1">
        <f ca="1">IFERROR(__xludf.DUMMYFUNCTION("""COMPUTED_VALUE"""),313)</f>
        <v>313</v>
      </c>
      <c r="T284" s="1" t="str">
        <f ca="1">IFERROR(__xludf.DUMMYFUNCTION("""COMPUTED_VALUE"""),"+1.05")</f>
        <v>+1.05</v>
      </c>
      <c r="U284" s="1">
        <f ca="1">IFERROR(__xludf.DUMMYFUNCTION("""COMPUTED_VALUE"""),135)</f>
        <v>135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IFERROR(__xludf.DUMMYFUNCTION("""COMPUTED_VALUE"""),"Sam Houston St.")</f>
        <v>Sam Houston St.</v>
      </c>
      <c r="C285" s="1" t="str">
        <f ca="1">IFERROR(__xludf.DUMMYFUNCTION("""COMPUTED_VALUE"""),"Slnd")</f>
        <v>Slnd</v>
      </c>
      <c r="D285" s="1" t="str">
        <f ca="1">IFERROR(__xludf.DUMMYFUNCTION("""COMPUTED_VALUE"""),"13-15")</f>
        <v>13-15</v>
      </c>
      <c r="E285" s="1">
        <f ca="1">IFERROR(__xludf.DUMMYFUNCTION("""COMPUTED_VALUE"""),-11.53)</f>
        <v>-11.53</v>
      </c>
      <c r="F285" s="1">
        <f ca="1">IFERROR(__xludf.DUMMYFUNCTION("""COMPUTED_VALUE"""),97.4)</f>
        <v>97.4</v>
      </c>
      <c r="G285" s="1">
        <f ca="1">IFERROR(__xludf.DUMMYFUNCTION("""COMPUTED_VALUE"""),262)</f>
        <v>262</v>
      </c>
      <c r="H285" s="1">
        <f ca="1">IFERROR(__xludf.DUMMYFUNCTION("""COMPUTED_VALUE"""),108.9)</f>
        <v>108.9</v>
      </c>
      <c r="I285" s="1">
        <f ca="1">IFERROR(__xludf.DUMMYFUNCTION("""COMPUTED_VALUE"""),273)</f>
        <v>273</v>
      </c>
      <c r="J285" s="1">
        <f ca="1">IFERROR(__xludf.DUMMYFUNCTION("""COMPUTED_VALUE"""),70.6)</f>
        <v>70.599999999999994</v>
      </c>
      <c r="K285" s="1">
        <f ca="1">IFERROR(__xludf.DUMMYFUNCTION("""COMPUTED_VALUE"""),22)</f>
        <v>22</v>
      </c>
      <c r="L285" s="1">
        <f ca="1">IFERROR(__xludf.DUMMYFUNCTION("""COMPUTED_VALUE"""),-0.004)</f>
        <v>-4.0000000000000001E-3</v>
      </c>
      <c r="M285" s="1">
        <f ca="1">IFERROR(__xludf.DUMMYFUNCTION("""COMPUTED_VALUE"""),177)</f>
        <v>177</v>
      </c>
      <c r="N285" s="1">
        <f ca="1">IFERROR(__xludf.DUMMYFUNCTION("""COMPUTED_VALUE"""),-6.99)</f>
        <v>-6.99</v>
      </c>
      <c r="O285" s="1">
        <f ca="1">IFERROR(__xludf.DUMMYFUNCTION("""COMPUTED_VALUE"""),270)</f>
        <v>270</v>
      </c>
      <c r="P285" s="1">
        <f ca="1">IFERROR(__xludf.DUMMYFUNCTION("""COMPUTED_VALUE"""),98.6)</f>
        <v>98.6</v>
      </c>
      <c r="Q285" s="1">
        <f ca="1">IFERROR(__xludf.DUMMYFUNCTION("""COMPUTED_VALUE"""),277)</f>
        <v>277</v>
      </c>
      <c r="R285" s="1">
        <f ca="1">IFERROR(__xludf.DUMMYFUNCTION("""COMPUTED_VALUE"""),105.6)</f>
        <v>105.6</v>
      </c>
      <c r="S285" s="1">
        <f ca="1">IFERROR(__xludf.DUMMYFUNCTION("""COMPUTED_VALUE"""),249)</f>
        <v>249</v>
      </c>
      <c r="T285" s="1">
        <f ca="1">IFERROR(__xludf.DUMMYFUNCTION("""COMPUTED_VALUE"""),-0.13)</f>
        <v>-0.13</v>
      </c>
      <c r="U285" s="1">
        <f ca="1">IFERROR(__xludf.DUMMYFUNCTION("""COMPUTED_VALUE"""),167)</f>
        <v>167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IFERROR(__xludf.DUMMYFUNCTION("""COMPUTED_VALUE"""),"Mount St. Mary's")</f>
        <v>Mount St. Mary's</v>
      </c>
      <c r="C286" s="1" t="str">
        <f ca="1">IFERROR(__xludf.DUMMYFUNCTION("""COMPUTED_VALUE"""),"NEC")</f>
        <v>NEC</v>
      </c>
      <c r="D286" s="2">
        <f ca="1">IFERROR(__xludf.DUMMYFUNCTION("""COMPUTED_VALUE"""),44853)</f>
        <v>44853</v>
      </c>
      <c r="E286" s="1">
        <f ca="1">IFERROR(__xludf.DUMMYFUNCTION("""COMPUTED_VALUE"""),-11.6)</f>
        <v>-11.6</v>
      </c>
      <c r="F286" s="1">
        <f ca="1">IFERROR(__xludf.DUMMYFUNCTION("""COMPUTED_VALUE"""),96.7)</f>
        <v>96.7</v>
      </c>
      <c r="G286" s="1">
        <f ca="1">IFERROR(__xludf.DUMMYFUNCTION("""COMPUTED_VALUE"""),272)</f>
        <v>272</v>
      </c>
      <c r="H286" s="1">
        <f ca="1">IFERROR(__xludf.DUMMYFUNCTION("""COMPUTED_VALUE"""),108.3)</f>
        <v>108.3</v>
      </c>
      <c r="I286" s="1">
        <f ca="1">IFERROR(__xludf.DUMMYFUNCTION("""COMPUTED_VALUE"""),258)</f>
        <v>258</v>
      </c>
      <c r="J286" s="1">
        <f ca="1">IFERROR(__xludf.DUMMYFUNCTION("""COMPUTED_VALUE"""),64.6)</f>
        <v>64.599999999999994</v>
      </c>
      <c r="K286" s="1">
        <f ca="1">IFERROR(__xludf.DUMMYFUNCTION("""COMPUTED_VALUE"""),209)</f>
        <v>209</v>
      </c>
      <c r="L286" s="1">
        <f ca="1">IFERROR(__xludf.DUMMYFUNCTION("""COMPUTED_VALUE"""),-0.035)</f>
        <v>-3.5000000000000003E-2</v>
      </c>
      <c r="M286" s="1">
        <f ca="1">IFERROR(__xludf.DUMMYFUNCTION("""COMPUTED_VALUE"""),246)</f>
        <v>246</v>
      </c>
      <c r="N286" s="1">
        <f ca="1">IFERROR(__xludf.DUMMYFUNCTION("""COMPUTED_VALUE"""),-7.98)</f>
        <v>-7.98</v>
      </c>
      <c r="O286" s="1">
        <f ca="1">IFERROR(__xludf.DUMMYFUNCTION("""COMPUTED_VALUE"""),281)</f>
        <v>281</v>
      </c>
      <c r="P286" s="1">
        <f ca="1">IFERROR(__xludf.DUMMYFUNCTION("""COMPUTED_VALUE"""),99)</f>
        <v>99</v>
      </c>
      <c r="Q286" s="1">
        <f ca="1">IFERROR(__xludf.DUMMYFUNCTION("""COMPUTED_VALUE"""),272)</f>
        <v>272</v>
      </c>
      <c r="R286" s="1">
        <f ca="1">IFERROR(__xludf.DUMMYFUNCTION("""COMPUTED_VALUE"""),106.9)</f>
        <v>106.9</v>
      </c>
      <c r="S286" s="1">
        <f ca="1">IFERROR(__xludf.DUMMYFUNCTION("""COMPUTED_VALUE"""),300)</f>
        <v>300</v>
      </c>
      <c r="T286" s="1">
        <f ca="1">IFERROR(__xludf.DUMMYFUNCTION("""COMPUTED_VALUE"""),-2.48)</f>
        <v>-2.48</v>
      </c>
      <c r="U286" s="1">
        <f ca="1">IFERROR(__xludf.DUMMYFUNCTION("""COMPUTED_VALUE"""),226)</f>
        <v>226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IFERROR(__xludf.DUMMYFUNCTION("""COMPUTED_VALUE"""),"Central Michigan")</f>
        <v>Central Michigan</v>
      </c>
      <c r="C287" s="1" t="str">
        <f ca="1">IFERROR(__xludf.DUMMYFUNCTION("""COMPUTED_VALUE"""),"MAC")</f>
        <v>MAC</v>
      </c>
      <c r="D287" s="2">
        <f ca="1">IFERROR(__xludf.DUMMYFUNCTION("""COMPUTED_VALUE"""),44736)</f>
        <v>44736</v>
      </c>
      <c r="E287" s="1">
        <f ca="1">IFERROR(__xludf.DUMMYFUNCTION("""COMPUTED_VALUE"""),-11.69)</f>
        <v>-11.69</v>
      </c>
      <c r="F287" s="1">
        <f ca="1">IFERROR(__xludf.DUMMYFUNCTION("""COMPUTED_VALUE"""),97.6)</f>
        <v>97.6</v>
      </c>
      <c r="G287" s="1">
        <f ca="1">IFERROR(__xludf.DUMMYFUNCTION("""COMPUTED_VALUE"""),261)</f>
        <v>261</v>
      </c>
      <c r="H287" s="1">
        <f ca="1">IFERROR(__xludf.DUMMYFUNCTION("""COMPUTED_VALUE"""),109.3)</f>
        <v>109.3</v>
      </c>
      <c r="I287" s="1">
        <f ca="1">IFERROR(__xludf.DUMMYFUNCTION("""COMPUTED_VALUE"""),280)</f>
        <v>280</v>
      </c>
      <c r="J287" s="1">
        <f ca="1">IFERROR(__xludf.DUMMYFUNCTION("""COMPUTED_VALUE"""),70.6)</f>
        <v>70.599999999999994</v>
      </c>
      <c r="K287" s="1">
        <f ca="1">IFERROR(__xludf.DUMMYFUNCTION("""COMPUTED_VALUE"""),21)</f>
        <v>21</v>
      </c>
      <c r="L287" s="1">
        <f ca="1">IFERROR(__xludf.DUMMYFUNCTION("""COMPUTED_VALUE"""),-0.005)</f>
        <v>-5.0000000000000001E-3</v>
      </c>
      <c r="M287" s="1">
        <f ca="1">IFERROR(__xludf.DUMMYFUNCTION("""COMPUTED_VALUE"""),181)</f>
        <v>181</v>
      </c>
      <c r="N287" s="1" t="str">
        <f ca="1">IFERROR(__xludf.DUMMYFUNCTION("""COMPUTED_VALUE"""),"+1.68")</f>
        <v>+1.68</v>
      </c>
      <c r="O287" s="1">
        <f ca="1">IFERROR(__xludf.DUMMYFUNCTION("""COMPUTED_VALUE"""),128)</f>
        <v>128</v>
      </c>
      <c r="P287" s="1">
        <f ca="1">IFERROR(__xludf.DUMMYFUNCTION("""COMPUTED_VALUE"""),104.8)</f>
        <v>104.8</v>
      </c>
      <c r="Q287" s="1">
        <f ca="1">IFERROR(__xludf.DUMMYFUNCTION("""COMPUTED_VALUE"""),116)</f>
        <v>116</v>
      </c>
      <c r="R287" s="1">
        <f ca="1">IFERROR(__xludf.DUMMYFUNCTION("""COMPUTED_VALUE"""),103.1)</f>
        <v>103.1</v>
      </c>
      <c r="S287" s="1">
        <f ca="1">IFERROR(__xludf.DUMMYFUNCTION("""COMPUTED_VALUE"""),146)</f>
        <v>146</v>
      </c>
      <c r="T287" s="1" t="str">
        <f ca="1">IFERROR(__xludf.DUMMYFUNCTION("""COMPUTED_VALUE"""),"+2.26")</f>
        <v>+2.26</v>
      </c>
      <c r="U287" s="1">
        <f ca="1">IFERROR(__xludf.DUMMYFUNCTION("""COMPUTED_VALUE"""),101)</f>
        <v>101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IFERROR(__xludf.DUMMYFUNCTION("""COMPUTED_VALUE"""),"Stetson")</f>
        <v>Stetson</v>
      </c>
      <c r="C288" s="1" t="str">
        <f ca="1">IFERROR(__xludf.DUMMYFUNCTION("""COMPUTED_VALUE"""),"ASun")</f>
        <v>ASun</v>
      </c>
      <c r="D288" s="2">
        <f ca="1">IFERROR(__xludf.DUMMYFUNCTION("""COMPUTED_VALUE"""),44910)</f>
        <v>44910</v>
      </c>
      <c r="E288" s="1">
        <f ca="1">IFERROR(__xludf.DUMMYFUNCTION("""COMPUTED_VALUE"""),-11.74)</f>
        <v>-11.74</v>
      </c>
      <c r="F288" s="1">
        <f ca="1">IFERROR(__xludf.DUMMYFUNCTION("""COMPUTED_VALUE"""),95.6)</f>
        <v>95.6</v>
      </c>
      <c r="G288" s="1">
        <f ca="1">IFERROR(__xludf.DUMMYFUNCTION("""COMPUTED_VALUE"""),283)</f>
        <v>283</v>
      </c>
      <c r="H288" s="1">
        <f ca="1">IFERROR(__xludf.DUMMYFUNCTION("""COMPUTED_VALUE"""),107.4)</f>
        <v>107.4</v>
      </c>
      <c r="I288" s="1">
        <f ca="1">IFERROR(__xludf.DUMMYFUNCTION("""COMPUTED_VALUE"""),245)</f>
        <v>245</v>
      </c>
      <c r="J288" s="1">
        <f ca="1">IFERROR(__xludf.DUMMYFUNCTION("""COMPUTED_VALUE"""),65.1)</f>
        <v>65.099999999999994</v>
      </c>
      <c r="K288" s="1">
        <f ca="1">IFERROR(__xludf.DUMMYFUNCTION("""COMPUTED_VALUE"""),190)</f>
        <v>190</v>
      </c>
      <c r="L288" s="1" t="str">
        <f ca="1">IFERROR(__xludf.DUMMYFUNCTION("""COMPUTED_VALUE"""),"+.099")</f>
        <v>+.099</v>
      </c>
      <c r="M288" s="1">
        <f ca="1">IFERROR(__xludf.DUMMYFUNCTION("""COMPUTED_VALUE"""),11)</f>
        <v>11</v>
      </c>
      <c r="N288" s="1">
        <f ca="1">IFERROR(__xludf.DUMMYFUNCTION("""COMPUTED_VALUE"""),-3.77)</f>
        <v>-3.77</v>
      </c>
      <c r="O288" s="1">
        <f ca="1">IFERROR(__xludf.DUMMYFUNCTION("""COMPUTED_VALUE"""),232)</f>
        <v>232</v>
      </c>
      <c r="P288" s="1">
        <f ca="1">IFERROR(__xludf.DUMMYFUNCTION("""COMPUTED_VALUE"""),102.5)</f>
        <v>102.5</v>
      </c>
      <c r="Q288" s="1">
        <f ca="1">IFERROR(__xludf.DUMMYFUNCTION("""COMPUTED_VALUE"""),201)</f>
        <v>201</v>
      </c>
      <c r="R288" s="1">
        <f ca="1">IFERROR(__xludf.DUMMYFUNCTION("""COMPUTED_VALUE"""),106.3)</f>
        <v>106.3</v>
      </c>
      <c r="S288" s="1">
        <f ca="1">IFERROR(__xludf.DUMMYFUNCTION("""COMPUTED_VALUE"""),280)</f>
        <v>280</v>
      </c>
      <c r="T288" s="1" t="str">
        <f ca="1">IFERROR(__xludf.DUMMYFUNCTION("""COMPUTED_VALUE"""),"+10.04")</f>
        <v>+10.04</v>
      </c>
      <c r="U288" s="1">
        <f ca="1">IFERROR(__xludf.DUMMYFUNCTION("""COMPUTED_VALUE"""),7)</f>
        <v>7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IFERROR(__xludf.DUMMYFUNCTION("""COMPUTED_VALUE"""),"Louisiana Monroe")</f>
        <v>Louisiana Monroe</v>
      </c>
      <c r="C289" s="1" t="str">
        <f ca="1">IFERROR(__xludf.DUMMYFUNCTION("""COMPUTED_VALUE"""),"Slnd")</f>
        <v>Slnd</v>
      </c>
      <c r="D289" s="2">
        <f ca="1">IFERROR(__xludf.DUMMYFUNCTION("""COMPUTED_VALUE"""),44914)</f>
        <v>44914</v>
      </c>
      <c r="E289" s="1">
        <f ca="1">IFERROR(__xludf.DUMMYFUNCTION("""COMPUTED_VALUE"""),-11.86)</f>
        <v>-11.86</v>
      </c>
      <c r="F289" s="1">
        <f ca="1">IFERROR(__xludf.DUMMYFUNCTION("""COMPUTED_VALUE"""),93.2)</f>
        <v>93.2</v>
      </c>
      <c r="G289" s="1">
        <f ca="1">IFERROR(__xludf.DUMMYFUNCTION("""COMPUTED_VALUE"""),300)</f>
        <v>300</v>
      </c>
      <c r="H289" s="1">
        <f ca="1">IFERROR(__xludf.DUMMYFUNCTION("""COMPUTED_VALUE"""),105)</f>
        <v>105</v>
      </c>
      <c r="I289" s="1">
        <f ca="1">IFERROR(__xludf.DUMMYFUNCTION("""COMPUTED_VALUE"""),191)</f>
        <v>191</v>
      </c>
      <c r="J289" s="1">
        <f ca="1">IFERROR(__xludf.DUMMYFUNCTION("""COMPUTED_VALUE"""),68.5)</f>
        <v>68.5</v>
      </c>
      <c r="K289" s="1">
        <f ca="1">IFERROR(__xludf.DUMMYFUNCTION("""COMPUTED_VALUE"""),63)</f>
        <v>63</v>
      </c>
      <c r="L289" s="1" t="str">
        <f ca="1">IFERROR(__xludf.DUMMYFUNCTION("""COMPUTED_VALUE"""),"+.030")</f>
        <v>+.030</v>
      </c>
      <c r="M289" s="1">
        <f ca="1">IFERROR(__xludf.DUMMYFUNCTION("""COMPUTED_VALUE"""),91)</f>
        <v>91</v>
      </c>
      <c r="N289" s="1">
        <f ca="1">IFERROR(__xludf.DUMMYFUNCTION("""COMPUTED_VALUE"""),-3.57)</f>
        <v>-3.57</v>
      </c>
      <c r="O289" s="1">
        <f ca="1">IFERROR(__xludf.DUMMYFUNCTION("""COMPUTED_VALUE"""),228)</f>
        <v>228</v>
      </c>
      <c r="P289" s="1">
        <f ca="1">IFERROR(__xludf.DUMMYFUNCTION("""COMPUTED_VALUE"""),101.5)</f>
        <v>101.5</v>
      </c>
      <c r="Q289" s="1">
        <f ca="1">IFERROR(__xludf.DUMMYFUNCTION("""COMPUTED_VALUE"""),231)</f>
        <v>231</v>
      </c>
      <c r="R289" s="1">
        <f ca="1">IFERROR(__xludf.DUMMYFUNCTION("""COMPUTED_VALUE"""),105.1)</f>
        <v>105.1</v>
      </c>
      <c r="S289" s="1">
        <f ca="1">IFERROR(__xludf.DUMMYFUNCTION("""COMPUTED_VALUE"""),223)</f>
        <v>223</v>
      </c>
      <c r="T289" s="1" t="str">
        <f ca="1">IFERROR(__xludf.DUMMYFUNCTION("""COMPUTED_VALUE"""),"+4.64")</f>
        <v>+4.64</v>
      </c>
      <c r="U289" s="1">
        <f ca="1">IFERROR(__xludf.DUMMYFUNCTION("""COMPUTED_VALUE"""),51)</f>
        <v>51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IFERROR(__xludf.DUMMYFUNCTION("""COMPUTED_VALUE"""),"Wagner")</f>
        <v>Wagner</v>
      </c>
      <c r="C290" s="1" t="str">
        <f ca="1">IFERROR(__xludf.DUMMYFUNCTION("""COMPUTED_VALUE"""),"NEC")</f>
        <v>NEC</v>
      </c>
      <c r="D290" s="1" t="str">
        <f ca="1">IFERROR(__xludf.DUMMYFUNCTION("""COMPUTED_VALUE"""),"13-16")</f>
        <v>13-16</v>
      </c>
      <c r="E290" s="1">
        <f ca="1">IFERROR(__xludf.DUMMYFUNCTION("""COMPUTED_VALUE"""),-11.92)</f>
        <v>-11.92</v>
      </c>
      <c r="F290" s="1">
        <f ca="1">IFERROR(__xludf.DUMMYFUNCTION("""COMPUTED_VALUE"""),95.7)</f>
        <v>95.7</v>
      </c>
      <c r="G290" s="1">
        <f ca="1">IFERROR(__xludf.DUMMYFUNCTION("""COMPUTED_VALUE"""),282)</f>
        <v>282</v>
      </c>
      <c r="H290" s="1">
        <f ca="1">IFERROR(__xludf.DUMMYFUNCTION("""COMPUTED_VALUE"""),107.6)</f>
        <v>107.6</v>
      </c>
      <c r="I290" s="1">
        <f ca="1">IFERROR(__xludf.DUMMYFUNCTION("""COMPUTED_VALUE"""),250)</f>
        <v>250</v>
      </c>
      <c r="J290" s="1">
        <f ca="1">IFERROR(__xludf.DUMMYFUNCTION("""COMPUTED_VALUE"""),65.9)</f>
        <v>65.900000000000006</v>
      </c>
      <c r="K290" s="1">
        <f ca="1">IFERROR(__xludf.DUMMYFUNCTION("""COMPUTED_VALUE"""),165)</f>
        <v>165</v>
      </c>
      <c r="L290" s="1" t="str">
        <f ca="1">IFERROR(__xludf.DUMMYFUNCTION("""COMPUTED_VALUE"""),"+.074")</f>
        <v>+.074</v>
      </c>
      <c r="M290" s="1">
        <f ca="1">IFERROR(__xludf.DUMMYFUNCTION("""COMPUTED_VALUE"""),29)</f>
        <v>29</v>
      </c>
      <c r="N290" s="1">
        <f ca="1">IFERROR(__xludf.DUMMYFUNCTION("""COMPUTED_VALUE"""),-7.98)</f>
        <v>-7.98</v>
      </c>
      <c r="O290" s="1">
        <f ca="1">IFERROR(__xludf.DUMMYFUNCTION("""COMPUTED_VALUE"""),282)</f>
        <v>282</v>
      </c>
      <c r="P290" s="1">
        <f ca="1">IFERROR(__xludf.DUMMYFUNCTION("""COMPUTED_VALUE"""),99.4)</f>
        <v>99.4</v>
      </c>
      <c r="Q290" s="1">
        <f ca="1">IFERROR(__xludf.DUMMYFUNCTION("""COMPUTED_VALUE"""),263)</f>
        <v>263</v>
      </c>
      <c r="R290" s="1">
        <f ca="1">IFERROR(__xludf.DUMMYFUNCTION("""COMPUTED_VALUE"""),107.4)</f>
        <v>107.4</v>
      </c>
      <c r="S290" s="1">
        <f ca="1">IFERROR(__xludf.DUMMYFUNCTION("""COMPUTED_VALUE"""),309)</f>
        <v>309</v>
      </c>
      <c r="T290" s="1" t="str">
        <f ca="1">IFERROR(__xludf.DUMMYFUNCTION("""COMPUTED_VALUE"""),"+0.84")</f>
        <v>+0.84</v>
      </c>
      <c r="U290" s="1">
        <f ca="1">IFERROR(__xludf.DUMMYFUNCTION("""COMPUTED_VALUE"""),141)</f>
        <v>141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IFERROR(__xludf.DUMMYFUNCTION("""COMPUTED_VALUE"""),"Gardner Webb")</f>
        <v>Gardner Webb</v>
      </c>
      <c r="C291" s="1" t="str">
        <f ca="1">IFERROR(__xludf.DUMMYFUNCTION("""COMPUTED_VALUE"""),"ASun")</f>
        <v>ASun</v>
      </c>
      <c r="D291" s="2">
        <f ca="1">IFERROR(__xludf.DUMMYFUNCTION("""COMPUTED_VALUE"""),44824)</f>
        <v>44824</v>
      </c>
      <c r="E291" s="1">
        <f ca="1">IFERROR(__xludf.DUMMYFUNCTION("""COMPUTED_VALUE"""),-12.03)</f>
        <v>-12.03</v>
      </c>
      <c r="F291" s="1">
        <f ca="1">IFERROR(__xludf.DUMMYFUNCTION("""COMPUTED_VALUE"""),97.2)</f>
        <v>97.2</v>
      </c>
      <c r="G291" s="1">
        <f ca="1">IFERROR(__xludf.DUMMYFUNCTION("""COMPUTED_VALUE"""),264)</f>
        <v>264</v>
      </c>
      <c r="H291" s="1">
        <f ca="1">IFERROR(__xludf.DUMMYFUNCTION("""COMPUTED_VALUE"""),109.3)</f>
        <v>109.3</v>
      </c>
      <c r="I291" s="1">
        <f ca="1">IFERROR(__xludf.DUMMYFUNCTION("""COMPUTED_VALUE"""),279)</f>
        <v>279</v>
      </c>
      <c r="J291" s="1">
        <f ca="1">IFERROR(__xludf.DUMMYFUNCTION("""COMPUTED_VALUE"""),65.8)</f>
        <v>65.8</v>
      </c>
      <c r="K291" s="1">
        <f ca="1">IFERROR(__xludf.DUMMYFUNCTION("""COMPUTED_VALUE"""),167)</f>
        <v>167</v>
      </c>
      <c r="L291" s="1">
        <f ca="1">IFERROR(__xludf.DUMMYFUNCTION("""COMPUTED_VALUE"""),-0.031)</f>
        <v>-3.1E-2</v>
      </c>
      <c r="M291" s="1">
        <f ca="1">IFERROR(__xludf.DUMMYFUNCTION("""COMPUTED_VALUE"""),238)</f>
        <v>238</v>
      </c>
      <c r="N291" s="1">
        <f ca="1">IFERROR(__xludf.DUMMYFUNCTION("""COMPUTED_VALUE"""),-2.87)</f>
        <v>-2.87</v>
      </c>
      <c r="O291" s="1">
        <f ca="1">IFERROR(__xludf.DUMMYFUNCTION("""COMPUTED_VALUE"""),221)</f>
        <v>221</v>
      </c>
      <c r="P291" s="1">
        <f ca="1">IFERROR(__xludf.DUMMYFUNCTION("""COMPUTED_VALUE"""),102.1)</f>
        <v>102.1</v>
      </c>
      <c r="Q291" s="1">
        <f ca="1">IFERROR(__xludf.DUMMYFUNCTION("""COMPUTED_VALUE"""),212)</f>
        <v>212</v>
      </c>
      <c r="R291" s="1">
        <f ca="1">IFERROR(__xludf.DUMMYFUNCTION("""COMPUTED_VALUE"""),105)</f>
        <v>105</v>
      </c>
      <c r="S291" s="1">
        <f ca="1">IFERROR(__xludf.DUMMYFUNCTION("""COMPUTED_VALUE"""),217)</f>
        <v>217</v>
      </c>
      <c r="T291" s="1" t="str">
        <f ca="1">IFERROR(__xludf.DUMMYFUNCTION("""COMPUTED_VALUE"""),"+7.97")</f>
        <v>+7.97</v>
      </c>
      <c r="U291" s="1">
        <f ca="1">IFERROR(__xludf.DUMMYFUNCTION("""COMPUTED_VALUE"""),15)</f>
        <v>15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IFERROR(__xludf.DUMMYFUNCTION("""COMPUTED_VALUE"""),"Towson")</f>
        <v>Towson</v>
      </c>
      <c r="C292" s="1" t="str">
        <f ca="1">IFERROR(__xludf.DUMMYFUNCTION("""COMPUTED_VALUE"""),"CAA")</f>
        <v>CAA</v>
      </c>
      <c r="D292" s="2">
        <f ca="1">IFERROR(__xludf.DUMMYFUNCTION("""COMPUTED_VALUE"""),44794)</f>
        <v>44794</v>
      </c>
      <c r="E292" s="1">
        <f ca="1">IFERROR(__xludf.DUMMYFUNCTION("""COMPUTED_VALUE"""),-12.15)</f>
        <v>-12.15</v>
      </c>
      <c r="F292" s="1">
        <f ca="1">IFERROR(__xludf.DUMMYFUNCTION("""COMPUTED_VALUE"""),94.7)</f>
        <v>94.7</v>
      </c>
      <c r="G292" s="1">
        <f ca="1">IFERROR(__xludf.DUMMYFUNCTION("""COMPUTED_VALUE"""),292)</f>
        <v>292</v>
      </c>
      <c r="H292" s="1">
        <f ca="1">IFERROR(__xludf.DUMMYFUNCTION("""COMPUTED_VALUE"""),106.9)</f>
        <v>106.9</v>
      </c>
      <c r="I292" s="1">
        <f ca="1">IFERROR(__xludf.DUMMYFUNCTION("""COMPUTED_VALUE"""),236)</f>
        <v>236</v>
      </c>
      <c r="J292" s="1">
        <f ca="1">IFERROR(__xludf.DUMMYFUNCTION("""COMPUTED_VALUE"""),64.3)</f>
        <v>64.3</v>
      </c>
      <c r="K292" s="1">
        <f ca="1">IFERROR(__xludf.DUMMYFUNCTION("""COMPUTED_VALUE"""),220)</f>
        <v>220</v>
      </c>
      <c r="L292" s="1" t="str">
        <f ca="1">IFERROR(__xludf.DUMMYFUNCTION("""COMPUTED_VALUE"""),"+.024")</f>
        <v>+.024</v>
      </c>
      <c r="M292" s="1">
        <f ca="1">IFERROR(__xludf.DUMMYFUNCTION("""COMPUTED_VALUE"""),105)</f>
        <v>105</v>
      </c>
      <c r="N292" s="1">
        <f ca="1">IFERROR(__xludf.DUMMYFUNCTION("""COMPUTED_VALUE"""),-1.52)</f>
        <v>-1.52</v>
      </c>
      <c r="O292" s="1">
        <f ca="1">IFERROR(__xludf.DUMMYFUNCTION("""COMPUTED_VALUE"""),191)</f>
        <v>191</v>
      </c>
      <c r="P292" s="1">
        <f ca="1">IFERROR(__xludf.DUMMYFUNCTION("""COMPUTED_VALUE"""),101.7)</f>
        <v>101.7</v>
      </c>
      <c r="Q292" s="1">
        <f ca="1">IFERROR(__xludf.DUMMYFUNCTION("""COMPUTED_VALUE"""),225)</f>
        <v>225</v>
      </c>
      <c r="R292" s="1">
        <f ca="1">IFERROR(__xludf.DUMMYFUNCTION("""COMPUTED_VALUE"""),103.2)</f>
        <v>103.2</v>
      </c>
      <c r="S292" s="1">
        <f ca="1">IFERROR(__xludf.DUMMYFUNCTION("""COMPUTED_VALUE"""),149)</f>
        <v>149</v>
      </c>
      <c r="T292" s="1">
        <f ca="1">IFERROR(__xludf.DUMMYFUNCTION("""COMPUTED_VALUE"""),-9.13)</f>
        <v>-9.1300000000000008</v>
      </c>
      <c r="U292" s="1">
        <f ca="1">IFERROR(__xludf.DUMMYFUNCTION("""COMPUTED_VALUE"""),308)</f>
        <v>308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IFERROR(__xludf.DUMMYFUNCTION("""COMPUTED_VALUE"""),"Eastern Illinois")</f>
        <v>Eastern Illinois</v>
      </c>
      <c r="C293" s="1" t="str">
        <f ca="1">IFERROR(__xludf.DUMMYFUNCTION("""COMPUTED_VALUE"""),"OVC")</f>
        <v>OVC</v>
      </c>
      <c r="D293" s="2">
        <f ca="1">IFERROR(__xludf.DUMMYFUNCTION("""COMPUTED_VALUE"""),44733)</f>
        <v>44733</v>
      </c>
      <c r="E293" s="1">
        <f ca="1">IFERROR(__xludf.DUMMYFUNCTION("""COMPUTED_VALUE"""),-12.32)</f>
        <v>-12.32</v>
      </c>
      <c r="F293" s="1">
        <f ca="1">IFERROR(__xludf.DUMMYFUNCTION("""COMPUTED_VALUE"""),95.6)</f>
        <v>95.6</v>
      </c>
      <c r="G293" s="1">
        <f ca="1">IFERROR(__xludf.DUMMYFUNCTION("""COMPUTED_VALUE"""),285)</f>
        <v>285</v>
      </c>
      <c r="H293" s="1">
        <f ca="1">IFERROR(__xludf.DUMMYFUNCTION("""COMPUTED_VALUE"""),107.9)</f>
        <v>107.9</v>
      </c>
      <c r="I293" s="1">
        <f ca="1">IFERROR(__xludf.DUMMYFUNCTION("""COMPUTED_VALUE"""),253)</f>
        <v>253</v>
      </c>
      <c r="J293" s="1">
        <f ca="1">IFERROR(__xludf.DUMMYFUNCTION("""COMPUTED_VALUE"""),68.2)</f>
        <v>68.2</v>
      </c>
      <c r="K293" s="1">
        <f ca="1">IFERROR(__xludf.DUMMYFUNCTION("""COMPUTED_VALUE"""),77)</f>
        <v>77</v>
      </c>
      <c r="L293" s="1">
        <f ca="1">IFERROR(__xludf.DUMMYFUNCTION("""COMPUTED_VALUE"""),-0.07)</f>
        <v>-7.0000000000000007E-2</v>
      </c>
      <c r="M293" s="1">
        <f ca="1">IFERROR(__xludf.DUMMYFUNCTION("""COMPUTED_VALUE"""),295)</f>
        <v>295</v>
      </c>
      <c r="N293" s="1">
        <f ca="1">IFERROR(__xludf.DUMMYFUNCTION("""COMPUTED_VALUE"""),-2.05)</f>
        <v>-2.0499999999999998</v>
      </c>
      <c r="O293" s="1">
        <f ca="1">IFERROR(__xludf.DUMMYFUNCTION("""COMPUTED_VALUE"""),202)</f>
        <v>202</v>
      </c>
      <c r="P293" s="1">
        <f ca="1">IFERROR(__xludf.DUMMYFUNCTION("""COMPUTED_VALUE"""),104.2)</f>
        <v>104.2</v>
      </c>
      <c r="Q293" s="1">
        <f ca="1">IFERROR(__xludf.DUMMYFUNCTION("""COMPUTED_VALUE"""),136)</f>
        <v>136</v>
      </c>
      <c r="R293" s="1">
        <f ca="1">IFERROR(__xludf.DUMMYFUNCTION("""COMPUTED_VALUE"""),106.2)</f>
        <v>106.2</v>
      </c>
      <c r="S293" s="1">
        <f ca="1">IFERROR(__xludf.DUMMYFUNCTION("""COMPUTED_VALUE"""),278)</f>
        <v>278</v>
      </c>
      <c r="T293" s="1" t="str">
        <f ca="1">IFERROR(__xludf.DUMMYFUNCTION("""COMPUTED_VALUE"""),"+3.22")</f>
        <v>+3.22</v>
      </c>
      <c r="U293" s="1">
        <f ca="1">IFERROR(__xludf.DUMMYFUNCTION("""COMPUTED_VALUE"""),70)</f>
        <v>70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IFERROR(__xludf.DUMMYFUNCTION("""COMPUTED_VALUE"""),"Colgate")</f>
        <v>Colgate</v>
      </c>
      <c r="C294" s="1" t="str">
        <f ca="1">IFERROR(__xludf.DUMMYFUNCTION("""COMPUTED_VALUE"""),"Pat")</f>
        <v>Pat</v>
      </c>
      <c r="D294" s="1" t="str">
        <f ca="1">IFERROR(__xludf.DUMMYFUNCTION("""COMPUTED_VALUE"""),"15-14")</f>
        <v>15-14</v>
      </c>
      <c r="E294" s="1">
        <f ca="1">IFERROR(__xludf.DUMMYFUNCTION("""COMPUTED_VALUE"""),-12.4)</f>
        <v>-12.4</v>
      </c>
      <c r="F294" s="1">
        <f ca="1">IFERROR(__xludf.DUMMYFUNCTION("""COMPUTED_VALUE"""),99.1)</f>
        <v>99.1</v>
      </c>
      <c r="G294" s="1">
        <f ca="1">IFERROR(__xludf.DUMMYFUNCTION("""COMPUTED_VALUE"""),234)</f>
        <v>234</v>
      </c>
      <c r="H294" s="1">
        <f ca="1">IFERROR(__xludf.DUMMYFUNCTION("""COMPUTED_VALUE"""),111.5)</f>
        <v>111.5</v>
      </c>
      <c r="I294" s="1">
        <f ca="1">IFERROR(__xludf.DUMMYFUNCTION("""COMPUTED_VALUE"""),303)</f>
        <v>303</v>
      </c>
      <c r="J294" s="1">
        <f ca="1">IFERROR(__xludf.DUMMYFUNCTION("""COMPUTED_VALUE"""),64.2)</f>
        <v>64.2</v>
      </c>
      <c r="K294" s="1">
        <f ca="1">IFERROR(__xludf.DUMMYFUNCTION("""COMPUTED_VALUE"""),225)</f>
        <v>225</v>
      </c>
      <c r="L294" s="1" t="str">
        <f ca="1">IFERROR(__xludf.DUMMYFUNCTION("""COMPUTED_VALUE"""),"+.095")</f>
        <v>+.095</v>
      </c>
      <c r="M294" s="1">
        <f ca="1">IFERROR(__xludf.DUMMYFUNCTION("""COMPUTED_VALUE"""),13)</f>
        <v>13</v>
      </c>
      <c r="N294" s="1">
        <f ca="1">IFERROR(__xludf.DUMMYFUNCTION("""COMPUTED_VALUE"""),-8.26)</f>
        <v>-8.26</v>
      </c>
      <c r="O294" s="1">
        <f ca="1">IFERROR(__xludf.DUMMYFUNCTION("""COMPUTED_VALUE"""),287)</f>
        <v>287</v>
      </c>
      <c r="P294" s="1">
        <f ca="1">IFERROR(__xludf.DUMMYFUNCTION("""COMPUTED_VALUE"""),97.3)</f>
        <v>97.3</v>
      </c>
      <c r="Q294" s="1">
        <f ca="1">IFERROR(__xludf.DUMMYFUNCTION("""COMPUTED_VALUE"""),298)</f>
        <v>298</v>
      </c>
      <c r="R294" s="1">
        <f ca="1">IFERROR(__xludf.DUMMYFUNCTION("""COMPUTED_VALUE"""),105.5)</f>
        <v>105.5</v>
      </c>
      <c r="S294" s="1">
        <f ca="1">IFERROR(__xludf.DUMMYFUNCTION("""COMPUTED_VALUE"""),247)</f>
        <v>247</v>
      </c>
      <c r="T294" s="1">
        <f ca="1">IFERROR(__xludf.DUMMYFUNCTION("""COMPUTED_VALUE"""),-5.09)</f>
        <v>-5.09</v>
      </c>
      <c r="U294" s="1">
        <f ca="1">IFERROR(__xludf.DUMMYFUNCTION("""COMPUTED_VALUE"""),266)</f>
        <v>266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IFERROR(__xludf.DUMMYFUNCTION("""COMPUTED_VALUE"""),"San Diego")</f>
        <v>San Diego</v>
      </c>
      <c r="C297" s="1" t="str">
        <f ca="1">IFERROR(__xludf.DUMMYFUNCTION("""COMPUTED_VALUE"""),"WCC")</f>
        <v>WCC</v>
      </c>
      <c r="D297" s="2">
        <f ca="1">IFERROR(__xludf.DUMMYFUNCTION("""COMPUTED_VALUE"""),44677)</f>
        <v>44677</v>
      </c>
      <c r="E297" s="1">
        <f ca="1">IFERROR(__xludf.DUMMYFUNCTION("""COMPUTED_VALUE"""),-12.41)</f>
        <v>-12.41</v>
      </c>
      <c r="F297" s="1">
        <f ca="1">IFERROR(__xludf.DUMMYFUNCTION("""COMPUTED_VALUE"""),100)</f>
        <v>100</v>
      </c>
      <c r="G297" s="1">
        <f ca="1">IFERROR(__xludf.DUMMYFUNCTION("""COMPUTED_VALUE"""),218)</f>
        <v>218</v>
      </c>
      <c r="H297" s="1">
        <f ca="1">IFERROR(__xludf.DUMMYFUNCTION("""COMPUTED_VALUE"""),112.4)</f>
        <v>112.4</v>
      </c>
      <c r="I297" s="1">
        <f ca="1">IFERROR(__xludf.DUMMYFUNCTION("""COMPUTED_VALUE"""),313)</f>
        <v>313</v>
      </c>
      <c r="J297" s="1">
        <f ca="1">IFERROR(__xludf.DUMMYFUNCTION("""COMPUTED_VALUE"""),69.9)</f>
        <v>69.900000000000006</v>
      </c>
      <c r="K297" s="1">
        <f ca="1">IFERROR(__xludf.DUMMYFUNCTION("""COMPUTED_VALUE"""),27)</f>
        <v>27</v>
      </c>
      <c r="L297" s="1">
        <f ca="1">IFERROR(__xludf.DUMMYFUNCTION("""COMPUTED_VALUE"""),-0.047)</f>
        <v>-4.7E-2</v>
      </c>
      <c r="M297" s="1">
        <f ca="1">IFERROR(__xludf.DUMMYFUNCTION("""COMPUTED_VALUE"""),262)</f>
        <v>262</v>
      </c>
      <c r="N297" s="1" t="str">
        <f ca="1">IFERROR(__xludf.DUMMYFUNCTION("""COMPUTED_VALUE"""),"+3.31")</f>
        <v>+3.31</v>
      </c>
      <c r="O297" s="1">
        <f ca="1">IFERROR(__xludf.DUMMYFUNCTION("""COMPUTED_VALUE"""),104)</f>
        <v>104</v>
      </c>
      <c r="P297" s="1">
        <f ca="1">IFERROR(__xludf.DUMMYFUNCTION("""COMPUTED_VALUE"""),105.7)</f>
        <v>105.7</v>
      </c>
      <c r="Q297" s="1">
        <f ca="1">IFERROR(__xludf.DUMMYFUNCTION("""COMPUTED_VALUE"""),85)</f>
        <v>85</v>
      </c>
      <c r="R297" s="1">
        <f ca="1">IFERROR(__xludf.DUMMYFUNCTION("""COMPUTED_VALUE"""),102.4)</f>
        <v>102.4</v>
      </c>
      <c r="S297" s="1">
        <f ca="1">IFERROR(__xludf.DUMMYFUNCTION("""COMPUTED_VALUE"""),128)</f>
        <v>128</v>
      </c>
      <c r="T297" s="1" t="str">
        <f ca="1">IFERROR(__xludf.DUMMYFUNCTION("""COMPUTED_VALUE"""),"+2.86")</f>
        <v>+2.86</v>
      </c>
      <c r="U297" s="1">
        <f ca="1">IFERROR(__xludf.DUMMYFUNCTION("""COMPUTED_VALUE"""),77)</f>
        <v>77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IFERROR(__xludf.DUMMYFUNCTION("""COMPUTED_VALUE"""),"Sacred Heart")</f>
        <v>Sacred Heart</v>
      </c>
      <c r="C298" s="1" t="str">
        <f ca="1">IFERROR(__xludf.DUMMYFUNCTION("""COMPUTED_VALUE"""),"NEC")</f>
        <v>NEC</v>
      </c>
      <c r="D298" s="2">
        <f ca="1">IFERROR(__xludf.DUMMYFUNCTION("""COMPUTED_VALUE"""),44910)</f>
        <v>44910</v>
      </c>
      <c r="E298" s="1">
        <f ca="1">IFERROR(__xludf.DUMMYFUNCTION("""COMPUTED_VALUE"""),-12.44)</f>
        <v>-12.44</v>
      </c>
      <c r="F298" s="1">
        <f ca="1">IFERROR(__xludf.DUMMYFUNCTION("""COMPUTED_VALUE"""),97.9)</f>
        <v>97.9</v>
      </c>
      <c r="G298" s="1">
        <f ca="1">IFERROR(__xludf.DUMMYFUNCTION("""COMPUTED_VALUE"""),255)</f>
        <v>255</v>
      </c>
      <c r="H298" s="1">
        <f ca="1">IFERROR(__xludf.DUMMYFUNCTION("""COMPUTED_VALUE"""),110.4)</f>
        <v>110.4</v>
      </c>
      <c r="I298" s="1">
        <f ca="1">IFERROR(__xludf.DUMMYFUNCTION("""COMPUTED_VALUE"""),293)</f>
        <v>293</v>
      </c>
      <c r="J298" s="1">
        <f ca="1">IFERROR(__xludf.DUMMYFUNCTION("""COMPUTED_VALUE"""),71.9)</f>
        <v>71.900000000000006</v>
      </c>
      <c r="K298" s="1">
        <f ca="1">IFERROR(__xludf.DUMMYFUNCTION("""COMPUTED_VALUE"""),10)</f>
        <v>10</v>
      </c>
      <c r="L298" s="1" t="str">
        <f ca="1">IFERROR(__xludf.DUMMYFUNCTION("""COMPUTED_VALUE"""),"+.055")</f>
        <v>+.055</v>
      </c>
      <c r="M298" s="1">
        <f ca="1">IFERROR(__xludf.DUMMYFUNCTION("""COMPUTED_VALUE"""),49)</f>
        <v>49</v>
      </c>
      <c r="N298" s="1">
        <f ca="1">IFERROR(__xludf.DUMMYFUNCTION("""COMPUTED_VALUE"""),-9.79)</f>
        <v>-9.7899999999999991</v>
      </c>
      <c r="O298" s="1">
        <f ca="1">IFERROR(__xludf.DUMMYFUNCTION("""COMPUTED_VALUE"""),305)</f>
        <v>305</v>
      </c>
      <c r="P298" s="1">
        <f ca="1">IFERROR(__xludf.DUMMYFUNCTION("""COMPUTED_VALUE"""),97.8)</f>
        <v>97.8</v>
      </c>
      <c r="Q298" s="1">
        <f ca="1">IFERROR(__xludf.DUMMYFUNCTION("""COMPUTED_VALUE"""),292)</f>
        <v>292</v>
      </c>
      <c r="R298" s="1">
        <f ca="1">IFERROR(__xludf.DUMMYFUNCTION("""COMPUTED_VALUE"""),107.6)</f>
        <v>107.6</v>
      </c>
      <c r="S298" s="1">
        <f ca="1">IFERROR(__xludf.DUMMYFUNCTION("""COMPUTED_VALUE"""),314)</f>
        <v>314</v>
      </c>
      <c r="T298" s="1">
        <f ca="1">IFERROR(__xludf.DUMMYFUNCTION("""COMPUTED_VALUE"""),-5.57)</f>
        <v>-5.57</v>
      </c>
      <c r="U298" s="1">
        <f ca="1">IFERROR(__xludf.DUMMYFUNCTION("""COMPUTED_VALUE"""),275)</f>
        <v>275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IFERROR(__xludf.DUMMYFUNCTION("""COMPUTED_VALUE"""),"Cleveland St.")</f>
        <v>Cleveland St.</v>
      </c>
      <c r="C299" s="1" t="str">
        <f ca="1">IFERROR(__xludf.DUMMYFUNCTION("""COMPUTED_VALUE"""),"Horz")</f>
        <v>Horz</v>
      </c>
      <c r="D299" s="2">
        <f ca="1">IFERROR(__xludf.DUMMYFUNCTION("""COMPUTED_VALUE"""),44676)</f>
        <v>44676</v>
      </c>
      <c r="E299" s="1">
        <f ca="1">IFERROR(__xludf.DUMMYFUNCTION("""COMPUTED_VALUE"""),-12.53)</f>
        <v>-12.53</v>
      </c>
      <c r="F299" s="1">
        <f ca="1">IFERROR(__xludf.DUMMYFUNCTION("""COMPUTED_VALUE"""),93.5)</f>
        <v>93.5</v>
      </c>
      <c r="G299" s="1">
        <f ca="1">IFERROR(__xludf.DUMMYFUNCTION("""COMPUTED_VALUE"""),297)</f>
        <v>297</v>
      </c>
      <c r="H299" s="1">
        <f ca="1">IFERROR(__xludf.DUMMYFUNCTION("""COMPUTED_VALUE"""),106)</f>
        <v>106</v>
      </c>
      <c r="I299" s="1">
        <f ca="1">IFERROR(__xludf.DUMMYFUNCTION("""COMPUTED_VALUE"""),210)</f>
        <v>210</v>
      </c>
      <c r="J299" s="1">
        <f ca="1">IFERROR(__xludf.DUMMYFUNCTION("""COMPUTED_VALUE"""),69.3)</f>
        <v>69.3</v>
      </c>
      <c r="K299" s="1">
        <f ca="1">IFERROR(__xludf.DUMMYFUNCTION("""COMPUTED_VALUE"""),42)</f>
        <v>42</v>
      </c>
      <c r="L299" s="1">
        <f ca="1">IFERROR(__xludf.DUMMYFUNCTION("""COMPUTED_VALUE"""),-0.11)</f>
        <v>-0.11</v>
      </c>
      <c r="M299" s="1">
        <f ca="1">IFERROR(__xludf.DUMMYFUNCTION("""COMPUTED_VALUE"""),320)</f>
        <v>320</v>
      </c>
      <c r="N299" s="1" t="str">
        <f ca="1">IFERROR(__xludf.DUMMYFUNCTION("""COMPUTED_VALUE"""),"+1.62")</f>
        <v>+1.62</v>
      </c>
      <c r="O299" s="1">
        <f ca="1">IFERROR(__xludf.DUMMYFUNCTION("""COMPUTED_VALUE"""),130)</f>
        <v>130</v>
      </c>
      <c r="P299" s="1">
        <f ca="1">IFERROR(__xludf.DUMMYFUNCTION("""COMPUTED_VALUE"""),104)</f>
        <v>104</v>
      </c>
      <c r="Q299" s="1">
        <f ca="1">IFERROR(__xludf.DUMMYFUNCTION("""COMPUTED_VALUE"""),143)</f>
        <v>143</v>
      </c>
      <c r="R299" s="1">
        <f ca="1">IFERROR(__xludf.DUMMYFUNCTION("""COMPUTED_VALUE"""),102.4)</f>
        <v>102.4</v>
      </c>
      <c r="S299" s="1">
        <f ca="1">IFERROR(__xludf.DUMMYFUNCTION("""COMPUTED_VALUE"""),126)</f>
        <v>126</v>
      </c>
      <c r="T299" s="1" t="str">
        <f ca="1">IFERROR(__xludf.DUMMYFUNCTION("""COMPUTED_VALUE"""),"+0.23")</f>
        <v>+0.23</v>
      </c>
      <c r="U299" s="1">
        <f ca="1">IFERROR(__xludf.DUMMYFUNCTION("""COMPUTED_VALUE"""),158)</f>
        <v>158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IFERROR(__xludf.DUMMYFUNCTION("""COMPUTED_VALUE"""),"Lamar")</f>
        <v>Lamar</v>
      </c>
      <c r="C300" s="1" t="str">
        <f ca="1">IFERROR(__xludf.DUMMYFUNCTION("""COMPUTED_VALUE"""),"Slnd")</f>
        <v>Slnd</v>
      </c>
      <c r="D300" s="2">
        <f ca="1">IFERROR(__xludf.DUMMYFUNCTION("""COMPUTED_VALUE"""),44883)</f>
        <v>44883</v>
      </c>
      <c r="E300" s="1">
        <f ca="1">IFERROR(__xludf.DUMMYFUNCTION("""COMPUTED_VALUE"""),-12.63)</f>
        <v>-12.63</v>
      </c>
      <c r="F300" s="1">
        <f ca="1">IFERROR(__xludf.DUMMYFUNCTION("""COMPUTED_VALUE"""),97.2)</f>
        <v>97.2</v>
      </c>
      <c r="G300" s="1">
        <f ca="1">IFERROR(__xludf.DUMMYFUNCTION("""COMPUTED_VALUE"""),265)</f>
        <v>265</v>
      </c>
      <c r="H300" s="1">
        <f ca="1">IFERROR(__xludf.DUMMYFUNCTION("""COMPUTED_VALUE"""),109.8)</f>
        <v>109.8</v>
      </c>
      <c r="I300" s="1">
        <f ca="1">IFERROR(__xludf.DUMMYFUNCTION("""COMPUTED_VALUE"""),285)</f>
        <v>285</v>
      </c>
      <c r="J300" s="1">
        <f ca="1">IFERROR(__xludf.DUMMYFUNCTION("""COMPUTED_VALUE"""),73.5)</f>
        <v>73.5</v>
      </c>
      <c r="K300" s="1">
        <f ca="1">IFERROR(__xludf.DUMMYFUNCTION("""COMPUTED_VALUE"""),2)</f>
        <v>2</v>
      </c>
      <c r="L300" s="1">
        <f ca="1">IFERROR(__xludf.DUMMYFUNCTION("""COMPUTED_VALUE"""),-0.041)</f>
        <v>-4.1000000000000002E-2</v>
      </c>
      <c r="M300" s="1">
        <f ca="1">IFERROR(__xludf.DUMMYFUNCTION("""COMPUTED_VALUE"""),256)</f>
        <v>256</v>
      </c>
      <c r="N300" s="1">
        <f ca="1">IFERROR(__xludf.DUMMYFUNCTION("""COMPUTED_VALUE"""),-6.69)</f>
        <v>-6.69</v>
      </c>
      <c r="O300" s="1">
        <f ca="1">IFERROR(__xludf.DUMMYFUNCTION("""COMPUTED_VALUE"""),263)</f>
        <v>263</v>
      </c>
      <c r="P300" s="1">
        <f ca="1">IFERROR(__xludf.DUMMYFUNCTION("""COMPUTED_VALUE"""),99)</f>
        <v>99</v>
      </c>
      <c r="Q300" s="1">
        <f ca="1">IFERROR(__xludf.DUMMYFUNCTION("""COMPUTED_VALUE"""),270)</f>
        <v>270</v>
      </c>
      <c r="R300" s="1">
        <f ca="1">IFERROR(__xludf.DUMMYFUNCTION("""COMPUTED_VALUE"""),105.7)</f>
        <v>105.7</v>
      </c>
      <c r="S300" s="1">
        <f ca="1">IFERROR(__xludf.DUMMYFUNCTION("""COMPUTED_VALUE"""),251)</f>
        <v>251</v>
      </c>
      <c r="T300" s="1">
        <f ca="1">IFERROR(__xludf.DUMMYFUNCTION("""COMPUTED_VALUE"""),-0.76)</f>
        <v>-0.76</v>
      </c>
      <c r="U300" s="1">
        <f ca="1">IFERROR(__xludf.DUMMYFUNCTION("""COMPUTED_VALUE"""),182)</f>
        <v>182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IFERROR(__xludf.DUMMYFUNCTION("""COMPUTED_VALUE"""),"UMBC")</f>
        <v>UMBC</v>
      </c>
      <c r="C301" s="1" t="str">
        <f ca="1">IFERROR(__xludf.DUMMYFUNCTION("""COMPUTED_VALUE"""),"AE")</f>
        <v>AE</v>
      </c>
      <c r="D301" s="2">
        <f ca="1">IFERROR(__xludf.DUMMYFUNCTION("""COMPUTED_VALUE"""),44763)</f>
        <v>44763</v>
      </c>
      <c r="E301" s="1">
        <f ca="1">IFERROR(__xludf.DUMMYFUNCTION("""COMPUTED_VALUE"""),-12.88)</f>
        <v>-12.88</v>
      </c>
      <c r="F301" s="1">
        <f ca="1">IFERROR(__xludf.DUMMYFUNCTION("""COMPUTED_VALUE"""),94.1)</f>
        <v>94.1</v>
      </c>
      <c r="G301" s="1">
        <f ca="1">IFERROR(__xludf.DUMMYFUNCTION("""COMPUTED_VALUE"""),293)</f>
        <v>293</v>
      </c>
      <c r="H301" s="1">
        <f ca="1">IFERROR(__xludf.DUMMYFUNCTION("""COMPUTED_VALUE"""),107)</f>
        <v>107</v>
      </c>
      <c r="I301" s="1">
        <f ca="1">IFERROR(__xludf.DUMMYFUNCTION("""COMPUTED_VALUE"""),237)</f>
        <v>237</v>
      </c>
      <c r="J301" s="1">
        <f ca="1">IFERROR(__xludf.DUMMYFUNCTION("""COMPUTED_VALUE"""),63)</f>
        <v>63</v>
      </c>
      <c r="K301" s="1">
        <f ca="1">IFERROR(__xludf.DUMMYFUNCTION("""COMPUTED_VALUE"""),272)</f>
        <v>272</v>
      </c>
      <c r="L301" s="1">
        <f ca="1">IFERROR(__xludf.DUMMYFUNCTION("""COMPUTED_VALUE"""),-0.13)</f>
        <v>-0.13</v>
      </c>
      <c r="M301" s="1">
        <f ca="1">IFERROR(__xludf.DUMMYFUNCTION("""COMPUTED_VALUE"""),323)</f>
        <v>323</v>
      </c>
      <c r="N301" s="1">
        <f ca="1">IFERROR(__xludf.DUMMYFUNCTION("""COMPUTED_VALUE"""),-7.34)</f>
        <v>-7.34</v>
      </c>
      <c r="O301" s="1">
        <f ca="1">IFERROR(__xludf.DUMMYFUNCTION("""COMPUTED_VALUE"""),273)</f>
        <v>273</v>
      </c>
      <c r="P301" s="1">
        <f ca="1">IFERROR(__xludf.DUMMYFUNCTION("""COMPUTED_VALUE"""),98)</f>
        <v>98</v>
      </c>
      <c r="Q301" s="1">
        <f ca="1">IFERROR(__xludf.DUMMYFUNCTION("""COMPUTED_VALUE"""),290)</f>
        <v>290</v>
      </c>
      <c r="R301" s="1">
        <f ca="1">IFERROR(__xludf.DUMMYFUNCTION("""COMPUTED_VALUE"""),105.3)</f>
        <v>105.3</v>
      </c>
      <c r="S301" s="1">
        <f ca="1">IFERROR(__xludf.DUMMYFUNCTION("""COMPUTED_VALUE"""),235)</f>
        <v>235</v>
      </c>
      <c r="T301" s="1">
        <f ca="1">IFERROR(__xludf.DUMMYFUNCTION("""COMPUTED_VALUE"""),-1.98)</f>
        <v>-1.98</v>
      </c>
      <c r="U301" s="1">
        <f ca="1">IFERROR(__xludf.DUMMYFUNCTION("""COMPUTED_VALUE"""),214)</f>
        <v>214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IFERROR(__xludf.DUMMYFUNCTION("""COMPUTED_VALUE"""),"IPFW")</f>
        <v>IPFW</v>
      </c>
      <c r="C302" s="1" t="str">
        <f ca="1">IFERROR(__xludf.DUMMYFUNCTION("""COMPUTED_VALUE"""),"ind")</f>
        <v>ind</v>
      </c>
      <c r="D302" s="2">
        <f ca="1">IFERROR(__xludf.DUMMYFUNCTION("""COMPUTED_VALUE"""),44645)</f>
        <v>44645</v>
      </c>
      <c r="E302" s="1">
        <f ca="1">IFERROR(__xludf.DUMMYFUNCTION("""COMPUTED_VALUE"""),-12.89)</f>
        <v>-12.89</v>
      </c>
      <c r="F302" s="1">
        <f ca="1">IFERROR(__xludf.DUMMYFUNCTION("""COMPUTED_VALUE"""),97.8)</f>
        <v>97.8</v>
      </c>
      <c r="G302" s="1">
        <f ca="1">IFERROR(__xludf.DUMMYFUNCTION("""COMPUTED_VALUE"""),257)</f>
        <v>257</v>
      </c>
      <c r="H302" s="1">
        <f ca="1">IFERROR(__xludf.DUMMYFUNCTION("""COMPUTED_VALUE"""),110.7)</f>
        <v>110.7</v>
      </c>
      <c r="I302" s="1">
        <f ca="1">IFERROR(__xludf.DUMMYFUNCTION("""COMPUTED_VALUE"""),296)</f>
        <v>296</v>
      </c>
      <c r="J302" s="1">
        <f ca="1">IFERROR(__xludf.DUMMYFUNCTION("""COMPUTED_VALUE"""),64.4)</f>
        <v>64.400000000000006</v>
      </c>
      <c r="K302" s="1">
        <f ca="1">IFERROR(__xludf.DUMMYFUNCTION("""COMPUTED_VALUE"""),218)</f>
        <v>218</v>
      </c>
      <c r="L302" s="1">
        <f ca="1">IFERROR(__xludf.DUMMYFUNCTION("""COMPUTED_VALUE"""),-0.038)</f>
        <v>-3.7999999999999999E-2</v>
      </c>
      <c r="M302" s="1">
        <f ca="1">IFERROR(__xludf.DUMMYFUNCTION("""COMPUTED_VALUE"""),248)</f>
        <v>248</v>
      </c>
      <c r="N302" s="1" t="str">
        <f ca="1">IFERROR(__xludf.DUMMYFUNCTION("""COMPUTED_VALUE"""),"+3.21")</f>
        <v>+3.21</v>
      </c>
      <c r="O302" s="1">
        <f ca="1">IFERROR(__xludf.DUMMYFUNCTION("""COMPUTED_VALUE"""),107)</f>
        <v>107</v>
      </c>
      <c r="P302" s="1">
        <f ca="1">IFERROR(__xludf.DUMMYFUNCTION("""COMPUTED_VALUE"""),105.7)</f>
        <v>105.7</v>
      </c>
      <c r="Q302" s="1">
        <f ca="1">IFERROR(__xludf.DUMMYFUNCTION("""COMPUTED_VALUE"""),87)</f>
        <v>87</v>
      </c>
      <c r="R302" s="1">
        <f ca="1">IFERROR(__xludf.DUMMYFUNCTION("""COMPUTED_VALUE"""),102.5)</f>
        <v>102.5</v>
      </c>
      <c r="S302" s="1">
        <f ca="1">IFERROR(__xludf.DUMMYFUNCTION("""COMPUTED_VALUE"""),130)</f>
        <v>130</v>
      </c>
      <c r="T302" s="1" t="str">
        <f ca="1">IFERROR(__xludf.DUMMYFUNCTION("""COMPUTED_VALUE"""),"+4.98")</f>
        <v>+4.98</v>
      </c>
      <c r="U302" s="1">
        <f ca="1">IFERROR(__xludf.DUMMYFUNCTION("""COMPUTED_VALUE"""),47)</f>
        <v>47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IFERROR(__xludf.DUMMYFUNCTION("""COMPUTED_VALUE"""),"Wofford")</f>
        <v>Wofford</v>
      </c>
      <c r="C303" s="1" t="str">
        <f ca="1">IFERROR(__xludf.DUMMYFUNCTION("""COMPUTED_VALUE"""),"SC")</f>
        <v>SC</v>
      </c>
      <c r="D303" s="2">
        <f ca="1">IFERROR(__xludf.DUMMYFUNCTION("""COMPUTED_VALUE"""),44824)</f>
        <v>44824</v>
      </c>
      <c r="E303" s="1">
        <f ca="1">IFERROR(__xludf.DUMMYFUNCTION("""COMPUTED_VALUE"""),-12.98)</f>
        <v>-12.98</v>
      </c>
      <c r="F303" s="1">
        <f ca="1">IFERROR(__xludf.DUMMYFUNCTION("""COMPUTED_VALUE"""),98.7)</f>
        <v>98.7</v>
      </c>
      <c r="G303" s="1">
        <f ca="1">IFERROR(__xludf.DUMMYFUNCTION("""COMPUTED_VALUE"""),242)</f>
        <v>242</v>
      </c>
      <c r="H303" s="1">
        <f ca="1">IFERROR(__xludf.DUMMYFUNCTION("""COMPUTED_VALUE"""),111.7)</f>
        <v>111.7</v>
      </c>
      <c r="I303" s="1">
        <f ca="1">IFERROR(__xludf.DUMMYFUNCTION("""COMPUTED_VALUE"""),307)</f>
        <v>307</v>
      </c>
      <c r="J303" s="1">
        <f ca="1">IFERROR(__xludf.DUMMYFUNCTION("""COMPUTED_VALUE"""),70.7)</f>
        <v>70.7</v>
      </c>
      <c r="K303" s="1">
        <f ca="1">IFERROR(__xludf.DUMMYFUNCTION("""COMPUTED_VALUE"""),19)</f>
        <v>19</v>
      </c>
      <c r="L303" s="1" t="str">
        <f ca="1">IFERROR(__xludf.DUMMYFUNCTION("""COMPUTED_VALUE"""),"+.028")</f>
        <v>+.028</v>
      </c>
      <c r="M303" s="1">
        <f ca="1">IFERROR(__xludf.DUMMYFUNCTION("""COMPUTED_VALUE"""),94)</f>
        <v>94</v>
      </c>
      <c r="N303" s="1" t="str">
        <f ca="1">IFERROR(__xludf.DUMMYFUNCTION("""COMPUTED_VALUE"""),"+0.24")</f>
        <v>+0.24</v>
      </c>
      <c r="O303" s="1">
        <f ca="1">IFERROR(__xludf.DUMMYFUNCTION("""COMPUTED_VALUE"""),151)</f>
        <v>151</v>
      </c>
      <c r="P303" s="1">
        <f ca="1">IFERROR(__xludf.DUMMYFUNCTION("""COMPUTED_VALUE"""),102.7)</f>
        <v>102.7</v>
      </c>
      <c r="Q303" s="1">
        <f ca="1">IFERROR(__xludf.DUMMYFUNCTION("""COMPUTED_VALUE"""),196)</f>
        <v>196</v>
      </c>
      <c r="R303" s="1">
        <f ca="1">IFERROR(__xludf.DUMMYFUNCTION("""COMPUTED_VALUE"""),102.5)</f>
        <v>102.5</v>
      </c>
      <c r="S303" s="1">
        <f ca="1">IFERROR(__xludf.DUMMYFUNCTION("""COMPUTED_VALUE"""),133)</f>
        <v>133</v>
      </c>
      <c r="T303" s="1" t="str">
        <f ca="1">IFERROR(__xludf.DUMMYFUNCTION("""COMPUTED_VALUE"""),"+9.27")</f>
        <v>+9.27</v>
      </c>
      <c r="U303" s="1">
        <f ca="1">IFERROR(__xludf.DUMMYFUNCTION("""COMPUTED_VALUE"""),9)</f>
        <v>9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IFERROR(__xludf.DUMMYFUNCTION("""COMPUTED_VALUE"""),"Radford")</f>
        <v>Radford</v>
      </c>
      <c r="C304" s="1" t="str">
        <f ca="1">IFERROR(__xludf.DUMMYFUNCTION("""COMPUTED_VALUE"""),"BSth")</f>
        <v>BSth</v>
      </c>
      <c r="D304" s="2">
        <f ca="1">IFERROR(__xludf.DUMMYFUNCTION("""COMPUTED_VALUE"""),44911)</f>
        <v>44911</v>
      </c>
      <c r="E304" s="1">
        <f ca="1">IFERROR(__xludf.DUMMYFUNCTION("""COMPUTED_VALUE"""),-13.01)</f>
        <v>-13.01</v>
      </c>
      <c r="F304" s="1">
        <f ca="1">IFERROR(__xludf.DUMMYFUNCTION("""COMPUTED_VALUE"""),96)</f>
        <v>96</v>
      </c>
      <c r="G304" s="1">
        <f ca="1">IFERROR(__xludf.DUMMYFUNCTION("""COMPUTED_VALUE"""),279)</f>
        <v>279</v>
      </c>
      <c r="H304" s="1">
        <f ca="1">IFERROR(__xludf.DUMMYFUNCTION("""COMPUTED_VALUE"""),109)</f>
        <v>109</v>
      </c>
      <c r="I304" s="1">
        <f ca="1">IFERROR(__xludf.DUMMYFUNCTION("""COMPUTED_VALUE"""),275)</f>
        <v>275</v>
      </c>
      <c r="J304" s="1">
        <f ca="1">IFERROR(__xludf.DUMMYFUNCTION("""COMPUTED_VALUE"""),65.9)</f>
        <v>65.900000000000006</v>
      </c>
      <c r="K304" s="1">
        <f ca="1">IFERROR(__xludf.DUMMYFUNCTION("""COMPUTED_VALUE"""),164)</f>
        <v>164</v>
      </c>
      <c r="L304" s="1">
        <f ca="1">IFERROR(__xludf.DUMMYFUNCTION("""COMPUTED_VALUE"""),-0.01)</f>
        <v>-0.01</v>
      </c>
      <c r="M304" s="1">
        <f ca="1">IFERROR(__xludf.DUMMYFUNCTION("""COMPUTED_VALUE"""),192)</f>
        <v>192</v>
      </c>
      <c r="N304" s="1">
        <f ca="1">IFERROR(__xludf.DUMMYFUNCTION("""COMPUTED_VALUE"""),-8.95)</f>
        <v>-8.9499999999999993</v>
      </c>
      <c r="O304" s="1">
        <f ca="1">IFERROR(__xludf.DUMMYFUNCTION("""COMPUTED_VALUE"""),296)</f>
        <v>296</v>
      </c>
      <c r="P304" s="1">
        <f ca="1">IFERROR(__xludf.DUMMYFUNCTION("""COMPUTED_VALUE"""),97.2)</f>
        <v>97.2</v>
      </c>
      <c r="Q304" s="1">
        <f ca="1">IFERROR(__xludf.DUMMYFUNCTION("""COMPUTED_VALUE"""),300)</f>
        <v>300</v>
      </c>
      <c r="R304" s="1">
        <f ca="1">IFERROR(__xludf.DUMMYFUNCTION("""COMPUTED_VALUE"""),106.1)</f>
        <v>106.1</v>
      </c>
      <c r="S304" s="1">
        <f ca="1">IFERROR(__xludf.DUMMYFUNCTION("""COMPUTED_VALUE"""),273)</f>
        <v>273</v>
      </c>
      <c r="T304" s="1">
        <f ca="1">IFERROR(__xludf.DUMMYFUNCTION("""COMPUTED_VALUE"""),-5.62)</f>
        <v>-5.62</v>
      </c>
      <c r="U304" s="1">
        <f ca="1">IFERROR(__xludf.DUMMYFUNCTION("""COMPUTED_VALUE"""),276)</f>
        <v>276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IFERROR(__xludf.DUMMYFUNCTION("""COMPUTED_VALUE"""),"Jacksonville")</f>
        <v>Jacksonville</v>
      </c>
      <c r="C305" s="1" t="str">
        <f ca="1">IFERROR(__xludf.DUMMYFUNCTION("""COMPUTED_VALUE"""),"ASun")</f>
        <v>ASun</v>
      </c>
      <c r="D305" s="1" t="str">
        <f ca="1">IFERROR(__xludf.DUMMYFUNCTION("""COMPUTED_VALUE"""),"13-15")</f>
        <v>13-15</v>
      </c>
      <c r="E305" s="1">
        <f ca="1">IFERROR(__xludf.DUMMYFUNCTION("""COMPUTED_VALUE"""),-13.11)</f>
        <v>-13.11</v>
      </c>
      <c r="F305" s="1">
        <f ca="1">IFERROR(__xludf.DUMMYFUNCTION("""COMPUTED_VALUE"""),97.2)</f>
        <v>97.2</v>
      </c>
      <c r="G305" s="1">
        <f ca="1">IFERROR(__xludf.DUMMYFUNCTION("""COMPUTED_VALUE"""),267)</f>
        <v>267</v>
      </c>
      <c r="H305" s="1">
        <f ca="1">IFERROR(__xludf.DUMMYFUNCTION("""COMPUTED_VALUE"""),110.3)</f>
        <v>110.3</v>
      </c>
      <c r="I305" s="1">
        <f ca="1">IFERROR(__xludf.DUMMYFUNCTION("""COMPUTED_VALUE"""),291)</f>
        <v>291</v>
      </c>
      <c r="J305" s="1">
        <f ca="1">IFERROR(__xludf.DUMMYFUNCTION("""COMPUTED_VALUE"""),67.6)</f>
        <v>67.599999999999994</v>
      </c>
      <c r="K305" s="1">
        <f ca="1">IFERROR(__xludf.DUMMYFUNCTION("""COMPUTED_VALUE"""),96)</f>
        <v>96</v>
      </c>
      <c r="L305" s="1" t="str">
        <f ca="1">IFERROR(__xludf.DUMMYFUNCTION("""COMPUTED_VALUE"""),"+.103")</f>
        <v>+.103</v>
      </c>
      <c r="M305" s="1">
        <f ca="1">IFERROR(__xludf.DUMMYFUNCTION("""COMPUTED_VALUE"""),9)</f>
        <v>9</v>
      </c>
      <c r="N305" s="1">
        <f ca="1">IFERROR(__xludf.DUMMYFUNCTION("""COMPUTED_VALUE"""),-6.58)</f>
        <v>-6.58</v>
      </c>
      <c r="O305" s="1">
        <f ca="1">IFERROR(__xludf.DUMMYFUNCTION("""COMPUTED_VALUE"""),262)</f>
        <v>262</v>
      </c>
      <c r="P305" s="1">
        <f ca="1">IFERROR(__xludf.DUMMYFUNCTION("""COMPUTED_VALUE"""),100)</f>
        <v>100</v>
      </c>
      <c r="Q305" s="1">
        <f ca="1">IFERROR(__xludf.DUMMYFUNCTION("""COMPUTED_VALUE"""),256)</f>
        <v>256</v>
      </c>
      <c r="R305" s="1">
        <f ca="1">IFERROR(__xludf.DUMMYFUNCTION("""COMPUTED_VALUE"""),106.6)</f>
        <v>106.6</v>
      </c>
      <c r="S305" s="1">
        <f ca="1">IFERROR(__xludf.DUMMYFUNCTION("""COMPUTED_VALUE"""),289)</f>
        <v>289</v>
      </c>
      <c r="T305" s="1">
        <f ca="1">IFERROR(__xludf.DUMMYFUNCTION("""COMPUTED_VALUE"""),-9.71)</f>
        <v>-9.7100000000000009</v>
      </c>
      <c r="U305" s="1">
        <f ca="1">IFERROR(__xludf.DUMMYFUNCTION("""COMPUTED_VALUE"""),315)</f>
        <v>315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IFERROR(__xludf.DUMMYFUNCTION("""COMPUTED_VALUE"""),"Southern")</f>
        <v>Southern</v>
      </c>
      <c r="C306" s="1" t="str">
        <f ca="1">IFERROR(__xludf.DUMMYFUNCTION("""COMPUTED_VALUE"""),"SWAC")</f>
        <v>SWAC</v>
      </c>
      <c r="D306" s="2">
        <f ca="1">IFERROR(__xludf.DUMMYFUNCTION("""COMPUTED_VALUE"""),44911)</f>
        <v>44911</v>
      </c>
      <c r="E306" s="1">
        <f ca="1">IFERROR(__xludf.DUMMYFUNCTION("""COMPUTED_VALUE"""),-13.49)</f>
        <v>-13.49</v>
      </c>
      <c r="F306" s="1">
        <f ca="1">IFERROR(__xludf.DUMMYFUNCTION("""COMPUTED_VALUE"""),96.6)</f>
        <v>96.6</v>
      </c>
      <c r="G306" s="1">
        <f ca="1">IFERROR(__xludf.DUMMYFUNCTION("""COMPUTED_VALUE"""),275)</f>
        <v>275</v>
      </c>
      <c r="H306" s="1">
        <f ca="1">IFERROR(__xludf.DUMMYFUNCTION("""COMPUTED_VALUE"""),110)</f>
        <v>110</v>
      </c>
      <c r="I306" s="1">
        <f ca="1">IFERROR(__xludf.DUMMYFUNCTION("""COMPUTED_VALUE"""),288)</f>
        <v>288</v>
      </c>
      <c r="J306" s="1">
        <f ca="1">IFERROR(__xludf.DUMMYFUNCTION("""COMPUTED_VALUE"""),68)</f>
        <v>68</v>
      </c>
      <c r="K306" s="1">
        <f ca="1">IFERROR(__xludf.DUMMYFUNCTION("""COMPUTED_VALUE"""),84)</f>
        <v>84</v>
      </c>
      <c r="L306" s="1">
        <f ca="1">IFERROR(__xludf.DUMMYFUNCTION("""COMPUTED_VALUE"""),-0.078)</f>
        <v>-7.8E-2</v>
      </c>
      <c r="M306" s="1">
        <f ca="1">IFERROR(__xludf.DUMMYFUNCTION("""COMPUTED_VALUE"""),302)</f>
        <v>302</v>
      </c>
      <c r="N306" s="1">
        <f ca="1">IFERROR(__xludf.DUMMYFUNCTION("""COMPUTED_VALUE"""),-13.33)</f>
        <v>-13.33</v>
      </c>
      <c r="O306" s="1">
        <f ca="1">IFERROR(__xludf.DUMMYFUNCTION("""COMPUTED_VALUE"""),322)</f>
        <v>322</v>
      </c>
      <c r="P306" s="1">
        <f ca="1">IFERROR(__xludf.DUMMYFUNCTION("""COMPUTED_VALUE"""),93.7)</f>
        <v>93.7</v>
      </c>
      <c r="Q306" s="1">
        <f ca="1">IFERROR(__xludf.DUMMYFUNCTION("""COMPUTED_VALUE"""),325)</f>
        <v>325</v>
      </c>
      <c r="R306" s="1">
        <f ca="1">IFERROR(__xludf.DUMMYFUNCTION("""COMPUTED_VALUE"""),107)</f>
        <v>107</v>
      </c>
      <c r="S306" s="1">
        <f ca="1">IFERROR(__xludf.DUMMYFUNCTION("""COMPUTED_VALUE"""),302)</f>
        <v>302</v>
      </c>
      <c r="T306" s="1">
        <f ca="1">IFERROR(__xludf.DUMMYFUNCTION("""COMPUTED_VALUE"""),-3.38)</f>
        <v>-3.38</v>
      </c>
      <c r="U306" s="1">
        <f ca="1">IFERROR(__xludf.DUMMYFUNCTION("""COMPUTED_VALUE"""),243)</f>
        <v>243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IFERROR(__xludf.DUMMYFUNCTION("""COMPUTED_VALUE"""),"Jackson St.")</f>
        <v>Jackson St.</v>
      </c>
      <c r="C307" s="1" t="str">
        <f ca="1">IFERROR(__xludf.DUMMYFUNCTION("""COMPUTED_VALUE"""),"SWAC")</f>
        <v>SWAC</v>
      </c>
      <c r="D307" s="2">
        <f ca="1">IFERROR(__xludf.DUMMYFUNCTION("""COMPUTED_VALUE"""),44912)</f>
        <v>44912</v>
      </c>
      <c r="E307" s="1">
        <f ca="1">IFERROR(__xludf.DUMMYFUNCTION("""COMPUTED_VALUE"""),-13.87)</f>
        <v>-13.87</v>
      </c>
      <c r="F307" s="1">
        <f ca="1">IFERROR(__xludf.DUMMYFUNCTION("""COMPUTED_VALUE"""),88.4)</f>
        <v>88.4</v>
      </c>
      <c r="G307" s="1">
        <f ca="1">IFERROR(__xludf.DUMMYFUNCTION("""COMPUTED_VALUE"""),314)</f>
        <v>314</v>
      </c>
      <c r="H307" s="1">
        <f ca="1">IFERROR(__xludf.DUMMYFUNCTION("""COMPUTED_VALUE"""),102.2)</f>
        <v>102.2</v>
      </c>
      <c r="I307" s="1">
        <f ca="1">IFERROR(__xludf.DUMMYFUNCTION("""COMPUTED_VALUE"""),147)</f>
        <v>147</v>
      </c>
      <c r="J307" s="1">
        <f ca="1">IFERROR(__xludf.DUMMYFUNCTION("""COMPUTED_VALUE"""),68.2)</f>
        <v>68.2</v>
      </c>
      <c r="K307" s="1">
        <f ca="1">IFERROR(__xludf.DUMMYFUNCTION("""COMPUTED_VALUE"""),78)</f>
        <v>78</v>
      </c>
      <c r="L307" s="1">
        <f ca="1">IFERROR(__xludf.DUMMYFUNCTION("""COMPUTED_VALUE"""),-0.008)</f>
        <v>-8.0000000000000002E-3</v>
      </c>
      <c r="M307" s="1">
        <f ca="1">IFERROR(__xludf.DUMMYFUNCTION("""COMPUTED_VALUE"""),186)</f>
        <v>186</v>
      </c>
      <c r="N307" s="1">
        <f ca="1">IFERROR(__xludf.DUMMYFUNCTION("""COMPUTED_VALUE"""),-11.06)</f>
        <v>-11.06</v>
      </c>
      <c r="O307" s="1">
        <f ca="1">IFERROR(__xludf.DUMMYFUNCTION("""COMPUTED_VALUE"""),312)</f>
        <v>312</v>
      </c>
      <c r="P307" s="1">
        <f ca="1">IFERROR(__xludf.DUMMYFUNCTION("""COMPUTED_VALUE"""),95.6)</f>
        <v>95.6</v>
      </c>
      <c r="Q307" s="1">
        <f ca="1">IFERROR(__xludf.DUMMYFUNCTION("""COMPUTED_VALUE"""),313)</f>
        <v>313</v>
      </c>
      <c r="R307" s="1">
        <f ca="1">IFERROR(__xludf.DUMMYFUNCTION("""COMPUTED_VALUE"""),106.6)</f>
        <v>106.6</v>
      </c>
      <c r="S307" s="1">
        <f ca="1">IFERROR(__xludf.DUMMYFUNCTION("""COMPUTED_VALUE"""),290)</f>
        <v>290</v>
      </c>
      <c r="T307" s="1" t="str">
        <f ca="1">IFERROR(__xludf.DUMMYFUNCTION("""COMPUTED_VALUE"""),"+3.82")</f>
        <v>+3.82</v>
      </c>
      <c r="U307" s="1">
        <f ca="1">IFERROR(__xludf.DUMMYFUNCTION("""COMPUTED_VALUE"""),62)</f>
        <v>62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IFERROR(__xludf.DUMMYFUNCTION("""COMPUTED_VALUE"""),"Marist")</f>
        <v>Marist</v>
      </c>
      <c r="C308" s="1" t="str">
        <f ca="1">IFERROR(__xludf.DUMMYFUNCTION("""COMPUTED_VALUE"""),"MAAC")</f>
        <v>MAAC</v>
      </c>
      <c r="D308" s="2">
        <f ca="1">IFERROR(__xludf.DUMMYFUNCTION("""COMPUTED_VALUE"""),44734)</f>
        <v>44734</v>
      </c>
      <c r="E308" s="1">
        <f ca="1">IFERROR(__xludf.DUMMYFUNCTION("""COMPUTED_VALUE"""),-13.91)</f>
        <v>-13.91</v>
      </c>
      <c r="F308" s="1">
        <f ca="1">IFERROR(__xludf.DUMMYFUNCTION("""COMPUTED_VALUE"""),93.1)</f>
        <v>93.1</v>
      </c>
      <c r="G308" s="1">
        <f ca="1">IFERROR(__xludf.DUMMYFUNCTION("""COMPUTED_VALUE"""),301)</f>
        <v>301</v>
      </c>
      <c r="H308" s="1">
        <f ca="1">IFERROR(__xludf.DUMMYFUNCTION("""COMPUTED_VALUE"""),107)</f>
        <v>107</v>
      </c>
      <c r="I308" s="1">
        <f ca="1">IFERROR(__xludf.DUMMYFUNCTION("""COMPUTED_VALUE"""),239)</f>
        <v>239</v>
      </c>
      <c r="J308" s="1">
        <f ca="1">IFERROR(__xludf.DUMMYFUNCTION("""COMPUTED_VALUE"""),64)</f>
        <v>64</v>
      </c>
      <c r="K308" s="1">
        <f ca="1">IFERROR(__xludf.DUMMYFUNCTION("""COMPUTED_VALUE"""),233)</f>
        <v>233</v>
      </c>
      <c r="L308" s="1">
        <f ca="1">IFERROR(__xludf.DUMMYFUNCTION("""COMPUTED_VALUE"""),-0.047)</f>
        <v>-4.7E-2</v>
      </c>
      <c r="M308" s="1">
        <f ca="1">IFERROR(__xludf.DUMMYFUNCTION("""COMPUTED_VALUE"""),263)</f>
        <v>263</v>
      </c>
      <c r="N308" s="1">
        <f ca="1">IFERROR(__xludf.DUMMYFUNCTION("""COMPUTED_VALUE"""),-3.62)</f>
        <v>-3.62</v>
      </c>
      <c r="O308" s="1">
        <f ca="1">IFERROR(__xludf.DUMMYFUNCTION("""COMPUTED_VALUE"""),231)</f>
        <v>231</v>
      </c>
      <c r="P308" s="1">
        <f ca="1">IFERROR(__xludf.DUMMYFUNCTION("""COMPUTED_VALUE"""),101.7)</f>
        <v>101.7</v>
      </c>
      <c r="Q308" s="1">
        <f ca="1">IFERROR(__xludf.DUMMYFUNCTION("""COMPUTED_VALUE"""),226)</f>
        <v>226</v>
      </c>
      <c r="R308" s="1">
        <f ca="1">IFERROR(__xludf.DUMMYFUNCTION("""COMPUTED_VALUE"""),105.3)</f>
        <v>105.3</v>
      </c>
      <c r="S308" s="1">
        <f ca="1">IFERROR(__xludf.DUMMYFUNCTION("""COMPUTED_VALUE"""),233)</f>
        <v>233</v>
      </c>
      <c r="T308" s="1">
        <f ca="1">IFERROR(__xludf.DUMMYFUNCTION("""COMPUTED_VALUE"""),-4.74)</f>
        <v>-4.74</v>
      </c>
      <c r="U308" s="1">
        <f ca="1">IFERROR(__xludf.DUMMYFUNCTION("""COMPUTED_VALUE"""),262)</f>
        <v>262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IFERROR(__xludf.DUMMYFUNCTION("""COMPUTED_VALUE"""),"New Hampshire")</f>
        <v>New Hampshire</v>
      </c>
      <c r="C309" s="1" t="str">
        <f ca="1">IFERROR(__xludf.DUMMYFUNCTION("""COMPUTED_VALUE"""),"AE")</f>
        <v>AE</v>
      </c>
      <c r="D309" s="2">
        <f ca="1">IFERROR(__xludf.DUMMYFUNCTION("""COMPUTED_VALUE"""),44854)</f>
        <v>44854</v>
      </c>
      <c r="E309" s="1">
        <f ca="1">IFERROR(__xludf.DUMMYFUNCTION("""COMPUTED_VALUE"""),-14.06)</f>
        <v>-14.06</v>
      </c>
      <c r="F309" s="1">
        <f ca="1">IFERROR(__xludf.DUMMYFUNCTION("""COMPUTED_VALUE"""),93.5)</f>
        <v>93.5</v>
      </c>
      <c r="G309" s="1">
        <f ca="1">IFERROR(__xludf.DUMMYFUNCTION("""COMPUTED_VALUE"""),296)</f>
        <v>296</v>
      </c>
      <c r="H309" s="1">
        <f ca="1">IFERROR(__xludf.DUMMYFUNCTION("""COMPUTED_VALUE"""),107.6)</f>
        <v>107.6</v>
      </c>
      <c r="I309" s="1">
        <f ca="1">IFERROR(__xludf.DUMMYFUNCTION("""COMPUTED_VALUE"""),249)</f>
        <v>249</v>
      </c>
      <c r="J309" s="1">
        <f ca="1">IFERROR(__xludf.DUMMYFUNCTION("""COMPUTED_VALUE"""),64.1)</f>
        <v>64.099999999999994</v>
      </c>
      <c r="K309" s="1">
        <f ca="1">IFERROR(__xludf.DUMMYFUNCTION("""COMPUTED_VALUE"""),228)</f>
        <v>228</v>
      </c>
      <c r="L309" s="1">
        <f ca="1">IFERROR(__xludf.DUMMYFUNCTION("""COMPUTED_VALUE"""),-0.033)</f>
        <v>-3.3000000000000002E-2</v>
      </c>
      <c r="M309" s="1">
        <f ca="1">IFERROR(__xludf.DUMMYFUNCTION("""COMPUTED_VALUE"""),242)</f>
        <v>242</v>
      </c>
      <c r="N309" s="1">
        <f ca="1">IFERROR(__xludf.DUMMYFUNCTION("""COMPUTED_VALUE"""),-8.53)</f>
        <v>-8.5299999999999994</v>
      </c>
      <c r="O309" s="1">
        <f ca="1">IFERROR(__xludf.DUMMYFUNCTION("""COMPUTED_VALUE"""),290)</f>
        <v>290</v>
      </c>
      <c r="P309" s="1">
        <f ca="1">IFERROR(__xludf.DUMMYFUNCTION("""COMPUTED_VALUE"""),96.6)</f>
        <v>96.6</v>
      </c>
      <c r="Q309" s="1">
        <f ca="1">IFERROR(__xludf.DUMMYFUNCTION("""COMPUTED_VALUE"""),307)</f>
        <v>307</v>
      </c>
      <c r="R309" s="1">
        <f ca="1">IFERROR(__xludf.DUMMYFUNCTION("""COMPUTED_VALUE"""),105.1)</f>
        <v>105.1</v>
      </c>
      <c r="S309" s="1">
        <f ca="1">IFERROR(__xludf.DUMMYFUNCTION("""COMPUTED_VALUE"""),226)</f>
        <v>226</v>
      </c>
      <c r="T309" s="1">
        <f ca="1">IFERROR(__xludf.DUMMYFUNCTION("""COMPUTED_VALUE"""),-5.94)</f>
        <v>-5.94</v>
      </c>
      <c r="U309" s="1">
        <f ca="1">IFERROR(__xludf.DUMMYFUNCTION("""COMPUTED_VALUE"""),279)</f>
        <v>279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IFERROR(__xludf.DUMMYFUNCTION("""COMPUTED_VALUE"""),"Long Beach St.")</f>
        <v>Long Beach St.</v>
      </c>
      <c r="C310" s="1" t="str">
        <f ca="1">IFERROR(__xludf.DUMMYFUNCTION("""COMPUTED_VALUE"""),"BW")</f>
        <v>BW</v>
      </c>
      <c r="D310" s="2">
        <f ca="1">IFERROR(__xludf.DUMMYFUNCTION("""COMPUTED_VALUE"""),44733)</f>
        <v>44733</v>
      </c>
      <c r="E310" s="1">
        <f ca="1">IFERROR(__xludf.DUMMYFUNCTION("""COMPUTED_VALUE"""),-14.09)</f>
        <v>-14.09</v>
      </c>
      <c r="F310" s="1">
        <f ca="1">IFERROR(__xludf.DUMMYFUNCTION("""COMPUTED_VALUE"""),96.2)</f>
        <v>96.2</v>
      </c>
      <c r="G310" s="1">
        <f ca="1">IFERROR(__xludf.DUMMYFUNCTION("""COMPUTED_VALUE"""),278)</f>
        <v>278</v>
      </c>
      <c r="H310" s="1">
        <f ca="1">IFERROR(__xludf.DUMMYFUNCTION("""COMPUTED_VALUE"""),110.3)</f>
        <v>110.3</v>
      </c>
      <c r="I310" s="1">
        <f ca="1">IFERROR(__xludf.DUMMYFUNCTION("""COMPUTED_VALUE"""),290)</f>
        <v>290</v>
      </c>
      <c r="J310" s="1">
        <f ca="1">IFERROR(__xludf.DUMMYFUNCTION("""COMPUTED_VALUE"""),65.3)</f>
        <v>65.3</v>
      </c>
      <c r="K310" s="1">
        <f ca="1">IFERROR(__xludf.DUMMYFUNCTION("""COMPUTED_VALUE"""),183)</f>
        <v>183</v>
      </c>
      <c r="L310" s="1">
        <f ca="1">IFERROR(__xludf.DUMMYFUNCTION("""COMPUTED_VALUE"""),-0.008)</f>
        <v>-8.0000000000000002E-3</v>
      </c>
      <c r="M310" s="1">
        <f ca="1">IFERROR(__xludf.DUMMYFUNCTION("""COMPUTED_VALUE"""),185)</f>
        <v>185</v>
      </c>
      <c r="N310" s="1">
        <f ca="1">IFERROR(__xludf.DUMMYFUNCTION("""COMPUTED_VALUE"""),-0.71)</f>
        <v>-0.71</v>
      </c>
      <c r="O310" s="1">
        <f ca="1">IFERROR(__xludf.DUMMYFUNCTION("""COMPUTED_VALUE"""),177)</f>
        <v>177</v>
      </c>
      <c r="P310" s="1">
        <f ca="1">IFERROR(__xludf.DUMMYFUNCTION("""COMPUTED_VALUE"""),103.5)</f>
        <v>103.5</v>
      </c>
      <c r="Q310" s="1">
        <f ca="1">IFERROR(__xludf.DUMMYFUNCTION("""COMPUTED_VALUE"""),155)</f>
        <v>155</v>
      </c>
      <c r="R310" s="1">
        <f ca="1">IFERROR(__xludf.DUMMYFUNCTION("""COMPUTED_VALUE"""),104.2)</f>
        <v>104.2</v>
      </c>
      <c r="S310" s="1">
        <f ca="1">IFERROR(__xludf.DUMMYFUNCTION("""COMPUTED_VALUE"""),189)</f>
        <v>189</v>
      </c>
      <c r="T310" s="1">
        <f ca="1">IFERROR(__xludf.DUMMYFUNCTION("""COMPUTED_VALUE"""),-1.35)</f>
        <v>-1.35</v>
      </c>
      <c r="U310" s="1">
        <f ca="1">IFERROR(__xludf.DUMMYFUNCTION("""COMPUTED_VALUE"""),201)</f>
        <v>201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IFERROR(__xludf.DUMMYFUNCTION("""COMPUTED_VALUE"""),"Hartford")</f>
        <v>Hartford</v>
      </c>
      <c r="C311" s="1" t="str">
        <f ca="1">IFERROR(__xludf.DUMMYFUNCTION("""COMPUTED_VALUE"""),"AE")</f>
        <v>AE</v>
      </c>
      <c r="D311" s="2">
        <f ca="1">IFERROR(__xludf.DUMMYFUNCTION("""COMPUTED_VALUE"""),44912)</f>
        <v>44912</v>
      </c>
      <c r="E311" s="1">
        <f ca="1">IFERROR(__xludf.DUMMYFUNCTION("""COMPUTED_VALUE"""),-14.16)</f>
        <v>-14.16</v>
      </c>
      <c r="F311" s="1">
        <f ca="1">IFERROR(__xludf.DUMMYFUNCTION("""COMPUTED_VALUE"""),95.6)</f>
        <v>95.6</v>
      </c>
      <c r="G311" s="1">
        <f ca="1">IFERROR(__xludf.DUMMYFUNCTION("""COMPUTED_VALUE"""),286)</f>
        <v>286</v>
      </c>
      <c r="H311" s="1">
        <f ca="1">IFERROR(__xludf.DUMMYFUNCTION("""COMPUTED_VALUE"""),109.7)</f>
        <v>109.7</v>
      </c>
      <c r="I311" s="1">
        <f ca="1">IFERROR(__xludf.DUMMYFUNCTION("""COMPUTED_VALUE"""),284)</f>
        <v>284</v>
      </c>
      <c r="J311" s="1">
        <f ca="1">IFERROR(__xludf.DUMMYFUNCTION("""COMPUTED_VALUE"""),64)</f>
        <v>64</v>
      </c>
      <c r="K311" s="1">
        <f ca="1">IFERROR(__xludf.DUMMYFUNCTION("""COMPUTED_VALUE"""),235)</f>
        <v>235</v>
      </c>
      <c r="L311" s="1" t="str">
        <f ca="1">IFERROR(__xludf.DUMMYFUNCTION("""COMPUTED_VALUE"""),"+.041")</f>
        <v>+.041</v>
      </c>
      <c r="M311" s="1">
        <f ca="1">IFERROR(__xludf.DUMMYFUNCTION("""COMPUTED_VALUE"""),67)</f>
        <v>67</v>
      </c>
      <c r="N311" s="1">
        <f ca="1">IFERROR(__xludf.DUMMYFUNCTION("""COMPUTED_VALUE"""),-7.12)</f>
        <v>-7.12</v>
      </c>
      <c r="O311" s="1">
        <f ca="1">IFERROR(__xludf.DUMMYFUNCTION("""COMPUTED_VALUE"""),271)</f>
        <v>271</v>
      </c>
      <c r="P311" s="1">
        <f ca="1">IFERROR(__xludf.DUMMYFUNCTION("""COMPUTED_VALUE"""),98.2)</f>
        <v>98.2</v>
      </c>
      <c r="Q311" s="1">
        <f ca="1">IFERROR(__xludf.DUMMYFUNCTION("""COMPUTED_VALUE"""),283)</f>
        <v>283</v>
      </c>
      <c r="R311" s="1">
        <f ca="1">IFERROR(__xludf.DUMMYFUNCTION("""COMPUTED_VALUE"""),105.3)</f>
        <v>105.3</v>
      </c>
      <c r="S311" s="1">
        <f ca="1">IFERROR(__xludf.DUMMYFUNCTION("""COMPUTED_VALUE"""),231)</f>
        <v>231</v>
      </c>
      <c r="T311" s="1">
        <f ca="1">IFERROR(__xludf.DUMMYFUNCTION("""COMPUTED_VALUE"""),-3.53)</f>
        <v>-3.53</v>
      </c>
      <c r="U311" s="1">
        <f ca="1">IFERROR(__xludf.DUMMYFUNCTION("""COMPUTED_VALUE"""),244)</f>
        <v>244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IFERROR(__xludf.DUMMYFUNCTION("""COMPUTED_VALUE"""),"Stony Brook")</f>
        <v>Stony Brook</v>
      </c>
      <c r="C312" s="1" t="str">
        <f ca="1">IFERROR(__xludf.DUMMYFUNCTION("""COMPUTED_VALUE"""),"AE")</f>
        <v>AE</v>
      </c>
      <c r="D312" s="2">
        <f ca="1">IFERROR(__xludf.DUMMYFUNCTION("""COMPUTED_VALUE"""),44854)</f>
        <v>44854</v>
      </c>
      <c r="E312" s="1">
        <f ca="1">IFERROR(__xludf.DUMMYFUNCTION("""COMPUTED_VALUE"""),-14.69)</f>
        <v>-14.69</v>
      </c>
      <c r="F312" s="1">
        <f ca="1">IFERROR(__xludf.DUMMYFUNCTION("""COMPUTED_VALUE"""),95.4)</f>
        <v>95.4</v>
      </c>
      <c r="G312" s="1">
        <f ca="1">IFERROR(__xludf.DUMMYFUNCTION("""COMPUTED_VALUE"""),287)</f>
        <v>287</v>
      </c>
      <c r="H312" s="1">
        <f ca="1">IFERROR(__xludf.DUMMYFUNCTION("""COMPUTED_VALUE"""),110.1)</f>
        <v>110.1</v>
      </c>
      <c r="I312" s="1">
        <f ca="1">IFERROR(__xludf.DUMMYFUNCTION("""COMPUTED_VALUE"""),289)</f>
        <v>289</v>
      </c>
      <c r="J312" s="1">
        <f ca="1">IFERROR(__xludf.DUMMYFUNCTION("""COMPUTED_VALUE"""),64)</f>
        <v>64</v>
      </c>
      <c r="K312" s="1">
        <f ca="1">IFERROR(__xludf.DUMMYFUNCTION("""COMPUTED_VALUE"""),236)</f>
        <v>236</v>
      </c>
      <c r="L312" s="1" t="str">
        <f ca="1">IFERROR(__xludf.DUMMYFUNCTION("""COMPUTED_VALUE"""),"+.016")</f>
        <v>+.016</v>
      </c>
      <c r="M312" s="1">
        <f ca="1">IFERROR(__xludf.DUMMYFUNCTION("""COMPUTED_VALUE"""),129)</f>
        <v>129</v>
      </c>
      <c r="N312" s="1">
        <f ca="1">IFERROR(__xludf.DUMMYFUNCTION("""COMPUTED_VALUE"""),-8.12)</f>
        <v>-8.1199999999999992</v>
      </c>
      <c r="O312" s="1">
        <f ca="1">IFERROR(__xludf.DUMMYFUNCTION("""COMPUTED_VALUE"""),285)</f>
        <v>285</v>
      </c>
      <c r="P312" s="1">
        <f ca="1">IFERROR(__xludf.DUMMYFUNCTION("""COMPUTED_VALUE"""),97)</f>
        <v>97</v>
      </c>
      <c r="Q312" s="1">
        <f ca="1">IFERROR(__xludf.DUMMYFUNCTION("""COMPUTED_VALUE"""),303)</f>
        <v>303</v>
      </c>
      <c r="R312" s="1">
        <f ca="1">IFERROR(__xludf.DUMMYFUNCTION("""COMPUTED_VALUE"""),105.1)</f>
        <v>105.1</v>
      </c>
      <c r="S312" s="1">
        <f ca="1">IFERROR(__xludf.DUMMYFUNCTION("""COMPUTED_VALUE"""),224)</f>
        <v>224</v>
      </c>
      <c r="T312" s="1">
        <f ca="1">IFERROR(__xludf.DUMMYFUNCTION("""COMPUTED_VALUE"""),-7.24)</f>
        <v>-7.24</v>
      </c>
      <c r="U312" s="1">
        <f ca="1">IFERROR(__xludf.DUMMYFUNCTION("""COMPUTED_VALUE"""),297)</f>
        <v>297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IFERROR(__xludf.DUMMYFUNCTION("""COMPUTED_VALUE"""),"Morgan St.")</f>
        <v>Morgan St.</v>
      </c>
      <c r="C313" s="1" t="str">
        <f ca="1">IFERROR(__xludf.DUMMYFUNCTION("""COMPUTED_VALUE"""),"MEAC")</f>
        <v>MEAC</v>
      </c>
      <c r="D313" s="2">
        <f ca="1">IFERROR(__xludf.DUMMYFUNCTION("""COMPUTED_VALUE"""),44881)</f>
        <v>44881</v>
      </c>
      <c r="E313" s="1">
        <f ca="1">IFERROR(__xludf.DUMMYFUNCTION("""COMPUTED_VALUE"""),-14.78)</f>
        <v>-14.78</v>
      </c>
      <c r="F313" s="1">
        <f ca="1">IFERROR(__xludf.DUMMYFUNCTION("""COMPUTED_VALUE"""),96.4)</f>
        <v>96.4</v>
      </c>
      <c r="G313" s="1">
        <f ca="1">IFERROR(__xludf.DUMMYFUNCTION("""COMPUTED_VALUE"""),277)</f>
        <v>277</v>
      </c>
      <c r="H313" s="1">
        <f ca="1">IFERROR(__xludf.DUMMYFUNCTION("""COMPUTED_VALUE"""),111.2)</f>
        <v>111.2</v>
      </c>
      <c r="I313" s="1">
        <f ca="1">IFERROR(__xludf.DUMMYFUNCTION("""COMPUTED_VALUE"""),301)</f>
        <v>301</v>
      </c>
      <c r="J313" s="1">
        <f ca="1">IFERROR(__xludf.DUMMYFUNCTION("""COMPUTED_VALUE"""),68.2)</f>
        <v>68.2</v>
      </c>
      <c r="K313" s="1">
        <f ca="1">IFERROR(__xludf.DUMMYFUNCTION("""COMPUTED_VALUE"""),71)</f>
        <v>71</v>
      </c>
      <c r="L313" s="1" t="str">
        <f ca="1">IFERROR(__xludf.DUMMYFUNCTION("""COMPUTED_VALUE"""),"+.008")</f>
        <v>+.008</v>
      </c>
      <c r="M313" s="1">
        <f ca="1">IFERROR(__xludf.DUMMYFUNCTION("""COMPUTED_VALUE"""),149)</f>
        <v>149</v>
      </c>
      <c r="N313" s="1">
        <f ca="1">IFERROR(__xludf.DUMMYFUNCTION("""COMPUTED_VALUE"""),-11.24)</f>
        <v>-11.24</v>
      </c>
      <c r="O313" s="1">
        <f ca="1">IFERROR(__xludf.DUMMYFUNCTION("""COMPUTED_VALUE"""),313)</f>
        <v>313</v>
      </c>
      <c r="P313" s="1">
        <f ca="1">IFERROR(__xludf.DUMMYFUNCTION("""COMPUTED_VALUE"""),95.2)</f>
        <v>95.2</v>
      </c>
      <c r="Q313" s="1">
        <f ca="1">IFERROR(__xludf.DUMMYFUNCTION("""COMPUTED_VALUE"""),317)</f>
        <v>317</v>
      </c>
      <c r="R313" s="1">
        <f ca="1">IFERROR(__xludf.DUMMYFUNCTION("""COMPUTED_VALUE"""),106.4)</f>
        <v>106.4</v>
      </c>
      <c r="S313" s="1">
        <f ca="1">IFERROR(__xludf.DUMMYFUNCTION("""COMPUTED_VALUE"""),285)</f>
        <v>285</v>
      </c>
      <c r="T313" s="1" t="str">
        <f ca="1">IFERROR(__xludf.DUMMYFUNCTION("""COMPUTED_VALUE"""),"+2.65")</f>
        <v>+2.65</v>
      </c>
      <c r="U313" s="1">
        <f ca="1">IFERROR(__xludf.DUMMYFUNCTION("""COMPUTED_VALUE"""),85)</f>
        <v>85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IFERROR(__xludf.DUMMYFUNCTION("""COMPUTED_VALUE"""),"Texas Southern")</f>
        <v>Texas Southern</v>
      </c>
      <c r="C314" s="1" t="str">
        <f ca="1">IFERROR(__xludf.DUMMYFUNCTION("""COMPUTED_VALUE"""),"SWAC")</f>
        <v>SWAC</v>
      </c>
      <c r="D314" s="1" t="str">
        <f ca="1">IFERROR(__xludf.DUMMYFUNCTION("""COMPUTED_VALUE"""),"14-15")</f>
        <v>14-15</v>
      </c>
      <c r="E314" s="1">
        <f ca="1">IFERROR(__xludf.DUMMYFUNCTION("""COMPUTED_VALUE"""),-15.39)</f>
        <v>-15.39</v>
      </c>
      <c r="F314" s="1">
        <f ca="1">IFERROR(__xludf.DUMMYFUNCTION("""COMPUTED_VALUE"""),87.9)</f>
        <v>87.9</v>
      </c>
      <c r="G314" s="1">
        <f ca="1">IFERROR(__xludf.DUMMYFUNCTION("""COMPUTED_VALUE"""),315)</f>
        <v>315</v>
      </c>
      <c r="H314" s="1">
        <f ca="1">IFERROR(__xludf.DUMMYFUNCTION("""COMPUTED_VALUE"""),103.3)</f>
        <v>103.3</v>
      </c>
      <c r="I314" s="1">
        <f ca="1">IFERROR(__xludf.DUMMYFUNCTION("""COMPUTED_VALUE"""),165)</f>
        <v>165</v>
      </c>
      <c r="J314" s="1">
        <f ca="1">IFERROR(__xludf.DUMMYFUNCTION("""COMPUTED_VALUE"""),69.2)</f>
        <v>69.2</v>
      </c>
      <c r="K314" s="1">
        <f ca="1">IFERROR(__xludf.DUMMYFUNCTION("""COMPUTED_VALUE"""),46)</f>
        <v>46</v>
      </c>
      <c r="L314" s="1" t="str">
        <f ca="1">IFERROR(__xludf.DUMMYFUNCTION("""COMPUTED_VALUE"""),"+.004")</f>
        <v>+.004</v>
      </c>
      <c r="M314" s="1">
        <f ca="1">IFERROR(__xludf.DUMMYFUNCTION("""COMPUTED_VALUE"""),157)</f>
        <v>157</v>
      </c>
      <c r="N314" s="1">
        <f ca="1">IFERROR(__xludf.DUMMYFUNCTION("""COMPUTED_VALUE"""),-13.94)</f>
        <v>-13.94</v>
      </c>
      <c r="O314" s="1">
        <f ca="1">IFERROR(__xludf.DUMMYFUNCTION("""COMPUTED_VALUE"""),325)</f>
        <v>325</v>
      </c>
      <c r="P314" s="1">
        <f ca="1">IFERROR(__xludf.DUMMYFUNCTION("""COMPUTED_VALUE"""),94.3)</f>
        <v>94.3</v>
      </c>
      <c r="Q314" s="1">
        <f ca="1">IFERROR(__xludf.DUMMYFUNCTION("""COMPUTED_VALUE"""),322)</f>
        <v>322</v>
      </c>
      <c r="R314" s="1">
        <f ca="1">IFERROR(__xludf.DUMMYFUNCTION("""COMPUTED_VALUE"""),108.2)</f>
        <v>108.2</v>
      </c>
      <c r="S314" s="1">
        <f ca="1">IFERROR(__xludf.DUMMYFUNCTION("""COMPUTED_VALUE"""),324)</f>
        <v>324</v>
      </c>
      <c r="T314" s="1">
        <f ca="1">IFERROR(__xludf.DUMMYFUNCTION("""COMPUTED_VALUE"""),-5.29)</f>
        <v>-5.29</v>
      </c>
      <c r="U314" s="1">
        <f ca="1">IFERROR(__xludf.DUMMYFUNCTION("""COMPUTED_VALUE"""),271)</f>
        <v>271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IFERROR(__xludf.DUMMYFUNCTION("""COMPUTED_VALUE"""),"Grambling St.")</f>
        <v>Grambling St.</v>
      </c>
      <c r="C315" s="1" t="str">
        <f ca="1">IFERROR(__xludf.DUMMYFUNCTION("""COMPUTED_VALUE"""),"SWAC")</f>
        <v>SWAC</v>
      </c>
      <c r="D315" s="2">
        <f ca="1">IFERROR(__xludf.DUMMYFUNCTION("""COMPUTED_VALUE"""),44883)</f>
        <v>44883</v>
      </c>
      <c r="E315" s="1">
        <f ca="1">IFERROR(__xludf.DUMMYFUNCTION("""COMPUTED_VALUE"""),-15.43)</f>
        <v>-15.43</v>
      </c>
      <c r="F315" s="1">
        <f ca="1">IFERROR(__xludf.DUMMYFUNCTION("""COMPUTED_VALUE"""),93.4)</f>
        <v>93.4</v>
      </c>
      <c r="G315" s="1">
        <f ca="1">IFERROR(__xludf.DUMMYFUNCTION("""COMPUTED_VALUE"""),298)</f>
        <v>298</v>
      </c>
      <c r="H315" s="1">
        <f ca="1">IFERROR(__xludf.DUMMYFUNCTION("""COMPUTED_VALUE"""),108.9)</f>
        <v>108.9</v>
      </c>
      <c r="I315" s="1">
        <f ca="1">IFERROR(__xludf.DUMMYFUNCTION("""COMPUTED_VALUE"""),272)</f>
        <v>272</v>
      </c>
      <c r="J315" s="1">
        <f ca="1">IFERROR(__xludf.DUMMYFUNCTION("""COMPUTED_VALUE"""),69.1)</f>
        <v>69.099999999999994</v>
      </c>
      <c r="K315" s="1">
        <f ca="1">IFERROR(__xludf.DUMMYFUNCTION("""COMPUTED_VALUE"""),48)</f>
        <v>48</v>
      </c>
      <c r="L315" s="1">
        <f ca="1">IFERROR(__xludf.DUMMYFUNCTION("""COMPUTED_VALUE"""),-0.041)</f>
        <v>-4.1000000000000002E-2</v>
      </c>
      <c r="M315" s="1">
        <f ca="1">IFERROR(__xludf.DUMMYFUNCTION("""COMPUTED_VALUE"""),257)</f>
        <v>257</v>
      </c>
      <c r="N315" s="1">
        <f ca="1">IFERROR(__xludf.DUMMYFUNCTION("""COMPUTED_VALUE"""),-10.06)</f>
        <v>-10.06</v>
      </c>
      <c r="O315" s="1">
        <f ca="1">IFERROR(__xludf.DUMMYFUNCTION("""COMPUTED_VALUE"""),308)</f>
        <v>308</v>
      </c>
      <c r="P315" s="1">
        <f ca="1">IFERROR(__xludf.DUMMYFUNCTION("""COMPUTED_VALUE"""),95.5)</f>
        <v>95.5</v>
      </c>
      <c r="Q315" s="1">
        <f ca="1">IFERROR(__xludf.DUMMYFUNCTION("""COMPUTED_VALUE"""),314)</f>
        <v>314</v>
      </c>
      <c r="R315" s="1">
        <f ca="1">IFERROR(__xludf.DUMMYFUNCTION("""COMPUTED_VALUE"""),105.6)</f>
        <v>105.6</v>
      </c>
      <c r="S315" s="1">
        <f ca="1">IFERROR(__xludf.DUMMYFUNCTION("""COMPUTED_VALUE"""),248)</f>
        <v>248</v>
      </c>
      <c r="T315" s="1" t="str">
        <f ca="1">IFERROR(__xludf.DUMMYFUNCTION("""COMPUTED_VALUE"""),"+8.52")</f>
        <v>+8.52</v>
      </c>
      <c r="U315" s="1">
        <f ca="1">IFERROR(__xludf.DUMMYFUNCTION("""COMPUTED_VALUE"""),12)</f>
        <v>12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IFERROR(__xludf.DUMMYFUNCTION("""COMPUTED_VALUE"""),"Quinnipiac")</f>
        <v>Quinnipiac</v>
      </c>
      <c r="C316" s="1" t="str">
        <f ca="1">IFERROR(__xludf.DUMMYFUNCTION("""COMPUTED_VALUE"""),"NEC")</f>
        <v>NEC</v>
      </c>
      <c r="D316" s="2">
        <f ca="1">IFERROR(__xludf.DUMMYFUNCTION("""COMPUTED_VALUE"""),44824)</f>
        <v>44824</v>
      </c>
      <c r="E316" s="1">
        <f ca="1">IFERROR(__xludf.DUMMYFUNCTION("""COMPUTED_VALUE"""),-15.58)</f>
        <v>-15.58</v>
      </c>
      <c r="F316" s="1">
        <f ca="1">IFERROR(__xludf.DUMMYFUNCTION("""COMPUTED_VALUE"""),98.2)</f>
        <v>98.2</v>
      </c>
      <c r="G316" s="1">
        <f ca="1">IFERROR(__xludf.DUMMYFUNCTION("""COMPUTED_VALUE"""),250)</f>
        <v>250</v>
      </c>
      <c r="H316" s="1">
        <f ca="1">IFERROR(__xludf.DUMMYFUNCTION("""COMPUTED_VALUE"""),113.8)</f>
        <v>113.8</v>
      </c>
      <c r="I316" s="1">
        <f ca="1">IFERROR(__xludf.DUMMYFUNCTION("""COMPUTED_VALUE"""),320)</f>
        <v>320</v>
      </c>
      <c r="J316" s="1">
        <f ca="1">IFERROR(__xludf.DUMMYFUNCTION("""COMPUTED_VALUE"""),69.8)</f>
        <v>69.8</v>
      </c>
      <c r="K316" s="1">
        <f ca="1">IFERROR(__xludf.DUMMYFUNCTION("""COMPUTED_VALUE"""),32)</f>
        <v>32</v>
      </c>
      <c r="L316" s="1">
        <f ca="1">IFERROR(__xludf.DUMMYFUNCTION("""COMPUTED_VALUE"""),-0.067)</f>
        <v>-6.7000000000000004E-2</v>
      </c>
      <c r="M316" s="1">
        <f ca="1">IFERROR(__xludf.DUMMYFUNCTION("""COMPUTED_VALUE"""),290)</f>
        <v>290</v>
      </c>
      <c r="N316" s="1">
        <f ca="1">IFERROR(__xludf.DUMMYFUNCTION("""COMPUTED_VALUE"""),-9.49)</f>
        <v>-9.49</v>
      </c>
      <c r="O316" s="1">
        <f ca="1">IFERROR(__xludf.DUMMYFUNCTION("""COMPUTED_VALUE"""),303)</f>
        <v>303</v>
      </c>
      <c r="P316" s="1">
        <f ca="1">IFERROR(__xludf.DUMMYFUNCTION("""COMPUTED_VALUE"""),98.3)</f>
        <v>98.3</v>
      </c>
      <c r="Q316" s="1">
        <f ca="1">IFERROR(__xludf.DUMMYFUNCTION("""COMPUTED_VALUE"""),282)</f>
        <v>282</v>
      </c>
      <c r="R316" s="1">
        <f ca="1">IFERROR(__xludf.DUMMYFUNCTION("""COMPUTED_VALUE"""),107.8)</f>
        <v>107.8</v>
      </c>
      <c r="S316" s="1">
        <f ca="1">IFERROR(__xludf.DUMMYFUNCTION("""COMPUTED_VALUE"""),318)</f>
        <v>318</v>
      </c>
      <c r="T316" s="1">
        <f ca="1">IFERROR(__xludf.DUMMYFUNCTION("""COMPUTED_VALUE"""),-4.97)</f>
        <v>-4.97</v>
      </c>
      <c r="U316" s="1">
        <f ca="1">IFERROR(__xludf.DUMMYFUNCTION("""COMPUTED_VALUE"""),265)</f>
        <v>265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IFERROR(__xludf.DUMMYFUNCTION("""COMPUTED_VALUE"""),"Norfolk St.")</f>
        <v>Norfolk St.</v>
      </c>
      <c r="C317" s="1" t="str">
        <f ca="1">IFERROR(__xludf.DUMMYFUNCTION("""COMPUTED_VALUE"""),"MEAC")</f>
        <v>MEAC</v>
      </c>
      <c r="D317" s="2">
        <f ca="1">IFERROR(__xludf.DUMMYFUNCTION("""COMPUTED_VALUE"""),44912)</f>
        <v>44912</v>
      </c>
      <c r="E317" s="1">
        <f ca="1">IFERROR(__xludf.DUMMYFUNCTION("""COMPUTED_VALUE"""),-16.07)</f>
        <v>-16.07</v>
      </c>
      <c r="F317" s="1">
        <f ca="1">IFERROR(__xludf.DUMMYFUNCTION("""COMPUTED_VALUE"""),92.3)</f>
        <v>92.3</v>
      </c>
      <c r="G317" s="1">
        <f ca="1">IFERROR(__xludf.DUMMYFUNCTION("""COMPUTED_VALUE"""),303)</f>
        <v>303</v>
      </c>
      <c r="H317" s="1">
        <f ca="1">IFERROR(__xludf.DUMMYFUNCTION("""COMPUTED_VALUE"""),108.4)</f>
        <v>108.4</v>
      </c>
      <c r="I317" s="1">
        <f ca="1">IFERROR(__xludf.DUMMYFUNCTION("""COMPUTED_VALUE"""),261)</f>
        <v>261</v>
      </c>
      <c r="J317" s="1">
        <f ca="1">IFERROR(__xludf.DUMMYFUNCTION("""COMPUTED_VALUE"""),63.2)</f>
        <v>63.2</v>
      </c>
      <c r="K317" s="1">
        <f ca="1">IFERROR(__xludf.DUMMYFUNCTION("""COMPUTED_VALUE"""),266)</f>
        <v>266</v>
      </c>
      <c r="L317" s="1" t="str">
        <f ca="1">IFERROR(__xludf.DUMMYFUNCTION("""COMPUTED_VALUE"""),"+.022")</f>
        <v>+.022</v>
      </c>
      <c r="M317" s="1">
        <f ca="1">IFERROR(__xludf.DUMMYFUNCTION("""COMPUTED_VALUE"""),109)</f>
        <v>109</v>
      </c>
      <c r="N317" s="1">
        <f ca="1">IFERROR(__xludf.DUMMYFUNCTION("""COMPUTED_VALUE"""),-13.62)</f>
        <v>-13.62</v>
      </c>
      <c r="O317" s="1">
        <f ca="1">IFERROR(__xludf.DUMMYFUNCTION("""COMPUTED_VALUE"""),324)</f>
        <v>324</v>
      </c>
      <c r="P317" s="1">
        <f ca="1">IFERROR(__xludf.DUMMYFUNCTION("""COMPUTED_VALUE"""),94.1)</f>
        <v>94.1</v>
      </c>
      <c r="Q317" s="1">
        <f ca="1">IFERROR(__xludf.DUMMYFUNCTION("""COMPUTED_VALUE"""),324)</f>
        <v>324</v>
      </c>
      <c r="R317" s="1">
        <f ca="1">IFERROR(__xludf.DUMMYFUNCTION("""COMPUTED_VALUE"""),107.7)</f>
        <v>107.7</v>
      </c>
      <c r="S317" s="1">
        <f ca="1">IFERROR(__xludf.DUMMYFUNCTION("""COMPUTED_VALUE"""),317)</f>
        <v>317</v>
      </c>
      <c r="T317" s="1">
        <f ca="1">IFERROR(__xludf.DUMMYFUNCTION("""COMPUTED_VALUE"""),-6.34)</f>
        <v>-6.34</v>
      </c>
      <c r="U317" s="1">
        <f ca="1">IFERROR(__xludf.DUMMYFUNCTION("""COMPUTED_VALUE"""),282)</f>
        <v>282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IFERROR(__xludf.DUMMYFUNCTION("""COMPUTED_VALUE"""),"Alabama A&amp;M")</f>
        <v>Alabama A&amp;M</v>
      </c>
      <c r="C318" s="1" t="str">
        <f ca="1">IFERROR(__xludf.DUMMYFUNCTION("""COMPUTED_VALUE"""),"SWAC")</f>
        <v>SWAC</v>
      </c>
      <c r="D318" s="1" t="str">
        <f ca="1">IFERROR(__xludf.DUMMYFUNCTION("""COMPUTED_VALUE"""),"13-17")</f>
        <v>13-17</v>
      </c>
      <c r="E318" s="1">
        <f ca="1">IFERROR(__xludf.DUMMYFUNCTION("""COMPUTED_VALUE"""),-16.33)</f>
        <v>-16.329999999999998</v>
      </c>
      <c r="F318" s="1">
        <f ca="1">IFERROR(__xludf.DUMMYFUNCTION("""COMPUTED_VALUE"""),95.3)</f>
        <v>95.3</v>
      </c>
      <c r="G318" s="1">
        <f ca="1">IFERROR(__xludf.DUMMYFUNCTION("""COMPUTED_VALUE"""),288)</f>
        <v>288</v>
      </c>
      <c r="H318" s="1">
        <f ca="1">IFERROR(__xludf.DUMMYFUNCTION("""COMPUTED_VALUE"""),111.6)</f>
        <v>111.6</v>
      </c>
      <c r="I318" s="1">
        <f ca="1">IFERROR(__xludf.DUMMYFUNCTION("""COMPUTED_VALUE"""),305)</f>
        <v>305</v>
      </c>
      <c r="J318" s="1">
        <f ca="1">IFERROR(__xludf.DUMMYFUNCTION("""COMPUTED_VALUE"""),69.6)</f>
        <v>69.599999999999994</v>
      </c>
      <c r="K318" s="1">
        <f ca="1">IFERROR(__xludf.DUMMYFUNCTION("""COMPUTED_VALUE"""),36)</f>
        <v>36</v>
      </c>
      <c r="L318" s="1" t="str">
        <f ca="1">IFERROR(__xludf.DUMMYFUNCTION("""COMPUTED_VALUE"""),"+.038")</f>
        <v>+.038</v>
      </c>
      <c r="M318" s="1">
        <f ca="1">IFERROR(__xludf.DUMMYFUNCTION("""COMPUTED_VALUE"""),73)</f>
        <v>73</v>
      </c>
      <c r="N318" s="1">
        <f ca="1">IFERROR(__xludf.DUMMYFUNCTION("""COMPUTED_VALUE"""),-13.43)</f>
        <v>-13.43</v>
      </c>
      <c r="O318" s="1">
        <f ca="1">IFERROR(__xludf.DUMMYFUNCTION("""COMPUTED_VALUE"""),323)</f>
        <v>323</v>
      </c>
      <c r="P318" s="1">
        <f ca="1">IFERROR(__xludf.DUMMYFUNCTION("""COMPUTED_VALUE"""),94.2)</f>
        <v>94.2</v>
      </c>
      <c r="Q318" s="1">
        <f ca="1">IFERROR(__xludf.DUMMYFUNCTION("""COMPUTED_VALUE"""),323)</f>
        <v>323</v>
      </c>
      <c r="R318" s="1">
        <f ca="1">IFERROR(__xludf.DUMMYFUNCTION("""COMPUTED_VALUE"""),107.6)</f>
        <v>107.6</v>
      </c>
      <c r="S318" s="1">
        <f ca="1">IFERROR(__xludf.DUMMYFUNCTION("""COMPUTED_VALUE"""),316)</f>
        <v>316</v>
      </c>
      <c r="T318" s="1">
        <f ca="1">IFERROR(__xludf.DUMMYFUNCTION("""COMPUTED_VALUE"""),-1.1)</f>
        <v>-1.1000000000000001</v>
      </c>
      <c r="U318" s="1">
        <f ca="1">IFERROR(__xludf.DUMMYFUNCTION("""COMPUTED_VALUE"""),190)</f>
        <v>190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IFERROR(__xludf.DUMMYFUNCTION("""COMPUTED_VALUE"""),"LIU Brooklyn")</f>
        <v>LIU Brooklyn</v>
      </c>
      <c r="C319" s="1" t="str">
        <f ca="1">IFERROR(__xludf.DUMMYFUNCTION("""COMPUTED_VALUE"""),"NEC")</f>
        <v>NEC</v>
      </c>
      <c r="D319" s="2">
        <f ca="1">IFERROR(__xludf.DUMMYFUNCTION("""COMPUTED_VALUE"""),44792)</f>
        <v>44792</v>
      </c>
      <c r="E319" s="1">
        <f ca="1">IFERROR(__xludf.DUMMYFUNCTION("""COMPUTED_VALUE"""),-16.6)</f>
        <v>-16.600000000000001</v>
      </c>
      <c r="F319" s="1">
        <f ca="1">IFERROR(__xludf.DUMMYFUNCTION("""COMPUTED_VALUE"""),92.8)</f>
        <v>92.8</v>
      </c>
      <c r="G319" s="1">
        <f ca="1">IFERROR(__xludf.DUMMYFUNCTION("""COMPUTED_VALUE"""),302)</f>
        <v>302</v>
      </c>
      <c r="H319" s="1">
        <f ca="1">IFERROR(__xludf.DUMMYFUNCTION("""COMPUTED_VALUE"""),109.4)</f>
        <v>109.4</v>
      </c>
      <c r="I319" s="1">
        <f ca="1">IFERROR(__xludf.DUMMYFUNCTION("""COMPUTED_VALUE"""),281)</f>
        <v>281</v>
      </c>
      <c r="J319" s="1">
        <f ca="1">IFERROR(__xludf.DUMMYFUNCTION("""COMPUTED_VALUE"""),71)</f>
        <v>71</v>
      </c>
      <c r="K319" s="1">
        <f ca="1">IFERROR(__xludf.DUMMYFUNCTION("""COMPUTED_VALUE"""),14)</f>
        <v>14</v>
      </c>
      <c r="L319" s="1" t="str">
        <f ca="1">IFERROR(__xludf.DUMMYFUNCTION("""COMPUTED_VALUE"""),"+.006")</f>
        <v>+.006</v>
      </c>
      <c r="M319" s="1">
        <f ca="1">IFERROR(__xludf.DUMMYFUNCTION("""COMPUTED_VALUE"""),153)</f>
        <v>153</v>
      </c>
      <c r="N319" s="1">
        <f ca="1">IFERROR(__xludf.DUMMYFUNCTION("""COMPUTED_VALUE"""),-9.11)</f>
        <v>-9.11</v>
      </c>
      <c r="O319" s="1">
        <f ca="1">IFERROR(__xludf.DUMMYFUNCTION("""COMPUTED_VALUE"""),297)</f>
        <v>297</v>
      </c>
      <c r="P319" s="1">
        <f ca="1">IFERROR(__xludf.DUMMYFUNCTION("""COMPUTED_VALUE"""),98.4)</f>
        <v>98.4</v>
      </c>
      <c r="Q319" s="1">
        <f ca="1">IFERROR(__xludf.DUMMYFUNCTION("""COMPUTED_VALUE"""),279)</f>
        <v>279</v>
      </c>
      <c r="R319" s="1">
        <f ca="1">IFERROR(__xludf.DUMMYFUNCTION("""COMPUTED_VALUE"""),107.5)</f>
        <v>107.5</v>
      </c>
      <c r="S319" s="1">
        <f ca="1">IFERROR(__xludf.DUMMYFUNCTION("""COMPUTED_VALUE"""),312)</f>
        <v>312</v>
      </c>
      <c r="T319" s="1">
        <f ca="1">IFERROR(__xludf.DUMMYFUNCTION("""COMPUTED_VALUE"""),-5.4)</f>
        <v>-5.4</v>
      </c>
      <c r="U319" s="1">
        <f ca="1">IFERROR(__xludf.DUMMYFUNCTION("""COMPUTED_VALUE"""),273)</f>
        <v>273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IFERROR(__xludf.DUMMYFUNCTION("""COMPUTED_VALUE"""),"Western Illinois")</f>
        <v>Western Illinois</v>
      </c>
      <c r="C320" s="1" t="str">
        <f ca="1">IFERROR(__xludf.DUMMYFUNCTION("""COMPUTED_VALUE"""),"MCon")</f>
        <v>MCon</v>
      </c>
      <c r="D320" s="2">
        <f ca="1">IFERROR(__xludf.DUMMYFUNCTION("""COMPUTED_VALUE"""),44645)</f>
        <v>44645</v>
      </c>
      <c r="E320" s="1">
        <f ca="1">IFERROR(__xludf.DUMMYFUNCTION("""COMPUTED_VALUE"""),-17.12)</f>
        <v>-17.12</v>
      </c>
      <c r="F320" s="1">
        <f ca="1">IFERROR(__xludf.DUMMYFUNCTION("""COMPUTED_VALUE"""),95.8)</f>
        <v>95.8</v>
      </c>
      <c r="G320" s="1">
        <f ca="1">IFERROR(__xludf.DUMMYFUNCTION("""COMPUTED_VALUE"""),280)</f>
        <v>280</v>
      </c>
      <c r="H320" s="1">
        <f ca="1">IFERROR(__xludf.DUMMYFUNCTION("""COMPUTED_VALUE"""),112.9)</f>
        <v>112.9</v>
      </c>
      <c r="I320" s="1">
        <f ca="1">IFERROR(__xludf.DUMMYFUNCTION("""COMPUTED_VALUE"""),316)</f>
        <v>316</v>
      </c>
      <c r="J320" s="1">
        <f ca="1">IFERROR(__xludf.DUMMYFUNCTION("""COMPUTED_VALUE"""),67.3)</f>
        <v>67.3</v>
      </c>
      <c r="K320" s="1">
        <f ca="1">IFERROR(__xludf.DUMMYFUNCTION("""COMPUTED_VALUE"""),109)</f>
        <v>109</v>
      </c>
      <c r="L320" s="1">
        <f ca="1">IFERROR(__xludf.DUMMYFUNCTION("""COMPUTED_VALUE"""),-0.057)</f>
        <v>-5.7000000000000002E-2</v>
      </c>
      <c r="M320" s="1">
        <f ca="1">IFERROR(__xludf.DUMMYFUNCTION("""COMPUTED_VALUE"""),276)</f>
        <v>276</v>
      </c>
      <c r="N320" s="1">
        <f ca="1">IFERROR(__xludf.DUMMYFUNCTION("""COMPUTED_VALUE"""),-0.87)</f>
        <v>-0.87</v>
      </c>
      <c r="O320" s="1">
        <f ca="1">IFERROR(__xludf.DUMMYFUNCTION("""COMPUTED_VALUE"""),181)</f>
        <v>181</v>
      </c>
      <c r="P320" s="1">
        <f ca="1">IFERROR(__xludf.DUMMYFUNCTION("""COMPUTED_VALUE"""),104)</f>
        <v>104</v>
      </c>
      <c r="Q320" s="1">
        <f ca="1">IFERROR(__xludf.DUMMYFUNCTION("""COMPUTED_VALUE"""),144)</f>
        <v>144</v>
      </c>
      <c r="R320" s="1">
        <f ca="1">IFERROR(__xludf.DUMMYFUNCTION("""COMPUTED_VALUE"""),104.8)</f>
        <v>104.8</v>
      </c>
      <c r="S320" s="1">
        <f ca="1">IFERROR(__xludf.DUMMYFUNCTION("""COMPUTED_VALUE"""),209)</f>
        <v>209</v>
      </c>
      <c r="T320" s="1" t="str">
        <f ca="1">IFERROR(__xludf.DUMMYFUNCTION("""COMPUTED_VALUE"""),"+1.46")</f>
        <v>+1.46</v>
      </c>
      <c r="U320" s="1">
        <f ca="1">IFERROR(__xludf.DUMMYFUNCTION("""COMPUTED_VALUE"""),125)</f>
        <v>125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IFERROR(__xludf.DUMMYFUNCTION("""COMPUTED_VALUE"""),"UNC Asheville")</f>
        <v>UNC Asheville</v>
      </c>
      <c r="C321" s="1" t="str">
        <f ca="1">IFERROR(__xludf.DUMMYFUNCTION("""COMPUTED_VALUE"""),"BSth")</f>
        <v>BSth</v>
      </c>
      <c r="D321" s="2">
        <f ca="1">IFERROR(__xludf.DUMMYFUNCTION("""COMPUTED_VALUE"""),44824)</f>
        <v>44824</v>
      </c>
      <c r="E321" s="1">
        <f ca="1">IFERROR(__xludf.DUMMYFUNCTION("""COMPUTED_VALUE"""),-17.15)</f>
        <v>-17.149999999999999</v>
      </c>
      <c r="F321" s="1">
        <f ca="1">IFERROR(__xludf.DUMMYFUNCTION("""COMPUTED_VALUE"""),93.4)</f>
        <v>93.4</v>
      </c>
      <c r="G321" s="1">
        <f ca="1">IFERROR(__xludf.DUMMYFUNCTION("""COMPUTED_VALUE"""),299)</f>
        <v>299</v>
      </c>
      <c r="H321" s="1">
        <f ca="1">IFERROR(__xludf.DUMMYFUNCTION("""COMPUTED_VALUE"""),110.6)</f>
        <v>110.6</v>
      </c>
      <c r="I321" s="1">
        <f ca="1">IFERROR(__xludf.DUMMYFUNCTION("""COMPUTED_VALUE"""),295)</f>
        <v>295</v>
      </c>
      <c r="J321" s="1">
        <f ca="1">IFERROR(__xludf.DUMMYFUNCTION("""COMPUTED_VALUE"""),65.1)</f>
        <v>65.099999999999994</v>
      </c>
      <c r="K321" s="1">
        <f ca="1">IFERROR(__xludf.DUMMYFUNCTION("""COMPUTED_VALUE"""),191)</f>
        <v>191</v>
      </c>
      <c r="L321" s="1" t="str">
        <f ca="1">IFERROR(__xludf.DUMMYFUNCTION("""COMPUTED_VALUE"""),"+.027")</f>
        <v>+.027</v>
      </c>
      <c r="M321" s="1">
        <f ca="1">IFERROR(__xludf.DUMMYFUNCTION("""COMPUTED_VALUE"""),98)</f>
        <v>98</v>
      </c>
      <c r="N321" s="1">
        <f ca="1">IFERROR(__xludf.DUMMYFUNCTION("""COMPUTED_VALUE"""),-3.58)</f>
        <v>-3.58</v>
      </c>
      <c r="O321" s="1">
        <f ca="1">IFERROR(__xludf.DUMMYFUNCTION("""COMPUTED_VALUE"""),229)</f>
        <v>229</v>
      </c>
      <c r="P321" s="1">
        <f ca="1">IFERROR(__xludf.DUMMYFUNCTION("""COMPUTED_VALUE"""),100.4)</f>
        <v>100.4</v>
      </c>
      <c r="Q321" s="1">
        <f ca="1">IFERROR(__xludf.DUMMYFUNCTION("""COMPUTED_VALUE"""),250)</f>
        <v>250</v>
      </c>
      <c r="R321" s="1">
        <f ca="1">IFERROR(__xludf.DUMMYFUNCTION("""COMPUTED_VALUE"""),104)</f>
        <v>104</v>
      </c>
      <c r="S321" s="1">
        <f ca="1">IFERROR(__xludf.DUMMYFUNCTION("""COMPUTED_VALUE"""),179)</f>
        <v>179</v>
      </c>
      <c r="T321" s="1" t="str">
        <f ca="1">IFERROR(__xludf.DUMMYFUNCTION("""COMPUTED_VALUE"""),"+9.62")</f>
        <v>+9.62</v>
      </c>
      <c r="U321" s="1">
        <f ca="1">IFERROR(__xludf.DUMMYFUNCTION("""COMPUTED_VALUE"""),8)</f>
        <v>8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IFERROR(__xludf.DUMMYFUNCTION("""COMPUTED_VALUE"""),"Lipscomb")</f>
        <v>Lipscomb</v>
      </c>
      <c r="C322" s="1" t="str">
        <f ca="1">IFERROR(__xludf.DUMMYFUNCTION("""COMPUTED_VALUE"""),"ASun")</f>
        <v>ASun</v>
      </c>
      <c r="D322" s="2">
        <f ca="1">IFERROR(__xludf.DUMMYFUNCTION("""COMPUTED_VALUE"""),44763)</f>
        <v>44763</v>
      </c>
      <c r="E322" s="1">
        <f ca="1">IFERROR(__xludf.DUMMYFUNCTION("""COMPUTED_VALUE"""),-17.5)</f>
        <v>-17.5</v>
      </c>
      <c r="F322" s="1">
        <f ca="1">IFERROR(__xludf.DUMMYFUNCTION("""COMPUTED_VALUE"""),96.8)</f>
        <v>96.8</v>
      </c>
      <c r="G322" s="1">
        <f ca="1">IFERROR(__xludf.DUMMYFUNCTION("""COMPUTED_VALUE"""),271)</f>
        <v>271</v>
      </c>
      <c r="H322" s="1">
        <f ca="1">IFERROR(__xludf.DUMMYFUNCTION("""COMPUTED_VALUE"""),114.3)</f>
        <v>114.3</v>
      </c>
      <c r="I322" s="1">
        <f ca="1">IFERROR(__xludf.DUMMYFUNCTION("""COMPUTED_VALUE"""),324)</f>
        <v>324</v>
      </c>
      <c r="J322" s="1">
        <f ca="1">IFERROR(__xludf.DUMMYFUNCTION("""COMPUTED_VALUE"""),66.2)</f>
        <v>66.2</v>
      </c>
      <c r="K322" s="1">
        <f ca="1">IFERROR(__xludf.DUMMYFUNCTION("""COMPUTED_VALUE"""),145)</f>
        <v>145</v>
      </c>
      <c r="L322" s="1">
        <f ca="1">IFERROR(__xludf.DUMMYFUNCTION("""COMPUTED_VALUE"""),-0.032)</f>
        <v>-3.2000000000000001E-2</v>
      </c>
      <c r="M322" s="1">
        <f ca="1">IFERROR(__xludf.DUMMYFUNCTION("""COMPUTED_VALUE"""),241)</f>
        <v>241</v>
      </c>
      <c r="N322" s="1">
        <f ca="1">IFERROR(__xludf.DUMMYFUNCTION("""COMPUTED_VALUE"""),-4.27)</f>
        <v>-4.2699999999999996</v>
      </c>
      <c r="O322" s="1">
        <f ca="1">IFERROR(__xludf.DUMMYFUNCTION("""COMPUTED_VALUE"""),239)</f>
        <v>239</v>
      </c>
      <c r="P322" s="1">
        <f ca="1">IFERROR(__xludf.DUMMYFUNCTION("""COMPUTED_VALUE"""),102.1)</f>
        <v>102.1</v>
      </c>
      <c r="Q322" s="1">
        <f ca="1">IFERROR(__xludf.DUMMYFUNCTION("""COMPUTED_VALUE"""),213)</f>
        <v>213</v>
      </c>
      <c r="R322" s="1">
        <f ca="1">IFERROR(__xludf.DUMMYFUNCTION("""COMPUTED_VALUE"""),106.4)</f>
        <v>106.4</v>
      </c>
      <c r="S322" s="1">
        <f ca="1">IFERROR(__xludf.DUMMYFUNCTION("""COMPUTED_VALUE"""),283)</f>
        <v>283</v>
      </c>
      <c r="T322" s="1" t="str">
        <f ca="1">IFERROR(__xludf.DUMMYFUNCTION("""COMPUTED_VALUE"""),"+2.45")</f>
        <v>+2.45</v>
      </c>
      <c r="U322" s="1">
        <f ca="1">IFERROR(__xludf.DUMMYFUNCTION("""COMPUTED_VALUE"""),91)</f>
        <v>91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IFERROR(__xludf.DUMMYFUNCTION("""COMPUTED_VALUE"""),"Harvard")</f>
        <v>Harvard</v>
      </c>
      <c r="C323" s="1" t="str">
        <f ca="1">IFERROR(__xludf.DUMMYFUNCTION("""COMPUTED_VALUE"""),"Ivy")</f>
        <v>Ivy</v>
      </c>
      <c r="D323" s="2">
        <f ca="1">IFERROR(__xludf.DUMMYFUNCTION("""COMPUTED_VALUE"""),44674)</f>
        <v>44674</v>
      </c>
      <c r="E323" s="1">
        <f ca="1">IFERROR(__xludf.DUMMYFUNCTION("""COMPUTED_VALUE"""),-18.14)</f>
        <v>-18.14</v>
      </c>
      <c r="F323" s="1">
        <f ca="1">IFERROR(__xludf.DUMMYFUNCTION("""COMPUTED_VALUE"""),90)</f>
        <v>90</v>
      </c>
      <c r="G323" s="1">
        <f ca="1">IFERROR(__xludf.DUMMYFUNCTION("""COMPUTED_VALUE"""),311)</f>
        <v>311</v>
      </c>
      <c r="H323" s="1">
        <f ca="1">IFERROR(__xludf.DUMMYFUNCTION("""COMPUTED_VALUE"""),108.1)</f>
        <v>108.1</v>
      </c>
      <c r="I323" s="1">
        <f ca="1">IFERROR(__xludf.DUMMYFUNCTION("""COMPUTED_VALUE"""),256)</f>
        <v>256</v>
      </c>
      <c r="J323" s="1">
        <f ca="1">IFERROR(__xludf.DUMMYFUNCTION("""COMPUTED_VALUE"""),70.8)</f>
        <v>70.8</v>
      </c>
      <c r="K323" s="1">
        <f ca="1">IFERROR(__xludf.DUMMYFUNCTION("""COMPUTED_VALUE"""),18)</f>
        <v>18</v>
      </c>
      <c r="L323" s="1">
        <f ca="1">IFERROR(__xludf.DUMMYFUNCTION("""COMPUTED_VALUE"""),-0.046)</f>
        <v>-4.5999999999999999E-2</v>
      </c>
      <c r="M323" s="1">
        <f ca="1">IFERROR(__xludf.DUMMYFUNCTION("""COMPUTED_VALUE"""),261)</f>
        <v>261</v>
      </c>
      <c r="N323" s="1">
        <f ca="1">IFERROR(__xludf.DUMMYFUNCTION("""COMPUTED_VALUE"""),-4.46)</f>
        <v>-4.46</v>
      </c>
      <c r="O323" s="1">
        <f ca="1">IFERROR(__xludf.DUMMYFUNCTION("""COMPUTED_VALUE"""),242)</f>
        <v>242</v>
      </c>
      <c r="P323" s="1">
        <f ca="1">IFERROR(__xludf.DUMMYFUNCTION("""COMPUTED_VALUE"""),100.1)</f>
        <v>100.1</v>
      </c>
      <c r="Q323" s="1">
        <f ca="1">IFERROR(__xludf.DUMMYFUNCTION("""COMPUTED_VALUE"""),255)</f>
        <v>255</v>
      </c>
      <c r="R323" s="1">
        <f ca="1">IFERROR(__xludf.DUMMYFUNCTION("""COMPUTED_VALUE"""),104.6)</f>
        <v>104.6</v>
      </c>
      <c r="S323" s="1">
        <f ca="1">IFERROR(__xludf.DUMMYFUNCTION("""COMPUTED_VALUE"""),202)</f>
        <v>202</v>
      </c>
      <c r="T323" s="1">
        <f ca="1">IFERROR(__xludf.DUMMYFUNCTION("""COMPUTED_VALUE"""),-3.15)</f>
        <v>-3.15</v>
      </c>
      <c r="U323" s="1">
        <f ca="1">IFERROR(__xludf.DUMMYFUNCTION("""COMPUTED_VALUE"""),239)</f>
        <v>239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IFERROR(__xludf.DUMMYFUNCTION("""COMPUTED_VALUE"""),"Charleston Southern")</f>
        <v>Charleston Southern</v>
      </c>
      <c r="C324" s="1" t="str">
        <f ca="1">IFERROR(__xludf.DUMMYFUNCTION("""COMPUTED_VALUE"""),"BSth")</f>
        <v>BSth</v>
      </c>
      <c r="D324" s="2">
        <f ca="1">IFERROR(__xludf.DUMMYFUNCTION("""COMPUTED_VALUE"""),44734)</f>
        <v>44734</v>
      </c>
      <c r="E324" s="1">
        <f ca="1">IFERROR(__xludf.DUMMYFUNCTION("""COMPUTED_VALUE"""),-18.21)</f>
        <v>-18.21</v>
      </c>
      <c r="F324" s="1">
        <f ca="1">IFERROR(__xludf.DUMMYFUNCTION("""COMPUTED_VALUE"""),90.6)</f>
        <v>90.6</v>
      </c>
      <c r="G324" s="1">
        <f ca="1">IFERROR(__xludf.DUMMYFUNCTION("""COMPUTED_VALUE"""),308)</f>
        <v>308</v>
      </c>
      <c r="H324" s="1">
        <f ca="1">IFERROR(__xludf.DUMMYFUNCTION("""COMPUTED_VALUE"""),108.8)</f>
        <v>108.8</v>
      </c>
      <c r="I324" s="1">
        <f ca="1">IFERROR(__xludf.DUMMYFUNCTION("""COMPUTED_VALUE"""),271)</f>
        <v>271</v>
      </c>
      <c r="J324" s="1">
        <f ca="1">IFERROR(__xludf.DUMMYFUNCTION("""COMPUTED_VALUE"""),61.3)</f>
        <v>61.3</v>
      </c>
      <c r="K324" s="1">
        <f ca="1">IFERROR(__xludf.DUMMYFUNCTION("""COMPUTED_VALUE"""),306)</f>
        <v>306</v>
      </c>
      <c r="L324" s="1">
        <f ca="1">IFERROR(__xludf.DUMMYFUNCTION("""COMPUTED_VALUE"""),-0.11)</f>
        <v>-0.11</v>
      </c>
      <c r="M324" s="1">
        <f ca="1">IFERROR(__xludf.DUMMYFUNCTION("""COMPUTED_VALUE"""),319)</f>
        <v>319</v>
      </c>
      <c r="N324" s="1">
        <f ca="1">IFERROR(__xludf.DUMMYFUNCTION("""COMPUTED_VALUE"""),-6.96)</f>
        <v>-6.96</v>
      </c>
      <c r="O324" s="1">
        <f ca="1">IFERROR(__xludf.DUMMYFUNCTION("""COMPUTED_VALUE"""),269)</f>
        <v>269</v>
      </c>
      <c r="P324" s="1">
        <f ca="1">IFERROR(__xludf.DUMMYFUNCTION("""COMPUTED_VALUE"""),98.8)</f>
        <v>98.8</v>
      </c>
      <c r="Q324" s="1">
        <f ca="1">IFERROR(__xludf.DUMMYFUNCTION("""COMPUTED_VALUE"""),274)</f>
        <v>274</v>
      </c>
      <c r="R324" s="1">
        <f ca="1">IFERROR(__xludf.DUMMYFUNCTION("""COMPUTED_VALUE"""),105.8)</f>
        <v>105.8</v>
      </c>
      <c r="S324" s="1">
        <f ca="1">IFERROR(__xludf.DUMMYFUNCTION("""COMPUTED_VALUE"""),258)</f>
        <v>258</v>
      </c>
      <c r="T324" s="1">
        <f ca="1">IFERROR(__xludf.DUMMYFUNCTION("""COMPUTED_VALUE"""),-0.51)</f>
        <v>-0.51</v>
      </c>
      <c r="U324" s="1">
        <f ca="1">IFERROR(__xludf.DUMMYFUNCTION("""COMPUTED_VALUE"""),178)</f>
        <v>178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IFERROR(__xludf.DUMMYFUNCTION("""COMPUTED_VALUE"""),"Howard")</f>
        <v>Howard</v>
      </c>
      <c r="C325" s="1" t="str">
        <f ca="1">IFERROR(__xludf.DUMMYFUNCTION("""COMPUTED_VALUE"""),"MEAC")</f>
        <v>MEAC</v>
      </c>
      <c r="D325" s="2">
        <f ca="1">IFERROR(__xludf.DUMMYFUNCTION("""COMPUTED_VALUE"""),44734)</f>
        <v>44734</v>
      </c>
      <c r="E325" s="1">
        <f ca="1">IFERROR(__xludf.DUMMYFUNCTION("""COMPUTED_VALUE"""),-19.39)</f>
        <v>-19.39</v>
      </c>
      <c r="F325" s="1">
        <f ca="1">IFERROR(__xludf.DUMMYFUNCTION("""COMPUTED_VALUE"""),87.4)</f>
        <v>87.4</v>
      </c>
      <c r="G325" s="1">
        <f ca="1">IFERROR(__xludf.DUMMYFUNCTION("""COMPUTED_VALUE"""),318)</f>
        <v>318</v>
      </c>
      <c r="H325" s="1">
        <f ca="1">IFERROR(__xludf.DUMMYFUNCTION("""COMPUTED_VALUE"""),106.8)</f>
        <v>106.8</v>
      </c>
      <c r="I325" s="1">
        <f ca="1">IFERROR(__xludf.DUMMYFUNCTION("""COMPUTED_VALUE"""),234)</f>
        <v>234</v>
      </c>
      <c r="J325" s="1">
        <f ca="1">IFERROR(__xludf.DUMMYFUNCTION("""COMPUTED_VALUE"""),65.9)</f>
        <v>65.900000000000006</v>
      </c>
      <c r="K325" s="1">
        <f ca="1">IFERROR(__xludf.DUMMYFUNCTION("""COMPUTED_VALUE"""),166)</f>
        <v>166</v>
      </c>
      <c r="L325" s="1">
        <f ca="1">IFERROR(__xludf.DUMMYFUNCTION("""COMPUTED_VALUE"""),-0.083)</f>
        <v>-8.3000000000000004E-2</v>
      </c>
      <c r="M325" s="1">
        <f ca="1">IFERROR(__xludf.DUMMYFUNCTION("""COMPUTED_VALUE"""),307)</f>
        <v>307</v>
      </c>
      <c r="N325" s="1">
        <f ca="1">IFERROR(__xludf.DUMMYFUNCTION("""COMPUTED_VALUE"""),-12.28)</f>
        <v>-12.28</v>
      </c>
      <c r="O325" s="1">
        <f ca="1">IFERROR(__xludf.DUMMYFUNCTION("""COMPUTED_VALUE"""),321)</f>
        <v>321</v>
      </c>
      <c r="P325" s="1">
        <f ca="1">IFERROR(__xludf.DUMMYFUNCTION("""COMPUTED_VALUE"""),96)</f>
        <v>96</v>
      </c>
      <c r="Q325" s="1">
        <f ca="1">IFERROR(__xludf.DUMMYFUNCTION("""COMPUTED_VALUE"""),311)</f>
        <v>311</v>
      </c>
      <c r="R325" s="1">
        <f ca="1">IFERROR(__xludf.DUMMYFUNCTION("""COMPUTED_VALUE"""),108.2)</f>
        <v>108.2</v>
      </c>
      <c r="S325" s="1">
        <f ca="1">IFERROR(__xludf.DUMMYFUNCTION("""COMPUTED_VALUE"""),325)</f>
        <v>325</v>
      </c>
      <c r="T325" s="1">
        <f ca="1">IFERROR(__xludf.DUMMYFUNCTION("""COMPUTED_VALUE"""),-5.14)</f>
        <v>-5.14</v>
      </c>
      <c r="U325" s="1">
        <f ca="1">IFERROR(__xludf.DUMMYFUNCTION("""COMPUTED_VALUE"""),270)</f>
        <v>270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IFERROR(__xludf.DUMMYFUNCTION("""COMPUTED_VALUE"""),"Albany")</f>
        <v>Albany</v>
      </c>
      <c r="C326" s="1" t="str">
        <f ca="1">IFERROR(__xludf.DUMMYFUNCTION("""COMPUTED_VALUE"""),"AE")</f>
        <v>AE</v>
      </c>
      <c r="D326" s="2">
        <f ca="1">IFERROR(__xludf.DUMMYFUNCTION("""COMPUTED_VALUE"""),44704)</f>
        <v>44704</v>
      </c>
      <c r="E326" s="1">
        <f ca="1">IFERROR(__xludf.DUMMYFUNCTION("""COMPUTED_VALUE"""),-19.86)</f>
        <v>-19.86</v>
      </c>
      <c r="F326" s="1">
        <f ca="1">IFERROR(__xludf.DUMMYFUNCTION("""COMPUTED_VALUE"""),87.6)</f>
        <v>87.6</v>
      </c>
      <c r="G326" s="1">
        <f ca="1">IFERROR(__xludf.DUMMYFUNCTION("""COMPUTED_VALUE"""),317)</f>
        <v>317</v>
      </c>
      <c r="H326" s="1">
        <f ca="1">IFERROR(__xludf.DUMMYFUNCTION("""COMPUTED_VALUE"""),107.4)</f>
        <v>107.4</v>
      </c>
      <c r="I326" s="1">
        <f ca="1">IFERROR(__xludf.DUMMYFUNCTION("""COMPUTED_VALUE"""),247)</f>
        <v>247</v>
      </c>
      <c r="J326" s="1">
        <f ca="1">IFERROR(__xludf.DUMMYFUNCTION("""COMPUTED_VALUE"""),62.5)</f>
        <v>62.5</v>
      </c>
      <c r="K326" s="1">
        <f ca="1">IFERROR(__xludf.DUMMYFUNCTION("""COMPUTED_VALUE"""),284)</f>
        <v>284</v>
      </c>
      <c r="L326" s="1">
        <f ca="1">IFERROR(__xludf.DUMMYFUNCTION("""COMPUTED_VALUE"""),-0.055)</f>
        <v>-5.5E-2</v>
      </c>
      <c r="M326" s="1">
        <f ca="1">IFERROR(__xludf.DUMMYFUNCTION("""COMPUTED_VALUE"""),274)</f>
        <v>274</v>
      </c>
      <c r="N326" s="1">
        <f ca="1">IFERROR(__xludf.DUMMYFUNCTION("""COMPUTED_VALUE"""),-9.16)</f>
        <v>-9.16</v>
      </c>
      <c r="O326" s="1">
        <f ca="1">IFERROR(__xludf.DUMMYFUNCTION("""COMPUTED_VALUE"""),298)</f>
        <v>298</v>
      </c>
      <c r="P326" s="1">
        <f ca="1">IFERROR(__xludf.DUMMYFUNCTION("""COMPUTED_VALUE"""),97)</f>
        <v>97</v>
      </c>
      <c r="Q326" s="1">
        <f ca="1">IFERROR(__xludf.DUMMYFUNCTION("""COMPUTED_VALUE"""),302)</f>
        <v>302</v>
      </c>
      <c r="R326" s="1">
        <f ca="1">IFERROR(__xludf.DUMMYFUNCTION("""COMPUTED_VALUE"""),106.2)</f>
        <v>106.2</v>
      </c>
      <c r="S326" s="1">
        <f ca="1">IFERROR(__xludf.DUMMYFUNCTION("""COMPUTED_VALUE"""),277)</f>
        <v>277</v>
      </c>
      <c r="T326" s="1">
        <f ca="1">IFERROR(__xludf.DUMMYFUNCTION("""COMPUTED_VALUE"""),-9.44)</f>
        <v>-9.44</v>
      </c>
      <c r="U326" s="1">
        <f ca="1">IFERROR(__xludf.DUMMYFUNCTION("""COMPUTED_VALUE"""),312)</f>
        <v>312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IFERROR(__xludf.DUMMYFUNCTION("""COMPUTED_VALUE"""),"FIU")</f>
        <v>FIU</v>
      </c>
      <c r="C327" s="1" t="str">
        <f ca="1">IFERROR(__xludf.DUMMYFUNCTION("""COMPUTED_VALUE"""),"SB")</f>
        <v>SB</v>
      </c>
      <c r="D327" s="2">
        <f ca="1">IFERROR(__xludf.DUMMYFUNCTION("""COMPUTED_VALUE"""),44703)</f>
        <v>44703</v>
      </c>
      <c r="E327" s="1">
        <f ca="1">IFERROR(__xludf.DUMMYFUNCTION("""COMPUTED_VALUE"""),-20.85)</f>
        <v>-20.85</v>
      </c>
      <c r="F327" s="1">
        <f ca="1">IFERROR(__xludf.DUMMYFUNCTION("""COMPUTED_VALUE"""),84)</f>
        <v>84</v>
      </c>
      <c r="G327" s="1">
        <f ca="1">IFERROR(__xludf.DUMMYFUNCTION("""COMPUTED_VALUE"""),321)</f>
        <v>321</v>
      </c>
      <c r="H327" s="1">
        <f ca="1">IFERROR(__xludf.DUMMYFUNCTION("""COMPUTED_VALUE"""),104.8)</f>
        <v>104.8</v>
      </c>
      <c r="I327" s="1">
        <f ca="1">IFERROR(__xludf.DUMMYFUNCTION("""COMPUTED_VALUE"""),186)</f>
        <v>186</v>
      </c>
      <c r="J327" s="1">
        <f ca="1">IFERROR(__xludf.DUMMYFUNCTION("""COMPUTED_VALUE"""),62.1)</f>
        <v>62.1</v>
      </c>
      <c r="K327" s="1">
        <f ca="1">IFERROR(__xludf.DUMMYFUNCTION("""COMPUTED_VALUE"""),291)</f>
        <v>291</v>
      </c>
      <c r="L327" s="1">
        <f ca="1">IFERROR(__xludf.DUMMYFUNCTION("""COMPUTED_VALUE"""),-0.015)</f>
        <v>-1.4999999999999999E-2</v>
      </c>
      <c r="M327" s="1">
        <f ca="1">IFERROR(__xludf.DUMMYFUNCTION("""COMPUTED_VALUE"""),201)</f>
        <v>201</v>
      </c>
      <c r="N327" s="1">
        <f ca="1">IFERROR(__xludf.DUMMYFUNCTION("""COMPUTED_VALUE"""),-1.14)</f>
        <v>-1.1399999999999999</v>
      </c>
      <c r="O327" s="1">
        <f ca="1">IFERROR(__xludf.DUMMYFUNCTION("""COMPUTED_VALUE"""),184)</f>
        <v>184</v>
      </c>
      <c r="P327" s="1">
        <f ca="1">IFERROR(__xludf.DUMMYFUNCTION("""COMPUTED_VALUE"""),103.4)</f>
        <v>103.4</v>
      </c>
      <c r="Q327" s="1">
        <f ca="1">IFERROR(__xludf.DUMMYFUNCTION("""COMPUTED_VALUE"""),166)</f>
        <v>166</v>
      </c>
      <c r="R327" s="1">
        <f ca="1">IFERROR(__xludf.DUMMYFUNCTION("""COMPUTED_VALUE"""),104.5)</f>
        <v>104.5</v>
      </c>
      <c r="S327" s="1">
        <f ca="1">IFERROR(__xludf.DUMMYFUNCTION("""COMPUTED_VALUE"""),199)</f>
        <v>199</v>
      </c>
      <c r="T327" s="1">
        <f ca="1">IFERROR(__xludf.DUMMYFUNCTION("""COMPUTED_VALUE"""),-2.69)</f>
        <v>-2.69</v>
      </c>
      <c r="U327" s="1">
        <f ca="1">IFERROR(__xludf.DUMMYFUNCTION("""COMPUTED_VALUE"""),231)</f>
        <v>231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IFERROR(__xludf.DUMMYFUNCTION("""COMPUTED_VALUE"""),"Alcorn St.")</f>
        <v>Alcorn St.</v>
      </c>
      <c r="C328" s="1" t="str">
        <f ca="1">IFERROR(__xludf.DUMMYFUNCTION("""COMPUTED_VALUE"""),"SWAC")</f>
        <v>SWAC</v>
      </c>
      <c r="D328" s="2">
        <f ca="1">IFERROR(__xludf.DUMMYFUNCTION("""COMPUTED_VALUE"""),44883)</f>
        <v>44883</v>
      </c>
      <c r="E328" s="1">
        <f ca="1">IFERROR(__xludf.DUMMYFUNCTION("""COMPUTED_VALUE"""),-20.96)</f>
        <v>-20.96</v>
      </c>
      <c r="F328" s="1">
        <f ca="1">IFERROR(__xludf.DUMMYFUNCTION("""COMPUTED_VALUE"""),91.9)</f>
        <v>91.9</v>
      </c>
      <c r="G328" s="1">
        <f ca="1">IFERROR(__xludf.DUMMYFUNCTION("""COMPUTED_VALUE"""),304)</f>
        <v>304</v>
      </c>
      <c r="H328" s="1">
        <f ca="1">IFERROR(__xludf.DUMMYFUNCTION("""COMPUTED_VALUE"""),112.9)</f>
        <v>112.9</v>
      </c>
      <c r="I328" s="1">
        <f ca="1">IFERROR(__xludf.DUMMYFUNCTION("""COMPUTED_VALUE"""),315)</f>
        <v>315</v>
      </c>
      <c r="J328" s="1">
        <f ca="1">IFERROR(__xludf.DUMMYFUNCTION("""COMPUTED_VALUE"""),67.5)</f>
        <v>67.5</v>
      </c>
      <c r="K328" s="1">
        <f ca="1">IFERROR(__xludf.DUMMYFUNCTION("""COMPUTED_VALUE"""),105)</f>
        <v>105</v>
      </c>
      <c r="L328" s="1" t="str">
        <f ca="1">IFERROR(__xludf.DUMMYFUNCTION("""COMPUTED_VALUE"""),"+.074")</f>
        <v>+.074</v>
      </c>
      <c r="M328" s="1">
        <f ca="1">IFERROR(__xludf.DUMMYFUNCTION("""COMPUTED_VALUE"""),27)</f>
        <v>27</v>
      </c>
      <c r="N328" s="1">
        <f ca="1">IFERROR(__xludf.DUMMYFUNCTION("""COMPUTED_VALUE"""),-11.69)</f>
        <v>-11.69</v>
      </c>
      <c r="O328" s="1">
        <f ca="1">IFERROR(__xludf.DUMMYFUNCTION("""COMPUTED_VALUE"""),315)</f>
        <v>315</v>
      </c>
      <c r="P328" s="1">
        <f ca="1">IFERROR(__xludf.DUMMYFUNCTION("""COMPUTED_VALUE"""),94.9)</f>
        <v>94.9</v>
      </c>
      <c r="Q328" s="1">
        <f ca="1">IFERROR(__xludf.DUMMYFUNCTION("""COMPUTED_VALUE"""),319)</f>
        <v>319</v>
      </c>
      <c r="R328" s="1">
        <f ca="1">IFERROR(__xludf.DUMMYFUNCTION("""COMPUTED_VALUE"""),106.6)</f>
        <v>106.6</v>
      </c>
      <c r="S328" s="1">
        <f ca="1">IFERROR(__xludf.DUMMYFUNCTION("""COMPUTED_VALUE"""),288)</f>
        <v>288</v>
      </c>
      <c r="T328" s="1">
        <f ca="1">IFERROR(__xludf.DUMMYFUNCTION("""COMPUTED_VALUE"""),-2.24)</f>
        <v>-2.2400000000000002</v>
      </c>
      <c r="U328" s="1">
        <f ca="1">IFERROR(__xludf.DUMMYFUNCTION("""COMPUTED_VALUE"""),219)</f>
        <v>219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IFERROR(__xludf.DUMMYFUNCTION("""COMPUTED_VALUE"""),"Bethune Cookman")</f>
        <v>Bethune Cookman</v>
      </c>
      <c r="C329" s="1" t="str">
        <f ca="1">IFERROR(__xludf.DUMMYFUNCTION("""COMPUTED_VALUE"""),"MEAC")</f>
        <v>MEAC</v>
      </c>
      <c r="D329" s="2">
        <f ca="1">IFERROR(__xludf.DUMMYFUNCTION("""COMPUTED_VALUE"""),44794)</f>
        <v>44794</v>
      </c>
      <c r="E329" s="1">
        <f ca="1">IFERROR(__xludf.DUMMYFUNCTION("""COMPUTED_VALUE"""),-21.96)</f>
        <v>-21.96</v>
      </c>
      <c r="F329" s="1">
        <f ca="1">IFERROR(__xludf.DUMMYFUNCTION("""COMPUTED_VALUE"""),90.2)</f>
        <v>90.2</v>
      </c>
      <c r="G329" s="1">
        <f ca="1">IFERROR(__xludf.DUMMYFUNCTION("""COMPUTED_VALUE"""),309)</f>
        <v>309</v>
      </c>
      <c r="H329" s="1">
        <f ca="1">IFERROR(__xludf.DUMMYFUNCTION("""COMPUTED_VALUE"""),112.1)</f>
        <v>112.1</v>
      </c>
      <c r="I329" s="1">
        <f ca="1">IFERROR(__xludf.DUMMYFUNCTION("""COMPUTED_VALUE"""),311)</f>
        <v>311</v>
      </c>
      <c r="J329" s="1">
        <f ca="1">IFERROR(__xludf.DUMMYFUNCTION("""COMPUTED_VALUE"""),63.4)</f>
        <v>63.4</v>
      </c>
      <c r="K329" s="1">
        <f ca="1">IFERROR(__xludf.DUMMYFUNCTION("""COMPUTED_VALUE"""),260)</f>
        <v>260</v>
      </c>
      <c r="L329" s="1" t="str">
        <f ca="1">IFERROR(__xludf.DUMMYFUNCTION("""COMPUTED_VALUE"""),"+.004")</f>
        <v>+.004</v>
      </c>
      <c r="M329" s="1">
        <f ca="1">IFERROR(__xludf.DUMMYFUNCTION("""COMPUTED_VALUE"""),159)</f>
        <v>159</v>
      </c>
      <c r="N329" s="1">
        <f ca="1">IFERROR(__xludf.DUMMYFUNCTION("""COMPUTED_VALUE"""),-11.99)</f>
        <v>-11.99</v>
      </c>
      <c r="O329" s="1">
        <f ca="1">IFERROR(__xludf.DUMMYFUNCTION("""COMPUTED_VALUE"""),319)</f>
        <v>319</v>
      </c>
      <c r="P329" s="1">
        <f ca="1">IFERROR(__xludf.DUMMYFUNCTION("""COMPUTED_VALUE"""),94.6)</f>
        <v>94.6</v>
      </c>
      <c r="Q329" s="1">
        <f ca="1">IFERROR(__xludf.DUMMYFUNCTION("""COMPUTED_VALUE"""),321)</f>
        <v>321</v>
      </c>
      <c r="R329" s="1">
        <f ca="1">IFERROR(__xludf.DUMMYFUNCTION("""COMPUTED_VALUE"""),106.6)</f>
        <v>106.6</v>
      </c>
      <c r="S329" s="1">
        <f ca="1">IFERROR(__xludf.DUMMYFUNCTION("""COMPUTED_VALUE"""),287)</f>
        <v>287</v>
      </c>
      <c r="T329" s="1">
        <f ca="1">IFERROR(__xludf.DUMMYFUNCTION("""COMPUTED_VALUE"""),-3.79)</f>
        <v>-3.79</v>
      </c>
      <c r="U329" s="1">
        <f ca="1">IFERROR(__xludf.DUMMYFUNCTION("""COMPUTED_VALUE"""),247)</f>
        <v>247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IFERROR(__xludf.DUMMYFUNCTION("""COMPUTED_VALUE"""),"Campbell")</f>
        <v>Campbell</v>
      </c>
      <c r="C330" s="1" t="str">
        <f ca="1">IFERROR(__xludf.DUMMYFUNCTION("""COMPUTED_VALUE"""),"ASun")</f>
        <v>ASun</v>
      </c>
      <c r="D330" s="2">
        <f ca="1">IFERROR(__xludf.DUMMYFUNCTION("""COMPUTED_VALUE"""),44644)</f>
        <v>44644</v>
      </c>
      <c r="E330" s="1">
        <f ca="1">IFERROR(__xludf.DUMMYFUNCTION("""COMPUTED_VALUE"""),-22.61)</f>
        <v>-22.61</v>
      </c>
      <c r="F330" s="1">
        <f ca="1">IFERROR(__xludf.DUMMYFUNCTION("""COMPUTED_VALUE"""),91.7)</f>
        <v>91.7</v>
      </c>
      <c r="G330" s="1">
        <f ca="1">IFERROR(__xludf.DUMMYFUNCTION("""COMPUTED_VALUE"""),305)</f>
        <v>305</v>
      </c>
      <c r="H330" s="1">
        <f ca="1">IFERROR(__xludf.DUMMYFUNCTION("""COMPUTED_VALUE"""),114.3)</f>
        <v>114.3</v>
      </c>
      <c r="I330" s="1">
        <f ca="1">IFERROR(__xludf.DUMMYFUNCTION("""COMPUTED_VALUE"""),325)</f>
        <v>325</v>
      </c>
      <c r="J330" s="1">
        <f ca="1">IFERROR(__xludf.DUMMYFUNCTION("""COMPUTED_VALUE"""),73.1)</f>
        <v>73.099999999999994</v>
      </c>
      <c r="K330" s="1">
        <f ca="1">IFERROR(__xludf.DUMMYFUNCTION("""COMPUTED_VALUE"""),5)</f>
        <v>5</v>
      </c>
      <c r="L330" s="1">
        <f ca="1">IFERROR(__xludf.DUMMYFUNCTION("""COMPUTED_VALUE"""),-0.009)</f>
        <v>-8.9999999999999993E-3</v>
      </c>
      <c r="M330" s="1">
        <f ca="1">IFERROR(__xludf.DUMMYFUNCTION("""COMPUTED_VALUE"""),190)</f>
        <v>190</v>
      </c>
      <c r="N330" s="1">
        <f ca="1">IFERROR(__xludf.DUMMYFUNCTION("""COMPUTED_VALUE"""),-4.03)</f>
        <v>-4.03</v>
      </c>
      <c r="O330" s="1">
        <f ca="1">IFERROR(__xludf.DUMMYFUNCTION("""COMPUTED_VALUE"""),234)</f>
        <v>234</v>
      </c>
      <c r="P330" s="1">
        <f ca="1">IFERROR(__xludf.DUMMYFUNCTION("""COMPUTED_VALUE"""),102.1)</f>
        <v>102.1</v>
      </c>
      <c r="Q330" s="1">
        <f ca="1">IFERROR(__xludf.DUMMYFUNCTION("""COMPUTED_VALUE"""),215)</f>
        <v>215</v>
      </c>
      <c r="R330" s="1">
        <f ca="1">IFERROR(__xludf.DUMMYFUNCTION("""COMPUTED_VALUE"""),106.1)</f>
        <v>106.1</v>
      </c>
      <c r="S330" s="1">
        <f ca="1">IFERROR(__xludf.DUMMYFUNCTION("""COMPUTED_VALUE"""),272)</f>
        <v>272</v>
      </c>
      <c r="T330" s="1" t="str">
        <f ca="1">IFERROR(__xludf.DUMMYFUNCTION("""COMPUTED_VALUE"""),"+0.47")</f>
        <v>+0.47</v>
      </c>
      <c r="U330" s="1">
        <f ca="1">IFERROR(__xludf.DUMMYFUNCTION("""COMPUTED_VALUE"""),150)</f>
        <v>150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IFERROR(__xludf.DUMMYFUNCTION("""COMPUTED_VALUE"""),"Loyola MD")</f>
        <v>Loyola MD</v>
      </c>
      <c r="C331" s="1" t="str">
        <f ca="1">IFERROR(__xludf.DUMMYFUNCTION("""COMPUTED_VALUE"""),"MAAC")</f>
        <v>MAAC</v>
      </c>
      <c r="D331" s="2">
        <f ca="1">IFERROR(__xludf.DUMMYFUNCTION("""COMPUTED_VALUE"""),44588)</f>
        <v>44588</v>
      </c>
      <c r="E331" s="1">
        <f ca="1">IFERROR(__xludf.DUMMYFUNCTION("""COMPUTED_VALUE"""),-23.48)</f>
        <v>-23.48</v>
      </c>
      <c r="F331" s="1">
        <f ca="1">IFERROR(__xludf.DUMMYFUNCTION("""COMPUTED_VALUE"""),89.5)</f>
        <v>89.5</v>
      </c>
      <c r="G331" s="1">
        <f ca="1">IFERROR(__xludf.DUMMYFUNCTION("""COMPUTED_VALUE"""),312)</f>
        <v>312</v>
      </c>
      <c r="H331" s="1">
        <f ca="1">IFERROR(__xludf.DUMMYFUNCTION("""COMPUTED_VALUE"""),113)</f>
        <v>113</v>
      </c>
      <c r="I331" s="1">
        <f ca="1">IFERROR(__xludf.DUMMYFUNCTION("""COMPUTED_VALUE"""),318)</f>
        <v>318</v>
      </c>
      <c r="J331" s="1">
        <f ca="1">IFERROR(__xludf.DUMMYFUNCTION("""COMPUTED_VALUE"""),66)</f>
        <v>66</v>
      </c>
      <c r="K331" s="1">
        <f ca="1">IFERROR(__xludf.DUMMYFUNCTION("""COMPUTED_VALUE"""),157)</f>
        <v>157</v>
      </c>
      <c r="L331" s="1">
        <f ca="1">IFERROR(__xludf.DUMMYFUNCTION("""COMPUTED_VALUE"""),-0.039)</f>
        <v>-3.9E-2</v>
      </c>
      <c r="M331" s="1">
        <f ca="1">IFERROR(__xludf.DUMMYFUNCTION("""COMPUTED_VALUE"""),252)</f>
        <v>252</v>
      </c>
      <c r="N331" s="1">
        <f ca="1">IFERROR(__xludf.DUMMYFUNCTION("""COMPUTED_VALUE"""),-4.17)</f>
        <v>-4.17</v>
      </c>
      <c r="O331" s="1">
        <f ca="1">IFERROR(__xludf.DUMMYFUNCTION("""COMPUTED_VALUE"""),236)</f>
        <v>236</v>
      </c>
      <c r="P331" s="1">
        <f ca="1">IFERROR(__xludf.DUMMYFUNCTION("""COMPUTED_VALUE"""),100.9)</f>
        <v>100.9</v>
      </c>
      <c r="Q331" s="1">
        <f ca="1">IFERROR(__xludf.DUMMYFUNCTION("""COMPUTED_VALUE"""),244)</f>
        <v>244</v>
      </c>
      <c r="R331" s="1">
        <f ca="1">IFERROR(__xludf.DUMMYFUNCTION("""COMPUTED_VALUE"""),105.1)</f>
        <v>105.1</v>
      </c>
      <c r="S331" s="1">
        <f ca="1">IFERROR(__xludf.DUMMYFUNCTION("""COMPUTED_VALUE"""),222)</f>
        <v>222</v>
      </c>
      <c r="T331" s="1">
        <f ca="1">IFERROR(__xludf.DUMMYFUNCTION("""COMPUTED_VALUE"""),-8.11)</f>
        <v>-8.11</v>
      </c>
      <c r="U331" s="1">
        <f ca="1">IFERROR(__xludf.DUMMYFUNCTION("""COMPUTED_VALUE"""),303)</f>
        <v>303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IFERROR(__xludf.DUMMYFUNCTION("""COMPUTED_VALUE"""),"Savannah St.")</f>
        <v>Savannah St.</v>
      </c>
      <c r="C332" s="1" t="str">
        <f ca="1">IFERROR(__xludf.DUMMYFUNCTION("""COMPUTED_VALUE"""),"ind")</f>
        <v>ind</v>
      </c>
      <c r="D332" s="2">
        <f ca="1">IFERROR(__xludf.DUMMYFUNCTION("""COMPUTED_VALUE"""),44675)</f>
        <v>44675</v>
      </c>
      <c r="E332" s="1">
        <f ca="1">IFERROR(__xludf.DUMMYFUNCTION("""COMPUTED_VALUE"""),-23.73)</f>
        <v>-23.73</v>
      </c>
      <c r="F332" s="1">
        <f ca="1">IFERROR(__xludf.DUMMYFUNCTION("""COMPUTED_VALUE"""),85.3)</f>
        <v>85.3</v>
      </c>
      <c r="G332" s="1">
        <f ca="1">IFERROR(__xludf.DUMMYFUNCTION("""COMPUTED_VALUE"""),320)</f>
        <v>320</v>
      </c>
      <c r="H332" s="1">
        <f ca="1">IFERROR(__xludf.DUMMYFUNCTION("""COMPUTED_VALUE"""),109)</f>
        <v>109</v>
      </c>
      <c r="I332" s="1">
        <f ca="1">IFERROR(__xludf.DUMMYFUNCTION("""COMPUTED_VALUE"""),274)</f>
        <v>274</v>
      </c>
      <c r="J332" s="1">
        <f ca="1">IFERROR(__xludf.DUMMYFUNCTION("""COMPUTED_VALUE"""),70.9)</f>
        <v>70.900000000000006</v>
      </c>
      <c r="K332" s="1">
        <f ca="1">IFERROR(__xludf.DUMMYFUNCTION("""COMPUTED_VALUE"""),17)</f>
        <v>17</v>
      </c>
      <c r="L332" s="1" t="str">
        <f ca="1">IFERROR(__xludf.DUMMYFUNCTION("""COMPUTED_VALUE"""),"+.015")</f>
        <v>+.015</v>
      </c>
      <c r="M332" s="1">
        <f ca="1">IFERROR(__xludf.DUMMYFUNCTION("""COMPUTED_VALUE"""),132)</f>
        <v>132</v>
      </c>
      <c r="N332" s="1">
        <f ca="1">IFERROR(__xludf.DUMMYFUNCTION("""COMPUTED_VALUE"""),-2.04)</f>
        <v>-2.04</v>
      </c>
      <c r="O332" s="1">
        <f ca="1">IFERROR(__xludf.DUMMYFUNCTION("""COMPUTED_VALUE"""),201)</f>
        <v>201</v>
      </c>
      <c r="P332" s="1">
        <f ca="1">IFERROR(__xludf.DUMMYFUNCTION("""COMPUTED_VALUE"""),102.9)</f>
        <v>102.9</v>
      </c>
      <c r="Q332" s="1">
        <f ca="1">IFERROR(__xludf.DUMMYFUNCTION("""COMPUTED_VALUE"""),186)</f>
        <v>186</v>
      </c>
      <c r="R332" s="1">
        <f ca="1">IFERROR(__xludf.DUMMYFUNCTION("""COMPUTED_VALUE"""),104.9)</f>
        <v>104.9</v>
      </c>
      <c r="S332" s="1">
        <f ca="1">IFERROR(__xludf.DUMMYFUNCTION("""COMPUTED_VALUE"""),214)</f>
        <v>214</v>
      </c>
      <c r="T332" s="1">
        <f ca="1">IFERROR(__xludf.DUMMYFUNCTION("""COMPUTED_VALUE"""),-1.56)</f>
        <v>-1.56</v>
      </c>
      <c r="U332" s="1">
        <f ca="1">IFERROR(__xludf.DUMMYFUNCTION("""COMPUTED_VALUE"""),206)</f>
        <v>206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IFERROR(__xludf.DUMMYFUNCTION("""COMPUTED_VALUE"""),"Nicholls St.")</f>
        <v>Nicholls St.</v>
      </c>
      <c r="C333" s="1" t="str">
        <f ca="1">IFERROR(__xludf.DUMMYFUNCTION("""COMPUTED_VALUE"""),"Slnd")</f>
        <v>Slnd</v>
      </c>
      <c r="D333" s="2">
        <f ca="1">IFERROR(__xludf.DUMMYFUNCTION("""COMPUTED_VALUE"""),44733)</f>
        <v>44733</v>
      </c>
      <c r="E333" s="1">
        <f ca="1">IFERROR(__xludf.DUMMYFUNCTION("""COMPUTED_VALUE"""),-24)</f>
        <v>-24</v>
      </c>
      <c r="F333" s="1">
        <f ca="1">IFERROR(__xludf.DUMMYFUNCTION("""COMPUTED_VALUE"""),90.2)</f>
        <v>90.2</v>
      </c>
      <c r="G333" s="1">
        <f ca="1">IFERROR(__xludf.DUMMYFUNCTION("""COMPUTED_VALUE"""),310)</f>
        <v>310</v>
      </c>
      <c r="H333" s="1">
        <f ca="1">IFERROR(__xludf.DUMMYFUNCTION("""COMPUTED_VALUE"""),114.2)</f>
        <v>114.2</v>
      </c>
      <c r="I333" s="1">
        <f ca="1">IFERROR(__xludf.DUMMYFUNCTION("""COMPUTED_VALUE"""),323)</f>
        <v>323</v>
      </c>
      <c r="J333" s="1">
        <f ca="1">IFERROR(__xludf.DUMMYFUNCTION("""COMPUTED_VALUE"""),66)</f>
        <v>66</v>
      </c>
      <c r="K333" s="1">
        <f ca="1">IFERROR(__xludf.DUMMYFUNCTION("""COMPUTED_VALUE"""),156)</f>
        <v>156</v>
      </c>
      <c r="L333" s="1">
        <f ca="1">IFERROR(__xludf.DUMMYFUNCTION("""COMPUTED_VALUE"""),-0.03)</f>
        <v>-0.03</v>
      </c>
      <c r="M333" s="1">
        <f ca="1">IFERROR(__xludf.DUMMYFUNCTION("""COMPUTED_VALUE"""),236)</f>
        <v>236</v>
      </c>
      <c r="N333" s="1">
        <f ca="1">IFERROR(__xludf.DUMMYFUNCTION("""COMPUTED_VALUE"""),-6.46)</f>
        <v>-6.46</v>
      </c>
      <c r="O333" s="1">
        <f ca="1">IFERROR(__xludf.DUMMYFUNCTION("""COMPUTED_VALUE"""),260)</f>
        <v>260</v>
      </c>
      <c r="P333" s="1">
        <f ca="1">IFERROR(__xludf.DUMMYFUNCTION("""COMPUTED_VALUE"""),99.5)</f>
        <v>99.5</v>
      </c>
      <c r="Q333" s="1">
        <f ca="1">IFERROR(__xludf.DUMMYFUNCTION("""COMPUTED_VALUE"""),262)</f>
        <v>262</v>
      </c>
      <c r="R333" s="1">
        <f ca="1">IFERROR(__xludf.DUMMYFUNCTION("""COMPUTED_VALUE"""),105.9)</f>
        <v>105.9</v>
      </c>
      <c r="S333" s="1">
        <f ca="1">IFERROR(__xludf.DUMMYFUNCTION("""COMPUTED_VALUE"""),265)</f>
        <v>265</v>
      </c>
      <c r="T333" s="1">
        <f ca="1">IFERROR(__xludf.DUMMYFUNCTION("""COMPUTED_VALUE"""),-0.01)</f>
        <v>-0.01</v>
      </c>
      <c r="U333" s="1">
        <f ca="1">IFERROR(__xludf.DUMMYFUNCTION("""COMPUTED_VALUE"""),165)</f>
        <v>165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IFERROR(__xludf.DUMMYFUNCTION("""COMPUTED_VALUE"""),"The Citadel")</f>
        <v>The Citadel</v>
      </c>
      <c r="C334" s="1" t="str">
        <f ca="1">IFERROR(__xludf.DUMMYFUNCTION("""COMPUTED_VALUE"""),"SC")</f>
        <v>SC</v>
      </c>
      <c r="D334" s="2">
        <f ca="1">IFERROR(__xludf.DUMMYFUNCTION("""COMPUTED_VALUE"""),44734)</f>
        <v>44734</v>
      </c>
      <c r="E334" s="1">
        <f ca="1">IFERROR(__xludf.DUMMYFUNCTION("""COMPUTED_VALUE"""),-24.04)</f>
        <v>-24.04</v>
      </c>
      <c r="F334" s="1">
        <f ca="1">IFERROR(__xludf.DUMMYFUNCTION("""COMPUTED_VALUE"""),86.7)</f>
        <v>86.7</v>
      </c>
      <c r="G334" s="1">
        <f ca="1">IFERROR(__xludf.DUMMYFUNCTION("""COMPUTED_VALUE"""),319)</f>
        <v>319</v>
      </c>
      <c r="H334" s="1">
        <f ca="1">IFERROR(__xludf.DUMMYFUNCTION("""COMPUTED_VALUE"""),110.8)</f>
        <v>110.8</v>
      </c>
      <c r="I334" s="1">
        <f ca="1">IFERROR(__xludf.DUMMYFUNCTION("""COMPUTED_VALUE"""),297)</f>
        <v>297</v>
      </c>
      <c r="J334" s="1">
        <f ca="1">IFERROR(__xludf.DUMMYFUNCTION("""COMPUTED_VALUE"""),63.2)</f>
        <v>63.2</v>
      </c>
      <c r="K334" s="1">
        <f ca="1">IFERROR(__xludf.DUMMYFUNCTION("""COMPUTED_VALUE"""),264)</f>
        <v>264</v>
      </c>
      <c r="L334" s="1" t="str">
        <f ca="1">IFERROR(__xludf.DUMMYFUNCTION("""COMPUTED_VALUE"""),"+.002")</f>
        <v>+.002</v>
      </c>
      <c r="M334" s="1">
        <f ca="1">IFERROR(__xludf.DUMMYFUNCTION("""COMPUTED_VALUE"""),167)</f>
        <v>167</v>
      </c>
      <c r="N334" s="1">
        <f ca="1">IFERROR(__xludf.DUMMYFUNCTION("""COMPUTED_VALUE"""),-2.36)</f>
        <v>-2.36</v>
      </c>
      <c r="O334" s="1">
        <f ca="1">IFERROR(__xludf.DUMMYFUNCTION("""COMPUTED_VALUE"""),213)</f>
        <v>213</v>
      </c>
      <c r="P334" s="1">
        <f ca="1">IFERROR(__xludf.DUMMYFUNCTION("""COMPUTED_VALUE"""),101.3)</f>
        <v>101.3</v>
      </c>
      <c r="Q334" s="1">
        <f ca="1">IFERROR(__xludf.DUMMYFUNCTION("""COMPUTED_VALUE"""),238)</f>
        <v>238</v>
      </c>
      <c r="R334" s="1">
        <f ca="1">IFERROR(__xludf.DUMMYFUNCTION("""COMPUTED_VALUE"""),103.6)</f>
        <v>103.6</v>
      </c>
      <c r="S334" s="1">
        <f ca="1">IFERROR(__xludf.DUMMYFUNCTION("""COMPUTED_VALUE"""),160)</f>
        <v>160</v>
      </c>
      <c r="T334" s="1">
        <f ca="1">IFERROR(__xludf.DUMMYFUNCTION("""COMPUTED_VALUE"""),-1.75)</f>
        <v>-1.75</v>
      </c>
      <c r="U334" s="1">
        <f ca="1">IFERROR(__xludf.DUMMYFUNCTION("""COMPUTED_VALUE"""),208)</f>
        <v>208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IFERROR(__xludf.DUMMYFUNCTION("""COMPUTED_VALUE"""),"Dartmouth")</f>
        <v>Dartmouth</v>
      </c>
      <c r="C335" s="1" t="str">
        <f ca="1">IFERROR(__xludf.DUMMYFUNCTION("""COMPUTED_VALUE"""),"Ivy")</f>
        <v>Ivy</v>
      </c>
      <c r="D335" s="2">
        <f ca="1">IFERROR(__xludf.DUMMYFUNCTION("""COMPUTED_VALUE"""),44645)</f>
        <v>44645</v>
      </c>
      <c r="E335" s="1">
        <f ca="1">IFERROR(__xludf.DUMMYFUNCTION("""COMPUTED_VALUE"""),-24.48)</f>
        <v>-24.48</v>
      </c>
      <c r="F335" s="1">
        <f ca="1">IFERROR(__xludf.DUMMYFUNCTION("""COMPUTED_VALUE"""),87.8)</f>
        <v>87.8</v>
      </c>
      <c r="G335" s="1">
        <f ca="1">IFERROR(__xludf.DUMMYFUNCTION("""COMPUTED_VALUE"""),316)</f>
        <v>316</v>
      </c>
      <c r="H335" s="1">
        <f ca="1">IFERROR(__xludf.DUMMYFUNCTION("""COMPUTED_VALUE"""),112.3)</f>
        <v>112.3</v>
      </c>
      <c r="I335" s="1">
        <f ca="1">IFERROR(__xludf.DUMMYFUNCTION("""COMPUTED_VALUE"""),312)</f>
        <v>312</v>
      </c>
      <c r="J335" s="1">
        <f ca="1">IFERROR(__xludf.DUMMYFUNCTION("""COMPUTED_VALUE"""),62)</f>
        <v>62</v>
      </c>
      <c r="K335" s="1">
        <f ca="1">IFERROR(__xludf.DUMMYFUNCTION("""COMPUTED_VALUE"""),295)</f>
        <v>295</v>
      </c>
      <c r="L335" s="1">
        <f ca="1">IFERROR(__xludf.DUMMYFUNCTION("""COMPUTED_VALUE"""),-0.04)</f>
        <v>-0.04</v>
      </c>
      <c r="M335" s="1">
        <f ca="1">IFERROR(__xludf.DUMMYFUNCTION("""COMPUTED_VALUE"""),254)</f>
        <v>254</v>
      </c>
      <c r="N335" s="1">
        <f ca="1">IFERROR(__xludf.DUMMYFUNCTION("""COMPUTED_VALUE"""),-7.17)</f>
        <v>-7.17</v>
      </c>
      <c r="O335" s="1">
        <f ca="1">IFERROR(__xludf.DUMMYFUNCTION("""COMPUTED_VALUE"""),272)</f>
        <v>272</v>
      </c>
      <c r="P335" s="1">
        <f ca="1">IFERROR(__xludf.DUMMYFUNCTION("""COMPUTED_VALUE"""),99.2)</f>
        <v>99.2</v>
      </c>
      <c r="Q335" s="1">
        <f ca="1">IFERROR(__xludf.DUMMYFUNCTION("""COMPUTED_VALUE"""),265)</f>
        <v>265</v>
      </c>
      <c r="R335" s="1">
        <f ca="1">IFERROR(__xludf.DUMMYFUNCTION("""COMPUTED_VALUE"""),106.4)</f>
        <v>106.4</v>
      </c>
      <c r="S335" s="1">
        <f ca="1">IFERROR(__xludf.DUMMYFUNCTION("""COMPUTED_VALUE"""),284)</f>
        <v>284</v>
      </c>
      <c r="T335" s="1">
        <f ca="1">IFERROR(__xludf.DUMMYFUNCTION("""COMPUTED_VALUE"""),-9.2)</f>
        <v>-9.1999999999999993</v>
      </c>
      <c r="U335" s="1">
        <f ca="1">IFERROR(__xludf.DUMMYFUNCTION("""COMPUTED_VALUE"""),309)</f>
        <v>309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IFERROR(__xludf.DUMMYFUNCTION("""COMPUTED_VALUE"""),"VMI")</f>
        <v>VMI</v>
      </c>
      <c r="C336" s="1" t="str">
        <f ca="1">IFERROR(__xludf.DUMMYFUNCTION("""COMPUTED_VALUE"""),"BSth")</f>
        <v>BSth</v>
      </c>
      <c r="D336" s="2">
        <f ca="1">IFERROR(__xludf.DUMMYFUNCTION("""COMPUTED_VALUE"""),44734)</f>
        <v>44734</v>
      </c>
      <c r="E336" s="1">
        <f ca="1">IFERROR(__xludf.DUMMYFUNCTION("""COMPUTED_VALUE"""),-24.63)</f>
        <v>-24.63</v>
      </c>
      <c r="F336" s="1">
        <f ca="1">IFERROR(__xludf.DUMMYFUNCTION("""COMPUTED_VALUE"""),83.3)</f>
        <v>83.3</v>
      </c>
      <c r="G336" s="1">
        <f ca="1">IFERROR(__xludf.DUMMYFUNCTION("""COMPUTED_VALUE"""),322)</f>
        <v>322</v>
      </c>
      <c r="H336" s="1">
        <f ca="1">IFERROR(__xludf.DUMMYFUNCTION("""COMPUTED_VALUE"""),108)</f>
        <v>108</v>
      </c>
      <c r="I336" s="1">
        <f ca="1">IFERROR(__xludf.DUMMYFUNCTION("""COMPUTED_VALUE"""),254)</f>
        <v>254</v>
      </c>
      <c r="J336" s="1">
        <f ca="1">IFERROR(__xludf.DUMMYFUNCTION("""COMPUTED_VALUE"""),64.1)</f>
        <v>64.099999999999994</v>
      </c>
      <c r="K336" s="1">
        <f ca="1">IFERROR(__xludf.DUMMYFUNCTION("""COMPUTED_VALUE"""),227)</f>
        <v>227</v>
      </c>
      <c r="L336" s="1" t="str">
        <f ca="1">IFERROR(__xludf.DUMMYFUNCTION("""COMPUTED_VALUE"""),"+.014")</f>
        <v>+.014</v>
      </c>
      <c r="M336" s="1">
        <f ca="1">IFERROR(__xludf.DUMMYFUNCTION("""COMPUTED_VALUE"""),134)</f>
        <v>134</v>
      </c>
      <c r="N336" s="1">
        <f ca="1">IFERROR(__xludf.DUMMYFUNCTION("""COMPUTED_VALUE"""),-6.23)</f>
        <v>-6.23</v>
      </c>
      <c r="O336" s="1">
        <f ca="1">IFERROR(__xludf.DUMMYFUNCTION("""COMPUTED_VALUE"""),259)</f>
        <v>259</v>
      </c>
      <c r="P336" s="1">
        <f ca="1">IFERROR(__xludf.DUMMYFUNCTION("""COMPUTED_VALUE"""),99.1)</f>
        <v>99.1</v>
      </c>
      <c r="Q336" s="1">
        <f ca="1">IFERROR(__xludf.DUMMYFUNCTION("""COMPUTED_VALUE"""),269)</f>
        <v>269</v>
      </c>
      <c r="R336" s="1">
        <f ca="1">IFERROR(__xludf.DUMMYFUNCTION("""COMPUTED_VALUE"""),105.3)</f>
        <v>105.3</v>
      </c>
      <c r="S336" s="1">
        <f ca="1">IFERROR(__xludf.DUMMYFUNCTION("""COMPUTED_VALUE"""),232)</f>
        <v>232</v>
      </c>
      <c r="T336" s="1" t="str">
        <f ca="1">IFERROR(__xludf.DUMMYFUNCTION("""COMPUTED_VALUE"""),"+0.84")</f>
        <v>+0.84</v>
      </c>
      <c r="U336" s="1">
        <f ca="1">IFERROR(__xludf.DUMMYFUNCTION("""COMPUTED_VALUE"""),140)</f>
        <v>140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IFERROR(__xludf.DUMMYFUNCTION("""COMPUTED_VALUE"""),"Prairie View A&amp;M")</f>
        <v>Prairie View A&amp;M</v>
      </c>
      <c r="C339" s="1" t="str">
        <f ca="1">IFERROR(__xludf.DUMMYFUNCTION("""COMPUTED_VALUE"""),"SWAC")</f>
        <v>SWAC</v>
      </c>
      <c r="D339" s="2">
        <f ca="1">IFERROR(__xludf.DUMMYFUNCTION("""COMPUTED_VALUE"""),44762)</f>
        <v>44762</v>
      </c>
      <c r="E339" s="1">
        <f ca="1">IFERROR(__xludf.DUMMYFUNCTION("""COMPUTED_VALUE"""),-24.63)</f>
        <v>-24.63</v>
      </c>
      <c r="F339" s="1">
        <f ca="1">IFERROR(__xludf.DUMMYFUNCTION("""COMPUTED_VALUE"""),89.2)</f>
        <v>89.2</v>
      </c>
      <c r="G339" s="1">
        <f ca="1">IFERROR(__xludf.DUMMYFUNCTION("""COMPUTED_VALUE"""),313)</f>
        <v>313</v>
      </c>
      <c r="H339" s="1">
        <f ca="1">IFERROR(__xludf.DUMMYFUNCTION("""COMPUTED_VALUE"""),113.8)</f>
        <v>113.8</v>
      </c>
      <c r="I339" s="1">
        <f ca="1">IFERROR(__xludf.DUMMYFUNCTION("""COMPUTED_VALUE"""),321)</f>
        <v>321</v>
      </c>
      <c r="J339" s="1">
        <f ca="1">IFERROR(__xludf.DUMMYFUNCTION("""COMPUTED_VALUE"""),66.4)</f>
        <v>66.400000000000006</v>
      </c>
      <c r="K339" s="1">
        <f ca="1">IFERROR(__xludf.DUMMYFUNCTION("""COMPUTED_VALUE"""),137)</f>
        <v>137</v>
      </c>
      <c r="L339" s="1" t="str">
        <f ca="1">IFERROR(__xludf.DUMMYFUNCTION("""COMPUTED_VALUE"""),"+.063")</f>
        <v>+.063</v>
      </c>
      <c r="M339" s="1">
        <f ca="1">IFERROR(__xludf.DUMMYFUNCTION("""COMPUTED_VALUE"""),39)</f>
        <v>39</v>
      </c>
      <c r="N339" s="1">
        <f ca="1">IFERROR(__xludf.DUMMYFUNCTION("""COMPUTED_VALUE"""),-9.4)</f>
        <v>-9.4</v>
      </c>
      <c r="O339" s="1">
        <f ca="1">IFERROR(__xludf.DUMMYFUNCTION("""COMPUTED_VALUE"""),299)</f>
        <v>299</v>
      </c>
      <c r="P339" s="1">
        <f ca="1">IFERROR(__xludf.DUMMYFUNCTION("""COMPUTED_VALUE"""),96.3)</f>
        <v>96.3</v>
      </c>
      <c r="Q339" s="1">
        <f ca="1">IFERROR(__xludf.DUMMYFUNCTION("""COMPUTED_VALUE"""),309)</f>
        <v>309</v>
      </c>
      <c r="R339" s="1">
        <f ca="1">IFERROR(__xludf.DUMMYFUNCTION("""COMPUTED_VALUE"""),105.7)</f>
        <v>105.7</v>
      </c>
      <c r="S339" s="1">
        <f ca="1">IFERROR(__xludf.DUMMYFUNCTION("""COMPUTED_VALUE"""),252)</f>
        <v>252</v>
      </c>
      <c r="T339" s="1" t="str">
        <f ca="1">IFERROR(__xludf.DUMMYFUNCTION("""COMPUTED_VALUE"""),"+5.59")</f>
        <v>+5.59</v>
      </c>
      <c r="U339" s="1">
        <f ca="1">IFERROR(__xludf.DUMMYFUNCTION("""COMPUTED_VALUE"""),42)</f>
        <v>42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IFERROR(__xludf.DUMMYFUNCTION("""COMPUTED_VALUE"""),"Maryland Eastern Shore")</f>
        <v>Maryland Eastern Shore</v>
      </c>
      <c r="C340" s="1" t="str">
        <f ca="1">IFERROR(__xludf.DUMMYFUNCTION("""COMPUTED_VALUE"""),"MEAC")</f>
        <v>MEAC</v>
      </c>
      <c r="D340" s="2">
        <f ca="1">IFERROR(__xludf.DUMMYFUNCTION("""COMPUTED_VALUE"""),44794)</f>
        <v>44794</v>
      </c>
      <c r="E340" s="1">
        <f ca="1">IFERROR(__xludf.DUMMYFUNCTION("""COMPUTED_VALUE"""),-24.91)</f>
        <v>-24.91</v>
      </c>
      <c r="F340" s="1">
        <f ca="1">IFERROR(__xludf.DUMMYFUNCTION("""COMPUTED_VALUE"""),91)</f>
        <v>91</v>
      </c>
      <c r="G340" s="1">
        <f ca="1">IFERROR(__xludf.DUMMYFUNCTION("""COMPUTED_VALUE"""),307)</f>
        <v>307</v>
      </c>
      <c r="H340" s="1">
        <f ca="1">IFERROR(__xludf.DUMMYFUNCTION("""COMPUTED_VALUE"""),115.9)</f>
        <v>115.9</v>
      </c>
      <c r="I340" s="1">
        <f ca="1">IFERROR(__xludf.DUMMYFUNCTION("""COMPUTED_VALUE"""),326)</f>
        <v>326</v>
      </c>
      <c r="J340" s="1">
        <f ca="1">IFERROR(__xludf.DUMMYFUNCTION("""COMPUTED_VALUE"""),61.4)</f>
        <v>61.4</v>
      </c>
      <c r="K340" s="1">
        <f ca="1">IFERROR(__xludf.DUMMYFUNCTION("""COMPUTED_VALUE"""),303)</f>
        <v>303</v>
      </c>
      <c r="L340" s="1" t="str">
        <f ca="1">IFERROR(__xludf.DUMMYFUNCTION("""COMPUTED_VALUE"""),"+.057")</f>
        <v>+.057</v>
      </c>
      <c r="M340" s="1">
        <f ca="1">IFERROR(__xludf.DUMMYFUNCTION("""COMPUTED_VALUE"""),44)</f>
        <v>44</v>
      </c>
      <c r="N340" s="1">
        <f ca="1">IFERROR(__xludf.DUMMYFUNCTION("""COMPUTED_VALUE"""),-11.84)</f>
        <v>-11.84</v>
      </c>
      <c r="O340" s="1">
        <f ca="1">IFERROR(__xludf.DUMMYFUNCTION("""COMPUTED_VALUE"""),317)</f>
        <v>317</v>
      </c>
      <c r="P340" s="1">
        <f ca="1">IFERROR(__xludf.DUMMYFUNCTION("""COMPUTED_VALUE"""),95.1)</f>
        <v>95.1</v>
      </c>
      <c r="Q340" s="1">
        <f ca="1">IFERROR(__xludf.DUMMYFUNCTION("""COMPUTED_VALUE"""),318)</f>
        <v>318</v>
      </c>
      <c r="R340" s="1">
        <f ca="1">IFERROR(__xludf.DUMMYFUNCTION("""COMPUTED_VALUE"""),107)</f>
        <v>107</v>
      </c>
      <c r="S340" s="1">
        <f ca="1">IFERROR(__xludf.DUMMYFUNCTION("""COMPUTED_VALUE"""),301)</f>
        <v>301</v>
      </c>
      <c r="T340" s="1">
        <f ca="1">IFERROR(__xludf.DUMMYFUNCTION("""COMPUTED_VALUE"""),-3.61)</f>
        <v>-3.61</v>
      </c>
      <c r="U340" s="1">
        <f ca="1">IFERROR(__xludf.DUMMYFUNCTION("""COMPUTED_VALUE"""),245)</f>
        <v>245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IFERROR(__xludf.DUMMYFUNCTION("""COMPUTED_VALUE"""),"North Carolina A&amp;T")</f>
        <v>North Carolina A&amp;T</v>
      </c>
      <c r="C341" s="1" t="str">
        <f ca="1">IFERROR(__xludf.DUMMYFUNCTION("""COMPUTED_VALUE"""),"MEAC")</f>
        <v>MEAC</v>
      </c>
      <c r="D341" s="2">
        <f ca="1">IFERROR(__xludf.DUMMYFUNCTION("""COMPUTED_VALUE"""),44645)</f>
        <v>44645</v>
      </c>
      <c r="E341" s="1">
        <f ca="1">IFERROR(__xludf.DUMMYFUNCTION("""COMPUTED_VALUE"""),-26.66)</f>
        <v>-26.66</v>
      </c>
      <c r="F341" s="1">
        <f ca="1">IFERROR(__xludf.DUMMYFUNCTION("""COMPUTED_VALUE"""),76.8)</f>
        <v>76.8</v>
      </c>
      <c r="G341" s="1">
        <f ca="1">IFERROR(__xludf.DUMMYFUNCTION("""COMPUTED_VALUE"""),325)</f>
        <v>325</v>
      </c>
      <c r="H341" s="1">
        <f ca="1">IFERROR(__xludf.DUMMYFUNCTION("""COMPUTED_VALUE"""),103.4)</f>
        <v>103.4</v>
      </c>
      <c r="I341" s="1">
        <f ca="1">IFERROR(__xludf.DUMMYFUNCTION("""COMPUTED_VALUE"""),167)</f>
        <v>167</v>
      </c>
      <c r="J341" s="1">
        <f ca="1">IFERROR(__xludf.DUMMYFUNCTION("""COMPUTED_VALUE"""),73.1)</f>
        <v>73.099999999999994</v>
      </c>
      <c r="K341" s="1">
        <f ca="1">IFERROR(__xludf.DUMMYFUNCTION("""COMPUTED_VALUE"""),4)</f>
        <v>4</v>
      </c>
      <c r="L341" s="1">
        <f ca="1">IFERROR(__xludf.DUMMYFUNCTION("""COMPUTED_VALUE"""),-0.069)</f>
        <v>-6.9000000000000006E-2</v>
      </c>
      <c r="M341" s="1">
        <f ca="1">IFERROR(__xludf.DUMMYFUNCTION("""COMPUTED_VALUE"""),291)</f>
        <v>291</v>
      </c>
      <c r="N341" s="1">
        <f ca="1">IFERROR(__xludf.DUMMYFUNCTION("""COMPUTED_VALUE"""),-8.91)</f>
        <v>-8.91</v>
      </c>
      <c r="O341" s="1">
        <f ca="1">IFERROR(__xludf.DUMMYFUNCTION("""COMPUTED_VALUE"""),294)</f>
        <v>294</v>
      </c>
      <c r="P341" s="1">
        <f ca="1">IFERROR(__xludf.DUMMYFUNCTION("""COMPUTED_VALUE"""),98.1)</f>
        <v>98.1</v>
      </c>
      <c r="Q341" s="1">
        <f ca="1">IFERROR(__xludf.DUMMYFUNCTION("""COMPUTED_VALUE"""),286)</f>
        <v>286</v>
      </c>
      <c r="R341" s="1">
        <f ca="1">IFERROR(__xludf.DUMMYFUNCTION("""COMPUTED_VALUE"""),107)</f>
        <v>107</v>
      </c>
      <c r="S341" s="1">
        <f ca="1">IFERROR(__xludf.DUMMYFUNCTION("""COMPUTED_VALUE"""),303)</f>
        <v>303</v>
      </c>
      <c r="T341" s="1" t="str">
        <f ca="1">IFERROR(__xludf.DUMMYFUNCTION("""COMPUTED_VALUE"""),"+6.93")</f>
        <v>+6.93</v>
      </c>
      <c r="U341" s="1">
        <f ca="1">IFERROR(__xludf.DUMMYFUNCTION("""COMPUTED_VALUE"""),26)</f>
        <v>26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IFERROR(__xludf.DUMMYFUNCTION("""COMPUTED_VALUE"""),"Navy")</f>
        <v>Navy</v>
      </c>
      <c r="C342" s="1" t="str">
        <f ca="1">IFERROR(__xludf.DUMMYFUNCTION("""COMPUTED_VALUE"""),"Pat")</f>
        <v>Pat</v>
      </c>
      <c r="D342" s="2">
        <f ca="1">IFERROR(__xludf.DUMMYFUNCTION("""COMPUTED_VALUE"""),44704)</f>
        <v>44704</v>
      </c>
      <c r="E342" s="1">
        <f ca="1">IFERROR(__xludf.DUMMYFUNCTION("""COMPUTED_VALUE"""),-27.26)</f>
        <v>-27.26</v>
      </c>
      <c r="F342" s="1">
        <f ca="1">IFERROR(__xludf.DUMMYFUNCTION("""COMPUTED_VALUE"""),81.9)</f>
        <v>81.900000000000006</v>
      </c>
      <c r="G342" s="1">
        <f ca="1">IFERROR(__xludf.DUMMYFUNCTION("""COMPUTED_VALUE"""),323)</f>
        <v>323</v>
      </c>
      <c r="H342" s="1">
        <f ca="1">IFERROR(__xludf.DUMMYFUNCTION("""COMPUTED_VALUE"""),109.2)</f>
        <v>109.2</v>
      </c>
      <c r="I342" s="1">
        <f ca="1">IFERROR(__xludf.DUMMYFUNCTION("""COMPUTED_VALUE"""),277)</f>
        <v>277</v>
      </c>
      <c r="J342" s="1">
        <f ca="1">IFERROR(__xludf.DUMMYFUNCTION("""COMPUTED_VALUE"""),66.1)</f>
        <v>66.099999999999994</v>
      </c>
      <c r="K342" s="1">
        <f ca="1">IFERROR(__xludf.DUMMYFUNCTION("""COMPUTED_VALUE"""),150)</f>
        <v>150</v>
      </c>
      <c r="L342" s="1">
        <f ca="1">IFERROR(__xludf.DUMMYFUNCTION("""COMPUTED_VALUE"""),-0.027)</f>
        <v>-2.7E-2</v>
      </c>
      <c r="M342" s="1">
        <f ca="1">IFERROR(__xludf.DUMMYFUNCTION("""COMPUTED_VALUE"""),231)</f>
        <v>231</v>
      </c>
      <c r="N342" s="1">
        <f ca="1">IFERROR(__xludf.DUMMYFUNCTION("""COMPUTED_VALUE"""),-6)</f>
        <v>-6</v>
      </c>
      <c r="O342" s="1">
        <f ca="1">IFERROR(__xludf.DUMMYFUNCTION("""COMPUTED_VALUE"""),257)</f>
        <v>257</v>
      </c>
      <c r="P342" s="1">
        <f ca="1">IFERROR(__xludf.DUMMYFUNCTION("""COMPUTED_VALUE"""),99.2)</f>
        <v>99.2</v>
      </c>
      <c r="Q342" s="1">
        <f ca="1">IFERROR(__xludf.DUMMYFUNCTION("""COMPUTED_VALUE"""),266)</f>
        <v>266</v>
      </c>
      <c r="R342" s="1">
        <f ca="1">IFERROR(__xludf.DUMMYFUNCTION("""COMPUTED_VALUE"""),105.2)</f>
        <v>105.2</v>
      </c>
      <c r="S342" s="1">
        <f ca="1">IFERROR(__xludf.DUMMYFUNCTION("""COMPUTED_VALUE"""),228)</f>
        <v>228</v>
      </c>
      <c r="T342" s="1">
        <f ca="1">IFERROR(__xludf.DUMMYFUNCTION("""COMPUTED_VALUE"""),-1.15)</f>
        <v>-1.1499999999999999</v>
      </c>
      <c r="U342" s="1">
        <f ca="1">IFERROR(__xludf.DUMMYFUNCTION("""COMPUTED_VALUE"""),195)</f>
        <v>195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IFERROR(__xludf.DUMMYFUNCTION("""COMPUTED_VALUE"""),"Army")</f>
        <v>Army</v>
      </c>
      <c r="C343" s="1" t="str">
        <f ca="1">IFERROR(__xludf.DUMMYFUNCTION("""COMPUTED_VALUE"""),"Pat")</f>
        <v>Pat</v>
      </c>
      <c r="D343" s="2">
        <f ca="1">IFERROR(__xludf.DUMMYFUNCTION("""COMPUTED_VALUE"""),44733)</f>
        <v>44733</v>
      </c>
      <c r="E343" s="1">
        <f ca="1">IFERROR(__xludf.DUMMYFUNCTION("""COMPUTED_VALUE"""),-30.49)</f>
        <v>-30.49</v>
      </c>
      <c r="F343" s="1">
        <f ca="1">IFERROR(__xludf.DUMMYFUNCTION("""COMPUTED_VALUE"""),77.9)</f>
        <v>77.900000000000006</v>
      </c>
      <c r="G343" s="1">
        <f ca="1">IFERROR(__xludf.DUMMYFUNCTION("""COMPUTED_VALUE"""),324)</f>
        <v>324</v>
      </c>
      <c r="H343" s="1">
        <f ca="1">IFERROR(__xludf.DUMMYFUNCTION("""COMPUTED_VALUE"""),108.4)</f>
        <v>108.4</v>
      </c>
      <c r="I343" s="1">
        <f ca="1">IFERROR(__xludf.DUMMYFUNCTION("""COMPUTED_VALUE"""),264)</f>
        <v>264</v>
      </c>
      <c r="J343" s="1">
        <f ca="1">IFERROR(__xludf.DUMMYFUNCTION("""COMPUTED_VALUE"""),61.8)</f>
        <v>61.8</v>
      </c>
      <c r="K343" s="1">
        <f ca="1">IFERROR(__xludf.DUMMYFUNCTION("""COMPUTED_VALUE"""),296)</f>
        <v>296</v>
      </c>
      <c r="L343" s="1" t="str">
        <f ca="1">IFERROR(__xludf.DUMMYFUNCTION("""COMPUTED_VALUE"""),"+.001")</f>
        <v>+.001</v>
      </c>
      <c r="M343" s="1">
        <f ca="1">IFERROR(__xludf.DUMMYFUNCTION("""COMPUTED_VALUE"""),169)</f>
        <v>169</v>
      </c>
      <c r="N343" s="1">
        <f ca="1">IFERROR(__xludf.DUMMYFUNCTION("""COMPUTED_VALUE"""),-10.65)</f>
        <v>-10.65</v>
      </c>
      <c r="O343" s="1">
        <f ca="1">IFERROR(__xludf.DUMMYFUNCTION("""COMPUTED_VALUE"""),311)</f>
        <v>311</v>
      </c>
      <c r="P343" s="1">
        <f ca="1">IFERROR(__xludf.DUMMYFUNCTION("""COMPUTED_VALUE"""),96.6)</f>
        <v>96.6</v>
      </c>
      <c r="Q343" s="1">
        <f ca="1">IFERROR(__xludf.DUMMYFUNCTION("""COMPUTED_VALUE"""),306)</f>
        <v>306</v>
      </c>
      <c r="R343" s="1">
        <f ca="1">IFERROR(__xludf.DUMMYFUNCTION("""COMPUTED_VALUE"""),107.3)</f>
        <v>107.3</v>
      </c>
      <c r="S343" s="1">
        <f ca="1">IFERROR(__xludf.DUMMYFUNCTION("""COMPUTED_VALUE"""),307)</f>
        <v>307</v>
      </c>
      <c r="T343" s="1">
        <f ca="1">IFERROR(__xludf.DUMMYFUNCTION("""COMPUTED_VALUE"""),-13.57)</f>
        <v>-13.57</v>
      </c>
      <c r="U343" s="1">
        <f ca="1">IFERROR(__xludf.DUMMYFUNCTION("""COMPUTED_VALUE"""),325)</f>
        <v>325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IFERROR(__xludf.DUMMYFUNCTION("""COMPUTED_VALUE"""),"Arkansas Pine Bluff")</f>
        <v>Arkansas Pine Bluff</v>
      </c>
      <c r="C344" s="1" t="str">
        <f ca="1">IFERROR(__xludf.DUMMYFUNCTION("""COMPUTED_VALUE"""),"SWAC")</f>
        <v>SWAC</v>
      </c>
      <c r="D344" s="2">
        <f ca="1">IFERROR(__xludf.DUMMYFUNCTION("""COMPUTED_VALUE"""),44587)</f>
        <v>44587</v>
      </c>
      <c r="E344" s="1">
        <f ca="1">IFERROR(__xludf.DUMMYFUNCTION("""COMPUTED_VALUE"""),-36.33)</f>
        <v>-36.33</v>
      </c>
      <c r="F344" s="1">
        <f ca="1">IFERROR(__xludf.DUMMYFUNCTION("""COMPUTED_VALUE"""),76.2)</f>
        <v>76.2</v>
      </c>
      <c r="G344" s="1">
        <f ca="1">IFERROR(__xludf.DUMMYFUNCTION("""COMPUTED_VALUE"""),326)</f>
        <v>326</v>
      </c>
      <c r="H344" s="1">
        <f ca="1">IFERROR(__xludf.DUMMYFUNCTION("""COMPUTED_VALUE"""),112.5)</f>
        <v>112.5</v>
      </c>
      <c r="I344" s="1">
        <f ca="1">IFERROR(__xludf.DUMMYFUNCTION("""COMPUTED_VALUE"""),314)</f>
        <v>314</v>
      </c>
      <c r="J344" s="1">
        <f ca="1">IFERROR(__xludf.DUMMYFUNCTION("""COMPUTED_VALUE"""),67.3)</f>
        <v>67.3</v>
      </c>
      <c r="K344" s="1">
        <f ca="1">IFERROR(__xludf.DUMMYFUNCTION("""COMPUTED_VALUE"""),113)</f>
        <v>113</v>
      </c>
      <c r="L344" s="1">
        <f ca="1">IFERROR(__xludf.DUMMYFUNCTION("""COMPUTED_VALUE"""),-0.013)</f>
        <v>-1.2999999999999999E-2</v>
      </c>
      <c r="M344" s="1">
        <f ca="1">IFERROR(__xludf.DUMMYFUNCTION("""COMPUTED_VALUE"""),197)</f>
        <v>197</v>
      </c>
      <c r="N344" s="1">
        <f ca="1">IFERROR(__xludf.DUMMYFUNCTION("""COMPUTED_VALUE"""),-8.5)</f>
        <v>-8.5</v>
      </c>
      <c r="O344" s="1">
        <f ca="1">IFERROR(__xludf.DUMMYFUNCTION("""COMPUTED_VALUE"""),289)</f>
        <v>289</v>
      </c>
      <c r="P344" s="1">
        <f ca="1">IFERROR(__xludf.DUMMYFUNCTION("""COMPUTED_VALUE"""),96.9)</f>
        <v>96.9</v>
      </c>
      <c r="Q344" s="1">
        <f ca="1">IFERROR(__xludf.DUMMYFUNCTION("""COMPUTED_VALUE"""),304)</f>
        <v>304</v>
      </c>
      <c r="R344" s="1">
        <f ca="1">IFERROR(__xludf.DUMMYFUNCTION("""COMPUTED_VALUE"""),105.4)</f>
        <v>105.4</v>
      </c>
      <c r="S344" s="1">
        <f ca="1">IFERROR(__xludf.DUMMYFUNCTION("""COMPUTED_VALUE"""),242)</f>
        <v>242</v>
      </c>
      <c r="T344" s="1" t="str">
        <f ca="1">IFERROR(__xludf.DUMMYFUNCTION("""COMPUTED_VALUE"""),"+7.27")</f>
        <v>+7.27</v>
      </c>
      <c r="U344" s="1">
        <f ca="1">IFERROR(__xludf.DUMMYFUNCTION("""COMPUTED_VALUE"""),20)</f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348"/>
  <sheetViews>
    <sheetView topLeftCell="A58" workbookViewId="0">
      <selection activeCell="B82" sqref="B1:B1048576"/>
    </sheetView>
  </sheetViews>
  <sheetFormatPr baseColWidth="10" defaultColWidth="12.6640625" defaultRowHeight="15.75" customHeight="1" x14ac:dyDescent="0.15"/>
  <sheetData>
    <row r="1" spans="1:21" ht="13" x14ac:dyDescent="0.15">
      <c r="A1" s="3" t="str">
        <f ca="1">IFERROR(__xludf.DUMMYFUNCTION("IMPORThtML(""https://kenpom.com/index.php?y=2005"",""table"",1)"),"")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2</v>
      </c>
      <c r="H2" s="1" t="str">
        <f ca="1">IFERROR(__xludf.DUMMYFUNCTION("""COMPUTED_VALUE"""),"AdjD")</f>
        <v>AdjD</v>
      </c>
      <c r="I2" s="1" t="s">
        <v>3</v>
      </c>
      <c r="J2" s="1" t="str">
        <f ca="1">IFERROR(__xludf.DUMMYFUNCTION("""COMPUTED_VALUE"""),"AdjT")</f>
        <v>AdjT</v>
      </c>
      <c r="K2" s="1" t="s">
        <v>4</v>
      </c>
      <c r="L2" s="1" t="str">
        <f ca="1">IFERROR(__xludf.DUMMYFUNCTION("""COMPUTED_VALUE"""),"Luck")</f>
        <v>Luck</v>
      </c>
      <c r="M2" s="1" t="s">
        <v>5</v>
      </c>
      <c r="N2" s="1" t="s">
        <v>0</v>
      </c>
      <c r="O2" s="1" t="s">
        <v>6</v>
      </c>
      <c r="P2" s="1" t="str">
        <f ca="1">IFERROR(__xludf.DUMMYFUNCTION("""COMPUTED_VALUE"""),"OppO")</f>
        <v>OppO</v>
      </c>
      <c r="Q2" s="1" t="s">
        <v>7</v>
      </c>
      <c r="R2" s="1" t="str">
        <f ca="1">IFERROR(__xludf.DUMMYFUNCTION("""COMPUTED_VALUE"""),"OppD")</f>
        <v>OppD</v>
      </c>
      <c r="S2" s="1" t="s">
        <v>8</v>
      </c>
      <c r="T2" s="1" t="s">
        <v>1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IFERROR(__xludf.DUMMYFUNCTION("""COMPUTED_VALUE"""),"North Carolina1")</f>
        <v>North Carolina1</v>
      </c>
      <c r="C3" s="1" t="str">
        <f ca="1">IFERROR(__xludf.DUMMYFUNCTION("""COMPUTED_VALUE"""),"ACC")</f>
        <v>ACC</v>
      </c>
      <c r="D3" s="1" t="str">
        <f ca="1">IFERROR(__xludf.DUMMYFUNCTION("""COMPUTED_VALUE"""),"33-4")</f>
        <v>33-4</v>
      </c>
      <c r="E3" s="1" t="str">
        <f ca="1">IFERROR(__xludf.DUMMYFUNCTION("""COMPUTED_VALUE"""),"+32.77")</f>
        <v>+32.77</v>
      </c>
      <c r="F3" s="1">
        <f ca="1">IFERROR(__xludf.DUMMYFUNCTION("""COMPUTED_VALUE"""),122.5)</f>
        <v>122.5</v>
      </c>
      <c r="G3" s="1">
        <f ca="1">IFERROR(__xludf.DUMMYFUNCTION("""COMPUTED_VALUE"""),2)</f>
        <v>2</v>
      </c>
      <c r="H3" s="1">
        <f ca="1">IFERROR(__xludf.DUMMYFUNCTION("""COMPUTED_VALUE"""),89.7)</f>
        <v>89.7</v>
      </c>
      <c r="I3" s="1">
        <f ca="1">IFERROR(__xludf.DUMMYFUNCTION("""COMPUTED_VALUE"""),5)</f>
        <v>5</v>
      </c>
      <c r="J3" s="1">
        <f ca="1">IFERROR(__xludf.DUMMYFUNCTION("""COMPUTED_VALUE"""),73.1)</f>
        <v>73.099999999999994</v>
      </c>
      <c r="K3" s="1">
        <f ca="1">IFERROR(__xludf.DUMMYFUNCTION("""COMPUTED_VALUE"""),7)</f>
        <v>7</v>
      </c>
      <c r="L3" s="1" t="str">
        <f ca="1">IFERROR(__xludf.DUMMYFUNCTION("""COMPUTED_VALUE"""),"+.011")</f>
        <v>+.011</v>
      </c>
      <c r="M3" s="1">
        <f ca="1">IFERROR(__xludf.DUMMYFUNCTION("""COMPUTED_VALUE"""),135)</f>
        <v>135</v>
      </c>
      <c r="N3" s="1" t="str">
        <f ca="1">IFERROR(__xludf.DUMMYFUNCTION("""COMPUTED_VALUE"""),"+11.64")</f>
        <v>+11.64</v>
      </c>
      <c r="O3" s="1">
        <f ca="1">IFERROR(__xludf.DUMMYFUNCTION("""COMPUTED_VALUE"""),2)</f>
        <v>2</v>
      </c>
      <c r="P3" s="1">
        <f ca="1">IFERROR(__xludf.DUMMYFUNCTION("""COMPUTED_VALUE"""),108.7)</f>
        <v>108.7</v>
      </c>
      <c r="Q3" s="1">
        <f ca="1">IFERROR(__xludf.DUMMYFUNCTION("""COMPUTED_VALUE"""),7)</f>
        <v>7</v>
      </c>
      <c r="R3" s="1">
        <f ca="1">IFERROR(__xludf.DUMMYFUNCTION("""COMPUTED_VALUE"""),97.1)</f>
        <v>97.1</v>
      </c>
      <c r="S3" s="1">
        <f ca="1">IFERROR(__xludf.DUMMYFUNCTION("""COMPUTED_VALUE"""),1)</f>
        <v>1</v>
      </c>
      <c r="T3" s="1" t="str">
        <f ca="1">IFERROR(__xludf.DUMMYFUNCTION("""COMPUTED_VALUE"""),"+4.26")</f>
        <v>+4.26</v>
      </c>
      <c r="U3" s="1">
        <f ca="1">IFERROR(__xludf.DUMMYFUNCTION("""COMPUTED_VALUE"""),64)</f>
        <v>64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IFERROR(__xludf.DUMMYFUNCTION("""COMPUTED_VALUE"""),"Illinois1")</f>
        <v>Illinois1</v>
      </c>
      <c r="C4" s="1" t="str">
        <f ca="1">IFERROR(__xludf.DUMMYFUNCTION("""COMPUTED_VALUE"""),"B10")</f>
        <v>B10</v>
      </c>
      <c r="D4" s="1" t="str">
        <f ca="1">IFERROR(__xludf.DUMMYFUNCTION("""COMPUTED_VALUE"""),"37-2")</f>
        <v>37-2</v>
      </c>
      <c r="E4" s="1" t="str">
        <f ca="1">IFERROR(__xludf.DUMMYFUNCTION("""COMPUTED_VALUE"""),"+32.68")</f>
        <v>+32.68</v>
      </c>
      <c r="F4" s="1">
        <f ca="1">IFERROR(__xludf.DUMMYFUNCTION("""COMPUTED_VALUE"""),122.3)</f>
        <v>122.3</v>
      </c>
      <c r="G4" s="1">
        <f ca="1">IFERROR(__xludf.DUMMYFUNCTION("""COMPUTED_VALUE"""),3)</f>
        <v>3</v>
      </c>
      <c r="H4" s="1">
        <f ca="1">IFERROR(__xludf.DUMMYFUNCTION("""COMPUTED_VALUE"""),89.6)</f>
        <v>89.6</v>
      </c>
      <c r="I4" s="1">
        <f ca="1">IFERROR(__xludf.DUMMYFUNCTION("""COMPUTED_VALUE"""),4)</f>
        <v>4</v>
      </c>
      <c r="J4" s="1">
        <f ca="1">IFERROR(__xludf.DUMMYFUNCTION("""COMPUTED_VALUE"""),64.1)</f>
        <v>64.099999999999994</v>
      </c>
      <c r="K4" s="1">
        <f ca="1">IFERROR(__xludf.DUMMYFUNCTION("""COMPUTED_VALUE"""),249)</f>
        <v>249</v>
      </c>
      <c r="L4" s="1">
        <f ca="1">IFERROR(__xludf.DUMMYFUNCTION("""COMPUTED_VALUE"""),-0.007)</f>
        <v>-7.0000000000000001E-3</v>
      </c>
      <c r="M4" s="1">
        <f ca="1">IFERROR(__xludf.DUMMYFUNCTION("""COMPUTED_VALUE"""),179)</f>
        <v>179</v>
      </c>
      <c r="N4" s="1" t="str">
        <f ca="1">IFERROR(__xludf.DUMMYFUNCTION("""COMPUTED_VALUE"""),"+8.16")</f>
        <v>+8.16</v>
      </c>
      <c r="O4" s="1">
        <f ca="1">IFERROR(__xludf.DUMMYFUNCTION("""COMPUTED_VALUE"""),28)</f>
        <v>28</v>
      </c>
      <c r="P4" s="1">
        <f ca="1">IFERROR(__xludf.DUMMYFUNCTION("""COMPUTED_VALUE"""),107.3)</f>
        <v>107.3</v>
      </c>
      <c r="Q4" s="1">
        <f ca="1">IFERROR(__xludf.DUMMYFUNCTION("""COMPUTED_VALUE"""),32)</f>
        <v>32</v>
      </c>
      <c r="R4" s="1">
        <f ca="1">IFERROR(__xludf.DUMMYFUNCTION("""COMPUTED_VALUE"""),99.1)</f>
        <v>99.1</v>
      </c>
      <c r="S4" s="1">
        <f ca="1">IFERROR(__xludf.DUMMYFUNCTION("""COMPUTED_VALUE"""),27)</f>
        <v>27</v>
      </c>
      <c r="T4" s="1" t="str">
        <f ca="1">IFERROR(__xludf.DUMMYFUNCTION("""COMPUTED_VALUE"""),"+0.31")</f>
        <v>+0.31</v>
      </c>
      <c r="U4" s="1">
        <f ca="1">IFERROR(__xludf.DUMMYFUNCTION("""COMPUTED_VALUE"""),157)</f>
        <v>157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IFERROR(__xludf.DUMMYFUNCTION("""COMPUTED_VALUE"""),"Duke1")</f>
        <v>Duke1</v>
      </c>
      <c r="C5" s="1" t="str">
        <f ca="1">IFERROR(__xludf.DUMMYFUNCTION("""COMPUTED_VALUE"""),"ACC")</f>
        <v>ACC</v>
      </c>
      <c r="D5" s="1" t="str">
        <f ca="1">IFERROR(__xludf.DUMMYFUNCTION("""COMPUTED_VALUE"""),"27-6")</f>
        <v>27-6</v>
      </c>
      <c r="E5" s="1" t="str">
        <f ca="1">IFERROR(__xludf.DUMMYFUNCTION("""COMPUTED_VALUE"""),"+27.41")</f>
        <v>+27.41</v>
      </c>
      <c r="F5" s="1">
        <f ca="1">IFERROR(__xludf.DUMMYFUNCTION("""COMPUTED_VALUE"""),115.7)</f>
        <v>115.7</v>
      </c>
      <c r="G5" s="1">
        <f ca="1">IFERROR(__xludf.DUMMYFUNCTION("""COMPUTED_VALUE"""),13)</f>
        <v>13</v>
      </c>
      <c r="H5" s="1">
        <f ca="1">IFERROR(__xludf.DUMMYFUNCTION("""COMPUTED_VALUE"""),88.3)</f>
        <v>88.3</v>
      </c>
      <c r="I5" s="1">
        <f ca="1">IFERROR(__xludf.DUMMYFUNCTION("""COMPUTED_VALUE"""),2)</f>
        <v>2</v>
      </c>
      <c r="J5" s="1">
        <f ca="1">IFERROR(__xludf.DUMMYFUNCTION("""COMPUTED_VALUE"""),68.3)</f>
        <v>68.3</v>
      </c>
      <c r="K5" s="1">
        <f ca="1">IFERROR(__xludf.DUMMYFUNCTION("""COMPUTED_VALUE"""),81)</f>
        <v>81</v>
      </c>
      <c r="L5" s="1">
        <f ca="1">IFERROR(__xludf.DUMMYFUNCTION("""COMPUTED_VALUE"""),-0.002)</f>
        <v>-2E-3</v>
      </c>
      <c r="M5" s="1">
        <f ca="1">IFERROR(__xludf.DUMMYFUNCTION("""COMPUTED_VALUE"""),167)</f>
        <v>167</v>
      </c>
      <c r="N5" s="1" t="str">
        <f ca="1">IFERROR(__xludf.DUMMYFUNCTION("""COMPUTED_VALUE"""),"+10.89")</f>
        <v>+10.89</v>
      </c>
      <c r="O5" s="1">
        <f ca="1">IFERROR(__xludf.DUMMYFUNCTION("""COMPUTED_VALUE"""),6)</f>
        <v>6</v>
      </c>
      <c r="P5" s="1">
        <f ca="1">IFERROR(__xludf.DUMMYFUNCTION("""COMPUTED_VALUE"""),109.5)</f>
        <v>109.5</v>
      </c>
      <c r="Q5" s="1">
        <f ca="1">IFERROR(__xludf.DUMMYFUNCTION("""COMPUTED_VALUE"""),2)</f>
        <v>2</v>
      </c>
      <c r="R5" s="1">
        <f ca="1">IFERROR(__xludf.DUMMYFUNCTION("""COMPUTED_VALUE"""),98.6)</f>
        <v>98.6</v>
      </c>
      <c r="S5" s="1">
        <f ca="1">IFERROR(__xludf.DUMMYFUNCTION("""COMPUTED_VALUE"""),18)</f>
        <v>18</v>
      </c>
      <c r="T5" s="1" t="str">
        <f ca="1">IFERROR(__xludf.DUMMYFUNCTION("""COMPUTED_VALUE"""),"+1.51")</f>
        <v>+1.51</v>
      </c>
      <c r="U5" s="1">
        <f ca="1">IFERROR(__xludf.DUMMYFUNCTION("""COMPUTED_VALUE"""),116)</f>
        <v>116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IFERROR(__xludf.DUMMYFUNCTION("""COMPUTED_VALUE"""),"Louisville4")</f>
        <v>Louisville4</v>
      </c>
      <c r="C6" s="1" t="str">
        <f ca="1">IFERROR(__xludf.DUMMYFUNCTION("""COMPUTED_VALUE"""),"CUSA")</f>
        <v>CUSA</v>
      </c>
      <c r="D6" s="1" t="str">
        <f ca="1">IFERROR(__xludf.DUMMYFUNCTION("""COMPUTED_VALUE"""),"33-5")</f>
        <v>33-5</v>
      </c>
      <c r="E6" s="1" t="str">
        <f ca="1">IFERROR(__xludf.DUMMYFUNCTION("""COMPUTED_VALUE"""),"+25.78")</f>
        <v>+25.78</v>
      </c>
      <c r="F6" s="1">
        <f ca="1">IFERROR(__xludf.DUMMYFUNCTION("""COMPUTED_VALUE"""),118.8)</f>
        <v>118.8</v>
      </c>
      <c r="G6" s="1">
        <f ca="1">IFERROR(__xludf.DUMMYFUNCTION("""COMPUTED_VALUE"""),8)</f>
        <v>8</v>
      </c>
      <c r="H6" s="1">
        <f ca="1">IFERROR(__xludf.DUMMYFUNCTION("""COMPUTED_VALUE"""),93)</f>
        <v>93</v>
      </c>
      <c r="I6" s="1">
        <f ca="1">IFERROR(__xludf.DUMMYFUNCTION("""COMPUTED_VALUE"""),20)</f>
        <v>20</v>
      </c>
      <c r="J6" s="1">
        <f ca="1">IFERROR(__xludf.DUMMYFUNCTION("""COMPUTED_VALUE"""),66.3)</f>
        <v>66.3</v>
      </c>
      <c r="K6" s="1">
        <f ca="1">IFERROR(__xludf.DUMMYFUNCTION("""COMPUTED_VALUE"""),154)</f>
        <v>154</v>
      </c>
      <c r="L6" s="1" t="str">
        <f ca="1">IFERROR(__xludf.DUMMYFUNCTION("""COMPUTED_VALUE"""),"+.045")</f>
        <v>+.045</v>
      </c>
      <c r="M6" s="1">
        <f ca="1">IFERROR(__xludf.DUMMYFUNCTION("""COMPUTED_VALUE"""),67)</f>
        <v>67</v>
      </c>
      <c r="N6" s="1" t="str">
        <f ca="1">IFERROR(__xludf.DUMMYFUNCTION("""COMPUTED_VALUE"""),"+6.42")</f>
        <v>+6.42</v>
      </c>
      <c r="O6" s="1">
        <f ca="1">IFERROR(__xludf.DUMMYFUNCTION("""COMPUTED_VALUE"""),57)</f>
        <v>57</v>
      </c>
      <c r="P6" s="1">
        <f ca="1">IFERROR(__xludf.DUMMYFUNCTION("""COMPUTED_VALUE"""),106.1)</f>
        <v>106.1</v>
      </c>
      <c r="Q6" s="1">
        <f ca="1">IFERROR(__xludf.DUMMYFUNCTION("""COMPUTED_VALUE"""),68)</f>
        <v>68</v>
      </c>
      <c r="R6" s="1">
        <f ca="1">IFERROR(__xludf.DUMMYFUNCTION("""COMPUTED_VALUE"""),99.7)</f>
        <v>99.7</v>
      </c>
      <c r="S6" s="1">
        <f ca="1">IFERROR(__xludf.DUMMYFUNCTION("""COMPUTED_VALUE"""),43)</f>
        <v>43</v>
      </c>
      <c r="T6" s="1">
        <f ca="1">IFERROR(__xludf.DUMMYFUNCTION("""COMPUTED_VALUE"""),-2.03)</f>
        <v>-2.0299999999999998</v>
      </c>
      <c r="U6" s="1">
        <f ca="1">IFERROR(__xludf.DUMMYFUNCTION("""COMPUTED_VALUE"""),218)</f>
        <v>218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IFERROR(__xludf.DUMMYFUNCTION("""COMPUTED_VALUE"""),"Michigan St.5")</f>
        <v>Michigan St.5</v>
      </c>
      <c r="C7" s="1" t="str">
        <f ca="1">IFERROR(__xludf.DUMMYFUNCTION("""COMPUTED_VALUE"""),"B10")</f>
        <v>B10</v>
      </c>
      <c r="D7" s="1" t="str">
        <f ca="1">IFERROR(__xludf.DUMMYFUNCTION("""COMPUTED_VALUE"""),"26-7")</f>
        <v>26-7</v>
      </c>
      <c r="E7" s="1" t="str">
        <f ca="1">IFERROR(__xludf.DUMMYFUNCTION("""COMPUTED_VALUE"""),"+25.67")</f>
        <v>+25.67</v>
      </c>
      <c r="F7" s="1">
        <f ca="1">IFERROR(__xludf.DUMMYFUNCTION("""COMPUTED_VALUE"""),119.7)</f>
        <v>119.7</v>
      </c>
      <c r="G7" s="1">
        <f ca="1">IFERROR(__xludf.DUMMYFUNCTION("""COMPUTED_VALUE"""),6)</f>
        <v>6</v>
      </c>
      <c r="H7" s="1">
        <f ca="1">IFERROR(__xludf.DUMMYFUNCTION("""COMPUTED_VALUE"""),94)</f>
        <v>94</v>
      </c>
      <c r="I7" s="1">
        <f ca="1">IFERROR(__xludf.DUMMYFUNCTION("""COMPUTED_VALUE"""),28)</f>
        <v>28</v>
      </c>
      <c r="J7" s="1">
        <f ca="1">IFERROR(__xludf.DUMMYFUNCTION("""COMPUTED_VALUE"""),66.4)</f>
        <v>66.400000000000006</v>
      </c>
      <c r="K7" s="1">
        <f ca="1">IFERROR(__xludf.DUMMYFUNCTION("""COMPUTED_VALUE"""),150)</f>
        <v>150</v>
      </c>
      <c r="L7" s="1">
        <f ca="1">IFERROR(__xludf.DUMMYFUNCTION("""COMPUTED_VALUE"""),-0.013)</f>
        <v>-1.2999999999999999E-2</v>
      </c>
      <c r="M7" s="1">
        <f ca="1">IFERROR(__xludf.DUMMYFUNCTION("""COMPUTED_VALUE"""),194)</f>
        <v>194</v>
      </c>
      <c r="N7" s="1" t="str">
        <f ca="1">IFERROR(__xludf.DUMMYFUNCTION("""COMPUTED_VALUE"""),"+7.89")</f>
        <v>+7.89</v>
      </c>
      <c r="O7" s="1">
        <f ca="1">IFERROR(__xludf.DUMMYFUNCTION("""COMPUTED_VALUE"""),33)</f>
        <v>33</v>
      </c>
      <c r="P7" s="1">
        <f ca="1">IFERROR(__xludf.DUMMYFUNCTION("""COMPUTED_VALUE"""),107)</f>
        <v>107</v>
      </c>
      <c r="Q7" s="1">
        <f ca="1">IFERROR(__xludf.DUMMYFUNCTION("""COMPUTED_VALUE"""),41)</f>
        <v>41</v>
      </c>
      <c r="R7" s="1">
        <f ca="1">IFERROR(__xludf.DUMMYFUNCTION("""COMPUTED_VALUE"""),99.1)</f>
        <v>99.1</v>
      </c>
      <c r="S7" s="1">
        <f ca="1">IFERROR(__xludf.DUMMYFUNCTION("""COMPUTED_VALUE"""),25)</f>
        <v>25</v>
      </c>
      <c r="T7" s="1">
        <f ca="1">IFERROR(__xludf.DUMMYFUNCTION("""COMPUTED_VALUE"""),-3.18)</f>
        <v>-3.18</v>
      </c>
      <c r="U7" s="1">
        <f ca="1">IFERROR(__xludf.DUMMYFUNCTION("""COMPUTED_VALUE"""),240)</f>
        <v>240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IFERROR(__xludf.DUMMYFUNCTION("""COMPUTED_VALUE"""),"Oklahoma St.2")</f>
        <v>Oklahoma St.2</v>
      </c>
      <c r="C8" s="1" t="str">
        <f ca="1">IFERROR(__xludf.DUMMYFUNCTION("""COMPUTED_VALUE"""),"B12")</f>
        <v>B12</v>
      </c>
      <c r="D8" s="1" t="str">
        <f ca="1">IFERROR(__xludf.DUMMYFUNCTION("""COMPUTED_VALUE"""),"26-7")</f>
        <v>26-7</v>
      </c>
      <c r="E8" s="1" t="str">
        <f ca="1">IFERROR(__xludf.DUMMYFUNCTION("""COMPUTED_VALUE"""),"+25.02")</f>
        <v>+25.02</v>
      </c>
      <c r="F8" s="1">
        <f ca="1">IFERROR(__xludf.DUMMYFUNCTION("""COMPUTED_VALUE"""),121.2)</f>
        <v>121.2</v>
      </c>
      <c r="G8" s="1">
        <f ca="1">IFERROR(__xludf.DUMMYFUNCTION("""COMPUTED_VALUE"""),4)</f>
        <v>4</v>
      </c>
      <c r="H8" s="1">
        <f ca="1">IFERROR(__xludf.DUMMYFUNCTION("""COMPUTED_VALUE"""),96.2)</f>
        <v>96.2</v>
      </c>
      <c r="I8" s="1">
        <f ca="1">IFERROR(__xludf.DUMMYFUNCTION("""COMPUTED_VALUE"""),50)</f>
        <v>50</v>
      </c>
      <c r="J8" s="1">
        <f ca="1">IFERROR(__xludf.DUMMYFUNCTION("""COMPUTED_VALUE"""),66.2)</f>
        <v>66.2</v>
      </c>
      <c r="K8" s="1">
        <f ca="1">IFERROR(__xludf.DUMMYFUNCTION("""COMPUTED_VALUE"""),160)</f>
        <v>160</v>
      </c>
      <c r="L8" s="1">
        <f ca="1">IFERROR(__xludf.DUMMYFUNCTION("""COMPUTED_VALUE"""),-0.015)</f>
        <v>-1.4999999999999999E-2</v>
      </c>
      <c r="M8" s="1">
        <f ca="1">IFERROR(__xludf.DUMMYFUNCTION("""COMPUTED_VALUE"""),204)</f>
        <v>204</v>
      </c>
      <c r="N8" s="1" t="str">
        <f ca="1">IFERROR(__xludf.DUMMYFUNCTION("""COMPUTED_VALUE"""),"+9.59")</f>
        <v>+9.59</v>
      </c>
      <c r="O8" s="1">
        <f ca="1">IFERROR(__xludf.DUMMYFUNCTION("""COMPUTED_VALUE"""),15)</f>
        <v>15</v>
      </c>
      <c r="P8" s="1">
        <f ca="1">IFERROR(__xludf.DUMMYFUNCTION("""COMPUTED_VALUE"""),108)</f>
        <v>108</v>
      </c>
      <c r="Q8" s="1">
        <f ca="1">IFERROR(__xludf.DUMMYFUNCTION("""COMPUTED_VALUE"""),19)</f>
        <v>19</v>
      </c>
      <c r="R8" s="1">
        <f ca="1">IFERROR(__xludf.DUMMYFUNCTION("""COMPUTED_VALUE"""),98.4)</f>
        <v>98.4</v>
      </c>
      <c r="S8" s="1">
        <f ca="1">IFERROR(__xludf.DUMMYFUNCTION("""COMPUTED_VALUE"""),14)</f>
        <v>14</v>
      </c>
      <c r="T8" s="1" t="str">
        <f ca="1">IFERROR(__xludf.DUMMYFUNCTION("""COMPUTED_VALUE"""),"+5.03")</f>
        <v>+5.03</v>
      </c>
      <c r="U8" s="1">
        <f ca="1">IFERROR(__xludf.DUMMYFUNCTION("""COMPUTED_VALUE"""),49)</f>
        <v>49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IFERROR(__xludf.DUMMYFUNCTION("""COMPUTED_VALUE"""),"Villanova5")</f>
        <v>Villanova5</v>
      </c>
      <c r="C9" s="1" t="str">
        <f ca="1">IFERROR(__xludf.DUMMYFUNCTION("""COMPUTED_VALUE"""),"BE")</f>
        <v>BE</v>
      </c>
      <c r="D9" s="1" t="str">
        <f ca="1">IFERROR(__xludf.DUMMYFUNCTION("""COMPUTED_VALUE"""),"24-8")</f>
        <v>24-8</v>
      </c>
      <c r="E9" s="1" t="str">
        <f ca="1">IFERROR(__xludf.DUMMYFUNCTION("""COMPUTED_VALUE"""),"+25.02")</f>
        <v>+25.02</v>
      </c>
      <c r="F9" s="1">
        <f ca="1">IFERROR(__xludf.DUMMYFUNCTION("""COMPUTED_VALUE"""),114.7)</f>
        <v>114.7</v>
      </c>
      <c r="G9" s="1">
        <f ca="1">IFERROR(__xludf.DUMMYFUNCTION("""COMPUTED_VALUE"""),19)</f>
        <v>19</v>
      </c>
      <c r="H9" s="1">
        <f ca="1">IFERROR(__xludf.DUMMYFUNCTION("""COMPUTED_VALUE"""),89.7)</f>
        <v>89.7</v>
      </c>
      <c r="I9" s="1">
        <f ca="1">IFERROR(__xludf.DUMMYFUNCTION("""COMPUTED_VALUE"""),6)</f>
        <v>6</v>
      </c>
      <c r="J9" s="1">
        <f ca="1">IFERROR(__xludf.DUMMYFUNCTION("""COMPUTED_VALUE"""),67)</f>
        <v>67</v>
      </c>
      <c r="K9" s="1">
        <f ca="1">IFERROR(__xludf.DUMMYFUNCTION("""COMPUTED_VALUE"""),126)</f>
        <v>126</v>
      </c>
      <c r="L9" s="1">
        <f ca="1">IFERROR(__xludf.DUMMYFUNCTION("""COMPUTED_VALUE"""),-0.054)</f>
        <v>-5.3999999999999999E-2</v>
      </c>
      <c r="M9" s="1">
        <f ca="1">IFERROR(__xludf.DUMMYFUNCTION("""COMPUTED_VALUE"""),285)</f>
        <v>285</v>
      </c>
      <c r="N9" s="1" t="str">
        <f ca="1">IFERROR(__xludf.DUMMYFUNCTION("""COMPUTED_VALUE"""),"+9.16")</f>
        <v>+9.16</v>
      </c>
      <c r="O9" s="1">
        <f ca="1">IFERROR(__xludf.DUMMYFUNCTION("""COMPUTED_VALUE"""),17)</f>
        <v>17</v>
      </c>
      <c r="P9" s="1">
        <f ca="1">IFERROR(__xludf.DUMMYFUNCTION("""COMPUTED_VALUE"""),107.9)</f>
        <v>107.9</v>
      </c>
      <c r="Q9" s="1">
        <f ca="1">IFERROR(__xludf.DUMMYFUNCTION("""COMPUTED_VALUE"""),21)</f>
        <v>21</v>
      </c>
      <c r="R9" s="1">
        <f ca="1">IFERROR(__xludf.DUMMYFUNCTION("""COMPUTED_VALUE"""),98.7)</f>
        <v>98.7</v>
      </c>
      <c r="S9" s="1">
        <f ca="1">IFERROR(__xludf.DUMMYFUNCTION("""COMPUTED_VALUE"""),19)</f>
        <v>19</v>
      </c>
      <c r="T9" s="1">
        <f ca="1">IFERROR(__xludf.DUMMYFUNCTION("""COMPUTED_VALUE"""),-0.89)</f>
        <v>-0.89</v>
      </c>
      <c r="U9" s="1">
        <f ca="1">IFERROR(__xludf.DUMMYFUNCTION("""COMPUTED_VALUE"""),182)</f>
        <v>182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IFERROR(__xludf.DUMMYFUNCTION("""COMPUTED_VALUE"""),"Wake Forest2")</f>
        <v>Wake Forest2</v>
      </c>
      <c r="C10" s="1" t="str">
        <f ca="1">IFERROR(__xludf.DUMMYFUNCTION("""COMPUTED_VALUE"""),"ACC")</f>
        <v>ACC</v>
      </c>
      <c r="D10" s="1" t="str">
        <f ca="1">IFERROR(__xludf.DUMMYFUNCTION("""COMPUTED_VALUE"""),"27-6")</f>
        <v>27-6</v>
      </c>
      <c r="E10" s="1" t="str">
        <f ca="1">IFERROR(__xludf.DUMMYFUNCTION("""COMPUTED_VALUE"""),"+24.86")</f>
        <v>+24.86</v>
      </c>
      <c r="F10" s="1">
        <f ca="1">IFERROR(__xludf.DUMMYFUNCTION("""COMPUTED_VALUE"""),124.3)</f>
        <v>124.3</v>
      </c>
      <c r="G10" s="1">
        <f ca="1">IFERROR(__xludf.DUMMYFUNCTION("""COMPUTED_VALUE"""),1)</f>
        <v>1</v>
      </c>
      <c r="H10" s="1">
        <f ca="1">IFERROR(__xludf.DUMMYFUNCTION("""COMPUTED_VALUE"""),99.5)</f>
        <v>99.5</v>
      </c>
      <c r="I10" s="1">
        <f ca="1">IFERROR(__xludf.DUMMYFUNCTION("""COMPUTED_VALUE"""),89)</f>
        <v>89</v>
      </c>
      <c r="J10" s="1">
        <f ca="1">IFERROR(__xludf.DUMMYFUNCTION("""COMPUTED_VALUE"""),68.9)</f>
        <v>68.900000000000006</v>
      </c>
      <c r="K10" s="1">
        <f ca="1">IFERROR(__xludf.DUMMYFUNCTION("""COMPUTED_VALUE"""),56)</f>
        <v>56</v>
      </c>
      <c r="L10" s="1" t="str">
        <f ca="1">IFERROR(__xludf.DUMMYFUNCTION("""COMPUTED_VALUE"""),"+.046")</f>
        <v>+.046</v>
      </c>
      <c r="M10" s="1">
        <f ca="1">IFERROR(__xludf.DUMMYFUNCTION("""COMPUTED_VALUE"""),65)</f>
        <v>65</v>
      </c>
      <c r="N10" s="1" t="str">
        <f ca="1">IFERROR(__xludf.DUMMYFUNCTION("""COMPUTED_VALUE"""),"+10.94")</f>
        <v>+10.94</v>
      </c>
      <c r="O10" s="1">
        <f ca="1">IFERROR(__xludf.DUMMYFUNCTION("""COMPUTED_VALUE"""),4)</f>
        <v>4</v>
      </c>
      <c r="P10" s="1">
        <f ca="1">IFERROR(__xludf.DUMMYFUNCTION("""COMPUTED_VALUE"""),108.4)</f>
        <v>108.4</v>
      </c>
      <c r="Q10" s="1">
        <f ca="1">IFERROR(__xludf.DUMMYFUNCTION("""COMPUTED_VALUE"""),13)</f>
        <v>13</v>
      </c>
      <c r="R10" s="1">
        <f ca="1">IFERROR(__xludf.DUMMYFUNCTION("""COMPUTED_VALUE"""),97.5)</f>
        <v>97.5</v>
      </c>
      <c r="S10" s="1">
        <f ca="1">IFERROR(__xludf.DUMMYFUNCTION("""COMPUTED_VALUE"""),4)</f>
        <v>4</v>
      </c>
      <c r="T10" s="1" t="str">
        <f ca="1">IFERROR(__xludf.DUMMYFUNCTION("""COMPUTED_VALUE"""),"+4.87")</f>
        <v>+4.87</v>
      </c>
      <c r="U10" s="1">
        <f ca="1">IFERROR(__xludf.DUMMYFUNCTION("""COMPUTED_VALUE"""),51)</f>
        <v>51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IFERROR(__xludf.DUMMYFUNCTION("""COMPUTED_VALUE"""),"Kentucky2")</f>
        <v>Kentucky2</v>
      </c>
      <c r="C11" s="1" t="str">
        <f ca="1">IFERROR(__xludf.DUMMYFUNCTION("""COMPUTED_VALUE"""),"SEC")</f>
        <v>SEC</v>
      </c>
      <c r="D11" s="1" t="str">
        <f ca="1">IFERROR(__xludf.DUMMYFUNCTION("""COMPUTED_VALUE"""),"28-6")</f>
        <v>28-6</v>
      </c>
      <c r="E11" s="1" t="str">
        <f ca="1">IFERROR(__xludf.DUMMYFUNCTION("""COMPUTED_VALUE"""),"+24.10")</f>
        <v>+24.10</v>
      </c>
      <c r="F11" s="1">
        <f ca="1">IFERROR(__xludf.DUMMYFUNCTION("""COMPUTED_VALUE"""),113)</f>
        <v>113</v>
      </c>
      <c r="G11" s="1">
        <f ca="1">IFERROR(__xludf.DUMMYFUNCTION("""COMPUTED_VALUE"""),29)</f>
        <v>29</v>
      </c>
      <c r="H11" s="1">
        <f ca="1">IFERROR(__xludf.DUMMYFUNCTION("""COMPUTED_VALUE"""),88.9)</f>
        <v>88.9</v>
      </c>
      <c r="I11" s="1">
        <f ca="1">IFERROR(__xludf.DUMMYFUNCTION("""COMPUTED_VALUE"""),3)</f>
        <v>3</v>
      </c>
      <c r="J11" s="1">
        <f ca="1">IFERROR(__xludf.DUMMYFUNCTION("""COMPUTED_VALUE"""),66.6)</f>
        <v>66.599999999999994</v>
      </c>
      <c r="K11" s="1">
        <f ca="1">IFERROR(__xludf.DUMMYFUNCTION("""COMPUTED_VALUE"""),142)</f>
        <v>142</v>
      </c>
      <c r="L11" s="1" t="str">
        <f ca="1">IFERROR(__xludf.DUMMYFUNCTION("""COMPUTED_VALUE"""),"+.032")</f>
        <v>+.032</v>
      </c>
      <c r="M11" s="1">
        <f ca="1">IFERROR(__xludf.DUMMYFUNCTION("""COMPUTED_VALUE"""),94)</f>
        <v>94</v>
      </c>
      <c r="N11" s="1" t="str">
        <f ca="1">IFERROR(__xludf.DUMMYFUNCTION("""COMPUTED_VALUE"""),"+8.85")</f>
        <v>+8.85</v>
      </c>
      <c r="O11" s="1">
        <f ca="1">IFERROR(__xludf.DUMMYFUNCTION("""COMPUTED_VALUE"""),21)</f>
        <v>21</v>
      </c>
      <c r="P11" s="1">
        <f ca="1">IFERROR(__xludf.DUMMYFUNCTION("""COMPUTED_VALUE"""),107.9)</f>
        <v>107.9</v>
      </c>
      <c r="Q11" s="1">
        <f ca="1">IFERROR(__xludf.DUMMYFUNCTION("""COMPUTED_VALUE"""),20)</f>
        <v>20</v>
      </c>
      <c r="R11" s="1">
        <f ca="1">IFERROR(__xludf.DUMMYFUNCTION("""COMPUTED_VALUE"""),99.1)</f>
        <v>99.1</v>
      </c>
      <c r="S11" s="1">
        <f ca="1">IFERROR(__xludf.DUMMYFUNCTION("""COMPUTED_VALUE"""),26)</f>
        <v>26</v>
      </c>
      <c r="T11" s="1">
        <f ca="1">IFERROR(__xludf.DUMMYFUNCTION("""COMPUTED_VALUE"""),-2.71)</f>
        <v>-2.71</v>
      </c>
      <c r="U11" s="1">
        <f ca="1">IFERROR(__xludf.DUMMYFUNCTION("""COMPUTED_VALUE"""),235)</f>
        <v>235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IFERROR(__xludf.DUMMYFUNCTION("""COMPUTED_VALUE"""),"Florida4")</f>
        <v>Florida4</v>
      </c>
      <c r="C12" s="1" t="str">
        <f ca="1">IFERROR(__xludf.DUMMYFUNCTION("""COMPUTED_VALUE"""),"SEC")</f>
        <v>SEC</v>
      </c>
      <c r="D12" s="1" t="str">
        <f ca="1">IFERROR(__xludf.DUMMYFUNCTION("""COMPUTED_VALUE"""),"24-8")</f>
        <v>24-8</v>
      </c>
      <c r="E12" s="1" t="str">
        <f ca="1">IFERROR(__xludf.DUMMYFUNCTION("""COMPUTED_VALUE"""),"+23.93")</f>
        <v>+23.93</v>
      </c>
      <c r="F12" s="1">
        <f ca="1">IFERROR(__xludf.DUMMYFUNCTION("""COMPUTED_VALUE"""),116.4)</f>
        <v>116.4</v>
      </c>
      <c r="G12" s="1">
        <f ca="1">IFERROR(__xludf.DUMMYFUNCTION("""COMPUTED_VALUE"""),11)</f>
        <v>11</v>
      </c>
      <c r="H12" s="1">
        <f ca="1">IFERROR(__xludf.DUMMYFUNCTION("""COMPUTED_VALUE"""),92.5)</f>
        <v>92.5</v>
      </c>
      <c r="I12" s="1">
        <f ca="1">IFERROR(__xludf.DUMMYFUNCTION("""COMPUTED_VALUE"""),16)</f>
        <v>16</v>
      </c>
      <c r="J12" s="1">
        <f ca="1">IFERROR(__xludf.DUMMYFUNCTION("""COMPUTED_VALUE"""),65.2)</f>
        <v>65.2</v>
      </c>
      <c r="K12" s="1">
        <f ca="1">IFERROR(__xludf.DUMMYFUNCTION("""COMPUTED_VALUE"""),207)</f>
        <v>207</v>
      </c>
      <c r="L12" s="1">
        <f ca="1">IFERROR(__xludf.DUMMYFUNCTION("""COMPUTED_VALUE"""),-0.027)</f>
        <v>-2.7E-2</v>
      </c>
      <c r="M12" s="1">
        <f ca="1">IFERROR(__xludf.DUMMYFUNCTION("""COMPUTED_VALUE"""),239)</f>
        <v>239</v>
      </c>
      <c r="N12" s="1" t="str">
        <f ca="1">IFERROR(__xludf.DUMMYFUNCTION("""COMPUTED_VALUE"""),"+7.13")</f>
        <v>+7.13</v>
      </c>
      <c r="O12" s="1">
        <f ca="1">IFERROR(__xludf.DUMMYFUNCTION("""COMPUTED_VALUE"""),40)</f>
        <v>40</v>
      </c>
      <c r="P12" s="1">
        <f ca="1">IFERROR(__xludf.DUMMYFUNCTION("""COMPUTED_VALUE"""),106.6)</f>
        <v>106.6</v>
      </c>
      <c r="Q12" s="1">
        <f ca="1">IFERROR(__xludf.DUMMYFUNCTION("""COMPUTED_VALUE"""),53)</f>
        <v>53</v>
      </c>
      <c r="R12" s="1">
        <f ca="1">IFERROR(__xludf.DUMMYFUNCTION("""COMPUTED_VALUE"""),99.5)</f>
        <v>99.5</v>
      </c>
      <c r="S12" s="1">
        <f ca="1">IFERROR(__xludf.DUMMYFUNCTION("""COMPUTED_VALUE"""),34)</f>
        <v>34</v>
      </c>
      <c r="T12" s="1">
        <f ca="1">IFERROR(__xludf.DUMMYFUNCTION("""COMPUTED_VALUE"""),-4.3)</f>
        <v>-4.3</v>
      </c>
      <c r="U12" s="1">
        <f ca="1">IFERROR(__xludf.DUMMYFUNCTION("""COMPUTED_VALUE"""),265)</f>
        <v>265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IFERROR(__xludf.DUMMYFUNCTION("""COMPUTED_VALUE"""),"Kansas3")</f>
        <v>Kansas3</v>
      </c>
      <c r="C13" s="1" t="str">
        <f ca="1">IFERROR(__xludf.DUMMYFUNCTION("""COMPUTED_VALUE"""),"B12")</f>
        <v>B12</v>
      </c>
      <c r="D13" s="1" t="str">
        <f ca="1">IFERROR(__xludf.DUMMYFUNCTION("""COMPUTED_VALUE"""),"23-7")</f>
        <v>23-7</v>
      </c>
      <c r="E13" s="1" t="str">
        <f ca="1">IFERROR(__xludf.DUMMYFUNCTION("""COMPUTED_VALUE"""),"+23.08")</f>
        <v>+23.08</v>
      </c>
      <c r="F13" s="1">
        <f ca="1">IFERROR(__xludf.DUMMYFUNCTION("""COMPUTED_VALUE"""),115.6)</f>
        <v>115.6</v>
      </c>
      <c r="G13" s="1">
        <f ca="1">IFERROR(__xludf.DUMMYFUNCTION("""COMPUTED_VALUE"""),15)</f>
        <v>15</v>
      </c>
      <c r="H13" s="1">
        <f ca="1">IFERROR(__xludf.DUMMYFUNCTION("""COMPUTED_VALUE"""),92.5)</f>
        <v>92.5</v>
      </c>
      <c r="I13" s="1">
        <f ca="1">IFERROR(__xludf.DUMMYFUNCTION("""COMPUTED_VALUE"""),18)</f>
        <v>18</v>
      </c>
      <c r="J13" s="1">
        <f ca="1">IFERROR(__xludf.DUMMYFUNCTION("""COMPUTED_VALUE"""),66.5)</f>
        <v>66.5</v>
      </c>
      <c r="K13" s="1">
        <f ca="1">IFERROR(__xludf.DUMMYFUNCTION("""COMPUTED_VALUE"""),147)</f>
        <v>147</v>
      </c>
      <c r="L13" s="1" t="str">
        <f ca="1">IFERROR(__xludf.DUMMYFUNCTION("""COMPUTED_VALUE"""),"+.008")</f>
        <v>+.008</v>
      </c>
      <c r="M13" s="1">
        <f ca="1">IFERROR(__xludf.DUMMYFUNCTION("""COMPUTED_VALUE"""),145)</f>
        <v>145</v>
      </c>
      <c r="N13" s="1" t="str">
        <f ca="1">IFERROR(__xludf.DUMMYFUNCTION("""COMPUTED_VALUE"""),"+10.45")</f>
        <v>+10.45</v>
      </c>
      <c r="O13" s="1">
        <f ca="1">IFERROR(__xludf.DUMMYFUNCTION("""COMPUTED_VALUE"""),8)</f>
        <v>8</v>
      </c>
      <c r="P13" s="1">
        <f ca="1">IFERROR(__xludf.DUMMYFUNCTION("""COMPUTED_VALUE"""),108.1)</f>
        <v>108.1</v>
      </c>
      <c r="Q13" s="1">
        <f ca="1">IFERROR(__xludf.DUMMYFUNCTION("""COMPUTED_VALUE"""),18)</f>
        <v>18</v>
      </c>
      <c r="R13" s="1">
        <f ca="1">IFERROR(__xludf.DUMMYFUNCTION("""COMPUTED_VALUE"""),97.7)</f>
        <v>97.7</v>
      </c>
      <c r="S13" s="1">
        <f ca="1">IFERROR(__xludf.DUMMYFUNCTION("""COMPUTED_VALUE"""),5)</f>
        <v>5</v>
      </c>
      <c r="T13" s="1" t="str">
        <f ca="1">IFERROR(__xludf.DUMMYFUNCTION("""COMPUTED_VALUE"""),"+10.37")</f>
        <v>+10.37</v>
      </c>
      <c r="U13" s="1">
        <f ca="1">IFERROR(__xludf.DUMMYFUNCTION("""COMPUTED_VALUE"""),13)</f>
        <v>13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IFERROR(__xludf.DUMMYFUNCTION("""COMPUTED_VALUE"""),"Oklahoma3")</f>
        <v>Oklahoma3</v>
      </c>
      <c r="C14" s="1" t="str">
        <f ca="1">IFERROR(__xludf.DUMMYFUNCTION("""COMPUTED_VALUE"""),"B12")</f>
        <v>B12</v>
      </c>
      <c r="D14" s="1" t="str">
        <f ca="1">IFERROR(__xludf.DUMMYFUNCTION("""COMPUTED_VALUE"""),"25-8")</f>
        <v>25-8</v>
      </c>
      <c r="E14" s="1" t="str">
        <f ca="1">IFERROR(__xludf.DUMMYFUNCTION("""COMPUTED_VALUE"""),"+22.55")</f>
        <v>+22.55</v>
      </c>
      <c r="F14" s="1">
        <f ca="1">IFERROR(__xludf.DUMMYFUNCTION("""COMPUTED_VALUE"""),114.4)</f>
        <v>114.4</v>
      </c>
      <c r="G14" s="1">
        <f ca="1">IFERROR(__xludf.DUMMYFUNCTION("""COMPUTED_VALUE"""),21)</f>
        <v>21</v>
      </c>
      <c r="H14" s="1">
        <f ca="1">IFERROR(__xludf.DUMMYFUNCTION("""COMPUTED_VALUE"""),91.8)</f>
        <v>91.8</v>
      </c>
      <c r="I14" s="1">
        <f ca="1">IFERROR(__xludf.DUMMYFUNCTION("""COMPUTED_VALUE"""),12)</f>
        <v>12</v>
      </c>
      <c r="J14" s="1">
        <f ca="1">IFERROR(__xludf.DUMMYFUNCTION("""COMPUTED_VALUE"""),65.4)</f>
        <v>65.400000000000006</v>
      </c>
      <c r="K14" s="1">
        <f ca="1">IFERROR(__xludf.DUMMYFUNCTION("""COMPUTED_VALUE"""),201)</f>
        <v>201</v>
      </c>
      <c r="L14" s="1">
        <f ca="1">IFERROR(__xludf.DUMMYFUNCTION("""COMPUTED_VALUE"""),-0.006)</f>
        <v>-6.0000000000000001E-3</v>
      </c>
      <c r="M14" s="1">
        <f ca="1">IFERROR(__xludf.DUMMYFUNCTION("""COMPUTED_VALUE"""),175)</f>
        <v>175</v>
      </c>
      <c r="N14" s="1" t="str">
        <f ca="1">IFERROR(__xludf.DUMMYFUNCTION("""COMPUTED_VALUE"""),"+7.68")</f>
        <v>+7.68</v>
      </c>
      <c r="O14" s="1">
        <f ca="1">IFERROR(__xludf.DUMMYFUNCTION("""COMPUTED_VALUE"""),34)</f>
        <v>34</v>
      </c>
      <c r="P14" s="1">
        <f ca="1">IFERROR(__xludf.DUMMYFUNCTION("""COMPUTED_VALUE"""),107.5)</f>
        <v>107.5</v>
      </c>
      <c r="Q14" s="1">
        <f ca="1">IFERROR(__xludf.DUMMYFUNCTION("""COMPUTED_VALUE"""),27)</f>
        <v>27</v>
      </c>
      <c r="R14" s="1">
        <f ca="1">IFERROR(__xludf.DUMMYFUNCTION("""COMPUTED_VALUE"""),99.8)</f>
        <v>99.8</v>
      </c>
      <c r="S14" s="1">
        <f ca="1">IFERROR(__xludf.DUMMYFUNCTION("""COMPUTED_VALUE"""),48)</f>
        <v>48</v>
      </c>
      <c r="T14" s="1" t="str">
        <f ca="1">IFERROR(__xludf.DUMMYFUNCTION("""COMPUTED_VALUE"""),"+0.09")</f>
        <v>+0.09</v>
      </c>
      <c r="U14" s="1">
        <f ca="1">IFERROR(__xludf.DUMMYFUNCTION("""COMPUTED_VALUE"""),161)</f>
        <v>161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IFERROR(__xludf.DUMMYFUNCTION("""COMPUTED_VALUE"""),"Arizona3")</f>
        <v>Arizona3</v>
      </c>
      <c r="C15" s="1" t="str">
        <f ca="1">IFERROR(__xludf.DUMMYFUNCTION("""COMPUTED_VALUE"""),"P10")</f>
        <v>P10</v>
      </c>
      <c r="D15" s="1" t="str">
        <f ca="1">IFERROR(__xludf.DUMMYFUNCTION("""COMPUTED_VALUE"""),"30-7")</f>
        <v>30-7</v>
      </c>
      <c r="E15" s="1" t="str">
        <f ca="1">IFERROR(__xludf.DUMMYFUNCTION("""COMPUTED_VALUE"""),"+22.22")</f>
        <v>+22.22</v>
      </c>
      <c r="F15" s="1">
        <f ca="1">IFERROR(__xludf.DUMMYFUNCTION("""COMPUTED_VALUE"""),116.7)</f>
        <v>116.7</v>
      </c>
      <c r="G15" s="1">
        <f ca="1">IFERROR(__xludf.DUMMYFUNCTION("""COMPUTED_VALUE"""),10)</f>
        <v>10</v>
      </c>
      <c r="H15" s="1">
        <f ca="1">IFERROR(__xludf.DUMMYFUNCTION("""COMPUTED_VALUE"""),94.5)</f>
        <v>94.5</v>
      </c>
      <c r="I15" s="1">
        <f ca="1">IFERROR(__xludf.DUMMYFUNCTION("""COMPUTED_VALUE"""),30)</f>
        <v>30</v>
      </c>
      <c r="J15" s="1">
        <f ca="1">IFERROR(__xludf.DUMMYFUNCTION("""COMPUTED_VALUE"""),68.6)</f>
        <v>68.599999999999994</v>
      </c>
      <c r="K15" s="1">
        <f ca="1">IFERROR(__xludf.DUMMYFUNCTION("""COMPUTED_VALUE"""),75)</f>
        <v>75</v>
      </c>
      <c r="L15" s="1" t="str">
        <f ca="1">IFERROR(__xludf.DUMMYFUNCTION("""COMPUTED_VALUE"""),"+.027")</f>
        <v>+.027</v>
      </c>
      <c r="M15" s="1">
        <f ca="1">IFERROR(__xludf.DUMMYFUNCTION("""COMPUTED_VALUE"""),104)</f>
        <v>104</v>
      </c>
      <c r="N15" s="1" t="str">
        <f ca="1">IFERROR(__xludf.DUMMYFUNCTION("""COMPUTED_VALUE"""),"+8.12")</f>
        <v>+8.12</v>
      </c>
      <c r="O15" s="1">
        <f ca="1">IFERROR(__xludf.DUMMYFUNCTION("""COMPUTED_VALUE"""),30)</f>
        <v>30</v>
      </c>
      <c r="P15" s="1">
        <f ca="1">IFERROR(__xludf.DUMMYFUNCTION("""COMPUTED_VALUE"""),107.8)</f>
        <v>107.8</v>
      </c>
      <c r="Q15" s="1">
        <f ca="1">IFERROR(__xludf.DUMMYFUNCTION("""COMPUTED_VALUE"""),22)</f>
        <v>22</v>
      </c>
      <c r="R15" s="1">
        <f ca="1">IFERROR(__xludf.DUMMYFUNCTION("""COMPUTED_VALUE"""),99.7)</f>
        <v>99.7</v>
      </c>
      <c r="S15" s="1">
        <f ca="1">IFERROR(__xludf.DUMMYFUNCTION("""COMPUTED_VALUE"""),44)</f>
        <v>44</v>
      </c>
      <c r="T15" s="1" t="str">
        <f ca="1">IFERROR(__xludf.DUMMYFUNCTION("""COMPUTED_VALUE"""),"+3.33")</f>
        <v>+3.33</v>
      </c>
      <c r="U15" s="1">
        <f ca="1">IFERROR(__xludf.DUMMYFUNCTION("""COMPUTED_VALUE"""),79)</f>
        <v>79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IFERROR(__xludf.DUMMYFUNCTION("""COMPUTED_VALUE"""),"Washington1")</f>
        <v>Washington1</v>
      </c>
      <c r="C16" s="1" t="str">
        <f ca="1">IFERROR(__xludf.DUMMYFUNCTION("""COMPUTED_VALUE"""),"P10")</f>
        <v>P10</v>
      </c>
      <c r="D16" s="1" t="str">
        <f ca="1">IFERROR(__xludf.DUMMYFUNCTION("""COMPUTED_VALUE"""),"29-6")</f>
        <v>29-6</v>
      </c>
      <c r="E16" s="1" t="str">
        <f ca="1">IFERROR(__xludf.DUMMYFUNCTION("""COMPUTED_VALUE"""),"+22.18")</f>
        <v>+22.18</v>
      </c>
      <c r="F16" s="1">
        <f ca="1">IFERROR(__xludf.DUMMYFUNCTION("""COMPUTED_VALUE"""),120.6)</f>
        <v>120.6</v>
      </c>
      <c r="G16" s="1">
        <f ca="1">IFERROR(__xludf.DUMMYFUNCTION("""COMPUTED_VALUE"""),5)</f>
        <v>5</v>
      </c>
      <c r="H16" s="1">
        <f ca="1">IFERROR(__xludf.DUMMYFUNCTION("""COMPUTED_VALUE"""),98.4)</f>
        <v>98.4</v>
      </c>
      <c r="I16" s="1">
        <f ca="1">IFERROR(__xludf.DUMMYFUNCTION("""COMPUTED_VALUE"""),80)</f>
        <v>80</v>
      </c>
      <c r="J16" s="1">
        <f ca="1">IFERROR(__xludf.DUMMYFUNCTION("""COMPUTED_VALUE"""),71.9)</f>
        <v>71.900000000000006</v>
      </c>
      <c r="K16" s="1">
        <f ca="1">IFERROR(__xludf.DUMMYFUNCTION("""COMPUTED_VALUE"""),14)</f>
        <v>14</v>
      </c>
      <c r="L16" s="1" t="str">
        <f ca="1">IFERROR(__xludf.DUMMYFUNCTION("""COMPUTED_VALUE"""),"+.060")</f>
        <v>+.060</v>
      </c>
      <c r="M16" s="1">
        <f ca="1">IFERROR(__xludf.DUMMYFUNCTION("""COMPUTED_VALUE"""),43)</f>
        <v>43</v>
      </c>
      <c r="N16" s="1" t="str">
        <f ca="1">IFERROR(__xludf.DUMMYFUNCTION("""COMPUTED_VALUE"""),"+8.61")</f>
        <v>+8.61</v>
      </c>
      <c r="O16" s="1">
        <f ca="1">IFERROR(__xludf.DUMMYFUNCTION("""COMPUTED_VALUE"""),23)</f>
        <v>23</v>
      </c>
      <c r="P16" s="1">
        <f ca="1">IFERROR(__xludf.DUMMYFUNCTION("""COMPUTED_VALUE"""),107.5)</f>
        <v>107.5</v>
      </c>
      <c r="Q16" s="1">
        <f ca="1">IFERROR(__xludf.DUMMYFUNCTION("""COMPUTED_VALUE"""),26)</f>
        <v>26</v>
      </c>
      <c r="R16" s="1">
        <f ca="1">IFERROR(__xludf.DUMMYFUNCTION("""COMPUTED_VALUE"""),98.9)</f>
        <v>98.9</v>
      </c>
      <c r="S16" s="1">
        <f ca="1">IFERROR(__xludf.DUMMYFUNCTION("""COMPUTED_VALUE"""),20)</f>
        <v>20</v>
      </c>
      <c r="T16" s="1" t="str">
        <f ca="1">IFERROR(__xludf.DUMMYFUNCTION("""COMPUTED_VALUE"""),"+6.73")</f>
        <v>+6.73</v>
      </c>
      <c r="U16" s="1">
        <f ca="1">IFERROR(__xludf.DUMMYFUNCTION("""COMPUTED_VALUE"""),29)</f>
        <v>29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IFERROR(__xludf.DUMMYFUNCTION("""COMPUTED_VALUE"""),"Connecticut2")</f>
        <v>Connecticut2</v>
      </c>
      <c r="C17" s="1" t="str">
        <f ca="1">IFERROR(__xludf.DUMMYFUNCTION("""COMPUTED_VALUE"""),"BE")</f>
        <v>BE</v>
      </c>
      <c r="D17" s="1" t="str">
        <f ca="1">IFERROR(__xludf.DUMMYFUNCTION("""COMPUTED_VALUE"""),"23-8")</f>
        <v>23-8</v>
      </c>
      <c r="E17" s="1" t="str">
        <f ca="1">IFERROR(__xludf.DUMMYFUNCTION("""COMPUTED_VALUE"""),"+21.94")</f>
        <v>+21.94</v>
      </c>
      <c r="F17" s="1">
        <f ca="1">IFERROR(__xludf.DUMMYFUNCTION("""COMPUTED_VALUE"""),112.1)</f>
        <v>112.1</v>
      </c>
      <c r="G17" s="1">
        <f ca="1">IFERROR(__xludf.DUMMYFUNCTION("""COMPUTED_VALUE"""),38)</f>
        <v>38</v>
      </c>
      <c r="H17" s="1">
        <f ca="1">IFERROR(__xludf.DUMMYFUNCTION("""COMPUTED_VALUE"""),90.2)</f>
        <v>90.2</v>
      </c>
      <c r="I17" s="1">
        <f ca="1">IFERROR(__xludf.DUMMYFUNCTION("""COMPUTED_VALUE"""),10)</f>
        <v>10</v>
      </c>
      <c r="J17" s="1">
        <f ca="1">IFERROR(__xludf.DUMMYFUNCTION("""COMPUTED_VALUE"""),70.6)</f>
        <v>70.599999999999994</v>
      </c>
      <c r="K17" s="1">
        <f ca="1">IFERROR(__xludf.DUMMYFUNCTION("""COMPUTED_VALUE"""),28)</f>
        <v>28</v>
      </c>
      <c r="L17" s="1">
        <f ca="1">IFERROR(__xludf.DUMMYFUNCTION("""COMPUTED_VALUE"""),-0.031)</f>
        <v>-3.1E-2</v>
      </c>
      <c r="M17" s="1">
        <f ca="1">IFERROR(__xludf.DUMMYFUNCTION("""COMPUTED_VALUE"""),246)</f>
        <v>246</v>
      </c>
      <c r="N17" s="1" t="str">
        <f ca="1">IFERROR(__xludf.DUMMYFUNCTION("""COMPUTED_VALUE"""),"+8.52")</f>
        <v>+8.52</v>
      </c>
      <c r="O17" s="1">
        <f ca="1">IFERROR(__xludf.DUMMYFUNCTION("""COMPUTED_VALUE"""),25)</f>
        <v>25</v>
      </c>
      <c r="P17" s="1">
        <f ca="1">IFERROR(__xludf.DUMMYFUNCTION("""COMPUTED_VALUE"""),108.5)</f>
        <v>108.5</v>
      </c>
      <c r="Q17" s="1">
        <f ca="1">IFERROR(__xludf.DUMMYFUNCTION("""COMPUTED_VALUE"""),12)</f>
        <v>12</v>
      </c>
      <c r="R17" s="1">
        <f ca="1">IFERROR(__xludf.DUMMYFUNCTION("""COMPUTED_VALUE"""),100)</f>
        <v>100</v>
      </c>
      <c r="S17" s="1">
        <f ca="1">IFERROR(__xludf.DUMMYFUNCTION("""COMPUTED_VALUE"""),52)</f>
        <v>52</v>
      </c>
      <c r="T17" s="1">
        <f ca="1">IFERROR(__xludf.DUMMYFUNCTION("""COMPUTED_VALUE"""),-1.04)</f>
        <v>-1.04</v>
      </c>
      <c r="U17" s="1">
        <f ca="1">IFERROR(__xludf.DUMMYFUNCTION("""COMPUTED_VALUE"""),191)</f>
        <v>191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IFERROR(__xludf.DUMMYFUNCTION("""COMPUTED_VALUE"""),"Syracuse4")</f>
        <v>Syracuse4</v>
      </c>
      <c r="C18" s="1" t="str">
        <f ca="1">IFERROR(__xludf.DUMMYFUNCTION("""COMPUTED_VALUE"""),"BE")</f>
        <v>BE</v>
      </c>
      <c r="D18" s="1" t="str">
        <f ca="1">IFERROR(__xludf.DUMMYFUNCTION("""COMPUTED_VALUE"""),"27-7")</f>
        <v>27-7</v>
      </c>
      <c r="E18" s="1" t="str">
        <f ca="1">IFERROR(__xludf.DUMMYFUNCTION("""COMPUTED_VALUE"""),"+20.98")</f>
        <v>+20.98</v>
      </c>
      <c r="F18" s="1">
        <f ca="1">IFERROR(__xludf.DUMMYFUNCTION("""COMPUTED_VALUE"""),115.6)</f>
        <v>115.6</v>
      </c>
      <c r="G18" s="1">
        <f ca="1">IFERROR(__xludf.DUMMYFUNCTION("""COMPUTED_VALUE"""),14)</f>
        <v>14</v>
      </c>
      <c r="H18" s="1">
        <f ca="1">IFERROR(__xludf.DUMMYFUNCTION("""COMPUTED_VALUE"""),94.7)</f>
        <v>94.7</v>
      </c>
      <c r="I18" s="1">
        <f ca="1">IFERROR(__xludf.DUMMYFUNCTION("""COMPUTED_VALUE"""),33)</f>
        <v>33</v>
      </c>
      <c r="J18" s="1">
        <f ca="1">IFERROR(__xludf.DUMMYFUNCTION("""COMPUTED_VALUE"""),65.8)</f>
        <v>65.8</v>
      </c>
      <c r="K18" s="1">
        <f ca="1">IFERROR(__xludf.DUMMYFUNCTION("""COMPUTED_VALUE"""),180)</f>
        <v>180</v>
      </c>
      <c r="L18" s="1" t="str">
        <f ca="1">IFERROR(__xludf.DUMMYFUNCTION("""COMPUTED_VALUE"""),"+.002")</f>
        <v>+.002</v>
      </c>
      <c r="M18" s="1">
        <f ca="1">IFERROR(__xludf.DUMMYFUNCTION("""COMPUTED_VALUE"""),155)</f>
        <v>155</v>
      </c>
      <c r="N18" s="1" t="str">
        <f ca="1">IFERROR(__xludf.DUMMYFUNCTION("""COMPUTED_VALUE"""),"+6.29")</f>
        <v>+6.29</v>
      </c>
      <c r="O18" s="1">
        <f ca="1">IFERROR(__xludf.DUMMYFUNCTION("""COMPUTED_VALUE"""),60)</f>
        <v>60</v>
      </c>
      <c r="P18" s="1">
        <f ca="1">IFERROR(__xludf.DUMMYFUNCTION("""COMPUTED_VALUE"""),106.8)</f>
        <v>106.8</v>
      </c>
      <c r="Q18" s="1">
        <f ca="1">IFERROR(__xludf.DUMMYFUNCTION("""COMPUTED_VALUE"""),47)</f>
        <v>47</v>
      </c>
      <c r="R18" s="1">
        <f ca="1">IFERROR(__xludf.DUMMYFUNCTION("""COMPUTED_VALUE"""),100.5)</f>
        <v>100.5</v>
      </c>
      <c r="S18" s="1">
        <f ca="1">IFERROR(__xludf.DUMMYFUNCTION("""COMPUTED_VALUE"""),69)</f>
        <v>69</v>
      </c>
      <c r="T18" s="1">
        <f ca="1">IFERROR(__xludf.DUMMYFUNCTION("""COMPUTED_VALUE"""),-4.57)</f>
        <v>-4.57</v>
      </c>
      <c r="U18" s="1">
        <f ca="1">IFERROR(__xludf.DUMMYFUNCTION("""COMPUTED_VALUE"""),275)</f>
        <v>275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IFERROR(__xludf.DUMMYFUNCTION("""COMPUTED_VALUE"""),"Wisconsin6")</f>
        <v>Wisconsin6</v>
      </c>
      <c r="C19" s="1" t="str">
        <f ca="1">IFERROR(__xludf.DUMMYFUNCTION("""COMPUTED_VALUE"""),"B10")</f>
        <v>B10</v>
      </c>
      <c r="D19" s="1" t="str">
        <f ca="1">IFERROR(__xludf.DUMMYFUNCTION("""COMPUTED_VALUE"""),"25-9")</f>
        <v>25-9</v>
      </c>
      <c r="E19" s="1" t="str">
        <f ca="1">IFERROR(__xludf.DUMMYFUNCTION("""COMPUTED_VALUE"""),"+20.81")</f>
        <v>+20.81</v>
      </c>
      <c r="F19" s="1">
        <f ca="1">IFERROR(__xludf.DUMMYFUNCTION("""COMPUTED_VALUE"""),112)</f>
        <v>112</v>
      </c>
      <c r="G19" s="1">
        <f ca="1">IFERROR(__xludf.DUMMYFUNCTION("""COMPUTED_VALUE"""),39)</f>
        <v>39</v>
      </c>
      <c r="H19" s="1">
        <f ca="1">IFERROR(__xludf.DUMMYFUNCTION("""COMPUTED_VALUE"""),91.2)</f>
        <v>91.2</v>
      </c>
      <c r="I19" s="1">
        <f ca="1">IFERROR(__xludf.DUMMYFUNCTION("""COMPUTED_VALUE"""),11)</f>
        <v>11</v>
      </c>
      <c r="J19" s="1">
        <f ca="1">IFERROR(__xludf.DUMMYFUNCTION("""COMPUTED_VALUE"""),62.8)</f>
        <v>62.8</v>
      </c>
      <c r="K19" s="1">
        <f ca="1">IFERROR(__xludf.DUMMYFUNCTION("""COMPUTED_VALUE"""),291)</f>
        <v>291</v>
      </c>
      <c r="L19" s="1" t="str">
        <f ca="1">IFERROR(__xludf.DUMMYFUNCTION("""COMPUTED_VALUE"""),"+.042")</f>
        <v>+.042</v>
      </c>
      <c r="M19" s="1">
        <f ca="1">IFERROR(__xludf.DUMMYFUNCTION("""COMPUTED_VALUE"""),71)</f>
        <v>71</v>
      </c>
      <c r="N19" s="1" t="str">
        <f ca="1">IFERROR(__xludf.DUMMYFUNCTION("""COMPUTED_VALUE"""),"+10.24")</f>
        <v>+10.24</v>
      </c>
      <c r="O19" s="1">
        <f ca="1">IFERROR(__xludf.DUMMYFUNCTION("""COMPUTED_VALUE"""),9)</f>
        <v>9</v>
      </c>
      <c r="P19" s="1">
        <f ca="1">IFERROR(__xludf.DUMMYFUNCTION("""COMPUTED_VALUE"""),108.5)</f>
        <v>108.5</v>
      </c>
      <c r="Q19" s="1">
        <f ca="1">IFERROR(__xludf.DUMMYFUNCTION("""COMPUTED_VALUE"""),10)</f>
        <v>10</v>
      </c>
      <c r="R19" s="1">
        <f ca="1">IFERROR(__xludf.DUMMYFUNCTION("""COMPUTED_VALUE"""),98.3)</f>
        <v>98.3</v>
      </c>
      <c r="S19" s="1">
        <f ca="1">IFERROR(__xludf.DUMMYFUNCTION("""COMPUTED_VALUE"""),12)</f>
        <v>12</v>
      </c>
      <c r="T19" s="1" t="str">
        <f ca="1">IFERROR(__xludf.DUMMYFUNCTION("""COMPUTED_VALUE"""),"+1.27")</f>
        <v>+1.27</v>
      </c>
      <c r="U19" s="1">
        <f ca="1">IFERROR(__xludf.DUMMYFUNCTION("""COMPUTED_VALUE"""),122)</f>
        <v>122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IFERROR(__xludf.DUMMYFUNCTION("""COMPUTED_VALUE"""),"Alabama5")</f>
        <v>Alabama5</v>
      </c>
      <c r="C20" s="1" t="str">
        <f ca="1">IFERROR(__xludf.DUMMYFUNCTION("""COMPUTED_VALUE"""),"SEC")</f>
        <v>SEC</v>
      </c>
      <c r="D20" s="1" t="str">
        <f ca="1">IFERROR(__xludf.DUMMYFUNCTION("""COMPUTED_VALUE"""),"24-8")</f>
        <v>24-8</v>
      </c>
      <c r="E20" s="1" t="str">
        <f ca="1">IFERROR(__xludf.DUMMYFUNCTION("""COMPUTED_VALUE"""),"+20.51")</f>
        <v>+20.51</v>
      </c>
      <c r="F20" s="1">
        <f ca="1">IFERROR(__xludf.DUMMYFUNCTION("""COMPUTED_VALUE"""),118.8)</f>
        <v>118.8</v>
      </c>
      <c r="G20" s="1">
        <f ca="1">IFERROR(__xludf.DUMMYFUNCTION("""COMPUTED_VALUE"""),9)</f>
        <v>9</v>
      </c>
      <c r="H20" s="1">
        <f ca="1">IFERROR(__xludf.DUMMYFUNCTION("""COMPUTED_VALUE"""),98.3)</f>
        <v>98.3</v>
      </c>
      <c r="I20" s="1">
        <f ca="1">IFERROR(__xludf.DUMMYFUNCTION("""COMPUTED_VALUE"""),78)</f>
        <v>78</v>
      </c>
      <c r="J20" s="1">
        <f ca="1">IFERROR(__xludf.DUMMYFUNCTION("""COMPUTED_VALUE"""),62.8)</f>
        <v>62.8</v>
      </c>
      <c r="K20" s="1">
        <f ca="1">IFERROR(__xludf.DUMMYFUNCTION("""COMPUTED_VALUE"""),292)</f>
        <v>292</v>
      </c>
      <c r="L20" s="1" t="str">
        <f ca="1">IFERROR(__xludf.DUMMYFUNCTION("""COMPUTED_VALUE"""),"+.033")</f>
        <v>+.033</v>
      </c>
      <c r="M20" s="1">
        <f ca="1">IFERROR(__xludf.DUMMYFUNCTION("""COMPUTED_VALUE"""),92)</f>
        <v>92</v>
      </c>
      <c r="N20" s="1" t="str">
        <f ca="1">IFERROR(__xludf.DUMMYFUNCTION("""COMPUTED_VALUE"""),"+6.84")</f>
        <v>+6.84</v>
      </c>
      <c r="O20" s="1">
        <f ca="1">IFERROR(__xludf.DUMMYFUNCTION("""COMPUTED_VALUE"""),45)</f>
        <v>45</v>
      </c>
      <c r="P20" s="1">
        <f ca="1">IFERROR(__xludf.DUMMYFUNCTION("""COMPUTED_VALUE"""),106.5)</f>
        <v>106.5</v>
      </c>
      <c r="Q20" s="1">
        <f ca="1">IFERROR(__xludf.DUMMYFUNCTION("""COMPUTED_VALUE"""),57)</f>
        <v>57</v>
      </c>
      <c r="R20" s="1">
        <f ca="1">IFERROR(__xludf.DUMMYFUNCTION("""COMPUTED_VALUE"""),99.6)</f>
        <v>99.6</v>
      </c>
      <c r="S20" s="1">
        <f ca="1">IFERROR(__xludf.DUMMYFUNCTION("""COMPUTED_VALUE"""),40)</f>
        <v>40</v>
      </c>
      <c r="T20" s="1">
        <f ca="1">IFERROR(__xludf.DUMMYFUNCTION("""COMPUTED_VALUE"""),-1.28)</f>
        <v>-1.28</v>
      </c>
      <c r="U20" s="1">
        <f ca="1">IFERROR(__xludf.DUMMYFUNCTION("""COMPUTED_VALUE"""),198)</f>
        <v>198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IFERROR(__xludf.DUMMYFUNCTION("""COMPUTED_VALUE"""),"Cincinnati7")</f>
        <v>Cincinnati7</v>
      </c>
      <c r="C21" s="1" t="str">
        <f ca="1">IFERROR(__xludf.DUMMYFUNCTION("""COMPUTED_VALUE"""),"CUSA")</f>
        <v>CUSA</v>
      </c>
      <c r="D21" s="1" t="str">
        <f ca="1">IFERROR(__xludf.DUMMYFUNCTION("""COMPUTED_VALUE"""),"25-8")</f>
        <v>25-8</v>
      </c>
      <c r="E21" s="1" t="str">
        <f ca="1">IFERROR(__xludf.DUMMYFUNCTION("""COMPUTED_VALUE"""),"+20.43")</f>
        <v>+20.43</v>
      </c>
      <c r="F21" s="1">
        <f ca="1">IFERROR(__xludf.DUMMYFUNCTION("""COMPUTED_VALUE"""),112.5)</f>
        <v>112.5</v>
      </c>
      <c r="G21" s="1">
        <f ca="1">IFERROR(__xludf.DUMMYFUNCTION("""COMPUTED_VALUE"""),33)</f>
        <v>33</v>
      </c>
      <c r="H21" s="1">
        <f ca="1">IFERROR(__xludf.DUMMYFUNCTION("""COMPUTED_VALUE"""),92)</f>
        <v>92</v>
      </c>
      <c r="I21" s="1">
        <f ca="1">IFERROR(__xludf.DUMMYFUNCTION("""COMPUTED_VALUE"""),14)</f>
        <v>14</v>
      </c>
      <c r="J21" s="1">
        <f ca="1">IFERROR(__xludf.DUMMYFUNCTION("""COMPUTED_VALUE"""),68)</f>
        <v>68</v>
      </c>
      <c r="K21" s="1">
        <f ca="1">IFERROR(__xludf.DUMMYFUNCTION("""COMPUTED_VALUE"""),89)</f>
        <v>89</v>
      </c>
      <c r="L21" s="1">
        <f ca="1">IFERROR(__xludf.DUMMYFUNCTION("""COMPUTED_VALUE"""),-0.006)</f>
        <v>-6.0000000000000001E-3</v>
      </c>
      <c r="M21" s="1">
        <f ca="1">IFERROR(__xludf.DUMMYFUNCTION("""COMPUTED_VALUE"""),177)</f>
        <v>177</v>
      </c>
      <c r="N21" s="1" t="str">
        <f ca="1">IFERROR(__xludf.DUMMYFUNCTION("""COMPUTED_VALUE"""),"+5.48")</f>
        <v>+5.48</v>
      </c>
      <c r="O21" s="1">
        <f ca="1">IFERROR(__xludf.DUMMYFUNCTION("""COMPUTED_VALUE"""),71)</f>
        <v>71</v>
      </c>
      <c r="P21" s="1">
        <f ca="1">IFERROR(__xludf.DUMMYFUNCTION("""COMPUTED_VALUE"""),106.1)</f>
        <v>106.1</v>
      </c>
      <c r="Q21" s="1">
        <f ca="1">IFERROR(__xludf.DUMMYFUNCTION("""COMPUTED_VALUE"""),71)</f>
        <v>71</v>
      </c>
      <c r="R21" s="1">
        <f ca="1">IFERROR(__xludf.DUMMYFUNCTION("""COMPUTED_VALUE"""),100.6)</f>
        <v>100.6</v>
      </c>
      <c r="S21" s="1">
        <f ca="1">IFERROR(__xludf.DUMMYFUNCTION("""COMPUTED_VALUE"""),77)</f>
        <v>77</v>
      </c>
      <c r="T21" s="1" t="str">
        <f ca="1">IFERROR(__xludf.DUMMYFUNCTION("""COMPUTED_VALUE"""),"+0.62")</f>
        <v>+0.62</v>
      </c>
      <c r="U21" s="1">
        <f ca="1">IFERROR(__xludf.DUMMYFUNCTION("""COMPUTED_VALUE"""),145)</f>
        <v>145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IFERROR(__xludf.DUMMYFUNCTION("""COMPUTED_VALUE"""),"Utah6")</f>
        <v>Utah6</v>
      </c>
      <c r="C22" s="1" t="str">
        <f ca="1">IFERROR(__xludf.DUMMYFUNCTION("""COMPUTED_VALUE"""),"MWC")</f>
        <v>MWC</v>
      </c>
      <c r="D22" s="1" t="str">
        <f ca="1">IFERROR(__xludf.DUMMYFUNCTION("""COMPUTED_VALUE"""),"29-6")</f>
        <v>29-6</v>
      </c>
      <c r="E22" s="1" t="str">
        <f ca="1">IFERROR(__xludf.DUMMYFUNCTION("""COMPUTED_VALUE"""),"+20.33")</f>
        <v>+20.33</v>
      </c>
      <c r="F22" s="1">
        <f ca="1">IFERROR(__xludf.DUMMYFUNCTION("""COMPUTED_VALUE"""),113.1)</f>
        <v>113.1</v>
      </c>
      <c r="G22" s="1">
        <f ca="1">IFERROR(__xludf.DUMMYFUNCTION("""COMPUTED_VALUE"""),28)</f>
        <v>28</v>
      </c>
      <c r="H22" s="1">
        <f ca="1">IFERROR(__xludf.DUMMYFUNCTION("""COMPUTED_VALUE"""),92.7)</f>
        <v>92.7</v>
      </c>
      <c r="I22" s="1">
        <f ca="1">IFERROR(__xludf.DUMMYFUNCTION("""COMPUTED_VALUE"""),19)</f>
        <v>19</v>
      </c>
      <c r="J22" s="1">
        <f ca="1">IFERROR(__xludf.DUMMYFUNCTION("""COMPUTED_VALUE"""),59.1)</f>
        <v>59.1</v>
      </c>
      <c r="K22" s="1">
        <f ca="1">IFERROR(__xludf.DUMMYFUNCTION("""COMPUTED_VALUE"""),325)</f>
        <v>325</v>
      </c>
      <c r="L22" s="1" t="str">
        <f ca="1">IFERROR(__xludf.DUMMYFUNCTION("""COMPUTED_VALUE"""),"+.032")</f>
        <v>+.032</v>
      </c>
      <c r="M22" s="1">
        <f ca="1">IFERROR(__xludf.DUMMYFUNCTION("""COMPUTED_VALUE"""),95)</f>
        <v>95</v>
      </c>
      <c r="N22" s="1" t="str">
        <f ca="1">IFERROR(__xludf.DUMMYFUNCTION("""COMPUTED_VALUE"""),"+3.60")</f>
        <v>+3.60</v>
      </c>
      <c r="O22" s="1">
        <f ca="1">IFERROR(__xludf.DUMMYFUNCTION("""COMPUTED_VALUE"""),101)</f>
        <v>101</v>
      </c>
      <c r="P22" s="1">
        <f ca="1">IFERROR(__xludf.DUMMYFUNCTION("""COMPUTED_VALUE"""),105.9)</f>
        <v>105.9</v>
      </c>
      <c r="Q22" s="1">
        <f ca="1">IFERROR(__xludf.DUMMYFUNCTION("""COMPUTED_VALUE"""),78)</f>
        <v>78</v>
      </c>
      <c r="R22" s="1">
        <f ca="1">IFERROR(__xludf.DUMMYFUNCTION("""COMPUTED_VALUE"""),102.3)</f>
        <v>102.3</v>
      </c>
      <c r="S22" s="1">
        <f ca="1">IFERROR(__xludf.DUMMYFUNCTION("""COMPUTED_VALUE"""),133)</f>
        <v>133</v>
      </c>
      <c r="T22" s="1">
        <f ca="1">IFERROR(__xludf.DUMMYFUNCTION("""COMPUTED_VALUE"""),-4.04)</f>
        <v>-4.04</v>
      </c>
      <c r="U22" s="1">
        <f ca="1">IFERROR(__xludf.DUMMYFUNCTION("""COMPUTED_VALUE"""),259)</f>
        <v>259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IFERROR(__xludf.DUMMYFUNCTION("""COMPUTED_VALUE"""),"Utah St.14")</f>
        <v>Utah St.14</v>
      </c>
      <c r="C23" s="1" t="str">
        <f ca="1">IFERROR(__xludf.DUMMYFUNCTION("""COMPUTED_VALUE"""),"BW")</f>
        <v>BW</v>
      </c>
      <c r="D23" s="1" t="str">
        <f ca="1">IFERROR(__xludf.DUMMYFUNCTION("""COMPUTED_VALUE"""),"24-8")</f>
        <v>24-8</v>
      </c>
      <c r="E23" s="1" t="str">
        <f ca="1">IFERROR(__xludf.DUMMYFUNCTION("""COMPUTED_VALUE"""),"+19.62")</f>
        <v>+19.62</v>
      </c>
      <c r="F23" s="1">
        <f ca="1">IFERROR(__xludf.DUMMYFUNCTION("""COMPUTED_VALUE"""),116)</f>
        <v>116</v>
      </c>
      <c r="G23" s="1">
        <f ca="1">IFERROR(__xludf.DUMMYFUNCTION("""COMPUTED_VALUE"""),12)</f>
        <v>12</v>
      </c>
      <c r="H23" s="1">
        <f ca="1">IFERROR(__xludf.DUMMYFUNCTION("""COMPUTED_VALUE"""),96.4)</f>
        <v>96.4</v>
      </c>
      <c r="I23" s="1">
        <f ca="1">IFERROR(__xludf.DUMMYFUNCTION("""COMPUTED_VALUE"""),52)</f>
        <v>52</v>
      </c>
      <c r="J23" s="1">
        <f ca="1">IFERROR(__xludf.DUMMYFUNCTION("""COMPUTED_VALUE"""),61.1)</f>
        <v>61.1</v>
      </c>
      <c r="K23" s="1">
        <f ca="1">IFERROR(__xludf.DUMMYFUNCTION("""COMPUTED_VALUE"""),311)</f>
        <v>311</v>
      </c>
      <c r="L23" s="1">
        <f ca="1">IFERROR(__xludf.DUMMYFUNCTION("""COMPUTED_VALUE"""),-0.094)</f>
        <v>-9.4E-2</v>
      </c>
      <c r="M23" s="1">
        <f ca="1">IFERROR(__xludf.DUMMYFUNCTION("""COMPUTED_VALUE"""),320)</f>
        <v>320</v>
      </c>
      <c r="N23" s="1">
        <f ca="1">IFERROR(__xludf.DUMMYFUNCTION("""COMPUTED_VALUE"""),-2.48)</f>
        <v>-2.48</v>
      </c>
      <c r="O23" s="1">
        <f ca="1">IFERROR(__xludf.DUMMYFUNCTION("""COMPUTED_VALUE"""),201)</f>
        <v>201</v>
      </c>
      <c r="P23" s="1">
        <f ca="1">IFERROR(__xludf.DUMMYFUNCTION("""COMPUTED_VALUE"""),101.3)</f>
        <v>101.3</v>
      </c>
      <c r="Q23" s="1">
        <f ca="1">IFERROR(__xludf.DUMMYFUNCTION("""COMPUTED_VALUE"""),213)</f>
        <v>213</v>
      </c>
      <c r="R23" s="1">
        <f ca="1">IFERROR(__xludf.DUMMYFUNCTION("""COMPUTED_VALUE"""),103.8)</f>
        <v>103.8</v>
      </c>
      <c r="S23" s="1">
        <f ca="1">IFERROR(__xludf.DUMMYFUNCTION("""COMPUTED_VALUE"""),200)</f>
        <v>200</v>
      </c>
      <c r="T23" s="1">
        <f ca="1">IFERROR(__xludf.DUMMYFUNCTION("""COMPUTED_VALUE"""),-4.48)</f>
        <v>-4.4800000000000004</v>
      </c>
      <c r="U23" s="1">
        <f ca="1">IFERROR(__xludf.DUMMYFUNCTION("""COMPUTED_VALUE"""),272)</f>
        <v>272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IFERROR(__xludf.DUMMYFUNCTION("""COMPUTED_VALUE"""),"Georgia Tech5")</f>
        <v>Georgia Tech5</v>
      </c>
      <c r="C24" s="1" t="str">
        <f ca="1">IFERROR(__xludf.DUMMYFUNCTION("""COMPUTED_VALUE"""),"ACC")</f>
        <v>ACC</v>
      </c>
      <c r="D24" s="1" t="str">
        <f ca="1">IFERROR(__xludf.DUMMYFUNCTION("""COMPUTED_VALUE"""),"20-12")</f>
        <v>20-12</v>
      </c>
      <c r="E24" s="1" t="str">
        <f ca="1">IFERROR(__xludf.DUMMYFUNCTION("""COMPUTED_VALUE"""),"+19.23")</f>
        <v>+19.23</v>
      </c>
      <c r="F24" s="1">
        <f ca="1">IFERROR(__xludf.DUMMYFUNCTION("""COMPUTED_VALUE"""),109.2)</f>
        <v>109.2</v>
      </c>
      <c r="G24" s="1">
        <f ca="1">IFERROR(__xludf.DUMMYFUNCTION("""COMPUTED_VALUE"""),66)</f>
        <v>66</v>
      </c>
      <c r="H24" s="1">
        <f ca="1">IFERROR(__xludf.DUMMYFUNCTION("""COMPUTED_VALUE"""),90)</f>
        <v>90</v>
      </c>
      <c r="I24" s="1">
        <f ca="1">IFERROR(__xludf.DUMMYFUNCTION("""COMPUTED_VALUE"""),8)</f>
        <v>8</v>
      </c>
      <c r="J24" s="1">
        <f ca="1">IFERROR(__xludf.DUMMYFUNCTION("""COMPUTED_VALUE"""),68.6)</f>
        <v>68.599999999999994</v>
      </c>
      <c r="K24" s="1">
        <f ca="1">IFERROR(__xludf.DUMMYFUNCTION("""COMPUTED_VALUE"""),68)</f>
        <v>68</v>
      </c>
      <c r="L24" s="1">
        <f ca="1">IFERROR(__xludf.DUMMYFUNCTION("""COMPUTED_VALUE"""),-0.038)</f>
        <v>-3.7999999999999999E-2</v>
      </c>
      <c r="M24" s="1">
        <f ca="1">IFERROR(__xludf.DUMMYFUNCTION("""COMPUTED_VALUE"""),259)</f>
        <v>259</v>
      </c>
      <c r="N24" s="1" t="str">
        <f ca="1">IFERROR(__xludf.DUMMYFUNCTION("""COMPUTED_VALUE"""),"+10.91")</f>
        <v>+10.91</v>
      </c>
      <c r="O24" s="1">
        <f ca="1">IFERROR(__xludf.DUMMYFUNCTION("""COMPUTED_VALUE"""),5)</f>
        <v>5</v>
      </c>
      <c r="P24" s="1">
        <f ca="1">IFERROR(__xludf.DUMMYFUNCTION("""COMPUTED_VALUE"""),108.9)</f>
        <v>108.9</v>
      </c>
      <c r="Q24" s="1">
        <f ca="1">IFERROR(__xludf.DUMMYFUNCTION("""COMPUTED_VALUE"""),4)</f>
        <v>4</v>
      </c>
      <c r="R24" s="1">
        <f ca="1">IFERROR(__xludf.DUMMYFUNCTION("""COMPUTED_VALUE"""),98)</f>
        <v>98</v>
      </c>
      <c r="S24" s="1">
        <f ca="1">IFERROR(__xludf.DUMMYFUNCTION("""COMPUTED_VALUE"""),8)</f>
        <v>8</v>
      </c>
      <c r="T24" s="1">
        <f ca="1">IFERROR(__xludf.DUMMYFUNCTION("""COMPUTED_VALUE"""),-4.87)</f>
        <v>-4.87</v>
      </c>
      <c r="U24" s="1">
        <f ca="1">IFERROR(__xludf.DUMMYFUNCTION("""COMPUTED_VALUE"""),280)</f>
        <v>280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IFERROR(__xludf.DUMMYFUNCTION("""COMPUTED_VALUE"""),"N.C. State10")</f>
        <v>N.C. State10</v>
      </c>
      <c r="C25" s="1" t="str">
        <f ca="1">IFERROR(__xludf.DUMMYFUNCTION("""COMPUTED_VALUE"""),"ACC")</f>
        <v>ACC</v>
      </c>
      <c r="D25" s="1" t="str">
        <f ca="1">IFERROR(__xludf.DUMMYFUNCTION("""COMPUTED_VALUE"""),"21-14")</f>
        <v>21-14</v>
      </c>
      <c r="E25" s="1" t="str">
        <f ca="1">IFERROR(__xludf.DUMMYFUNCTION("""COMPUTED_VALUE"""),"+18.93")</f>
        <v>+18.93</v>
      </c>
      <c r="F25" s="1">
        <f ca="1">IFERROR(__xludf.DUMMYFUNCTION("""COMPUTED_VALUE"""),115)</f>
        <v>115</v>
      </c>
      <c r="G25" s="1">
        <f ca="1">IFERROR(__xludf.DUMMYFUNCTION("""COMPUTED_VALUE"""),17)</f>
        <v>17</v>
      </c>
      <c r="H25" s="1">
        <f ca="1">IFERROR(__xludf.DUMMYFUNCTION("""COMPUTED_VALUE"""),96.1)</f>
        <v>96.1</v>
      </c>
      <c r="I25" s="1">
        <f ca="1">IFERROR(__xludf.DUMMYFUNCTION("""COMPUTED_VALUE"""),47)</f>
        <v>47</v>
      </c>
      <c r="J25" s="1">
        <f ca="1">IFERROR(__xludf.DUMMYFUNCTION("""COMPUTED_VALUE"""),63.1)</f>
        <v>63.1</v>
      </c>
      <c r="K25" s="1">
        <f ca="1">IFERROR(__xludf.DUMMYFUNCTION("""COMPUTED_VALUE"""),282)</f>
        <v>282</v>
      </c>
      <c r="L25" s="1">
        <f ca="1">IFERROR(__xludf.DUMMYFUNCTION("""COMPUTED_VALUE"""),-0.062)</f>
        <v>-6.2E-2</v>
      </c>
      <c r="M25" s="1">
        <f ca="1">IFERROR(__xludf.DUMMYFUNCTION("""COMPUTED_VALUE"""),295)</f>
        <v>295</v>
      </c>
      <c r="N25" s="1" t="str">
        <f ca="1">IFERROR(__xludf.DUMMYFUNCTION("""COMPUTED_VALUE"""),"+10.05")</f>
        <v>+10.05</v>
      </c>
      <c r="O25" s="1">
        <f ca="1">IFERROR(__xludf.DUMMYFUNCTION("""COMPUTED_VALUE"""),11)</f>
        <v>11</v>
      </c>
      <c r="P25" s="1">
        <f ca="1">IFERROR(__xludf.DUMMYFUNCTION("""COMPUTED_VALUE"""),108.3)</f>
        <v>108.3</v>
      </c>
      <c r="Q25" s="1">
        <f ca="1">IFERROR(__xludf.DUMMYFUNCTION("""COMPUTED_VALUE"""),14)</f>
        <v>14</v>
      </c>
      <c r="R25" s="1">
        <f ca="1">IFERROR(__xludf.DUMMYFUNCTION("""COMPUTED_VALUE"""),98.3)</f>
        <v>98.3</v>
      </c>
      <c r="S25" s="1">
        <f ca="1">IFERROR(__xludf.DUMMYFUNCTION("""COMPUTED_VALUE"""),13)</f>
        <v>13</v>
      </c>
      <c r="T25" s="1">
        <f ca="1">IFERROR(__xludf.DUMMYFUNCTION("""COMPUTED_VALUE"""),-3.82)</f>
        <v>-3.82</v>
      </c>
      <c r="U25" s="1">
        <f ca="1">IFERROR(__xludf.DUMMYFUNCTION("""COMPUTED_VALUE"""),253)</f>
        <v>253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IFERROR(__xludf.DUMMYFUNCTION("""COMPUTED_VALUE"""),"Pittsburgh9")</f>
        <v>Pittsburgh9</v>
      </c>
      <c r="C26" s="1" t="str">
        <f ca="1">IFERROR(__xludf.DUMMYFUNCTION("""COMPUTED_VALUE"""),"BE")</f>
        <v>BE</v>
      </c>
      <c r="D26" s="1" t="str">
        <f ca="1">IFERROR(__xludf.DUMMYFUNCTION("""COMPUTED_VALUE"""),"20-9")</f>
        <v>20-9</v>
      </c>
      <c r="E26" s="1" t="str">
        <f ca="1">IFERROR(__xludf.DUMMYFUNCTION("""COMPUTED_VALUE"""),"+18.41")</f>
        <v>+18.41</v>
      </c>
      <c r="F26" s="1">
        <f ca="1">IFERROR(__xludf.DUMMYFUNCTION("""COMPUTED_VALUE"""),114.8)</f>
        <v>114.8</v>
      </c>
      <c r="G26" s="1">
        <f ca="1">IFERROR(__xludf.DUMMYFUNCTION("""COMPUTED_VALUE"""),18)</f>
        <v>18</v>
      </c>
      <c r="H26" s="1">
        <f ca="1">IFERROR(__xludf.DUMMYFUNCTION("""COMPUTED_VALUE"""),96.3)</f>
        <v>96.3</v>
      </c>
      <c r="I26" s="1">
        <f ca="1">IFERROR(__xludf.DUMMYFUNCTION("""COMPUTED_VALUE"""),51)</f>
        <v>51</v>
      </c>
      <c r="J26" s="1">
        <f ca="1">IFERROR(__xludf.DUMMYFUNCTION("""COMPUTED_VALUE"""),64)</f>
        <v>64</v>
      </c>
      <c r="K26" s="1">
        <f ca="1">IFERROR(__xludf.DUMMYFUNCTION("""COMPUTED_VALUE"""),254)</f>
        <v>254</v>
      </c>
      <c r="L26" s="1">
        <f ca="1">IFERROR(__xludf.DUMMYFUNCTION("""COMPUTED_VALUE"""),-0.057)</f>
        <v>-5.7000000000000002E-2</v>
      </c>
      <c r="M26" s="1">
        <f ca="1">IFERROR(__xludf.DUMMYFUNCTION("""COMPUTED_VALUE"""),287)</f>
        <v>287</v>
      </c>
      <c r="N26" s="1" t="str">
        <f ca="1">IFERROR(__xludf.DUMMYFUNCTION("""COMPUTED_VALUE"""),"+5.63")</f>
        <v>+5.63</v>
      </c>
      <c r="O26" s="1">
        <f ca="1">IFERROR(__xludf.DUMMYFUNCTION("""COMPUTED_VALUE"""),69)</f>
        <v>69</v>
      </c>
      <c r="P26" s="1">
        <f ca="1">IFERROR(__xludf.DUMMYFUNCTION("""COMPUTED_VALUE"""),106.3)</f>
        <v>106.3</v>
      </c>
      <c r="Q26" s="1">
        <f ca="1">IFERROR(__xludf.DUMMYFUNCTION("""COMPUTED_VALUE"""),61)</f>
        <v>61</v>
      </c>
      <c r="R26" s="1">
        <f ca="1">IFERROR(__xludf.DUMMYFUNCTION("""COMPUTED_VALUE"""),100.7)</f>
        <v>100.7</v>
      </c>
      <c r="S26" s="1">
        <f ca="1">IFERROR(__xludf.DUMMYFUNCTION("""COMPUTED_VALUE"""),79)</f>
        <v>79</v>
      </c>
      <c r="T26" s="1">
        <f ca="1">IFERROR(__xludf.DUMMYFUNCTION("""COMPUTED_VALUE"""),-10.09)</f>
        <v>-10.09</v>
      </c>
      <c r="U26" s="1">
        <f ca="1">IFERROR(__xludf.DUMMYFUNCTION("""COMPUTED_VALUE"""),321)</f>
        <v>321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IFERROR(__xludf.DUMMYFUNCTION("""COMPUTED_VALUE"""),"Boston College4")</f>
        <v>Boston College4</v>
      </c>
      <c r="C27" s="1" t="str">
        <f ca="1">IFERROR(__xludf.DUMMYFUNCTION("""COMPUTED_VALUE"""),"BE")</f>
        <v>BE</v>
      </c>
      <c r="D27" s="1" t="str">
        <f ca="1">IFERROR(__xludf.DUMMYFUNCTION("""COMPUTED_VALUE"""),"25-5")</f>
        <v>25-5</v>
      </c>
      <c r="E27" s="1" t="str">
        <f ca="1">IFERROR(__xludf.DUMMYFUNCTION("""COMPUTED_VALUE"""),"+18.30")</f>
        <v>+18.30</v>
      </c>
      <c r="F27" s="1">
        <f ca="1">IFERROR(__xludf.DUMMYFUNCTION("""COMPUTED_VALUE"""),114.3)</f>
        <v>114.3</v>
      </c>
      <c r="G27" s="1">
        <f ca="1">IFERROR(__xludf.DUMMYFUNCTION("""COMPUTED_VALUE"""),23)</f>
        <v>23</v>
      </c>
      <c r="H27" s="1">
        <f ca="1">IFERROR(__xludf.DUMMYFUNCTION("""COMPUTED_VALUE"""),96)</f>
        <v>96</v>
      </c>
      <c r="I27" s="1">
        <f ca="1">IFERROR(__xludf.DUMMYFUNCTION("""COMPUTED_VALUE"""),46)</f>
        <v>46</v>
      </c>
      <c r="J27" s="1">
        <f ca="1">IFERROR(__xludf.DUMMYFUNCTION("""COMPUTED_VALUE"""),64.8)</f>
        <v>64.8</v>
      </c>
      <c r="K27" s="1">
        <f ca="1">IFERROR(__xludf.DUMMYFUNCTION("""COMPUTED_VALUE"""),226)</f>
        <v>226</v>
      </c>
      <c r="L27" s="1" t="str">
        <f ca="1">IFERROR(__xludf.DUMMYFUNCTION("""COMPUTED_VALUE"""),"+.078")</f>
        <v>+.078</v>
      </c>
      <c r="M27" s="1">
        <f ca="1">IFERROR(__xludf.DUMMYFUNCTION("""COMPUTED_VALUE"""),24)</f>
        <v>24</v>
      </c>
      <c r="N27" s="1" t="str">
        <f ca="1">IFERROR(__xludf.DUMMYFUNCTION("""COMPUTED_VALUE"""),"+6.60")</f>
        <v>+6.60</v>
      </c>
      <c r="O27" s="1">
        <f ca="1">IFERROR(__xludf.DUMMYFUNCTION("""COMPUTED_VALUE"""),51)</f>
        <v>51</v>
      </c>
      <c r="P27" s="1">
        <f ca="1">IFERROR(__xludf.DUMMYFUNCTION("""COMPUTED_VALUE"""),105.8)</f>
        <v>105.8</v>
      </c>
      <c r="Q27" s="1">
        <f ca="1">IFERROR(__xludf.DUMMYFUNCTION("""COMPUTED_VALUE"""),81)</f>
        <v>81</v>
      </c>
      <c r="R27" s="1">
        <f ca="1">IFERROR(__xludf.DUMMYFUNCTION("""COMPUTED_VALUE"""),99.2)</f>
        <v>99.2</v>
      </c>
      <c r="S27" s="1">
        <f ca="1">IFERROR(__xludf.DUMMYFUNCTION("""COMPUTED_VALUE"""),28)</f>
        <v>28</v>
      </c>
      <c r="T27" s="1">
        <f ca="1">IFERROR(__xludf.DUMMYFUNCTION("""COMPUTED_VALUE"""),-4.21)</f>
        <v>-4.21</v>
      </c>
      <c r="U27" s="1">
        <f ca="1">IFERROR(__xludf.DUMMYFUNCTION("""COMPUTED_VALUE"""),262)</f>
        <v>262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IFERROR(__xludf.DUMMYFUNCTION("""COMPUTED_VALUE"""),"Gonzaga3")</f>
        <v>Gonzaga3</v>
      </c>
      <c r="C28" s="1" t="str">
        <f ca="1">IFERROR(__xludf.DUMMYFUNCTION("""COMPUTED_VALUE"""),"WCC")</f>
        <v>WCC</v>
      </c>
      <c r="D28" s="1" t="str">
        <f ca="1">IFERROR(__xludf.DUMMYFUNCTION("""COMPUTED_VALUE"""),"26-5")</f>
        <v>26-5</v>
      </c>
      <c r="E28" s="1" t="str">
        <f ca="1">IFERROR(__xludf.DUMMYFUNCTION("""COMPUTED_VALUE"""),"+17.88")</f>
        <v>+17.88</v>
      </c>
      <c r="F28" s="1">
        <f ca="1">IFERROR(__xludf.DUMMYFUNCTION("""COMPUTED_VALUE"""),119.3)</f>
        <v>119.3</v>
      </c>
      <c r="G28" s="1">
        <f ca="1">IFERROR(__xludf.DUMMYFUNCTION("""COMPUTED_VALUE"""),7)</f>
        <v>7</v>
      </c>
      <c r="H28" s="1">
        <f ca="1">IFERROR(__xludf.DUMMYFUNCTION("""COMPUTED_VALUE"""),101.4)</f>
        <v>101.4</v>
      </c>
      <c r="I28" s="1">
        <f ca="1">IFERROR(__xludf.DUMMYFUNCTION("""COMPUTED_VALUE"""),135)</f>
        <v>135</v>
      </c>
      <c r="J28" s="1">
        <f ca="1">IFERROR(__xludf.DUMMYFUNCTION("""COMPUTED_VALUE"""),67.1)</f>
        <v>67.099999999999994</v>
      </c>
      <c r="K28" s="1">
        <f ca="1">IFERROR(__xludf.DUMMYFUNCTION("""COMPUTED_VALUE"""),124)</f>
        <v>124</v>
      </c>
      <c r="L28" s="1" t="str">
        <f ca="1">IFERROR(__xludf.DUMMYFUNCTION("""COMPUTED_VALUE"""),"+.012")</f>
        <v>+.012</v>
      </c>
      <c r="M28" s="1">
        <f ca="1">IFERROR(__xludf.DUMMYFUNCTION("""COMPUTED_VALUE"""),131)</f>
        <v>131</v>
      </c>
      <c r="N28" s="1" t="str">
        <f ca="1">IFERROR(__xludf.DUMMYFUNCTION("""COMPUTED_VALUE"""),"+3.46")</f>
        <v>+3.46</v>
      </c>
      <c r="O28" s="1">
        <f ca="1">IFERROR(__xludf.DUMMYFUNCTION("""COMPUTED_VALUE"""),103)</f>
        <v>103</v>
      </c>
      <c r="P28" s="1">
        <f ca="1">IFERROR(__xludf.DUMMYFUNCTION("""COMPUTED_VALUE"""),104)</f>
        <v>104</v>
      </c>
      <c r="Q28" s="1">
        <f ca="1">IFERROR(__xludf.DUMMYFUNCTION("""COMPUTED_VALUE"""),135)</f>
        <v>135</v>
      </c>
      <c r="R28" s="1">
        <f ca="1">IFERROR(__xludf.DUMMYFUNCTION("""COMPUTED_VALUE"""),100.5)</f>
        <v>100.5</v>
      </c>
      <c r="S28" s="1">
        <f ca="1">IFERROR(__xludf.DUMMYFUNCTION("""COMPUTED_VALUE"""),71)</f>
        <v>71</v>
      </c>
      <c r="T28" s="1" t="str">
        <f ca="1">IFERROR(__xludf.DUMMYFUNCTION("""COMPUTED_VALUE"""),"+2.18")</f>
        <v>+2.18</v>
      </c>
      <c r="U28" s="1">
        <f ca="1">IFERROR(__xludf.DUMMYFUNCTION("""COMPUTED_VALUE"""),104)</f>
        <v>104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IFERROR(__xludf.DUMMYFUNCTION("""COMPUTED_VALUE"""),"Iowa10")</f>
        <v>Iowa10</v>
      </c>
      <c r="C29" s="1" t="str">
        <f ca="1">IFERROR(__xludf.DUMMYFUNCTION("""COMPUTED_VALUE"""),"B10")</f>
        <v>B10</v>
      </c>
      <c r="D29" s="1" t="str">
        <f ca="1">IFERROR(__xludf.DUMMYFUNCTION("""COMPUTED_VALUE"""),"21-12")</f>
        <v>21-12</v>
      </c>
      <c r="E29" s="1" t="str">
        <f ca="1">IFERROR(__xludf.DUMMYFUNCTION("""COMPUTED_VALUE"""),"+17.17")</f>
        <v>+17.17</v>
      </c>
      <c r="F29" s="1">
        <f ca="1">IFERROR(__xludf.DUMMYFUNCTION("""COMPUTED_VALUE"""),111.9)</f>
        <v>111.9</v>
      </c>
      <c r="G29" s="1">
        <f ca="1">IFERROR(__xludf.DUMMYFUNCTION("""COMPUTED_VALUE"""),40)</f>
        <v>40</v>
      </c>
      <c r="H29" s="1">
        <f ca="1">IFERROR(__xludf.DUMMYFUNCTION("""COMPUTED_VALUE"""),94.7)</f>
        <v>94.7</v>
      </c>
      <c r="I29" s="1">
        <f ca="1">IFERROR(__xludf.DUMMYFUNCTION("""COMPUTED_VALUE"""),35)</f>
        <v>35</v>
      </c>
      <c r="J29" s="1">
        <f ca="1">IFERROR(__xludf.DUMMYFUNCTION("""COMPUTED_VALUE"""),68.1)</f>
        <v>68.099999999999994</v>
      </c>
      <c r="K29" s="1">
        <f ca="1">IFERROR(__xludf.DUMMYFUNCTION("""COMPUTED_VALUE"""),87)</f>
        <v>87</v>
      </c>
      <c r="L29" s="1">
        <f ca="1">IFERROR(__xludf.DUMMYFUNCTION("""COMPUTED_VALUE"""),-0.034)</f>
        <v>-3.4000000000000002E-2</v>
      </c>
      <c r="M29" s="1">
        <f ca="1">IFERROR(__xludf.DUMMYFUNCTION("""COMPUTED_VALUE"""),251)</f>
        <v>251</v>
      </c>
      <c r="N29" s="1" t="str">
        <f ca="1">IFERROR(__xludf.DUMMYFUNCTION("""COMPUTED_VALUE"""),"+9.51")</f>
        <v>+9.51</v>
      </c>
      <c r="O29" s="1">
        <f ca="1">IFERROR(__xludf.DUMMYFUNCTION("""COMPUTED_VALUE"""),16)</f>
        <v>16</v>
      </c>
      <c r="P29" s="1">
        <f ca="1">IFERROR(__xludf.DUMMYFUNCTION("""COMPUTED_VALUE"""),107.4)</f>
        <v>107.4</v>
      </c>
      <c r="Q29" s="1">
        <f ca="1">IFERROR(__xludf.DUMMYFUNCTION("""COMPUTED_VALUE"""),31)</f>
        <v>31</v>
      </c>
      <c r="R29" s="1">
        <f ca="1">IFERROR(__xludf.DUMMYFUNCTION("""COMPUTED_VALUE"""),97.9)</f>
        <v>97.9</v>
      </c>
      <c r="S29" s="1">
        <f ca="1">IFERROR(__xludf.DUMMYFUNCTION("""COMPUTED_VALUE"""),7)</f>
        <v>7</v>
      </c>
      <c r="T29" s="1" t="str">
        <f ca="1">IFERROR(__xludf.DUMMYFUNCTION("""COMPUTED_VALUE"""),"+3.40")</f>
        <v>+3.40</v>
      </c>
      <c r="U29" s="1">
        <f ca="1">IFERROR(__xludf.DUMMYFUNCTION("""COMPUTED_VALUE"""),78)</f>
        <v>78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IFERROR(__xludf.DUMMYFUNCTION("""COMPUTED_VALUE"""),"Texas8")</f>
        <v>Texas8</v>
      </c>
      <c r="C30" s="1" t="str">
        <f ca="1">IFERROR(__xludf.DUMMYFUNCTION("""COMPUTED_VALUE"""),"B12")</f>
        <v>B12</v>
      </c>
      <c r="D30" s="1" t="str">
        <f ca="1">IFERROR(__xludf.DUMMYFUNCTION("""COMPUTED_VALUE"""),"20-11")</f>
        <v>20-11</v>
      </c>
      <c r="E30" s="1" t="str">
        <f ca="1">IFERROR(__xludf.DUMMYFUNCTION("""COMPUTED_VALUE"""),"+17.01")</f>
        <v>+17.01</v>
      </c>
      <c r="F30" s="1">
        <f ca="1">IFERROR(__xludf.DUMMYFUNCTION("""COMPUTED_VALUE"""),114.1)</f>
        <v>114.1</v>
      </c>
      <c r="G30" s="1">
        <f ca="1">IFERROR(__xludf.DUMMYFUNCTION("""COMPUTED_VALUE"""),24)</f>
        <v>24</v>
      </c>
      <c r="H30" s="1">
        <f ca="1">IFERROR(__xludf.DUMMYFUNCTION("""COMPUTED_VALUE"""),97.1)</f>
        <v>97.1</v>
      </c>
      <c r="I30" s="1">
        <f ca="1">IFERROR(__xludf.DUMMYFUNCTION("""COMPUTED_VALUE"""),61)</f>
        <v>61</v>
      </c>
      <c r="J30" s="1">
        <f ca="1">IFERROR(__xludf.DUMMYFUNCTION("""COMPUTED_VALUE"""),66.5)</f>
        <v>66.5</v>
      </c>
      <c r="K30" s="1">
        <f ca="1">IFERROR(__xludf.DUMMYFUNCTION("""COMPUTED_VALUE"""),146)</f>
        <v>146</v>
      </c>
      <c r="L30" s="1">
        <f ca="1">IFERROR(__xludf.DUMMYFUNCTION("""COMPUTED_VALUE"""),-0.051)</f>
        <v>-5.0999999999999997E-2</v>
      </c>
      <c r="M30" s="1">
        <f ca="1">IFERROR(__xludf.DUMMYFUNCTION("""COMPUTED_VALUE"""),279)</f>
        <v>279</v>
      </c>
      <c r="N30" s="1" t="str">
        <f ca="1">IFERROR(__xludf.DUMMYFUNCTION("""COMPUTED_VALUE"""),"+6.62")</f>
        <v>+6.62</v>
      </c>
      <c r="O30" s="1">
        <f ca="1">IFERROR(__xludf.DUMMYFUNCTION("""COMPUTED_VALUE"""),50)</f>
        <v>50</v>
      </c>
      <c r="P30" s="1">
        <f ca="1">IFERROR(__xludf.DUMMYFUNCTION("""COMPUTED_VALUE"""),107)</f>
        <v>107</v>
      </c>
      <c r="Q30" s="1">
        <f ca="1">IFERROR(__xludf.DUMMYFUNCTION("""COMPUTED_VALUE"""),38)</f>
        <v>38</v>
      </c>
      <c r="R30" s="1">
        <f ca="1">IFERROR(__xludf.DUMMYFUNCTION("""COMPUTED_VALUE"""),100.4)</f>
        <v>100.4</v>
      </c>
      <c r="S30" s="1">
        <f ca="1">IFERROR(__xludf.DUMMYFUNCTION("""COMPUTED_VALUE"""),65)</f>
        <v>65</v>
      </c>
      <c r="T30" s="1">
        <f ca="1">IFERROR(__xludf.DUMMYFUNCTION("""COMPUTED_VALUE"""),-2.46)</f>
        <v>-2.46</v>
      </c>
      <c r="U30" s="1">
        <f ca="1">IFERROR(__xludf.DUMMYFUNCTION("""COMPUTED_VALUE"""),228)</f>
        <v>228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IFERROR(__xludf.DUMMYFUNCTION("""COMPUTED_VALUE"""),"Southern Illinois7")</f>
        <v>Southern Illinois7</v>
      </c>
      <c r="C31" s="1" t="str">
        <f ca="1">IFERROR(__xludf.DUMMYFUNCTION("""COMPUTED_VALUE"""),"MVC")</f>
        <v>MVC</v>
      </c>
      <c r="D31" s="1" t="str">
        <f ca="1">IFERROR(__xludf.DUMMYFUNCTION("""COMPUTED_VALUE"""),"27-8")</f>
        <v>27-8</v>
      </c>
      <c r="E31" s="1" t="str">
        <f ca="1">IFERROR(__xludf.DUMMYFUNCTION("""COMPUTED_VALUE"""),"+16.75")</f>
        <v>+16.75</v>
      </c>
      <c r="F31" s="1">
        <f ca="1">IFERROR(__xludf.DUMMYFUNCTION("""COMPUTED_VALUE"""),109.1)</f>
        <v>109.1</v>
      </c>
      <c r="G31" s="1">
        <f ca="1">IFERROR(__xludf.DUMMYFUNCTION("""COMPUTED_VALUE"""),69)</f>
        <v>69</v>
      </c>
      <c r="H31" s="1">
        <f ca="1">IFERROR(__xludf.DUMMYFUNCTION("""COMPUTED_VALUE"""),92.4)</f>
        <v>92.4</v>
      </c>
      <c r="I31" s="1">
        <f ca="1">IFERROR(__xludf.DUMMYFUNCTION("""COMPUTED_VALUE"""),15)</f>
        <v>15</v>
      </c>
      <c r="J31" s="1">
        <f ca="1">IFERROR(__xludf.DUMMYFUNCTION("""COMPUTED_VALUE"""),63.4)</f>
        <v>63.4</v>
      </c>
      <c r="K31" s="1">
        <f ca="1">IFERROR(__xludf.DUMMYFUNCTION("""COMPUTED_VALUE"""),271)</f>
        <v>271</v>
      </c>
      <c r="L31" s="1" t="str">
        <f ca="1">IFERROR(__xludf.DUMMYFUNCTION("""COMPUTED_VALUE"""),"+.015")</f>
        <v>+.015</v>
      </c>
      <c r="M31" s="1">
        <f ca="1">IFERROR(__xludf.DUMMYFUNCTION("""COMPUTED_VALUE"""),122)</f>
        <v>122</v>
      </c>
      <c r="N31" s="1" t="str">
        <f ca="1">IFERROR(__xludf.DUMMYFUNCTION("""COMPUTED_VALUE"""),"+6.10")</f>
        <v>+6.10</v>
      </c>
      <c r="O31" s="1">
        <f ca="1">IFERROR(__xludf.DUMMYFUNCTION("""COMPUTED_VALUE"""),63)</f>
        <v>63</v>
      </c>
      <c r="P31" s="1">
        <f ca="1">IFERROR(__xludf.DUMMYFUNCTION("""COMPUTED_VALUE"""),106.7)</f>
        <v>106.7</v>
      </c>
      <c r="Q31" s="1">
        <f ca="1">IFERROR(__xludf.DUMMYFUNCTION("""COMPUTED_VALUE"""),51)</f>
        <v>51</v>
      </c>
      <c r="R31" s="1">
        <f ca="1">IFERROR(__xludf.DUMMYFUNCTION("""COMPUTED_VALUE"""),100.6)</f>
        <v>100.6</v>
      </c>
      <c r="S31" s="1">
        <f ca="1">IFERROR(__xludf.DUMMYFUNCTION("""COMPUTED_VALUE"""),76)</f>
        <v>76</v>
      </c>
      <c r="T31" s="1" t="str">
        <f ca="1">IFERROR(__xludf.DUMMYFUNCTION("""COMPUTED_VALUE"""),"+4.17")</f>
        <v>+4.17</v>
      </c>
      <c r="U31" s="1">
        <f ca="1">IFERROR(__xludf.DUMMYFUNCTION("""COMPUTED_VALUE"""),66)</f>
        <v>66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IFERROR(__xludf.DUMMYFUNCTION("""COMPUTED_VALUE"""),"Ohio St.")</f>
        <v>Ohio St.</v>
      </c>
      <c r="C32" s="1" t="str">
        <f ca="1">IFERROR(__xludf.DUMMYFUNCTION("""COMPUTED_VALUE"""),"B10")</f>
        <v>B10</v>
      </c>
      <c r="D32" s="1" t="str">
        <f ca="1">IFERROR(__xludf.DUMMYFUNCTION("""COMPUTED_VALUE"""),"20-12")</f>
        <v>20-12</v>
      </c>
      <c r="E32" s="1" t="str">
        <f ca="1">IFERROR(__xludf.DUMMYFUNCTION("""COMPUTED_VALUE"""),"+15.82")</f>
        <v>+15.82</v>
      </c>
      <c r="F32" s="1">
        <f ca="1">IFERROR(__xludf.DUMMYFUNCTION("""COMPUTED_VALUE"""),109.7)</f>
        <v>109.7</v>
      </c>
      <c r="G32" s="1">
        <f ca="1">IFERROR(__xludf.DUMMYFUNCTION("""COMPUTED_VALUE"""),59)</f>
        <v>59</v>
      </c>
      <c r="H32" s="1">
        <f ca="1">IFERROR(__xludf.DUMMYFUNCTION("""COMPUTED_VALUE"""),93.9)</f>
        <v>93.9</v>
      </c>
      <c r="I32" s="1">
        <f ca="1">IFERROR(__xludf.DUMMYFUNCTION("""COMPUTED_VALUE"""),23)</f>
        <v>23</v>
      </c>
      <c r="J32" s="1">
        <f ca="1">IFERROR(__xludf.DUMMYFUNCTION("""COMPUTED_VALUE"""),65.5)</f>
        <v>65.5</v>
      </c>
      <c r="K32" s="1">
        <f ca="1">IFERROR(__xludf.DUMMYFUNCTION("""COMPUTED_VALUE"""),194)</f>
        <v>194</v>
      </c>
      <c r="L32" s="1">
        <f ca="1">IFERROR(__xludf.DUMMYFUNCTION("""COMPUTED_VALUE"""),-0.067)</f>
        <v>-6.7000000000000004E-2</v>
      </c>
      <c r="M32" s="1">
        <f ca="1">IFERROR(__xludf.DUMMYFUNCTION("""COMPUTED_VALUE"""),301)</f>
        <v>301</v>
      </c>
      <c r="N32" s="1" t="str">
        <f ca="1">IFERROR(__xludf.DUMMYFUNCTION("""COMPUTED_VALUE"""),"+5.63")</f>
        <v>+5.63</v>
      </c>
      <c r="O32" s="1">
        <f ca="1">IFERROR(__xludf.DUMMYFUNCTION("""COMPUTED_VALUE"""),68)</f>
        <v>68</v>
      </c>
      <c r="P32" s="1">
        <f ca="1">IFERROR(__xludf.DUMMYFUNCTION("""COMPUTED_VALUE"""),105.8)</f>
        <v>105.8</v>
      </c>
      <c r="Q32" s="1">
        <f ca="1">IFERROR(__xludf.DUMMYFUNCTION("""COMPUTED_VALUE"""),83)</f>
        <v>83</v>
      </c>
      <c r="R32" s="1">
        <f ca="1">IFERROR(__xludf.DUMMYFUNCTION("""COMPUTED_VALUE"""),100.1)</f>
        <v>100.1</v>
      </c>
      <c r="S32" s="1">
        <f ca="1">IFERROR(__xludf.DUMMYFUNCTION("""COMPUTED_VALUE"""),57)</f>
        <v>57</v>
      </c>
      <c r="T32" s="1">
        <f ca="1">IFERROR(__xludf.DUMMYFUNCTION("""COMPUTED_VALUE"""),-3.63)</f>
        <v>-3.63</v>
      </c>
      <c r="U32" s="1">
        <f ca="1">IFERROR(__xludf.DUMMYFUNCTION("""COMPUTED_VALUE"""),247)</f>
        <v>247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IFERROR(__xludf.DUMMYFUNCTION("""COMPUTED_VALUE"""),"New Mexico12")</f>
        <v>New Mexico12</v>
      </c>
      <c r="C33" s="1" t="str">
        <f ca="1">IFERROR(__xludf.DUMMYFUNCTION("""COMPUTED_VALUE"""),"MWC")</f>
        <v>MWC</v>
      </c>
      <c r="D33" s="1" t="str">
        <f ca="1">IFERROR(__xludf.DUMMYFUNCTION("""COMPUTED_VALUE"""),"26-7")</f>
        <v>26-7</v>
      </c>
      <c r="E33" s="1" t="str">
        <f ca="1">IFERROR(__xludf.DUMMYFUNCTION("""COMPUTED_VALUE"""),"+15.54")</f>
        <v>+15.54</v>
      </c>
      <c r="F33" s="1">
        <f ca="1">IFERROR(__xludf.DUMMYFUNCTION("""COMPUTED_VALUE"""),112.8)</f>
        <v>112.8</v>
      </c>
      <c r="G33" s="1">
        <f ca="1">IFERROR(__xludf.DUMMYFUNCTION("""COMPUTED_VALUE"""),30)</f>
        <v>30</v>
      </c>
      <c r="H33" s="1">
        <f ca="1">IFERROR(__xludf.DUMMYFUNCTION("""COMPUTED_VALUE"""),97.3)</f>
        <v>97.3</v>
      </c>
      <c r="I33" s="1">
        <f ca="1">IFERROR(__xludf.DUMMYFUNCTION("""COMPUTED_VALUE"""),63)</f>
        <v>63</v>
      </c>
      <c r="J33" s="1">
        <f ca="1">IFERROR(__xludf.DUMMYFUNCTION("""COMPUTED_VALUE"""),65.4)</f>
        <v>65.400000000000006</v>
      </c>
      <c r="K33" s="1">
        <f ca="1">IFERROR(__xludf.DUMMYFUNCTION("""COMPUTED_VALUE"""),196)</f>
        <v>196</v>
      </c>
      <c r="L33" s="1">
        <f ca="1">IFERROR(__xludf.DUMMYFUNCTION("""COMPUTED_VALUE"""),-0.002)</f>
        <v>-2E-3</v>
      </c>
      <c r="M33" s="1">
        <f ca="1">IFERROR(__xludf.DUMMYFUNCTION("""COMPUTED_VALUE"""),165)</f>
        <v>165</v>
      </c>
      <c r="N33" s="1">
        <f ca="1">IFERROR(__xludf.DUMMYFUNCTION("""COMPUTED_VALUE"""),-0.46)</f>
        <v>-0.46</v>
      </c>
      <c r="O33" s="1">
        <f ca="1">IFERROR(__xludf.DUMMYFUNCTION("""COMPUTED_VALUE"""),163)</f>
        <v>163</v>
      </c>
      <c r="P33" s="1">
        <f ca="1">IFERROR(__xludf.DUMMYFUNCTION("""COMPUTED_VALUE"""),103.4)</f>
        <v>103.4</v>
      </c>
      <c r="Q33" s="1">
        <f ca="1">IFERROR(__xludf.DUMMYFUNCTION("""COMPUTED_VALUE"""),154)</f>
        <v>154</v>
      </c>
      <c r="R33" s="1">
        <f ca="1">IFERROR(__xludf.DUMMYFUNCTION("""COMPUTED_VALUE"""),103.9)</f>
        <v>103.9</v>
      </c>
      <c r="S33" s="1">
        <f ca="1">IFERROR(__xludf.DUMMYFUNCTION("""COMPUTED_VALUE"""),205)</f>
        <v>205</v>
      </c>
      <c r="T33" s="1">
        <f ca="1">IFERROR(__xludf.DUMMYFUNCTION("""COMPUTED_VALUE"""),-10.69)</f>
        <v>-10.69</v>
      </c>
      <c r="U33" s="1">
        <f ca="1">IFERROR(__xludf.DUMMYFUNCTION("""COMPUTED_VALUE"""),322)</f>
        <v>322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IFERROR(__xludf.DUMMYFUNCTION("""COMPUTED_VALUE"""),"Texas Tech6")</f>
        <v>Texas Tech6</v>
      </c>
      <c r="C34" s="1" t="str">
        <f ca="1">IFERROR(__xludf.DUMMYFUNCTION("""COMPUTED_VALUE"""),"B12")</f>
        <v>B12</v>
      </c>
      <c r="D34" s="1" t="str">
        <f ca="1">IFERROR(__xludf.DUMMYFUNCTION("""COMPUTED_VALUE"""),"22-11")</f>
        <v>22-11</v>
      </c>
      <c r="E34" s="1" t="str">
        <f ca="1">IFERROR(__xludf.DUMMYFUNCTION("""COMPUTED_VALUE"""),"+15.47")</f>
        <v>+15.47</v>
      </c>
      <c r="F34" s="1">
        <f ca="1">IFERROR(__xludf.DUMMYFUNCTION("""COMPUTED_VALUE"""),110.3)</f>
        <v>110.3</v>
      </c>
      <c r="G34" s="1">
        <f ca="1">IFERROR(__xludf.DUMMYFUNCTION("""COMPUTED_VALUE"""),50)</f>
        <v>50</v>
      </c>
      <c r="H34" s="1">
        <f ca="1">IFERROR(__xludf.DUMMYFUNCTION("""COMPUTED_VALUE"""),94.8)</f>
        <v>94.8</v>
      </c>
      <c r="I34" s="1">
        <f ca="1">IFERROR(__xludf.DUMMYFUNCTION("""COMPUTED_VALUE"""),36)</f>
        <v>36</v>
      </c>
      <c r="J34" s="1">
        <f ca="1">IFERROR(__xludf.DUMMYFUNCTION("""COMPUTED_VALUE"""),69)</f>
        <v>69</v>
      </c>
      <c r="K34" s="1">
        <f ca="1">IFERROR(__xludf.DUMMYFUNCTION("""COMPUTED_VALUE"""),55)</f>
        <v>55</v>
      </c>
      <c r="L34" s="1" t="str">
        <f ca="1">IFERROR(__xludf.DUMMYFUNCTION("""COMPUTED_VALUE"""),"+.037")</f>
        <v>+.037</v>
      </c>
      <c r="M34" s="1">
        <f ca="1">IFERROR(__xludf.DUMMYFUNCTION("""COMPUTED_VALUE"""),81)</f>
        <v>81</v>
      </c>
      <c r="N34" s="1" t="str">
        <f ca="1">IFERROR(__xludf.DUMMYFUNCTION("""COMPUTED_VALUE"""),"+8.93")</f>
        <v>+8.93</v>
      </c>
      <c r="O34" s="1">
        <f ca="1">IFERROR(__xludf.DUMMYFUNCTION("""COMPUTED_VALUE"""),20)</f>
        <v>20</v>
      </c>
      <c r="P34" s="1">
        <f ca="1">IFERROR(__xludf.DUMMYFUNCTION("""COMPUTED_VALUE"""),108.8)</f>
        <v>108.8</v>
      </c>
      <c r="Q34" s="1">
        <f ca="1">IFERROR(__xludf.DUMMYFUNCTION("""COMPUTED_VALUE"""),5)</f>
        <v>5</v>
      </c>
      <c r="R34" s="1">
        <f ca="1">IFERROR(__xludf.DUMMYFUNCTION("""COMPUTED_VALUE"""),99.9)</f>
        <v>99.9</v>
      </c>
      <c r="S34" s="1">
        <f ca="1">IFERROR(__xludf.DUMMYFUNCTION("""COMPUTED_VALUE"""),51)</f>
        <v>51</v>
      </c>
      <c r="T34" s="1">
        <f ca="1">IFERROR(__xludf.DUMMYFUNCTION("""COMPUTED_VALUE"""),-3.94)</f>
        <v>-3.94</v>
      </c>
      <c r="U34" s="1">
        <f ca="1">IFERROR(__xludf.DUMMYFUNCTION("""COMPUTED_VALUE"""),256)</f>
        <v>256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IFERROR(__xludf.DUMMYFUNCTION("""COMPUTED_VALUE"""),"Vanderbilt")</f>
        <v>Vanderbilt</v>
      </c>
      <c r="C35" s="1" t="str">
        <f ca="1">IFERROR(__xludf.DUMMYFUNCTION("""COMPUTED_VALUE"""),"SEC")</f>
        <v>SEC</v>
      </c>
      <c r="D35" s="1" t="str">
        <f ca="1">IFERROR(__xludf.DUMMYFUNCTION("""COMPUTED_VALUE"""),"20-14")</f>
        <v>20-14</v>
      </c>
      <c r="E35" s="1" t="str">
        <f ca="1">IFERROR(__xludf.DUMMYFUNCTION("""COMPUTED_VALUE"""),"+15.31")</f>
        <v>+15.31</v>
      </c>
      <c r="F35" s="1">
        <f ca="1">IFERROR(__xludf.DUMMYFUNCTION("""COMPUTED_VALUE"""),111)</f>
        <v>111</v>
      </c>
      <c r="G35" s="1">
        <f ca="1">IFERROR(__xludf.DUMMYFUNCTION("""COMPUTED_VALUE"""),49)</f>
        <v>49</v>
      </c>
      <c r="H35" s="1">
        <f ca="1">IFERROR(__xludf.DUMMYFUNCTION("""COMPUTED_VALUE"""),95.7)</f>
        <v>95.7</v>
      </c>
      <c r="I35" s="1">
        <f ca="1">IFERROR(__xludf.DUMMYFUNCTION("""COMPUTED_VALUE"""),43)</f>
        <v>43</v>
      </c>
      <c r="J35" s="1">
        <f ca="1">IFERROR(__xludf.DUMMYFUNCTION("""COMPUTED_VALUE"""),65.8)</f>
        <v>65.8</v>
      </c>
      <c r="K35" s="1">
        <f ca="1">IFERROR(__xludf.DUMMYFUNCTION("""COMPUTED_VALUE"""),179)</f>
        <v>179</v>
      </c>
      <c r="L35" s="1">
        <f ca="1">IFERROR(__xludf.DUMMYFUNCTION("""COMPUTED_VALUE"""),-0.053)</f>
        <v>-5.2999999999999999E-2</v>
      </c>
      <c r="M35" s="1">
        <f ca="1">IFERROR(__xludf.DUMMYFUNCTION("""COMPUTED_VALUE"""),283)</f>
        <v>283</v>
      </c>
      <c r="N35" s="1" t="str">
        <f ca="1">IFERROR(__xludf.DUMMYFUNCTION("""COMPUTED_VALUE"""),"+6.82")</f>
        <v>+6.82</v>
      </c>
      <c r="O35" s="1">
        <f ca="1">IFERROR(__xludf.DUMMYFUNCTION("""COMPUTED_VALUE"""),47)</f>
        <v>47</v>
      </c>
      <c r="P35" s="1">
        <f ca="1">IFERROR(__xludf.DUMMYFUNCTION("""COMPUTED_VALUE"""),106.4)</f>
        <v>106.4</v>
      </c>
      <c r="Q35" s="1">
        <f ca="1">IFERROR(__xludf.DUMMYFUNCTION("""COMPUTED_VALUE"""),58)</f>
        <v>58</v>
      </c>
      <c r="R35" s="1">
        <f ca="1">IFERROR(__xludf.DUMMYFUNCTION("""COMPUTED_VALUE"""),99.6)</f>
        <v>99.6</v>
      </c>
      <c r="S35" s="1">
        <f ca="1">IFERROR(__xludf.DUMMYFUNCTION("""COMPUTED_VALUE"""),39)</f>
        <v>39</v>
      </c>
      <c r="T35" s="1">
        <f ca="1">IFERROR(__xludf.DUMMYFUNCTION("""COMPUTED_VALUE"""),-0.02)</f>
        <v>-0.02</v>
      </c>
      <c r="U35" s="1">
        <f ca="1">IFERROR(__xludf.DUMMYFUNCTION("""COMPUTED_VALUE"""),164)</f>
        <v>164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IFERROR(__xludf.DUMMYFUNCTION("""COMPUTED_VALUE"""),"Mississippi St.9")</f>
        <v>Mississippi St.9</v>
      </c>
      <c r="C36" s="1" t="str">
        <f ca="1">IFERROR(__xludf.DUMMYFUNCTION("""COMPUTED_VALUE"""),"SEC")</f>
        <v>SEC</v>
      </c>
      <c r="D36" s="1" t="str">
        <f ca="1">IFERROR(__xludf.DUMMYFUNCTION("""COMPUTED_VALUE"""),"23-11")</f>
        <v>23-11</v>
      </c>
      <c r="E36" s="1" t="str">
        <f ca="1">IFERROR(__xludf.DUMMYFUNCTION("""COMPUTED_VALUE"""),"+15.25")</f>
        <v>+15.25</v>
      </c>
      <c r="F36" s="1">
        <f ca="1">IFERROR(__xludf.DUMMYFUNCTION("""COMPUTED_VALUE"""),109.3)</f>
        <v>109.3</v>
      </c>
      <c r="G36" s="1">
        <f ca="1">IFERROR(__xludf.DUMMYFUNCTION("""COMPUTED_VALUE"""),65)</f>
        <v>65</v>
      </c>
      <c r="H36" s="1">
        <f ca="1">IFERROR(__xludf.DUMMYFUNCTION("""COMPUTED_VALUE"""),94)</f>
        <v>94</v>
      </c>
      <c r="I36" s="1">
        <f ca="1">IFERROR(__xludf.DUMMYFUNCTION("""COMPUTED_VALUE"""),27)</f>
        <v>27</v>
      </c>
      <c r="J36" s="1">
        <f ca="1">IFERROR(__xludf.DUMMYFUNCTION("""COMPUTED_VALUE"""),68.1)</f>
        <v>68.099999999999994</v>
      </c>
      <c r="K36" s="1">
        <f ca="1">IFERROR(__xludf.DUMMYFUNCTION("""COMPUTED_VALUE"""),88)</f>
        <v>88</v>
      </c>
      <c r="L36" s="1" t="str">
        <f ca="1">IFERROR(__xludf.DUMMYFUNCTION("""COMPUTED_VALUE"""),"+.038")</f>
        <v>+.038</v>
      </c>
      <c r="M36" s="1">
        <f ca="1">IFERROR(__xludf.DUMMYFUNCTION("""COMPUTED_VALUE"""),78)</f>
        <v>78</v>
      </c>
      <c r="N36" s="1" t="str">
        <f ca="1">IFERROR(__xludf.DUMMYFUNCTION("""COMPUTED_VALUE"""),"+6.49")</f>
        <v>+6.49</v>
      </c>
      <c r="O36" s="1">
        <f ca="1">IFERROR(__xludf.DUMMYFUNCTION("""COMPUTED_VALUE"""),55)</f>
        <v>55</v>
      </c>
      <c r="P36" s="1">
        <f ca="1">IFERROR(__xludf.DUMMYFUNCTION("""COMPUTED_VALUE"""),106.9)</f>
        <v>106.9</v>
      </c>
      <c r="Q36" s="1">
        <f ca="1">IFERROR(__xludf.DUMMYFUNCTION("""COMPUTED_VALUE"""),42)</f>
        <v>42</v>
      </c>
      <c r="R36" s="1">
        <f ca="1">IFERROR(__xludf.DUMMYFUNCTION("""COMPUTED_VALUE"""),100.4)</f>
        <v>100.4</v>
      </c>
      <c r="S36" s="1">
        <f ca="1">IFERROR(__xludf.DUMMYFUNCTION("""COMPUTED_VALUE"""),67)</f>
        <v>67</v>
      </c>
      <c r="T36" s="1">
        <f ca="1">IFERROR(__xludf.DUMMYFUNCTION("""COMPUTED_VALUE"""),-1.84)</f>
        <v>-1.84</v>
      </c>
      <c r="U36" s="1">
        <f ca="1">IFERROR(__xludf.DUMMYFUNCTION("""COMPUTED_VALUE"""),214)</f>
        <v>214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IFERROR(__xludf.DUMMYFUNCTION("""COMPUTED_VALUE"""),"West Virginia7")</f>
        <v>West Virginia7</v>
      </c>
      <c r="C37" s="1" t="str">
        <f ca="1">IFERROR(__xludf.DUMMYFUNCTION("""COMPUTED_VALUE"""),"BE")</f>
        <v>BE</v>
      </c>
      <c r="D37" s="1" t="str">
        <f ca="1">IFERROR(__xludf.DUMMYFUNCTION("""COMPUTED_VALUE"""),"24-11")</f>
        <v>24-11</v>
      </c>
      <c r="E37" s="1" t="str">
        <f ca="1">IFERROR(__xludf.DUMMYFUNCTION("""COMPUTED_VALUE"""),"+15.00")</f>
        <v>+15.00</v>
      </c>
      <c r="F37" s="1">
        <f ca="1">IFERROR(__xludf.DUMMYFUNCTION("""COMPUTED_VALUE"""),114.1)</f>
        <v>114.1</v>
      </c>
      <c r="G37" s="1">
        <f ca="1">IFERROR(__xludf.DUMMYFUNCTION("""COMPUTED_VALUE"""),25)</f>
        <v>25</v>
      </c>
      <c r="H37" s="1">
        <f ca="1">IFERROR(__xludf.DUMMYFUNCTION("""COMPUTED_VALUE"""),99.1)</f>
        <v>99.1</v>
      </c>
      <c r="I37" s="1">
        <f ca="1">IFERROR(__xludf.DUMMYFUNCTION("""COMPUTED_VALUE"""),88)</f>
        <v>88</v>
      </c>
      <c r="J37" s="1">
        <f ca="1">IFERROR(__xludf.DUMMYFUNCTION("""COMPUTED_VALUE"""),63.6)</f>
        <v>63.6</v>
      </c>
      <c r="K37" s="1">
        <f ca="1">IFERROR(__xludf.DUMMYFUNCTION("""COMPUTED_VALUE"""),265)</f>
        <v>265</v>
      </c>
      <c r="L37" s="1" t="str">
        <f ca="1">IFERROR(__xludf.DUMMYFUNCTION("""COMPUTED_VALUE"""),"+.082")</f>
        <v>+.082</v>
      </c>
      <c r="M37" s="1">
        <f ca="1">IFERROR(__xludf.DUMMYFUNCTION("""COMPUTED_VALUE"""),19)</f>
        <v>19</v>
      </c>
      <c r="N37" s="1" t="str">
        <f ca="1">IFERROR(__xludf.DUMMYFUNCTION("""COMPUTED_VALUE"""),"+9.14")</f>
        <v>+9.14</v>
      </c>
      <c r="O37" s="1">
        <f ca="1">IFERROR(__xludf.DUMMYFUNCTION("""COMPUTED_VALUE"""),18)</f>
        <v>18</v>
      </c>
      <c r="P37" s="1">
        <f ca="1">IFERROR(__xludf.DUMMYFUNCTION("""COMPUTED_VALUE"""),108.6)</f>
        <v>108.6</v>
      </c>
      <c r="Q37" s="1">
        <f ca="1">IFERROR(__xludf.DUMMYFUNCTION("""COMPUTED_VALUE"""),9)</f>
        <v>9</v>
      </c>
      <c r="R37" s="1">
        <f ca="1">IFERROR(__xludf.DUMMYFUNCTION("""COMPUTED_VALUE"""),99.5)</f>
        <v>99.5</v>
      </c>
      <c r="S37" s="1">
        <f ca="1">IFERROR(__xludf.DUMMYFUNCTION("""COMPUTED_VALUE"""),35)</f>
        <v>35</v>
      </c>
      <c r="T37" s="1">
        <f ca="1">IFERROR(__xludf.DUMMYFUNCTION("""COMPUTED_VALUE"""),-7.33)</f>
        <v>-7.33</v>
      </c>
      <c r="U37" s="1">
        <f ca="1">IFERROR(__xludf.DUMMYFUNCTION("""COMPUTED_VALUE"""),304)</f>
        <v>304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IFERROR(__xludf.DUMMYFUNCTION("""COMPUTED_VALUE"""),"Milwaukee12")</f>
        <v>Milwaukee12</v>
      </c>
      <c r="C38" s="1" t="str">
        <f ca="1">IFERROR(__xludf.DUMMYFUNCTION("""COMPUTED_VALUE"""),"Horz")</f>
        <v>Horz</v>
      </c>
      <c r="D38" s="1" t="str">
        <f ca="1">IFERROR(__xludf.DUMMYFUNCTION("""COMPUTED_VALUE"""),"26-6")</f>
        <v>26-6</v>
      </c>
      <c r="E38" s="1" t="str">
        <f ca="1">IFERROR(__xludf.DUMMYFUNCTION("""COMPUTED_VALUE"""),"+14.69")</f>
        <v>+14.69</v>
      </c>
      <c r="F38" s="1">
        <f ca="1">IFERROR(__xludf.DUMMYFUNCTION("""COMPUTED_VALUE"""),110.1)</f>
        <v>110.1</v>
      </c>
      <c r="G38" s="1">
        <f ca="1">IFERROR(__xludf.DUMMYFUNCTION("""COMPUTED_VALUE"""),52)</f>
        <v>52</v>
      </c>
      <c r="H38" s="1">
        <f ca="1">IFERROR(__xludf.DUMMYFUNCTION("""COMPUTED_VALUE"""),95.4)</f>
        <v>95.4</v>
      </c>
      <c r="I38" s="1">
        <f ca="1">IFERROR(__xludf.DUMMYFUNCTION("""COMPUTED_VALUE"""),38)</f>
        <v>38</v>
      </c>
      <c r="J38" s="1">
        <f ca="1">IFERROR(__xludf.DUMMYFUNCTION("""COMPUTED_VALUE"""),68.8)</f>
        <v>68.8</v>
      </c>
      <c r="K38" s="1">
        <f ca="1">IFERROR(__xludf.DUMMYFUNCTION("""COMPUTED_VALUE"""),59)</f>
        <v>59</v>
      </c>
      <c r="L38" s="1" t="str">
        <f ca="1">IFERROR(__xludf.DUMMYFUNCTION("""COMPUTED_VALUE"""),"+.079")</f>
        <v>+.079</v>
      </c>
      <c r="M38" s="1">
        <f ca="1">IFERROR(__xludf.DUMMYFUNCTION("""COMPUTED_VALUE"""),22)</f>
        <v>22</v>
      </c>
      <c r="N38" s="1" t="str">
        <f ca="1">IFERROR(__xludf.DUMMYFUNCTION("""COMPUTED_VALUE"""),"+2.31")</f>
        <v>+2.31</v>
      </c>
      <c r="O38" s="1">
        <f ca="1">IFERROR(__xludf.DUMMYFUNCTION("""COMPUTED_VALUE"""),120)</f>
        <v>120</v>
      </c>
      <c r="P38" s="1">
        <f ca="1">IFERROR(__xludf.DUMMYFUNCTION("""COMPUTED_VALUE"""),104.6)</f>
        <v>104.6</v>
      </c>
      <c r="Q38" s="1">
        <f ca="1">IFERROR(__xludf.DUMMYFUNCTION("""COMPUTED_VALUE"""),119)</f>
        <v>119</v>
      </c>
      <c r="R38" s="1">
        <f ca="1">IFERROR(__xludf.DUMMYFUNCTION("""COMPUTED_VALUE"""),102.3)</f>
        <v>102.3</v>
      </c>
      <c r="S38" s="1">
        <f ca="1">IFERROR(__xludf.DUMMYFUNCTION("""COMPUTED_VALUE"""),129)</f>
        <v>129</v>
      </c>
      <c r="T38" s="1" t="str">
        <f ca="1">IFERROR(__xludf.DUMMYFUNCTION("""COMPUTED_VALUE"""),"+7.63")</f>
        <v>+7.63</v>
      </c>
      <c r="U38" s="1">
        <f ca="1">IFERROR(__xludf.DUMMYFUNCTION("""COMPUTED_VALUE"""),21)</f>
        <v>21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IFERROR(__xludf.DUMMYFUNCTION("""COMPUTED_VALUE"""),"Maryland")</f>
        <v>Maryland</v>
      </c>
      <c r="C39" s="1" t="str">
        <f ca="1">IFERROR(__xludf.DUMMYFUNCTION("""COMPUTED_VALUE"""),"ACC")</f>
        <v>ACC</v>
      </c>
      <c r="D39" s="1" t="str">
        <f ca="1">IFERROR(__xludf.DUMMYFUNCTION("""COMPUTED_VALUE"""),"19-13")</f>
        <v>19-13</v>
      </c>
      <c r="E39" s="1" t="str">
        <f ca="1">IFERROR(__xludf.DUMMYFUNCTION("""COMPUTED_VALUE"""),"+14.62")</f>
        <v>+14.62</v>
      </c>
      <c r="F39" s="1">
        <f ca="1">IFERROR(__xludf.DUMMYFUNCTION("""COMPUTED_VALUE"""),109.3)</f>
        <v>109.3</v>
      </c>
      <c r="G39" s="1">
        <f ca="1">IFERROR(__xludf.DUMMYFUNCTION("""COMPUTED_VALUE"""),64)</f>
        <v>64</v>
      </c>
      <c r="H39" s="1">
        <f ca="1">IFERROR(__xludf.DUMMYFUNCTION("""COMPUTED_VALUE"""),94.7)</f>
        <v>94.7</v>
      </c>
      <c r="I39" s="1">
        <f ca="1">IFERROR(__xludf.DUMMYFUNCTION("""COMPUTED_VALUE"""),32)</f>
        <v>32</v>
      </c>
      <c r="J39" s="1">
        <f ca="1">IFERROR(__xludf.DUMMYFUNCTION("""COMPUTED_VALUE"""),74.5)</f>
        <v>74.5</v>
      </c>
      <c r="K39" s="1">
        <f ca="1">IFERROR(__xludf.DUMMYFUNCTION("""COMPUTED_VALUE"""),2)</f>
        <v>2</v>
      </c>
      <c r="L39" s="1">
        <f ca="1">IFERROR(__xludf.DUMMYFUNCTION("""COMPUTED_VALUE"""),-0.034)</f>
        <v>-3.4000000000000002E-2</v>
      </c>
      <c r="M39" s="1">
        <f ca="1">IFERROR(__xludf.DUMMYFUNCTION("""COMPUTED_VALUE"""),250)</f>
        <v>250</v>
      </c>
      <c r="N39" s="1" t="str">
        <f ca="1">IFERROR(__xludf.DUMMYFUNCTION("""COMPUTED_VALUE"""),"+8.07")</f>
        <v>+8.07</v>
      </c>
      <c r="O39" s="1">
        <f ca="1">IFERROR(__xludf.DUMMYFUNCTION("""COMPUTED_VALUE"""),31)</f>
        <v>31</v>
      </c>
      <c r="P39" s="1">
        <f ca="1">IFERROR(__xludf.DUMMYFUNCTION("""COMPUTED_VALUE"""),107.4)</f>
        <v>107.4</v>
      </c>
      <c r="Q39" s="1">
        <f ca="1">IFERROR(__xludf.DUMMYFUNCTION("""COMPUTED_VALUE"""),30)</f>
        <v>30</v>
      </c>
      <c r="R39" s="1">
        <f ca="1">IFERROR(__xludf.DUMMYFUNCTION("""COMPUTED_VALUE"""),99.3)</f>
        <v>99.3</v>
      </c>
      <c r="S39" s="1">
        <f ca="1">IFERROR(__xludf.DUMMYFUNCTION("""COMPUTED_VALUE"""),33)</f>
        <v>33</v>
      </c>
      <c r="T39" s="1">
        <f ca="1">IFERROR(__xludf.DUMMYFUNCTION("""COMPUTED_VALUE"""),-5.23)</f>
        <v>-5.23</v>
      </c>
      <c r="U39" s="1">
        <f ca="1">IFERROR(__xludf.DUMMYFUNCTION("""COMPUTED_VALUE"""),287)</f>
        <v>287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IFERROR(__xludf.DUMMYFUNCTION("""COMPUTED_VALUE"""),"George Washington12")</f>
        <v>George Washington12</v>
      </c>
      <c r="C40" s="1" t="str">
        <f ca="1">IFERROR(__xludf.DUMMYFUNCTION("""COMPUTED_VALUE"""),"A10")</f>
        <v>A10</v>
      </c>
      <c r="D40" s="1" t="str">
        <f ca="1">IFERROR(__xludf.DUMMYFUNCTION("""COMPUTED_VALUE"""),"22-8")</f>
        <v>22-8</v>
      </c>
      <c r="E40" s="1" t="str">
        <f ca="1">IFERROR(__xludf.DUMMYFUNCTION("""COMPUTED_VALUE"""),"+14.41")</f>
        <v>+14.41</v>
      </c>
      <c r="F40" s="1">
        <f ca="1">IFERROR(__xludf.DUMMYFUNCTION("""COMPUTED_VALUE"""),109.9)</f>
        <v>109.9</v>
      </c>
      <c r="G40" s="1">
        <f ca="1">IFERROR(__xludf.DUMMYFUNCTION("""COMPUTED_VALUE"""),56)</f>
        <v>56</v>
      </c>
      <c r="H40" s="1">
        <f ca="1">IFERROR(__xludf.DUMMYFUNCTION("""COMPUTED_VALUE"""),95.5)</f>
        <v>95.5</v>
      </c>
      <c r="I40" s="1">
        <f ca="1">IFERROR(__xludf.DUMMYFUNCTION("""COMPUTED_VALUE"""),40)</f>
        <v>40</v>
      </c>
      <c r="J40" s="1">
        <f ca="1">IFERROR(__xludf.DUMMYFUNCTION("""COMPUTED_VALUE"""),70.8)</f>
        <v>70.8</v>
      </c>
      <c r="K40" s="1">
        <f ca="1">IFERROR(__xludf.DUMMYFUNCTION("""COMPUTED_VALUE"""),25)</f>
        <v>25</v>
      </c>
      <c r="L40" s="1">
        <f ca="1">IFERROR(__xludf.DUMMYFUNCTION("""COMPUTED_VALUE"""),-0.013)</f>
        <v>-1.2999999999999999E-2</v>
      </c>
      <c r="M40" s="1">
        <f ca="1">IFERROR(__xludf.DUMMYFUNCTION("""COMPUTED_VALUE"""),197)</f>
        <v>197</v>
      </c>
      <c r="N40" s="1" t="str">
        <f ca="1">IFERROR(__xludf.DUMMYFUNCTION("""COMPUTED_VALUE"""),"+0.49")</f>
        <v>+0.49</v>
      </c>
      <c r="O40" s="1">
        <f ca="1">IFERROR(__xludf.DUMMYFUNCTION("""COMPUTED_VALUE"""),148)</f>
        <v>148</v>
      </c>
      <c r="P40" s="1">
        <f ca="1">IFERROR(__xludf.DUMMYFUNCTION("""COMPUTED_VALUE"""),103.6)</f>
        <v>103.6</v>
      </c>
      <c r="Q40" s="1">
        <f ca="1">IFERROR(__xludf.DUMMYFUNCTION("""COMPUTED_VALUE"""),147)</f>
        <v>147</v>
      </c>
      <c r="R40" s="1">
        <f ca="1">IFERROR(__xludf.DUMMYFUNCTION("""COMPUTED_VALUE"""),103.1)</f>
        <v>103.1</v>
      </c>
      <c r="S40" s="1">
        <f ca="1">IFERROR(__xludf.DUMMYFUNCTION("""COMPUTED_VALUE"""),160)</f>
        <v>160</v>
      </c>
      <c r="T40" s="1" t="str">
        <f ca="1">IFERROR(__xludf.DUMMYFUNCTION("""COMPUTED_VALUE"""),"+0.84")</f>
        <v>+0.84</v>
      </c>
      <c r="U40" s="1">
        <f ca="1">IFERROR(__xludf.DUMMYFUNCTION("""COMPUTED_VALUE"""),136)</f>
        <v>136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IFERROR(__xludf.DUMMYFUNCTION("""COMPUTED_VALUE"""),"Creighton10")</f>
        <v>Creighton10</v>
      </c>
      <c r="C41" s="1" t="str">
        <f ca="1">IFERROR(__xludf.DUMMYFUNCTION("""COMPUTED_VALUE"""),"MVC")</f>
        <v>MVC</v>
      </c>
      <c r="D41" s="1" t="str">
        <f ca="1">IFERROR(__xludf.DUMMYFUNCTION("""COMPUTED_VALUE"""),"23-11")</f>
        <v>23-11</v>
      </c>
      <c r="E41" s="1" t="str">
        <f ca="1">IFERROR(__xludf.DUMMYFUNCTION("""COMPUTED_VALUE"""),"+14.33")</f>
        <v>+14.33</v>
      </c>
      <c r="F41" s="1">
        <f ca="1">IFERROR(__xludf.DUMMYFUNCTION("""COMPUTED_VALUE"""),114.3)</f>
        <v>114.3</v>
      </c>
      <c r="G41" s="1">
        <f ca="1">IFERROR(__xludf.DUMMYFUNCTION("""COMPUTED_VALUE"""),22)</f>
        <v>22</v>
      </c>
      <c r="H41" s="1">
        <f ca="1">IFERROR(__xludf.DUMMYFUNCTION("""COMPUTED_VALUE"""),100)</f>
        <v>100</v>
      </c>
      <c r="I41" s="1">
        <f ca="1">IFERROR(__xludf.DUMMYFUNCTION("""COMPUTED_VALUE"""),104)</f>
        <v>104</v>
      </c>
      <c r="J41" s="1">
        <f ca="1">IFERROR(__xludf.DUMMYFUNCTION("""COMPUTED_VALUE"""),63.1)</f>
        <v>63.1</v>
      </c>
      <c r="K41" s="1">
        <f ca="1">IFERROR(__xludf.DUMMYFUNCTION("""COMPUTED_VALUE"""),285)</f>
        <v>285</v>
      </c>
      <c r="L41" s="1">
        <f ca="1">IFERROR(__xludf.DUMMYFUNCTION("""COMPUTED_VALUE"""),-0.033)</f>
        <v>-3.3000000000000002E-2</v>
      </c>
      <c r="M41" s="1">
        <f ca="1">IFERROR(__xludf.DUMMYFUNCTION("""COMPUTED_VALUE"""),248)</f>
        <v>248</v>
      </c>
      <c r="N41" s="1" t="str">
        <f ca="1">IFERROR(__xludf.DUMMYFUNCTION("""COMPUTED_VALUE"""),"+4.44")</f>
        <v>+4.44</v>
      </c>
      <c r="O41" s="1">
        <f ca="1">IFERROR(__xludf.DUMMYFUNCTION("""COMPUTED_VALUE"""),89)</f>
        <v>89</v>
      </c>
      <c r="P41" s="1">
        <f ca="1">IFERROR(__xludf.DUMMYFUNCTION("""COMPUTED_VALUE"""),104.9)</f>
        <v>104.9</v>
      </c>
      <c r="Q41" s="1">
        <f ca="1">IFERROR(__xludf.DUMMYFUNCTION("""COMPUTED_VALUE"""),112)</f>
        <v>112</v>
      </c>
      <c r="R41" s="1">
        <f ca="1">IFERROR(__xludf.DUMMYFUNCTION("""COMPUTED_VALUE"""),100.4)</f>
        <v>100.4</v>
      </c>
      <c r="S41" s="1">
        <f ca="1">IFERROR(__xludf.DUMMYFUNCTION("""COMPUTED_VALUE"""),68)</f>
        <v>68</v>
      </c>
      <c r="T41" s="1">
        <f ca="1">IFERROR(__xludf.DUMMYFUNCTION("""COMPUTED_VALUE"""),-1.69)</f>
        <v>-1.69</v>
      </c>
      <c r="U41" s="1">
        <f ca="1">IFERROR(__xludf.DUMMYFUNCTION("""COMPUTED_VALUE"""),209)</f>
        <v>209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IFERROR(__xludf.DUMMYFUNCTION("""COMPUTED_VALUE"""),"Pacific8")</f>
        <v>Pacific8</v>
      </c>
      <c r="C42" s="1" t="str">
        <f ca="1">IFERROR(__xludf.DUMMYFUNCTION("""COMPUTED_VALUE"""),"BW")</f>
        <v>BW</v>
      </c>
      <c r="D42" s="1" t="str">
        <f ca="1">IFERROR(__xludf.DUMMYFUNCTION("""COMPUTED_VALUE"""),"27-4")</f>
        <v>27-4</v>
      </c>
      <c r="E42" s="1" t="str">
        <f ca="1">IFERROR(__xludf.DUMMYFUNCTION("""COMPUTED_VALUE"""),"+14.08")</f>
        <v>+14.08</v>
      </c>
      <c r="F42" s="1">
        <f ca="1">IFERROR(__xludf.DUMMYFUNCTION("""COMPUTED_VALUE"""),114.5)</f>
        <v>114.5</v>
      </c>
      <c r="G42" s="1">
        <f ca="1">IFERROR(__xludf.DUMMYFUNCTION("""COMPUTED_VALUE"""),20)</f>
        <v>20</v>
      </c>
      <c r="H42" s="1">
        <f ca="1">IFERROR(__xludf.DUMMYFUNCTION("""COMPUTED_VALUE"""),100.5)</f>
        <v>100.5</v>
      </c>
      <c r="I42" s="1">
        <f ca="1">IFERROR(__xludf.DUMMYFUNCTION("""COMPUTED_VALUE"""),115)</f>
        <v>115</v>
      </c>
      <c r="J42" s="1">
        <f ca="1">IFERROR(__xludf.DUMMYFUNCTION("""COMPUTED_VALUE"""),63.6)</f>
        <v>63.6</v>
      </c>
      <c r="K42" s="1">
        <f ca="1">IFERROR(__xludf.DUMMYFUNCTION("""COMPUTED_VALUE"""),263)</f>
        <v>263</v>
      </c>
      <c r="L42" s="1" t="str">
        <f ca="1">IFERROR(__xludf.DUMMYFUNCTION("""COMPUTED_VALUE"""),"+.091")</f>
        <v>+.091</v>
      </c>
      <c r="M42" s="1">
        <f ca="1">IFERROR(__xludf.DUMMYFUNCTION("""COMPUTED_VALUE"""),13)</f>
        <v>13</v>
      </c>
      <c r="N42" s="1" t="str">
        <f ca="1">IFERROR(__xludf.DUMMYFUNCTION("""COMPUTED_VALUE"""),"+0.66")</f>
        <v>+0.66</v>
      </c>
      <c r="O42" s="1">
        <f ca="1">IFERROR(__xludf.DUMMYFUNCTION("""COMPUTED_VALUE"""),146)</f>
        <v>146</v>
      </c>
      <c r="P42" s="1">
        <f ca="1">IFERROR(__xludf.DUMMYFUNCTION("""COMPUTED_VALUE"""),103.1)</f>
        <v>103.1</v>
      </c>
      <c r="Q42" s="1">
        <f ca="1">IFERROR(__xludf.DUMMYFUNCTION("""COMPUTED_VALUE"""),160)</f>
        <v>160</v>
      </c>
      <c r="R42" s="1">
        <f ca="1">IFERROR(__xludf.DUMMYFUNCTION("""COMPUTED_VALUE"""),102.4)</f>
        <v>102.4</v>
      </c>
      <c r="S42" s="1">
        <f ca="1">IFERROR(__xludf.DUMMYFUNCTION("""COMPUTED_VALUE"""),137)</f>
        <v>137</v>
      </c>
      <c r="T42" s="1" t="str">
        <f ca="1">IFERROR(__xludf.DUMMYFUNCTION("""COMPUTED_VALUE"""),"+1.74")</f>
        <v>+1.74</v>
      </c>
      <c r="U42" s="1">
        <f ca="1">IFERROR(__xludf.DUMMYFUNCTION("""COMPUTED_VALUE"""),111)</f>
        <v>111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IFERROR(__xludf.DUMMYFUNCTION("""COMPUTED_VALUE"""),"Minnesota8")</f>
        <v>Minnesota8</v>
      </c>
      <c r="C45" s="1" t="str">
        <f ca="1">IFERROR(__xludf.DUMMYFUNCTION("""COMPUTED_VALUE"""),"B10")</f>
        <v>B10</v>
      </c>
      <c r="D45" s="1" t="str">
        <f ca="1">IFERROR(__xludf.DUMMYFUNCTION("""COMPUTED_VALUE"""),"21-11")</f>
        <v>21-11</v>
      </c>
      <c r="E45" s="1" t="str">
        <f ca="1">IFERROR(__xludf.DUMMYFUNCTION("""COMPUTED_VALUE"""),"+14.06")</f>
        <v>+14.06</v>
      </c>
      <c r="F45" s="1">
        <f ca="1">IFERROR(__xludf.DUMMYFUNCTION("""COMPUTED_VALUE"""),104)</f>
        <v>104</v>
      </c>
      <c r="G45" s="1">
        <f ca="1">IFERROR(__xludf.DUMMYFUNCTION("""COMPUTED_VALUE"""),143)</f>
        <v>143</v>
      </c>
      <c r="H45" s="1">
        <f ca="1">IFERROR(__xludf.DUMMYFUNCTION("""COMPUTED_VALUE"""),89.9)</f>
        <v>89.9</v>
      </c>
      <c r="I45" s="1">
        <f ca="1">IFERROR(__xludf.DUMMYFUNCTION("""COMPUTED_VALUE"""),7)</f>
        <v>7</v>
      </c>
      <c r="J45" s="1">
        <f ca="1">IFERROR(__xludf.DUMMYFUNCTION("""COMPUTED_VALUE"""),67.3)</f>
        <v>67.3</v>
      </c>
      <c r="K45" s="1">
        <f ca="1">IFERROR(__xludf.DUMMYFUNCTION("""COMPUTED_VALUE"""),114)</f>
        <v>114</v>
      </c>
      <c r="L45" s="1" t="str">
        <f ca="1">IFERROR(__xludf.DUMMYFUNCTION("""COMPUTED_VALUE"""),"+.016")</f>
        <v>+.016</v>
      </c>
      <c r="M45" s="1">
        <f ca="1">IFERROR(__xludf.DUMMYFUNCTION("""COMPUTED_VALUE"""),121)</f>
        <v>121</v>
      </c>
      <c r="N45" s="1" t="str">
        <f ca="1">IFERROR(__xludf.DUMMYFUNCTION("""COMPUTED_VALUE"""),"+6.18")</f>
        <v>+6.18</v>
      </c>
      <c r="O45" s="1">
        <f ca="1">IFERROR(__xludf.DUMMYFUNCTION("""COMPUTED_VALUE"""),61)</f>
        <v>61</v>
      </c>
      <c r="P45" s="1">
        <f ca="1">IFERROR(__xludf.DUMMYFUNCTION("""COMPUTED_VALUE"""),106)</f>
        <v>106</v>
      </c>
      <c r="Q45" s="1">
        <f ca="1">IFERROR(__xludf.DUMMYFUNCTION("""COMPUTED_VALUE"""),75)</f>
        <v>75</v>
      </c>
      <c r="R45" s="1">
        <f ca="1">IFERROR(__xludf.DUMMYFUNCTION("""COMPUTED_VALUE"""),99.8)</f>
        <v>99.8</v>
      </c>
      <c r="S45" s="1">
        <f ca="1">IFERROR(__xludf.DUMMYFUNCTION("""COMPUTED_VALUE"""),47)</f>
        <v>47</v>
      </c>
      <c r="T45" s="1">
        <f ca="1">IFERROR(__xludf.DUMMYFUNCTION("""COMPUTED_VALUE"""),-3.99)</f>
        <v>-3.99</v>
      </c>
      <c r="U45" s="1">
        <f ca="1">IFERROR(__xludf.DUMMYFUNCTION("""COMPUTED_VALUE"""),258)</f>
        <v>258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IFERROR(__xludf.DUMMYFUNCTION("""COMPUTED_VALUE"""),"LSU6")</f>
        <v>LSU6</v>
      </c>
      <c r="C46" s="1" t="str">
        <f ca="1">IFERROR(__xludf.DUMMYFUNCTION("""COMPUTED_VALUE"""),"SEC")</f>
        <v>SEC</v>
      </c>
      <c r="D46" s="1" t="str">
        <f ca="1">IFERROR(__xludf.DUMMYFUNCTION("""COMPUTED_VALUE"""),"20-10")</f>
        <v>20-10</v>
      </c>
      <c r="E46" s="1" t="str">
        <f ca="1">IFERROR(__xludf.DUMMYFUNCTION("""COMPUTED_VALUE"""),"+13.80")</f>
        <v>+13.80</v>
      </c>
      <c r="F46" s="1">
        <f ca="1">IFERROR(__xludf.DUMMYFUNCTION("""COMPUTED_VALUE"""),113.9)</f>
        <v>113.9</v>
      </c>
      <c r="G46" s="1">
        <f ca="1">IFERROR(__xludf.DUMMYFUNCTION("""COMPUTED_VALUE"""),26)</f>
        <v>26</v>
      </c>
      <c r="H46" s="1">
        <f ca="1">IFERROR(__xludf.DUMMYFUNCTION("""COMPUTED_VALUE"""),100.1)</f>
        <v>100.1</v>
      </c>
      <c r="I46" s="1">
        <f ca="1">IFERROR(__xludf.DUMMYFUNCTION("""COMPUTED_VALUE"""),106)</f>
        <v>106</v>
      </c>
      <c r="J46" s="1">
        <f ca="1">IFERROR(__xludf.DUMMYFUNCTION("""COMPUTED_VALUE"""),66.7)</f>
        <v>66.7</v>
      </c>
      <c r="K46" s="1">
        <f ca="1">IFERROR(__xludf.DUMMYFUNCTION("""COMPUTED_VALUE"""),131)</f>
        <v>131</v>
      </c>
      <c r="L46" s="1" t="str">
        <f ca="1">IFERROR(__xludf.DUMMYFUNCTION("""COMPUTED_VALUE"""),"+.070")</f>
        <v>+.070</v>
      </c>
      <c r="M46" s="1">
        <f ca="1">IFERROR(__xludf.DUMMYFUNCTION("""COMPUTED_VALUE"""),31)</f>
        <v>31</v>
      </c>
      <c r="N46" s="1" t="str">
        <f ca="1">IFERROR(__xludf.DUMMYFUNCTION("""COMPUTED_VALUE"""),"+7.49")</f>
        <v>+7.49</v>
      </c>
      <c r="O46" s="1">
        <f ca="1">IFERROR(__xludf.DUMMYFUNCTION("""COMPUTED_VALUE"""),36)</f>
        <v>36</v>
      </c>
      <c r="P46" s="1">
        <f ca="1">IFERROR(__xludf.DUMMYFUNCTION("""COMPUTED_VALUE"""),107)</f>
        <v>107</v>
      </c>
      <c r="Q46" s="1">
        <f ca="1">IFERROR(__xludf.DUMMYFUNCTION("""COMPUTED_VALUE"""),37)</f>
        <v>37</v>
      </c>
      <c r="R46" s="1">
        <f ca="1">IFERROR(__xludf.DUMMYFUNCTION("""COMPUTED_VALUE"""),99.5)</f>
        <v>99.5</v>
      </c>
      <c r="S46" s="1">
        <f ca="1">IFERROR(__xludf.DUMMYFUNCTION("""COMPUTED_VALUE"""),37)</f>
        <v>37</v>
      </c>
      <c r="T46" s="1" t="str">
        <f ca="1">IFERROR(__xludf.DUMMYFUNCTION("""COMPUTED_VALUE"""),"+0.64")</f>
        <v>+0.64</v>
      </c>
      <c r="U46" s="1">
        <f ca="1">IFERROR(__xludf.DUMMYFUNCTION("""COMPUTED_VALUE"""),144)</f>
        <v>144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IFERROR(__xludf.DUMMYFUNCTION("""COMPUTED_VALUE"""),"Vermont13")</f>
        <v>Vermont13</v>
      </c>
      <c r="C47" s="1" t="str">
        <f ca="1">IFERROR(__xludf.DUMMYFUNCTION("""COMPUTED_VALUE"""),"AE")</f>
        <v>AE</v>
      </c>
      <c r="D47" s="1" t="str">
        <f ca="1">IFERROR(__xludf.DUMMYFUNCTION("""COMPUTED_VALUE"""),"25-7")</f>
        <v>25-7</v>
      </c>
      <c r="E47" s="1" t="str">
        <f ca="1">IFERROR(__xludf.DUMMYFUNCTION("""COMPUTED_VALUE"""),"+13.53")</f>
        <v>+13.53</v>
      </c>
      <c r="F47" s="1">
        <f ca="1">IFERROR(__xludf.DUMMYFUNCTION("""COMPUTED_VALUE"""),111.3)</f>
        <v>111.3</v>
      </c>
      <c r="G47" s="1">
        <f ca="1">IFERROR(__xludf.DUMMYFUNCTION("""COMPUTED_VALUE"""),46)</f>
        <v>46</v>
      </c>
      <c r="H47" s="1">
        <f ca="1">IFERROR(__xludf.DUMMYFUNCTION("""COMPUTED_VALUE"""),97.8)</f>
        <v>97.8</v>
      </c>
      <c r="I47" s="1">
        <f ca="1">IFERROR(__xludf.DUMMYFUNCTION("""COMPUTED_VALUE"""),72)</f>
        <v>72</v>
      </c>
      <c r="J47" s="1">
        <f ca="1">IFERROR(__xludf.DUMMYFUNCTION("""COMPUTED_VALUE"""),64.7)</f>
        <v>64.7</v>
      </c>
      <c r="K47" s="1">
        <f ca="1">IFERROR(__xludf.DUMMYFUNCTION("""COMPUTED_VALUE"""),230)</f>
        <v>230</v>
      </c>
      <c r="L47" s="1" t="str">
        <f ca="1">IFERROR(__xludf.DUMMYFUNCTION("""COMPUTED_VALUE"""),"+.032")</f>
        <v>+.032</v>
      </c>
      <c r="M47" s="1">
        <f ca="1">IFERROR(__xludf.DUMMYFUNCTION("""COMPUTED_VALUE"""),96)</f>
        <v>96</v>
      </c>
      <c r="N47" s="1">
        <f ca="1">IFERROR(__xludf.DUMMYFUNCTION("""COMPUTED_VALUE"""),-1.71)</f>
        <v>-1.71</v>
      </c>
      <c r="O47" s="1">
        <f ca="1">IFERROR(__xludf.DUMMYFUNCTION("""COMPUTED_VALUE"""),186)</f>
        <v>186</v>
      </c>
      <c r="P47" s="1">
        <f ca="1">IFERROR(__xludf.DUMMYFUNCTION("""COMPUTED_VALUE"""),100.7)</f>
        <v>100.7</v>
      </c>
      <c r="Q47" s="1">
        <f ca="1">IFERROR(__xludf.DUMMYFUNCTION("""COMPUTED_VALUE"""),231)</f>
        <v>231</v>
      </c>
      <c r="R47" s="1">
        <f ca="1">IFERROR(__xludf.DUMMYFUNCTION("""COMPUTED_VALUE"""),102.4)</f>
        <v>102.4</v>
      </c>
      <c r="S47" s="1">
        <f ca="1">IFERROR(__xludf.DUMMYFUNCTION("""COMPUTED_VALUE"""),135)</f>
        <v>135</v>
      </c>
      <c r="T47" s="1" t="str">
        <f ca="1">IFERROR(__xludf.DUMMYFUNCTION("""COMPUTED_VALUE"""),"+5.11")</f>
        <v>+5.11</v>
      </c>
      <c r="U47" s="1">
        <f ca="1">IFERROR(__xludf.DUMMYFUNCTION("""COMPUTED_VALUE"""),48)</f>
        <v>48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IFERROR(__xludf.DUMMYFUNCTION("""COMPUTED_VALUE"""),"Air Force")</f>
        <v>Air Force</v>
      </c>
      <c r="C48" s="1" t="str">
        <f ca="1">IFERROR(__xludf.DUMMYFUNCTION("""COMPUTED_VALUE"""),"MWC")</f>
        <v>MWC</v>
      </c>
      <c r="D48" s="1" t="str">
        <f ca="1">IFERROR(__xludf.DUMMYFUNCTION("""COMPUTED_VALUE"""),"18-12")</f>
        <v>18-12</v>
      </c>
      <c r="E48" s="1" t="str">
        <f ca="1">IFERROR(__xludf.DUMMYFUNCTION("""COMPUTED_VALUE"""),"+13.40")</f>
        <v>+13.40</v>
      </c>
      <c r="F48" s="1">
        <f ca="1">IFERROR(__xludf.DUMMYFUNCTION("""COMPUTED_VALUE"""),112.2)</f>
        <v>112.2</v>
      </c>
      <c r="G48" s="1">
        <f ca="1">IFERROR(__xludf.DUMMYFUNCTION("""COMPUTED_VALUE"""),35)</f>
        <v>35</v>
      </c>
      <c r="H48" s="1">
        <f ca="1">IFERROR(__xludf.DUMMYFUNCTION("""COMPUTED_VALUE"""),98.9)</f>
        <v>98.9</v>
      </c>
      <c r="I48" s="1">
        <f ca="1">IFERROR(__xludf.DUMMYFUNCTION("""COMPUTED_VALUE"""),83)</f>
        <v>83</v>
      </c>
      <c r="J48" s="1">
        <f ca="1">IFERROR(__xludf.DUMMYFUNCTION("""COMPUTED_VALUE"""),54.3)</f>
        <v>54.3</v>
      </c>
      <c r="K48" s="1">
        <f ca="1">IFERROR(__xludf.DUMMYFUNCTION("""COMPUTED_VALUE"""),329)</f>
        <v>329</v>
      </c>
      <c r="L48" s="1">
        <f ca="1">IFERROR(__xludf.DUMMYFUNCTION("""COMPUTED_VALUE"""),-0.084)</f>
        <v>-8.4000000000000005E-2</v>
      </c>
      <c r="M48" s="1">
        <f ca="1">IFERROR(__xludf.DUMMYFUNCTION("""COMPUTED_VALUE"""),314)</f>
        <v>314</v>
      </c>
      <c r="N48" s="1" t="str">
        <f ca="1">IFERROR(__xludf.DUMMYFUNCTION("""COMPUTED_VALUE"""),"+2.63")</f>
        <v>+2.63</v>
      </c>
      <c r="O48" s="1">
        <f ca="1">IFERROR(__xludf.DUMMYFUNCTION("""COMPUTED_VALUE"""),115)</f>
        <v>115</v>
      </c>
      <c r="P48" s="1">
        <f ca="1">IFERROR(__xludf.DUMMYFUNCTION("""COMPUTED_VALUE"""),104.4)</f>
        <v>104.4</v>
      </c>
      <c r="Q48" s="1">
        <f ca="1">IFERROR(__xludf.DUMMYFUNCTION("""COMPUTED_VALUE"""),125)</f>
        <v>125</v>
      </c>
      <c r="R48" s="1">
        <f ca="1">IFERROR(__xludf.DUMMYFUNCTION("""COMPUTED_VALUE"""),101.8)</f>
        <v>101.8</v>
      </c>
      <c r="S48" s="1">
        <f ca="1">IFERROR(__xludf.DUMMYFUNCTION("""COMPUTED_VALUE"""),104)</f>
        <v>104</v>
      </c>
      <c r="T48" s="1">
        <f ca="1">IFERROR(__xludf.DUMMYFUNCTION("""COMPUTED_VALUE"""),-1.5)</f>
        <v>-1.5</v>
      </c>
      <c r="U48" s="1">
        <f ca="1">IFERROR(__xludf.DUMMYFUNCTION("""COMPUTED_VALUE"""),206)</f>
        <v>206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IFERROR(__xludf.DUMMYFUNCTION("""COMPUTED_VALUE"""),"Northern Iowa11")</f>
        <v>Northern Iowa11</v>
      </c>
      <c r="C49" s="1" t="str">
        <f ca="1">IFERROR(__xludf.DUMMYFUNCTION("""COMPUTED_VALUE"""),"MVC")</f>
        <v>MVC</v>
      </c>
      <c r="D49" s="1" t="str">
        <f ca="1">IFERROR(__xludf.DUMMYFUNCTION("""COMPUTED_VALUE"""),"21-11")</f>
        <v>21-11</v>
      </c>
      <c r="E49" s="1" t="str">
        <f ca="1">IFERROR(__xludf.DUMMYFUNCTION("""COMPUTED_VALUE"""),"+13.36")</f>
        <v>+13.36</v>
      </c>
      <c r="F49" s="1">
        <f ca="1">IFERROR(__xludf.DUMMYFUNCTION("""COMPUTED_VALUE"""),112.2)</f>
        <v>112.2</v>
      </c>
      <c r="G49" s="1">
        <f ca="1">IFERROR(__xludf.DUMMYFUNCTION("""COMPUTED_VALUE"""),37)</f>
        <v>37</v>
      </c>
      <c r="H49" s="1">
        <f ca="1">IFERROR(__xludf.DUMMYFUNCTION("""COMPUTED_VALUE"""),98.9)</f>
        <v>98.9</v>
      </c>
      <c r="I49" s="1">
        <f ca="1">IFERROR(__xludf.DUMMYFUNCTION("""COMPUTED_VALUE"""),85)</f>
        <v>85</v>
      </c>
      <c r="J49" s="1">
        <f ca="1">IFERROR(__xludf.DUMMYFUNCTION("""COMPUTED_VALUE"""),64.5)</f>
        <v>64.5</v>
      </c>
      <c r="K49" s="1">
        <f ca="1">IFERROR(__xludf.DUMMYFUNCTION("""COMPUTED_VALUE"""),233)</f>
        <v>233</v>
      </c>
      <c r="L49" s="1">
        <f ca="1">IFERROR(__xludf.DUMMYFUNCTION("""COMPUTED_VALUE"""),-0.035)</f>
        <v>-3.5000000000000003E-2</v>
      </c>
      <c r="M49" s="1">
        <f ca="1">IFERROR(__xludf.DUMMYFUNCTION("""COMPUTED_VALUE"""),254)</f>
        <v>254</v>
      </c>
      <c r="N49" s="1" t="str">
        <f ca="1">IFERROR(__xludf.DUMMYFUNCTION("""COMPUTED_VALUE"""),"+5.44")</f>
        <v>+5.44</v>
      </c>
      <c r="O49" s="1">
        <f ca="1">IFERROR(__xludf.DUMMYFUNCTION("""COMPUTED_VALUE"""),72)</f>
        <v>72</v>
      </c>
      <c r="P49" s="1">
        <f ca="1">IFERROR(__xludf.DUMMYFUNCTION("""COMPUTED_VALUE"""),105.8)</f>
        <v>105.8</v>
      </c>
      <c r="Q49" s="1">
        <f ca="1">IFERROR(__xludf.DUMMYFUNCTION("""COMPUTED_VALUE"""),82)</f>
        <v>82</v>
      </c>
      <c r="R49" s="1">
        <f ca="1">IFERROR(__xludf.DUMMYFUNCTION("""COMPUTED_VALUE"""),100.3)</f>
        <v>100.3</v>
      </c>
      <c r="S49" s="1">
        <f ca="1">IFERROR(__xludf.DUMMYFUNCTION("""COMPUTED_VALUE"""),62)</f>
        <v>62</v>
      </c>
      <c r="T49" s="1" t="str">
        <f ca="1">IFERROR(__xludf.DUMMYFUNCTION("""COMPUTED_VALUE"""),"+1.09")</f>
        <v>+1.09</v>
      </c>
      <c r="U49" s="1">
        <f ca="1">IFERROR(__xludf.DUMMYFUNCTION("""COMPUTED_VALUE"""),132)</f>
        <v>132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IFERROR(__xludf.DUMMYFUNCTION("""COMPUTED_VALUE"""),"Texas A&amp;M")</f>
        <v>Texas A&amp;M</v>
      </c>
      <c r="C50" s="1" t="str">
        <f ca="1">IFERROR(__xludf.DUMMYFUNCTION("""COMPUTED_VALUE"""),"B12")</f>
        <v>B12</v>
      </c>
      <c r="D50" s="1" t="str">
        <f ca="1">IFERROR(__xludf.DUMMYFUNCTION("""COMPUTED_VALUE"""),"21-10")</f>
        <v>21-10</v>
      </c>
      <c r="E50" s="1" t="str">
        <f ca="1">IFERROR(__xludf.DUMMYFUNCTION("""COMPUTED_VALUE"""),"+13.34")</f>
        <v>+13.34</v>
      </c>
      <c r="F50" s="1">
        <f ca="1">IFERROR(__xludf.DUMMYFUNCTION("""COMPUTED_VALUE"""),112.3)</f>
        <v>112.3</v>
      </c>
      <c r="G50" s="1">
        <f ca="1">IFERROR(__xludf.DUMMYFUNCTION("""COMPUTED_VALUE"""),34)</f>
        <v>34</v>
      </c>
      <c r="H50" s="1">
        <f ca="1">IFERROR(__xludf.DUMMYFUNCTION("""COMPUTED_VALUE"""),98.9)</f>
        <v>98.9</v>
      </c>
      <c r="I50" s="1">
        <f ca="1">IFERROR(__xludf.DUMMYFUNCTION("""COMPUTED_VALUE"""),86)</f>
        <v>86</v>
      </c>
      <c r="J50" s="1">
        <f ca="1">IFERROR(__xludf.DUMMYFUNCTION("""COMPUTED_VALUE"""),64.9)</f>
        <v>64.900000000000006</v>
      </c>
      <c r="K50" s="1">
        <f ca="1">IFERROR(__xludf.DUMMYFUNCTION("""COMPUTED_VALUE"""),219)</f>
        <v>219</v>
      </c>
      <c r="L50" s="1" t="str">
        <f ca="1">IFERROR(__xludf.DUMMYFUNCTION("""COMPUTED_VALUE"""),"+.007")</f>
        <v>+.007</v>
      </c>
      <c r="M50" s="1">
        <f ca="1">IFERROR(__xludf.DUMMYFUNCTION("""COMPUTED_VALUE"""),146)</f>
        <v>146</v>
      </c>
      <c r="N50" s="1" t="str">
        <f ca="1">IFERROR(__xludf.DUMMYFUNCTION("""COMPUTED_VALUE"""),"+4.05")</f>
        <v>+4.05</v>
      </c>
      <c r="O50" s="1">
        <f ca="1">IFERROR(__xludf.DUMMYFUNCTION("""COMPUTED_VALUE"""),94)</f>
        <v>94</v>
      </c>
      <c r="P50" s="1">
        <f ca="1">IFERROR(__xludf.DUMMYFUNCTION("""COMPUTED_VALUE"""),105)</f>
        <v>105</v>
      </c>
      <c r="Q50" s="1">
        <f ca="1">IFERROR(__xludf.DUMMYFUNCTION("""COMPUTED_VALUE"""),107)</f>
        <v>107</v>
      </c>
      <c r="R50" s="1">
        <f ca="1">IFERROR(__xludf.DUMMYFUNCTION("""COMPUTED_VALUE"""),100.9)</f>
        <v>100.9</v>
      </c>
      <c r="S50" s="1">
        <f ca="1">IFERROR(__xludf.DUMMYFUNCTION("""COMPUTED_VALUE"""),86)</f>
        <v>86</v>
      </c>
      <c r="T50" s="1">
        <f ca="1">IFERROR(__xludf.DUMMYFUNCTION("""COMPUTED_VALUE"""),-16.29)</f>
        <v>-16.29</v>
      </c>
      <c r="U50" s="1">
        <f ca="1">IFERROR(__xludf.DUMMYFUNCTION("""COMPUTED_VALUE"""),328)</f>
        <v>328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IFERROR(__xludf.DUMMYFUNCTION("""COMPUTED_VALUE"""),"Wichita St.")</f>
        <v>Wichita St.</v>
      </c>
      <c r="C51" s="1" t="str">
        <f ca="1">IFERROR(__xludf.DUMMYFUNCTION("""COMPUTED_VALUE"""),"MVC")</f>
        <v>MVC</v>
      </c>
      <c r="D51" s="1" t="str">
        <f ca="1">IFERROR(__xludf.DUMMYFUNCTION("""COMPUTED_VALUE"""),"22-10")</f>
        <v>22-10</v>
      </c>
      <c r="E51" s="1" t="str">
        <f ca="1">IFERROR(__xludf.DUMMYFUNCTION("""COMPUTED_VALUE"""),"+13.15")</f>
        <v>+13.15</v>
      </c>
      <c r="F51" s="1">
        <f ca="1">IFERROR(__xludf.DUMMYFUNCTION("""COMPUTED_VALUE"""),113.6)</f>
        <v>113.6</v>
      </c>
      <c r="G51" s="1">
        <f ca="1">IFERROR(__xludf.DUMMYFUNCTION("""COMPUTED_VALUE"""),27)</f>
        <v>27</v>
      </c>
      <c r="H51" s="1">
        <f ca="1">IFERROR(__xludf.DUMMYFUNCTION("""COMPUTED_VALUE"""),100.5)</f>
        <v>100.5</v>
      </c>
      <c r="I51" s="1">
        <f ca="1">IFERROR(__xludf.DUMMYFUNCTION("""COMPUTED_VALUE"""),116)</f>
        <v>116</v>
      </c>
      <c r="J51" s="1">
        <f ca="1">IFERROR(__xludf.DUMMYFUNCTION("""COMPUTED_VALUE"""),64.4)</f>
        <v>64.400000000000006</v>
      </c>
      <c r="K51" s="1">
        <f ca="1">IFERROR(__xludf.DUMMYFUNCTION("""COMPUTED_VALUE"""),234)</f>
        <v>234</v>
      </c>
      <c r="L51" s="1">
        <f ca="1">IFERROR(__xludf.DUMMYFUNCTION("""COMPUTED_VALUE"""),-0.013)</f>
        <v>-1.2999999999999999E-2</v>
      </c>
      <c r="M51" s="1">
        <f ca="1">IFERROR(__xludf.DUMMYFUNCTION("""COMPUTED_VALUE"""),195)</f>
        <v>195</v>
      </c>
      <c r="N51" s="1" t="str">
        <f ca="1">IFERROR(__xludf.DUMMYFUNCTION("""COMPUTED_VALUE"""),"+4.74")</f>
        <v>+4.74</v>
      </c>
      <c r="O51" s="1">
        <f ca="1">IFERROR(__xludf.DUMMYFUNCTION("""COMPUTED_VALUE"""),83)</f>
        <v>83</v>
      </c>
      <c r="P51" s="1">
        <f ca="1">IFERROR(__xludf.DUMMYFUNCTION("""COMPUTED_VALUE"""),105.6)</f>
        <v>105.6</v>
      </c>
      <c r="Q51" s="1">
        <f ca="1">IFERROR(__xludf.DUMMYFUNCTION("""COMPUTED_VALUE"""),86)</f>
        <v>86</v>
      </c>
      <c r="R51" s="1">
        <f ca="1">IFERROR(__xludf.DUMMYFUNCTION("""COMPUTED_VALUE"""),100.9)</f>
        <v>100.9</v>
      </c>
      <c r="S51" s="1">
        <f ca="1">IFERROR(__xludf.DUMMYFUNCTION("""COMPUTED_VALUE"""),83)</f>
        <v>83</v>
      </c>
      <c r="T51" s="1">
        <f ca="1">IFERROR(__xludf.DUMMYFUNCTION("""COMPUTED_VALUE"""),-0.68)</f>
        <v>-0.68</v>
      </c>
      <c r="U51" s="1">
        <f ca="1">IFERROR(__xludf.DUMMYFUNCTION("""COMPUTED_VALUE"""),178)</f>
        <v>178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IFERROR(__xludf.DUMMYFUNCTION("""COMPUTED_VALUE"""),"Iowa St.9")</f>
        <v>Iowa St.9</v>
      </c>
      <c r="C52" s="1" t="str">
        <f ca="1">IFERROR(__xludf.DUMMYFUNCTION("""COMPUTED_VALUE"""),"B12")</f>
        <v>B12</v>
      </c>
      <c r="D52" s="1" t="str">
        <f ca="1">IFERROR(__xludf.DUMMYFUNCTION("""COMPUTED_VALUE"""),"19-12")</f>
        <v>19-12</v>
      </c>
      <c r="E52" s="1" t="str">
        <f ca="1">IFERROR(__xludf.DUMMYFUNCTION("""COMPUTED_VALUE"""),"+13.02")</f>
        <v>+13.02</v>
      </c>
      <c r="F52" s="1">
        <f ca="1">IFERROR(__xludf.DUMMYFUNCTION("""COMPUTED_VALUE"""),103.1)</f>
        <v>103.1</v>
      </c>
      <c r="G52" s="1">
        <f ca="1">IFERROR(__xludf.DUMMYFUNCTION("""COMPUTED_VALUE"""),159)</f>
        <v>159</v>
      </c>
      <c r="H52" s="1">
        <f ca="1">IFERROR(__xludf.DUMMYFUNCTION("""COMPUTED_VALUE"""),90.1)</f>
        <v>90.1</v>
      </c>
      <c r="I52" s="1">
        <f ca="1">IFERROR(__xludf.DUMMYFUNCTION("""COMPUTED_VALUE"""),9)</f>
        <v>9</v>
      </c>
      <c r="J52" s="1">
        <f ca="1">IFERROR(__xludf.DUMMYFUNCTION("""COMPUTED_VALUE"""),66.8)</f>
        <v>66.8</v>
      </c>
      <c r="K52" s="1">
        <f ca="1">IFERROR(__xludf.DUMMYFUNCTION("""COMPUTED_VALUE"""),130)</f>
        <v>130</v>
      </c>
      <c r="L52" s="1" t="str">
        <f ca="1">IFERROR(__xludf.DUMMYFUNCTION("""COMPUTED_VALUE"""),"+.003")</f>
        <v>+.003</v>
      </c>
      <c r="M52" s="1">
        <f ca="1">IFERROR(__xludf.DUMMYFUNCTION("""COMPUTED_VALUE"""),152)</f>
        <v>152</v>
      </c>
      <c r="N52" s="1" t="str">
        <f ca="1">IFERROR(__xludf.DUMMYFUNCTION("""COMPUTED_VALUE"""),"+7.22")</f>
        <v>+7.22</v>
      </c>
      <c r="O52" s="1">
        <f ca="1">IFERROR(__xludf.DUMMYFUNCTION("""COMPUTED_VALUE"""),39)</f>
        <v>39</v>
      </c>
      <c r="P52" s="1">
        <f ca="1">IFERROR(__xludf.DUMMYFUNCTION("""COMPUTED_VALUE"""),107.5)</f>
        <v>107.5</v>
      </c>
      <c r="Q52" s="1">
        <f ca="1">IFERROR(__xludf.DUMMYFUNCTION("""COMPUTED_VALUE"""),28)</f>
        <v>28</v>
      </c>
      <c r="R52" s="1">
        <f ca="1">IFERROR(__xludf.DUMMYFUNCTION("""COMPUTED_VALUE"""),100.3)</f>
        <v>100.3</v>
      </c>
      <c r="S52" s="1">
        <f ca="1">IFERROR(__xludf.DUMMYFUNCTION("""COMPUTED_VALUE"""),60)</f>
        <v>60</v>
      </c>
      <c r="T52" s="1">
        <f ca="1">IFERROR(__xludf.DUMMYFUNCTION("""COMPUTED_VALUE"""),-3.06)</f>
        <v>-3.06</v>
      </c>
      <c r="U52" s="1">
        <f ca="1">IFERROR(__xludf.DUMMYFUNCTION("""COMPUTED_VALUE"""),238)</f>
        <v>238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IFERROR(__xludf.DUMMYFUNCTION("""COMPUTED_VALUE"""),"Saint Joseph's")</f>
        <v>Saint Joseph's</v>
      </c>
      <c r="C53" s="1" t="str">
        <f ca="1">IFERROR(__xludf.DUMMYFUNCTION("""COMPUTED_VALUE"""),"A10")</f>
        <v>A10</v>
      </c>
      <c r="D53" s="1" t="str">
        <f ca="1">IFERROR(__xludf.DUMMYFUNCTION("""COMPUTED_VALUE"""),"24-12")</f>
        <v>24-12</v>
      </c>
      <c r="E53" s="1" t="str">
        <f ca="1">IFERROR(__xludf.DUMMYFUNCTION("""COMPUTED_VALUE"""),"+13.01")</f>
        <v>+13.01</v>
      </c>
      <c r="F53" s="1">
        <f ca="1">IFERROR(__xludf.DUMMYFUNCTION("""COMPUTED_VALUE"""),106.9)</f>
        <v>106.9</v>
      </c>
      <c r="G53" s="1">
        <f ca="1">IFERROR(__xludf.DUMMYFUNCTION("""COMPUTED_VALUE"""),98)</f>
        <v>98</v>
      </c>
      <c r="H53" s="1">
        <f ca="1">IFERROR(__xludf.DUMMYFUNCTION("""COMPUTED_VALUE"""),93.9)</f>
        <v>93.9</v>
      </c>
      <c r="I53" s="1">
        <f ca="1">IFERROR(__xludf.DUMMYFUNCTION("""COMPUTED_VALUE"""),26)</f>
        <v>26</v>
      </c>
      <c r="J53" s="1">
        <f ca="1">IFERROR(__xludf.DUMMYFUNCTION("""COMPUTED_VALUE"""),61.6)</f>
        <v>61.6</v>
      </c>
      <c r="K53" s="1">
        <f ca="1">IFERROR(__xludf.DUMMYFUNCTION("""COMPUTED_VALUE"""),306)</f>
        <v>306</v>
      </c>
      <c r="L53" s="1" t="str">
        <f ca="1">IFERROR(__xludf.DUMMYFUNCTION("""COMPUTED_VALUE"""),"+.019")</f>
        <v>+.019</v>
      </c>
      <c r="M53" s="1">
        <f ca="1">IFERROR(__xludf.DUMMYFUNCTION("""COMPUTED_VALUE"""),115)</f>
        <v>115</v>
      </c>
      <c r="N53" s="1" t="str">
        <f ca="1">IFERROR(__xludf.DUMMYFUNCTION("""COMPUTED_VALUE"""),"+3.55")</f>
        <v>+3.55</v>
      </c>
      <c r="O53" s="1">
        <f ca="1">IFERROR(__xludf.DUMMYFUNCTION("""COMPUTED_VALUE"""),102)</f>
        <v>102</v>
      </c>
      <c r="P53" s="1">
        <f ca="1">IFERROR(__xludf.DUMMYFUNCTION("""COMPUTED_VALUE"""),104.3)</f>
        <v>104.3</v>
      </c>
      <c r="Q53" s="1">
        <f ca="1">IFERROR(__xludf.DUMMYFUNCTION("""COMPUTED_VALUE"""),127)</f>
        <v>127</v>
      </c>
      <c r="R53" s="1">
        <f ca="1">IFERROR(__xludf.DUMMYFUNCTION("""COMPUTED_VALUE"""),100.8)</f>
        <v>100.8</v>
      </c>
      <c r="S53" s="1">
        <f ca="1">IFERROR(__xludf.DUMMYFUNCTION("""COMPUTED_VALUE"""),82)</f>
        <v>82</v>
      </c>
      <c r="T53" s="1" t="str">
        <f ca="1">IFERROR(__xludf.DUMMYFUNCTION("""COMPUTED_VALUE"""),"+8.98")</f>
        <v>+8.98</v>
      </c>
      <c r="U53" s="1">
        <f ca="1">IFERROR(__xludf.DUMMYFUNCTION("""COMPUTED_VALUE"""),18)</f>
        <v>18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IFERROR(__xludf.DUMMYFUNCTION("""COMPUTED_VALUE"""),"South Carolina")</f>
        <v>South Carolina</v>
      </c>
      <c r="C54" s="1" t="str">
        <f ca="1">IFERROR(__xludf.DUMMYFUNCTION("""COMPUTED_VALUE"""),"SEC")</f>
        <v>SEC</v>
      </c>
      <c r="D54" s="1" t="str">
        <f ca="1">IFERROR(__xludf.DUMMYFUNCTION("""COMPUTED_VALUE"""),"20-13")</f>
        <v>20-13</v>
      </c>
      <c r="E54" s="1" t="str">
        <f ca="1">IFERROR(__xludf.DUMMYFUNCTION("""COMPUTED_VALUE"""),"+12.73")</f>
        <v>+12.73</v>
      </c>
      <c r="F54" s="1">
        <f ca="1">IFERROR(__xludf.DUMMYFUNCTION("""COMPUTED_VALUE"""),110.2)</f>
        <v>110.2</v>
      </c>
      <c r="G54" s="1">
        <f ca="1">IFERROR(__xludf.DUMMYFUNCTION("""COMPUTED_VALUE"""),51)</f>
        <v>51</v>
      </c>
      <c r="H54" s="1">
        <f ca="1">IFERROR(__xludf.DUMMYFUNCTION("""COMPUTED_VALUE"""),97.5)</f>
        <v>97.5</v>
      </c>
      <c r="I54" s="1">
        <f ca="1">IFERROR(__xludf.DUMMYFUNCTION("""COMPUTED_VALUE"""),67)</f>
        <v>67</v>
      </c>
      <c r="J54" s="1">
        <f ca="1">IFERROR(__xludf.DUMMYFUNCTION("""COMPUTED_VALUE"""),64)</f>
        <v>64</v>
      </c>
      <c r="K54" s="1">
        <f ca="1">IFERROR(__xludf.DUMMYFUNCTION("""COMPUTED_VALUE"""),255)</f>
        <v>255</v>
      </c>
      <c r="L54" s="1">
        <f ca="1">IFERROR(__xludf.DUMMYFUNCTION("""COMPUTED_VALUE"""),-0.017)</f>
        <v>-1.7000000000000001E-2</v>
      </c>
      <c r="M54" s="1">
        <f ca="1">IFERROR(__xludf.DUMMYFUNCTION("""COMPUTED_VALUE"""),206)</f>
        <v>206</v>
      </c>
      <c r="N54" s="1" t="str">
        <f ca="1">IFERROR(__xludf.DUMMYFUNCTION("""COMPUTED_VALUE"""),"+6.91")</f>
        <v>+6.91</v>
      </c>
      <c r="O54" s="1">
        <f ca="1">IFERROR(__xludf.DUMMYFUNCTION("""COMPUTED_VALUE"""),44)</f>
        <v>44</v>
      </c>
      <c r="P54" s="1">
        <f ca="1">IFERROR(__xludf.DUMMYFUNCTION("""COMPUTED_VALUE"""),106.2)</f>
        <v>106.2</v>
      </c>
      <c r="Q54" s="1">
        <f ca="1">IFERROR(__xludf.DUMMYFUNCTION("""COMPUTED_VALUE"""),67)</f>
        <v>67</v>
      </c>
      <c r="R54" s="1">
        <f ca="1">IFERROR(__xludf.DUMMYFUNCTION("""COMPUTED_VALUE"""),99.3)</f>
        <v>99.3</v>
      </c>
      <c r="S54" s="1">
        <f ca="1">IFERROR(__xludf.DUMMYFUNCTION("""COMPUTED_VALUE"""),31)</f>
        <v>31</v>
      </c>
      <c r="T54" s="1">
        <f ca="1">IFERROR(__xludf.DUMMYFUNCTION("""COMPUTED_VALUE"""),-1.3)</f>
        <v>-1.3</v>
      </c>
      <c r="U54" s="1">
        <f ca="1">IFERROR(__xludf.DUMMYFUNCTION("""COMPUTED_VALUE"""),199)</f>
        <v>199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IFERROR(__xludf.DUMMYFUNCTION("""COMPUTED_VALUE"""),"UAB11")</f>
        <v>UAB11</v>
      </c>
      <c r="C55" s="1" t="str">
        <f ca="1">IFERROR(__xludf.DUMMYFUNCTION("""COMPUTED_VALUE"""),"CUSA")</f>
        <v>CUSA</v>
      </c>
      <c r="D55" s="1" t="str">
        <f ca="1">IFERROR(__xludf.DUMMYFUNCTION("""COMPUTED_VALUE"""),"22-11")</f>
        <v>22-11</v>
      </c>
      <c r="E55" s="1" t="str">
        <f ca="1">IFERROR(__xludf.DUMMYFUNCTION("""COMPUTED_VALUE"""),"+12.51")</f>
        <v>+12.51</v>
      </c>
      <c r="F55" s="1">
        <f ca="1">IFERROR(__xludf.DUMMYFUNCTION("""COMPUTED_VALUE"""),109.2)</f>
        <v>109.2</v>
      </c>
      <c r="G55" s="1">
        <f ca="1">IFERROR(__xludf.DUMMYFUNCTION("""COMPUTED_VALUE"""),67)</f>
        <v>67</v>
      </c>
      <c r="H55" s="1">
        <f ca="1">IFERROR(__xludf.DUMMYFUNCTION("""COMPUTED_VALUE"""),96.7)</f>
        <v>96.7</v>
      </c>
      <c r="I55" s="1">
        <f ca="1">IFERROR(__xludf.DUMMYFUNCTION("""COMPUTED_VALUE"""),55)</f>
        <v>55</v>
      </c>
      <c r="J55" s="1">
        <f ca="1">IFERROR(__xludf.DUMMYFUNCTION("""COMPUTED_VALUE"""),71)</f>
        <v>71</v>
      </c>
      <c r="K55" s="1">
        <f ca="1">IFERROR(__xludf.DUMMYFUNCTION("""COMPUTED_VALUE"""),24)</f>
        <v>24</v>
      </c>
      <c r="L55" s="1">
        <f ca="1">IFERROR(__xludf.DUMMYFUNCTION("""COMPUTED_VALUE"""),-0.001)</f>
        <v>-1E-3</v>
      </c>
      <c r="M55" s="1">
        <f ca="1">IFERROR(__xludf.DUMMYFUNCTION("""COMPUTED_VALUE"""),161)</f>
        <v>161</v>
      </c>
      <c r="N55" s="1" t="str">
        <f ca="1">IFERROR(__xludf.DUMMYFUNCTION("""COMPUTED_VALUE"""),"+4.75")</f>
        <v>+4.75</v>
      </c>
      <c r="O55" s="1">
        <f ca="1">IFERROR(__xludf.DUMMYFUNCTION("""COMPUTED_VALUE"""),82)</f>
        <v>82</v>
      </c>
      <c r="P55" s="1">
        <f ca="1">IFERROR(__xludf.DUMMYFUNCTION("""COMPUTED_VALUE"""),105.5)</f>
        <v>105.5</v>
      </c>
      <c r="Q55" s="1">
        <f ca="1">IFERROR(__xludf.DUMMYFUNCTION("""COMPUTED_VALUE"""),90)</f>
        <v>90</v>
      </c>
      <c r="R55" s="1">
        <f ca="1">IFERROR(__xludf.DUMMYFUNCTION("""COMPUTED_VALUE"""),100.7)</f>
        <v>100.7</v>
      </c>
      <c r="S55" s="1">
        <f ca="1">IFERROR(__xludf.DUMMYFUNCTION("""COMPUTED_VALUE"""),80)</f>
        <v>80</v>
      </c>
      <c r="T55" s="1" t="str">
        <f ca="1">IFERROR(__xludf.DUMMYFUNCTION("""COMPUTED_VALUE"""),"+1.33")</f>
        <v>+1.33</v>
      </c>
      <c r="U55" s="1">
        <f ca="1">IFERROR(__xludf.DUMMYFUNCTION("""COMPUTED_VALUE"""),120)</f>
        <v>120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IFERROR(__xludf.DUMMYFUNCTION("""COMPUTED_VALUE"""),"Georgetown")</f>
        <v>Georgetown</v>
      </c>
      <c r="C56" s="1" t="str">
        <f ca="1">IFERROR(__xludf.DUMMYFUNCTION("""COMPUTED_VALUE"""),"BE")</f>
        <v>BE</v>
      </c>
      <c r="D56" s="1" t="str">
        <f ca="1">IFERROR(__xludf.DUMMYFUNCTION("""COMPUTED_VALUE"""),"19-13")</f>
        <v>19-13</v>
      </c>
      <c r="E56" s="1" t="str">
        <f ca="1">IFERROR(__xludf.DUMMYFUNCTION("""COMPUTED_VALUE"""),"+12.45")</f>
        <v>+12.45</v>
      </c>
      <c r="F56" s="1">
        <f ca="1">IFERROR(__xludf.DUMMYFUNCTION("""COMPUTED_VALUE"""),112.2)</f>
        <v>112.2</v>
      </c>
      <c r="G56" s="1">
        <f ca="1">IFERROR(__xludf.DUMMYFUNCTION("""COMPUTED_VALUE"""),36)</f>
        <v>36</v>
      </c>
      <c r="H56" s="1">
        <f ca="1">IFERROR(__xludf.DUMMYFUNCTION("""COMPUTED_VALUE"""),99.8)</f>
        <v>99.8</v>
      </c>
      <c r="I56" s="1">
        <f ca="1">IFERROR(__xludf.DUMMYFUNCTION("""COMPUTED_VALUE"""),97)</f>
        <v>97</v>
      </c>
      <c r="J56" s="1">
        <f ca="1">IFERROR(__xludf.DUMMYFUNCTION("""COMPUTED_VALUE"""),59.2)</f>
        <v>59.2</v>
      </c>
      <c r="K56" s="1">
        <f ca="1">IFERROR(__xludf.DUMMYFUNCTION("""COMPUTED_VALUE"""),324)</f>
        <v>324</v>
      </c>
      <c r="L56" s="1">
        <f ca="1">IFERROR(__xludf.DUMMYFUNCTION("""COMPUTED_VALUE"""),-0.005)</f>
        <v>-5.0000000000000001E-3</v>
      </c>
      <c r="M56" s="1">
        <f ca="1">IFERROR(__xludf.DUMMYFUNCTION("""COMPUTED_VALUE"""),174)</f>
        <v>174</v>
      </c>
      <c r="N56" s="1" t="str">
        <f ca="1">IFERROR(__xludf.DUMMYFUNCTION("""COMPUTED_VALUE"""),"+6.83")</f>
        <v>+6.83</v>
      </c>
      <c r="O56" s="1">
        <f ca="1">IFERROR(__xludf.DUMMYFUNCTION("""COMPUTED_VALUE"""),46)</f>
        <v>46</v>
      </c>
      <c r="P56" s="1">
        <f ca="1">IFERROR(__xludf.DUMMYFUNCTION("""COMPUTED_VALUE"""),105.8)</f>
        <v>105.8</v>
      </c>
      <c r="Q56" s="1">
        <f ca="1">IFERROR(__xludf.DUMMYFUNCTION("""COMPUTED_VALUE"""),80)</f>
        <v>80</v>
      </c>
      <c r="R56" s="1">
        <f ca="1">IFERROR(__xludf.DUMMYFUNCTION("""COMPUTED_VALUE"""),99)</f>
        <v>99</v>
      </c>
      <c r="S56" s="1">
        <f ca="1">IFERROR(__xludf.DUMMYFUNCTION("""COMPUTED_VALUE"""),21)</f>
        <v>21</v>
      </c>
      <c r="T56" s="1">
        <f ca="1">IFERROR(__xludf.DUMMYFUNCTION("""COMPUTED_VALUE"""),-5.5)</f>
        <v>-5.5</v>
      </c>
      <c r="U56" s="1">
        <f ca="1">IFERROR(__xludf.DUMMYFUNCTION("""COMPUTED_VALUE"""),291)</f>
        <v>291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IFERROR(__xludf.DUMMYFUNCTION("""COMPUTED_VALUE"""),"Memphis")</f>
        <v>Memphis</v>
      </c>
      <c r="C57" s="1" t="str">
        <f ca="1">IFERROR(__xludf.DUMMYFUNCTION("""COMPUTED_VALUE"""),"CUSA")</f>
        <v>CUSA</v>
      </c>
      <c r="D57" s="1" t="str">
        <f ca="1">IFERROR(__xludf.DUMMYFUNCTION("""COMPUTED_VALUE"""),"22-16")</f>
        <v>22-16</v>
      </c>
      <c r="E57" s="1" t="str">
        <f ca="1">IFERROR(__xludf.DUMMYFUNCTION("""COMPUTED_VALUE"""),"+12.17")</f>
        <v>+12.17</v>
      </c>
      <c r="F57" s="1">
        <f ca="1">IFERROR(__xludf.DUMMYFUNCTION("""COMPUTED_VALUE"""),107.8)</f>
        <v>107.8</v>
      </c>
      <c r="G57" s="1">
        <f ca="1">IFERROR(__xludf.DUMMYFUNCTION("""COMPUTED_VALUE"""),79)</f>
        <v>79</v>
      </c>
      <c r="H57" s="1">
        <f ca="1">IFERROR(__xludf.DUMMYFUNCTION("""COMPUTED_VALUE"""),95.7)</f>
        <v>95.7</v>
      </c>
      <c r="I57" s="1">
        <f ca="1">IFERROR(__xludf.DUMMYFUNCTION("""COMPUTED_VALUE"""),42)</f>
        <v>42</v>
      </c>
      <c r="J57" s="1">
        <f ca="1">IFERROR(__xludf.DUMMYFUNCTION("""COMPUTED_VALUE"""),66.9)</f>
        <v>66.900000000000006</v>
      </c>
      <c r="K57" s="1">
        <f ca="1">IFERROR(__xludf.DUMMYFUNCTION("""COMPUTED_VALUE"""),129)</f>
        <v>129</v>
      </c>
      <c r="L57" s="1">
        <f ca="1">IFERROR(__xludf.DUMMYFUNCTION("""COMPUTED_VALUE"""),-0.058)</f>
        <v>-5.8000000000000003E-2</v>
      </c>
      <c r="M57" s="1">
        <f ca="1">IFERROR(__xludf.DUMMYFUNCTION("""COMPUTED_VALUE"""),290)</f>
        <v>290</v>
      </c>
      <c r="N57" s="1" t="str">
        <f ca="1">IFERROR(__xludf.DUMMYFUNCTION("""COMPUTED_VALUE"""),"+4.51")</f>
        <v>+4.51</v>
      </c>
      <c r="O57" s="1">
        <f ca="1">IFERROR(__xludf.DUMMYFUNCTION("""COMPUTED_VALUE"""),87)</f>
        <v>87</v>
      </c>
      <c r="P57" s="1">
        <f ca="1">IFERROR(__xludf.DUMMYFUNCTION("""COMPUTED_VALUE"""),105.4)</f>
        <v>105.4</v>
      </c>
      <c r="Q57" s="1">
        <f ca="1">IFERROR(__xludf.DUMMYFUNCTION("""COMPUTED_VALUE"""),92)</f>
        <v>92</v>
      </c>
      <c r="R57" s="1">
        <f ca="1">IFERROR(__xludf.DUMMYFUNCTION("""COMPUTED_VALUE"""),100.9)</f>
        <v>100.9</v>
      </c>
      <c r="S57" s="1">
        <f ca="1">IFERROR(__xludf.DUMMYFUNCTION("""COMPUTED_VALUE"""),84)</f>
        <v>84</v>
      </c>
      <c r="T57" s="1" t="str">
        <f ca="1">IFERROR(__xludf.DUMMYFUNCTION("""COMPUTED_VALUE"""),"+2.26")</f>
        <v>+2.26</v>
      </c>
      <c r="U57" s="1">
        <f ca="1">IFERROR(__xludf.DUMMYFUNCTION("""COMPUTED_VALUE"""),99)</f>
        <v>99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IFERROR(__xludf.DUMMYFUNCTION("""COMPUTED_VALUE"""),"Charlotte7")</f>
        <v>Charlotte7</v>
      </c>
      <c r="C58" s="1" t="str">
        <f ca="1">IFERROR(__xludf.DUMMYFUNCTION("""COMPUTED_VALUE"""),"CUSA")</f>
        <v>CUSA</v>
      </c>
      <c r="D58" s="1" t="str">
        <f ca="1">IFERROR(__xludf.DUMMYFUNCTION("""COMPUTED_VALUE"""),"21-8")</f>
        <v>21-8</v>
      </c>
      <c r="E58" s="1" t="str">
        <f ca="1">IFERROR(__xludf.DUMMYFUNCTION("""COMPUTED_VALUE"""),"+12.15")</f>
        <v>+12.15</v>
      </c>
      <c r="F58" s="1">
        <f ca="1">IFERROR(__xludf.DUMMYFUNCTION("""COMPUTED_VALUE"""),111.6)</f>
        <v>111.6</v>
      </c>
      <c r="G58" s="1">
        <f ca="1">IFERROR(__xludf.DUMMYFUNCTION("""COMPUTED_VALUE"""),42)</f>
        <v>42</v>
      </c>
      <c r="H58" s="1">
        <f ca="1">IFERROR(__xludf.DUMMYFUNCTION("""COMPUTED_VALUE"""),99.5)</f>
        <v>99.5</v>
      </c>
      <c r="I58" s="1">
        <f ca="1">IFERROR(__xludf.DUMMYFUNCTION("""COMPUTED_VALUE"""),90)</f>
        <v>90</v>
      </c>
      <c r="J58" s="1">
        <f ca="1">IFERROR(__xludf.DUMMYFUNCTION("""COMPUTED_VALUE"""),70.6)</f>
        <v>70.599999999999994</v>
      </c>
      <c r="K58" s="1">
        <f ca="1">IFERROR(__xludf.DUMMYFUNCTION("""COMPUTED_VALUE"""),29)</f>
        <v>29</v>
      </c>
      <c r="L58" s="1" t="str">
        <f ca="1">IFERROR(__xludf.DUMMYFUNCTION("""COMPUTED_VALUE"""),"+.042")</f>
        <v>+.042</v>
      </c>
      <c r="M58" s="1">
        <f ca="1">IFERROR(__xludf.DUMMYFUNCTION("""COMPUTED_VALUE"""),72)</f>
        <v>72</v>
      </c>
      <c r="N58" s="1" t="str">
        <f ca="1">IFERROR(__xludf.DUMMYFUNCTION("""COMPUTED_VALUE"""),"+3.68")</f>
        <v>+3.68</v>
      </c>
      <c r="O58" s="1">
        <f ca="1">IFERROR(__xludf.DUMMYFUNCTION("""COMPUTED_VALUE"""),100)</f>
        <v>100</v>
      </c>
      <c r="P58" s="1">
        <f ca="1">IFERROR(__xludf.DUMMYFUNCTION("""COMPUTED_VALUE"""),104.9)</f>
        <v>104.9</v>
      </c>
      <c r="Q58" s="1">
        <f ca="1">IFERROR(__xludf.DUMMYFUNCTION("""COMPUTED_VALUE"""),114)</f>
        <v>114</v>
      </c>
      <c r="R58" s="1">
        <f ca="1">IFERROR(__xludf.DUMMYFUNCTION("""COMPUTED_VALUE"""),101.2)</f>
        <v>101.2</v>
      </c>
      <c r="S58" s="1">
        <f ca="1">IFERROR(__xludf.DUMMYFUNCTION("""COMPUTED_VALUE"""),92)</f>
        <v>92</v>
      </c>
      <c r="T58" s="1">
        <f ca="1">IFERROR(__xludf.DUMMYFUNCTION("""COMPUTED_VALUE"""),-1.74)</f>
        <v>-1.74</v>
      </c>
      <c r="U58" s="1">
        <f ca="1">IFERROR(__xludf.DUMMYFUNCTION("""COMPUTED_VALUE"""),210)</f>
        <v>210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IFERROR(__xludf.DUMMYFUNCTION("""COMPUTED_VALUE"""),"Nevada9")</f>
        <v>Nevada9</v>
      </c>
      <c r="C59" s="1" t="str">
        <f ca="1">IFERROR(__xludf.DUMMYFUNCTION("""COMPUTED_VALUE"""),"WAC")</f>
        <v>WAC</v>
      </c>
      <c r="D59" s="1" t="str">
        <f ca="1">IFERROR(__xludf.DUMMYFUNCTION("""COMPUTED_VALUE"""),"25-7")</f>
        <v>25-7</v>
      </c>
      <c r="E59" s="1" t="str">
        <f ca="1">IFERROR(__xludf.DUMMYFUNCTION("""COMPUTED_VALUE"""),"+12.11")</f>
        <v>+12.11</v>
      </c>
      <c r="F59" s="1">
        <f ca="1">IFERROR(__xludf.DUMMYFUNCTION("""COMPUTED_VALUE"""),104)</f>
        <v>104</v>
      </c>
      <c r="G59" s="1">
        <f ca="1">IFERROR(__xludf.DUMMYFUNCTION("""COMPUTED_VALUE"""),144)</f>
        <v>144</v>
      </c>
      <c r="H59" s="1">
        <f ca="1">IFERROR(__xludf.DUMMYFUNCTION("""COMPUTED_VALUE"""),91.8)</f>
        <v>91.8</v>
      </c>
      <c r="I59" s="1">
        <f ca="1">IFERROR(__xludf.DUMMYFUNCTION("""COMPUTED_VALUE"""),13)</f>
        <v>13</v>
      </c>
      <c r="J59" s="1">
        <f ca="1">IFERROR(__xludf.DUMMYFUNCTION("""COMPUTED_VALUE"""),65.7)</f>
        <v>65.7</v>
      </c>
      <c r="K59" s="1">
        <f ca="1">IFERROR(__xludf.DUMMYFUNCTION("""COMPUTED_VALUE"""),189)</f>
        <v>189</v>
      </c>
      <c r="L59" s="1" t="str">
        <f ca="1">IFERROR(__xludf.DUMMYFUNCTION("""COMPUTED_VALUE"""),"+.045")</f>
        <v>+.045</v>
      </c>
      <c r="M59" s="1">
        <f ca="1">IFERROR(__xludf.DUMMYFUNCTION("""COMPUTED_VALUE"""),68)</f>
        <v>68</v>
      </c>
      <c r="N59" s="1" t="str">
        <f ca="1">IFERROR(__xludf.DUMMYFUNCTION("""COMPUTED_VALUE"""),"+1.10")</f>
        <v>+1.10</v>
      </c>
      <c r="O59" s="1">
        <f ca="1">IFERROR(__xludf.DUMMYFUNCTION("""COMPUTED_VALUE"""),141)</f>
        <v>141</v>
      </c>
      <c r="P59" s="1">
        <f ca="1">IFERROR(__xludf.DUMMYFUNCTION("""COMPUTED_VALUE"""),104.5)</f>
        <v>104.5</v>
      </c>
      <c r="Q59" s="1">
        <f ca="1">IFERROR(__xludf.DUMMYFUNCTION("""COMPUTED_VALUE"""),124)</f>
        <v>124</v>
      </c>
      <c r="R59" s="1">
        <f ca="1">IFERROR(__xludf.DUMMYFUNCTION("""COMPUTED_VALUE"""),103.4)</f>
        <v>103.4</v>
      </c>
      <c r="S59" s="1">
        <f ca="1">IFERROR(__xludf.DUMMYFUNCTION("""COMPUTED_VALUE"""),182)</f>
        <v>182</v>
      </c>
      <c r="T59" s="1" t="str">
        <f ca="1">IFERROR(__xludf.DUMMYFUNCTION("""COMPUTED_VALUE"""),"+0.35")</f>
        <v>+0.35</v>
      </c>
      <c r="U59" s="1">
        <f ca="1">IFERROR(__xludf.DUMMYFUNCTION("""COMPUTED_VALUE"""),155)</f>
        <v>155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IFERROR(__xludf.DUMMYFUNCTION("""COMPUTED_VALUE"""),"Arkansas")</f>
        <v>Arkansas</v>
      </c>
      <c r="C60" s="1" t="str">
        <f ca="1">IFERROR(__xludf.DUMMYFUNCTION("""COMPUTED_VALUE"""),"SEC")</f>
        <v>SEC</v>
      </c>
      <c r="D60" s="1" t="str">
        <f ca="1">IFERROR(__xludf.DUMMYFUNCTION("""COMPUTED_VALUE"""),"18-12")</f>
        <v>18-12</v>
      </c>
      <c r="E60" s="1" t="str">
        <f ca="1">IFERROR(__xludf.DUMMYFUNCTION("""COMPUTED_VALUE"""),"+11.98")</f>
        <v>+11.98</v>
      </c>
      <c r="F60" s="1">
        <f ca="1">IFERROR(__xludf.DUMMYFUNCTION("""COMPUTED_VALUE"""),106.2)</f>
        <v>106.2</v>
      </c>
      <c r="G60" s="1">
        <f ca="1">IFERROR(__xludf.DUMMYFUNCTION("""COMPUTED_VALUE"""),108)</f>
        <v>108</v>
      </c>
      <c r="H60" s="1">
        <f ca="1">IFERROR(__xludf.DUMMYFUNCTION("""COMPUTED_VALUE"""),94.2)</f>
        <v>94.2</v>
      </c>
      <c r="I60" s="1">
        <f ca="1">IFERROR(__xludf.DUMMYFUNCTION("""COMPUTED_VALUE"""),29)</f>
        <v>29</v>
      </c>
      <c r="J60" s="1">
        <f ca="1">IFERROR(__xludf.DUMMYFUNCTION("""COMPUTED_VALUE"""),65.4)</f>
        <v>65.400000000000006</v>
      </c>
      <c r="K60" s="1">
        <f ca="1">IFERROR(__xludf.DUMMYFUNCTION("""COMPUTED_VALUE"""),199)</f>
        <v>199</v>
      </c>
      <c r="L60" s="1">
        <f ca="1">IFERROR(__xludf.DUMMYFUNCTION("""COMPUTED_VALUE"""),-0.063)</f>
        <v>-6.3E-2</v>
      </c>
      <c r="M60" s="1">
        <f ca="1">IFERROR(__xludf.DUMMYFUNCTION("""COMPUTED_VALUE"""),297)</f>
        <v>297</v>
      </c>
      <c r="N60" s="1" t="str">
        <f ca="1">IFERROR(__xludf.DUMMYFUNCTION("""COMPUTED_VALUE"""),"+2.84")</f>
        <v>+2.84</v>
      </c>
      <c r="O60" s="1">
        <f ca="1">IFERROR(__xludf.DUMMYFUNCTION("""COMPUTED_VALUE"""),111)</f>
        <v>111</v>
      </c>
      <c r="P60" s="1">
        <f ca="1">IFERROR(__xludf.DUMMYFUNCTION("""COMPUTED_VALUE"""),104.9)</f>
        <v>104.9</v>
      </c>
      <c r="Q60" s="1">
        <f ca="1">IFERROR(__xludf.DUMMYFUNCTION("""COMPUTED_VALUE"""),111)</f>
        <v>111</v>
      </c>
      <c r="R60" s="1">
        <f ca="1">IFERROR(__xludf.DUMMYFUNCTION("""COMPUTED_VALUE"""),102.1)</f>
        <v>102.1</v>
      </c>
      <c r="S60" s="1">
        <f ca="1">IFERROR(__xludf.DUMMYFUNCTION("""COMPUTED_VALUE"""),115)</f>
        <v>115</v>
      </c>
      <c r="T60" s="1">
        <f ca="1">IFERROR(__xludf.DUMMYFUNCTION("""COMPUTED_VALUE"""),-9.99)</f>
        <v>-9.99</v>
      </c>
      <c r="U60" s="1">
        <f ca="1">IFERROR(__xludf.DUMMYFUNCTION("""COMPUTED_VALUE"""),317)</f>
        <v>317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IFERROR(__xludf.DUMMYFUNCTION("""COMPUTED_VALUE"""),"Clemson")</f>
        <v>Clemson</v>
      </c>
      <c r="C61" s="1" t="str">
        <f ca="1">IFERROR(__xludf.DUMMYFUNCTION("""COMPUTED_VALUE"""),"ACC")</f>
        <v>ACC</v>
      </c>
      <c r="D61" s="1" t="str">
        <f ca="1">IFERROR(__xludf.DUMMYFUNCTION("""COMPUTED_VALUE"""),"16-16")</f>
        <v>16-16</v>
      </c>
      <c r="E61" s="1" t="str">
        <f ca="1">IFERROR(__xludf.DUMMYFUNCTION("""COMPUTED_VALUE"""),"+11.92")</f>
        <v>+11.92</v>
      </c>
      <c r="F61" s="1">
        <f ca="1">IFERROR(__xludf.DUMMYFUNCTION("""COMPUTED_VALUE"""),105.6)</f>
        <v>105.6</v>
      </c>
      <c r="G61" s="1">
        <f ca="1">IFERROR(__xludf.DUMMYFUNCTION("""COMPUTED_VALUE"""),117)</f>
        <v>117</v>
      </c>
      <c r="H61" s="1">
        <f ca="1">IFERROR(__xludf.DUMMYFUNCTION("""COMPUTED_VALUE"""),93.7)</f>
        <v>93.7</v>
      </c>
      <c r="I61" s="1">
        <f ca="1">IFERROR(__xludf.DUMMYFUNCTION("""COMPUTED_VALUE"""),21)</f>
        <v>21</v>
      </c>
      <c r="J61" s="1">
        <f ca="1">IFERROR(__xludf.DUMMYFUNCTION("""COMPUTED_VALUE"""),69.7)</f>
        <v>69.7</v>
      </c>
      <c r="K61" s="1">
        <f ca="1">IFERROR(__xludf.DUMMYFUNCTION("""COMPUTED_VALUE"""),44)</f>
        <v>44</v>
      </c>
      <c r="L61" s="1">
        <f ca="1">IFERROR(__xludf.DUMMYFUNCTION("""COMPUTED_VALUE"""),-0.052)</f>
        <v>-5.1999999999999998E-2</v>
      </c>
      <c r="M61" s="1">
        <f ca="1">IFERROR(__xludf.DUMMYFUNCTION("""COMPUTED_VALUE"""),280)</f>
        <v>280</v>
      </c>
      <c r="N61" s="1" t="str">
        <f ca="1">IFERROR(__xludf.DUMMYFUNCTION("""COMPUTED_VALUE"""),"+9.70")</f>
        <v>+9.70</v>
      </c>
      <c r="O61" s="1">
        <f ca="1">IFERROR(__xludf.DUMMYFUNCTION("""COMPUTED_VALUE"""),14)</f>
        <v>14</v>
      </c>
      <c r="P61" s="1">
        <f ca="1">IFERROR(__xludf.DUMMYFUNCTION("""COMPUTED_VALUE"""),107.5)</f>
        <v>107.5</v>
      </c>
      <c r="Q61" s="1">
        <f ca="1">IFERROR(__xludf.DUMMYFUNCTION("""COMPUTED_VALUE"""),29)</f>
        <v>29</v>
      </c>
      <c r="R61" s="1">
        <f ca="1">IFERROR(__xludf.DUMMYFUNCTION("""COMPUTED_VALUE"""),97.8)</f>
        <v>97.8</v>
      </c>
      <c r="S61" s="1">
        <f ca="1">IFERROR(__xludf.DUMMYFUNCTION("""COMPUTED_VALUE"""),6)</f>
        <v>6</v>
      </c>
      <c r="T61" s="1">
        <f ca="1">IFERROR(__xludf.DUMMYFUNCTION("""COMPUTED_VALUE"""),-3.17)</f>
        <v>-3.17</v>
      </c>
      <c r="U61" s="1">
        <f ca="1">IFERROR(__xludf.DUMMYFUNCTION("""COMPUTED_VALUE"""),239)</f>
        <v>239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IFERROR(__xludf.DUMMYFUNCTION("""COMPUTED_VALUE"""),"UTEP11")</f>
        <v>UTEP11</v>
      </c>
      <c r="C62" s="1" t="str">
        <f ca="1">IFERROR(__xludf.DUMMYFUNCTION("""COMPUTED_VALUE"""),"WAC")</f>
        <v>WAC</v>
      </c>
      <c r="D62" s="1" t="str">
        <f ca="1">IFERROR(__xludf.DUMMYFUNCTION("""COMPUTED_VALUE"""),"27-8")</f>
        <v>27-8</v>
      </c>
      <c r="E62" s="1" t="str">
        <f ca="1">IFERROR(__xludf.DUMMYFUNCTION("""COMPUTED_VALUE"""),"+11.62")</f>
        <v>+11.62</v>
      </c>
      <c r="F62" s="1">
        <f ca="1">IFERROR(__xludf.DUMMYFUNCTION("""COMPUTED_VALUE"""),112.7)</f>
        <v>112.7</v>
      </c>
      <c r="G62" s="1">
        <f ca="1">IFERROR(__xludf.DUMMYFUNCTION("""COMPUTED_VALUE"""),32)</f>
        <v>32</v>
      </c>
      <c r="H62" s="1">
        <f ca="1">IFERROR(__xludf.DUMMYFUNCTION("""COMPUTED_VALUE"""),101.1)</f>
        <v>101.1</v>
      </c>
      <c r="I62" s="1">
        <f ca="1">IFERROR(__xludf.DUMMYFUNCTION("""COMPUTED_VALUE"""),130)</f>
        <v>130</v>
      </c>
      <c r="J62" s="1">
        <f ca="1">IFERROR(__xludf.DUMMYFUNCTION("""COMPUTED_VALUE"""),65.9)</f>
        <v>65.900000000000006</v>
      </c>
      <c r="K62" s="1">
        <f ca="1">IFERROR(__xludf.DUMMYFUNCTION("""COMPUTED_VALUE"""),172)</f>
        <v>172</v>
      </c>
      <c r="L62" s="1" t="str">
        <f ca="1">IFERROR(__xludf.DUMMYFUNCTION("""COMPUTED_VALUE"""),"+.015")</f>
        <v>+.015</v>
      </c>
      <c r="M62" s="1">
        <f ca="1">IFERROR(__xludf.DUMMYFUNCTION("""COMPUTED_VALUE"""),125)</f>
        <v>125</v>
      </c>
      <c r="N62" s="1">
        <f ca="1">IFERROR(__xludf.DUMMYFUNCTION("""COMPUTED_VALUE"""),-0.68)</f>
        <v>-0.68</v>
      </c>
      <c r="O62" s="1">
        <f ca="1">IFERROR(__xludf.DUMMYFUNCTION("""COMPUTED_VALUE"""),169)</f>
        <v>169</v>
      </c>
      <c r="P62" s="1">
        <f ca="1">IFERROR(__xludf.DUMMYFUNCTION("""COMPUTED_VALUE"""),102.2)</f>
        <v>102.2</v>
      </c>
      <c r="Q62" s="1">
        <f ca="1">IFERROR(__xludf.DUMMYFUNCTION("""COMPUTED_VALUE"""),190)</f>
        <v>190</v>
      </c>
      <c r="R62" s="1">
        <f ca="1">IFERROR(__xludf.DUMMYFUNCTION("""COMPUTED_VALUE"""),102.9)</f>
        <v>102.9</v>
      </c>
      <c r="S62" s="1">
        <f ca="1">IFERROR(__xludf.DUMMYFUNCTION("""COMPUTED_VALUE"""),150)</f>
        <v>150</v>
      </c>
      <c r="T62" s="1">
        <f ca="1">IFERROR(__xludf.DUMMYFUNCTION("""COMPUTED_VALUE"""),-5.3)</f>
        <v>-5.3</v>
      </c>
      <c r="U62" s="1">
        <f ca="1">IFERROR(__xludf.DUMMYFUNCTION("""COMPUTED_VALUE"""),290)</f>
        <v>290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IFERROR(__xludf.DUMMYFUNCTION("""COMPUTED_VALUE"""),"Notre Dame")</f>
        <v>Notre Dame</v>
      </c>
      <c r="C63" s="1" t="str">
        <f ca="1">IFERROR(__xludf.DUMMYFUNCTION("""COMPUTED_VALUE"""),"BE")</f>
        <v>BE</v>
      </c>
      <c r="D63" s="1" t="str">
        <f ca="1">IFERROR(__xludf.DUMMYFUNCTION("""COMPUTED_VALUE"""),"17-12")</f>
        <v>17-12</v>
      </c>
      <c r="E63" s="1" t="str">
        <f ca="1">IFERROR(__xludf.DUMMYFUNCTION("""COMPUTED_VALUE"""),"+11.54")</f>
        <v>+11.54</v>
      </c>
      <c r="F63" s="1">
        <f ca="1">IFERROR(__xludf.DUMMYFUNCTION("""COMPUTED_VALUE"""),109.9)</f>
        <v>109.9</v>
      </c>
      <c r="G63" s="1">
        <f ca="1">IFERROR(__xludf.DUMMYFUNCTION("""COMPUTED_VALUE"""),57)</f>
        <v>57</v>
      </c>
      <c r="H63" s="1">
        <f ca="1">IFERROR(__xludf.DUMMYFUNCTION("""COMPUTED_VALUE"""),98.3)</f>
        <v>98.3</v>
      </c>
      <c r="I63" s="1">
        <f ca="1">IFERROR(__xludf.DUMMYFUNCTION("""COMPUTED_VALUE"""),79)</f>
        <v>79</v>
      </c>
      <c r="J63" s="1">
        <f ca="1">IFERROR(__xludf.DUMMYFUNCTION("""COMPUTED_VALUE"""),64.3)</f>
        <v>64.3</v>
      </c>
      <c r="K63" s="1">
        <f ca="1">IFERROR(__xludf.DUMMYFUNCTION("""COMPUTED_VALUE"""),239)</f>
        <v>239</v>
      </c>
      <c r="L63" s="1">
        <f ca="1">IFERROR(__xludf.DUMMYFUNCTION("""COMPUTED_VALUE"""),-0.041)</f>
        <v>-4.1000000000000002E-2</v>
      </c>
      <c r="M63" s="1">
        <f ca="1">IFERROR(__xludf.DUMMYFUNCTION("""COMPUTED_VALUE"""),265)</f>
        <v>265</v>
      </c>
      <c r="N63" s="1" t="str">
        <f ca="1">IFERROR(__xludf.DUMMYFUNCTION("""COMPUTED_VALUE"""),"+6.58")</f>
        <v>+6.58</v>
      </c>
      <c r="O63" s="1">
        <f ca="1">IFERROR(__xludf.DUMMYFUNCTION("""COMPUTED_VALUE"""),52)</f>
        <v>52</v>
      </c>
      <c r="P63" s="1">
        <f ca="1">IFERROR(__xludf.DUMMYFUNCTION("""COMPUTED_VALUE"""),106.8)</f>
        <v>106.8</v>
      </c>
      <c r="Q63" s="1">
        <f ca="1">IFERROR(__xludf.DUMMYFUNCTION("""COMPUTED_VALUE"""),46)</f>
        <v>46</v>
      </c>
      <c r="R63" s="1">
        <f ca="1">IFERROR(__xludf.DUMMYFUNCTION("""COMPUTED_VALUE"""),100.2)</f>
        <v>100.2</v>
      </c>
      <c r="S63" s="1">
        <f ca="1">IFERROR(__xludf.DUMMYFUNCTION("""COMPUTED_VALUE"""),58)</f>
        <v>58</v>
      </c>
      <c r="T63" s="1">
        <f ca="1">IFERROR(__xludf.DUMMYFUNCTION("""COMPUTED_VALUE"""),-8.1)</f>
        <v>-8.1</v>
      </c>
      <c r="U63" s="1">
        <f ca="1">IFERROR(__xludf.DUMMYFUNCTION("""COMPUTED_VALUE"""),310)</f>
        <v>310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IFERROR(__xludf.DUMMYFUNCTION("""COMPUTED_VALUE"""),"Southwest Missouri St.")</f>
        <v>Southwest Missouri St.</v>
      </c>
      <c r="C64" s="1" t="str">
        <f ca="1">IFERROR(__xludf.DUMMYFUNCTION("""COMPUTED_VALUE"""),"MVC")</f>
        <v>MVC</v>
      </c>
      <c r="D64" s="1" t="str">
        <f ca="1">IFERROR(__xludf.DUMMYFUNCTION("""COMPUTED_VALUE"""),"19-13")</f>
        <v>19-13</v>
      </c>
      <c r="E64" s="1" t="str">
        <f ca="1">IFERROR(__xludf.DUMMYFUNCTION("""COMPUTED_VALUE"""),"+11.42")</f>
        <v>+11.42</v>
      </c>
      <c r="F64" s="1">
        <f ca="1">IFERROR(__xludf.DUMMYFUNCTION("""COMPUTED_VALUE"""),108.2)</f>
        <v>108.2</v>
      </c>
      <c r="G64" s="1">
        <f ca="1">IFERROR(__xludf.DUMMYFUNCTION("""COMPUTED_VALUE"""),74)</f>
        <v>74</v>
      </c>
      <c r="H64" s="1">
        <f ca="1">IFERROR(__xludf.DUMMYFUNCTION("""COMPUTED_VALUE"""),96.8)</f>
        <v>96.8</v>
      </c>
      <c r="I64" s="1">
        <f ca="1">IFERROR(__xludf.DUMMYFUNCTION("""COMPUTED_VALUE"""),57)</f>
        <v>57</v>
      </c>
      <c r="J64" s="1">
        <f ca="1">IFERROR(__xludf.DUMMYFUNCTION("""COMPUTED_VALUE"""),68.8)</f>
        <v>68.8</v>
      </c>
      <c r="K64" s="1">
        <f ca="1">IFERROR(__xludf.DUMMYFUNCTION("""COMPUTED_VALUE"""),63)</f>
        <v>63</v>
      </c>
      <c r="L64" s="1">
        <f ca="1">IFERROR(__xludf.DUMMYFUNCTION("""COMPUTED_VALUE"""),-0.044)</f>
        <v>-4.3999999999999997E-2</v>
      </c>
      <c r="M64" s="1">
        <f ca="1">IFERROR(__xludf.DUMMYFUNCTION("""COMPUTED_VALUE"""),268)</f>
        <v>268</v>
      </c>
      <c r="N64" s="1" t="str">
        <f ca="1">IFERROR(__xludf.DUMMYFUNCTION("""COMPUTED_VALUE"""),"+5.06")</f>
        <v>+5.06</v>
      </c>
      <c r="O64" s="1">
        <f ca="1">IFERROR(__xludf.DUMMYFUNCTION("""COMPUTED_VALUE"""),79)</f>
        <v>79</v>
      </c>
      <c r="P64" s="1">
        <f ca="1">IFERROR(__xludf.DUMMYFUNCTION("""COMPUTED_VALUE"""),106.4)</f>
        <v>106.4</v>
      </c>
      <c r="Q64" s="1">
        <f ca="1">IFERROR(__xludf.DUMMYFUNCTION("""COMPUTED_VALUE"""),60)</f>
        <v>60</v>
      </c>
      <c r="R64" s="1">
        <f ca="1">IFERROR(__xludf.DUMMYFUNCTION("""COMPUTED_VALUE"""),101.3)</f>
        <v>101.3</v>
      </c>
      <c r="S64" s="1">
        <f ca="1">IFERROR(__xludf.DUMMYFUNCTION("""COMPUTED_VALUE"""),95)</f>
        <v>95</v>
      </c>
      <c r="T64" s="1">
        <f ca="1">IFERROR(__xludf.DUMMYFUNCTION("""COMPUTED_VALUE"""),-1.68)</f>
        <v>-1.68</v>
      </c>
      <c r="U64" s="1">
        <f ca="1">IFERROR(__xludf.DUMMYFUNCTION("""COMPUTED_VALUE"""),208)</f>
        <v>208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IFERROR(__xludf.DUMMYFUNCTION("""COMPUTED_VALUE"""),"Providence")</f>
        <v>Providence</v>
      </c>
      <c r="C65" s="1" t="str">
        <f ca="1">IFERROR(__xludf.DUMMYFUNCTION("""COMPUTED_VALUE"""),"BE")</f>
        <v>BE</v>
      </c>
      <c r="D65" s="1" t="str">
        <f ca="1">IFERROR(__xludf.DUMMYFUNCTION("""COMPUTED_VALUE"""),"14-17")</f>
        <v>14-17</v>
      </c>
      <c r="E65" s="1" t="str">
        <f ca="1">IFERROR(__xludf.DUMMYFUNCTION("""COMPUTED_VALUE"""),"+11.36")</f>
        <v>+11.36</v>
      </c>
      <c r="F65" s="1">
        <f ca="1">IFERROR(__xludf.DUMMYFUNCTION("""COMPUTED_VALUE"""),111.2)</f>
        <v>111.2</v>
      </c>
      <c r="G65" s="1">
        <f ca="1">IFERROR(__xludf.DUMMYFUNCTION("""COMPUTED_VALUE"""),47)</f>
        <v>47</v>
      </c>
      <c r="H65" s="1">
        <f ca="1">IFERROR(__xludf.DUMMYFUNCTION("""COMPUTED_VALUE"""),99.8)</f>
        <v>99.8</v>
      </c>
      <c r="I65" s="1">
        <f ca="1">IFERROR(__xludf.DUMMYFUNCTION("""COMPUTED_VALUE"""),98)</f>
        <v>98</v>
      </c>
      <c r="J65" s="1">
        <f ca="1">IFERROR(__xludf.DUMMYFUNCTION("""COMPUTED_VALUE"""),68.7)</f>
        <v>68.7</v>
      </c>
      <c r="K65" s="1">
        <f ca="1">IFERROR(__xludf.DUMMYFUNCTION("""COMPUTED_VALUE"""),65)</f>
        <v>65</v>
      </c>
      <c r="L65" s="1">
        <f ca="1">IFERROR(__xludf.DUMMYFUNCTION("""COMPUTED_VALUE"""),-0.092)</f>
        <v>-9.1999999999999998E-2</v>
      </c>
      <c r="M65" s="1">
        <f ca="1">IFERROR(__xludf.DUMMYFUNCTION("""COMPUTED_VALUE"""),318)</f>
        <v>318</v>
      </c>
      <c r="N65" s="1" t="str">
        <f ca="1">IFERROR(__xludf.DUMMYFUNCTION("""COMPUTED_VALUE"""),"+9.76")</f>
        <v>+9.76</v>
      </c>
      <c r="O65" s="1">
        <f ca="1">IFERROR(__xludf.DUMMYFUNCTION("""COMPUTED_VALUE"""),13)</f>
        <v>13</v>
      </c>
      <c r="P65" s="1">
        <f ca="1">IFERROR(__xludf.DUMMYFUNCTION("""COMPUTED_VALUE"""),108.8)</f>
        <v>108.8</v>
      </c>
      <c r="Q65" s="1">
        <f ca="1">IFERROR(__xludf.DUMMYFUNCTION("""COMPUTED_VALUE"""),6)</f>
        <v>6</v>
      </c>
      <c r="R65" s="1">
        <f ca="1">IFERROR(__xludf.DUMMYFUNCTION("""COMPUTED_VALUE"""),99)</f>
        <v>99</v>
      </c>
      <c r="S65" s="1">
        <f ca="1">IFERROR(__xludf.DUMMYFUNCTION("""COMPUTED_VALUE"""),22)</f>
        <v>22</v>
      </c>
      <c r="T65" s="1" t="str">
        <f ca="1">IFERROR(__xludf.DUMMYFUNCTION("""COMPUTED_VALUE"""),"+3.08")</f>
        <v>+3.08</v>
      </c>
      <c r="U65" s="1">
        <f ca="1">IFERROR(__xludf.DUMMYFUNCTION("""COMPUTED_VALUE"""),86)</f>
        <v>86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IFERROR(__xludf.DUMMYFUNCTION("""COMPUTED_VALUE"""),"DePaul")</f>
        <v>DePaul</v>
      </c>
      <c r="C66" s="1" t="str">
        <f ca="1">IFERROR(__xludf.DUMMYFUNCTION("""COMPUTED_VALUE"""),"CUSA")</f>
        <v>CUSA</v>
      </c>
      <c r="D66" s="1" t="str">
        <f ca="1">IFERROR(__xludf.DUMMYFUNCTION("""COMPUTED_VALUE"""),"20-11")</f>
        <v>20-11</v>
      </c>
      <c r="E66" s="1" t="str">
        <f ca="1">IFERROR(__xludf.DUMMYFUNCTION("""COMPUTED_VALUE"""),"+11.29")</f>
        <v>+11.29</v>
      </c>
      <c r="F66" s="1">
        <f ca="1">IFERROR(__xludf.DUMMYFUNCTION("""COMPUTED_VALUE"""),111.8)</f>
        <v>111.8</v>
      </c>
      <c r="G66" s="1">
        <f ca="1">IFERROR(__xludf.DUMMYFUNCTION("""COMPUTED_VALUE"""),41)</f>
        <v>41</v>
      </c>
      <c r="H66" s="1">
        <f ca="1">IFERROR(__xludf.DUMMYFUNCTION("""COMPUTED_VALUE"""),100.5)</f>
        <v>100.5</v>
      </c>
      <c r="I66" s="1">
        <f ca="1">IFERROR(__xludf.DUMMYFUNCTION("""COMPUTED_VALUE"""),117)</f>
        <v>117</v>
      </c>
      <c r="J66" s="1">
        <f ca="1">IFERROR(__xludf.DUMMYFUNCTION("""COMPUTED_VALUE"""),62.5)</f>
        <v>62.5</v>
      </c>
      <c r="K66" s="1">
        <f ca="1">IFERROR(__xludf.DUMMYFUNCTION("""COMPUTED_VALUE"""),295)</f>
        <v>295</v>
      </c>
      <c r="L66" s="1">
        <f ca="1">IFERROR(__xludf.DUMMYFUNCTION("""COMPUTED_VALUE"""),0)</f>
        <v>0</v>
      </c>
      <c r="M66" s="1">
        <f ca="1">IFERROR(__xludf.DUMMYFUNCTION("""COMPUTED_VALUE"""),159)</f>
        <v>159</v>
      </c>
      <c r="N66" s="1" t="str">
        <f ca="1">IFERROR(__xludf.DUMMYFUNCTION("""COMPUTED_VALUE"""),"+3.70")</f>
        <v>+3.70</v>
      </c>
      <c r="O66" s="1">
        <f ca="1">IFERROR(__xludf.DUMMYFUNCTION("""COMPUTED_VALUE"""),99)</f>
        <v>99</v>
      </c>
      <c r="P66" s="1">
        <f ca="1">IFERROR(__xludf.DUMMYFUNCTION("""COMPUTED_VALUE"""),104.7)</f>
        <v>104.7</v>
      </c>
      <c r="Q66" s="1">
        <f ca="1">IFERROR(__xludf.DUMMYFUNCTION("""COMPUTED_VALUE"""),117)</f>
        <v>117</v>
      </c>
      <c r="R66" s="1">
        <f ca="1">IFERROR(__xludf.DUMMYFUNCTION("""COMPUTED_VALUE"""),101)</f>
        <v>101</v>
      </c>
      <c r="S66" s="1">
        <f ca="1">IFERROR(__xludf.DUMMYFUNCTION("""COMPUTED_VALUE"""),87)</f>
        <v>87</v>
      </c>
      <c r="T66" s="1">
        <f ca="1">IFERROR(__xludf.DUMMYFUNCTION("""COMPUTED_VALUE"""),-0.94)</f>
        <v>-0.94</v>
      </c>
      <c r="U66" s="1">
        <f ca="1">IFERROR(__xludf.DUMMYFUNCTION("""COMPUTED_VALUE"""),186)</f>
        <v>186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IFERROR(__xludf.DUMMYFUNCTION("""COMPUTED_VALUE"""),"Western Michigan")</f>
        <v>Western Michigan</v>
      </c>
      <c r="C67" s="1" t="str">
        <f ca="1">IFERROR(__xludf.DUMMYFUNCTION("""COMPUTED_VALUE"""),"MAC")</f>
        <v>MAC</v>
      </c>
      <c r="D67" s="1" t="str">
        <f ca="1">IFERROR(__xludf.DUMMYFUNCTION("""COMPUTED_VALUE"""),"20-13")</f>
        <v>20-13</v>
      </c>
      <c r="E67" s="1" t="str">
        <f ca="1">IFERROR(__xludf.DUMMYFUNCTION("""COMPUTED_VALUE"""),"+11.14")</f>
        <v>+11.14</v>
      </c>
      <c r="F67" s="1">
        <f ca="1">IFERROR(__xludf.DUMMYFUNCTION("""COMPUTED_VALUE"""),111.6)</f>
        <v>111.6</v>
      </c>
      <c r="G67" s="1">
        <f ca="1">IFERROR(__xludf.DUMMYFUNCTION("""COMPUTED_VALUE"""),43)</f>
        <v>43</v>
      </c>
      <c r="H67" s="1">
        <f ca="1">IFERROR(__xludf.DUMMYFUNCTION("""COMPUTED_VALUE"""),100.4)</f>
        <v>100.4</v>
      </c>
      <c r="I67" s="1">
        <f ca="1">IFERROR(__xludf.DUMMYFUNCTION("""COMPUTED_VALUE"""),114)</f>
        <v>114</v>
      </c>
      <c r="J67" s="1">
        <f ca="1">IFERROR(__xludf.DUMMYFUNCTION("""COMPUTED_VALUE"""),64.9)</f>
        <v>64.900000000000006</v>
      </c>
      <c r="K67" s="1">
        <f ca="1">IFERROR(__xludf.DUMMYFUNCTION("""COMPUTED_VALUE"""),217)</f>
        <v>217</v>
      </c>
      <c r="L67" s="1">
        <f ca="1">IFERROR(__xludf.DUMMYFUNCTION("""COMPUTED_VALUE"""),-0.067)</f>
        <v>-6.7000000000000004E-2</v>
      </c>
      <c r="M67" s="1">
        <f ca="1">IFERROR(__xludf.DUMMYFUNCTION("""COMPUTED_VALUE"""),300)</f>
        <v>300</v>
      </c>
      <c r="N67" s="1" t="str">
        <f ca="1">IFERROR(__xludf.DUMMYFUNCTION("""COMPUTED_VALUE"""),"+3.27")</f>
        <v>+3.27</v>
      </c>
      <c r="O67" s="1">
        <f ca="1">IFERROR(__xludf.DUMMYFUNCTION("""COMPUTED_VALUE"""),105)</f>
        <v>105</v>
      </c>
      <c r="P67" s="1">
        <f ca="1">IFERROR(__xludf.DUMMYFUNCTION("""COMPUTED_VALUE"""),105.3)</f>
        <v>105.3</v>
      </c>
      <c r="Q67" s="1">
        <f ca="1">IFERROR(__xludf.DUMMYFUNCTION("""COMPUTED_VALUE"""),95)</f>
        <v>95</v>
      </c>
      <c r="R67" s="1">
        <f ca="1">IFERROR(__xludf.DUMMYFUNCTION("""COMPUTED_VALUE"""),102)</f>
        <v>102</v>
      </c>
      <c r="S67" s="1">
        <f ca="1">IFERROR(__xludf.DUMMYFUNCTION("""COMPUTED_VALUE"""),111)</f>
        <v>111</v>
      </c>
      <c r="T67" s="1" t="str">
        <f ca="1">IFERROR(__xludf.DUMMYFUNCTION("""COMPUTED_VALUE"""),"+1.87")</f>
        <v>+1.87</v>
      </c>
      <c r="U67" s="1">
        <f ca="1">IFERROR(__xludf.DUMMYFUNCTION("""COMPUTED_VALUE"""),110)</f>
        <v>110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IFERROR(__xludf.DUMMYFUNCTION("""COMPUTED_VALUE"""),"Miami OH")</f>
        <v>Miami OH</v>
      </c>
      <c r="C68" s="1" t="str">
        <f ca="1">IFERROR(__xludf.DUMMYFUNCTION("""COMPUTED_VALUE"""),"MAC")</f>
        <v>MAC</v>
      </c>
      <c r="D68" s="1" t="str">
        <f ca="1">IFERROR(__xludf.DUMMYFUNCTION("""COMPUTED_VALUE"""),"19-11")</f>
        <v>19-11</v>
      </c>
      <c r="E68" s="1" t="str">
        <f ca="1">IFERROR(__xludf.DUMMYFUNCTION("""COMPUTED_VALUE"""),"+11.08")</f>
        <v>+11.08</v>
      </c>
      <c r="F68" s="1">
        <f ca="1">IFERROR(__xludf.DUMMYFUNCTION("""COMPUTED_VALUE"""),106)</f>
        <v>106</v>
      </c>
      <c r="G68" s="1">
        <f ca="1">IFERROR(__xludf.DUMMYFUNCTION("""COMPUTED_VALUE"""),110)</f>
        <v>110</v>
      </c>
      <c r="H68" s="1">
        <f ca="1">IFERROR(__xludf.DUMMYFUNCTION("""COMPUTED_VALUE"""),94.9)</f>
        <v>94.9</v>
      </c>
      <c r="I68" s="1">
        <f ca="1">IFERROR(__xludf.DUMMYFUNCTION("""COMPUTED_VALUE"""),37)</f>
        <v>37</v>
      </c>
      <c r="J68" s="1">
        <f ca="1">IFERROR(__xludf.DUMMYFUNCTION("""COMPUTED_VALUE"""),60.7)</f>
        <v>60.7</v>
      </c>
      <c r="K68" s="1">
        <f ca="1">IFERROR(__xludf.DUMMYFUNCTION("""COMPUTED_VALUE"""),314)</f>
        <v>314</v>
      </c>
      <c r="L68" s="1" t="str">
        <f ca="1">IFERROR(__xludf.DUMMYFUNCTION("""COMPUTED_VALUE"""),"+.008")</f>
        <v>+.008</v>
      </c>
      <c r="M68" s="1">
        <f ca="1">IFERROR(__xludf.DUMMYFUNCTION("""COMPUTED_VALUE"""),144)</f>
        <v>144</v>
      </c>
      <c r="N68" s="1" t="str">
        <f ca="1">IFERROR(__xludf.DUMMYFUNCTION("""COMPUTED_VALUE"""),"+5.09")</f>
        <v>+5.09</v>
      </c>
      <c r="O68" s="1">
        <f ca="1">IFERROR(__xludf.DUMMYFUNCTION("""COMPUTED_VALUE"""),78)</f>
        <v>78</v>
      </c>
      <c r="P68" s="1">
        <f ca="1">IFERROR(__xludf.DUMMYFUNCTION("""COMPUTED_VALUE"""),107)</f>
        <v>107</v>
      </c>
      <c r="Q68" s="1">
        <f ca="1">IFERROR(__xludf.DUMMYFUNCTION("""COMPUTED_VALUE"""),39)</f>
        <v>39</v>
      </c>
      <c r="R68" s="1">
        <f ca="1">IFERROR(__xludf.DUMMYFUNCTION("""COMPUTED_VALUE"""),101.9)</f>
        <v>101.9</v>
      </c>
      <c r="S68" s="1">
        <f ca="1">IFERROR(__xludf.DUMMYFUNCTION("""COMPUTED_VALUE"""),107)</f>
        <v>107</v>
      </c>
      <c r="T68" s="1" t="str">
        <f ca="1">IFERROR(__xludf.DUMMYFUNCTION("""COMPUTED_VALUE"""),"+7.16")</f>
        <v>+7.16</v>
      </c>
      <c r="U68" s="1">
        <f ca="1">IFERROR(__xludf.DUMMYFUNCTION("""COMPUTED_VALUE"""),26)</f>
        <v>26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IFERROR(__xludf.DUMMYFUNCTION("""COMPUTED_VALUE"""),"Indiana")</f>
        <v>Indiana</v>
      </c>
      <c r="C69" s="1" t="str">
        <f ca="1">IFERROR(__xludf.DUMMYFUNCTION("""COMPUTED_VALUE"""),"B10")</f>
        <v>B10</v>
      </c>
      <c r="D69" s="1" t="str">
        <f ca="1">IFERROR(__xludf.DUMMYFUNCTION("""COMPUTED_VALUE"""),"15-14")</f>
        <v>15-14</v>
      </c>
      <c r="E69" s="1" t="str">
        <f ca="1">IFERROR(__xludf.DUMMYFUNCTION("""COMPUTED_VALUE"""),"+11.00")</f>
        <v>+11.00</v>
      </c>
      <c r="F69" s="1">
        <f ca="1">IFERROR(__xludf.DUMMYFUNCTION("""COMPUTED_VALUE"""),109.2)</f>
        <v>109.2</v>
      </c>
      <c r="G69" s="1">
        <f ca="1">IFERROR(__xludf.DUMMYFUNCTION("""COMPUTED_VALUE"""),68)</f>
        <v>68</v>
      </c>
      <c r="H69" s="1">
        <f ca="1">IFERROR(__xludf.DUMMYFUNCTION("""COMPUTED_VALUE"""),98.2)</f>
        <v>98.2</v>
      </c>
      <c r="I69" s="1">
        <f ca="1">IFERROR(__xludf.DUMMYFUNCTION("""COMPUTED_VALUE"""),76)</f>
        <v>76</v>
      </c>
      <c r="J69" s="1">
        <f ca="1">IFERROR(__xludf.DUMMYFUNCTION("""COMPUTED_VALUE"""),61.7)</f>
        <v>61.7</v>
      </c>
      <c r="K69" s="1">
        <f ca="1">IFERROR(__xludf.DUMMYFUNCTION("""COMPUTED_VALUE"""),304)</f>
        <v>304</v>
      </c>
      <c r="L69" s="1" t="str">
        <f ca="1">IFERROR(__xludf.DUMMYFUNCTION("""COMPUTED_VALUE"""),"+.011")</f>
        <v>+.011</v>
      </c>
      <c r="M69" s="1">
        <f ca="1">IFERROR(__xludf.DUMMYFUNCTION("""COMPUTED_VALUE"""),134)</f>
        <v>134</v>
      </c>
      <c r="N69" s="1" t="str">
        <f ca="1">IFERROR(__xludf.DUMMYFUNCTION("""COMPUTED_VALUE"""),"+9.93")</f>
        <v>+9.93</v>
      </c>
      <c r="O69" s="1">
        <f ca="1">IFERROR(__xludf.DUMMYFUNCTION("""COMPUTED_VALUE"""),12)</f>
        <v>12</v>
      </c>
      <c r="P69" s="1">
        <f ca="1">IFERROR(__xludf.DUMMYFUNCTION("""COMPUTED_VALUE"""),107.2)</f>
        <v>107.2</v>
      </c>
      <c r="Q69" s="1">
        <f ca="1">IFERROR(__xludf.DUMMYFUNCTION("""COMPUTED_VALUE"""),35)</f>
        <v>35</v>
      </c>
      <c r="R69" s="1">
        <f ca="1">IFERROR(__xludf.DUMMYFUNCTION("""COMPUTED_VALUE"""),97.2)</f>
        <v>97.2</v>
      </c>
      <c r="S69" s="1">
        <f ca="1">IFERROR(__xludf.DUMMYFUNCTION("""COMPUTED_VALUE"""),2)</f>
        <v>2</v>
      </c>
      <c r="T69" s="1" t="str">
        <f ca="1">IFERROR(__xludf.DUMMYFUNCTION("""COMPUTED_VALUE"""),"+7.36")</f>
        <v>+7.36</v>
      </c>
      <c r="U69" s="1">
        <f ca="1">IFERROR(__xludf.DUMMYFUNCTION("""COMPUTED_VALUE"""),23)</f>
        <v>23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IFERROR(__xludf.DUMMYFUNCTION("""COMPUTED_VALUE"""),"Holy Cross")</f>
        <v>Holy Cross</v>
      </c>
      <c r="C70" s="1" t="str">
        <f ca="1">IFERROR(__xludf.DUMMYFUNCTION("""COMPUTED_VALUE"""),"Pat")</f>
        <v>Pat</v>
      </c>
      <c r="D70" s="1" t="str">
        <f ca="1">IFERROR(__xludf.DUMMYFUNCTION("""COMPUTED_VALUE"""),"25-7")</f>
        <v>25-7</v>
      </c>
      <c r="E70" s="1" t="str">
        <f ca="1">IFERROR(__xludf.DUMMYFUNCTION("""COMPUTED_VALUE"""),"+10.97")</f>
        <v>+10.97</v>
      </c>
      <c r="F70" s="1">
        <f ca="1">IFERROR(__xludf.DUMMYFUNCTION("""COMPUTED_VALUE"""),104.7)</f>
        <v>104.7</v>
      </c>
      <c r="G70" s="1">
        <f ca="1">IFERROR(__xludf.DUMMYFUNCTION("""COMPUTED_VALUE"""),131)</f>
        <v>131</v>
      </c>
      <c r="H70" s="1">
        <f ca="1">IFERROR(__xludf.DUMMYFUNCTION("""COMPUTED_VALUE"""),93.8)</f>
        <v>93.8</v>
      </c>
      <c r="I70" s="1">
        <f ca="1">IFERROR(__xludf.DUMMYFUNCTION("""COMPUTED_VALUE"""),22)</f>
        <v>22</v>
      </c>
      <c r="J70" s="1">
        <f ca="1">IFERROR(__xludf.DUMMYFUNCTION("""COMPUTED_VALUE"""),63.5)</f>
        <v>63.5</v>
      </c>
      <c r="K70" s="1">
        <f ca="1">IFERROR(__xludf.DUMMYFUNCTION("""COMPUTED_VALUE"""),268)</f>
        <v>268</v>
      </c>
      <c r="L70" s="1" t="str">
        <f ca="1">IFERROR(__xludf.DUMMYFUNCTION("""COMPUTED_VALUE"""),"+.012")</f>
        <v>+.012</v>
      </c>
      <c r="M70" s="1">
        <f ca="1">IFERROR(__xludf.DUMMYFUNCTION("""COMPUTED_VALUE"""),132)</f>
        <v>132</v>
      </c>
      <c r="N70" s="1">
        <f ca="1">IFERROR(__xludf.DUMMYFUNCTION("""COMPUTED_VALUE"""),-4.27)</f>
        <v>-4.2699999999999996</v>
      </c>
      <c r="O70" s="1">
        <f ca="1">IFERROR(__xludf.DUMMYFUNCTION("""COMPUTED_VALUE"""),247)</f>
        <v>247</v>
      </c>
      <c r="P70" s="1">
        <f ca="1">IFERROR(__xludf.DUMMYFUNCTION("""COMPUTED_VALUE"""),99.2)</f>
        <v>99.2</v>
      </c>
      <c r="Q70" s="1">
        <f ca="1">IFERROR(__xludf.DUMMYFUNCTION("""COMPUTED_VALUE"""),276)</f>
        <v>276</v>
      </c>
      <c r="R70" s="1">
        <f ca="1">IFERROR(__xludf.DUMMYFUNCTION("""COMPUTED_VALUE"""),103.4)</f>
        <v>103.4</v>
      </c>
      <c r="S70" s="1">
        <f ca="1">IFERROR(__xludf.DUMMYFUNCTION("""COMPUTED_VALUE"""),185)</f>
        <v>185</v>
      </c>
      <c r="T70" s="1" t="str">
        <f ca="1">IFERROR(__xludf.DUMMYFUNCTION("""COMPUTED_VALUE"""),"+0.39")</f>
        <v>+0.39</v>
      </c>
      <c r="U70" s="1">
        <f ca="1">IFERROR(__xludf.DUMMYFUNCTION("""COMPUTED_VALUE"""),154)</f>
        <v>154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IFERROR(__xludf.DUMMYFUNCTION("""COMPUTED_VALUE"""),"Miami FL")</f>
        <v>Miami FL</v>
      </c>
      <c r="C71" s="1" t="str">
        <f ca="1">IFERROR(__xludf.DUMMYFUNCTION("""COMPUTED_VALUE"""),"ACC")</f>
        <v>ACC</v>
      </c>
      <c r="D71" s="1" t="str">
        <f ca="1">IFERROR(__xludf.DUMMYFUNCTION("""COMPUTED_VALUE"""),"16-13")</f>
        <v>16-13</v>
      </c>
      <c r="E71" s="1" t="str">
        <f ca="1">IFERROR(__xludf.DUMMYFUNCTION("""COMPUTED_VALUE"""),"+10.83")</f>
        <v>+10.83</v>
      </c>
      <c r="F71" s="1">
        <f ca="1">IFERROR(__xludf.DUMMYFUNCTION("""COMPUTED_VALUE"""),111.4)</f>
        <v>111.4</v>
      </c>
      <c r="G71" s="1">
        <f ca="1">IFERROR(__xludf.DUMMYFUNCTION("""COMPUTED_VALUE"""),45)</f>
        <v>45</v>
      </c>
      <c r="H71" s="1">
        <f ca="1">IFERROR(__xludf.DUMMYFUNCTION("""COMPUTED_VALUE"""),100.5)</f>
        <v>100.5</v>
      </c>
      <c r="I71" s="1">
        <f ca="1">IFERROR(__xludf.DUMMYFUNCTION("""COMPUTED_VALUE"""),118)</f>
        <v>118</v>
      </c>
      <c r="J71" s="1">
        <f ca="1">IFERROR(__xludf.DUMMYFUNCTION("""COMPUTED_VALUE"""),64.4)</f>
        <v>64.400000000000006</v>
      </c>
      <c r="K71" s="1">
        <f ca="1">IFERROR(__xludf.DUMMYFUNCTION("""COMPUTED_VALUE"""),237)</f>
        <v>237</v>
      </c>
      <c r="L71" s="1">
        <f ca="1">IFERROR(__xludf.DUMMYFUNCTION("""COMPUTED_VALUE"""),-0.006)</f>
        <v>-6.0000000000000001E-3</v>
      </c>
      <c r="M71" s="1">
        <f ca="1">IFERROR(__xludf.DUMMYFUNCTION("""COMPUTED_VALUE"""),178)</f>
        <v>178</v>
      </c>
      <c r="N71" s="1" t="str">
        <f ca="1">IFERROR(__xludf.DUMMYFUNCTION("""COMPUTED_VALUE"""),"+7.50")</f>
        <v>+7.50</v>
      </c>
      <c r="O71" s="1">
        <f ca="1">IFERROR(__xludf.DUMMYFUNCTION("""COMPUTED_VALUE"""),35)</f>
        <v>35</v>
      </c>
      <c r="P71" s="1">
        <f ca="1">IFERROR(__xludf.DUMMYFUNCTION("""COMPUTED_VALUE"""),106.7)</f>
        <v>106.7</v>
      </c>
      <c r="Q71" s="1">
        <f ca="1">IFERROR(__xludf.DUMMYFUNCTION("""COMPUTED_VALUE"""),50)</f>
        <v>50</v>
      </c>
      <c r="R71" s="1">
        <f ca="1">IFERROR(__xludf.DUMMYFUNCTION("""COMPUTED_VALUE"""),99.2)</f>
        <v>99.2</v>
      </c>
      <c r="S71" s="1">
        <f ca="1">IFERROR(__xludf.DUMMYFUNCTION("""COMPUTED_VALUE"""),29)</f>
        <v>29</v>
      </c>
      <c r="T71" s="1">
        <f ca="1">IFERROR(__xludf.DUMMYFUNCTION("""COMPUTED_VALUE"""),-7.2)</f>
        <v>-7.2</v>
      </c>
      <c r="U71" s="1">
        <f ca="1">IFERROR(__xludf.DUMMYFUNCTION("""COMPUTED_VALUE"""),302)</f>
        <v>302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IFERROR(__xludf.DUMMYFUNCTION("""COMPUTED_VALUE"""),"UCLA11")</f>
        <v>UCLA11</v>
      </c>
      <c r="C72" s="1" t="str">
        <f ca="1">IFERROR(__xludf.DUMMYFUNCTION("""COMPUTED_VALUE"""),"P10")</f>
        <v>P10</v>
      </c>
      <c r="D72" s="1" t="str">
        <f ca="1">IFERROR(__xludf.DUMMYFUNCTION("""COMPUTED_VALUE"""),"18-11")</f>
        <v>18-11</v>
      </c>
      <c r="E72" s="1" t="str">
        <f ca="1">IFERROR(__xludf.DUMMYFUNCTION("""COMPUTED_VALUE"""),"+10.74")</f>
        <v>+10.74</v>
      </c>
      <c r="F72" s="1">
        <f ca="1">IFERROR(__xludf.DUMMYFUNCTION("""COMPUTED_VALUE"""),107.8)</f>
        <v>107.8</v>
      </c>
      <c r="G72" s="1">
        <f ca="1">IFERROR(__xludf.DUMMYFUNCTION("""COMPUTED_VALUE"""),80)</f>
        <v>80</v>
      </c>
      <c r="H72" s="1">
        <f ca="1">IFERROR(__xludf.DUMMYFUNCTION("""COMPUTED_VALUE"""),97.1)</f>
        <v>97.1</v>
      </c>
      <c r="I72" s="1">
        <f ca="1">IFERROR(__xludf.DUMMYFUNCTION("""COMPUTED_VALUE"""),58)</f>
        <v>58</v>
      </c>
      <c r="J72" s="1">
        <f ca="1">IFERROR(__xludf.DUMMYFUNCTION("""COMPUTED_VALUE"""),69.2)</f>
        <v>69.2</v>
      </c>
      <c r="K72" s="1">
        <f ca="1">IFERROR(__xludf.DUMMYFUNCTION("""COMPUTED_VALUE"""),49)</f>
        <v>49</v>
      </c>
      <c r="L72" s="1" t="str">
        <f ca="1">IFERROR(__xludf.DUMMYFUNCTION("""COMPUTED_VALUE"""),"+.036")</f>
        <v>+.036</v>
      </c>
      <c r="M72" s="1">
        <f ca="1">IFERROR(__xludf.DUMMYFUNCTION("""COMPUTED_VALUE"""),87)</f>
        <v>87</v>
      </c>
      <c r="N72" s="1" t="str">
        <f ca="1">IFERROR(__xludf.DUMMYFUNCTION("""COMPUTED_VALUE"""),"+6.73")</f>
        <v>+6.73</v>
      </c>
      <c r="O72" s="1">
        <f ca="1">IFERROR(__xludf.DUMMYFUNCTION("""COMPUTED_VALUE"""),48)</f>
        <v>48</v>
      </c>
      <c r="P72" s="1">
        <f ca="1">IFERROR(__xludf.DUMMYFUNCTION("""COMPUTED_VALUE"""),106.7)</f>
        <v>106.7</v>
      </c>
      <c r="Q72" s="1">
        <f ca="1">IFERROR(__xludf.DUMMYFUNCTION("""COMPUTED_VALUE"""),49)</f>
        <v>49</v>
      </c>
      <c r="R72" s="1">
        <f ca="1">IFERROR(__xludf.DUMMYFUNCTION("""COMPUTED_VALUE"""),100)</f>
        <v>100</v>
      </c>
      <c r="S72" s="1">
        <f ca="1">IFERROR(__xludf.DUMMYFUNCTION("""COMPUTED_VALUE"""),54)</f>
        <v>54</v>
      </c>
      <c r="T72" s="1">
        <f ca="1">IFERROR(__xludf.DUMMYFUNCTION("""COMPUTED_VALUE"""),-0.43)</f>
        <v>-0.43</v>
      </c>
      <c r="U72" s="1">
        <f ca="1">IFERROR(__xludf.DUMMYFUNCTION("""COMPUTED_VALUE"""),173)</f>
        <v>173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IFERROR(__xludf.DUMMYFUNCTION("""COMPUTED_VALUE"""),"Stanford8")</f>
        <v>Stanford8</v>
      </c>
      <c r="C73" s="1" t="str">
        <f ca="1">IFERROR(__xludf.DUMMYFUNCTION("""COMPUTED_VALUE"""),"P10")</f>
        <v>P10</v>
      </c>
      <c r="D73" s="1" t="str">
        <f ca="1">IFERROR(__xludf.DUMMYFUNCTION("""COMPUTED_VALUE"""),"18-13")</f>
        <v>18-13</v>
      </c>
      <c r="E73" s="1" t="str">
        <f ca="1">IFERROR(__xludf.DUMMYFUNCTION("""COMPUTED_VALUE"""),"+10.63")</f>
        <v>+10.63</v>
      </c>
      <c r="F73" s="1">
        <f ca="1">IFERROR(__xludf.DUMMYFUNCTION("""COMPUTED_VALUE"""),106.6)</f>
        <v>106.6</v>
      </c>
      <c r="G73" s="1">
        <f ca="1">IFERROR(__xludf.DUMMYFUNCTION("""COMPUTED_VALUE"""),103)</f>
        <v>103</v>
      </c>
      <c r="H73" s="1">
        <f ca="1">IFERROR(__xludf.DUMMYFUNCTION("""COMPUTED_VALUE"""),95.9)</f>
        <v>95.9</v>
      </c>
      <c r="I73" s="1">
        <f ca="1">IFERROR(__xludf.DUMMYFUNCTION("""COMPUTED_VALUE"""),45)</f>
        <v>45</v>
      </c>
      <c r="J73" s="1">
        <f ca="1">IFERROR(__xludf.DUMMYFUNCTION("""COMPUTED_VALUE"""),67.1)</f>
        <v>67.099999999999994</v>
      </c>
      <c r="K73" s="1">
        <f ca="1">IFERROR(__xludf.DUMMYFUNCTION("""COMPUTED_VALUE"""),121)</f>
        <v>121</v>
      </c>
      <c r="L73" s="1" t="str">
        <f ca="1">IFERROR(__xludf.DUMMYFUNCTION("""COMPUTED_VALUE"""),"+.049")</f>
        <v>+.049</v>
      </c>
      <c r="M73" s="1">
        <f ca="1">IFERROR(__xludf.DUMMYFUNCTION("""COMPUTED_VALUE"""),61)</f>
        <v>61</v>
      </c>
      <c r="N73" s="1" t="str">
        <f ca="1">IFERROR(__xludf.DUMMYFUNCTION("""COMPUTED_VALUE"""),"+8.47")</f>
        <v>+8.47</v>
      </c>
      <c r="O73" s="1">
        <f ca="1">IFERROR(__xludf.DUMMYFUNCTION("""COMPUTED_VALUE"""),27)</f>
        <v>27</v>
      </c>
      <c r="P73" s="1">
        <f ca="1">IFERROR(__xludf.DUMMYFUNCTION("""COMPUTED_VALUE"""),107.5)</f>
        <v>107.5</v>
      </c>
      <c r="Q73" s="1">
        <f ca="1">IFERROR(__xludf.DUMMYFUNCTION("""COMPUTED_VALUE"""),25)</f>
        <v>25</v>
      </c>
      <c r="R73" s="1">
        <f ca="1">IFERROR(__xludf.DUMMYFUNCTION("""COMPUTED_VALUE"""),99.1)</f>
        <v>99.1</v>
      </c>
      <c r="S73" s="1">
        <f ca="1">IFERROR(__xludf.DUMMYFUNCTION("""COMPUTED_VALUE"""),24)</f>
        <v>24</v>
      </c>
      <c r="T73" s="1" t="str">
        <f ca="1">IFERROR(__xludf.DUMMYFUNCTION("""COMPUTED_VALUE"""),"+4.14")</f>
        <v>+4.14</v>
      </c>
      <c r="U73" s="1">
        <f ca="1">IFERROR(__xludf.DUMMYFUNCTION("""COMPUTED_VALUE"""),67)</f>
        <v>67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IFERROR(__xludf.DUMMYFUNCTION("""COMPUTED_VALUE"""),"Arizona St.")</f>
        <v>Arizona St.</v>
      </c>
      <c r="C74" s="1" t="str">
        <f ca="1">IFERROR(__xludf.DUMMYFUNCTION("""COMPUTED_VALUE"""),"P10")</f>
        <v>P10</v>
      </c>
      <c r="D74" s="1" t="str">
        <f ca="1">IFERROR(__xludf.DUMMYFUNCTION("""COMPUTED_VALUE"""),"18-14")</f>
        <v>18-14</v>
      </c>
      <c r="E74" s="1" t="str">
        <f ca="1">IFERROR(__xludf.DUMMYFUNCTION("""COMPUTED_VALUE"""),"+10.32")</f>
        <v>+10.32</v>
      </c>
      <c r="F74" s="1">
        <f ca="1">IFERROR(__xludf.DUMMYFUNCTION("""COMPUTED_VALUE"""),111.1)</f>
        <v>111.1</v>
      </c>
      <c r="G74" s="1">
        <f ca="1">IFERROR(__xludf.DUMMYFUNCTION("""COMPUTED_VALUE"""),48)</f>
        <v>48</v>
      </c>
      <c r="H74" s="1">
        <f ca="1">IFERROR(__xludf.DUMMYFUNCTION("""COMPUTED_VALUE"""),100.8)</f>
        <v>100.8</v>
      </c>
      <c r="I74" s="1">
        <f ca="1">IFERROR(__xludf.DUMMYFUNCTION("""COMPUTED_VALUE"""),123)</f>
        <v>123</v>
      </c>
      <c r="J74" s="1">
        <f ca="1">IFERROR(__xludf.DUMMYFUNCTION("""COMPUTED_VALUE"""),68.6)</f>
        <v>68.599999999999994</v>
      </c>
      <c r="K74" s="1">
        <f ca="1">IFERROR(__xludf.DUMMYFUNCTION("""COMPUTED_VALUE"""),73)</f>
        <v>73</v>
      </c>
      <c r="L74" s="1">
        <f ca="1">IFERROR(__xludf.DUMMYFUNCTION("""COMPUTED_VALUE"""),-0.05)</f>
        <v>-0.05</v>
      </c>
      <c r="M74" s="1">
        <f ca="1">IFERROR(__xludf.DUMMYFUNCTION("""COMPUTED_VALUE"""),277)</f>
        <v>277</v>
      </c>
      <c r="N74" s="1" t="str">
        <f ca="1">IFERROR(__xludf.DUMMYFUNCTION("""COMPUTED_VALUE"""),"+5.16")</f>
        <v>+5.16</v>
      </c>
      <c r="O74" s="1">
        <f ca="1">IFERROR(__xludf.DUMMYFUNCTION("""COMPUTED_VALUE"""),76)</f>
        <v>76</v>
      </c>
      <c r="P74" s="1">
        <f ca="1">IFERROR(__xludf.DUMMYFUNCTION("""COMPUTED_VALUE"""),105.6)</f>
        <v>105.6</v>
      </c>
      <c r="Q74" s="1">
        <f ca="1">IFERROR(__xludf.DUMMYFUNCTION("""COMPUTED_VALUE"""),85)</f>
        <v>85</v>
      </c>
      <c r="R74" s="1">
        <f ca="1">IFERROR(__xludf.DUMMYFUNCTION("""COMPUTED_VALUE"""),100.5)</f>
        <v>100.5</v>
      </c>
      <c r="S74" s="1">
        <f ca="1">IFERROR(__xludf.DUMMYFUNCTION("""COMPUTED_VALUE"""),70)</f>
        <v>70</v>
      </c>
      <c r="T74" s="1">
        <f ca="1">IFERROR(__xludf.DUMMYFUNCTION("""COMPUTED_VALUE"""),-4.68)</f>
        <v>-4.68</v>
      </c>
      <c r="U74" s="1">
        <f ca="1">IFERROR(__xludf.DUMMYFUNCTION("""COMPUTED_VALUE"""),278)</f>
        <v>278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IFERROR(__xludf.DUMMYFUNCTION("""COMPUTED_VALUE"""),"Kansas St.")</f>
        <v>Kansas St.</v>
      </c>
      <c r="C75" s="1" t="str">
        <f ca="1">IFERROR(__xludf.DUMMYFUNCTION("""COMPUTED_VALUE"""),"B12")</f>
        <v>B12</v>
      </c>
      <c r="D75" s="1" t="str">
        <f ca="1">IFERROR(__xludf.DUMMYFUNCTION("""COMPUTED_VALUE"""),"17-12")</f>
        <v>17-12</v>
      </c>
      <c r="E75" s="1" t="str">
        <f ca="1">IFERROR(__xludf.DUMMYFUNCTION("""COMPUTED_VALUE"""),"+10.14")</f>
        <v>+10.14</v>
      </c>
      <c r="F75" s="1">
        <f ca="1">IFERROR(__xludf.DUMMYFUNCTION("""COMPUTED_VALUE"""),109.9)</f>
        <v>109.9</v>
      </c>
      <c r="G75" s="1">
        <f ca="1">IFERROR(__xludf.DUMMYFUNCTION("""COMPUTED_VALUE"""),54)</f>
        <v>54</v>
      </c>
      <c r="H75" s="1">
        <f ca="1">IFERROR(__xludf.DUMMYFUNCTION("""COMPUTED_VALUE"""),99.8)</f>
        <v>99.8</v>
      </c>
      <c r="I75" s="1">
        <f ca="1">IFERROR(__xludf.DUMMYFUNCTION("""COMPUTED_VALUE"""),99)</f>
        <v>99</v>
      </c>
      <c r="J75" s="1">
        <f ca="1">IFERROR(__xludf.DUMMYFUNCTION("""COMPUTED_VALUE"""),63.4)</f>
        <v>63.4</v>
      </c>
      <c r="K75" s="1">
        <f ca="1">IFERROR(__xludf.DUMMYFUNCTION("""COMPUTED_VALUE"""),275)</f>
        <v>275</v>
      </c>
      <c r="L75" s="1">
        <f ca="1">IFERROR(__xludf.DUMMYFUNCTION("""COMPUTED_VALUE"""),-0.012)</f>
        <v>-1.2E-2</v>
      </c>
      <c r="M75" s="1">
        <f ca="1">IFERROR(__xludf.DUMMYFUNCTION("""COMPUTED_VALUE"""),192)</f>
        <v>192</v>
      </c>
      <c r="N75" s="1" t="str">
        <f ca="1">IFERROR(__xludf.DUMMYFUNCTION("""COMPUTED_VALUE"""),"+6.41")</f>
        <v>+6.41</v>
      </c>
      <c r="O75" s="1">
        <f ca="1">IFERROR(__xludf.DUMMYFUNCTION("""COMPUTED_VALUE"""),58)</f>
        <v>58</v>
      </c>
      <c r="P75" s="1">
        <f ca="1">IFERROR(__xludf.DUMMYFUNCTION("""COMPUTED_VALUE"""),106.2)</f>
        <v>106.2</v>
      </c>
      <c r="Q75" s="1">
        <f ca="1">IFERROR(__xludf.DUMMYFUNCTION("""COMPUTED_VALUE"""),66)</f>
        <v>66</v>
      </c>
      <c r="R75" s="1">
        <f ca="1">IFERROR(__xludf.DUMMYFUNCTION("""COMPUTED_VALUE"""),99.8)</f>
        <v>99.8</v>
      </c>
      <c r="S75" s="1">
        <f ca="1">IFERROR(__xludf.DUMMYFUNCTION("""COMPUTED_VALUE"""),50)</f>
        <v>50</v>
      </c>
      <c r="T75" s="1">
        <f ca="1">IFERROR(__xludf.DUMMYFUNCTION("""COMPUTED_VALUE"""),-6.33)</f>
        <v>-6.33</v>
      </c>
      <c r="U75" s="1">
        <f ca="1">IFERROR(__xludf.DUMMYFUNCTION("""COMPUTED_VALUE"""),294)</f>
        <v>294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IFERROR(__xludf.DUMMYFUNCTION("""COMPUTED_VALUE"""),"Akron")</f>
        <v>Akron</v>
      </c>
      <c r="C76" s="1" t="str">
        <f ca="1">IFERROR(__xludf.DUMMYFUNCTION("""COMPUTED_VALUE"""),"MAC")</f>
        <v>MAC</v>
      </c>
      <c r="D76" s="1" t="str">
        <f ca="1">IFERROR(__xludf.DUMMYFUNCTION("""COMPUTED_VALUE"""),"19-10")</f>
        <v>19-10</v>
      </c>
      <c r="E76" s="1" t="str">
        <f ca="1">IFERROR(__xludf.DUMMYFUNCTION("""COMPUTED_VALUE"""),"+10.10")</f>
        <v>+10.10</v>
      </c>
      <c r="F76" s="1">
        <f ca="1">IFERROR(__xludf.DUMMYFUNCTION("""COMPUTED_VALUE"""),106)</f>
        <v>106</v>
      </c>
      <c r="G76" s="1">
        <f ca="1">IFERROR(__xludf.DUMMYFUNCTION("""COMPUTED_VALUE"""),111)</f>
        <v>111</v>
      </c>
      <c r="H76" s="1">
        <f ca="1">IFERROR(__xludf.DUMMYFUNCTION("""COMPUTED_VALUE"""),95.9)</f>
        <v>95.9</v>
      </c>
      <c r="I76" s="1">
        <f ca="1">IFERROR(__xludf.DUMMYFUNCTION("""COMPUTED_VALUE"""),44)</f>
        <v>44</v>
      </c>
      <c r="J76" s="1">
        <f ca="1">IFERROR(__xludf.DUMMYFUNCTION("""COMPUTED_VALUE"""),66.2)</f>
        <v>66.2</v>
      </c>
      <c r="K76" s="1">
        <f ca="1">IFERROR(__xludf.DUMMYFUNCTION("""COMPUTED_VALUE"""),162)</f>
        <v>162</v>
      </c>
      <c r="L76" s="1">
        <f ca="1">IFERROR(__xludf.DUMMYFUNCTION("""COMPUTED_VALUE"""),-0.014)</f>
        <v>-1.4E-2</v>
      </c>
      <c r="M76" s="1">
        <f ca="1">IFERROR(__xludf.DUMMYFUNCTION("""COMPUTED_VALUE"""),198)</f>
        <v>198</v>
      </c>
      <c r="N76" s="1" t="str">
        <f ca="1">IFERROR(__xludf.DUMMYFUNCTION("""COMPUTED_VALUE"""),"+2.55")</f>
        <v>+2.55</v>
      </c>
      <c r="O76" s="1">
        <f ca="1">IFERROR(__xludf.DUMMYFUNCTION("""COMPUTED_VALUE"""),117)</f>
        <v>117</v>
      </c>
      <c r="P76" s="1">
        <f ca="1">IFERROR(__xludf.DUMMYFUNCTION("""COMPUTED_VALUE"""),105.7)</f>
        <v>105.7</v>
      </c>
      <c r="Q76" s="1">
        <f ca="1">IFERROR(__xludf.DUMMYFUNCTION("""COMPUTED_VALUE"""),84)</f>
        <v>84</v>
      </c>
      <c r="R76" s="1">
        <f ca="1">IFERROR(__xludf.DUMMYFUNCTION("""COMPUTED_VALUE"""),103.2)</f>
        <v>103.2</v>
      </c>
      <c r="S76" s="1">
        <f ca="1">IFERROR(__xludf.DUMMYFUNCTION("""COMPUTED_VALUE"""),169)</f>
        <v>169</v>
      </c>
      <c r="T76" s="1">
        <f ca="1">IFERROR(__xludf.DUMMYFUNCTION("""COMPUTED_VALUE"""),-1.97)</f>
        <v>-1.97</v>
      </c>
      <c r="U76" s="1">
        <f ca="1">IFERROR(__xludf.DUMMYFUNCTION("""COMPUTED_VALUE"""),217)</f>
        <v>217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IFERROR(__xludf.DUMMYFUNCTION("""COMPUTED_VALUE"""),"Old Dominion12")</f>
        <v>Old Dominion12</v>
      </c>
      <c r="C77" s="1" t="str">
        <f ca="1">IFERROR(__xludf.DUMMYFUNCTION("""COMPUTED_VALUE"""),"CAA")</f>
        <v>CAA</v>
      </c>
      <c r="D77" s="1" t="str">
        <f ca="1">IFERROR(__xludf.DUMMYFUNCTION("""COMPUTED_VALUE"""),"28-6")</f>
        <v>28-6</v>
      </c>
      <c r="E77" s="1" t="str">
        <f ca="1">IFERROR(__xludf.DUMMYFUNCTION("""COMPUTED_VALUE"""),"+10.04")</f>
        <v>+10.04</v>
      </c>
      <c r="F77" s="1">
        <f ca="1">IFERROR(__xludf.DUMMYFUNCTION("""COMPUTED_VALUE"""),104.7)</f>
        <v>104.7</v>
      </c>
      <c r="G77" s="1">
        <f ca="1">IFERROR(__xludf.DUMMYFUNCTION("""COMPUTED_VALUE"""),132)</f>
        <v>132</v>
      </c>
      <c r="H77" s="1">
        <f ca="1">IFERROR(__xludf.DUMMYFUNCTION("""COMPUTED_VALUE"""),94.6)</f>
        <v>94.6</v>
      </c>
      <c r="I77" s="1">
        <f ca="1">IFERROR(__xludf.DUMMYFUNCTION("""COMPUTED_VALUE"""),31)</f>
        <v>31</v>
      </c>
      <c r="J77" s="1">
        <f ca="1">IFERROR(__xludf.DUMMYFUNCTION("""COMPUTED_VALUE"""),66.4)</f>
        <v>66.400000000000006</v>
      </c>
      <c r="K77" s="1">
        <f ca="1">IFERROR(__xludf.DUMMYFUNCTION("""COMPUTED_VALUE"""),151)</f>
        <v>151</v>
      </c>
      <c r="L77" s="1" t="str">
        <f ca="1">IFERROR(__xludf.DUMMYFUNCTION("""COMPUTED_VALUE"""),"+.049")</f>
        <v>+.049</v>
      </c>
      <c r="M77" s="1">
        <f ca="1">IFERROR(__xludf.DUMMYFUNCTION("""COMPUTED_VALUE"""),57)</f>
        <v>57</v>
      </c>
      <c r="N77" s="1">
        <f ca="1">IFERROR(__xludf.DUMMYFUNCTION("""COMPUTED_VALUE"""),-3.2)</f>
        <v>-3.2</v>
      </c>
      <c r="O77" s="1">
        <f ca="1">IFERROR(__xludf.DUMMYFUNCTION("""COMPUTED_VALUE"""),217)</f>
        <v>217</v>
      </c>
      <c r="P77" s="1">
        <f ca="1">IFERROR(__xludf.DUMMYFUNCTION("""COMPUTED_VALUE"""),101)</f>
        <v>101</v>
      </c>
      <c r="Q77" s="1">
        <f ca="1">IFERROR(__xludf.DUMMYFUNCTION("""COMPUTED_VALUE"""),225)</f>
        <v>225</v>
      </c>
      <c r="R77" s="1">
        <f ca="1">IFERROR(__xludf.DUMMYFUNCTION("""COMPUTED_VALUE"""),104.2)</f>
        <v>104.2</v>
      </c>
      <c r="S77" s="1">
        <f ca="1">IFERROR(__xludf.DUMMYFUNCTION("""COMPUTED_VALUE"""),215)</f>
        <v>215</v>
      </c>
      <c r="T77" s="1">
        <f ca="1">IFERROR(__xludf.DUMMYFUNCTION("""COMPUTED_VALUE"""),-3.98)</f>
        <v>-3.98</v>
      </c>
      <c r="U77" s="1">
        <f ca="1">IFERROR(__xludf.DUMMYFUNCTION("""COMPUTED_VALUE"""),257)</f>
        <v>257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IFERROR(__xludf.DUMMYFUNCTION("""COMPUTED_VALUE"""),"Louisiana Lafayette13")</f>
        <v>Louisiana Lafayette13</v>
      </c>
      <c r="C78" s="1" t="str">
        <f ca="1">IFERROR(__xludf.DUMMYFUNCTION("""COMPUTED_VALUE"""),"SB")</f>
        <v>SB</v>
      </c>
      <c r="D78" s="1" t="str">
        <f ca="1">IFERROR(__xludf.DUMMYFUNCTION("""COMPUTED_VALUE"""),"20-11")</f>
        <v>20-11</v>
      </c>
      <c r="E78" s="1" t="str">
        <f ca="1">IFERROR(__xludf.DUMMYFUNCTION("""COMPUTED_VALUE"""),"+9.91")</f>
        <v>+9.91</v>
      </c>
      <c r="F78" s="1">
        <f ca="1">IFERROR(__xludf.DUMMYFUNCTION("""COMPUTED_VALUE"""),107.1)</f>
        <v>107.1</v>
      </c>
      <c r="G78" s="1">
        <f ca="1">IFERROR(__xludf.DUMMYFUNCTION("""COMPUTED_VALUE"""),94)</f>
        <v>94</v>
      </c>
      <c r="H78" s="1">
        <f ca="1">IFERROR(__xludf.DUMMYFUNCTION("""COMPUTED_VALUE"""),97.2)</f>
        <v>97.2</v>
      </c>
      <c r="I78" s="1">
        <f ca="1">IFERROR(__xludf.DUMMYFUNCTION("""COMPUTED_VALUE"""),62)</f>
        <v>62</v>
      </c>
      <c r="J78" s="1">
        <f ca="1">IFERROR(__xludf.DUMMYFUNCTION("""COMPUTED_VALUE"""),67.6)</f>
        <v>67.599999999999994</v>
      </c>
      <c r="K78" s="1">
        <f ca="1">IFERROR(__xludf.DUMMYFUNCTION("""COMPUTED_VALUE"""),107)</f>
        <v>107</v>
      </c>
      <c r="L78" s="1" t="str">
        <f ca="1">IFERROR(__xludf.DUMMYFUNCTION("""COMPUTED_VALUE"""),"+.037")</f>
        <v>+.037</v>
      </c>
      <c r="M78" s="1">
        <f ca="1">IFERROR(__xludf.DUMMYFUNCTION("""COMPUTED_VALUE"""),83)</f>
        <v>83</v>
      </c>
      <c r="N78" s="1" t="str">
        <f ca="1">IFERROR(__xludf.DUMMYFUNCTION("""COMPUTED_VALUE"""),"+2.67")</f>
        <v>+2.67</v>
      </c>
      <c r="O78" s="1">
        <f ca="1">IFERROR(__xludf.DUMMYFUNCTION("""COMPUTED_VALUE"""),114)</f>
        <v>114</v>
      </c>
      <c r="P78" s="1">
        <f ca="1">IFERROR(__xludf.DUMMYFUNCTION("""COMPUTED_VALUE"""),104.8)</f>
        <v>104.8</v>
      </c>
      <c r="Q78" s="1">
        <f ca="1">IFERROR(__xludf.DUMMYFUNCTION("""COMPUTED_VALUE"""),115)</f>
        <v>115</v>
      </c>
      <c r="R78" s="1">
        <f ca="1">IFERROR(__xludf.DUMMYFUNCTION("""COMPUTED_VALUE"""),102.2)</f>
        <v>102.2</v>
      </c>
      <c r="S78" s="1">
        <f ca="1">IFERROR(__xludf.DUMMYFUNCTION("""COMPUTED_VALUE"""),122)</f>
        <v>122</v>
      </c>
      <c r="T78" s="1" t="str">
        <f ca="1">IFERROR(__xludf.DUMMYFUNCTION("""COMPUTED_VALUE"""),"+9.12")</f>
        <v>+9.12</v>
      </c>
      <c r="U78" s="1">
        <f ca="1">IFERROR(__xludf.DUMMYFUNCTION("""COMPUTED_VALUE"""),17)</f>
        <v>17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IFERROR(__xludf.DUMMYFUNCTION("""COMPUTED_VALUE"""),"Oral Roberts")</f>
        <v>Oral Roberts</v>
      </c>
      <c r="C79" s="1" t="str">
        <f ca="1">IFERROR(__xludf.DUMMYFUNCTION("""COMPUTED_VALUE"""),"MCon")</f>
        <v>MCon</v>
      </c>
      <c r="D79" s="1" t="str">
        <f ca="1">IFERROR(__xludf.DUMMYFUNCTION("""COMPUTED_VALUE"""),"25-8")</f>
        <v>25-8</v>
      </c>
      <c r="E79" s="1" t="str">
        <f ca="1">IFERROR(__xludf.DUMMYFUNCTION("""COMPUTED_VALUE"""),"+9.88")</f>
        <v>+9.88</v>
      </c>
      <c r="F79" s="1">
        <f ca="1">IFERROR(__xludf.DUMMYFUNCTION("""COMPUTED_VALUE"""),107)</f>
        <v>107</v>
      </c>
      <c r="G79" s="1">
        <f ca="1">IFERROR(__xludf.DUMMYFUNCTION("""COMPUTED_VALUE"""),96)</f>
        <v>96</v>
      </c>
      <c r="H79" s="1">
        <f ca="1">IFERROR(__xludf.DUMMYFUNCTION("""COMPUTED_VALUE"""),97.1)</f>
        <v>97.1</v>
      </c>
      <c r="I79" s="1">
        <f ca="1">IFERROR(__xludf.DUMMYFUNCTION("""COMPUTED_VALUE"""),59)</f>
        <v>59</v>
      </c>
      <c r="J79" s="1">
        <f ca="1">IFERROR(__xludf.DUMMYFUNCTION("""COMPUTED_VALUE"""),69.7)</f>
        <v>69.7</v>
      </c>
      <c r="K79" s="1">
        <f ca="1">IFERROR(__xludf.DUMMYFUNCTION("""COMPUTED_VALUE"""),42)</f>
        <v>42</v>
      </c>
      <c r="L79" s="1">
        <f ca="1">IFERROR(__xludf.DUMMYFUNCTION("""COMPUTED_VALUE"""),-0.013)</f>
        <v>-1.2999999999999999E-2</v>
      </c>
      <c r="M79" s="1">
        <f ca="1">IFERROR(__xludf.DUMMYFUNCTION("""COMPUTED_VALUE"""),196)</f>
        <v>196</v>
      </c>
      <c r="N79" s="1">
        <f ca="1">IFERROR(__xludf.DUMMYFUNCTION("""COMPUTED_VALUE"""),-2.52)</f>
        <v>-2.52</v>
      </c>
      <c r="O79" s="1">
        <f ca="1">IFERROR(__xludf.DUMMYFUNCTION("""COMPUTED_VALUE"""),202)</f>
        <v>202</v>
      </c>
      <c r="P79" s="1">
        <f ca="1">IFERROR(__xludf.DUMMYFUNCTION("""COMPUTED_VALUE"""),103.4)</f>
        <v>103.4</v>
      </c>
      <c r="Q79" s="1">
        <f ca="1">IFERROR(__xludf.DUMMYFUNCTION("""COMPUTED_VALUE"""),153)</f>
        <v>153</v>
      </c>
      <c r="R79" s="1">
        <f ca="1">IFERROR(__xludf.DUMMYFUNCTION("""COMPUTED_VALUE"""),105.9)</f>
        <v>105.9</v>
      </c>
      <c r="S79" s="1">
        <f ca="1">IFERROR(__xludf.DUMMYFUNCTION("""COMPUTED_VALUE"""),283)</f>
        <v>283</v>
      </c>
      <c r="T79" s="1" t="str">
        <f ca="1">IFERROR(__xludf.DUMMYFUNCTION("""COMPUTED_VALUE"""),"+2.65")</f>
        <v>+2.65</v>
      </c>
      <c r="U79" s="1">
        <f ca="1">IFERROR(__xludf.DUMMYFUNCTION("""COMPUTED_VALUE"""),91)</f>
        <v>91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IFERROR(__xludf.DUMMYFUNCTION("""COMPUTED_VALUE"""),"Buffalo")</f>
        <v>Buffalo</v>
      </c>
      <c r="C80" s="1" t="str">
        <f ca="1">IFERROR(__xludf.DUMMYFUNCTION("""COMPUTED_VALUE"""),"MAC")</f>
        <v>MAC</v>
      </c>
      <c r="D80" s="1" t="str">
        <f ca="1">IFERROR(__xludf.DUMMYFUNCTION("""COMPUTED_VALUE"""),"23-10")</f>
        <v>23-10</v>
      </c>
      <c r="E80" s="1" t="str">
        <f ca="1">IFERROR(__xludf.DUMMYFUNCTION("""COMPUTED_VALUE"""),"+9.87")</f>
        <v>+9.87</v>
      </c>
      <c r="F80" s="1">
        <f ca="1">IFERROR(__xludf.DUMMYFUNCTION("""COMPUTED_VALUE"""),107.4)</f>
        <v>107.4</v>
      </c>
      <c r="G80" s="1">
        <f ca="1">IFERROR(__xludf.DUMMYFUNCTION("""COMPUTED_VALUE"""),87)</f>
        <v>87</v>
      </c>
      <c r="H80" s="1">
        <f ca="1">IFERROR(__xludf.DUMMYFUNCTION("""COMPUTED_VALUE"""),97.5)</f>
        <v>97.5</v>
      </c>
      <c r="I80" s="1">
        <f ca="1">IFERROR(__xludf.DUMMYFUNCTION("""COMPUTED_VALUE"""),68)</f>
        <v>68</v>
      </c>
      <c r="J80" s="1">
        <f ca="1">IFERROR(__xludf.DUMMYFUNCTION("""COMPUTED_VALUE"""),68.6)</f>
        <v>68.599999999999994</v>
      </c>
      <c r="K80" s="1">
        <f ca="1">IFERROR(__xludf.DUMMYFUNCTION("""COMPUTED_VALUE"""),72)</f>
        <v>72</v>
      </c>
      <c r="L80" s="1" t="str">
        <f ca="1">IFERROR(__xludf.DUMMYFUNCTION("""COMPUTED_VALUE"""),"+.056")</f>
        <v>+.056</v>
      </c>
      <c r="M80" s="1">
        <f ca="1">IFERROR(__xludf.DUMMYFUNCTION("""COMPUTED_VALUE"""),50)</f>
        <v>50</v>
      </c>
      <c r="N80" s="1" t="str">
        <f ca="1">IFERROR(__xludf.DUMMYFUNCTION("""COMPUTED_VALUE"""),"+3.27")</f>
        <v>+3.27</v>
      </c>
      <c r="O80" s="1">
        <f ca="1">IFERROR(__xludf.DUMMYFUNCTION("""COMPUTED_VALUE"""),104)</f>
        <v>104</v>
      </c>
      <c r="P80" s="1">
        <f ca="1">IFERROR(__xludf.DUMMYFUNCTION("""COMPUTED_VALUE"""),105.5)</f>
        <v>105.5</v>
      </c>
      <c r="Q80" s="1">
        <f ca="1">IFERROR(__xludf.DUMMYFUNCTION("""COMPUTED_VALUE"""),89)</f>
        <v>89</v>
      </c>
      <c r="R80" s="1">
        <f ca="1">IFERROR(__xludf.DUMMYFUNCTION("""COMPUTED_VALUE"""),102.2)</f>
        <v>102.2</v>
      </c>
      <c r="S80" s="1">
        <f ca="1">IFERROR(__xludf.DUMMYFUNCTION("""COMPUTED_VALUE"""),126)</f>
        <v>126</v>
      </c>
      <c r="T80" s="1">
        <f ca="1">IFERROR(__xludf.DUMMYFUNCTION("""COMPUTED_VALUE"""),-2.24)</f>
        <v>-2.2400000000000002</v>
      </c>
      <c r="U80" s="1">
        <f ca="1">IFERROR(__xludf.DUMMYFUNCTION("""COMPUTED_VALUE"""),222)</f>
        <v>222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IFERROR(__xludf.DUMMYFUNCTION("""COMPUTED_VALUE"""),"Penn13")</f>
        <v>Penn13</v>
      </c>
      <c r="C81" s="1" t="str">
        <f ca="1">IFERROR(__xludf.DUMMYFUNCTION("""COMPUTED_VALUE"""),"Ivy")</f>
        <v>Ivy</v>
      </c>
      <c r="D81" s="1" t="str">
        <f ca="1">IFERROR(__xludf.DUMMYFUNCTION("""COMPUTED_VALUE"""),"20-9")</f>
        <v>20-9</v>
      </c>
      <c r="E81" s="1" t="str">
        <f ca="1">IFERROR(__xludf.DUMMYFUNCTION("""COMPUTED_VALUE"""),"+9.60")</f>
        <v>+9.60</v>
      </c>
      <c r="F81" s="1">
        <f ca="1">IFERROR(__xludf.DUMMYFUNCTION("""COMPUTED_VALUE"""),102.1)</f>
        <v>102.1</v>
      </c>
      <c r="G81" s="1">
        <f ca="1">IFERROR(__xludf.DUMMYFUNCTION("""COMPUTED_VALUE"""),181)</f>
        <v>181</v>
      </c>
      <c r="H81" s="1">
        <f ca="1">IFERROR(__xludf.DUMMYFUNCTION("""COMPUTED_VALUE"""),92.5)</f>
        <v>92.5</v>
      </c>
      <c r="I81" s="1">
        <f ca="1">IFERROR(__xludf.DUMMYFUNCTION("""COMPUTED_VALUE"""),17)</f>
        <v>17</v>
      </c>
      <c r="J81" s="1">
        <f ca="1">IFERROR(__xludf.DUMMYFUNCTION("""COMPUTED_VALUE"""),68.2)</f>
        <v>68.2</v>
      </c>
      <c r="K81" s="1">
        <f ca="1">IFERROR(__xludf.DUMMYFUNCTION("""COMPUTED_VALUE"""),83)</f>
        <v>83</v>
      </c>
      <c r="L81" s="1" t="str">
        <f ca="1">IFERROR(__xludf.DUMMYFUNCTION("""COMPUTED_VALUE"""),"+.034")</f>
        <v>+.034</v>
      </c>
      <c r="M81" s="1">
        <f ca="1">IFERROR(__xludf.DUMMYFUNCTION("""COMPUTED_VALUE"""),91)</f>
        <v>91</v>
      </c>
      <c r="N81" s="1">
        <f ca="1">IFERROR(__xludf.DUMMYFUNCTION("""COMPUTED_VALUE"""),-1.72)</f>
        <v>-1.72</v>
      </c>
      <c r="O81" s="1">
        <f ca="1">IFERROR(__xludf.DUMMYFUNCTION("""COMPUTED_VALUE"""),187)</f>
        <v>187</v>
      </c>
      <c r="P81" s="1">
        <f ca="1">IFERROR(__xludf.DUMMYFUNCTION("""COMPUTED_VALUE"""),101.8)</f>
        <v>101.8</v>
      </c>
      <c r="Q81" s="1">
        <f ca="1">IFERROR(__xludf.DUMMYFUNCTION("""COMPUTED_VALUE"""),199)</f>
        <v>199</v>
      </c>
      <c r="R81" s="1">
        <f ca="1">IFERROR(__xludf.DUMMYFUNCTION("""COMPUTED_VALUE"""),103.5)</f>
        <v>103.5</v>
      </c>
      <c r="S81" s="1">
        <f ca="1">IFERROR(__xludf.DUMMYFUNCTION("""COMPUTED_VALUE"""),188)</f>
        <v>188</v>
      </c>
      <c r="T81" s="1" t="str">
        <f ca="1">IFERROR(__xludf.DUMMYFUNCTION("""COMPUTED_VALUE"""),"+3.31")</f>
        <v>+3.31</v>
      </c>
      <c r="U81" s="1">
        <f ca="1">IFERROR(__xludf.DUMMYFUNCTION("""COMPUTED_VALUE"""),81)</f>
        <v>81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IFERROR(__xludf.DUMMYFUNCTION("""COMPUTED_VALUE"""),"Saint Mary's10")</f>
        <v>Saint Mary's10</v>
      </c>
      <c r="C82" s="1" t="str">
        <f ca="1">IFERROR(__xludf.DUMMYFUNCTION("""COMPUTED_VALUE"""),"WCC")</f>
        <v>WCC</v>
      </c>
      <c r="D82" s="1" t="str">
        <f ca="1">IFERROR(__xludf.DUMMYFUNCTION("""COMPUTED_VALUE"""),"25-9")</f>
        <v>25-9</v>
      </c>
      <c r="E82" s="1" t="str">
        <f ca="1">IFERROR(__xludf.DUMMYFUNCTION("""COMPUTED_VALUE"""),"+9.41")</f>
        <v>+9.41</v>
      </c>
      <c r="F82" s="1">
        <f ca="1">IFERROR(__xludf.DUMMYFUNCTION("""COMPUTED_VALUE"""),106.8)</f>
        <v>106.8</v>
      </c>
      <c r="G82" s="1">
        <f ca="1">IFERROR(__xludf.DUMMYFUNCTION("""COMPUTED_VALUE"""),100)</f>
        <v>100</v>
      </c>
      <c r="H82" s="1">
        <f ca="1">IFERROR(__xludf.DUMMYFUNCTION("""COMPUTED_VALUE"""),97.4)</f>
        <v>97.4</v>
      </c>
      <c r="I82" s="1">
        <f ca="1">IFERROR(__xludf.DUMMYFUNCTION("""COMPUTED_VALUE"""),64)</f>
        <v>64</v>
      </c>
      <c r="J82" s="1">
        <f ca="1">IFERROR(__xludf.DUMMYFUNCTION("""COMPUTED_VALUE"""),64.9)</f>
        <v>64.900000000000006</v>
      </c>
      <c r="K82" s="1">
        <f ca="1">IFERROR(__xludf.DUMMYFUNCTION("""COMPUTED_VALUE"""),220)</f>
        <v>220</v>
      </c>
      <c r="L82" s="1" t="str">
        <f ca="1">IFERROR(__xludf.DUMMYFUNCTION("""COMPUTED_VALUE"""),"+.080")</f>
        <v>+.080</v>
      </c>
      <c r="M82" s="1">
        <f ca="1">IFERROR(__xludf.DUMMYFUNCTION("""COMPUTED_VALUE"""),20)</f>
        <v>20</v>
      </c>
      <c r="N82" s="1" t="str">
        <f ca="1">IFERROR(__xludf.DUMMYFUNCTION("""COMPUTED_VALUE"""),"+3.04")</f>
        <v>+3.04</v>
      </c>
      <c r="O82" s="1">
        <f ca="1">IFERROR(__xludf.DUMMYFUNCTION("""COMPUTED_VALUE"""),110)</f>
        <v>110</v>
      </c>
      <c r="P82" s="1">
        <f ca="1">IFERROR(__xludf.DUMMYFUNCTION("""COMPUTED_VALUE"""),105.2)</f>
        <v>105.2</v>
      </c>
      <c r="Q82" s="1">
        <f ca="1">IFERROR(__xludf.DUMMYFUNCTION("""COMPUTED_VALUE"""),98)</f>
        <v>98</v>
      </c>
      <c r="R82" s="1">
        <f ca="1">IFERROR(__xludf.DUMMYFUNCTION("""COMPUTED_VALUE"""),102.2)</f>
        <v>102.2</v>
      </c>
      <c r="S82" s="1">
        <f ca="1">IFERROR(__xludf.DUMMYFUNCTION("""COMPUTED_VALUE"""),120)</f>
        <v>120</v>
      </c>
      <c r="T82" s="1">
        <f ca="1">IFERROR(__xludf.DUMMYFUNCTION("""COMPUTED_VALUE"""),-0.59)</f>
        <v>-0.59</v>
      </c>
      <c r="U82" s="1">
        <f ca="1">IFERROR(__xludf.DUMMYFUNCTION("""COMPUTED_VALUE"""),175)</f>
        <v>175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IFERROR(__xludf.DUMMYFUNCTION("""COMPUTED_VALUE"""),"Washington St.")</f>
        <v>Washington St.</v>
      </c>
      <c r="C83" s="1" t="str">
        <f ca="1">IFERROR(__xludf.DUMMYFUNCTION("""COMPUTED_VALUE"""),"P10")</f>
        <v>P10</v>
      </c>
      <c r="D83" s="2">
        <f ca="1">IFERROR(__xludf.DUMMYFUNCTION("""COMPUTED_VALUE"""),44911)</f>
        <v>44911</v>
      </c>
      <c r="E83" s="1" t="str">
        <f ca="1">IFERROR(__xludf.DUMMYFUNCTION("""COMPUTED_VALUE"""),"+9.14")</f>
        <v>+9.14</v>
      </c>
      <c r="F83" s="1">
        <f ca="1">IFERROR(__xludf.DUMMYFUNCTION("""COMPUTED_VALUE"""),96)</f>
        <v>96</v>
      </c>
      <c r="G83" s="1">
        <f ca="1">IFERROR(__xludf.DUMMYFUNCTION("""COMPUTED_VALUE"""),264)</f>
        <v>264</v>
      </c>
      <c r="H83" s="1">
        <f ca="1">IFERROR(__xludf.DUMMYFUNCTION("""COMPUTED_VALUE"""),86.9)</f>
        <v>86.9</v>
      </c>
      <c r="I83" s="1">
        <f ca="1">IFERROR(__xludf.DUMMYFUNCTION("""COMPUTED_VALUE"""),1)</f>
        <v>1</v>
      </c>
      <c r="J83" s="1">
        <f ca="1">IFERROR(__xludf.DUMMYFUNCTION("""COMPUTED_VALUE"""),57.8)</f>
        <v>57.8</v>
      </c>
      <c r="K83" s="1">
        <f ca="1">IFERROR(__xludf.DUMMYFUNCTION("""COMPUTED_VALUE"""),327)</f>
        <v>327</v>
      </c>
      <c r="L83" s="1">
        <f ca="1">IFERROR(__xludf.DUMMYFUNCTION("""COMPUTED_VALUE"""),-0.048)</f>
        <v>-4.8000000000000001E-2</v>
      </c>
      <c r="M83" s="1">
        <f ca="1">IFERROR(__xludf.DUMMYFUNCTION("""COMPUTED_VALUE"""),271)</f>
        <v>271</v>
      </c>
      <c r="N83" s="1" t="str">
        <f ca="1">IFERROR(__xludf.DUMMYFUNCTION("""COMPUTED_VALUE"""),"+8.67")</f>
        <v>+8.67</v>
      </c>
      <c r="O83" s="1">
        <f ca="1">IFERROR(__xludf.DUMMYFUNCTION("""COMPUTED_VALUE"""),22)</f>
        <v>22</v>
      </c>
      <c r="P83" s="1">
        <f ca="1">IFERROR(__xludf.DUMMYFUNCTION("""COMPUTED_VALUE"""),108.5)</f>
        <v>108.5</v>
      </c>
      <c r="Q83" s="1">
        <f ca="1">IFERROR(__xludf.DUMMYFUNCTION("""COMPUTED_VALUE"""),11)</f>
        <v>11</v>
      </c>
      <c r="R83" s="1">
        <f ca="1">IFERROR(__xludf.DUMMYFUNCTION("""COMPUTED_VALUE"""),99.8)</f>
        <v>99.8</v>
      </c>
      <c r="S83" s="1">
        <f ca="1">IFERROR(__xludf.DUMMYFUNCTION("""COMPUTED_VALUE"""),49)</f>
        <v>49</v>
      </c>
      <c r="T83" s="1" t="str">
        <f ca="1">IFERROR(__xludf.DUMMYFUNCTION("""COMPUTED_VALUE"""),"+5.63")</f>
        <v>+5.63</v>
      </c>
      <c r="U83" s="1">
        <f ca="1">IFERROR(__xludf.DUMMYFUNCTION("""COMPUTED_VALUE"""),44)</f>
        <v>44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IFERROR(__xludf.DUMMYFUNCTION("""COMPUTED_VALUE"""),"Nebraska")</f>
        <v>Nebraska</v>
      </c>
      <c r="C84" s="1" t="str">
        <f ca="1">IFERROR(__xludf.DUMMYFUNCTION("""COMPUTED_VALUE"""),"B12")</f>
        <v>B12</v>
      </c>
      <c r="D84" s="1" t="str">
        <f ca="1">IFERROR(__xludf.DUMMYFUNCTION("""COMPUTED_VALUE"""),"14-14")</f>
        <v>14-14</v>
      </c>
      <c r="E84" s="1" t="str">
        <f ca="1">IFERROR(__xludf.DUMMYFUNCTION("""COMPUTED_VALUE"""),"+9.13")</f>
        <v>+9.13</v>
      </c>
      <c r="F84" s="1">
        <f ca="1">IFERROR(__xludf.DUMMYFUNCTION("""COMPUTED_VALUE"""),105.2)</f>
        <v>105.2</v>
      </c>
      <c r="G84" s="1">
        <f ca="1">IFERROR(__xludf.DUMMYFUNCTION("""COMPUTED_VALUE"""),122)</f>
        <v>122</v>
      </c>
      <c r="H84" s="1">
        <f ca="1">IFERROR(__xludf.DUMMYFUNCTION("""COMPUTED_VALUE"""),96.1)</f>
        <v>96.1</v>
      </c>
      <c r="I84" s="1">
        <f ca="1">IFERROR(__xludf.DUMMYFUNCTION("""COMPUTED_VALUE"""),48)</f>
        <v>48</v>
      </c>
      <c r="J84" s="1">
        <f ca="1">IFERROR(__xludf.DUMMYFUNCTION("""COMPUTED_VALUE"""),64.9)</f>
        <v>64.900000000000006</v>
      </c>
      <c r="K84" s="1">
        <f ca="1">IFERROR(__xludf.DUMMYFUNCTION("""COMPUTED_VALUE"""),218)</f>
        <v>218</v>
      </c>
      <c r="L84" s="1">
        <f ca="1">IFERROR(__xludf.DUMMYFUNCTION("""COMPUTED_VALUE"""),-0.082)</f>
        <v>-8.2000000000000003E-2</v>
      </c>
      <c r="M84" s="1">
        <f ca="1">IFERROR(__xludf.DUMMYFUNCTION("""COMPUTED_VALUE"""),313)</f>
        <v>313</v>
      </c>
      <c r="N84" s="1" t="str">
        <f ca="1">IFERROR(__xludf.DUMMYFUNCTION("""COMPUTED_VALUE"""),"+5.73")</f>
        <v>+5.73</v>
      </c>
      <c r="O84" s="1">
        <f ca="1">IFERROR(__xludf.DUMMYFUNCTION("""COMPUTED_VALUE"""),67)</f>
        <v>67</v>
      </c>
      <c r="P84" s="1">
        <f ca="1">IFERROR(__xludf.DUMMYFUNCTION("""COMPUTED_VALUE"""),105.5)</f>
        <v>105.5</v>
      </c>
      <c r="Q84" s="1">
        <f ca="1">IFERROR(__xludf.DUMMYFUNCTION("""COMPUTED_VALUE"""),91)</f>
        <v>91</v>
      </c>
      <c r="R84" s="1">
        <f ca="1">IFERROR(__xludf.DUMMYFUNCTION("""COMPUTED_VALUE"""),99.7)</f>
        <v>99.7</v>
      </c>
      <c r="S84" s="1">
        <f ca="1">IFERROR(__xludf.DUMMYFUNCTION("""COMPUTED_VALUE"""),45)</f>
        <v>45</v>
      </c>
      <c r="T84" s="1">
        <f ca="1">IFERROR(__xludf.DUMMYFUNCTION("""COMPUTED_VALUE"""),-6.91)</f>
        <v>-6.91</v>
      </c>
      <c r="U84" s="1">
        <f ca="1">IFERROR(__xludf.DUMMYFUNCTION("""COMPUTED_VALUE"""),298)</f>
        <v>298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IFERROR(__xludf.DUMMYFUNCTION("""COMPUTED_VALUE"""),"Xavier")</f>
        <v>Xavier</v>
      </c>
      <c r="C87" s="1" t="str">
        <f ca="1">IFERROR(__xludf.DUMMYFUNCTION("""COMPUTED_VALUE"""),"A10")</f>
        <v>A10</v>
      </c>
      <c r="D87" s="1" t="str">
        <f ca="1">IFERROR(__xludf.DUMMYFUNCTION("""COMPUTED_VALUE"""),"17-12")</f>
        <v>17-12</v>
      </c>
      <c r="E87" s="1" t="str">
        <f ca="1">IFERROR(__xludf.DUMMYFUNCTION("""COMPUTED_VALUE"""),"+9.05")</f>
        <v>+9.05</v>
      </c>
      <c r="F87" s="1">
        <f ca="1">IFERROR(__xludf.DUMMYFUNCTION("""COMPUTED_VALUE"""),111.5)</f>
        <v>111.5</v>
      </c>
      <c r="G87" s="1">
        <f ca="1">IFERROR(__xludf.DUMMYFUNCTION("""COMPUTED_VALUE"""),44)</f>
        <v>44</v>
      </c>
      <c r="H87" s="1">
        <f ca="1">IFERROR(__xludf.DUMMYFUNCTION("""COMPUTED_VALUE"""),102.4)</f>
        <v>102.4</v>
      </c>
      <c r="I87" s="1">
        <f ca="1">IFERROR(__xludf.DUMMYFUNCTION("""COMPUTED_VALUE"""),158)</f>
        <v>158</v>
      </c>
      <c r="J87" s="1">
        <f ca="1">IFERROR(__xludf.DUMMYFUNCTION("""COMPUTED_VALUE"""),63.1)</f>
        <v>63.1</v>
      </c>
      <c r="K87" s="1">
        <f ca="1">IFERROR(__xludf.DUMMYFUNCTION("""COMPUTED_VALUE"""),284)</f>
        <v>284</v>
      </c>
      <c r="L87" s="1">
        <f ca="1">IFERROR(__xludf.DUMMYFUNCTION("""COMPUTED_VALUE"""),-0.087)</f>
        <v>-8.6999999999999994E-2</v>
      </c>
      <c r="M87" s="1">
        <f ca="1">IFERROR(__xludf.DUMMYFUNCTION("""COMPUTED_VALUE"""),316)</f>
        <v>316</v>
      </c>
      <c r="N87" s="1" t="str">
        <f ca="1">IFERROR(__xludf.DUMMYFUNCTION("""COMPUTED_VALUE"""),"+0.76")</f>
        <v>+0.76</v>
      </c>
      <c r="O87" s="1">
        <f ca="1">IFERROR(__xludf.DUMMYFUNCTION("""COMPUTED_VALUE"""),144)</f>
        <v>144</v>
      </c>
      <c r="P87" s="1">
        <f ca="1">IFERROR(__xludf.DUMMYFUNCTION("""COMPUTED_VALUE"""),103.1)</f>
        <v>103.1</v>
      </c>
      <c r="Q87" s="1">
        <f ca="1">IFERROR(__xludf.DUMMYFUNCTION("""COMPUTED_VALUE"""),162)</f>
        <v>162</v>
      </c>
      <c r="R87" s="1">
        <f ca="1">IFERROR(__xludf.DUMMYFUNCTION("""COMPUTED_VALUE"""),102.3)</f>
        <v>102.3</v>
      </c>
      <c r="S87" s="1">
        <f ca="1">IFERROR(__xludf.DUMMYFUNCTION("""COMPUTED_VALUE"""),131)</f>
        <v>131</v>
      </c>
      <c r="T87" s="1" t="str">
        <f ca="1">IFERROR(__xludf.DUMMYFUNCTION("""COMPUTED_VALUE"""),"+3.06")</f>
        <v>+3.06</v>
      </c>
      <c r="U87" s="1">
        <f ca="1">IFERROR(__xludf.DUMMYFUNCTION("""COMPUTED_VALUE"""),87)</f>
        <v>87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IFERROR(__xludf.DUMMYFUNCTION("""COMPUTED_VALUE"""),"Tennessee")</f>
        <v>Tennessee</v>
      </c>
      <c r="C88" s="1" t="str">
        <f ca="1">IFERROR(__xludf.DUMMYFUNCTION("""COMPUTED_VALUE"""),"SEC")</f>
        <v>SEC</v>
      </c>
      <c r="D88" s="1" t="str">
        <f ca="1">IFERROR(__xludf.DUMMYFUNCTION("""COMPUTED_VALUE"""),"14-17")</f>
        <v>14-17</v>
      </c>
      <c r="E88" s="1" t="str">
        <f ca="1">IFERROR(__xludf.DUMMYFUNCTION("""COMPUTED_VALUE"""),"+8.89")</f>
        <v>+8.89</v>
      </c>
      <c r="F88" s="1">
        <f ca="1">IFERROR(__xludf.DUMMYFUNCTION("""COMPUTED_VALUE"""),110)</f>
        <v>110</v>
      </c>
      <c r="G88" s="1">
        <f ca="1">IFERROR(__xludf.DUMMYFUNCTION("""COMPUTED_VALUE"""),53)</f>
        <v>53</v>
      </c>
      <c r="H88" s="1">
        <f ca="1">IFERROR(__xludf.DUMMYFUNCTION("""COMPUTED_VALUE"""),101.1)</f>
        <v>101.1</v>
      </c>
      <c r="I88" s="1">
        <f ca="1">IFERROR(__xludf.DUMMYFUNCTION("""COMPUTED_VALUE"""),131)</f>
        <v>131</v>
      </c>
      <c r="J88" s="1">
        <f ca="1">IFERROR(__xludf.DUMMYFUNCTION("""COMPUTED_VALUE"""),65)</f>
        <v>65</v>
      </c>
      <c r="K88" s="1">
        <f ca="1">IFERROR(__xludf.DUMMYFUNCTION("""COMPUTED_VALUE"""),212)</f>
        <v>212</v>
      </c>
      <c r="L88" s="1">
        <f ca="1">IFERROR(__xludf.DUMMYFUNCTION("""COMPUTED_VALUE"""),-0.052)</f>
        <v>-5.1999999999999998E-2</v>
      </c>
      <c r="M88" s="1">
        <f ca="1">IFERROR(__xludf.DUMMYFUNCTION("""COMPUTED_VALUE"""),281)</f>
        <v>281</v>
      </c>
      <c r="N88" s="1" t="str">
        <f ca="1">IFERROR(__xludf.DUMMYFUNCTION("""COMPUTED_VALUE"""),"+8.95")</f>
        <v>+8.95</v>
      </c>
      <c r="O88" s="1">
        <f ca="1">IFERROR(__xludf.DUMMYFUNCTION("""COMPUTED_VALUE"""),19)</f>
        <v>19</v>
      </c>
      <c r="P88" s="1">
        <f ca="1">IFERROR(__xludf.DUMMYFUNCTION("""COMPUTED_VALUE"""),107.2)</f>
        <v>107.2</v>
      </c>
      <c r="Q88" s="1">
        <f ca="1">IFERROR(__xludf.DUMMYFUNCTION("""COMPUTED_VALUE"""),34)</f>
        <v>34</v>
      </c>
      <c r="R88" s="1">
        <f ca="1">IFERROR(__xludf.DUMMYFUNCTION("""COMPUTED_VALUE"""),98.2)</f>
        <v>98.2</v>
      </c>
      <c r="S88" s="1">
        <f ca="1">IFERROR(__xludf.DUMMYFUNCTION("""COMPUTED_VALUE"""),11)</f>
        <v>11</v>
      </c>
      <c r="T88" s="1" t="str">
        <f ca="1">IFERROR(__xludf.DUMMYFUNCTION("""COMPUTED_VALUE"""),"+0.41")</f>
        <v>+0.41</v>
      </c>
      <c r="U88" s="1">
        <f ca="1">IFERROR(__xludf.DUMMYFUNCTION("""COMPUTED_VALUE"""),153)</f>
        <v>153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IFERROR(__xludf.DUMMYFUNCTION("""COMPUTED_VALUE"""),"Kent St.")</f>
        <v>Kent St.</v>
      </c>
      <c r="C89" s="1" t="str">
        <f ca="1">IFERROR(__xludf.DUMMYFUNCTION("""COMPUTED_VALUE"""),"MAC")</f>
        <v>MAC</v>
      </c>
      <c r="D89" s="1" t="str">
        <f ca="1">IFERROR(__xludf.DUMMYFUNCTION("""COMPUTED_VALUE"""),"20-13")</f>
        <v>20-13</v>
      </c>
      <c r="E89" s="1" t="str">
        <f ca="1">IFERROR(__xludf.DUMMYFUNCTION("""COMPUTED_VALUE"""),"+8.65")</f>
        <v>+8.65</v>
      </c>
      <c r="F89" s="1">
        <f ca="1">IFERROR(__xludf.DUMMYFUNCTION("""COMPUTED_VALUE"""),106.6)</f>
        <v>106.6</v>
      </c>
      <c r="G89" s="1">
        <f ca="1">IFERROR(__xludf.DUMMYFUNCTION("""COMPUTED_VALUE"""),101)</f>
        <v>101</v>
      </c>
      <c r="H89" s="1">
        <f ca="1">IFERROR(__xludf.DUMMYFUNCTION("""COMPUTED_VALUE"""),98)</f>
        <v>98</v>
      </c>
      <c r="I89" s="1">
        <f ca="1">IFERROR(__xludf.DUMMYFUNCTION("""COMPUTED_VALUE"""),74)</f>
        <v>74</v>
      </c>
      <c r="J89" s="1">
        <f ca="1">IFERROR(__xludf.DUMMYFUNCTION("""COMPUTED_VALUE"""),65.4)</f>
        <v>65.400000000000006</v>
      </c>
      <c r="K89" s="1">
        <f ca="1">IFERROR(__xludf.DUMMYFUNCTION("""COMPUTED_VALUE"""),202)</f>
        <v>202</v>
      </c>
      <c r="L89" s="1" t="str">
        <f ca="1">IFERROR(__xludf.DUMMYFUNCTION("""COMPUTED_VALUE"""),"+.001")</f>
        <v>+.001</v>
      </c>
      <c r="M89" s="1">
        <f ca="1">IFERROR(__xludf.DUMMYFUNCTION("""COMPUTED_VALUE"""),156)</f>
        <v>156</v>
      </c>
      <c r="N89" s="1" t="str">
        <f ca="1">IFERROR(__xludf.DUMMYFUNCTION("""COMPUTED_VALUE"""),"+4.45")</f>
        <v>+4.45</v>
      </c>
      <c r="O89" s="1">
        <f ca="1">IFERROR(__xludf.DUMMYFUNCTION("""COMPUTED_VALUE"""),88)</f>
        <v>88</v>
      </c>
      <c r="P89" s="1">
        <f ca="1">IFERROR(__xludf.DUMMYFUNCTION("""COMPUTED_VALUE"""),106)</f>
        <v>106</v>
      </c>
      <c r="Q89" s="1">
        <f ca="1">IFERROR(__xludf.DUMMYFUNCTION("""COMPUTED_VALUE"""),76)</f>
        <v>76</v>
      </c>
      <c r="R89" s="1">
        <f ca="1">IFERROR(__xludf.DUMMYFUNCTION("""COMPUTED_VALUE"""),101.5)</f>
        <v>101.5</v>
      </c>
      <c r="S89" s="1">
        <f ca="1">IFERROR(__xludf.DUMMYFUNCTION("""COMPUTED_VALUE"""),100)</f>
        <v>100</v>
      </c>
      <c r="T89" s="1" t="str">
        <f ca="1">IFERROR(__xludf.DUMMYFUNCTION("""COMPUTED_VALUE"""),"+5.92")</f>
        <v>+5.92</v>
      </c>
      <c r="U89" s="1">
        <f ca="1">IFERROR(__xludf.DUMMYFUNCTION("""COMPUTED_VALUE"""),35)</f>
        <v>35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IFERROR(__xludf.DUMMYFUNCTION("""COMPUTED_VALUE"""),"Temple")</f>
        <v>Temple</v>
      </c>
      <c r="C90" s="1" t="str">
        <f ca="1">IFERROR(__xludf.DUMMYFUNCTION("""COMPUTED_VALUE"""),"A10")</f>
        <v>A10</v>
      </c>
      <c r="D90" s="1" t="str">
        <f ca="1">IFERROR(__xludf.DUMMYFUNCTION("""COMPUTED_VALUE"""),"16-14")</f>
        <v>16-14</v>
      </c>
      <c r="E90" s="1" t="str">
        <f ca="1">IFERROR(__xludf.DUMMYFUNCTION("""COMPUTED_VALUE"""),"+8.53")</f>
        <v>+8.53</v>
      </c>
      <c r="F90" s="1">
        <f ca="1">IFERROR(__xludf.DUMMYFUNCTION("""COMPUTED_VALUE"""),109.4)</f>
        <v>109.4</v>
      </c>
      <c r="G90" s="1">
        <f ca="1">IFERROR(__xludf.DUMMYFUNCTION("""COMPUTED_VALUE"""),63)</f>
        <v>63</v>
      </c>
      <c r="H90" s="1">
        <f ca="1">IFERROR(__xludf.DUMMYFUNCTION("""COMPUTED_VALUE"""),100.9)</f>
        <v>100.9</v>
      </c>
      <c r="I90" s="1">
        <f ca="1">IFERROR(__xludf.DUMMYFUNCTION("""COMPUTED_VALUE"""),126)</f>
        <v>126</v>
      </c>
      <c r="J90" s="1">
        <f ca="1">IFERROR(__xludf.DUMMYFUNCTION("""COMPUTED_VALUE"""),60.3)</f>
        <v>60.3</v>
      </c>
      <c r="K90" s="1">
        <f ca="1">IFERROR(__xludf.DUMMYFUNCTION("""COMPUTED_VALUE"""),316)</f>
        <v>316</v>
      </c>
      <c r="L90" s="1">
        <f ca="1">IFERROR(__xludf.DUMMYFUNCTION("""COMPUTED_VALUE"""),-0.044)</f>
        <v>-4.3999999999999997E-2</v>
      </c>
      <c r="M90" s="1">
        <f ca="1">IFERROR(__xludf.DUMMYFUNCTION("""COMPUTED_VALUE"""),267)</f>
        <v>267</v>
      </c>
      <c r="N90" s="1" t="str">
        <f ca="1">IFERROR(__xludf.DUMMYFUNCTION("""COMPUTED_VALUE"""),"+4.94")</f>
        <v>+4.94</v>
      </c>
      <c r="O90" s="1">
        <f ca="1">IFERROR(__xludf.DUMMYFUNCTION("""COMPUTED_VALUE"""),80)</f>
        <v>80</v>
      </c>
      <c r="P90" s="1">
        <f ca="1">IFERROR(__xludf.DUMMYFUNCTION("""COMPUTED_VALUE"""),105.3)</f>
        <v>105.3</v>
      </c>
      <c r="Q90" s="1">
        <f ca="1">IFERROR(__xludf.DUMMYFUNCTION("""COMPUTED_VALUE"""),97)</f>
        <v>97</v>
      </c>
      <c r="R90" s="1">
        <f ca="1">IFERROR(__xludf.DUMMYFUNCTION("""COMPUTED_VALUE"""),100.3)</f>
        <v>100.3</v>
      </c>
      <c r="S90" s="1">
        <f ca="1">IFERROR(__xludf.DUMMYFUNCTION("""COMPUTED_VALUE"""),61)</f>
        <v>61</v>
      </c>
      <c r="T90" s="1" t="str">
        <f ca="1">IFERROR(__xludf.DUMMYFUNCTION("""COMPUTED_VALUE"""),"+14.45")</f>
        <v>+14.45</v>
      </c>
      <c r="U90" s="1">
        <f ca="1">IFERROR(__xludf.DUMMYFUNCTION("""COMPUTED_VALUE"""),2)</f>
        <v>2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IFERROR(__xludf.DUMMYFUNCTION("""COMPUTED_VALUE"""),"Ohio13")</f>
        <v>Ohio13</v>
      </c>
      <c r="C91" s="1" t="str">
        <f ca="1">IFERROR(__xludf.DUMMYFUNCTION("""COMPUTED_VALUE"""),"MAC")</f>
        <v>MAC</v>
      </c>
      <c r="D91" s="1" t="str">
        <f ca="1">IFERROR(__xludf.DUMMYFUNCTION("""COMPUTED_VALUE"""),"21-11")</f>
        <v>21-11</v>
      </c>
      <c r="E91" s="1" t="str">
        <f ca="1">IFERROR(__xludf.DUMMYFUNCTION("""COMPUTED_VALUE"""),"+8.29")</f>
        <v>+8.29</v>
      </c>
      <c r="F91" s="1">
        <f ca="1">IFERROR(__xludf.DUMMYFUNCTION("""COMPUTED_VALUE"""),109.8)</f>
        <v>109.8</v>
      </c>
      <c r="G91" s="1">
        <f ca="1">IFERROR(__xludf.DUMMYFUNCTION("""COMPUTED_VALUE"""),58)</f>
        <v>58</v>
      </c>
      <c r="H91" s="1">
        <f ca="1">IFERROR(__xludf.DUMMYFUNCTION("""COMPUTED_VALUE"""),101.5)</f>
        <v>101.5</v>
      </c>
      <c r="I91" s="1">
        <f ca="1">IFERROR(__xludf.DUMMYFUNCTION("""COMPUTED_VALUE"""),138)</f>
        <v>138</v>
      </c>
      <c r="J91" s="1">
        <f ca="1">IFERROR(__xludf.DUMMYFUNCTION("""COMPUTED_VALUE"""),65.7)</f>
        <v>65.7</v>
      </c>
      <c r="K91" s="1">
        <f ca="1">IFERROR(__xludf.DUMMYFUNCTION("""COMPUTED_VALUE"""),187)</f>
        <v>187</v>
      </c>
      <c r="L91" s="1" t="str">
        <f ca="1">IFERROR(__xludf.DUMMYFUNCTION("""COMPUTED_VALUE"""),"+.042")</f>
        <v>+.042</v>
      </c>
      <c r="M91" s="1">
        <f ca="1">IFERROR(__xludf.DUMMYFUNCTION("""COMPUTED_VALUE"""),70)</f>
        <v>70</v>
      </c>
      <c r="N91" s="1" t="str">
        <f ca="1">IFERROR(__xludf.DUMMYFUNCTION("""COMPUTED_VALUE"""),"+2.72")</f>
        <v>+2.72</v>
      </c>
      <c r="O91" s="1">
        <f ca="1">IFERROR(__xludf.DUMMYFUNCTION("""COMPUTED_VALUE"""),112)</f>
        <v>112</v>
      </c>
      <c r="P91" s="1">
        <f ca="1">IFERROR(__xludf.DUMMYFUNCTION("""COMPUTED_VALUE"""),104.9)</f>
        <v>104.9</v>
      </c>
      <c r="Q91" s="1">
        <f ca="1">IFERROR(__xludf.DUMMYFUNCTION("""COMPUTED_VALUE"""),109)</f>
        <v>109</v>
      </c>
      <c r="R91" s="1">
        <f ca="1">IFERROR(__xludf.DUMMYFUNCTION("""COMPUTED_VALUE"""),102.2)</f>
        <v>102.2</v>
      </c>
      <c r="S91" s="1">
        <f ca="1">IFERROR(__xludf.DUMMYFUNCTION("""COMPUTED_VALUE"""),123)</f>
        <v>123</v>
      </c>
      <c r="T91" s="1">
        <f ca="1">IFERROR(__xludf.DUMMYFUNCTION("""COMPUTED_VALUE"""),-4.24)</f>
        <v>-4.24</v>
      </c>
      <c r="U91" s="1">
        <f ca="1">IFERROR(__xludf.DUMMYFUNCTION("""COMPUTED_VALUE"""),264)</f>
        <v>264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IFERROR(__xludf.DUMMYFUNCTION("""COMPUTED_VALUE"""),"Western Kentucky")</f>
        <v>Western Kentucky</v>
      </c>
      <c r="C92" s="1" t="str">
        <f ca="1">IFERROR(__xludf.DUMMYFUNCTION("""COMPUTED_VALUE"""),"SB")</f>
        <v>SB</v>
      </c>
      <c r="D92" s="1" t="str">
        <f ca="1">IFERROR(__xludf.DUMMYFUNCTION("""COMPUTED_VALUE"""),"22-9")</f>
        <v>22-9</v>
      </c>
      <c r="E92" s="1" t="str">
        <f ca="1">IFERROR(__xludf.DUMMYFUNCTION("""COMPUTED_VALUE"""),"+8.03")</f>
        <v>+8.03</v>
      </c>
      <c r="F92" s="1">
        <f ca="1">IFERROR(__xludf.DUMMYFUNCTION("""COMPUTED_VALUE"""),112.8)</f>
        <v>112.8</v>
      </c>
      <c r="G92" s="1">
        <f ca="1">IFERROR(__xludf.DUMMYFUNCTION("""COMPUTED_VALUE"""),31)</f>
        <v>31</v>
      </c>
      <c r="H92" s="1">
        <f ca="1">IFERROR(__xludf.DUMMYFUNCTION("""COMPUTED_VALUE"""),104.8)</f>
        <v>104.8</v>
      </c>
      <c r="I92" s="1">
        <f ca="1">IFERROR(__xludf.DUMMYFUNCTION("""COMPUTED_VALUE"""),211)</f>
        <v>211</v>
      </c>
      <c r="J92" s="1">
        <f ca="1">IFERROR(__xludf.DUMMYFUNCTION("""COMPUTED_VALUE"""),66.4)</f>
        <v>66.400000000000006</v>
      </c>
      <c r="K92" s="1">
        <f ca="1">IFERROR(__xludf.DUMMYFUNCTION("""COMPUTED_VALUE"""),148)</f>
        <v>148</v>
      </c>
      <c r="L92" s="1">
        <f ca="1">IFERROR(__xludf.DUMMYFUNCTION("""COMPUTED_VALUE"""),-0.022)</f>
        <v>-2.1999999999999999E-2</v>
      </c>
      <c r="M92" s="1">
        <f ca="1">IFERROR(__xludf.DUMMYFUNCTION("""COMPUTED_VALUE"""),221)</f>
        <v>221</v>
      </c>
      <c r="N92" s="1">
        <f ca="1">IFERROR(__xludf.DUMMYFUNCTION("""COMPUTED_VALUE"""),-0.33)</f>
        <v>-0.33</v>
      </c>
      <c r="O92" s="1">
        <f ca="1">IFERROR(__xludf.DUMMYFUNCTION("""COMPUTED_VALUE"""),158)</f>
        <v>158</v>
      </c>
      <c r="P92" s="1">
        <f ca="1">IFERROR(__xludf.DUMMYFUNCTION("""COMPUTED_VALUE"""),102.8)</f>
        <v>102.8</v>
      </c>
      <c r="Q92" s="1">
        <f ca="1">IFERROR(__xludf.DUMMYFUNCTION("""COMPUTED_VALUE"""),174)</f>
        <v>174</v>
      </c>
      <c r="R92" s="1">
        <f ca="1">IFERROR(__xludf.DUMMYFUNCTION("""COMPUTED_VALUE"""),103.1)</f>
        <v>103.1</v>
      </c>
      <c r="S92" s="1">
        <f ca="1">IFERROR(__xludf.DUMMYFUNCTION("""COMPUTED_VALUE"""),163)</f>
        <v>163</v>
      </c>
      <c r="T92" s="1">
        <f ca="1">IFERROR(__xludf.DUMMYFUNCTION("""COMPUTED_VALUE"""),-1.75)</f>
        <v>-1.75</v>
      </c>
      <c r="U92" s="1">
        <f ca="1">IFERROR(__xludf.DUMMYFUNCTION("""COMPUTED_VALUE"""),211)</f>
        <v>211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IFERROR(__xludf.DUMMYFUNCTION("""COMPUTED_VALUE"""),"Denver")</f>
        <v>Denver</v>
      </c>
      <c r="C93" s="1" t="str">
        <f ca="1">IFERROR(__xludf.DUMMYFUNCTION("""COMPUTED_VALUE"""),"SB")</f>
        <v>SB</v>
      </c>
      <c r="D93" s="1" t="str">
        <f ca="1">IFERROR(__xludf.DUMMYFUNCTION("""COMPUTED_VALUE"""),"20-11")</f>
        <v>20-11</v>
      </c>
      <c r="E93" s="1" t="str">
        <f ca="1">IFERROR(__xludf.DUMMYFUNCTION("""COMPUTED_VALUE"""),"+7.98")</f>
        <v>+7.98</v>
      </c>
      <c r="F93" s="1">
        <f ca="1">IFERROR(__xludf.DUMMYFUNCTION("""COMPUTED_VALUE"""),107.9)</f>
        <v>107.9</v>
      </c>
      <c r="G93" s="1">
        <f ca="1">IFERROR(__xludf.DUMMYFUNCTION("""COMPUTED_VALUE"""),76)</f>
        <v>76</v>
      </c>
      <c r="H93" s="1">
        <f ca="1">IFERROR(__xludf.DUMMYFUNCTION("""COMPUTED_VALUE"""),99.9)</f>
        <v>99.9</v>
      </c>
      <c r="I93" s="1">
        <f ca="1">IFERROR(__xludf.DUMMYFUNCTION("""COMPUTED_VALUE"""),103)</f>
        <v>103</v>
      </c>
      <c r="J93" s="1">
        <f ca="1">IFERROR(__xludf.DUMMYFUNCTION("""COMPUTED_VALUE"""),66.6)</f>
        <v>66.599999999999994</v>
      </c>
      <c r="K93" s="1">
        <f ca="1">IFERROR(__xludf.DUMMYFUNCTION("""COMPUTED_VALUE"""),143)</f>
        <v>143</v>
      </c>
      <c r="L93" s="1">
        <f ca="1">IFERROR(__xludf.DUMMYFUNCTION("""COMPUTED_VALUE"""),-0.054)</f>
        <v>-5.3999999999999999E-2</v>
      </c>
      <c r="M93" s="1">
        <f ca="1">IFERROR(__xludf.DUMMYFUNCTION("""COMPUTED_VALUE"""),284)</f>
        <v>284</v>
      </c>
      <c r="N93" s="1" t="str">
        <f ca="1">IFERROR(__xludf.DUMMYFUNCTION("""COMPUTED_VALUE"""),"+0.32")</f>
        <v>+0.32</v>
      </c>
      <c r="O93" s="1">
        <f ca="1">IFERROR(__xludf.DUMMYFUNCTION("""COMPUTED_VALUE"""),150)</f>
        <v>150</v>
      </c>
      <c r="P93" s="1">
        <f ca="1">IFERROR(__xludf.DUMMYFUNCTION("""COMPUTED_VALUE"""),102.9)</f>
        <v>102.9</v>
      </c>
      <c r="Q93" s="1">
        <f ca="1">IFERROR(__xludf.DUMMYFUNCTION("""COMPUTED_VALUE"""),171)</f>
        <v>171</v>
      </c>
      <c r="R93" s="1">
        <f ca="1">IFERROR(__xludf.DUMMYFUNCTION("""COMPUTED_VALUE"""),102.5)</f>
        <v>102.5</v>
      </c>
      <c r="S93" s="1">
        <f ca="1">IFERROR(__xludf.DUMMYFUNCTION("""COMPUTED_VALUE"""),142)</f>
        <v>142</v>
      </c>
      <c r="T93" s="1" t="str">
        <f ca="1">IFERROR(__xludf.DUMMYFUNCTION("""COMPUTED_VALUE"""),"+1.89")</f>
        <v>+1.89</v>
      </c>
      <c r="U93" s="1">
        <f ca="1">IFERROR(__xludf.DUMMYFUNCTION("""COMPUTED_VALUE"""),109)</f>
        <v>109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IFERROR(__xludf.DUMMYFUNCTION("""COMPUTED_VALUE"""),"Toledo")</f>
        <v>Toledo</v>
      </c>
      <c r="C94" s="1" t="str">
        <f ca="1">IFERROR(__xludf.DUMMYFUNCTION("""COMPUTED_VALUE"""),"MAC")</f>
        <v>MAC</v>
      </c>
      <c r="D94" s="1" t="str">
        <f ca="1">IFERROR(__xludf.DUMMYFUNCTION("""COMPUTED_VALUE"""),"16-13")</f>
        <v>16-13</v>
      </c>
      <c r="E94" s="1" t="str">
        <f ca="1">IFERROR(__xludf.DUMMYFUNCTION("""COMPUTED_VALUE"""),"+7.85")</f>
        <v>+7.85</v>
      </c>
      <c r="F94" s="1">
        <f ca="1">IFERROR(__xludf.DUMMYFUNCTION("""COMPUTED_VALUE"""),107.4)</f>
        <v>107.4</v>
      </c>
      <c r="G94" s="1">
        <f ca="1">IFERROR(__xludf.DUMMYFUNCTION("""COMPUTED_VALUE"""),85)</f>
        <v>85</v>
      </c>
      <c r="H94" s="1">
        <f ca="1">IFERROR(__xludf.DUMMYFUNCTION("""COMPUTED_VALUE"""),99.5)</f>
        <v>99.5</v>
      </c>
      <c r="I94" s="1">
        <f ca="1">IFERROR(__xludf.DUMMYFUNCTION("""COMPUTED_VALUE"""),93)</f>
        <v>93</v>
      </c>
      <c r="J94" s="1">
        <f ca="1">IFERROR(__xludf.DUMMYFUNCTION("""COMPUTED_VALUE"""),65.7)</f>
        <v>65.7</v>
      </c>
      <c r="K94" s="1">
        <f ca="1">IFERROR(__xludf.DUMMYFUNCTION("""COMPUTED_VALUE"""),188)</f>
        <v>188</v>
      </c>
      <c r="L94" s="1">
        <f ca="1">IFERROR(__xludf.DUMMYFUNCTION("""COMPUTED_VALUE"""),-0.028)</f>
        <v>-2.8000000000000001E-2</v>
      </c>
      <c r="M94" s="1">
        <f ca="1">IFERROR(__xludf.DUMMYFUNCTION("""COMPUTED_VALUE"""),241)</f>
        <v>241</v>
      </c>
      <c r="N94" s="1" t="str">
        <f ca="1">IFERROR(__xludf.DUMMYFUNCTION("""COMPUTED_VALUE"""),"+4.17")</f>
        <v>+4.17</v>
      </c>
      <c r="O94" s="1">
        <f ca="1">IFERROR(__xludf.DUMMYFUNCTION("""COMPUTED_VALUE"""),92)</f>
        <v>92</v>
      </c>
      <c r="P94" s="1">
        <f ca="1">IFERROR(__xludf.DUMMYFUNCTION("""COMPUTED_VALUE"""),105.6)</f>
        <v>105.6</v>
      </c>
      <c r="Q94" s="1">
        <f ca="1">IFERROR(__xludf.DUMMYFUNCTION("""COMPUTED_VALUE"""),87)</f>
        <v>87</v>
      </c>
      <c r="R94" s="1">
        <f ca="1">IFERROR(__xludf.DUMMYFUNCTION("""COMPUTED_VALUE"""),101.4)</f>
        <v>101.4</v>
      </c>
      <c r="S94" s="1">
        <f ca="1">IFERROR(__xludf.DUMMYFUNCTION("""COMPUTED_VALUE"""),98)</f>
        <v>98</v>
      </c>
      <c r="T94" s="1" t="str">
        <f ca="1">IFERROR(__xludf.DUMMYFUNCTION("""COMPUTED_VALUE"""),"+5.75")</f>
        <v>+5.75</v>
      </c>
      <c r="U94" s="1">
        <f ca="1">IFERROR(__xludf.DUMMYFUNCTION("""COMPUTED_VALUE"""),40)</f>
        <v>40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IFERROR(__xludf.DUMMYFUNCTION("""COMPUTED_VALUE"""),"Virginia")</f>
        <v>Virginia</v>
      </c>
      <c r="C95" s="1" t="str">
        <f ca="1">IFERROR(__xludf.DUMMYFUNCTION("""COMPUTED_VALUE"""),"ACC")</f>
        <v>ACC</v>
      </c>
      <c r="D95" s="1" t="str">
        <f ca="1">IFERROR(__xludf.DUMMYFUNCTION("""COMPUTED_VALUE"""),"14-15")</f>
        <v>14-15</v>
      </c>
      <c r="E95" s="1" t="str">
        <f ca="1">IFERROR(__xludf.DUMMYFUNCTION("""COMPUTED_VALUE"""),"+7.47")</f>
        <v>+7.47</v>
      </c>
      <c r="F95" s="1">
        <f ca="1">IFERROR(__xludf.DUMMYFUNCTION("""COMPUTED_VALUE"""),107.1)</f>
        <v>107.1</v>
      </c>
      <c r="G95" s="1">
        <f ca="1">IFERROR(__xludf.DUMMYFUNCTION("""COMPUTED_VALUE"""),93)</f>
        <v>93</v>
      </c>
      <c r="H95" s="1">
        <f ca="1">IFERROR(__xludf.DUMMYFUNCTION("""COMPUTED_VALUE"""),99.7)</f>
        <v>99.7</v>
      </c>
      <c r="I95" s="1">
        <f ca="1">IFERROR(__xludf.DUMMYFUNCTION("""COMPUTED_VALUE"""),96)</f>
        <v>96</v>
      </c>
      <c r="J95" s="1">
        <f ca="1">IFERROR(__xludf.DUMMYFUNCTION("""COMPUTED_VALUE"""),68)</f>
        <v>68</v>
      </c>
      <c r="K95" s="1">
        <f ca="1">IFERROR(__xludf.DUMMYFUNCTION("""COMPUTED_VALUE"""),91)</f>
        <v>91</v>
      </c>
      <c r="L95" s="1" t="str">
        <f ca="1">IFERROR(__xludf.DUMMYFUNCTION("""COMPUTED_VALUE"""),"+.059")</f>
        <v>+.059</v>
      </c>
      <c r="M95" s="1">
        <f ca="1">IFERROR(__xludf.DUMMYFUNCTION("""COMPUTED_VALUE"""),46)</f>
        <v>46</v>
      </c>
      <c r="N95" s="1" t="str">
        <f ca="1">IFERROR(__xludf.DUMMYFUNCTION("""COMPUTED_VALUE"""),"+11.11")</f>
        <v>+11.11</v>
      </c>
      <c r="O95" s="1">
        <f ca="1">IFERROR(__xludf.DUMMYFUNCTION("""COMPUTED_VALUE"""),3)</f>
        <v>3</v>
      </c>
      <c r="P95" s="1">
        <f ca="1">IFERROR(__xludf.DUMMYFUNCTION("""COMPUTED_VALUE"""),109.5)</f>
        <v>109.5</v>
      </c>
      <c r="Q95" s="1">
        <f ca="1">IFERROR(__xludf.DUMMYFUNCTION("""COMPUTED_VALUE"""),1)</f>
        <v>1</v>
      </c>
      <c r="R95" s="1">
        <f ca="1">IFERROR(__xludf.DUMMYFUNCTION("""COMPUTED_VALUE"""),98.4)</f>
        <v>98.4</v>
      </c>
      <c r="S95" s="1">
        <f ca="1">IFERROR(__xludf.DUMMYFUNCTION("""COMPUTED_VALUE"""),15)</f>
        <v>15</v>
      </c>
      <c r="T95" s="1" t="str">
        <f ca="1">IFERROR(__xludf.DUMMYFUNCTION("""COMPUTED_VALUE"""),"+1.06")</f>
        <v>+1.06</v>
      </c>
      <c r="U95" s="1">
        <f ca="1">IFERROR(__xludf.DUMMYFUNCTION("""COMPUTED_VALUE"""),133)</f>
        <v>133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IFERROR(__xludf.DUMMYFUNCTION("""COMPUTED_VALUE"""),"UNLV")</f>
        <v>UNLV</v>
      </c>
      <c r="C96" s="1" t="str">
        <f ca="1">IFERROR(__xludf.DUMMYFUNCTION("""COMPUTED_VALUE"""),"MWC")</f>
        <v>MWC</v>
      </c>
      <c r="D96" s="1" t="str">
        <f ca="1">IFERROR(__xludf.DUMMYFUNCTION("""COMPUTED_VALUE"""),"17-14")</f>
        <v>17-14</v>
      </c>
      <c r="E96" s="1" t="str">
        <f ca="1">IFERROR(__xludf.DUMMYFUNCTION("""COMPUTED_VALUE"""),"+7.04")</f>
        <v>+7.04</v>
      </c>
      <c r="F96" s="1">
        <f ca="1">IFERROR(__xludf.DUMMYFUNCTION("""COMPUTED_VALUE"""),107.3)</f>
        <v>107.3</v>
      </c>
      <c r="G96" s="1">
        <f ca="1">IFERROR(__xludf.DUMMYFUNCTION("""COMPUTED_VALUE"""),91)</f>
        <v>91</v>
      </c>
      <c r="H96" s="1">
        <f ca="1">IFERROR(__xludf.DUMMYFUNCTION("""COMPUTED_VALUE"""),100.2)</f>
        <v>100.2</v>
      </c>
      <c r="I96" s="1">
        <f ca="1">IFERROR(__xludf.DUMMYFUNCTION("""COMPUTED_VALUE"""),110)</f>
        <v>110</v>
      </c>
      <c r="J96" s="1">
        <f ca="1">IFERROR(__xludf.DUMMYFUNCTION("""COMPUTED_VALUE"""),69.1)</f>
        <v>69.099999999999994</v>
      </c>
      <c r="K96" s="1">
        <f ca="1">IFERROR(__xludf.DUMMYFUNCTION("""COMPUTED_VALUE"""),50)</f>
        <v>50</v>
      </c>
      <c r="L96" s="1" t="str">
        <f ca="1">IFERROR(__xludf.DUMMYFUNCTION("""COMPUTED_VALUE"""),"+.030")</f>
        <v>+.030</v>
      </c>
      <c r="M96" s="1">
        <f ca="1">IFERROR(__xludf.DUMMYFUNCTION("""COMPUTED_VALUE"""),101)</f>
        <v>101</v>
      </c>
      <c r="N96" s="1" t="str">
        <f ca="1">IFERROR(__xludf.DUMMYFUNCTION("""COMPUTED_VALUE"""),"+6.03")</f>
        <v>+6.03</v>
      </c>
      <c r="O96" s="1">
        <f ca="1">IFERROR(__xludf.DUMMYFUNCTION("""COMPUTED_VALUE"""),64)</f>
        <v>64</v>
      </c>
      <c r="P96" s="1">
        <f ca="1">IFERROR(__xludf.DUMMYFUNCTION("""COMPUTED_VALUE"""),106.8)</f>
        <v>106.8</v>
      </c>
      <c r="Q96" s="1">
        <f ca="1">IFERROR(__xludf.DUMMYFUNCTION("""COMPUTED_VALUE"""),45)</f>
        <v>45</v>
      </c>
      <c r="R96" s="1">
        <f ca="1">IFERROR(__xludf.DUMMYFUNCTION("""COMPUTED_VALUE"""),100.8)</f>
        <v>100.8</v>
      </c>
      <c r="S96" s="1">
        <f ca="1">IFERROR(__xludf.DUMMYFUNCTION("""COMPUTED_VALUE"""),81)</f>
        <v>81</v>
      </c>
      <c r="T96" s="1" t="str">
        <f ca="1">IFERROR(__xludf.DUMMYFUNCTION("""COMPUTED_VALUE"""),"+3.02")</f>
        <v>+3.02</v>
      </c>
      <c r="U96" s="1">
        <f ca="1">IFERROR(__xludf.DUMMYFUNCTION("""COMPUTED_VALUE"""),88)</f>
        <v>88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IFERROR(__xludf.DUMMYFUNCTION("""COMPUTED_VALUE"""),"Rice")</f>
        <v>Rice</v>
      </c>
      <c r="C97" s="1" t="str">
        <f ca="1">IFERROR(__xludf.DUMMYFUNCTION("""COMPUTED_VALUE"""),"WAC")</f>
        <v>WAC</v>
      </c>
      <c r="D97" s="1" t="str">
        <f ca="1">IFERROR(__xludf.DUMMYFUNCTION("""COMPUTED_VALUE"""),"19-12")</f>
        <v>19-12</v>
      </c>
      <c r="E97" s="1" t="str">
        <f ca="1">IFERROR(__xludf.DUMMYFUNCTION("""COMPUTED_VALUE"""),"+7.02")</f>
        <v>+7.02</v>
      </c>
      <c r="F97" s="1">
        <f ca="1">IFERROR(__xludf.DUMMYFUNCTION("""COMPUTED_VALUE"""),107.2)</f>
        <v>107.2</v>
      </c>
      <c r="G97" s="1">
        <f ca="1">IFERROR(__xludf.DUMMYFUNCTION("""COMPUTED_VALUE"""),92)</f>
        <v>92</v>
      </c>
      <c r="H97" s="1">
        <f ca="1">IFERROR(__xludf.DUMMYFUNCTION("""COMPUTED_VALUE"""),100.1)</f>
        <v>100.1</v>
      </c>
      <c r="I97" s="1">
        <f ca="1">IFERROR(__xludf.DUMMYFUNCTION("""COMPUTED_VALUE"""),107)</f>
        <v>107</v>
      </c>
      <c r="J97" s="1">
        <f ca="1">IFERROR(__xludf.DUMMYFUNCTION("""COMPUTED_VALUE"""),66.9)</f>
        <v>66.900000000000006</v>
      </c>
      <c r="K97" s="1">
        <f ca="1">IFERROR(__xludf.DUMMYFUNCTION("""COMPUTED_VALUE"""),128)</f>
        <v>128</v>
      </c>
      <c r="L97" s="1" t="str">
        <f ca="1">IFERROR(__xludf.DUMMYFUNCTION("""COMPUTED_VALUE"""),"+.007")</f>
        <v>+.007</v>
      </c>
      <c r="M97" s="1">
        <f ca="1">IFERROR(__xludf.DUMMYFUNCTION("""COMPUTED_VALUE"""),149)</f>
        <v>149</v>
      </c>
      <c r="N97" s="1" t="str">
        <f ca="1">IFERROR(__xludf.DUMMYFUNCTION("""COMPUTED_VALUE"""),"+2.55")</f>
        <v>+2.55</v>
      </c>
      <c r="O97" s="1">
        <f ca="1">IFERROR(__xludf.DUMMYFUNCTION("""COMPUTED_VALUE"""),116)</f>
        <v>116</v>
      </c>
      <c r="P97" s="1">
        <f ca="1">IFERROR(__xludf.DUMMYFUNCTION("""COMPUTED_VALUE"""),104.2)</f>
        <v>104.2</v>
      </c>
      <c r="Q97" s="1">
        <f ca="1">IFERROR(__xludf.DUMMYFUNCTION("""COMPUTED_VALUE"""),130)</f>
        <v>130</v>
      </c>
      <c r="R97" s="1">
        <f ca="1">IFERROR(__xludf.DUMMYFUNCTION("""COMPUTED_VALUE"""),101.7)</f>
        <v>101.7</v>
      </c>
      <c r="S97" s="1">
        <f ca="1">IFERROR(__xludf.DUMMYFUNCTION("""COMPUTED_VALUE"""),102)</f>
        <v>102</v>
      </c>
      <c r="T97" s="1" t="str">
        <f ca="1">IFERROR(__xludf.DUMMYFUNCTION("""COMPUTED_VALUE"""),"+4.07")</f>
        <v>+4.07</v>
      </c>
      <c r="U97" s="1">
        <f ca="1">IFERROR(__xludf.DUMMYFUNCTION("""COMPUTED_VALUE"""),68)</f>
        <v>68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IFERROR(__xludf.DUMMYFUNCTION("""COMPUTED_VALUE"""),"Boston University")</f>
        <v>Boston University</v>
      </c>
      <c r="C98" s="1" t="str">
        <f ca="1">IFERROR(__xludf.DUMMYFUNCTION("""COMPUTED_VALUE"""),"AE")</f>
        <v>AE</v>
      </c>
      <c r="D98" s="1" t="str">
        <f ca="1">IFERROR(__xludf.DUMMYFUNCTION("""COMPUTED_VALUE"""),"20-9")</f>
        <v>20-9</v>
      </c>
      <c r="E98" s="1" t="str">
        <f ca="1">IFERROR(__xludf.DUMMYFUNCTION("""COMPUTED_VALUE"""),"+6.83")</f>
        <v>+6.83</v>
      </c>
      <c r="F98" s="1">
        <f ca="1">IFERROR(__xludf.DUMMYFUNCTION("""COMPUTED_VALUE"""),100.7)</f>
        <v>100.7</v>
      </c>
      <c r="G98" s="1">
        <f ca="1">IFERROR(__xludf.DUMMYFUNCTION("""COMPUTED_VALUE"""),207)</f>
        <v>207</v>
      </c>
      <c r="H98" s="1">
        <f ca="1">IFERROR(__xludf.DUMMYFUNCTION("""COMPUTED_VALUE"""),93.9)</f>
        <v>93.9</v>
      </c>
      <c r="I98" s="1">
        <f ca="1">IFERROR(__xludf.DUMMYFUNCTION("""COMPUTED_VALUE"""),24)</f>
        <v>24</v>
      </c>
      <c r="J98" s="1">
        <f ca="1">IFERROR(__xludf.DUMMYFUNCTION("""COMPUTED_VALUE"""),62)</f>
        <v>62</v>
      </c>
      <c r="K98" s="1">
        <f ca="1">IFERROR(__xludf.DUMMYFUNCTION("""COMPUTED_VALUE"""),302)</f>
        <v>302</v>
      </c>
      <c r="L98" s="1" t="str">
        <f ca="1">IFERROR(__xludf.DUMMYFUNCTION("""COMPUTED_VALUE"""),"+.022")</f>
        <v>+.022</v>
      </c>
      <c r="M98" s="1">
        <f ca="1">IFERROR(__xludf.DUMMYFUNCTION("""COMPUTED_VALUE"""),110)</f>
        <v>110</v>
      </c>
      <c r="N98" s="1">
        <f ca="1">IFERROR(__xludf.DUMMYFUNCTION("""COMPUTED_VALUE"""),-3.28)</f>
        <v>-3.28</v>
      </c>
      <c r="O98" s="1">
        <f ca="1">IFERROR(__xludf.DUMMYFUNCTION("""COMPUTED_VALUE"""),220)</f>
        <v>220</v>
      </c>
      <c r="P98" s="1">
        <f ca="1">IFERROR(__xludf.DUMMYFUNCTION("""COMPUTED_VALUE"""),99.9)</f>
        <v>99.9</v>
      </c>
      <c r="Q98" s="1">
        <f ca="1">IFERROR(__xludf.DUMMYFUNCTION("""COMPUTED_VALUE"""),254)</f>
        <v>254</v>
      </c>
      <c r="R98" s="1">
        <f ca="1">IFERROR(__xludf.DUMMYFUNCTION("""COMPUTED_VALUE"""),103.2)</f>
        <v>103.2</v>
      </c>
      <c r="S98" s="1">
        <f ca="1">IFERROR(__xludf.DUMMYFUNCTION("""COMPUTED_VALUE"""),168)</f>
        <v>168</v>
      </c>
      <c r="T98" s="1">
        <f ca="1">IFERROR(__xludf.DUMMYFUNCTION("""COMPUTED_VALUE"""),-0.67)</f>
        <v>-0.67</v>
      </c>
      <c r="U98" s="1">
        <f ca="1">IFERROR(__xludf.DUMMYFUNCTION("""COMPUTED_VALUE"""),177)</f>
        <v>177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IFERROR(__xludf.DUMMYFUNCTION("""COMPUTED_VALUE"""),"Oregon")</f>
        <v>Oregon</v>
      </c>
      <c r="C99" s="1" t="str">
        <f ca="1">IFERROR(__xludf.DUMMYFUNCTION("""COMPUTED_VALUE"""),"P10")</f>
        <v>P10</v>
      </c>
      <c r="D99" s="1" t="str">
        <f ca="1">IFERROR(__xludf.DUMMYFUNCTION("""COMPUTED_VALUE"""),"14-13")</f>
        <v>14-13</v>
      </c>
      <c r="E99" s="1" t="str">
        <f ca="1">IFERROR(__xludf.DUMMYFUNCTION("""COMPUTED_VALUE"""),"+6.73")</f>
        <v>+6.73</v>
      </c>
      <c r="F99" s="1">
        <f ca="1">IFERROR(__xludf.DUMMYFUNCTION("""COMPUTED_VALUE"""),107)</f>
        <v>107</v>
      </c>
      <c r="G99" s="1">
        <f ca="1">IFERROR(__xludf.DUMMYFUNCTION("""COMPUTED_VALUE"""),95)</f>
        <v>95</v>
      </c>
      <c r="H99" s="1">
        <f ca="1">IFERROR(__xludf.DUMMYFUNCTION("""COMPUTED_VALUE"""),100.3)</f>
        <v>100.3</v>
      </c>
      <c r="I99" s="1">
        <f ca="1">IFERROR(__xludf.DUMMYFUNCTION("""COMPUTED_VALUE"""),111)</f>
        <v>111</v>
      </c>
      <c r="J99" s="1">
        <f ca="1">IFERROR(__xludf.DUMMYFUNCTION("""COMPUTED_VALUE"""),66.3)</f>
        <v>66.3</v>
      </c>
      <c r="K99" s="1">
        <f ca="1">IFERROR(__xludf.DUMMYFUNCTION("""COMPUTED_VALUE"""),157)</f>
        <v>157</v>
      </c>
      <c r="L99" s="1" t="str">
        <f ca="1">IFERROR(__xludf.DUMMYFUNCTION("""COMPUTED_VALUE"""),"+.026")</f>
        <v>+.026</v>
      </c>
      <c r="M99" s="1">
        <f ca="1">IFERROR(__xludf.DUMMYFUNCTION("""COMPUTED_VALUE"""),106)</f>
        <v>106</v>
      </c>
      <c r="N99" s="1" t="str">
        <f ca="1">IFERROR(__xludf.DUMMYFUNCTION("""COMPUTED_VALUE"""),"+7.00")</f>
        <v>+7.00</v>
      </c>
      <c r="O99" s="1">
        <f ca="1">IFERROR(__xludf.DUMMYFUNCTION("""COMPUTED_VALUE"""),43)</f>
        <v>43</v>
      </c>
      <c r="P99" s="1">
        <f ca="1">IFERROR(__xludf.DUMMYFUNCTION("""COMPUTED_VALUE"""),106.5)</f>
        <v>106.5</v>
      </c>
      <c r="Q99" s="1">
        <f ca="1">IFERROR(__xludf.DUMMYFUNCTION("""COMPUTED_VALUE"""),55)</f>
        <v>55</v>
      </c>
      <c r="R99" s="1">
        <f ca="1">IFERROR(__xludf.DUMMYFUNCTION("""COMPUTED_VALUE"""),99.5)</f>
        <v>99.5</v>
      </c>
      <c r="S99" s="1">
        <f ca="1">IFERROR(__xludf.DUMMYFUNCTION("""COMPUTED_VALUE"""),36)</f>
        <v>36</v>
      </c>
      <c r="T99" s="1">
        <f ca="1">IFERROR(__xludf.DUMMYFUNCTION("""COMPUTED_VALUE"""),-0.39)</f>
        <v>-0.39</v>
      </c>
      <c r="U99" s="1">
        <f ca="1">IFERROR(__xludf.DUMMYFUNCTION("""COMPUTED_VALUE"""),171)</f>
        <v>171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IFERROR(__xludf.DUMMYFUNCTION("""COMPUTED_VALUE"""),"Virginia Tech")</f>
        <v>Virginia Tech</v>
      </c>
      <c r="C100" s="1" t="str">
        <f ca="1">IFERROR(__xludf.DUMMYFUNCTION("""COMPUTED_VALUE"""),"ACC")</f>
        <v>ACC</v>
      </c>
      <c r="D100" s="1" t="str">
        <f ca="1">IFERROR(__xludf.DUMMYFUNCTION("""COMPUTED_VALUE"""),"16-14")</f>
        <v>16-14</v>
      </c>
      <c r="E100" s="1" t="str">
        <f ca="1">IFERROR(__xludf.DUMMYFUNCTION("""COMPUTED_VALUE"""),"+6.70")</f>
        <v>+6.70</v>
      </c>
      <c r="F100" s="1">
        <f ca="1">IFERROR(__xludf.DUMMYFUNCTION("""COMPUTED_VALUE"""),104.9)</f>
        <v>104.9</v>
      </c>
      <c r="G100" s="1">
        <f ca="1">IFERROR(__xludf.DUMMYFUNCTION("""COMPUTED_VALUE"""),127)</f>
        <v>127</v>
      </c>
      <c r="H100" s="1">
        <f ca="1">IFERROR(__xludf.DUMMYFUNCTION("""COMPUTED_VALUE"""),98.2)</f>
        <v>98.2</v>
      </c>
      <c r="I100" s="1">
        <f ca="1">IFERROR(__xludf.DUMMYFUNCTION("""COMPUTED_VALUE"""),75)</f>
        <v>75</v>
      </c>
      <c r="J100" s="1">
        <f ca="1">IFERROR(__xludf.DUMMYFUNCTION("""COMPUTED_VALUE"""),65.9)</f>
        <v>65.900000000000006</v>
      </c>
      <c r="K100" s="1">
        <f ca="1">IFERROR(__xludf.DUMMYFUNCTION("""COMPUTED_VALUE"""),173)</f>
        <v>173</v>
      </c>
      <c r="L100" s="1" t="str">
        <f ca="1">IFERROR(__xludf.DUMMYFUNCTION("""COMPUTED_VALUE"""),"+.036")</f>
        <v>+.036</v>
      </c>
      <c r="M100" s="1">
        <f ca="1">IFERROR(__xludf.DUMMYFUNCTION("""COMPUTED_VALUE"""),85)</f>
        <v>85</v>
      </c>
      <c r="N100" s="1" t="str">
        <f ca="1">IFERROR(__xludf.DUMMYFUNCTION("""COMPUTED_VALUE"""),"+7.47")</f>
        <v>+7.47</v>
      </c>
      <c r="O100" s="1">
        <f ca="1">IFERROR(__xludf.DUMMYFUNCTION("""COMPUTED_VALUE"""),37)</f>
        <v>37</v>
      </c>
      <c r="P100" s="1">
        <f ca="1">IFERROR(__xludf.DUMMYFUNCTION("""COMPUTED_VALUE"""),106.1)</f>
        <v>106.1</v>
      </c>
      <c r="Q100" s="1">
        <f ca="1">IFERROR(__xludf.DUMMYFUNCTION("""COMPUTED_VALUE"""),69)</f>
        <v>69</v>
      </c>
      <c r="R100" s="1">
        <f ca="1">IFERROR(__xludf.DUMMYFUNCTION("""COMPUTED_VALUE"""),98.6)</f>
        <v>98.6</v>
      </c>
      <c r="S100" s="1">
        <f ca="1">IFERROR(__xludf.DUMMYFUNCTION("""COMPUTED_VALUE"""),17)</f>
        <v>17</v>
      </c>
      <c r="T100" s="1">
        <f ca="1">IFERROR(__xludf.DUMMYFUNCTION("""COMPUTED_VALUE"""),-12.62)</f>
        <v>-12.62</v>
      </c>
      <c r="U100" s="1">
        <f ca="1">IFERROR(__xludf.DUMMYFUNCTION("""COMPUTED_VALUE"""),325)</f>
        <v>325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IFERROR(__xludf.DUMMYFUNCTION("""COMPUTED_VALUE"""),"Bucknell14")</f>
        <v>Bucknell14</v>
      </c>
      <c r="C101" s="1" t="str">
        <f ca="1">IFERROR(__xludf.DUMMYFUNCTION("""COMPUTED_VALUE"""),"Pat")</f>
        <v>Pat</v>
      </c>
      <c r="D101" s="1" t="str">
        <f ca="1">IFERROR(__xludf.DUMMYFUNCTION("""COMPUTED_VALUE"""),"23-10")</f>
        <v>23-10</v>
      </c>
      <c r="E101" s="1" t="str">
        <f ca="1">IFERROR(__xludf.DUMMYFUNCTION("""COMPUTED_VALUE"""),"+6.69")</f>
        <v>+6.69</v>
      </c>
      <c r="F101" s="1">
        <f ca="1">IFERROR(__xludf.DUMMYFUNCTION("""COMPUTED_VALUE"""),102.2)</f>
        <v>102.2</v>
      </c>
      <c r="G101" s="1">
        <f ca="1">IFERROR(__xludf.DUMMYFUNCTION("""COMPUTED_VALUE"""),176)</f>
        <v>176</v>
      </c>
      <c r="H101" s="1">
        <f ca="1">IFERROR(__xludf.DUMMYFUNCTION("""COMPUTED_VALUE"""),95.6)</f>
        <v>95.6</v>
      </c>
      <c r="I101" s="1">
        <f ca="1">IFERROR(__xludf.DUMMYFUNCTION("""COMPUTED_VALUE"""),41)</f>
        <v>41</v>
      </c>
      <c r="J101" s="1">
        <f ca="1">IFERROR(__xludf.DUMMYFUNCTION("""COMPUTED_VALUE"""),63.1)</f>
        <v>63.1</v>
      </c>
      <c r="K101" s="1">
        <f ca="1">IFERROR(__xludf.DUMMYFUNCTION("""COMPUTED_VALUE"""),281)</f>
        <v>281</v>
      </c>
      <c r="L101" s="1" t="str">
        <f ca="1">IFERROR(__xludf.DUMMYFUNCTION("""COMPUTED_VALUE"""),"+.063")</f>
        <v>+.063</v>
      </c>
      <c r="M101" s="1">
        <f ca="1">IFERROR(__xludf.DUMMYFUNCTION("""COMPUTED_VALUE"""),40)</f>
        <v>40</v>
      </c>
      <c r="N101" s="1">
        <f ca="1">IFERROR(__xludf.DUMMYFUNCTION("""COMPUTED_VALUE"""),-2.34)</f>
        <v>-2.34</v>
      </c>
      <c r="O101" s="1">
        <f ca="1">IFERROR(__xludf.DUMMYFUNCTION("""COMPUTED_VALUE"""),198)</f>
        <v>198</v>
      </c>
      <c r="P101" s="1">
        <f ca="1">IFERROR(__xludf.DUMMYFUNCTION("""COMPUTED_VALUE"""),101.4)</f>
        <v>101.4</v>
      </c>
      <c r="Q101" s="1">
        <f ca="1">IFERROR(__xludf.DUMMYFUNCTION("""COMPUTED_VALUE"""),210)</f>
        <v>210</v>
      </c>
      <c r="R101" s="1">
        <f ca="1">IFERROR(__xludf.DUMMYFUNCTION("""COMPUTED_VALUE"""),103.7)</f>
        <v>103.7</v>
      </c>
      <c r="S101" s="1">
        <f ca="1">IFERROR(__xludf.DUMMYFUNCTION("""COMPUTED_VALUE"""),197)</f>
        <v>197</v>
      </c>
      <c r="T101" s="1" t="str">
        <f ca="1">IFERROR(__xludf.DUMMYFUNCTION("""COMPUTED_VALUE"""),"+2.28")</f>
        <v>+2.28</v>
      </c>
      <c r="U101" s="1">
        <f ca="1">IFERROR(__xludf.DUMMYFUNCTION("""COMPUTED_VALUE"""),97)</f>
        <v>97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IFERROR(__xludf.DUMMYFUNCTION("""COMPUTED_VALUE"""),"Ball St.")</f>
        <v>Ball St.</v>
      </c>
      <c r="C102" s="1" t="str">
        <f ca="1">IFERROR(__xludf.DUMMYFUNCTION("""COMPUTED_VALUE"""),"MAC")</f>
        <v>MAC</v>
      </c>
      <c r="D102" s="1" t="str">
        <f ca="1">IFERROR(__xludf.DUMMYFUNCTION("""COMPUTED_VALUE"""),"15-13")</f>
        <v>15-13</v>
      </c>
      <c r="E102" s="1" t="str">
        <f ca="1">IFERROR(__xludf.DUMMYFUNCTION("""COMPUTED_VALUE"""),"+6.59")</f>
        <v>+6.59</v>
      </c>
      <c r="F102" s="1">
        <f ca="1">IFERROR(__xludf.DUMMYFUNCTION("""COMPUTED_VALUE"""),109)</f>
        <v>109</v>
      </c>
      <c r="G102" s="1">
        <f ca="1">IFERROR(__xludf.DUMMYFUNCTION("""COMPUTED_VALUE"""),70)</f>
        <v>70</v>
      </c>
      <c r="H102" s="1">
        <f ca="1">IFERROR(__xludf.DUMMYFUNCTION("""COMPUTED_VALUE"""),102.4)</f>
        <v>102.4</v>
      </c>
      <c r="I102" s="1">
        <f ca="1">IFERROR(__xludf.DUMMYFUNCTION("""COMPUTED_VALUE"""),157)</f>
        <v>157</v>
      </c>
      <c r="J102" s="1">
        <f ca="1">IFERROR(__xludf.DUMMYFUNCTION("""COMPUTED_VALUE"""),65.8)</f>
        <v>65.8</v>
      </c>
      <c r="K102" s="1">
        <f ca="1">IFERROR(__xludf.DUMMYFUNCTION("""COMPUTED_VALUE"""),183)</f>
        <v>183</v>
      </c>
      <c r="L102" s="1">
        <f ca="1">IFERROR(__xludf.DUMMYFUNCTION("""COMPUTED_VALUE"""),-0.017)</f>
        <v>-1.7000000000000001E-2</v>
      </c>
      <c r="M102" s="1">
        <f ca="1">IFERROR(__xludf.DUMMYFUNCTION("""COMPUTED_VALUE"""),209)</f>
        <v>209</v>
      </c>
      <c r="N102" s="1" t="str">
        <f ca="1">IFERROR(__xludf.DUMMYFUNCTION("""COMPUTED_VALUE"""),"+4.33")</f>
        <v>+4.33</v>
      </c>
      <c r="O102" s="1">
        <f ca="1">IFERROR(__xludf.DUMMYFUNCTION("""COMPUTED_VALUE"""),91)</f>
        <v>91</v>
      </c>
      <c r="P102" s="1">
        <f ca="1">IFERROR(__xludf.DUMMYFUNCTION("""COMPUTED_VALUE"""),106.3)</f>
        <v>106.3</v>
      </c>
      <c r="Q102" s="1">
        <f ca="1">IFERROR(__xludf.DUMMYFUNCTION("""COMPUTED_VALUE"""),63)</f>
        <v>63</v>
      </c>
      <c r="R102" s="1">
        <f ca="1">IFERROR(__xludf.DUMMYFUNCTION("""COMPUTED_VALUE"""),102)</f>
        <v>102</v>
      </c>
      <c r="S102" s="1">
        <f ca="1">IFERROR(__xludf.DUMMYFUNCTION("""COMPUTED_VALUE"""),110)</f>
        <v>110</v>
      </c>
      <c r="T102" s="1" t="str">
        <f ca="1">IFERROR(__xludf.DUMMYFUNCTION("""COMPUTED_VALUE"""),"+3.79")</f>
        <v>+3.79</v>
      </c>
      <c r="U102" s="1">
        <f ca="1">IFERROR(__xludf.DUMMYFUNCTION("""COMPUTED_VALUE"""),72)</f>
        <v>72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IFERROR(__xludf.DUMMYFUNCTION("""COMPUTED_VALUE"""),"TCU")</f>
        <v>TCU</v>
      </c>
      <c r="C103" s="1" t="str">
        <f ca="1">IFERROR(__xludf.DUMMYFUNCTION("""COMPUTED_VALUE"""),"CUSA")</f>
        <v>CUSA</v>
      </c>
      <c r="D103" s="1" t="str">
        <f ca="1">IFERROR(__xludf.DUMMYFUNCTION("""COMPUTED_VALUE"""),"21-14")</f>
        <v>21-14</v>
      </c>
      <c r="E103" s="1" t="str">
        <f ca="1">IFERROR(__xludf.DUMMYFUNCTION("""COMPUTED_VALUE"""),"+6.59")</f>
        <v>+6.59</v>
      </c>
      <c r="F103" s="1">
        <f ca="1">IFERROR(__xludf.DUMMYFUNCTION("""COMPUTED_VALUE"""),103.2)</f>
        <v>103.2</v>
      </c>
      <c r="G103" s="1">
        <f ca="1">IFERROR(__xludf.DUMMYFUNCTION("""COMPUTED_VALUE"""),157)</f>
        <v>157</v>
      </c>
      <c r="H103" s="1">
        <f ca="1">IFERROR(__xludf.DUMMYFUNCTION("""COMPUTED_VALUE"""),96.6)</f>
        <v>96.6</v>
      </c>
      <c r="I103" s="1">
        <f ca="1">IFERROR(__xludf.DUMMYFUNCTION("""COMPUTED_VALUE"""),54)</f>
        <v>54</v>
      </c>
      <c r="J103" s="1">
        <f ca="1">IFERROR(__xludf.DUMMYFUNCTION("""COMPUTED_VALUE"""),68)</f>
        <v>68</v>
      </c>
      <c r="K103" s="1">
        <f ca="1">IFERROR(__xludf.DUMMYFUNCTION("""COMPUTED_VALUE"""),92)</f>
        <v>92</v>
      </c>
      <c r="L103" s="1" t="str">
        <f ca="1">IFERROR(__xludf.DUMMYFUNCTION("""COMPUTED_VALUE"""),"+.047")</f>
        <v>+.047</v>
      </c>
      <c r="M103" s="1">
        <f ca="1">IFERROR(__xludf.DUMMYFUNCTION("""COMPUTED_VALUE"""),63)</f>
        <v>63</v>
      </c>
      <c r="N103" s="1" t="str">
        <f ca="1">IFERROR(__xludf.DUMMYFUNCTION("""COMPUTED_VALUE"""),"+4.51")</f>
        <v>+4.51</v>
      </c>
      <c r="O103" s="1">
        <f ca="1">IFERROR(__xludf.DUMMYFUNCTION("""COMPUTED_VALUE"""),86)</f>
        <v>86</v>
      </c>
      <c r="P103" s="1">
        <f ca="1">IFERROR(__xludf.DUMMYFUNCTION("""COMPUTED_VALUE"""),105.1)</f>
        <v>105.1</v>
      </c>
      <c r="Q103" s="1">
        <f ca="1">IFERROR(__xludf.DUMMYFUNCTION("""COMPUTED_VALUE"""),101)</f>
        <v>101</v>
      </c>
      <c r="R103" s="1">
        <f ca="1">IFERROR(__xludf.DUMMYFUNCTION("""COMPUTED_VALUE"""),100.6)</f>
        <v>100.6</v>
      </c>
      <c r="S103" s="1">
        <f ca="1">IFERROR(__xludf.DUMMYFUNCTION("""COMPUTED_VALUE"""),75)</f>
        <v>75</v>
      </c>
      <c r="T103" s="1">
        <f ca="1">IFERROR(__xludf.DUMMYFUNCTION("""COMPUTED_VALUE"""),-3.39)</f>
        <v>-3.39</v>
      </c>
      <c r="U103" s="1">
        <f ca="1">IFERROR(__xludf.DUMMYFUNCTION("""COMPUTED_VALUE"""),245)</f>
        <v>245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IFERROR(__xludf.DUMMYFUNCTION("""COMPUTED_VALUE"""),"Marquette")</f>
        <v>Marquette</v>
      </c>
      <c r="C104" s="1" t="str">
        <f ca="1">IFERROR(__xludf.DUMMYFUNCTION("""COMPUTED_VALUE"""),"CUSA")</f>
        <v>CUSA</v>
      </c>
      <c r="D104" s="1" t="str">
        <f ca="1">IFERROR(__xludf.DUMMYFUNCTION("""COMPUTED_VALUE"""),"19-12")</f>
        <v>19-12</v>
      </c>
      <c r="E104" s="1" t="str">
        <f ca="1">IFERROR(__xludf.DUMMYFUNCTION("""COMPUTED_VALUE"""),"+6.57")</f>
        <v>+6.57</v>
      </c>
      <c r="F104" s="1">
        <f ca="1">IFERROR(__xludf.DUMMYFUNCTION("""COMPUTED_VALUE"""),109.6)</f>
        <v>109.6</v>
      </c>
      <c r="G104" s="1">
        <f ca="1">IFERROR(__xludf.DUMMYFUNCTION("""COMPUTED_VALUE"""),62)</f>
        <v>62</v>
      </c>
      <c r="H104" s="1">
        <f ca="1">IFERROR(__xludf.DUMMYFUNCTION("""COMPUTED_VALUE"""),103)</f>
        <v>103</v>
      </c>
      <c r="I104" s="1">
        <f ca="1">IFERROR(__xludf.DUMMYFUNCTION("""COMPUTED_VALUE"""),171)</f>
        <v>171</v>
      </c>
      <c r="J104" s="1">
        <f ca="1">IFERROR(__xludf.DUMMYFUNCTION("""COMPUTED_VALUE"""),61.2)</f>
        <v>61.2</v>
      </c>
      <c r="K104" s="1">
        <f ca="1">IFERROR(__xludf.DUMMYFUNCTION("""COMPUTED_VALUE"""),309)</f>
        <v>309</v>
      </c>
      <c r="L104" s="1" t="str">
        <f ca="1">IFERROR(__xludf.DUMMYFUNCTION("""COMPUTED_VALUE"""),"+.051")</f>
        <v>+.051</v>
      </c>
      <c r="M104" s="1">
        <f ca="1">IFERROR(__xludf.DUMMYFUNCTION("""COMPUTED_VALUE"""),53)</f>
        <v>53</v>
      </c>
      <c r="N104" s="1" t="str">
        <f ca="1">IFERROR(__xludf.DUMMYFUNCTION("""COMPUTED_VALUE"""),"+3.05")</f>
        <v>+3.05</v>
      </c>
      <c r="O104" s="1">
        <f ca="1">IFERROR(__xludf.DUMMYFUNCTION("""COMPUTED_VALUE"""),109)</f>
        <v>109</v>
      </c>
      <c r="P104" s="1">
        <f ca="1">IFERROR(__xludf.DUMMYFUNCTION("""COMPUTED_VALUE"""),104.1)</f>
        <v>104.1</v>
      </c>
      <c r="Q104" s="1">
        <f ca="1">IFERROR(__xludf.DUMMYFUNCTION("""COMPUTED_VALUE"""),132)</f>
        <v>132</v>
      </c>
      <c r="R104" s="1">
        <f ca="1">IFERROR(__xludf.DUMMYFUNCTION("""COMPUTED_VALUE"""),101)</f>
        <v>101</v>
      </c>
      <c r="S104" s="1">
        <f ca="1">IFERROR(__xludf.DUMMYFUNCTION("""COMPUTED_VALUE"""),88)</f>
        <v>88</v>
      </c>
      <c r="T104" s="1">
        <f ca="1">IFERROR(__xludf.DUMMYFUNCTION("""COMPUTED_VALUE"""),-3.19)</f>
        <v>-3.19</v>
      </c>
      <c r="U104" s="1">
        <f ca="1">IFERROR(__xludf.DUMMYFUNCTION("""COMPUTED_VALUE"""),241)</f>
        <v>241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IFERROR(__xludf.DUMMYFUNCTION("""COMPUTED_VALUE"""),"Cal St. Northridge")</f>
        <v>Cal St. Northridge</v>
      </c>
      <c r="C105" s="1" t="str">
        <f ca="1">IFERROR(__xludf.DUMMYFUNCTION("""COMPUTED_VALUE"""),"BW")</f>
        <v>BW</v>
      </c>
      <c r="D105" s="1" t="str">
        <f ca="1">IFERROR(__xludf.DUMMYFUNCTION("""COMPUTED_VALUE"""),"18-13")</f>
        <v>18-13</v>
      </c>
      <c r="E105" s="1" t="str">
        <f ca="1">IFERROR(__xludf.DUMMYFUNCTION("""COMPUTED_VALUE"""),"+6.56")</f>
        <v>+6.56</v>
      </c>
      <c r="F105" s="1">
        <f ca="1">IFERROR(__xludf.DUMMYFUNCTION("""COMPUTED_VALUE"""),103.3)</f>
        <v>103.3</v>
      </c>
      <c r="G105" s="1">
        <f ca="1">IFERROR(__xludf.DUMMYFUNCTION("""COMPUTED_VALUE"""),155)</f>
        <v>155</v>
      </c>
      <c r="H105" s="1">
        <f ca="1">IFERROR(__xludf.DUMMYFUNCTION("""COMPUTED_VALUE"""),96.7)</f>
        <v>96.7</v>
      </c>
      <c r="I105" s="1">
        <f ca="1">IFERROR(__xludf.DUMMYFUNCTION("""COMPUTED_VALUE"""),56)</f>
        <v>56</v>
      </c>
      <c r="J105" s="1">
        <f ca="1">IFERROR(__xludf.DUMMYFUNCTION("""COMPUTED_VALUE"""),68.5)</f>
        <v>68.5</v>
      </c>
      <c r="K105" s="1">
        <f ca="1">IFERROR(__xludf.DUMMYFUNCTION("""COMPUTED_VALUE"""),76)</f>
        <v>76</v>
      </c>
      <c r="L105" s="1">
        <f ca="1">IFERROR(__xludf.DUMMYFUNCTION("""COMPUTED_VALUE"""),-0.069)</f>
        <v>-6.9000000000000006E-2</v>
      </c>
      <c r="M105" s="1">
        <f ca="1">IFERROR(__xludf.DUMMYFUNCTION("""COMPUTED_VALUE"""),305)</f>
        <v>305</v>
      </c>
      <c r="N105" s="1">
        <f ca="1">IFERROR(__xludf.DUMMYFUNCTION("""COMPUTED_VALUE"""),-0.92)</f>
        <v>-0.92</v>
      </c>
      <c r="O105" s="1">
        <f ca="1">IFERROR(__xludf.DUMMYFUNCTION("""COMPUTED_VALUE"""),174)</f>
        <v>174</v>
      </c>
      <c r="P105" s="1">
        <f ca="1">IFERROR(__xludf.DUMMYFUNCTION("""COMPUTED_VALUE"""),102.7)</f>
        <v>102.7</v>
      </c>
      <c r="Q105" s="1">
        <f ca="1">IFERROR(__xludf.DUMMYFUNCTION("""COMPUTED_VALUE"""),175)</f>
        <v>175</v>
      </c>
      <c r="R105" s="1">
        <f ca="1">IFERROR(__xludf.DUMMYFUNCTION("""COMPUTED_VALUE"""),103.7)</f>
        <v>103.7</v>
      </c>
      <c r="S105" s="1">
        <f ca="1">IFERROR(__xludf.DUMMYFUNCTION("""COMPUTED_VALUE"""),192)</f>
        <v>192</v>
      </c>
      <c r="T105" s="1" t="str">
        <f ca="1">IFERROR(__xludf.DUMMYFUNCTION("""COMPUTED_VALUE"""),"+1.19")</f>
        <v>+1.19</v>
      </c>
      <c r="U105" s="1">
        <f ca="1">IFERROR(__xludf.DUMMYFUNCTION("""COMPUTED_VALUE"""),126)</f>
        <v>126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IFERROR(__xludf.DUMMYFUNCTION("""COMPUTED_VALUE"""),"Houston")</f>
        <v>Houston</v>
      </c>
      <c r="C106" s="1" t="str">
        <f ca="1">IFERROR(__xludf.DUMMYFUNCTION("""COMPUTED_VALUE"""),"CUSA")</f>
        <v>CUSA</v>
      </c>
      <c r="D106" s="1" t="str">
        <f ca="1">IFERROR(__xludf.DUMMYFUNCTION("""COMPUTED_VALUE"""),"18-14")</f>
        <v>18-14</v>
      </c>
      <c r="E106" s="1" t="str">
        <f ca="1">IFERROR(__xludf.DUMMYFUNCTION("""COMPUTED_VALUE"""),"+6.55")</f>
        <v>+6.55</v>
      </c>
      <c r="F106" s="1">
        <f ca="1">IFERROR(__xludf.DUMMYFUNCTION("""COMPUTED_VALUE"""),106.4)</f>
        <v>106.4</v>
      </c>
      <c r="G106" s="1">
        <f ca="1">IFERROR(__xludf.DUMMYFUNCTION("""COMPUTED_VALUE"""),105)</f>
        <v>105</v>
      </c>
      <c r="H106" s="1">
        <f ca="1">IFERROR(__xludf.DUMMYFUNCTION("""COMPUTED_VALUE"""),99.8)</f>
        <v>99.8</v>
      </c>
      <c r="I106" s="1">
        <f ca="1">IFERROR(__xludf.DUMMYFUNCTION("""COMPUTED_VALUE"""),101)</f>
        <v>101</v>
      </c>
      <c r="J106" s="1">
        <f ca="1">IFERROR(__xludf.DUMMYFUNCTION("""COMPUTED_VALUE"""),66.3)</f>
        <v>66.3</v>
      </c>
      <c r="K106" s="1">
        <f ca="1">IFERROR(__xludf.DUMMYFUNCTION("""COMPUTED_VALUE"""),155)</f>
        <v>155</v>
      </c>
      <c r="L106" s="1" t="str">
        <f ca="1">IFERROR(__xludf.DUMMYFUNCTION("""COMPUTED_VALUE"""),"+.037")</f>
        <v>+.037</v>
      </c>
      <c r="M106" s="1">
        <f ca="1">IFERROR(__xludf.DUMMYFUNCTION("""COMPUTED_VALUE"""),82)</f>
        <v>82</v>
      </c>
      <c r="N106" s="1" t="str">
        <f ca="1">IFERROR(__xludf.DUMMYFUNCTION("""COMPUTED_VALUE"""),"+4.52")</f>
        <v>+4.52</v>
      </c>
      <c r="O106" s="1">
        <f ca="1">IFERROR(__xludf.DUMMYFUNCTION("""COMPUTED_VALUE"""),85)</f>
        <v>85</v>
      </c>
      <c r="P106" s="1">
        <f ca="1">IFERROR(__xludf.DUMMYFUNCTION("""COMPUTED_VALUE"""),105.1)</f>
        <v>105.1</v>
      </c>
      <c r="Q106" s="1">
        <f ca="1">IFERROR(__xludf.DUMMYFUNCTION("""COMPUTED_VALUE"""),104)</f>
        <v>104</v>
      </c>
      <c r="R106" s="1">
        <f ca="1">IFERROR(__xludf.DUMMYFUNCTION("""COMPUTED_VALUE"""),100.5)</f>
        <v>100.5</v>
      </c>
      <c r="S106" s="1">
        <f ca="1">IFERROR(__xludf.DUMMYFUNCTION("""COMPUTED_VALUE"""),73)</f>
        <v>73</v>
      </c>
      <c r="T106" s="1" t="str">
        <f ca="1">IFERROR(__xludf.DUMMYFUNCTION("""COMPUTED_VALUE"""),"+2.42")</f>
        <v>+2.42</v>
      </c>
      <c r="U106" s="1">
        <f ca="1">IFERROR(__xludf.DUMMYFUNCTION("""COMPUTED_VALUE"""),94)</f>
        <v>94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IFERROR(__xludf.DUMMYFUNCTION("""COMPUTED_VALUE"""),"Missouri")</f>
        <v>Missouri</v>
      </c>
      <c r="C107" s="1" t="str">
        <f ca="1">IFERROR(__xludf.DUMMYFUNCTION("""COMPUTED_VALUE"""),"B12")</f>
        <v>B12</v>
      </c>
      <c r="D107" s="1" t="str">
        <f ca="1">IFERROR(__xludf.DUMMYFUNCTION("""COMPUTED_VALUE"""),"16-17")</f>
        <v>16-17</v>
      </c>
      <c r="E107" s="1" t="str">
        <f ca="1">IFERROR(__xludf.DUMMYFUNCTION("""COMPUTED_VALUE"""),"+6.37")</f>
        <v>+6.37</v>
      </c>
      <c r="F107" s="1">
        <f ca="1">IFERROR(__xludf.DUMMYFUNCTION("""COMPUTED_VALUE"""),104.2)</f>
        <v>104.2</v>
      </c>
      <c r="G107" s="1">
        <f ca="1">IFERROR(__xludf.DUMMYFUNCTION("""COMPUTED_VALUE"""),141)</f>
        <v>141</v>
      </c>
      <c r="H107" s="1">
        <f ca="1">IFERROR(__xludf.DUMMYFUNCTION("""COMPUTED_VALUE"""),97.8)</f>
        <v>97.8</v>
      </c>
      <c r="I107" s="1">
        <f ca="1">IFERROR(__xludf.DUMMYFUNCTION("""COMPUTED_VALUE"""),70)</f>
        <v>70</v>
      </c>
      <c r="J107" s="1">
        <f ca="1">IFERROR(__xludf.DUMMYFUNCTION("""COMPUTED_VALUE"""),64.1)</f>
        <v>64.099999999999994</v>
      </c>
      <c r="K107" s="1">
        <f ca="1">IFERROR(__xludf.DUMMYFUNCTION("""COMPUTED_VALUE"""),246)</f>
        <v>246</v>
      </c>
      <c r="L107" s="1" t="str">
        <f ca="1">IFERROR(__xludf.DUMMYFUNCTION("""COMPUTED_VALUE"""),"+.049")</f>
        <v>+.049</v>
      </c>
      <c r="M107" s="1">
        <f ca="1">IFERROR(__xludf.DUMMYFUNCTION("""COMPUTED_VALUE"""),60)</f>
        <v>60</v>
      </c>
      <c r="N107" s="1" t="str">
        <f ca="1">IFERROR(__xludf.DUMMYFUNCTION("""COMPUTED_VALUE"""),"+8.14")</f>
        <v>+8.14</v>
      </c>
      <c r="O107" s="1">
        <f ca="1">IFERROR(__xludf.DUMMYFUNCTION("""COMPUTED_VALUE"""),29)</f>
        <v>29</v>
      </c>
      <c r="P107" s="1">
        <f ca="1">IFERROR(__xludf.DUMMYFUNCTION("""COMPUTED_VALUE"""),108.1)</f>
        <v>108.1</v>
      </c>
      <c r="Q107" s="1">
        <f ca="1">IFERROR(__xludf.DUMMYFUNCTION("""COMPUTED_VALUE"""),17)</f>
        <v>17</v>
      </c>
      <c r="R107" s="1">
        <f ca="1">IFERROR(__xludf.DUMMYFUNCTION("""COMPUTED_VALUE"""),100)</f>
        <v>100</v>
      </c>
      <c r="S107" s="1">
        <f ca="1">IFERROR(__xludf.DUMMYFUNCTION("""COMPUTED_VALUE"""),53)</f>
        <v>53</v>
      </c>
      <c r="T107" s="1" t="str">
        <f ca="1">IFERROR(__xludf.DUMMYFUNCTION("""COMPUTED_VALUE"""),"+2.30")</f>
        <v>+2.30</v>
      </c>
      <c r="U107" s="1">
        <f ca="1">IFERROR(__xludf.DUMMYFUNCTION("""COMPUTED_VALUE"""),96)</f>
        <v>96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IFERROR(__xludf.DUMMYFUNCTION("""COMPUTED_VALUE"""),"Florida St.")</f>
        <v>Florida St.</v>
      </c>
      <c r="C108" s="1" t="str">
        <f ca="1">IFERROR(__xludf.DUMMYFUNCTION("""COMPUTED_VALUE"""),"ACC")</f>
        <v>ACC</v>
      </c>
      <c r="D108" s="2">
        <f ca="1">IFERROR(__xludf.DUMMYFUNCTION("""COMPUTED_VALUE"""),44914)</f>
        <v>44914</v>
      </c>
      <c r="E108" s="1" t="str">
        <f ca="1">IFERROR(__xludf.DUMMYFUNCTION("""COMPUTED_VALUE"""),"+6.24")</f>
        <v>+6.24</v>
      </c>
      <c r="F108" s="1">
        <f ca="1">IFERROR(__xludf.DUMMYFUNCTION("""COMPUTED_VALUE"""),105.1)</f>
        <v>105.1</v>
      </c>
      <c r="G108" s="1">
        <f ca="1">IFERROR(__xludf.DUMMYFUNCTION("""COMPUTED_VALUE"""),125)</f>
        <v>125</v>
      </c>
      <c r="H108" s="1">
        <f ca="1">IFERROR(__xludf.DUMMYFUNCTION("""COMPUTED_VALUE"""),98.9)</f>
        <v>98.9</v>
      </c>
      <c r="I108" s="1">
        <f ca="1">IFERROR(__xludf.DUMMYFUNCTION("""COMPUTED_VALUE"""),84)</f>
        <v>84</v>
      </c>
      <c r="J108" s="1">
        <f ca="1">IFERROR(__xludf.DUMMYFUNCTION("""COMPUTED_VALUE"""),65.4)</f>
        <v>65.400000000000006</v>
      </c>
      <c r="K108" s="1">
        <f ca="1">IFERROR(__xludf.DUMMYFUNCTION("""COMPUTED_VALUE"""),198)</f>
        <v>198</v>
      </c>
      <c r="L108" s="1">
        <f ca="1">IFERROR(__xludf.DUMMYFUNCTION("""COMPUTED_VALUE"""),-0.067)</f>
        <v>-6.7000000000000004E-2</v>
      </c>
      <c r="M108" s="1">
        <f ca="1">IFERROR(__xludf.DUMMYFUNCTION("""COMPUTED_VALUE"""),302)</f>
        <v>302</v>
      </c>
      <c r="N108" s="1" t="str">
        <f ca="1">IFERROR(__xludf.DUMMYFUNCTION("""COMPUTED_VALUE"""),"+10.23")</f>
        <v>+10.23</v>
      </c>
      <c r="O108" s="1">
        <f ca="1">IFERROR(__xludf.DUMMYFUNCTION("""COMPUTED_VALUE"""),10)</f>
        <v>10</v>
      </c>
      <c r="P108" s="1">
        <f ca="1">IFERROR(__xludf.DUMMYFUNCTION("""COMPUTED_VALUE"""),108.2)</f>
        <v>108.2</v>
      </c>
      <c r="Q108" s="1">
        <f ca="1">IFERROR(__xludf.DUMMYFUNCTION("""COMPUTED_VALUE"""),16)</f>
        <v>16</v>
      </c>
      <c r="R108" s="1">
        <f ca="1">IFERROR(__xludf.DUMMYFUNCTION("""COMPUTED_VALUE"""),98)</f>
        <v>98</v>
      </c>
      <c r="S108" s="1">
        <f ca="1">IFERROR(__xludf.DUMMYFUNCTION("""COMPUTED_VALUE"""),9)</f>
        <v>9</v>
      </c>
      <c r="T108" s="1">
        <f ca="1">IFERROR(__xludf.DUMMYFUNCTION("""COMPUTED_VALUE"""),-0.84)</f>
        <v>-0.84</v>
      </c>
      <c r="U108" s="1">
        <f ca="1">IFERROR(__xludf.DUMMYFUNCTION("""COMPUTED_VALUE"""),181)</f>
        <v>181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IFERROR(__xludf.DUMMYFUNCTION("""COMPUTED_VALUE"""),"Hofstra")</f>
        <v>Hofstra</v>
      </c>
      <c r="C109" s="1" t="str">
        <f ca="1">IFERROR(__xludf.DUMMYFUNCTION("""COMPUTED_VALUE"""),"CAA")</f>
        <v>CAA</v>
      </c>
      <c r="D109" s="1" t="str">
        <f ca="1">IFERROR(__xludf.DUMMYFUNCTION("""COMPUTED_VALUE"""),"21-9")</f>
        <v>21-9</v>
      </c>
      <c r="E109" s="1" t="str">
        <f ca="1">IFERROR(__xludf.DUMMYFUNCTION("""COMPUTED_VALUE"""),"+6.18")</f>
        <v>+6.18</v>
      </c>
      <c r="F109" s="1">
        <f ca="1">IFERROR(__xludf.DUMMYFUNCTION("""COMPUTED_VALUE"""),107.3)</f>
        <v>107.3</v>
      </c>
      <c r="G109" s="1">
        <f ca="1">IFERROR(__xludf.DUMMYFUNCTION("""COMPUTED_VALUE"""),90)</f>
        <v>90</v>
      </c>
      <c r="H109" s="1">
        <f ca="1">IFERROR(__xludf.DUMMYFUNCTION("""COMPUTED_VALUE"""),101.1)</f>
        <v>101.1</v>
      </c>
      <c r="I109" s="1">
        <f ca="1">IFERROR(__xludf.DUMMYFUNCTION("""COMPUTED_VALUE"""),132)</f>
        <v>132</v>
      </c>
      <c r="J109" s="1">
        <f ca="1">IFERROR(__xludf.DUMMYFUNCTION("""COMPUTED_VALUE"""),66.7)</f>
        <v>66.7</v>
      </c>
      <c r="K109" s="1">
        <f ca="1">IFERROR(__xludf.DUMMYFUNCTION("""COMPUTED_VALUE"""),134)</f>
        <v>134</v>
      </c>
      <c r="L109" s="1" t="str">
        <f ca="1">IFERROR(__xludf.DUMMYFUNCTION("""COMPUTED_VALUE"""),"+.021")</f>
        <v>+.021</v>
      </c>
      <c r="M109" s="1">
        <f ca="1">IFERROR(__xludf.DUMMYFUNCTION("""COMPUTED_VALUE"""),112)</f>
        <v>112</v>
      </c>
      <c r="N109" s="1">
        <f ca="1">IFERROR(__xludf.DUMMYFUNCTION("""COMPUTED_VALUE"""),-2.68)</f>
        <v>-2.68</v>
      </c>
      <c r="O109" s="1">
        <f ca="1">IFERROR(__xludf.DUMMYFUNCTION("""COMPUTED_VALUE"""),207)</f>
        <v>207</v>
      </c>
      <c r="P109" s="1">
        <f ca="1">IFERROR(__xludf.DUMMYFUNCTION("""COMPUTED_VALUE"""),100.3)</f>
        <v>100.3</v>
      </c>
      <c r="Q109" s="1">
        <f ca="1">IFERROR(__xludf.DUMMYFUNCTION("""COMPUTED_VALUE"""),242)</f>
        <v>242</v>
      </c>
      <c r="R109" s="1">
        <f ca="1">IFERROR(__xludf.DUMMYFUNCTION("""COMPUTED_VALUE"""),103)</f>
        <v>103</v>
      </c>
      <c r="S109" s="1">
        <f ca="1">IFERROR(__xludf.DUMMYFUNCTION("""COMPUTED_VALUE"""),151)</f>
        <v>151</v>
      </c>
      <c r="T109" s="1">
        <f ca="1">IFERROR(__xludf.DUMMYFUNCTION("""COMPUTED_VALUE"""),-4.55)</f>
        <v>-4.55</v>
      </c>
      <c r="U109" s="1">
        <f ca="1">IFERROR(__xludf.DUMMYFUNCTION("""COMPUTED_VALUE"""),274)</f>
        <v>274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IFERROR(__xludf.DUMMYFUNCTION("""COMPUTED_VALUE"""),"Drexel")</f>
        <v>Drexel</v>
      </c>
      <c r="C110" s="1" t="str">
        <f ca="1">IFERROR(__xludf.DUMMYFUNCTION("""COMPUTED_VALUE"""),"CAA")</f>
        <v>CAA</v>
      </c>
      <c r="D110" s="1" t="str">
        <f ca="1">IFERROR(__xludf.DUMMYFUNCTION("""COMPUTED_VALUE"""),"17-12")</f>
        <v>17-12</v>
      </c>
      <c r="E110" s="1" t="str">
        <f ca="1">IFERROR(__xludf.DUMMYFUNCTION("""COMPUTED_VALUE"""),"+5.63")</f>
        <v>+5.63</v>
      </c>
      <c r="F110" s="1">
        <f ca="1">IFERROR(__xludf.DUMMYFUNCTION("""COMPUTED_VALUE"""),106.3)</f>
        <v>106.3</v>
      </c>
      <c r="G110" s="1">
        <f ca="1">IFERROR(__xludf.DUMMYFUNCTION("""COMPUTED_VALUE"""),107)</f>
        <v>107</v>
      </c>
      <c r="H110" s="1">
        <f ca="1">IFERROR(__xludf.DUMMYFUNCTION("""COMPUTED_VALUE"""),100.7)</f>
        <v>100.7</v>
      </c>
      <c r="I110" s="1">
        <f ca="1">IFERROR(__xludf.DUMMYFUNCTION("""COMPUTED_VALUE"""),122)</f>
        <v>122</v>
      </c>
      <c r="J110" s="1">
        <f ca="1">IFERROR(__xludf.DUMMYFUNCTION("""COMPUTED_VALUE"""),65)</f>
        <v>65</v>
      </c>
      <c r="K110" s="1">
        <f ca="1">IFERROR(__xludf.DUMMYFUNCTION("""COMPUTED_VALUE"""),215)</f>
        <v>215</v>
      </c>
      <c r="L110" s="1">
        <f ca="1">IFERROR(__xludf.DUMMYFUNCTION("""COMPUTED_VALUE"""),-0.024)</f>
        <v>-2.4E-2</v>
      </c>
      <c r="M110" s="1">
        <f ca="1">IFERROR(__xludf.DUMMYFUNCTION("""COMPUTED_VALUE"""),225)</f>
        <v>225</v>
      </c>
      <c r="N110" s="1">
        <f ca="1">IFERROR(__xludf.DUMMYFUNCTION("""COMPUTED_VALUE"""),-0.36)</f>
        <v>-0.36</v>
      </c>
      <c r="O110" s="1">
        <f ca="1">IFERROR(__xludf.DUMMYFUNCTION("""COMPUTED_VALUE"""),160)</f>
        <v>160</v>
      </c>
      <c r="P110" s="1">
        <f ca="1">IFERROR(__xludf.DUMMYFUNCTION("""COMPUTED_VALUE"""),102.3)</f>
        <v>102.3</v>
      </c>
      <c r="Q110" s="1">
        <f ca="1">IFERROR(__xludf.DUMMYFUNCTION("""COMPUTED_VALUE"""),189)</f>
        <v>189</v>
      </c>
      <c r="R110" s="1">
        <f ca="1">IFERROR(__xludf.DUMMYFUNCTION("""COMPUTED_VALUE"""),102.6)</f>
        <v>102.6</v>
      </c>
      <c r="S110" s="1">
        <f ca="1">IFERROR(__xludf.DUMMYFUNCTION("""COMPUTED_VALUE"""),144)</f>
        <v>144</v>
      </c>
      <c r="T110" s="1" t="str">
        <f ca="1">IFERROR(__xludf.DUMMYFUNCTION("""COMPUTED_VALUE"""),"+4.83")</f>
        <v>+4.83</v>
      </c>
      <c r="U110" s="1">
        <f ca="1">IFERROR(__xludf.DUMMYFUNCTION("""COMPUTED_VALUE"""),53)</f>
        <v>53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IFERROR(__xludf.DUMMYFUNCTION("""COMPUTED_VALUE"""),"St. John's")</f>
        <v>St. John's</v>
      </c>
      <c r="C111" s="1" t="str">
        <f ca="1">IFERROR(__xludf.DUMMYFUNCTION("""COMPUTED_VALUE"""),"BE")</f>
        <v>BE</v>
      </c>
      <c r="D111" s="2">
        <f ca="1">IFERROR(__xludf.DUMMYFUNCTION("""COMPUTED_VALUE"""),44822)</f>
        <v>44822</v>
      </c>
      <c r="E111" s="1" t="str">
        <f ca="1">IFERROR(__xludf.DUMMYFUNCTION("""COMPUTED_VALUE"""),"+5.46")</f>
        <v>+5.46</v>
      </c>
      <c r="F111" s="1">
        <f ca="1">IFERROR(__xludf.DUMMYFUNCTION("""COMPUTED_VALUE"""),101.6)</f>
        <v>101.6</v>
      </c>
      <c r="G111" s="1">
        <f ca="1">IFERROR(__xludf.DUMMYFUNCTION("""COMPUTED_VALUE"""),193)</f>
        <v>193</v>
      </c>
      <c r="H111" s="1">
        <f ca="1">IFERROR(__xludf.DUMMYFUNCTION("""COMPUTED_VALUE"""),96.1)</f>
        <v>96.1</v>
      </c>
      <c r="I111" s="1">
        <f ca="1">IFERROR(__xludf.DUMMYFUNCTION("""COMPUTED_VALUE"""),49)</f>
        <v>49</v>
      </c>
      <c r="J111" s="1">
        <f ca="1">IFERROR(__xludf.DUMMYFUNCTION("""COMPUTED_VALUE"""),66.3)</f>
        <v>66.3</v>
      </c>
      <c r="K111" s="1">
        <f ca="1">IFERROR(__xludf.DUMMYFUNCTION("""COMPUTED_VALUE"""),153)</f>
        <v>153</v>
      </c>
      <c r="L111" s="1">
        <f ca="1">IFERROR(__xludf.DUMMYFUNCTION("""COMPUTED_VALUE"""),-0.079)</f>
        <v>-7.9000000000000001E-2</v>
      </c>
      <c r="M111" s="1">
        <f ca="1">IFERROR(__xludf.DUMMYFUNCTION("""COMPUTED_VALUE"""),312)</f>
        <v>312</v>
      </c>
      <c r="N111" s="1" t="str">
        <f ca="1">IFERROR(__xludf.DUMMYFUNCTION("""COMPUTED_VALUE"""),"+8.58")</f>
        <v>+8.58</v>
      </c>
      <c r="O111" s="1">
        <f ca="1">IFERROR(__xludf.DUMMYFUNCTION("""COMPUTED_VALUE"""),24)</f>
        <v>24</v>
      </c>
      <c r="P111" s="1">
        <f ca="1">IFERROR(__xludf.DUMMYFUNCTION("""COMPUTED_VALUE"""),108.3)</f>
        <v>108.3</v>
      </c>
      <c r="Q111" s="1">
        <f ca="1">IFERROR(__xludf.DUMMYFUNCTION("""COMPUTED_VALUE"""),15)</f>
        <v>15</v>
      </c>
      <c r="R111" s="1">
        <f ca="1">IFERROR(__xludf.DUMMYFUNCTION("""COMPUTED_VALUE"""),99.7)</f>
        <v>99.7</v>
      </c>
      <c r="S111" s="1">
        <f ca="1">IFERROR(__xludf.DUMMYFUNCTION("""COMPUTED_VALUE"""),42)</f>
        <v>42</v>
      </c>
      <c r="T111" s="1">
        <f ca="1">IFERROR(__xludf.DUMMYFUNCTION("""COMPUTED_VALUE"""),-1.14)</f>
        <v>-1.1399999999999999</v>
      </c>
      <c r="U111" s="1">
        <f ca="1">IFERROR(__xludf.DUMMYFUNCTION("""COMPUTED_VALUE"""),193)</f>
        <v>193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IFERROR(__xludf.DUMMYFUNCTION("""COMPUTED_VALUE"""),"Niagara14")</f>
        <v>Niagara14</v>
      </c>
      <c r="C112" s="1" t="str">
        <f ca="1">IFERROR(__xludf.DUMMYFUNCTION("""COMPUTED_VALUE"""),"MAAC")</f>
        <v>MAAC</v>
      </c>
      <c r="D112" s="1" t="str">
        <f ca="1">IFERROR(__xludf.DUMMYFUNCTION("""COMPUTED_VALUE"""),"20-10")</f>
        <v>20-10</v>
      </c>
      <c r="E112" s="1" t="str">
        <f ca="1">IFERROR(__xludf.DUMMYFUNCTION("""COMPUTED_VALUE"""),"+5.43")</f>
        <v>+5.43</v>
      </c>
      <c r="F112" s="1">
        <f ca="1">IFERROR(__xludf.DUMMYFUNCTION("""COMPUTED_VALUE"""),115.2)</f>
        <v>115.2</v>
      </c>
      <c r="G112" s="1">
        <f ca="1">IFERROR(__xludf.DUMMYFUNCTION("""COMPUTED_VALUE"""),16)</f>
        <v>16</v>
      </c>
      <c r="H112" s="1">
        <f ca="1">IFERROR(__xludf.DUMMYFUNCTION("""COMPUTED_VALUE"""),109.8)</f>
        <v>109.8</v>
      </c>
      <c r="I112" s="1">
        <f ca="1">IFERROR(__xludf.DUMMYFUNCTION("""COMPUTED_VALUE"""),289)</f>
        <v>289</v>
      </c>
      <c r="J112" s="1">
        <f ca="1">IFERROR(__xludf.DUMMYFUNCTION("""COMPUTED_VALUE"""),70.1)</f>
        <v>70.099999999999994</v>
      </c>
      <c r="K112" s="1">
        <f ca="1">IFERROR(__xludf.DUMMYFUNCTION("""COMPUTED_VALUE"""),38)</f>
        <v>38</v>
      </c>
      <c r="L112" s="1">
        <f ca="1">IFERROR(__xludf.DUMMYFUNCTION("""COMPUTED_VALUE"""),-0.027)</f>
        <v>-2.7E-2</v>
      </c>
      <c r="M112" s="1">
        <f ca="1">IFERROR(__xludf.DUMMYFUNCTION("""COMPUTED_VALUE"""),238)</f>
        <v>238</v>
      </c>
      <c r="N112" s="1">
        <f ca="1">IFERROR(__xludf.DUMMYFUNCTION("""COMPUTED_VALUE"""),-3.52)</f>
        <v>-3.52</v>
      </c>
      <c r="O112" s="1">
        <f ca="1">IFERROR(__xludf.DUMMYFUNCTION("""COMPUTED_VALUE"""),230)</f>
        <v>230</v>
      </c>
      <c r="P112" s="1">
        <f ca="1">IFERROR(__xludf.DUMMYFUNCTION("""COMPUTED_VALUE"""),101.3)</f>
        <v>101.3</v>
      </c>
      <c r="Q112" s="1">
        <f ca="1">IFERROR(__xludf.DUMMYFUNCTION("""COMPUTED_VALUE"""),214)</f>
        <v>214</v>
      </c>
      <c r="R112" s="1">
        <f ca="1">IFERROR(__xludf.DUMMYFUNCTION("""COMPUTED_VALUE"""),104.8)</f>
        <v>104.8</v>
      </c>
      <c r="S112" s="1">
        <f ca="1">IFERROR(__xludf.DUMMYFUNCTION("""COMPUTED_VALUE"""),239)</f>
        <v>239</v>
      </c>
      <c r="T112" s="1" t="str">
        <f ca="1">IFERROR(__xludf.DUMMYFUNCTION("""COMPUTED_VALUE"""),"+0.83")</f>
        <v>+0.83</v>
      </c>
      <c r="U112" s="1">
        <f ca="1">IFERROR(__xludf.DUMMYFUNCTION("""COMPUTED_VALUE"""),137)</f>
        <v>137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IFERROR(__xludf.DUMMYFUNCTION("""COMPUTED_VALUE"""),"Mississippi")</f>
        <v>Mississippi</v>
      </c>
      <c r="C113" s="1" t="str">
        <f ca="1">IFERROR(__xludf.DUMMYFUNCTION("""COMPUTED_VALUE"""),"SEC")</f>
        <v>SEC</v>
      </c>
      <c r="D113" s="1" t="str">
        <f ca="1">IFERROR(__xludf.DUMMYFUNCTION("""COMPUTED_VALUE"""),"14-17")</f>
        <v>14-17</v>
      </c>
      <c r="E113" s="1" t="str">
        <f ca="1">IFERROR(__xludf.DUMMYFUNCTION("""COMPUTED_VALUE"""),"+4.99")</f>
        <v>+4.99</v>
      </c>
      <c r="F113" s="1">
        <f ca="1">IFERROR(__xludf.DUMMYFUNCTION("""COMPUTED_VALUE"""),102.8)</f>
        <v>102.8</v>
      </c>
      <c r="G113" s="1">
        <f ca="1">IFERROR(__xludf.DUMMYFUNCTION("""COMPUTED_VALUE"""),163)</f>
        <v>163</v>
      </c>
      <c r="H113" s="1">
        <f ca="1">IFERROR(__xludf.DUMMYFUNCTION("""COMPUTED_VALUE"""),97.8)</f>
        <v>97.8</v>
      </c>
      <c r="I113" s="1">
        <f ca="1">IFERROR(__xludf.DUMMYFUNCTION("""COMPUTED_VALUE"""),71)</f>
        <v>71</v>
      </c>
      <c r="J113" s="1">
        <f ca="1">IFERROR(__xludf.DUMMYFUNCTION("""COMPUTED_VALUE"""),63.4)</f>
        <v>63.4</v>
      </c>
      <c r="K113" s="1">
        <f ca="1">IFERROR(__xludf.DUMMYFUNCTION("""COMPUTED_VALUE"""),276)</f>
        <v>276</v>
      </c>
      <c r="L113" s="1">
        <f ca="1">IFERROR(__xludf.DUMMYFUNCTION("""COMPUTED_VALUE"""),-0.029)</f>
        <v>-2.9000000000000001E-2</v>
      </c>
      <c r="M113" s="1">
        <f ca="1">IFERROR(__xludf.DUMMYFUNCTION("""COMPUTED_VALUE"""),243)</f>
        <v>243</v>
      </c>
      <c r="N113" s="1" t="str">
        <f ca="1">IFERROR(__xludf.DUMMYFUNCTION("""COMPUTED_VALUE"""),"+6.30")</f>
        <v>+6.30</v>
      </c>
      <c r="O113" s="1">
        <f ca="1">IFERROR(__xludf.DUMMYFUNCTION("""COMPUTED_VALUE"""),59)</f>
        <v>59</v>
      </c>
      <c r="P113" s="1">
        <f ca="1">IFERROR(__xludf.DUMMYFUNCTION("""COMPUTED_VALUE"""),107)</f>
        <v>107</v>
      </c>
      <c r="Q113" s="1">
        <f ca="1">IFERROR(__xludf.DUMMYFUNCTION("""COMPUTED_VALUE"""),40)</f>
        <v>40</v>
      </c>
      <c r="R113" s="1">
        <f ca="1">IFERROR(__xludf.DUMMYFUNCTION("""COMPUTED_VALUE"""),100.7)</f>
        <v>100.7</v>
      </c>
      <c r="S113" s="1">
        <f ca="1">IFERROR(__xludf.DUMMYFUNCTION("""COMPUTED_VALUE"""),78)</f>
        <v>78</v>
      </c>
      <c r="T113" s="1">
        <f ca="1">IFERROR(__xludf.DUMMYFUNCTION("""COMPUTED_VALUE"""),-3.87)</f>
        <v>-3.87</v>
      </c>
      <c r="U113" s="1">
        <f ca="1">IFERROR(__xludf.DUMMYFUNCTION("""COMPUTED_VALUE"""),254)</f>
        <v>254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IFERROR(__xludf.DUMMYFUNCTION("""COMPUTED_VALUE"""),"Winthrop14")</f>
        <v>Winthrop14</v>
      </c>
      <c r="C114" s="1" t="str">
        <f ca="1">IFERROR(__xludf.DUMMYFUNCTION("""COMPUTED_VALUE"""),"BSth")</f>
        <v>BSth</v>
      </c>
      <c r="D114" s="1" t="str">
        <f ca="1">IFERROR(__xludf.DUMMYFUNCTION("""COMPUTED_VALUE"""),"27-6")</f>
        <v>27-6</v>
      </c>
      <c r="E114" s="1" t="str">
        <f ca="1">IFERROR(__xludf.DUMMYFUNCTION("""COMPUTED_VALUE"""),"+4.97")</f>
        <v>+4.97</v>
      </c>
      <c r="F114" s="1">
        <f ca="1">IFERROR(__xludf.DUMMYFUNCTION("""COMPUTED_VALUE"""),101.5)</f>
        <v>101.5</v>
      </c>
      <c r="G114" s="1">
        <f ca="1">IFERROR(__xludf.DUMMYFUNCTION("""COMPUTED_VALUE"""),195)</f>
        <v>195</v>
      </c>
      <c r="H114" s="1">
        <f ca="1">IFERROR(__xludf.DUMMYFUNCTION("""COMPUTED_VALUE"""),96.5)</f>
        <v>96.5</v>
      </c>
      <c r="I114" s="1">
        <f ca="1">IFERROR(__xludf.DUMMYFUNCTION("""COMPUTED_VALUE"""),53)</f>
        <v>53</v>
      </c>
      <c r="J114" s="1">
        <f ca="1">IFERROR(__xludf.DUMMYFUNCTION("""COMPUTED_VALUE"""),63.1)</f>
        <v>63.1</v>
      </c>
      <c r="K114" s="1">
        <f ca="1">IFERROR(__xludf.DUMMYFUNCTION("""COMPUTED_VALUE"""),286)</f>
        <v>286</v>
      </c>
      <c r="L114" s="1" t="str">
        <f ca="1">IFERROR(__xludf.DUMMYFUNCTION("""COMPUTED_VALUE"""),"+.065")</f>
        <v>+.065</v>
      </c>
      <c r="M114" s="1">
        <f ca="1">IFERROR(__xludf.DUMMYFUNCTION("""COMPUTED_VALUE"""),36)</f>
        <v>36</v>
      </c>
      <c r="N114" s="1">
        <f ca="1">IFERROR(__xludf.DUMMYFUNCTION("""COMPUTED_VALUE"""),-7.69)</f>
        <v>-7.69</v>
      </c>
      <c r="O114" s="1">
        <f ca="1">IFERROR(__xludf.DUMMYFUNCTION("""COMPUTED_VALUE"""),289)</f>
        <v>289</v>
      </c>
      <c r="P114" s="1">
        <f ca="1">IFERROR(__xludf.DUMMYFUNCTION("""COMPUTED_VALUE"""),99.6)</f>
        <v>99.6</v>
      </c>
      <c r="Q114" s="1">
        <f ca="1">IFERROR(__xludf.DUMMYFUNCTION("""COMPUTED_VALUE"""),262)</f>
        <v>262</v>
      </c>
      <c r="R114" s="1">
        <f ca="1">IFERROR(__xludf.DUMMYFUNCTION("""COMPUTED_VALUE"""),107.3)</f>
        <v>107.3</v>
      </c>
      <c r="S114" s="1">
        <f ca="1">IFERROR(__xludf.DUMMYFUNCTION("""COMPUTED_VALUE"""),317)</f>
        <v>317</v>
      </c>
      <c r="T114" s="1" t="str">
        <f ca="1">IFERROR(__xludf.DUMMYFUNCTION("""COMPUTED_VALUE"""),"+2.26")</f>
        <v>+2.26</v>
      </c>
      <c r="U114" s="1">
        <f ca="1">IFERROR(__xludf.DUMMYFUNCTION("""COMPUTED_VALUE"""),100)</f>
        <v>100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IFERROR(__xludf.DUMMYFUNCTION("""COMPUTED_VALUE"""),"Seton Hall")</f>
        <v>Seton Hall</v>
      </c>
      <c r="C115" s="1" t="str">
        <f ca="1">IFERROR(__xludf.DUMMYFUNCTION("""COMPUTED_VALUE"""),"BE")</f>
        <v>BE</v>
      </c>
      <c r="D115" s="2">
        <f ca="1">IFERROR(__xludf.DUMMYFUNCTION("""COMPUTED_VALUE"""),44911)</f>
        <v>44911</v>
      </c>
      <c r="E115" s="1" t="str">
        <f ca="1">IFERROR(__xludf.DUMMYFUNCTION("""COMPUTED_VALUE"""),"+4.96")</f>
        <v>+4.96</v>
      </c>
      <c r="F115" s="1">
        <f ca="1">IFERROR(__xludf.DUMMYFUNCTION("""COMPUTED_VALUE"""),100.4)</f>
        <v>100.4</v>
      </c>
      <c r="G115" s="1">
        <f ca="1">IFERROR(__xludf.DUMMYFUNCTION("""COMPUTED_VALUE"""),212)</f>
        <v>212</v>
      </c>
      <c r="H115" s="1">
        <f ca="1">IFERROR(__xludf.DUMMYFUNCTION("""COMPUTED_VALUE"""),95.4)</f>
        <v>95.4</v>
      </c>
      <c r="I115" s="1">
        <f ca="1">IFERROR(__xludf.DUMMYFUNCTION("""COMPUTED_VALUE"""),39)</f>
        <v>39</v>
      </c>
      <c r="J115" s="1">
        <f ca="1">IFERROR(__xludf.DUMMYFUNCTION("""COMPUTED_VALUE"""),64.2)</f>
        <v>64.2</v>
      </c>
      <c r="K115" s="1">
        <f ca="1">IFERROR(__xludf.DUMMYFUNCTION("""COMPUTED_VALUE"""),242)</f>
        <v>242</v>
      </c>
      <c r="L115" s="1">
        <f ca="1">IFERROR(__xludf.DUMMYFUNCTION("""COMPUTED_VALUE"""),-0.035)</f>
        <v>-3.5000000000000003E-2</v>
      </c>
      <c r="M115" s="1">
        <f ca="1">IFERROR(__xludf.DUMMYFUNCTION("""COMPUTED_VALUE"""),253)</f>
        <v>253</v>
      </c>
      <c r="N115" s="1" t="str">
        <f ca="1">IFERROR(__xludf.DUMMYFUNCTION("""COMPUTED_VALUE"""),"+6.46")</f>
        <v>+6.46</v>
      </c>
      <c r="O115" s="1">
        <f ca="1">IFERROR(__xludf.DUMMYFUNCTION("""COMPUTED_VALUE"""),56)</f>
        <v>56</v>
      </c>
      <c r="P115" s="1">
        <f ca="1">IFERROR(__xludf.DUMMYFUNCTION("""COMPUTED_VALUE"""),106.8)</f>
        <v>106.8</v>
      </c>
      <c r="Q115" s="1">
        <f ca="1">IFERROR(__xludf.DUMMYFUNCTION("""COMPUTED_VALUE"""),44)</f>
        <v>44</v>
      </c>
      <c r="R115" s="1">
        <f ca="1">IFERROR(__xludf.DUMMYFUNCTION("""COMPUTED_VALUE"""),100.3)</f>
        <v>100.3</v>
      </c>
      <c r="S115" s="1">
        <f ca="1">IFERROR(__xludf.DUMMYFUNCTION("""COMPUTED_VALUE"""),63)</f>
        <v>63</v>
      </c>
      <c r="T115" s="1">
        <f ca="1">IFERROR(__xludf.DUMMYFUNCTION("""COMPUTED_VALUE"""),-5.25)</f>
        <v>-5.25</v>
      </c>
      <c r="U115" s="1">
        <f ca="1">IFERROR(__xludf.DUMMYFUNCTION("""COMPUTED_VALUE"""),288)</f>
        <v>288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IFERROR(__xludf.DUMMYFUNCTION("""COMPUTED_VALUE"""),"Wyoming")</f>
        <v>Wyoming</v>
      </c>
      <c r="C116" s="1" t="str">
        <f ca="1">IFERROR(__xludf.DUMMYFUNCTION("""COMPUTED_VALUE"""),"MWC")</f>
        <v>MWC</v>
      </c>
      <c r="D116" s="1" t="str">
        <f ca="1">IFERROR(__xludf.DUMMYFUNCTION("""COMPUTED_VALUE"""),"15-13")</f>
        <v>15-13</v>
      </c>
      <c r="E116" s="1" t="str">
        <f ca="1">IFERROR(__xludf.DUMMYFUNCTION("""COMPUTED_VALUE"""),"+4.83")</f>
        <v>+4.83</v>
      </c>
      <c r="F116" s="1">
        <f ca="1">IFERROR(__xludf.DUMMYFUNCTION("""COMPUTED_VALUE"""),105.2)</f>
        <v>105.2</v>
      </c>
      <c r="G116" s="1">
        <f ca="1">IFERROR(__xludf.DUMMYFUNCTION("""COMPUTED_VALUE"""),123)</f>
        <v>123</v>
      </c>
      <c r="H116" s="1">
        <f ca="1">IFERROR(__xludf.DUMMYFUNCTION("""COMPUTED_VALUE"""),100.4)</f>
        <v>100.4</v>
      </c>
      <c r="I116" s="1">
        <f ca="1">IFERROR(__xludf.DUMMYFUNCTION("""COMPUTED_VALUE"""),113)</f>
        <v>113</v>
      </c>
      <c r="J116" s="1">
        <f ca="1">IFERROR(__xludf.DUMMYFUNCTION("""COMPUTED_VALUE"""),68.7)</f>
        <v>68.7</v>
      </c>
      <c r="K116" s="1">
        <f ca="1">IFERROR(__xludf.DUMMYFUNCTION("""COMPUTED_VALUE"""),66)</f>
        <v>66</v>
      </c>
      <c r="L116" s="1" t="str">
        <f ca="1">IFERROR(__xludf.DUMMYFUNCTION("""COMPUTED_VALUE"""),"+.044")</f>
        <v>+.044</v>
      </c>
      <c r="M116" s="1">
        <f ca="1">IFERROR(__xludf.DUMMYFUNCTION("""COMPUTED_VALUE"""),69)</f>
        <v>69</v>
      </c>
      <c r="N116" s="1" t="str">
        <f ca="1">IFERROR(__xludf.DUMMYFUNCTION("""COMPUTED_VALUE"""),"+4.54")</f>
        <v>+4.54</v>
      </c>
      <c r="O116" s="1">
        <f ca="1">IFERROR(__xludf.DUMMYFUNCTION("""COMPUTED_VALUE"""),84)</f>
        <v>84</v>
      </c>
      <c r="P116" s="1">
        <f ca="1">IFERROR(__xludf.DUMMYFUNCTION("""COMPUTED_VALUE"""),105.1)</f>
        <v>105.1</v>
      </c>
      <c r="Q116" s="1">
        <f ca="1">IFERROR(__xludf.DUMMYFUNCTION("""COMPUTED_VALUE"""),102)</f>
        <v>102</v>
      </c>
      <c r="R116" s="1">
        <f ca="1">IFERROR(__xludf.DUMMYFUNCTION("""COMPUTED_VALUE"""),100.5)</f>
        <v>100.5</v>
      </c>
      <c r="S116" s="1">
        <f ca="1">IFERROR(__xludf.DUMMYFUNCTION("""COMPUTED_VALUE"""),72)</f>
        <v>72</v>
      </c>
      <c r="T116" s="1" t="str">
        <f ca="1">IFERROR(__xludf.DUMMYFUNCTION("""COMPUTED_VALUE"""),"+0.61")</f>
        <v>+0.61</v>
      </c>
      <c r="U116" s="1">
        <f ca="1">IFERROR(__xludf.DUMMYFUNCTION("""COMPUTED_VALUE"""),147)</f>
        <v>147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IFERROR(__xludf.DUMMYFUNCTION("""COMPUTED_VALUE"""),"Dayton")</f>
        <v>Dayton</v>
      </c>
      <c r="C117" s="1" t="str">
        <f ca="1">IFERROR(__xludf.DUMMYFUNCTION("""COMPUTED_VALUE"""),"A10")</f>
        <v>A10</v>
      </c>
      <c r="D117" s="1" t="str">
        <f ca="1">IFERROR(__xludf.DUMMYFUNCTION("""COMPUTED_VALUE"""),"18-11")</f>
        <v>18-11</v>
      </c>
      <c r="E117" s="1" t="str">
        <f ca="1">IFERROR(__xludf.DUMMYFUNCTION("""COMPUTED_VALUE"""),"+4.72")</f>
        <v>+4.72</v>
      </c>
      <c r="F117" s="1">
        <f ca="1">IFERROR(__xludf.DUMMYFUNCTION("""COMPUTED_VALUE"""),102.2)</f>
        <v>102.2</v>
      </c>
      <c r="G117" s="1">
        <f ca="1">IFERROR(__xludf.DUMMYFUNCTION("""COMPUTED_VALUE"""),177)</f>
        <v>177</v>
      </c>
      <c r="H117" s="1">
        <f ca="1">IFERROR(__xludf.DUMMYFUNCTION("""COMPUTED_VALUE"""),97.5)</f>
        <v>97.5</v>
      </c>
      <c r="I117" s="1">
        <f ca="1">IFERROR(__xludf.DUMMYFUNCTION("""COMPUTED_VALUE"""),65)</f>
        <v>65</v>
      </c>
      <c r="J117" s="1">
        <f ca="1">IFERROR(__xludf.DUMMYFUNCTION("""COMPUTED_VALUE"""),63)</f>
        <v>63</v>
      </c>
      <c r="K117" s="1">
        <f ca="1">IFERROR(__xludf.DUMMYFUNCTION("""COMPUTED_VALUE"""),287)</f>
        <v>287</v>
      </c>
      <c r="L117" s="1">
        <f ca="1">IFERROR(__xludf.DUMMYFUNCTION("""COMPUTED_VALUE"""),-0.001)</f>
        <v>-1E-3</v>
      </c>
      <c r="M117" s="1">
        <f ca="1">IFERROR(__xludf.DUMMYFUNCTION("""COMPUTED_VALUE"""),163)</f>
        <v>163</v>
      </c>
      <c r="N117" s="1">
        <f ca="1">IFERROR(__xludf.DUMMYFUNCTION("""COMPUTED_VALUE"""),-1)</f>
        <v>-1</v>
      </c>
      <c r="O117" s="1">
        <f ca="1">IFERROR(__xludf.DUMMYFUNCTION("""COMPUTED_VALUE"""),177)</f>
        <v>177</v>
      </c>
      <c r="P117" s="1">
        <f ca="1">IFERROR(__xludf.DUMMYFUNCTION("""COMPUTED_VALUE"""),102.5)</f>
        <v>102.5</v>
      </c>
      <c r="Q117" s="1">
        <f ca="1">IFERROR(__xludf.DUMMYFUNCTION("""COMPUTED_VALUE"""),181)</f>
        <v>181</v>
      </c>
      <c r="R117" s="1">
        <f ca="1">IFERROR(__xludf.DUMMYFUNCTION("""COMPUTED_VALUE"""),103.5)</f>
        <v>103.5</v>
      </c>
      <c r="S117" s="1">
        <f ca="1">IFERROR(__xludf.DUMMYFUNCTION("""COMPUTED_VALUE"""),187)</f>
        <v>187</v>
      </c>
      <c r="T117" s="1">
        <f ca="1">IFERROR(__xludf.DUMMYFUNCTION("""COMPUTED_VALUE"""),-0.64)</f>
        <v>-0.64</v>
      </c>
      <c r="U117" s="1">
        <f ca="1">IFERROR(__xludf.DUMMYFUNCTION("""COMPUTED_VALUE"""),176)</f>
        <v>176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IFERROR(__xludf.DUMMYFUNCTION("""COMPUTED_VALUE"""),"Murray St.")</f>
        <v>Murray St.</v>
      </c>
      <c r="C118" s="1" t="str">
        <f ca="1">IFERROR(__xludf.DUMMYFUNCTION("""COMPUTED_VALUE"""),"OVC")</f>
        <v>OVC</v>
      </c>
      <c r="D118" s="1" t="str">
        <f ca="1">IFERROR(__xludf.DUMMYFUNCTION("""COMPUTED_VALUE"""),"17-11")</f>
        <v>17-11</v>
      </c>
      <c r="E118" s="1" t="str">
        <f ca="1">IFERROR(__xludf.DUMMYFUNCTION("""COMPUTED_VALUE"""),"+4.69")</f>
        <v>+4.69</v>
      </c>
      <c r="F118" s="1">
        <f ca="1">IFERROR(__xludf.DUMMYFUNCTION("""COMPUTED_VALUE"""),108.6)</f>
        <v>108.6</v>
      </c>
      <c r="G118" s="1">
        <f ca="1">IFERROR(__xludf.DUMMYFUNCTION("""COMPUTED_VALUE"""),71)</f>
        <v>71</v>
      </c>
      <c r="H118" s="1">
        <f ca="1">IFERROR(__xludf.DUMMYFUNCTION("""COMPUTED_VALUE"""),103.9)</f>
        <v>103.9</v>
      </c>
      <c r="I118" s="1">
        <f ca="1">IFERROR(__xludf.DUMMYFUNCTION("""COMPUTED_VALUE"""),193)</f>
        <v>193</v>
      </c>
      <c r="J118" s="1">
        <f ca="1">IFERROR(__xludf.DUMMYFUNCTION("""COMPUTED_VALUE"""),63.4)</f>
        <v>63.4</v>
      </c>
      <c r="K118" s="1">
        <f ca="1">IFERROR(__xludf.DUMMYFUNCTION("""COMPUTED_VALUE"""),273)</f>
        <v>273</v>
      </c>
      <c r="L118" s="1">
        <f ca="1">IFERROR(__xludf.DUMMYFUNCTION("""COMPUTED_VALUE"""),-0.059)</f>
        <v>-5.8999999999999997E-2</v>
      </c>
      <c r="M118" s="1">
        <f ca="1">IFERROR(__xludf.DUMMYFUNCTION("""COMPUTED_VALUE"""),293)</f>
        <v>293</v>
      </c>
      <c r="N118" s="1">
        <f ca="1">IFERROR(__xludf.DUMMYFUNCTION("""COMPUTED_VALUE"""),-2.65)</f>
        <v>-2.65</v>
      </c>
      <c r="O118" s="1">
        <f ca="1">IFERROR(__xludf.DUMMYFUNCTION("""COMPUTED_VALUE"""),206)</f>
        <v>206</v>
      </c>
      <c r="P118" s="1">
        <f ca="1">IFERROR(__xludf.DUMMYFUNCTION("""COMPUTED_VALUE"""),102.8)</f>
        <v>102.8</v>
      </c>
      <c r="Q118" s="1">
        <f ca="1">IFERROR(__xludf.DUMMYFUNCTION("""COMPUTED_VALUE"""),172)</f>
        <v>172</v>
      </c>
      <c r="R118" s="1">
        <f ca="1">IFERROR(__xludf.DUMMYFUNCTION("""COMPUTED_VALUE"""),105.5)</f>
        <v>105.5</v>
      </c>
      <c r="S118" s="1">
        <f ca="1">IFERROR(__xludf.DUMMYFUNCTION("""COMPUTED_VALUE"""),268)</f>
        <v>268</v>
      </c>
      <c r="T118" s="1" t="str">
        <f ca="1">IFERROR(__xludf.DUMMYFUNCTION("""COMPUTED_VALUE"""),"+5.86")</f>
        <v>+5.86</v>
      </c>
      <c r="U118" s="1">
        <f ca="1">IFERROR(__xludf.DUMMYFUNCTION("""COMPUTED_VALUE"""),37)</f>
        <v>37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IFERROR(__xludf.DUMMYFUNCTION("""COMPUTED_VALUE"""),"Colorado")</f>
        <v>Colorado</v>
      </c>
      <c r="C119" s="1" t="str">
        <f ca="1">IFERROR(__xludf.DUMMYFUNCTION("""COMPUTED_VALUE"""),"B12")</f>
        <v>B12</v>
      </c>
      <c r="D119" s="1" t="str">
        <f ca="1">IFERROR(__xludf.DUMMYFUNCTION("""COMPUTED_VALUE"""),"14-16")</f>
        <v>14-16</v>
      </c>
      <c r="E119" s="1" t="str">
        <f ca="1">IFERROR(__xludf.DUMMYFUNCTION("""COMPUTED_VALUE"""),"+4.67")</f>
        <v>+4.67</v>
      </c>
      <c r="F119" s="1">
        <f ca="1">IFERROR(__xludf.DUMMYFUNCTION("""COMPUTED_VALUE"""),107.4)</f>
        <v>107.4</v>
      </c>
      <c r="G119" s="1">
        <f ca="1">IFERROR(__xludf.DUMMYFUNCTION("""COMPUTED_VALUE"""),88)</f>
        <v>88</v>
      </c>
      <c r="H119" s="1">
        <f ca="1">IFERROR(__xludf.DUMMYFUNCTION("""COMPUTED_VALUE"""),102.7)</f>
        <v>102.7</v>
      </c>
      <c r="I119" s="1">
        <f ca="1">IFERROR(__xludf.DUMMYFUNCTION("""COMPUTED_VALUE"""),161)</f>
        <v>161</v>
      </c>
      <c r="J119" s="1">
        <f ca="1">IFERROR(__xludf.DUMMYFUNCTION("""COMPUTED_VALUE"""),69.5)</f>
        <v>69.5</v>
      </c>
      <c r="K119" s="1">
        <f ca="1">IFERROR(__xludf.DUMMYFUNCTION("""COMPUTED_VALUE"""),48)</f>
        <v>48</v>
      </c>
      <c r="L119" s="1" t="str">
        <f ca="1">IFERROR(__xludf.DUMMYFUNCTION("""COMPUTED_VALUE"""),"+.060")</f>
        <v>+.060</v>
      </c>
      <c r="M119" s="1">
        <f ca="1">IFERROR(__xludf.DUMMYFUNCTION("""COMPUTED_VALUE"""),45)</f>
        <v>45</v>
      </c>
      <c r="N119" s="1" t="str">
        <f ca="1">IFERROR(__xludf.DUMMYFUNCTION("""COMPUTED_VALUE"""),"+8.50")</f>
        <v>+8.50</v>
      </c>
      <c r="O119" s="1">
        <f ca="1">IFERROR(__xludf.DUMMYFUNCTION("""COMPUTED_VALUE"""),26)</f>
        <v>26</v>
      </c>
      <c r="P119" s="1">
        <f ca="1">IFERROR(__xludf.DUMMYFUNCTION("""COMPUTED_VALUE"""),107.5)</f>
        <v>107.5</v>
      </c>
      <c r="Q119" s="1">
        <f ca="1">IFERROR(__xludf.DUMMYFUNCTION("""COMPUTED_VALUE"""),24)</f>
        <v>24</v>
      </c>
      <c r="R119" s="1">
        <f ca="1">IFERROR(__xludf.DUMMYFUNCTION("""COMPUTED_VALUE"""),99)</f>
        <v>99</v>
      </c>
      <c r="S119" s="1">
        <f ca="1">IFERROR(__xludf.DUMMYFUNCTION("""COMPUTED_VALUE"""),23)</f>
        <v>23</v>
      </c>
      <c r="T119" s="1">
        <f ca="1">IFERROR(__xludf.DUMMYFUNCTION("""COMPUTED_VALUE"""),-0.27)</f>
        <v>-0.27</v>
      </c>
      <c r="U119" s="1">
        <f ca="1">IFERROR(__xludf.DUMMYFUNCTION("""COMPUTED_VALUE"""),169)</f>
        <v>169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IFERROR(__xludf.DUMMYFUNCTION("""COMPUTED_VALUE"""),"Davidson")</f>
        <v>Davidson</v>
      </c>
      <c r="C120" s="1" t="str">
        <f ca="1">IFERROR(__xludf.DUMMYFUNCTION("""COMPUTED_VALUE"""),"SC")</f>
        <v>SC</v>
      </c>
      <c r="D120" s="1" t="str">
        <f ca="1">IFERROR(__xludf.DUMMYFUNCTION("""COMPUTED_VALUE"""),"23-9")</f>
        <v>23-9</v>
      </c>
      <c r="E120" s="1" t="str">
        <f ca="1">IFERROR(__xludf.DUMMYFUNCTION("""COMPUTED_VALUE"""),"+4.61")</f>
        <v>+4.61</v>
      </c>
      <c r="F120" s="1">
        <f ca="1">IFERROR(__xludf.DUMMYFUNCTION("""COMPUTED_VALUE"""),107.8)</f>
        <v>107.8</v>
      </c>
      <c r="G120" s="1">
        <f ca="1">IFERROR(__xludf.DUMMYFUNCTION("""COMPUTED_VALUE"""),78)</f>
        <v>78</v>
      </c>
      <c r="H120" s="1">
        <f ca="1">IFERROR(__xludf.DUMMYFUNCTION("""COMPUTED_VALUE"""),103.2)</f>
        <v>103.2</v>
      </c>
      <c r="I120" s="1">
        <f ca="1">IFERROR(__xludf.DUMMYFUNCTION("""COMPUTED_VALUE"""),178)</f>
        <v>178</v>
      </c>
      <c r="J120" s="1">
        <f ca="1">IFERROR(__xludf.DUMMYFUNCTION("""COMPUTED_VALUE"""),65.4)</f>
        <v>65.400000000000006</v>
      </c>
      <c r="K120" s="1">
        <f ca="1">IFERROR(__xludf.DUMMYFUNCTION("""COMPUTED_VALUE"""),200)</f>
        <v>200</v>
      </c>
      <c r="L120" s="1" t="str">
        <f ca="1">IFERROR(__xludf.DUMMYFUNCTION("""COMPUTED_VALUE"""),"+.111")</f>
        <v>+.111</v>
      </c>
      <c r="M120" s="1">
        <f ca="1">IFERROR(__xludf.DUMMYFUNCTION("""COMPUTED_VALUE"""),7)</f>
        <v>7</v>
      </c>
      <c r="N120" s="1">
        <f ca="1">IFERROR(__xludf.DUMMYFUNCTION("""COMPUTED_VALUE"""),-0.46)</f>
        <v>-0.46</v>
      </c>
      <c r="O120" s="1">
        <f ca="1">IFERROR(__xludf.DUMMYFUNCTION("""COMPUTED_VALUE"""),162)</f>
        <v>162</v>
      </c>
      <c r="P120" s="1">
        <f ca="1">IFERROR(__xludf.DUMMYFUNCTION("""COMPUTED_VALUE"""),101.6)</f>
        <v>101.6</v>
      </c>
      <c r="Q120" s="1">
        <f ca="1">IFERROR(__xludf.DUMMYFUNCTION("""COMPUTED_VALUE"""),205)</f>
        <v>205</v>
      </c>
      <c r="R120" s="1">
        <f ca="1">IFERROR(__xludf.DUMMYFUNCTION("""COMPUTED_VALUE"""),102)</f>
        <v>102</v>
      </c>
      <c r="S120" s="1">
        <f ca="1">IFERROR(__xludf.DUMMYFUNCTION("""COMPUTED_VALUE"""),112)</f>
        <v>112</v>
      </c>
      <c r="T120" s="1" t="str">
        <f ca="1">IFERROR(__xludf.DUMMYFUNCTION("""COMPUTED_VALUE"""),"+9.66")</f>
        <v>+9.66</v>
      </c>
      <c r="U120" s="1">
        <f ca="1">IFERROR(__xludf.DUMMYFUNCTION("""COMPUTED_VALUE"""),16)</f>
        <v>16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IFERROR(__xludf.DUMMYFUNCTION("""COMPUTED_VALUE"""),"USC")</f>
        <v>USC</v>
      </c>
      <c r="C121" s="1" t="str">
        <f ca="1">IFERROR(__xludf.DUMMYFUNCTION("""COMPUTED_VALUE"""),"P10")</f>
        <v>P10</v>
      </c>
      <c r="D121" s="2">
        <f ca="1">IFERROR(__xludf.DUMMYFUNCTION("""COMPUTED_VALUE"""),44912)</f>
        <v>44912</v>
      </c>
      <c r="E121" s="1" t="str">
        <f ca="1">IFERROR(__xludf.DUMMYFUNCTION("""COMPUTED_VALUE"""),"+4.57")</f>
        <v>+4.57</v>
      </c>
      <c r="F121" s="1">
        <f ca="1">IFERROR(__xludf.DUMMYFUNCTION("""COMPUTED_VALUE"""),107.7)</f>
        <v>107.7</v>
      </c>
      <c r="G121" s="1">
        <f ca="1">IFERROR(__xludf.DUMMYFUNCTION("""COMPUTED_VALUE"""),81)</f>
        <v>81</v>
      </c>
      <c r="H121" s="1">
        <f ca="1">IFERROR(__xludf.DUMMYFUNCTION("""COMPUTED_VALUE"""),103.2)</f>
        <v>103.2</v>
      </c>
      <c r="I121" s="1">
        <f ca="1">IFERROR(__xludf.DUMMYFUNCTION("""COMPUTED_VALUE"""),176)</f>
        <v>176</v>
      </c>
      <c r="J121" s="1">
        <f ca="1">IFERROR(__xludf.DUMMYFUNCTION("""COMPUTED_VALUE"""),70.3)</f>
        <v>70.3</v>
      </c>
      <c r="K121" s="1">
        <f ca="1">IFERROR(__xludf.DUMMYFUNCTION("""COMPUTED_VALUE"""),35)</f>
        <v>35</v>
      </c>
      <c r="L121" s="1">
        <f ca="1">IFERROR(__xludf.DUMMYFUNCTION("""COMPUTED_VALUE"""),-0.018)</f>
        <v>-1.7999999999999999E-2</v>
      </c>
      <c r="M121" s="1">
        <f ca="1">IFERROR(__xludf.DUMMYFUNCTION("""COMPUTED_VALUE"""),211)</f>
        <v>211</v>
      </c>
      <c r="N121" s="1" t="str">
        <f ca="1">IFERROR(__xludf.DUMMYFUNCTION("""COMPUTED_VALUE"""),"+7.11")</f>
        <v>+7.11</v>
      </c>
      <c r="O121" s="1">
        <f ca="1">IFERROR(__xludf.DUMMYFUNCTION("""COMPUTED_VALUE"""),41)</f>
        <v>41</v>
      </c>
      <c r="P121" s="1">
        <f ca="1">IFERROR(__xludf.DUMMYFUNCTION("""COMPUTED_VALUE"""),106.4)</f>
        <v>106.4</v>
      </c>
      <c r="Q121" s="1">
        <f ca="1">IFERROR(__xludf.DUMMYFUNCTION("""COMPUTED_VALUE"""),59)</f>
        <v>59</v>
      </c>
      <c r="R121" s="1">
        <f ca="1">IFERROR(__xludf.DUMMYFUNCTION("""COMPUTED_VALUE"""),99.3)</f>
        <v>99.3</v>
      </c>
      <c r="S121" s="1">
        <f ca="1">IFERROR(__xludf.DUMMYFUNCTION("""COMPUTED_VALUE"""),32)</f>
        <v>32</v>
      </c>
      <c r="T121" s="1" t="str">
        <f ca="1">IFERROR(__xludf.DUMMYFUNCTION("""COMPUTED_VALUE"""),"+1.44")</f>
        <v>+1.44</v>
      </c>
      <c r="U121" s="1">
        <f ca="1">IFERROR(__xludf.DUMMYFUNCTION("""COMPUTED_VALUE"""),118)</f>
        <v>118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IFERROR(__xludf.DUMMYFUNCTION("""COMPUTED_VALUE"""),"Middle Tennessee")</f>
        <v>Middle Tennessee</v>
      </c>
      <c r="C122" s="1" t="str">
        <f ca="1">IFERROR(__xludf.DUMMYFUNCTION("""COMPUTED_VALUE"""),"SB")</f>
        <v>SB</v>
      </c>
      <c r="D122" s="1" t="str">
        <f ca="1">IFERROR(__xludf.DUMMYFUNCTION("""COMPUTED_VALUE"""),"19-12")</f>
        <v>19-12</v>
      </c>
      <c r="E122" s="1" t="str">
        <f ca="1">IFERROR(__xludf.DUMMYFUNCTION("""COMPUTED_VALUE"""),"+4.53")</f>
        <v>+4.53</v>
      </c>
      <c r="F122" s="1">
        <f ca="1">IFERROR(__xludf.DUMMYFUNCTION("""COMPUTED_VALUE"""),104.8)</f>
        <v>104.8</v>
      </c>
      <c r="G122" s="1">
        <f ca="1">IFERROR(__xludf.DUMMYFUNCTION("""COMPUTED_VALUE"""),130)</f>
        <v>130</v>
      </c>
      <c r="H122" s="1">
        <f ca="1">IFERROR(__xludf.DUMMYFUNCTION("""COMPUTED_VALUE"""),100.2)</f>
        <v>100.2</v>
      </c>
      <c r="I122" s="1">
        <f ca="1">IFERROR(__xludf.DUMMYFUNCTION("""COMPUTED_VALUE"""),109)</f>
        <v>109</v>
      </c>
      <c r="J122" s="1">
        <f ca="1">IFERROR(__xludf.DUMMYFUNCTION("""COMPUTED_VALUE"""),65.1)</f>
        <v>65.099999999999994</v>
      </c>
      <c r="K122" s="1">
        <f ca="1">IFERROR(__xludf.DUMMYFUNCTION("""COMPUTED_VALUE"""),209)</f>
        <v>209</v>
      </c>
      <c r="L122" s="1">
        <f ca="1">IFERROR(__xludf.DUMMYFUNCTION("""COMPUTED_VALUE"""),-0.019)</f>
        <v>-1.9E-2</v>
      </c>
      <c r="M122" s="1">
        <f ca="1">IFERROR(__xludf.DUMMYFUNCTION("""COMPUTED_VALUE"""),212)</f>
        <v>212</v>
      </c>
      <c r="N122" s="1">
        <f ca="1">IFERROR(__xludf.DUMMYFUNCTION("""COMPUTED_VALUE"""),-1.38)</f>
        <v>-1.38</v>
      </c>
      <c r="O122" s="1">
        <f ca="1">IFERROR(__xludf.DUMMYFUNCTION("""COMPUTED_VALUE"""),182)</f>
        <v>182</v>
      </c>
      <c r="P122" s="1">
        <f ca="1">IFERROR(__xludf.DUMMYFUNCTION("""COMPUTED_VALUE"""),102.4)</f>
        <v>102.4</v>
      </c>
      <c r="Q122" s="1">
        <f ca="1">IFERROR(__xludf.DUMMYFUNCTION("""COMPUTED_VALUE"""),183)</f>
        <v>183</v>
      </c>
      <c r="R122" s="1">
        <f ca="1">IFERROR(__xludf.DUMMYFUNCTION("""COMPUTED_VALUE"""),103.8)</f>
        <v>103.8</v>
      </c>
      <c r="S122" s="1">
        <f ca="1">IFERROR(__xludf.DUMMYFUNCTION("""COMPUTED_VALUE"""),204)</f>
        <v>204</v>
      </c>
      <c r="T122" s="1">
        <f ca="1">IFERROR(__xludf.DUMMYFUNCTION("""COMPUTED_VALUE"""),-2.42)</f>
        <v>-2.42</v>
      </c>
      <c r="U122" s="1">
        <f ca="1">IFERROR(__xludf.DUMMYFUNCTION("""COMPUTED_VALUE"""),226)</f>
        <v>226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IFERROR(__xludf.DUMMYFUNCTION("""COMPUTED_VALUE"""),"Cal St. Fullerton")</f>
        <v>Cal St. Fullerton</v>
      </c>
      <c r="C123" s="1" t="str">
        <f ca="1">IFERROR(__xludf.DUMMYFUNCTION("""COMPUTED_VALUE"""),"BW")</f>
        <v>BW</v>
      </c>
      <c r="D123" s="1" t="str">
        <f ca="1">IFERROR(__xludf.DUMMYFUNCTION("""COMPUTED_VALUE"""),"21-11")</f>
        <v>21-11</v>
      </c>
      <c r="E123" s="1" t="str">
        <f ca="1">IFERROR(__xludf.DUMMYFUNCTION("""COMPUTED_VALUE"""),"+4.53")</f>
        <v>+4.53</v>
      </c>
      <c r="F123" s="1">
        <f ca="1">IFERROR(__xludf.DUMMYFUNCTION("""COMPUTED_VALUE"""),106.5)</f>
        <v>106.5</v>
      </c>
      <c r="G123" s="1">
        <f ca="1">IFERROR(__xludf.DUMMYFUNCTION("""COMPUTED_VALUE"""),104)</f>
        <v>104</v>
      </c>
      <c r="H123" s="1">
        <f ca="1">IFERROR(__xludf.DUMMYFUNCTION("""COMPUTED_VALUE"""),101.9)</f>
        <v>101.9</v>
      </c>
      <c r="I123" s="1">
        <f ca="1">IFERROR(__xludf.DUMMYFUNCTION("""COMPUTED_VALUE"""),152)</f>
        <v>152</v>
      </c>
      <c r="J123" s="1">
        <f ca="1">IFERROR(__xludf.DUMMYFUNCTION("""COMPUTED_VALUE"""),70.6)</f>
        <v>70.599999999999994</v>
      </c>
      <c r="K123" s="1">
        <f ca="1">IFERROR(__xludf.DUMMYFUNCTION("""COMPUTED_VALUE"""),27)</f>
        <v>27</v>
      </c>
      <c r="L123" s="1" t="str">
        <f ca="1">IFERROR(__xludf.DUMMYFUNCTION("""COMPUTED_VALUE"""),"+.062")</f>
        <v>+.062</v>
      </c>
      <c r="M123" s="1">
        <f ca="1">IFERROR(__xludf.DUMMYFUNCTION("""COMPUTED_VALUE"""),42)</f>
        <v>42</v>
      </c>
      <c r="N123" s="1">
        <f ca="1">IFERROR(__xludf.DUMMYFUNCTION("""COMPUTED_VALUE"""),-0.51)</f>
        <v>-0.51</v>
      </c>
      <c r="O123" s="1">
        <f ca="1">IFERROR(__xludf.DUMMYFUNCTION("""COMPUTED_VALUE"""),164)</f>
        <v>164</v>
      </c>
      <c r="P123" s="1">
        <f ca="1">IFERROR(__xludf.DUMMYFUNCTION("""COMPUTED_VALUE"""),102.9)</f>
        <v>102.9</v>
      </c>
      <c r="Q123" s="1">
        <f ca="1">IFERROR(__xludf.DUMMYFUNCTION("""COMPUTED_VALUE"""),168)</f>
        <v>168</v>
      </c>
      <c r="R123" s="1">
        <f ca="1">IFERROR(__xludf.DUMMYFUNCTION("""COMPUTED_VALUE"""),103.4)</f>
        <v>103.4</v>
      </c>
      <c r="S123" s="1">
        <f ca="1">IFERROR(__xludf.DUMMYFUNCTION("""COMPUTED_VALUE"""),183)</f>
        <v>183</v>
      </c>
      <c r="T123" s="1">
        <f ca="1">IFERROR(__xludf.DUMMYFUNCTION("""COMPUTED_VALUE"""),-2.42)</f>
        <v>-2.42</v>
      </c>
      <c r="U123" s="1">
        <f ca="1">IFERROR(__xludf.DUMMYFUNCTION("""COMPUTED_VALUE"""),225)</f>
        <v>225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IFERROR(__xludf.DUMMYFUNCTION("""COMPUTED_VALUE"""),"San Diego")</f>
        <v>San Diego</v>
      </c>
      <c r="C124" s="1" t="str">
        <f ca="1">IFERROR(__xludf.DUMMYFUNCTION("""COMPUTED_VALUE"""),"WCC")</f>
        <v>WCC</v>
      </c>
      <c r="D124" s="1" t="str">
        <f ca="1">IFERROR(__xludf.DUMMYFUNCTION("""COMPUTED_VALUE"""),"16-13")</f>
        <v>16-13</v>
      </c>
      <c r="E124" s="1" t="str">
        <f ca="1">IFERROR(__xludf.DUMMYFUNCTION("""COMPUTED_VALUE"""),"+4.25")</f>
        <v>+4.25</v>
      </c>
      <c r="F124" s="1">
        <f ca="1">IFERROR(__xludf.DUMMYFUNCTION("""COMPUTED_VALUE"""),107.6)</f>
        <v>107.6</v>
      </c>
      <c r="G124" s="1">
        <f ca="1">IFERROR(__xludf.DUMMYFUNCTION("""COMPUTED_VALUE"""),82)</f>
        <v>82</v>
      </c>
      <c r="H124" s="1">
        <f ca="1">IFERROR(__xludf.DUMMYFUNCTION("""COMPUTED_VALUE"""),103.4)</f>
        <v>103.4</v>
      </c>
      <c r="I124" s="1">
        <f ca="1">IFERROR(__xludf.DUMMYFUNCTION("""COMPUTED_VALUE"""),182)</f>
        <v>182</v>
      </c>
      <c r="J124" s="1">
        <f ca="1">IFERROR(__xludf.DUMMYFUNCTION("""COMPUTED_VALUE"""),70.5)</f>
        <v>70.5</v>
      </c>
      <c r="K124" s="1">
        <f ca="1">IFERROR(__xludf.DUMMYFUNCTION("""COMPUTED_VALUE"""),31)</f>
        <v>31</v>
      </c>
      <c r="L124" s="1">
        <f ca="1">IFERROR(__xludf.DUMMYFUNCTION("""COMPUTED_VALUE"""),-0.001)</f>
        <v>-1E-3</v>
      </c>
      <c r="M124" s="1">
        <f ca="1">IFERROR(__xludf.DUMMYFUNCTION("""COMPUTED_VALUE"""),164)</f>
        <v>164</v>
      </c>
      <c r="N124" s="1" t="str">
        <f ca="1">IFERROR(__xludf.DUMMYFUNCTION("""COMPUTED_VALUE"""),"+2.50")</f>
        <v>+2.50</v>
      </c>
      <c r="O124" s="1">
        <f ca="1">IFERROR(__xludf.DUMMYFUNCTION("""COMPUTED_VALUE"""),118)</f>
        <v>118</v>
      </c>
      <c r="P124" s="1">
        <f ca="1">IFERROR(__xludf.DUMMYFUNCTION("""COMPUTED_VALUE"""),105.1)</f>
        <v>105.1</v>
      </c>
      <c r="Q124" s="1">
        <f ca="1">IFERROR(__xludf.DUMMYFUNCTION("""COMPUTED_VALUE"""),103)</f>
        <v>103</v>
      </c>
      <c r="R124" s="1">
        <f ca="1">IFERROR(__xludf.DUMMYFUNCTION("""COMPUTED_VALUE"""),102.6)</f>
        <v>102.6</v>
      </c>
      <c r="S124" s="1">
        <f ca="1">IFERROR(__xludf.DUMMYFUNCTION("""COMPUTED_VALUE"""),143)</f>
        <v>143</v>
      </c>
      <c r="T124" s="1">
        <f ca="1">IFERROR(__xludf.DUMMYFUNCTION("""COMPUTED_VALUE"""),-2.56)</f>
        <v>-2.56</v>
      </c>
      <c r="U124" s="1">
        <f ca="1">IFERROR(__xludf.DUMMYFUNCTION("""COMPUTED_VALUE"""),229)</f>
        <v>229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IFERROR(__xludf.DUMMYFUNCTION("""COMPUTED_VALUE"""),"Northeastern")</f>
        <v>Northeastern</v>
      </c>
      <c r="C125" s="1" t="str">
        <f ca="1">IFERROR(__xludf.DUMMYFUNCTION("""COMPUTED_VALUE"""),"AE")</f>
        <v>AE</v>
      </c>
      <c r="D125" s="1" t="str">
        <f ca="1">IFERROR(__xludf.DUMMYFUNCTION("""COMPUTED_VALUE"""),"21-10")</f>
        <v>21-10</v>
      </c>
      <c r="E125" s="1" t="str">
        <f ca="1">IFERROR(__xludf.DUMMYFUNCTION("""COMPUTED_VALUE"""),"+4.15")</f>
        <v>+4.15</v>
      </c>
      <c r="F125" s="1">
        <f ca="1">IFERROR(__xludf.DUMMYFUNCTION("""COMPUTED_VALUE"""),105.8)</f>
        <v>105.8</v>
      </c>
      <c r="G125" s="1">
        <f ca="1">IFERROR(__xludf.DUMMYFUNCTION("""COMPUTED_VALUE"""),116)</f>
        <v>116</v>
      </c>
      <c r="H125" s="1">
        <f ca="1">IFERROR(__xludf.DUMMYFUNCTION("""COMPUTED_VALUE"""),101.6)</f>
        <v>101.6</v>
      </c>
      <c r="I125" s="1">
        <f ca="1">IFERROR(__xludf.DUMMYFUNCTION("""COMPUTED_VALUE"""),144)</f>
        <v>144</v>
      </c>
      <c r="J125" s="1">
        <f ca="1">IFERROR(__xludf.DUMMYFUNCTION("""COMPUTED_VALUE"""),71.4)</f>
        <v>71.400000000000006</v>
      </c>
      <c r="K125" s="1">
        <f ca="1">IFERROR(__xludf.DUMMYFUNCTION("""COMPUTED_VALUE"""),16)</f>
        <v>16</v>
      </c>
      <c r="L125" s="1" t="str">
        <f ca="1">IFERROR(__xludf.DUMMYFUNCTION("""COMPUTED_VALUE"""),"+.084")</f>
        <v>+.084</v>
      </c>
      <c r="M125" s="1">
        <f ca="1">IFERROR(__xludf.DUMMYFUNCTION("""COMPUTED_VALUE"""),16)</f>
        <v>16</v>
      </c>
      <c r="N125" s="1">
        <f ca="1">IFERROR(__xludf.DUMMYFUNCTION("""COMPUTED_VALUE"""),-2.47)</f>
        <v>-2.4700000000000002</v>
      </c>
      <c r="O125" s="1">
        <f ca="1">IFERROR(__xludf.DUMMYFUNCTION("""COMPUTED_VALUE"""),200)</f>
        <v>200</v>
      </c>
      <c r="P125" s="1">
        <f ca="1">IFERROR(__xludf.DUMMYFUNCTION("""COMPUTED_VALUE"""),100.1)</f>
        <v>100.1</v>
      </c>
      <c r="Q125" s="1">
        <f ca="1">IFERROR(__xludf.DUMMYFUNCTION("""COMPUTED_VALUE"""),248)</f>
        <v>248</v>
      </c>
      <c r="R125" s="1">
        <f ca="1">IFERROR(__xludf.DUMMYFUNCTION("""COMPUTED_VALUE"""),102.5)</f>
        <v>102.5</v>
      </c>
      <c r="S125" s="1">
        <f ca="1">IFERROR(__xludf.DUMMYFUNCTION("""COMPUTED_VALUE"""),141)</f>
        <v>141</v>
      </c>
      <c r="T125" s="1" t="str">
        <f ca="1">IFERROR(__xludf.DUMMYFUNCTION("""COMPUTED_VALUE"""),"+0.42")</f>
        <v>+0.42</v>
      </c>
      <c r="U125" s="1">
        <f ca="1">IFERROR(__xludf.DUMMYFUNCTION("""COMPUTED_VALUE"""),152)</f>
        <v>152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IFERROR(__xludf.DUMMYFUNCTION("""COMPUTED_VALUE"""),"Illinois St.")</f>
        <v>Illinois St.</v>
      </c>
      <c r="C126" s="1" t="str">
        <f ca="1">IFERROR(__xludf.DUMMYFUNCTION("""COMPUTED_VALUE"""),"MVC")</f>
        <v>MVC</v>
      </c>
      <c r="D126" s="1" t="str">
        <f ca="1">IFERROR(__xludf.DUMMYFUNCTION("""COMPUTED_VALUE"""),"17-13")</f>
        <v>17-13</v>
      </c>
      <c r="E126" s="1" t="str">
        <f ca="1">IFERROR(__xludf.DUMMYFUNCTION("""COMPUTED_VALUE"""),"+4.11")</f>
        <v>+4.11</v>
      </c>
      <c r="F126" s="1">
        <f ca="1">IFERROR(__xludf.DUMMYFUNCTION("""COMPUTED_VALUE"""),105.9)</f>
        <v>105.9</v>
      </c>
      <c r="G126" s="1">
        <f ca="1">IFERROR(__xludf.DUMMYFUNCTION("""COMPUTED_VALUE"""),112)</f>
        <v>112</v>
      </c>
      <c r="H126" s="1">
        <f ca="1">IFERROR(__xludf.DUMMYFUNCTION("""COMPUTED_VALUE"""),101.8)</f>
        <v>101.8</v>
      </c>
      <c r="I126" s="1">
        <f ca="1">IFERROR(__xludf.DUMMYFUNCTION("""COMPUTED_VALUE"""),150)</f>
        <v>150</v>
      </c>
      <c r="J126" s="1">
        <f ca="1">IFERROR(__xludf.DUMMYFUNCTION("""COMPUTED_VALUE"""),63.7)</f>
        <v>63.7</v>
      </c>
      <c r="K126" s="1">
        <f ca="1">IFERROR(__xludf.DUMMYFUNCTION("""COMPUTED_VALUE"""),262)</f>
        <v>262</v>
      </c>
      <c r="L126" s="1" t="str">
        <f ca="1">IFERROR(__xludf.DUMMYFUNCTION("""COMPUTED_VALUE"""),"+.057")</f>
        <v>+.057</v>
      </c>
      <c r="M126" s="1">
        <f ca="1">IFERROR(__xludf.DUMMYFUNCTION("""COMPUTED_VALUE"""),49)</f>
        <v>49</v>
      </c>
      <c r="N126" s="1" t="str">
        <f ca="1">IFERROR(__xludf.DUMMYFUNCTION("""COMPUTED_VALUE"""),"+4.00")</f>
        <v>+4.00</v>
      </c>
      <c r="O126" s="1">
        <f ca="1">IFERROR(__xludf.DUMMYFUNCTION("""COMPUTED_VALUE"""),97)</f>
        <v>97</v>
      </c>
      <c r="P126" s="1">
        <f ca="1">IFERROR(__xludf.DUMMYFUNCTION("""COMPUTED_VALUE"""),105.4)</f>
        <v>105.4</v>
      </c>
      <c r="Q126" s="1">
        <f ca="1">IFERROR(__xludf.DUMMYFUNCTION("""COMPUTED_VALUE"""),94)</f>
        <v>94</v>
      </c>
      <c r="R126" s="1">
        <f ca="1">IFERROR(__xludf.DUMMYFUNCTION("""COMPUTED_VALUE"""),101.4)</f>
        <v>101.4</v>
      </c>
      <c r="S126" s="1">
        <f ca="1">IFERROR(__xludf.DUMMYFUNCTION("""COMPUTED_VALUE"""),97)</f>
        <v>97</v>
      </c>
      <c r="T126" s="1">
        <f ca="1">IFERROR(__xludf.DUMMYFUNCTION("""COMPUTED_VALUE"""),-4.43)</f>
        <v>-4.43</v>
      </c>
      <c r="U126" s="1">
        <f ca="1">IFERROR(__xludf.DUMMYFUNCTION("""COMPUTED_VALUE"""),270)</f>
        <v>270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IFERROR(__xludf.DUMMYFUNCTION("""COMPUTED_VALUE"""),"Oregon St.")</f>
        <v>Oregon St.</v>
      </c>
      <c r="C129" s="1" t="str">
        <f ca="1">IFERROR(__xludf.DUMMYFUNCTION("""COMPUTED_VALUE"""),"P10")</f>
        <v>P10</v>
      </c>
      <c r="D129" s="1" t="str">
        <f ca="1">IFERROR(__xludf.DUMMYFUNCTION("""COMPUTED_VALUE"""),"17-15")</f>
        <v>17-15</v>
      </c>
      <c r="E129" s="1" t="str">
        <f ca="1">IFERROR(__xludf.DUMMYFUNCTION("""COMPUTED_VALUE"""),"+4.10")</f>
        <v>+4.10</v>
      </c>
      <c r="F129" s="1">
        <f ca="1">IFERROR(__xludf.DUMMYFUNCTION("""COMPUTED_VALUE"""),107)</f>
        <v>107</v>
      </c>
      <c r="G129" s="1">
        <f ca="1">IFERROR(__xludf.DUMMYFUNCTION("""COMPUTED_VALUE"""),97)</f>
        <v>97</v>
      </c>
      <c r="H129" s="1">
        <f ca="1">IFERROR(__xludf.DUMMYFUNCTION("""COMPUTED_VALUE"""),102.9)</f>
        <v>102.9</v>
      </c>
      <c r="I129" s="1">
        <f ca="1">IFERROR(__xludf.DUMMYFUNCTION("""COMPUTED_VALUE"""),167)</f>
        <v>167</v>
      </c>
      <c r="J129" s="1">
        <f ca="1">IFERROR(__xludf.DUMMYFUNCTION("""COMPUTED_VALUE"""),68.2)</f>
        <v>68.2</v>
      </c>
      <c r="K129" s="1">
        <f ca="1">IFERROR(__xludf.DUMMYFUNCTION("""COMPUTED_VALUE"""),82)</f>
        <v>82</v>
      </c>
      <c r="L129" s="1" t="str">
        <f ca="1">IFERROR(__xludf.DUMMYFUNCTION("""COMPUTED_VALUE"""),"+.063")</f>
        <v>+.063</v>
      </c>
      <c r="M129" s="1">
        <f ca="1">IFERROR(__xludf.DUMMYFUNCTION("""COMPUTED_VALUE"""),41)</f>
        <v>41</v>
      </c>
      <c r="N129" s="1" t="str">
        <f ca="1">IFERROR(__xludf.DUMMYFUNCTION("""COMPUTED_VALUE"""),"+4.36")</f>
        <v>+4.36</v>
      </c>
      <c r="O129" s="1">
        <f ca="1">IFERROR(__xludf.DUMMYFUNCTION("""COMPUTED_VALUE"""),90)</f>
        <v>90</v>
      </c>
      <c r="P129" s="1">
        <f ca="1">IFERROR(__xludf.DUMMYFUNCTION("""COMPUTED_VALUE"""),104.6)</f>
        <v>104.6</v>
      </c>
      <c r="Q129" s="1">
        <f ca="1">IFERROR(__xludf.DUMMYFUNCTION("""COMPUTED_VALUE"""),120)</f>
        <v>120</v>
      </c>
      <c r="R129" s="1">
        <f ca="1">IFERROR(__xludf.DUMMYFUNCTION("""COMPUTED_VALUE"""),100.2)</f>
        <v>100.2</v>
      </c>
      <c r="S129" s="1">
        <f ca="1">IFERROR(__xludf.DUMMYFUNCTION("""COMPUTED_VALUE"""),59)</f>
        <v>59</v>
      </c>
      <c r="T129" s="1">
        <f ca="1">IFERROR(__xludf.DUMMYFUNCTION("""COMPUTED_VALUE"""),-8.31)</f>
        <v>-8.31</v>
      </c>
      <c r="U129" s="1">
        <f ca="1">IFERROR(__xludf.DUMMYFUNCTION("""COMPUTED_VALUE"""),311)</f>
        <v>311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IFERROR(__xludf.DUMMYFUNCTION("""COMPUTED_VALUE"""),"VCU")</f>
        <v>VCU</v>
      </c>
      <c r="C130" s="1" t="str">
        <f ca="1">IFERROR(__xludf.DUMMYFUNCTION("""COMPUTED_VALUE"""),"CAA")</f>
        <v>CAA</v>
      </c>
      <c r="D130" s="1" t="str">
        <f ca="1">IFERROR(__xludf.DUMMYFUNCTION("""COMPUTED_VALUE"""),"19-13")</f>
        <v>19-13</v>
      </c>
      <c r="E130" s="1" t="str">
        <f ca="1">IFERROR(__xludf.DUMMYFUNCTION("""COMPUTED_VALUE"""),"+4.04")</f>
        <v>+4.04</v>
      </c>
      <c r="F130" s="1">
        <f ca="1">IFERROR(__xludf.DUMMYFUNCTION("""COMPUTED_VALUE"""),105.6)</f>
        <v>105.6</v>
      </c>
      <c r="G130" s="1">
        <f ca="1">IFERROR(__xludf.DUMMYFUNCTION("""COMPUTED_VALUE"""),118)</f>
        <v>118</v>
      </c>
      <c r="H130" s="1">
        <f ca="1">IFERROR(__xludf.DUMMYFUNCTION("""COMPUTED_VALUE"""),101.5)</f>
        <v>101.5</v>
      </c>
      <c r="I130" s="1">
        <f ca="1">IFERROR(__xludf.DUMMYFUNCTION("""COMPUTED_VALUE"""),139)</f>
        <v>139</v>
      </c>
      <c r="J130" s="1">
        <f ca="1">IFERROR(__xludf.DUMMYFUNCTION("""COMPUTED_VALUE"""),65.6)</f>
        <v>65.599999999999994</v>
      </c>
      <c r="K130" s="1">
        <f ca="1">IFERROR(__xludf.DUMMYFUNCTION("""COMPUTED_VALUE"""),191)</f>
        <v>191</v>
      </c>
      <c r="L130" s="1">
        <f ca="1">IFERROR(__xludf.DUMMYFUNCTION("""COMPUTED_VALUE"""),-0.034)</f>
        <v>-3.4000000000000002E-2</v>
      </c>
      <c r="M130" s="1">
        <f ca="1">IFERROR(__xludf.DUMMYFUNCTION("""COMPUTED_VALUE"""),252)</f>
        <v>252</v>
      </c>
      <c r="N130" s="1">
        <f ca="1">IFERROR(__xludf.DUMMYFUNCTION("""COMPUTED_VALUE"""),-1.98)</f>
        <v>-1.98</v>
      </c>
      <c r="O130" s="1">
        <f ca="1">IFERROR(__xludf.DUMMYFUNCTION("""COMPUTED_VALUE"""),193)</f>
        <v>193</v>
      </c>
      <c r="P130" s="1">
        <f ca="1">IFERROR(__xludf.DUMMYFUNCTION("""COMPUTED_VALUE"""),101.2)</f>
        <v>101.2</v>
      </c>
      <c r="Q130" s="1">
        <f ca="1">IFERROR(__xludf.DUMMYFUNCTION("""COMPUTED_VALUE"""),216)</f>
        <v>216</v>
      </c>
      <c r="R130" s="1">
        <f ca="1">IFERROR(__xludf.DUMMYFUNCTION("""COMPUTED_VALUE"""),103.2)</f>
        <v>103.2</v>
      </c>
      <c r="S130" s="1">
        <f ca="1">IFERROR(__xludf.DUMMYFUNCTION("""COMPUTED_VALUE"""),173)</f>
        <v>173</v>
      </c>
      <c r="T130" s="1" t="str">
        <f ca="1">IFERROR(__xludf.DUMMYFUNCTION("""COMPUTED_VALUE"""),"+1.67")</f>
        <v>+1.67</v>
      </c>
      <c r="U130" s="1">
        <f ca="1">IFERROR(__xludf.DUMMYFUNCTION("""COMPUTED_VALUE"""),114)</f>
        <v>114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IFERROR(__xludf.DUMMYFUNCTION("""COMPUTED_VALUE"""),"Purdue")</f>
        <v>Purdue</v>
      </c>
      <c r="C131" s="1" t="str">
        <f ca="1">IFERROR(__xludf.DUMMYFUNCTION("""COMPUTED_VALUE"""),"B10")</f>
        <v>B10</v>
      </c>
      <c r="D131" s="2">
        <f ca="1">IFERROR(__xludf.DUMMYFUNCTION("""COMPUTED_VALUE"""),44763)</f>
        <v>44763</v>
      </c>
      <c r="E131" s="1" t="str">
        <f ca="1">IFERROR(__xludf.DUMMYFUNCTION("""COMPUTED_VALUE"""),"+3.97")</f>
        <v>+3.97</v>
      </c>
      <c r="F131" s="1">
        <f ca="1">IFERROR(__xludf.DUMMYFUNCTION("""COMPUTED_VALUE"""),105.9)</f>
        <v>105.9</v>
      </c>
      <c r="G131" s="1">
        <f ca="1">IFERROR(__xludf.DUMMYFUNCTION("""COMPUTED_VALUE"""),114)</f>
        <v>114</v>
      </c>
      <c r="H131" s="1">
        <f ca="1">IFERROR(__xludf.DUMMYFUNCTION("""COMPUTED_VALUE"""),101.9)</f>
        <v>101.9</v>
      </c>
      <c r="I131" s="1">
        <f ca="1">IFERROR(__xludf.DUMMYFUNCTION("""COMPUTED_VALUE"""),151)</f>
        <v>151</v>
      </c>
      <c r="J131" s="1">
        <f ca="1">IFERROR(__xludf.DUMMYFUNCTION("""COMPUTED_VALUE"""),63.3)</f>
        <v>63.3</v>
      </c>
      <c r="K131" s="1">
        <f ca="1">IFERROR(__xludf.DUMMYFUNCTION("""COMPUTED_VALUE"""),277)</f>
        <v>277</v>
      </c>
      <c r="L131" s="1">
        <f ca="1">IFERROR(__xludf.DUMMYFUNCTION("""COMPUTED_VALUE"""),-0.1)</f>
        <v>-0.1</v>
      </c>
      <c r="M131" s="1">
        <f ca="1">IFERROR(__xludf.DUMMYFUNCTION("""COMPUTED_VALUE"""),323)</f>
        <v>323</v>
      </c>
      <c r="N131" s="1" t="str">
        <f ca="1">IFERROR(__xludf.DUMMYFUNCTION("""COMPUTED_VALUE"""),"+11.69")</f>
        <v>+11.69</v>
      </c>
      <c r="O131" s="1">
        <f ca="1">IFERROR(__xludf.DUMMYFUNCTION("""COMPUTED_VALUE"""),1)</f>
        <v>1</v>
      </c>
      <c r="P131" s="1">
        <f ca="1">IFERROR(__xludf.DUMMYFUNCTION("""COMPUTED_VALUE"""),109)</f>
        <v>109</v>
      </c>
      <c r="Q131" s="1">
        <f ca="1">IFERROR(__xludf.DUMMYFUNCTION("""COMPUTED_VALUE"""),3)</f>
        <v>3</v>
      </c>
      <c r="R131" s="1">
        <f ca="1">IFERROR(__xludf.DUMMYFUNCTION("""COMPUTED_VALUE"""),97.4)</f>
        <v>97.4</v>
      </c>
      <c r="S131" s="1">
        <f ca="1">IFERROR(__xludf.DUMMYFUNCTION("""COMPUTED_VALUE"""),3)</f>
        <v>3</v>
      </c>
      <c r="T131" s="1" t="str">
        <f ca="1">IFERROR(__xludf.DUMMYFUNCTION("""COMPUTED_VALUE"""),"+4.61")</f>
        <v>+4.61</v>
      </c>
      <c r="U131" s="1">
        <f ca="1">IFERROR(__xludf.DUMMYFUNCTION("""COMPUTED_VALUE"""),56)</f>
        <v>56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IFERROR(__xludf.DUMMYFUNCTION("""COMPUTED_VALUE"""),"Northwestern")</f>
        <v>Northwestern</v>
      </c>
      <c r="C132" s="1" t="str">
        <f ca="1">IFERROR(__xludf.DUMMYFUNCTION("""COMPUTED_VALUE"""),"B10")</f>
        <v>B10</v>
      </c>
      <c r="D132" s="1" t="str">
        <f ca="1">IFERROR(__xludf.DUMMYFUNCTION("""COMPUTED_VALUE"""),"15-16")</f>
        <v>15-16</v>
      </c>
      <c r="E132" s="1" t="str">
        <f ca="1">IFERROR(__xludf.DUMMYFUNCTION("""COMPUTED_VALUE"""),"+3.81")</f>
        <v>+3.81</v>
      </c>
      <c r="F132" s="1">
        <f ca="1">IFERROR(__xludf.DUMMYFUNCTION("""COMPUTED_VALUE"""),101.8)</f>
        <v>101.8</v>
      </c>
      <c r="G132" s="1">
        <f ca="1">IFERROR(__xludf.DUMMYFUNCTION("""COMPUTED_VALUE"""),188)</f>
        <v>188</v>
      </c>
      <c r="H132" s="1">
        <f ca="1">IFERROR(__xludf.DUMMYFUNCTION("""COMPUTED_VALUE"""),97.9)</f>
        <v>97.9</v>
      </c>
      <c r="I132" s="1">
        <f ca="1">IFERROR(__xludf.DUMMYFUNCTION("""COMPUTED_VALUE"""),73)</f>
        <v>73</v>
      </c>
      <c r="J132" s="1">
        <f ca="1">IFERROR(__xludf.DUMMYFUNCTION("""COMPUTED_VALUE"""),60.6)</f>
        <v>60.6</v>
      </c>
      <c r="K132" s="1">
        <f ca="1">IFERROR(__xludf.DUMMYFUNCTION("""COMPUTED_VALUE"""),315)</f>
        <v>315</v>
      </c>
      <c r="L132" s="1" t="str">
        <f ca="1">IFERROR(__xludf.DUMMYFUNCTION("""COMPUTED_VALUE"""),"+.060")</f>
        <v>+.060</v>
      </c>
      <c r="M132" s="1">
        <f ca="1">IFERROR(__xludf.DUMMYFUNCTION("""COMPUTED_VALUE"""),44)</f>
        <v>44</v>
      </c>
      <c r="N132" s="1" t="str">
        <f ca="1">IFERROR(__xludf.DUMMYFUNCTION("""COMPUTED_VALUE"""),"+6.64")</f>
        <v>+6.64</v>
      </c>
      <c r="O132" s="1">
        <f ca="1">IFERROR(__xludf.DUMMYFUNCTION("""COMPUTED_VALUE"""),49)</f>
        <v>49</v>
      </c>
      <c r="P132" s="1">
        <f ca="1">IFERROR(__xludf.DUMMYFUNCTION("""COMPUTED_VALUE"""),107.2)</f>
        <v>107.2</v>
      </c>
      <c r="Q132" s="1">
        <f ca="1">IFERROR(__xludf.DUMMYFUNCTION("""COMPUTED_VALUE"""),33)</f>
        <v>33</v>
      </c>
      <c r="R132" s="1">
        <f ca="1">IFERROR(__xludf.DUMMYFUNCTION("""COMPUTED_VALUE"""),100.6)</f>
        <v>100.6</v>
      </c>
      <c r="S132" s="1">
        <f ca="1">IFERROR(__xludf.DUMMYFUNCTION("""COMPUTED_VALUE"""),74)</f>
        <v>74</v>
      </c>
      <c r="T132" s="1">
        <f ca="1">IFERROR(__xludf.DUMMYFUNCTION("""COMPUTED_VALUE"""),-2.95)</f>
        <v>-2.95</v>
      </c>
      <c r="U132" s="1">
        <f ca="1">IFERROR(__xludf.DUMMYFUNCTION("""COMPUTED_VALUE"""),237)</f>
        <v>237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IFERROR(__xludf.DUMMYFUNCTION("""COMPUTED_VALUE"""),"San Francisco")</f>
        <v>San Francisco</v>
      </c>
      <c r="C133" s="1" t="str">
        <f ca="1">IFERROR(__xludf.DUMMYFUNCTION("""COMPUTED_VALUE"""),"WCC")</f>
        <v>WCC</v>
      </c>
      <c r="D133" s="1" t="str">
        <f ca="1">IFERROR(__xludf.DUMMYFUNCTION("""COMPUTED_VALUE"""),"17-14")</f>
        <v>17-14</v>
      </c>
      <c r="E133" s="1" t="str">
        <f ca="1">IFERROR(__xludf.DUMMYFUNCTION("""COMPUTED_VALUE"""),"+3.81")</f>
        <v>+3.81</v>
      </c>
      <c r="F133" s="1">
        <f ca="1">IFERROR(__xludf.DUMMYFUNCTION("""COMPUTED_VALUE"""),101.6)</f>
        <v>101.6</v>
      </c>
      <c r="G133" s="1">
        <f ca="1">IFERROR(__xludf.DUMMYFUNCTION("""COMPUTED_VALUE"""),192)</f>
        <v>192</v>
      </c>
      <c r="H133" s="1">
        <f ca="1">IFERROR(__xludf.DUMMYFUNCTION("""COMPUTED_VALUE"""),97.8)</f>
        <v>97.8</v>
      </c>
      <c r="I133" s="1">
        <f ca="1">IFERROR(__xludf.DUMMYFUNCTION("""COMPUTED_VALUE"""),69)</f>
        <v>69</v>
      </c>
      <c r="J133" s="1">
        <f ca="1">IFERROR(__xludf.DUMMYFUNCTION("""COMPUTED_VALUE"""),65.8)</f>
        <v>65.8</v>
      </c>
      <c r="K133" s="1">
        <f ca="1">IFERROR(__xludf.DUMMYFUNCTION("""COMPUTED_VALUE"""),184)</f>
        <v>184</v>
      </c>
      <c r="L133" s="1" t="str">
        <f ca="1">IFERROR(__xludf.DUMMYFUNCTION("""COMPUTED_VALUE"""),"+.048")</f>
        <v>+.048</v>
      </c>
      <c r="M133" s="1">
        <f ca="1">IFERROR(__xludf.DUMMYFUNCTION("""COMPUTED_VALUE"""),62)</f>
        <v>62</v>
      </c>
      <c r="N133" s="1" t="str">
        <f ca="1">IFERROR(__xludf.DUMMYFUNCTION("""COMPUTED_VALUE"""),"+3.16")</f>
        <v>+3.16</v>
      </c>
      <c r="O133" s="1">
        <f ca="1">IFERROR(__xludf.DUMMYFUNCTION("""COMPUTED_VALUE"""),106)</f>
        <v>106</v>
      </c>
      <c r="P133" s="1">
        <f ca="1">IFERROR(__xludf.DUMMYFUNCTION("""COMPUTED_VALUE"""),104.9)</f>
        <v>104.9</v>
      </c>
      <c r="Q133" s="1">
        <f ca="1">IFERROR(__xludf.DUMMYFUNCTION("""COMPUTED_VALUE"""),108)</f>
        <v>108</v>
      </c>
      <c r="R133" s="1">
        <f ca="1">IFERROR(__xludf.DUMMYFUNCTION("""COMPUTED_VALUE"""),101.8)</f>
        <v>101.8</v>
      </c>
      <c r="S133" s="1">
        <f ca="1">IFERROR(__xludf.DUMMYFUNCTION("""COMPUTED_VALUE"""),103)</f>
        <v>103</v>
      </c>
      <c r="T133" s="1" t="str">
        <f ca="1">IFERROR(__xludf.DUMMYFUNCTION("""COMPUTED_VALUE"""),"+1.21")</f>
        <v>+1.21</v>
      </c>
      <c r="U133" s="1">
        <f ca="1">IFERROR(__xludf.DUMMYFUNCTION("""COMPUTED_VALUE"""),125)</f>
        <v>125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IFERROR(__xludf.DUMMYFUNCTION("""COMPUTED_VALUE"""),"Bradley")</f>
        <v>Bradley</v>
      </c>
      <c r="C134" s="1" t="str">
        <f ca="1">IFERROR(__xludf.DUMMYFUNCTION("""COMPUTED_VALUE"""),"MVC")</f>
        <v>MVC</v>
      </c>
      <c r="D134" s="1" t="str">
        <f ca="1">IFERROR(__xludf.DUMMYFUNCTION("""COMPUTED_VALUE"""),"13-15")</f>
        <v>13-15</v>
      </c>
      <c r="E134" s="1" t="str">
        <f ca="1">IFERROR(__xludf.DUMMYFUNCTION("""COMPUTED_VALUE"""),"+3.73")</f>
        <v>+3.73</v>
      </c>
      <c r="F134" s="1">
        <f ca="1">IFERROR(__xludf.DUMMYFUNCTION("""COMPUTED_VALUE"""),102.4)</f>
        <v>102.4</v>
      </c>
      <c r="G134" s="1">
        <f ca="1">IFERROR(__xludf.DUMMYFUNCTION("""COMPUTED_VALUE"""),172)</f>
        <v>172</v>
      </c>
      <c r="H134" s="1">
        <f ca="1">IFERROR(__xludf.DUMMYFUNCTION("""COMPUTED_VALUE"""),98.6)</f>
        <v>98.6</v>
      </c>
      <c r="I134" s="1">
        <f ca="1">IFERROR(__xludf.DUMMYFUNCTION("""COMPUTED_VALUE"""),81)</f>
        <v>81</v>
      </c>
      <c r="J134" s="1">
        <f ca="1">IFERROR(__xludf.DUMMYFUNCTION("""COMPUTED_VALUE"""),70.4)</f>
        <v>70.400000000000006</v>
      </c>
      <c r="K134" s="1">
        <f ca="1">IFERROR(__xludf.DUMMYFUNCTION("""COMPUTED_VALUE"""),33)</f>
        <v>33</v>
      </c>
      <c r="L134" s="1" t="str">
        <f ca="1">IFERROR(__xludf.DUMMYFUNCTION("""COMPUTED_VALUE"""),"+.009")</f>
        <v>+.009</v>
      </c>
      <c r="M134" s="1">
        <f ca="1">IFERROR(__xludf.DUMMYFUNCTION("""COMPUTED_VALUE"""),141)</f>
        <v>141</v>
      </c>
      <c r="N134" s="1" t="str">
        <f ca="1">IFERROR(__xludf.DUMMYFUNCTION("""COMPUTED_VALUE"""),"+5.10")</f>
        <v>+5.10</v>
      </c>
      <c r="O134" s="1">
        <f ca="1">IFERROR(__xludf.DUMMYFUNCTION("""COMPUTED_VALUE"""),77)</f>
        <v>77</v>
      </c>
      <c r="P134" s="1">
        <f ca="1">IFERROR(__xludf.DUMMYFUNCTION("""COMPUTED_VALUE"""),107.1)</f>
        <v>107.1</v>
      </c>
      <c r="Q134" s="1">
        <f ca="1">IFERROR(__xludf.DUMMYFUNCTION("""COMPUTED_VALUE"""),36)</f>
        <v>36</v>
      </c>
      <c r="R134" s="1">
        <f ca="1">IFERROR(__xludf.DUMMYFUNCTION("""COMPUTED_VALUE"""),102)</f>
        <v>102</v>
      </c>
      <c r="S134" s="1">
        <f ca="1">IFERROR(__xludf.DUMMYFUNCTION("""COMPUTED_VALUE"""),114)</f>
        <v>114</v>
      </c>
      <c r="T134" s="1" t="str">
        <f ca="1">IFERROR(__xludf.DUMMYFUNCTION("""COMPUTED_VALUE"""),"+0.47")</f>
        <v>+0.47</v>
      </c>
      <c r="U134" s="1">
        <f ca="1">IFERROR(__xludf.DUMMYFUNCTION("""COMPUTED_VALUE"""),150)</f>
        <v>150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IFERROR(__xludf.DUMMYFUNCTION("""COMPUTED_VALUE"""),"Hawaii")</f>
        <v>Hawaii</v>
      </c>
      <c r="C135" s="1" t="str">
        <f ca="1">IFERROR(__xludf.DUMMYFUNCTION("""COMPUTED_VALUE"""),"WAC")</f>
        <v>WAC</v>
      </c>
      <c r="D135" s="1" t="str">
        <f ca="1">IFERROR(__xludf.DUMMYFUNCTION("""COMPUTED_VALUE"""),"16-13")</f>
        <v>16-13</v>
      </c>
      <c r="E135" s="1" t="str">
        <f ca="1">IFERROR(__xludf.DUMMYFUNCTION("""COMPUTED_VALUE"""),"+3.68")</f>
        <v>+3.68</v>
      </c>
      <c r="F135" s="1">
        <f ca="1">IFERROR(__xludf.DUMMYFUNCTION("""COMPUTED_VALUE"""),105.3)</f>
        <v>105.3</v>
      </c>
      <c r="G135" s="1">
        <f ca="1">IFERROR(__xludf.DUMMYFUNCTION("""COMPUTED_VALUE"""),119)</f>
        <v>119</v>
      </c>
      <c r="H135" s="1">
        <f ca="1">IFERROR(__xludf.DUMMYFUNCTION("""COMPUTED_VALUE"""),101.7)</f>
        <v>101.7</v>
      </c>
      <c r="I135" s="1">
        <f ca="1">IFERROR(__xludf.DUMMYFUNCTION("""COMPUTED_VALUE"""),145)</f>
        <v>145</v>
      </c>
      <c r="J135" s="1">
        <f ca="1">IFERROR(__xludf.DUMMYFUNCTION("""COMPUTED_VALUE"""),64.7)</f>
        <v>64.7</v>
      </c>
      <c r="K135" s="1">
        <f ca="1">IFERROR(__xludf.DUMMYFUNCTION("""COMPUTED_VALUE"""),227)</f>
        <v>227</v>
      </c>
      <c r="L135" s="1">
        <f ca="1">IFERROR(__xludf.DUMMYFUNCTION("""COMPUTED_VALUE"""),-0.037)</f>
        <v>-3.6999999999999998E-2</v>
      </c>
      <c r="M135" s="1">
        <f ca="1">IFERROR(__xludf.DUMMYFUNCTION("""COMPUTED_VALUE"""),258)</f>
        <v>258</v>
      </c>
      <c r="N135" s="1" t="str">
        <f ca="1">IFERROR(__xludf.DUMMYFUNCTION("""COMPUTED_VALUE"""),"+0.04")</f>
        <v>+0.04</v>
      </c>
      <c r="O135" s="1">
        <f ca="1">IFERROR(__xludf.DUMMYFUNCTION("""COMPUTED_VALUE"""),154)</f>
        <v>154</v>
      </c>
      <c r="P135" s="1">
        <f ca="1">IFERROR(__xludf.DUMMYFUNCTION("""COMPUTED_VALUE"""),102.5)</f>
        <v>102.5</v>
      </c>
      <c r="Q135" s="1">
        <f ca="1">IFERROR(__xludf.DUMMYFUNCTION("""COMPUTED_VALUE"""),180)</f>
        <v>180</v>
      </c>
      <c r="R135" s="1">
        <f ca="1">IFERROR(__xludf.DUMMYFUNCTION("""COMPUTED_VALUE"""),102.4)</f>
        <v>102.4</v>
      </c>
      <c r="S135" s="1">
        <f ca="1">IFERROR(__xludf.DUMMYFUNCTION("""COMPUTED_VALUE"""),138)</f>
        <v>138</v>
      </c>
      <c r="T135" s="1">
        <f ca="1">IFERROR(__xludf.DUMMYFUNCTION("""COMPUTED_VALUE"""),-1.94)</f>
        <v>-1.94</v>
      </c>
      <c r="U135" s="1">
        <f ca="1">IFERROR(__xludf.DUMMYFUNCTION("""COMPUTED_VALUE"""),216)</f>
        <v>216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IFERROR(__xludf.DUMMYFUNCTION("""COMPUTED_VALUE"""),"Michigan")</f>
        <v>Michigan</v>
      </c>
      <c r="C136" s="1" t="str">
        <f ca="1">IFERROR(__xludf.DUMMYFUNCTION("""COMPUTED_VALUE"""),"B10")</f>
        <v>B10</v>
      </c>
      <c r="D136" s="1" t="str">
        <f ca="1">IFERROR(__xludf.DUMMYFUNCTION("""COMPUTED_VALUE"""),"13-18")</f>
        <v>13-18</v>
      </c>
      <c r="E136" s="1" t="str">
        <f ca="1">IFERROR(__xludf.DUMMYFUNCTION("""COMPUTED_VALUE"""),"+3.68")</f>
        <v>+3.68</v>
      </c>
      <c r="F136" s="1">
        <f ca="1">IFERROR(__xludf.DUMMYFUNCTION("""COMPUTED_VALUE"""),103.5)</f>
        <v>103.5</v>
      </c>
      <c r="G136" s="1">
        <f ca="1">IFERROR(__xludf.DUMMYFUNCTION("""COMPUTED_VALUE"""),152)</f>
        <v>152</v>
      </c>
      <c r="H136" s="1">
        <f ca="1">IFERROR(__xludf.DUMMYFUNCTION("""COMPUTED_VALUE"""),99.8)</f>
        <v>99.8</v>
      </c>
      <c r="I136" s="1">
        <f ca="1">IFERROR(__xludf.DUMMYFUNCTION("""COMPUTED_VALUE"""),100)</f>
        <v>100</v>
      </c>
      <c r="J136" s="1">
        <f ca="1">IFERROR(__xludf.DUMMYFUNCTION("""COMPUTED_VALUE"""),62.2)</f>
        <v>62.2</v>
      </c>
      <c r="K136" s="1">
        <f ca="1">IFERROR(__xludf.DUMMYFUNCTION("""COMPUTED_VALUE"""),299)</f>
        <v>299</v>
      </c>
      <c r="L136" s="1">
        <f ca="1">IFERROR(__xludf.DUMMYFUNCTION("""COMPUTED_VALUE"""),-0.026)</f>
        <v>-2.5999999999999999E-2</v>
      </c>
      <c r="M136" s="1">
        <f ca="1">IFERROR(__xludf.DUMMYFUNCTION("""COMPUTED_VALUE"""),232)</f>
        <v>232</v>
      </c>
      <c r="N136" s="1" t="str">
        <f ca="1">IFERROR(__xludf.DUMMYFUNCTION("""COMPUTED_VALUE"""),"+6.50")</f>
        <v>+6.50</v>
      </c>
      <c r="O136" s="1">
        <f ca="1">IFERROR(__xludf.DUMMYFUNCTION("""COMPUTED_VALUE"""),54)</f>
        <v>54</v>
      </c>
      <c r="P136" s="1">
        <f ca="1">IFERROR(__xludf.DUMMYFUNCTION("""COMPUTED_VALUE"""),106)</f>
        <v>106</v>
      </c>
      <c r="Q136" s="1">
        <f ca="1">IFERROR(__xludf.DUMMYFUNCTION("""COMPUTED_VALUE"""),72)</f>
        <v>72</v>
      </c>
      <c r="R136" s="1">
        <f ca="1">IFERROR(__xludf.DUMMYFUNCTION("""COMPUTED_VALUE"""),99.5)</f>
        <v>99.5</v>
      </c>
      <c r="S136" s="1">
        <f ca="1">IFERROR(__xludf.DUMMYFUNCTION("""COMPUTED_VALUE"""),38)</f>
        <v>38</v>
      </c>
      <c r="T136" s="1">
        <f ca="1">IFERROR(__xludf.DUMMYFUNCTION("""COMPUTED_VALUE"""),-1.01)</f>
        <v>-1.01</v>
      </c>
      <c r="U136" s="1">
        <f ca="1">IFERROR(__xludf.DUMMYFUNCTION("""COMPUTED_VALUE"""),189)</f>
        <v>189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IFERROR(__xludf.DUMMYFUNCTION("""COMPUTED_VALUE"""),"Santa Clara")</f>
        <v>Santa Clara</v>
      </c>
      <c r="C137" s="1" t="str">
        <f ca="1">IFERROR(__xludf.DUMMYFUNCTION("""COMPUTED_VALUE"""),"WCC")</f>
        <v>WCC</v>
      </c>
      <c r="D137" s="1" t="str">
        <f ca="1">IFERROR(__xludf.DUMMYFUNCTION("""COMPUTED_VALUE"""),"15-16")</f>
        <v>15-16</v>
      </c>
      <c r="E137" s="1" t="str">
        <f ca="1">IFERROR(__xludf.DUMMYFUNCTION("""COMPUTED_VALUE"""),"+3.65")</f>
        <v>+3.65</v>
      </c>
      <c r="F137" s="1">
        <f ca="1">IFERROR(__xludf.DUMMYFUNCTION("""COMPUTED_VALUE"""),106.4)</f>
        <v>106.4</v>
      </c>
      <c r="G137" s="1">
        <f ca="1">IFERROR(__xludf.DUMMYFUNCTION("""COMPUTED_VALUE"""),106)</f>
        <v>106</v>
      </c>
      <c r="H137" s="1">
        <f ca="1">IFERROR(__xludf.DUMMYFUNCTION("""COMPUTED_VALUE"""),102.7)</f>
        <v>102.7</v>
      </c>
      <c r="I137" s="1">
        <f ca="1">IFERROR(__xludf.DUMMYFUNCTION("""COMPUTED_VALUE"""),162)</f>
        <v>162</v>
      </c>
      <c r="J137" s="1">
        <f ca="1">IFERROR(__xludf.DUMMYFUNCTION("""COMPUTED_VALUE"""),68.8)</f>
        <v>68.8</v>
      </c>
      <c r="K137" s="1">
        <f ca="1">IFERROR(__xludf.DUMMYFUNCTION("""COMPUTED_VALUE"""),60)</f>
        <v>60</v>
      </c>
      <c r="L137" s="1">
        <f ca="1">IFERROR(__xludf.DUMMYFUNCTION("""COMPUTED_VALUE"""),-0.049)</f>
        <v>-4.9000000000000002E-2</v>
      </c>
      <c r="M137" s="1">
        <f ca="1">IFERROR(__xludf.DUMMYFUNCTION("""COMPUTED_VALUE"""),273)</f>
        <v>273</v>
      </c>
      <c r="N137" s="1" t="str">
        <f ca="1">IFERROR(__xludf.DUMMYFUNCTION("""COMPUTED_VALUE"""),"+2.22")</f>
        <v>+2.22</v>
      </c>
      <c r="O137" s="1">
        <f ca="1">IFERROR(__xludf.DUMMYFUNCTION("""COMPUTED_VALUE"""),121)</f>
        <v>121</v>
      </c>
      <c r="P137" s="1">
        <f ca="1">IFERROR(__xludf.DUMMYFUNCTION("""COMPUTED_VALUE"""),104.6)</f>
        <v>104.6</v>
      </c>
      <c r="Q137" s="1">
        <f ca="1">IFERROR(__xludf.DUMMYFUNCTION("""COMPUTED_VALUE"""),121)</f>
        <v>121</v>
      </c>
      <c r="R137" s="1">
        <f ca="1">IFERROR(__xludf.DUMMYFUNCTION("""COMPUTED_VALUE"""),102.4)</f>
        <v>102.4</v>
      </c>
      <c r="S137" s="1">
        <f ca="1">IFERROR(__xludf.DUMMYFUNCTION("""COMPUTED_VALUE"""),134)</f>
        <v>134</v>
      </c>
      <c r="T137" s="1">
        <f ca="1">IFERROR(__xludf.DUMMYFUNCTION("""COMPUTED_VALUE"""),-1)</f>
        <v>-1</v>
      </c>
      <c r="U137" s="1">
        <f ca="1">IFERROR(__xludf.DUMMYFUNCTION("""COMPUTED_VALUE"""),188)</f>
        <v>188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IFERROR(__xludf.DUMMYFUNCTION("""COMPUTED_VALUE"""),"SMU")</f>
        <v>SMU</v>
      </c>
      <c r="C138" s="1" t="str">
        <f ca="1">IFERROR(__xludf.DUMMYFUNCTION("""COMPUTED_VALUE"""),"WAC")</f>
        <v>WAC</v>
      </c>
      <c r="D138" s="1" t="str">
        <f ca="1">IFERROR(__xludf.DUMMYFUNCTION("""COMPUTED_VALUE"""),"14-14")</f>
        <v>14-14</v>
      </c>
      <c r="E138" s="1" t="str">
        <f ca="1">IFERROR(__xludf.DUMMYFUNCTION("""COMPUTED_VALUE"""),"+3.61")</f>
        <v>+3.61</v>
      </c>
      <c r="F138" s="1">
        <f ca="1">IFERROR(__xludf.DUMMYFUNCTION("""COMPUTED_VALUE"""),104.8)</f>
        <v>104.8</v>
      </c>
      <c r="G138" s="1">
        <f ca="1">IFERROR(__xludf.DUMMYFUNCTION("""COMPUTED_VALUE"""),129)</f>
        <v>129</v>
      </c>
      <c r="H138" s="1">
        <f ca="1">IFERROR(__xludf.DUMMYFUNCTION("""COMPUTED_VALUE"""),101.2)</f>
        <v>101.2</v>
      </c>
      <c r="I138" s="1">
        <f ca="1">IFERROR(__xludf.DUMMYFUNCTION("""COMPUTED_VALUE"""),133)</f>
        <v>133</v>
      </c>
      <c r="J138" s="1">
        <f ca="1">IFERROR(__xludf.DUMMYFUNCTION("""COMPUTED_VALUE"""),63.8)</f>
        <v>63.8</v>
      </c>
      <c r="K138" s="1">
        <f ca="1">IFERROR(__xludf.DUMMYFUNCTION("""COMPUTED_VALUE"""),260)</f>
        <v>260</v>
      </c>
      <c r="L138" s="1">
        <f ca="1">IFERROR(__xludf.DUMMYFUNCTION("""COMPUTED_VALUE"""),-0.059)</f>
        <v>-5.8999999999999997E-2</v>
      </c>
      <c r="M138" s="1">
        <f ca="1">IFERROR(__xludf.DUMMYFUNCTION("""COMPUTED_VALUE"""),292)</f>
        <v>292</v>
      </c>
      <c r="N138" s="1" t="str">
        <f ca="1">IFERROR(__xludf.DUMMYFUNCTION("""COMPUTED_VALUE"""),"+1.38")</f>
        <v>+1.38</v>
      </c>
      <c r="O138" s="1">
        <f ca="1">IFERROR(__xludf.DUMMYFUNCTION("""COMPUTED_VALUE"""),137)</f>
        <v>137</v>
      </c>
      <c r="P138" s="1">
        <f ca="1">IFERROR(__xludf.DUMMYFUNCTION("""COMPUTED_VALUE"""),103.5)</f>
        <v>103.5</v>
      </c>
      <c r="Q138" s="1">
        <f ca="1">IFERROR(__xludf.DUMMYFUNCTION("""COMPUTED_VALUE"""),148)</f>
        <v>148</v>
      </c>
      <c r="R138" s="1">
        <f ca="1">IFERROR(__xludf.DUMMYFUNCTION("""COMPUTED_VALUE"""),102.2)</f>
        <v>102.2</v>
      </c>
      <c r="S138" s="1">
        <f ca="1">IFERROR(__xludf.DUMMYFUNCTION("""COMPUTED_VALUE"""),121)</f>
        <v>121</v>
      </c>
      <c r="T138" s="1" t="str">
        <f ca="1">IFERROR(__xludf.DUMMYFUNCTION("""COMPUTED_VALUE"""),"+1.29")</f>
        <v>+1.29</v>
      </c>
      <c r="U138" s="1">
        <f ca="1">IFERROR(__xludf.DUMMYFUNCTION("""COMPUTED_VALUE"""),121)</f>
        <v>121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IFERROR(__xludf.DUMMYFUNCTION("""COMPUTED_VALUE"""),"Detroit")</f>
        <v>Detroit</v>
      </c>
      <c r="C139" s="1" t="str">
        <f ca="1">IFERROR(__xludf.DUMMYFUNCTION("""COMPUTED_VALUE"""),"Horz")</f>
        <v>Horz</v>
      </c>
      <c r="D139" s="1" t="str">
        <f ca="1">IFERROR(__xludf.DUMMYFUNCTION("""COMPUTED_VALUE"""),"14-16")</f>
        <v>14-16</v>
      </c>
      <c r="E139" s="1" t="str">
        <f ca="1">IFERROR(__xludf.DUMMYFUNCTION("""COMPUTED_VALUE"""),"+3.59")</f>
        <v>+3.59</v>
      </c>
      <c r="F139" s="1">
        <f ca="1">IFERROR(__xludf.DUMMYFUNCTION("""COMPUTED_VALUE"""),103.1)</f>
        <v>103.1</v>
      </c>
      <c r="G139" s="1">
        <f ca="1">IFERROR(__xludf.DUMMYFUNCTION("""COMPUTED_VALUE"""),160)</f>
        <v>160</v>
      </c>
      <c r="H139" s="1">
        <f ca="1">IFERROR(__xludf.DUMMYFUNCTION("""COMPUTED_VALUE"""),99.5)</f>
        <v>99.5</v>
      </c>
      <c r="I139" s="1">
        <f ca="1">IFERROR(__xludf.DUMMYFUNCTION("""COMPUTED_VALUE"""),91)</f>
        <v>91</v>
      </c>
      <c r="J139" s="1">
        <f ca="1">IFERROR(__xludf.DUMMYFUNCTION("""COMPUTED_VALUE"""),59.7)</f>
        <v>59.7</v>
      </c>
      <c r="K139" s="1">
        <f ca="1">IFERROR(__xludf.DUMMYFUNCTION("""COMPUTED_VALUE"""),321)</f>
        <v>321</v>
      </c>
      <c r="L139" s="1">
        <f ca="1">IFERROR(__xludf.DUMMYFUNCTION("""COMPUTED_VALUE"""),-0.07)</f>
        <v>-7.0000000000000007E-2</v>
      </c>
      <c r="M139" s="1">
        <f ca="1">IFERROR(__xludf.DUMMYFUNCTION("""COMPUTED_VALUE"""),308)</f>
        <v>308</v>
      </c>
      <c r="N139" s="1" t="str">
        <f ca="1">IFERROR(__xludf.DUMMYFUNCTION("""COMPUTED_VALUE"""),"+1.61")</f>
        <v>+1.61</v>
      </c>
      <c r="O139" s="1">
        <f ca="1">IFERROR(__xludf.DUMMYFUNCTION("""COMPUTED_VALUE"""),132)</f>
        <v>132</v>
      </c>
      <c r="P139" s="1">
        <f ca="1">IFERROR(__xludf.DUMMYFUNCTION("""COMPUTED_VALUE"""),105)</f>
        <v>105</v>
      </c>
      <c r="Q139" s="1">
        <f ca="1">IFERROR(__xludf.DUMMYFUNCTION("""COMPUTED_VALUE"""),106)</f>
        <v>106</v>
      </c>
      <c r="R139" s="1">
        <f ca="1">IFERROR(__xludf.DUMMYFUNCTION("""COMPUTED_VALUE"""),103.4)</f>
        <v>103.4</v>
      </c>
      <c r="S139" s="1">
        <f ca="1">IFERROR(__xludf.DUMMYFUNCTION("""COMPUTED_VALUE"""),184)</f>
        <v>184</v>
      </c>
      <c r="T139" s="1" t="str">
        <f ca="1">IFERROR(__xludf.DUMMYFUNCTION("""COMPUTED_VALUE"""),"+4.86")</f>
        <v>+4.86</v>
      </c>
      <c r="U139" s="1">
        <f ca="1">IFERROR(__xludf.DUMMYFUNCTION("""COMPUTED_VALUE"""),52)</f>
        <v>52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IFERROR(__xludf.DUMMYFUNCTION("""COMPUTED_VALUE"""),"South Florida")</f>
        <v>South Florida</v>
      </c>
      <c r="C140" s="1" t="str">
        <f ca="1">IFERROR(__xludf.DUMMYFUNCTION("""COMPUTED_VALUE"""),"CUSA")</f>
        <v>CUSA</v>
      </c>
      <c r="D140" s="1" t="str">
        <f ca="1">IFERROR(__xludf.DUMMYFUNCTION("""COMPUTED_VALUE"""),"14-16")</f>
        <v>14-16</v>
      </c>
      <c r="E140" s="1" t="str">
        <f ca="1">IFERROR(__xludf.DUMMYFUNCTION("""COMPUTED_VALUE"""),"+3.33")</f>
        <v>+3.33</v>
      </c>
      <c r="F140" s="1">
        <f ca="1">IFERROR(__xludf.DUMMYFUNCTION("""COMPUTED_VALUE"""),103.2)</f>
        <v>103.2</v>
      </c>
      <c r="G140" s="1">
        <f ca="1">IFERROR(__xludf.DUMMYFUNCTION("""COMPUTED_VALUE"""),156)</f>
        <v>156</v>
      </c>
      <c r="H140" s="1">
        <f ca="1">IFERROR(__xludf.DUMMYFUNCTION("""COMPUTED_VALUE"""),99.9)</f>
        <v>99.9</v>
      </c>
      <c r="I140" s="1">
        <f ca="1">IFERROR(__xludf.DUMMYFUNCTION("""COMPUTED_VALUE"""),102)</f>
        <v>102</v>
      </c>
      <c r="J140" s="1">
        <f ca="1">IFERROR(__xludf.DUMMYFUNCTION("""COMPUTED_VALUE"""),66.6)</f>
        <v>66.599999999999994</v>
      </c>
      <c r="K140" s="1">
        <f ca="1">IFERROR(__xludf.DUMMYFUNCTION("""COMPUTED_VALUE"""),140)</f>
        <v>140</v>
      </c>
      <c r="L140" s="1">
        <f ca="1">IFERROR(__xludf.DUMMYFUNCTION("""COMPUTED_VALUE"""),-0.07)</f>
        <v>-7.0000000000000007E-2</v>
      </c>
      <c r="M140" s="1">
        <f ca="1">IFERROR(__xludf.DUMMYFUNCTION("""COMPUTED_VALUE"""),306)</f>
        <v>306</v>
      </c>
      <c r="N140" s="1" t="str">
        <f ca="1">IFERROR(__xludf.DUMMYFUNCTION("""COMPUTED_VALUE"""),"+2.36")</f>
        <v>+2.36</v>
      </c>
      <c r="O140" s="1">
        <f ca="1">IFERROR(__xludf.DUMMYFUNCTION("""COMPUTED_VALUE"""),119)</f>
        <v>119</v>
      </c>
      <c r="P140" s="1">
        <f ca="1">IFERROR(__xludf.DUMMYFUNCTION("""COMPUTED_VALUE"""),103.4)</f>
        <v>103.4</v>
      </c>
      <c r="Q140" s="1">
        <f ca="1">IFERROR(__xludf.DUMMYFUNCTION("""COMPUTED_VALUE"""),152)</f>
        <v>152</v>
      </c>
      <c r="R140" s="1">
        <f ca="1">IFERROR(__xludf.DUMMYFUNCTION("""COMPUTED_VALUE"""),101.1)</f>
        <v>101.1</v>
      </c>
      <c r="S140" s="1">
        <f ca="1">IFERROR(__xludf.DUMMYFUNCTION("""COMPUTED_VALUE"""),89)</f>
        <v>89</v>
      </c>
      <c r="T140" s="1">
        <f ca="1">IFERROR(__xludf.DUMMYFUNCTION("""COMPUTED_VALUE"""),-10.03)</f>
        <v>-10.029999999999999</v>
      </c>
      <c r="U140" s="1">
        <f ca="1">IFERROR(__xludf.DUMMYFUNCTION("""COMPUTED_VALUE"""),319)</f>
        <v>319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IFERROR(__xludf.DUMMYFUNCTION("""COMPUTED_VALUE"""),"Bowling Green")</f>
        <v>Bowling Green</v>
      </c>
      <c r="C141" s="1" t="str">
        <f ca="1">IFERROR(__xludf.DUMMYFUNCTION("""COMPUTED_VALUE"""),"MAC")</f>
        <v>MAC</v>
      </c>
      <c r="D141" s="1" t="str">
        <f ca="1">IFERROR(__xludf.DUMMYFUNCTION("""COMPUTED_VALUE"""),"18-11")</f>
        <v>18-11</v>
      </c>
      <c r="E141" s="1" t="str">
        <f ca="1">IFERROR(__xludf.DUMMYFUNCTION("""COMPUTED_VALUE"""),"+3.23")</f>
        <v>+3.23</v>
      </c>
      <c r="F141" s="1">
        <f ca="1">IFERROR(__xludf.DUMMYFUNCTION("""COMPUTED_VALUE"""),107.6)</f>
        <v>107.6</v>
      </c>
      <c r="G141" s="1">
        <f ca="1">IFERROR(__xludf.DUMMYFUNCTION("""COMPUTED_VALUE"""),83)</f>
        <v>83</v>
      </c>
      <c r="H141" s="1">
        <f ca="1">IFERROR(__xludf.DUMMYFUNCTION("""COMPUTED_VALUE"""),104.4)</f>
        <v>104.4</v>
      </c>
      <c r="I141" s="1">
        <f ca="1">IFERROR(__xludf.DUMMYFUNCTION("""COMPUTED_VALUE"""),196)</f>
        <v>196</v>
      </c>
      <c r="J141" s="1">
        <f ca="1">IFERROR(__xludf.DUMMYFUNCTION("""COMPUTED_VALUE"""),65.1)</f>
        <v>65.099999999999994</v>
      </c>
      <c r="K141" s="1">
        <f ca="1">IFERROR(__xludf.DUMMYFUNCTION("""COMPUTED_VALUE"""),211)</f>
        <v>211</v>
      </c>
      <c r="L141" s="1" t="str">
        <f ca="1">IFERROR(__xludf.DUMMYFUNCTION("""COMPUTED_VALUE"""),"+.104")</f>
        <v>+.104</v>
      </c>
      <c r="M141" s="1">
        <f ca="1">IFERROR(__xludf.DUMMYFUNCTION("""COMPUTED_VALUE"""),9)</f>
        <v>9</v>
      </c>
      <c r="N141" s="1" t="str">
        <f ca="1">IFERROR(__xludf.DUMMYFUNCTION("""COMPUTED_VALUE"""),"+2.67")</f>
        <v>+2.67</v>
      </c>
      <c r="O141" s="1">
        <f ca="1">IFERROR(__xludf.DUMMYFUNCTION("""COMPUTED_VALUE"""),113)</f>
        <v>113</v>
      </c>
      <c r="P141" s="1">
        <f ca="1">IFERROR(__xludf.DUMMYFUNCTION("""COMPUTED_VALUE"""),105.4)</f>
        <v>105.4</v>
      </c>
      <c r="Q141" s="1">
        <f ca="1">IFERROR(__xludf.DUMMYFUNCTION("""COMPUTED_VALUE"""),93)</f>
        <v>93</v>
      </c>
      <c r="R141" s="1">
        <f ca="1">IFERROR(__xludf.DUMMYFUNCTION("""COMPUTED_VALUE"""),102.7)</f>
        <v>102.7</v>
      </c>
      <c r="S141" s="1">
        <f ca="1">IFERROR(__xludf.DUMMYFUNCTION("""COMPUTED_VALUE"""),147)</f>
        <v>147</v>
      </c>
      <c r="T141" s="1">
        <f ca="1">IFERROR(__xludf.DUMMYFUNCTION("""COMPUTED_VALUE"""),-2.16)</f>
        <v>-2.16</v>
      </c>
      <c r="U141" s="1">
        <f ca="1">IFERROR(__xludf.DUMMYFUNCTION("""COMPUTED_VALUE"""),221)</f>
        <v>221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IFERROR(__xludf.DUMMYFUNCTION("""COMPUTED_VALUE"""),"Southeastern Louisiana15")</f>
        <v>Southeastern Louisiana15</v>
      </c>
      <c r="C142" s="1" t="str">
        <f ca="1">IFERROR(__xludf.DUMMYFUNCTION("""COMPUTED_VALUE"""),"Slnd")</f>
        <v>Slnd</v>
      </c>
      <c r="D142" s="1" t="str">
        <f ca="1">IFERROR(__xludf.DUMMYFUNCTION("""COMPUTED_VALUE"""),"24-9")</f>
        <v>24-9</v>
      </c>
      <c r="E142" s="1" t="str">
        <f ca="1">IFERROR(__xludf.DUMMYFUNCTION("""COMPUTED_VALUE"""),"+3.20")</f>
        <v>+3.20</v>
      </c>
      <c r="F142" s="1">
        <f ca="1">IFERROR(__xludf.DUMMYFUNCTION("""COMPUTED_VALUE"""),97.1)</f>
        <v>97.1</v>
      </c>
      <c r="G142" s="1">
        <f ca="1">IFERROR(__xludf.DUMMYFUNCTION("""COMPUTED_VALUE"""),255)</f>
        <v>255</v>
      </c>
      <c r="H142" s="1">
        <f ca="1">IFERROR(__xludf.DUMMYFUNCTION("""COMPUTED_VALUE"""),93.9)</f>
        <v>93.9</v>
      </c>
      <c r="I142" s="1">
        <f ca="1">IFERROR(__xludf.DUMMYFUNCTION("""COMPUTED_VALUE"""),25)</f>
        <v>25</v>
      </c>
      <c r="J142" s="1">
        <f ca="1">IFERROR(__xludf.DUMMYFUNCTION("""COMPUTED_VALUE"""),60)</f>
        <v>60</v>
      </c>
      <c r="K142" s="1">
        <f ca="1">IFERROR(__xludf.DUMMYFUNCTION("""COMPUTED_VALUE"""),318)</f>
        <v>318</v>
      </c>
      <c r="L142" s="1" t="str">
        <f ca="1">IFERROR(__xludf.DUMMYFUNCTION("""COMPUTED_VALUE"""),"+.007")</f>
        <v>+.007</v>
      </c>
      <c r="M142" s="1">
        <f ca="1">IFERROR(__xludf.DUMMYFUNCTION("""COMPUTED_VALUE"""),150)</f>
        <v>150</v>
      </c>
      <c r="N142" s="1">
        <f ca="1">IFERROR(__xludf.DUMMYFUNCTION("""COMPUTED_VALUE"""),-4.75)</f>
        <v>-4.75</v>
      </c>
      <c r="O142" s="1">
        <f ca="1">IFERROR(__xludf.DUMMYFUNCTION("""COMPUTED_VALUE"""),258)</f>
        <v>258</v>
      </c>
      <c r="P142" s="1">
        <f ca="1">IFERROR(__xludf.DUMMYFUNCTION("""COMPUTED_VALUE"""),100.3)</f>
        <v>100.3</v>
      </c>
      <c r="Q142" s="1">
        <f ca="1">IFERROR(__xludf.DUMMYFUNCTION("""COMPUTED_VALUE"""),241)</f>
        <v>241</v>
      </c>
      <c r="R142" s="1">
        <f ca="1">IFERROR(__xludf.DUMMYFUNCTION("""COMPUTED_VALUE"""),105.1)</f>
        <v>105.1</v>
      </c>
      <c r="S142" s="1">
        <f ca="1">IFERROR(__xludf.DUMMYFUNCTION("""COMPUTED_VALUE"""),250)</f>
        <v>250</v>
      </c>
      <c r="T142" s="1">
        <f ca="1">IFERROR(__xludf.DUMMYFUNCTION("""COMPUTED_VALUE"""),-1.78)</f>
        <v>-1.78</v>
      </c>
      <c r="U142" s="1">
        <f ca="1">IFERROR(__xludf.DUMMYFUNCTION("""COMPUTED_VALUE"""),212)</f>
        <v>212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IFERROR(__xludf.DUMMYFUNCTION("""COMPUTED_VALUE"""),"Pepperdine")</f>
        <v>Pepperdine</v>
      </c>
      <c r="C143" s="1" t="str">
        <f ca="1">IFERROR(__xludf.DUMMYFUNCTION("""COMPUTED_VALUE"""),"WCC")</f>
        <v>WCC</v>
      </c>
      <c r="D143" s="1" t="str">
        <f ca="1">IFERROR(__xludf.DUMMYFUNCTION("""COMPUTED_VALUE"""),"17-14")</f>
        <v>17-14</v>
      </c>
      <c r="E143" s="1" t="str">
        <f ca="1">IFERROR(__xludf.DUMMYFUNCTION("""COMPUTED_VALUE"""),"+3.12")</f>
        <v>+3.12</v>
      </c>
      <c r="F143" s="1">
        <f ca="1">IFERROR(__xludf.DUMMYFUNCTION("""COMPUTED_VALUE"""),107.8)</f>
        <v>107.8</v>
      </c>
      <c r="G143" s="1">
        <f ca="1">IFERROR(__xludf.DUMMYFUNCTION("""COMPUTED_VALUE"""),77)</f>
        <v>77</v>
      </c>
      <c r="H143" s="1">
        <f ca="1">IFERROR(__xludf.DUMMYFUNCTION("""COMPUTED_VALUE"""),104.7)</f>
        <v>104.7</v>
      </c>
      <c r="I143" s="1">
        <f ca="1">IFERROR(__xludf.DUMMYFUNCTION("""COMPUTED_VALUE"""),207)</f>
        <v>207</v>
      </c>
      <c r="J143" s="1">
        <f ca="1">IFERROR(__xludf.DUMMYFUNCTION("""COMPUTED_VALUE"""),69)</f>
        <v>69</v>
      </c>
      <c r="K143" s="1">
        <f ca="1">IFERROR(__xludf.DUMMYFUNCTION("""COMPUTED_VALUE"""),52)</f>
        <v>52</v>
      </c>
      <c r="L143" s="1" t="str">
        <f ca="1">IFERROR(__xludf.DUMMYFUNCTION("""COMPUTED_VALUE"""),"+.030")</f>
        <v>+.030</v>
      </c>
      <c r="M143" s="1">
        <f ca="1">IFERROR(__xludf.DUMMYFUNCTION("""COMPUTED_VALUE"""),99)</f>
        <v>99</v>
      </c>
      <c r="N143" s="1" t="str">
        <f ca="1">IFERROR(__xludf.DUMMYFUNCTION("""COMPUTED_VALUE"""),"+2.01")</f>
        <v>+2.01</v>
      </c>
      <c r="O143" s="1">
        <f ca="1">IFERROR(__xludf.DUMMYFUNCTION("""COMPUTED_VALUE"""),123)</f>
        <v>123</v>
      </c>
      <c r="P143" s="1">
        <f ca="1">IFERROR(__xludf.DUMMYFUNCTION("""COMPUTED_VALUE"""),103.9)</f>
        <v>103.9</v>
      </c>
      <c r="Q143" s="1">
        <f ca="1">IFERROR(__xludf.DUMMYFUNCTION("""COMPUTED_VALUE"""),138)</f>
        <v>138</v>
      </c>
      <c r="R143" s="1">
        <f ca="1">IFERROR(__xludf.DUMMYFUNCTION("""COMPUTED_VALUE"""),101.8)</f>
        <v>101.8</v>
      </c>
      <c r="S143" s="1">
        <f ca="1">IFERROR(__xludf.DUMMYFUNCTION("""COMPUTED_VALUE"""),105)</f>
        <v>105</v>
      </c>
      <c r="T143" s="1">
        <f ca="1">IFERROR(__xludf.DUMMYFUNCTION("""COMPUTED_VALUE"""),-1.04)</f>
        <v>-1.04</v>
      </c>
      <c r="U143" s="1">
        <f ca="1">IFERROR(__xludf.DUMMYFUNCTION("""COMPUTED_VALUE"""),190)</f>
        <v>190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IFERROR(__xludf.DUMMYFUNCTION("""COMPUTED_VALUE"""),"Illinois Chicago")</f>
        <v>Illinois Chicago</v>
      </c>
      <c r="C144" s="1" t="str">
        <f ca="1">IFERROR(__xludf.DUMMYFUNCTION("""COMPUTED_VALUE"""),"Horz")</f>
        <v>Horz</v>
      </c>
      <c r="D144" s="1" t="str">
        <f ca="1">IFERROR(__xludf.DUMMYFUNCTION("""COMPUTED_VALUE"""),"15-14")</f>
        <v>15-14</v>
      </c>
      <c r="E144" s="1" t="str">
        <f ca="1">IFERROR(__xludf.DUMMYFUNCTION("""COMPUTED_VALUE"""),"+3.06")</f>
        <v>+3.06</v>
      </c>
      <c r="F144" s="1">
        <f ca="1">IFERROR(__xludf.DUMMYFUNCTION("""COMPUTED_VALUE"""),107.6)</f>
        <v>107.6</v>
      </c>
      <c r="G144" s="1">
        <f ca="1">IFERROR(__xludf.DUMMYFUNCTION("""COMPUTED_VALUE"""),84)</f>
        <v>84</v>
      </c>
      <c r="H144" s="1">
        <f ca="1">IFERROR(__xludf.DUMMYFUNCTION("""COMPUTED_VALUE"""),104.5)</f>
        <v>104.5</v>
      </c>
      <c r="I144" s="1">
        <f ca="1">IFERROR(__xludf.DUMMYFUNCTION("""COMPUTED_VALUE"""),203)</f>
        <v>203</v>
      </c>
      <c r="J144" s="1">
        <f ca="1">IFERROR(__xludf.DUMMYFUNCTION("""COMPUTED_VALUE"""),65.9)</f>
        <v>65.900000000000006</v>
      </c>
      <c r="K144" s="1">
        <f ca="1">IFERROR(__xludf.DUMMYFUNCTION("""COMPUTED_VALUE"""),178)</f>
        <v>178</v>
      </c>
      <c r="L144" s="1">
        <f ca="1">IFERROR(__xludf.DUMMYFUNCTION("""COMPUTED_VALUE"""),-0.01)</f>
        <v>-0.01</v>
      </c>
      <c r="M144" s="1">
        <f ca="1">IFERROR(__xludf.DUMMYFUNCTION("""COMPUTED_VALUE"""),187)</f>
        <v>187</v>
      </c>
      <c r="N144" s="1" t="str">
        <f ca="1">IFERROR(__xludf.DUMMYFUNCTION("""COMPUTED_VALUE"""),"+1.72")</f>
        <v>+1.72</v>
      </c>
      <c r="O144" s="1">
        <f ca="1">IFERROR(__xludf.DUMMYFUNCTION("""COMPUTED_VALUE"""),130)</f>
        <v>130</v>
      </c>
      <c r="P144" s="1">
        <f ca="1">IFERROR(__xludf.DUMMYFUNCTION("""COMPUTED_VALUE"""),103.8)</f>
        <v>103.8</v>
      </c>
      <c r="Q144" s="1">
        <f ca="1">IFERROR(__xludf.DUMMYFUNCTION("""COMPUTED_VALUE"""),140)</f>
        <v>140</v>
      </c>
      <c r="R144" s="1">
        <f ca="1">IFERROR(__xludf.DUMMYFUNCTION("""COMPUTED_VALUE"""),102.1)</f>
        <v>102.1</v>
      </c>
      <c r="S144" s="1">
        <f ca="1">IFERROR(__xludf.DUMMYFUNCTION("""COMPUTED_VALUE"""),118)</f>
        <v>118</v>
      </c>
      <c r="T144" s="1" t="str">
        <f ca="1">IFERROR(__xludf.DUMMYFUNCTION("""COMPUTED_VALUE"""),"+9.72")</f>
        <v>+9.72</v>
      </c>
      <c r="U144" s="1">
        <f ca="1">IFERROR(__xludf.DUMMYFUNCTION("""COMPUTED_VALUE"""),15)</f>
        <v>15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IFERROR(__xludf.DUMMYFUNCTION("""COMPUTED_VALUE"""),"Northern Illinois")</f>
        <v>Northern Illinois</v>
      </c>
      <c r="C145" s="1" t="str">
        <f ca="1">IFERROR(__xludf.DUMMYFUNCTION("""COMPUTED_VALUE"""),"MAC")</f>
        <v>MAC</v>
      </c>
      <c r="D145" s="2">
        <f ca="1">IFERROR(__xludf.DUMMYFUNCTION("""COMPUTED_VALUE"""),44882)</f>
        <v>44882</v>
      </c>
      <c r="E145" s="1" t="str">
        <f ca="1">IFERROR(__xludf.DUMMYFUNCTION("""COMPUTED_VALUE"""),"+2.84")</f>
        <v>+2.84</v>
      </c>
      <c r="F145" s="1">
        <f ca="1">IFERROR(__xludf.DUMMYFUNCTION("""COMPUTED_VALUE"""),108.3)</f>
        <v>108.3</v>
      </c>
      <c r="G145" s="1">
        <f ca="1">IFERROR(__xludf.DUMMYFUNCTION("""COMPUTED_VALUE"""),73)</f>
        <v>73</v>
      </c>
      <c r="H145" s="1">
        <f ca="1">IFERROR(__xludf.DUMMYFUNCTION("""COMPUTED_VALUE"""),105.5)</f>
        <v>105.5</v>
      </c>
      <c r="I145" s="1">
        <f ca="1">IFERROR(__xludf.DUMMYFUNCTION("""COMPUTED_VALUE"""),224)</f>
        <v>224</v>
      </c>
      <c r="J145" s="1">
        <f ca="1">IFERROR(__xludf.DUMMYFUNCTION("""COMPUTED_VALUE"""),62.5)</f>
        <v>62.5</v>
      </c>
      <c r="K145" s="1">
        <f ca="1">IFERROR(__xludf.DUMMYFUNCTION("""COMPUTED_VALUE"""),296)</f>
        <v>296</v>
      </c>
      <c r="L145" s="1">
        <f ca="1">IFERROR(__xludf.DUMMYFUNCTION("""COMPUTED_VALUE"""),-0.069)</f>
        <v>-6.9000000000000006E-2</v>
      </c>
      <c r="M145" s="1">
        <f ca="1">IFERROR(__xludf.DUMMYFUNCTION("""COMPUTED_VALUE"""),304)</f>
        <v>304</v>
      </c>
      <c r="N145" s="1" t="str">
        <f ca="1">IFERROR(__xludf.DUMMYFUNCTION("""COMPUTED_VALUE"""),"+4.03")</f>
        <v>+4.03</v>
      </c>
      <c r="O145" s="1">
        <f ca="1">IFERROR(__xludf.DUMMYFUNCTION("""COMPUTED_VALUE"""),95)</f>
        <v>95</v>
      </c>
      <c r="P145" s="1">
        <f ca="1">IFERROR(__xludf.DUMMYFUNCTION("""COMPUTED_VALUE"""),106)</f>
        <v>106</v>
      </c>
      <c r="Q145" s="1">
        <f ca="1">IFERROR(__xludf.DUMMYFUNCTION("""COMPUTED_VALUE"""),74)</f>
        <v>74</v>
      </c>
      <c r="R145" s="1">
        <f ca="1">IFERROR(__xludf.DUMMYFUNCTION("""COMPUTED_VALUE"""),102)</f>
        <v>102</v>
      </c>
      <c r="S145" s="1">
        <f ca="1">IFERROR(__xludf.DUMMYFUNCTION("""COMPUTED_VALUE"""),109)</f>
        <v>109</v>
      </c>
      <c r="T145" s="1" t="str">
        <f ca="1">IFERROR(__xludf.DUMMYFUNCTION("""COMPUTED_VALUE"""),"+3.24")</f>
        <v>+3.24</v>
      </c>
      <c r="U145" s="1">
        <f ca="1">IFERROR(__xludf.DUMMYFUNCTION("""COMPUTED_VALUE"""),83)</f>
        <v>83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IFERROR(__xludf.DUMMYFUNCTION("""COMPUTED_VALUE"""),"Drake")</f>
        <v>Drake</v>
      </c>
      <c r="C146" s="1" t="str">
        <f ca="1">IFERROR(__xludf.DUMMYFUNCTION("""COMPUTED_VALUE"""),"MVC")</f>
        <v>MVC</v>
      </c>
      <c r="D146" s="1" t="str">
        <f ca="1">IFERROR(__xludf.DUMMYFUNCTION("""COMPUTED_VALUE"""),"13-16")</f>
        <v>13-16</v>
      </c>
      <c r="E146" s="1" t="str">
        <f ca="1">IFERROR(__xludf.DUMMYFUNCTION("""COMPUTED_VALUE"""),"+2.47")</f>
        <v>+2.47</v>
      </c>
      <c r="F146" s="1">
        <f ca="1">IFERROR(__xludf.DUMMYFUNCTION("""COMPUTED_VALUE"""),105.3)</f>
        <v>105.3</v>
      </c>
      <c r="G146" s="1">
        <f ca="1">IFERROR(__xludf.DUMMYFUNCTION("""COMPUTED_VALUE"""),121)</f>
        <v>121</v>
      </c>
      <c r="H146" s="1">
        <f ca="1">IFERROR(__xludf.DUMMYFUNCTION("""COMPUTED_VALUE"""),102.8)</f>
        <v>102.8</v>
      </c>
      <c r="I146" s="1">
        <f ca="1">IFERROR(__xludf.DUMMYFUNCTION("""COMPUTED_VALUE"""),166)</f>
        <v>166</v>
      </c>
      <c r="J146" s="1">
        <f ca="1">IFERROR(__xludf.DUMMYFUNCTION("""COMPUTED_VALUE"""),67)</f>
        <v>67</v>
      </c>
      <c r="K146" s="1">
        <f ca="1">IFERROR(__xludf.DUMMYFUNCTION("""COMPUTED_VALUE"""),125)</f>
        <v>125</v>
      </c>
      <c r="L146" s="1" t="str">
        <f ca="1">IFERROR(__xludf.DUMMYFUNCTION("""COMPUTED_VALUE"""),"+.022")</f>
        <v>+.022</v>
      </c>
      <c r="M146" s="1">
        <f ca="1">IFERROR(__xludf.DUMMYFUNCTION("""COMPUTED_VALUE"""),111)</f>
        <v>111</v>
      </c>
      <c r="N146" s="1" t="str">
        <f ca="1">IFERROR(__xludf.DUMMYFUNCTION("""COMPUTED_VALUE"""),"+4.89")</f>
        <v>+4.89</v>
      </c>
      <c r="O146" s="1">
        <f ca="1">IFERROR(__xludf.DUMMYFUNCTION("""COMPUTED_VALUE"""),81)</f>
        <v>81</v>
      </c>
      <c r="P146" s="1">
        <f ca="1">IFERROR(__xludf.DUMMYFUNCTION("""COMPUTED_VALUE"""),105.8)</f>
        <v>105.8</v>
      </c>
      <c r="Q146" s="1">
        <f ca="1">IFERROR(__xludf.DUMMYFUNCTION("""COMPUTED_VALUE"""),79)</f>
        <v>79</v>
      </c>
      <c r="R146" s="1">
        <f ca="1">IFERROR(__xludf.DUMMYFUNCTION("""COMPUTED_VALUE"""),100.9)</f>
        <v>100.9</v>
      </c>
      <c r="S146" s="1">
        <f ca="1">IFERROR(__xludf.DUMMYFUNCTION("""COMPUTED_VALUE"""),85)</f>
        <v>85</v>
      </c>
      <c r="T146" s="1">
        <f ca="1">IFERROR(__xludf.DUMMYFUNCTION("""COMPUTED_VALUE"""),-2.1)</f>
        <v>-2.1</v>
      </c>
      <c r="U146" s="1">
        <f ca="1">IFERROR(__xludf.DUMMYFUNCTION("""COMPUTED_VALUE"""),219)</f>
        <v>219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IFERROR(__xludf.DUMMYFUNCTION("""COMPUTED_VALUE"""),"IUPUI")</f>
        <v>IUPUI</v>
      </c>
      <c r="C147" s="1" t="str">
        <f ca="1">IFERROR(__xludf.DUMMYFUNCTION("""COMPUTED_VALUE"""),"MCon")</f>
        <v>MCon</v>
      </c>
      <c r="D147" s="1" t="str">
        <f ca="1">IFERROR(__xludf.DUMMYFUNCTION("""COMPUTED_VALUE"""),"16-13")</f>
        <v>16-13</v>
      </c>
      <c r="E147" s="1" t="str">
        <f ca="1">IFERROR(__xludf.DUMMYFUNCTION("""COMPUTED_VALUE"""),"+2.33")</f>
        <v>+2.33</v>
      </c>
      <c r="F147" s="1">
        <f ca="1">IFERROR(__xludf.DUMMYFUNCTION("""COMPUTED_VALUE"""),109.6)</f>
        <v>109.6</v>
      </c>
      <c r="G147" s="1">
        <f ca="1">IFERROR(__xludf.DUMMYFUNCTION("""COMPUTED_VALUE"""),61)</f>
        <v>61</v>
      </c>
      <c r="H147" s="1">
        <f ca="1">IFERROR(__xludf.DUMMYFUNCTION("""COMPUTED_VALUE"""),107.3)</f>
        <v>107.3</v>
      </c>
      <c r="I147" s="1">
        <f ca="1">IFERROR(__xludf.DUMMYFUNCTION("""COMPUTED_VALUE"""),247)</f>
        <v>247</v>
      </c>
      <c r="J147" s="1">
        <f ca="1">IFERROR(__xludf.DUMMYFUNCTION("""COMPUTED_VALUE"""),63)</f>
        <v>63</v>
      </c>
      <c r="K147" s="1">
        <f ca="1">IFERROR(__xludf.DUMMYFUNCTION("""COMPUTED_VALUE"""),288)</f>
        <v>288</v>
      </c>
      <c r="L147" s="1">
        <f ca="1">IFERROR(__xludf.DUMMYFUNCTION("""COMPUTED_VALUE"""),-0.035)</f>
        <v>-3.5000000000000003E-2</v>
      </c>
      <c r="M147" s="1">
        <f ca="1">IFERROR(__xludf.DUMMYFUNCTION("""COMPUTED_VALUE"""),255)</f>
        <v>255</v>
      </c>
      <c r="N147" s="1">
        <f ca="1">IFERROR(__xludf.DUMMYFUNCTION("""COMPUTED_VALUE"""),-1.25)</f>
        <v>-1.25</v>
      </c>
      <c r="O147" s="1">
        <f ca="1">IFERROR(__xludf.DUMMYFUNCTION("""COMPUTED_VALUE"""),181)</f>
        <v>181</v>
      </c>
      <c r="P147" s="1">
        <f ca="1">IFERROR(__xludf.DUMMYFUNCTION("""COMPUTED_VALUE"""),104.5)</f>
        <v>104.5</v>
      </c>
      <c r="Q147" s="1">
        <f ca="1">IFERROR(__xludf.DUMMYFUNCTION("""COMPUTED_VALUE"""),122)</f>
        <v>122</v>
      </c>
      <c r="R147" s="1">
        <f ca="1">IFERROR(__xludf.DUMMYFUNCTION("""COMPUTED_VALUE"""),105.8)</f>
        <v>105.8</v>
      </c>
      <c r="S147" s="1">
        <f ca="1">IFERROR(__xludf.DUMMYFUNCTION("""COMPUTED_VALUE"""),277)</f>
        <v>277</v>
      </c>
      <c r="T147" s="1" t="str">
        <f ca="1">IFERROR(__xludf.DUMMYFUNCTION("""COMPUTED_VALUE"""),"+5.73")</f>
        <v>+5.73</v>
      </c>
      <c r="U147" s="1">
        <f ca="1">IFERROR(__xludf.DUMMYFUNCTION("""COMPUTED_VALUE"""),42)</f>
        <v>42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IFERROR(__xludf.DUMMYFUNCTION("""COMPUTED_VALUE"""),"George Mason")</f>
        <v>George Mason</v>
      </c>
      <c r="C148" s="1" t="str">
        <f ca="1">IFERROR(__xludf.DUMMYFUNCTION("""COMPUTED_VALUE"""),"CAA")</f>
        <v>CAA</v>
      </c>
      <c r="D148" s="1" t="str">
        <f ca="1">IFERROR(__xludf.DUMMYFUNCTION("""COMPUTED_VALUE"""),"16-13")</f>
        <v>16-13</v>
      </c>
      <c r="E148" s="1" t="str">
        <f ca="1">IFERROR(__xludf.DUMMYFUNCTION("""COMPUTED_VALUE"""),"+2.12")</f>
        <v>+2.12</v>
      </c>
      <c r="F148" s="1">
        <f ca="1">IFERROR(__xludf.DUMMYFUNCTION("""COMPUTED_VALUE"""),108.4)</f>
        <v>108.4</v>
      </c>
      <c r="G148" s="1">
        <f ca="1">IFERROR(__xludf.DUMMYFUNCTION("""COMPUTED_VALUE"""),72)</f>
        <v>72</v>
      </c>
      <c r="H148" s="1">
        <f ca="1">IFERROR(__xludf.DUMMYFUNCTION("""COMPUTED_VALUE"""),106.3)</f>
        <v>106.3</v>
      </c>
      <c r="I148" s="1">
        <f ca="1">IFERROR(__xludf.DUMMYFUNCTION("""COMPUTED_VALUE"""),233)</f>
        <v>233</v>
      </c>
      <c r="J148" s="1">
        <f ca="1">IFERROR(__xludf.DUMMYFUNCTION("""COMPUTED_VALUE"""),65.9)</f>
        <v>65.900000000000006</v>
      </c>
      <c r="K148" s="1">
        <f ca="1">IFERROR(__xludf.DUMMYFUNCTION("""COMPUTED_VALUE"""),176)</f>
        <v>176</v>
      </c>
      <c r="L148" s="1">
        <f ca="1">IFERROR(__xludf.DUMMYFUNCTION("""COMPUTED_VALUE"""),-0.039)</f>
        <v>-3.9E-2</v>
      </c>
      <c r="M148" s="1">
        <f ca="1">IFERROR(__xludf.DUMMYFUNCTION("""COMPUTED_VALUE"""),262)</f>
        <v>262</v>
      </c>
      <c r="N148" s="1">
        <f ca="1">IFERROR(__xludf.DUMMYFUNCTION("""COMPUTED_VALUE"""),-3.21)</f>
        <v>-3.21</v>
      </c>
      <c r="O148" s="1">
        <f ca="1">IFERROR(__xludf.DUMMYFUNCTION("""COMPUTED_VALUE"""),218)</f>
        <v>218</v>
      </c>
      <c r="P148" s="1">
        <f ca="1">IFERROR(__xludf.DUMMYFUNCTION("""COMPUTED_VALUE"""),100.6)</f>
        <v>100.6</v>
      </c>
      <c r="Q148" s="1">
        <f ca="1">IFERROR(__xludf.DUMMYFUNCTION("""COMPUTED_VALUE"""),232)</f>
        <v>232</v>
      </c>
      <c r="R148" s="1">
        <f ca="1">IFERROR(__xludf.DUMMYFUNCTION("""COMPUTED_VALUE"""),103.9)</f>
        <v>103.9</v>
      </c>
      <c r="S148" s="1">
        <f ca="1">IFERROR(__xludf.DUMMYFUNCTION("""COMPUTED_VALUE"""),206)</f>
        <v>206</v>
      </c>
      <c r="T148" s="1">
        <f ca="1">IFERROR(__xludf.DUMMYFUNCTION("""COMPUTED_VALUE"""),-2.77)</f>
        <v>-2.77</v>
      </c>
      <c r="U148" s="1">
        <f ca="1">IFERROR(__xludf.DUMMYFUNCTION("""COMPUTED_VALUE"""),236)</f>
        <v>236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IFERROR(__xludf.DUMMYFUNCTION("""COMPUTED_VALUE"""),"Rutgers")</f>
        <v>Rutgers</v>
      </c>
      <c r="C149" s="1" t="str">
        <f ca="1">IFERROR(__xludf.DUMMYFUNCTION("""COMPUTED_VALUE"""),"BE")</f>
        <v>BE</v>
      </c>
      <c r="D149" s="2">
        <f ca="1">IFERROR(__xludf.DUMMYFUNCTION("""COMPUTED_VALUE"""),44853)</f>
        <v>44853</v>
      </c>
      <c r="E149" s="1" t="str">
        <f ca="1">IFERROR(__xludf.DUMMYFUNCTION("""COMPUTED_VALUE"""),"+2.10")</f>
        <v>+2.10</v>
      </c>
      <c r="F149" s="1">
        <f ca="1">IFERROR(__xludf.DUMMYFUNCTION("""COMPUTED_VALUE"""),106.6)</f>
        <v>106.6</v>
      </c>
      <c r="G149" s="1">
        <f ca="1">IFERROR(__xludf.DUMMYFUNCTION("""COMPUTED_VALUE"""),102)</f>
        <v>102</v>
      </c>
      <c r="H149" s="1">
        <f ca="1">IFERROR(__xludf.DUMMYFUNCTION("""COMPUTED_VALUE"""),104.5)</f>
        <v>104.5</v>
      </c>
      <c r="I149" s="1">
        <f ca="1">IFERROR(__xludf.DUMMYFUNCTION("""COMPUTED_VALUE"""),201)</f>
        <v>201</v>
      </c>
      <c r="J149" s="1">
        <f ca="1">IFERROR(__xludf.DUMMYFUNCTION("""COMPUTED_VALUE"""),63.9)</f>
        <v>63.9</v>
      </c>
      <c r="K149" s="1">
        <f ca="1">IFERROR(__xludf.DUMMYFUNCTION("""COMPUTED_VALUE"""),257)</f>
        <v>257</v>
      </c>
      <c r="L149" s="1">
        <f ca="1">IFERROR(__xludf.DUMMYFUNCTION("""COMPUTED_VALUE"""),-0.007)</f>
        <v>-7.0000000000000001E-3</v>
      </c>
      <c r="M149" s="1">
        <f ca="1">IFERROR(__xludf.DUMMYFUNCTION("""COMPUTED_VALUE"""),180)</f>
        <v>180</v>
      </c>
      <c r="N149" s="1" t="str">
        <f ca="1">IFERROR(__xludf.DUMMYFUNCTION("""COMPUTED_VALUE"""),"+10.63")</f>
        <v>+10.63</v>
      </c>
      <c r="O149" s="1">
        <f ca="1">IFERROR(__xludf.DUMMYFUNCTION("""COMPUTED_VALUE"""),7)</f>
        <v>7</v>
      </c>
      <c r="P149" s="1">
        <f ca="1">IFERROR(__xludf.DUMMYFUNCTION("""COMPUTED_VALUE"""),108.7)</f>
        <v>108.7</v>
      </c>
      <c r="Q149" s="1">
        <f ca="1">IFERROR(__xludf.DUMMYFUNCTION("""COMPUTED_VALUE"""),8)</f>
        <v>8</v>
      </c>
      <c r="R149" s="1">
        <f ca="1">IFERROR(__xludf.DUMMYFUNCTION("""COMPUTED_VALUE"""),98.1)</f>
        <v>98.1</v>
      </c>
      <c r="S149" s="1">
        <f ca="1">IFERROR(__xludf.DUMMYFUNCTION("""COMPUTED_VALUE"""),10)</f>
        <v>10</v>
      </c>
      <c r="T149" s="1" t="str">
        <f ca="1">IFERROR(__xludf.DUMMYFUNCTION("""COMPUTED_VALUE"""),"+2.22")</f>
        <v>+2.22</v>
      </c>
      <c r="U149" s="1">
        <f ca="1">IFERROR(__xludf.DUMMYFUNCTION("""COMPUTED_VALUE"""),102)</f>
        <v>102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IFERROR(__xludf.DUMMYFUNCTION("""COMPUTED_VALUE"""),"Princeton")</f>
        <v>Princeton</v>
      </c>
      <c r="C150" s="1" t="str">
        <f ca="1">IFERROR(__xludf.DUMMYFUNCTION("""COMPUTED_VALUE"""),"Ivy")</f>
        <v>Ivy</v>
      </c>
      <c r="D150" s="1" t="str">
        <f ca="1">IFERROR(__xludf.DUMMYFUNCTION("""COMPUTED_VALUE"""),"15-13")</f>
        <v>15-13</v>
      </c>
      <c r="E150" s="1" t="str">
        <f ca="1">IFERROR(__xludf.DUMMYFUNCTION("""COMPUTED_VALUE"""),"+2.06")</f>
        <v>+2.06</v>
      </c>
      <c r="F150" s="1">
        <f ca="1">IFERROR(__xludf.DUMMYFUNCTION("""COMPUTED_VALUE"""),105.2)</f>
        <v>105.2</v>
      </c>
      <c r="G150" s="1">
        <f ca="1">IFERROR(__xludf.DUMMYFUNCTION("""COMPUTED_VALUE"""),124)</f>
        <v>124</v>
      </c>
      <c r="H150" s="1">
        <f ca="1">IFERROR(__xludf.DUMMYFUNCTION("""COMPUTED_VALUE"""),103.1)</f>
        <v>103.1</v>
      </c>
      <c r="I150" s="1">
        <f ca="1">IFERROR(__xludf.DUMMYFUNCTION("""COMPUTED_VALUE"""),174)</f>
        <v>174</v>
      </c>
      <c r="J150" s="1">
        <f ca="1">IFERROR(__xludf.DUMMYFUNCTION("""COMPUTED_VALUE"""),52.9)</f>
        <v>52.9</v>
      </c>
      <c r="K150" s="1">
        <f ca="1">IFERROR(__xludf.DUMMYFUNCTION("""COMPUTED_VALUE"""),330)</f>
        <v>330</v>
      </c>
      <c r="L150" s="1">
        <f ca="1">IFERROR(__xludf.DUMMYFUNCTION("""COMPUTED_VALUE"""),-0.017)</f>
        <v>-1.7000000000000001E-2</v>
      </c>
      <c r="M150" s="1">
        <f ca="1">IFERROR(__xludf.DUMMYFUNCTION("""COMPUTED_VALUE"""),207)</f>
        <v>207</v>
      </c>
      <c r="N150" s="1">
        <f ca="1">IFERROR(__xludf.DUMMYFUNCTION("""COMPUTED_VALUE"""),-0.56)</f>
        <v>-0.56000000000000005</v>
      </c>
      <c r="O150" s="1">
        <f ca="1">IFERROR(__xludf.DUMMYFUNCTION("""COMPUTED_VALUE"""),166)</f>
        <v>166</v>
      </c>
      <c r="P150" s="1">
        <f ca="1">IFERROR(__xludf.DUMMYFUNCTION("""COMPUTED_VALUE"""),101.7)</f>
        <v>101.7</v>
      </c>
      <c r="Q150" s="1">
        <f ca="1">IFERROR(__xludf.DUMMYFUNCTION("""COMPUTED_VALUE"""),202)</f>
        <v>202</v>
      </c>
      <c r="R150" s="1">
        <f ca="1">IFERROR(__xludf.DUMMYFUNCTION("""COMPUTED_VALUE"""),102.2)</f>
        <v>102.2</v>
      </c>
      <c r="S150" s="1">
        <f ca="1">IFERROR(__xludf.DUMMYFUNCTION("""COMPUTED_VALUE"""),125)</f>
        <v>125</v>
      </c>
      <c r="T150" s="1" t="str">
        <f ca="1">IFERROR(__xludf.DUMMYFUNCTION("""COMPUTED_VALUE"""),"+6.11")</f>
        <v>+6.11</v>
      </c>
      <c r="U150" s="1">
        <f ca="1">IFERROR(__xludf.DUMMYFUNCTION("""COMPUTED_VALUE"""),32)</f>
        <v>32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IFERROR(__xludf.DUMMYFUNCTION("""COMPUTED_VALUE"""),"Eastern Kentucky15")</f>
        <v>Eastern Kentucky15</v>
      </c>
      <c r="C151" s="1" t="str">
        <f ca="1">IFERROR(__xludf.DUMMYFUNCTION("""COMPUTED_VALUE"""),"OVC")</f>
        <v>OVC</v>
      </c>
      <c r="D151" s="1" t="str">
        <f ca="1">IFERROR(__xludf.DUMMYFUNCTION("""COMPUTED_VALUE"""),"22-9")</f>
        <v>22-9</v>
      </c>
      <c r="E151" s="1" t="str">
        <f ca="1">IFERROR(__xludf.DUMMYFUNCTION("""COMPUTED_VALUE"""),"+1.98")</f>
        <v>+1.98</v>
      </c>
      <c r="F151" s="1">
        <f ca="1">IFERROR(__xludf.DUMMYFUNCTION("""COMPUTED_VALUE"""),102.8)</f>
        <v>102.8</v>
      </c>
      <c r="G151" s="1">
        <f ca="1">IFERROR(__xludf.DUMMYFUNCTION("""COMPUTED_VALUE"""),164)</f>
        <v>164</v>
      </c>
      <c r="H151" s="1">
        <f ca="1">IFERROR(__xludf.DUMMYFUNCTION("""COMPUTED_VALUE"""),100.8)</f>
        <v>100.8</v>
      </c>
      <c r="I151" s="1">
        <f ca="1">IFERROR(__xludf.DUMMYFUNCTION("""COMPUTED_VALUE"""),124)</f>
        <v>124</v>
      </c>
      <c r="J151" s="1">
        <f ca="1">IFERROR(__xludf.DUMMYFUNCTION("""COMPUTED_VALUE"""),66.1)</f>
        <v>66.099999999999994</v>
      </c>
      <c r="K151" s="1">
        <f ca="1">IFERROR(__xludf.DUMMYFUNCTION("""COMPUTED_VALUE"""),167)</f>
        <v>167</v>
      </c>
      <c r="L151" s="1" t="str">
        <f ca="1">IFERROR(__xludf.DUMMYFUNCTION("""COMPUTED_VALUE"""),"+.099")</f>
        <v>+.099</v>
      </c>
      <c r="M151" s="1">
        <f ca="1">IFERROR(__xludf.DUMMYFUNCTION("""COMPUTED_VALUE"""),11)</f>
        <v>11</v>
      </c>
      <c r="N151" s="1">
        <f ca="1">IFERROR(__xludf.DUMMYFUNCTION("""COMPUTED_VALUE"""),-3.87)</f>
        <v>-3.87</v>
      </c>
      <c r="O151" s="1">
        <f ca="1">IFERROR(__xludf.DUMMYFUNCTION("""COMPUTED_VALUE"""),239)</f>
        <v>239</v>
      </c>
      <c r="P151" s="1">
        <f ca="1">IFERROR(__xludf.DUMMYFUNCTION("""COMPUTED_VALUE"""),102.4)</f>
        <v>102.4</v>
      </c>
      <c r="Q151" s="1">
        <f ca="1">IFERROR(__xludf.DUMMYFUNCTION("""COMPUTED_VALUE"""),182)</f>
        <v>182</v>
      </c>
      <c r="R151" s="1">
        <f ca="1">IFERROR(__xludf.DUMMYFUNCTION("""COMPUTED_VALUE"""),106.3)</f>
        <v>106.3</v>
      </c>
      <c r="S151" s="1">
        <f ca="1">IFERROR(__xludf.DUMMYFUNCTION("""COMPUTED_VALUE"""),292)</f>
        <v>292</v>
      </c>
      <c r="T151" s="1" t="str">
        <f ca="1">IFERROR(__xludf.DUMMYFUNCTION("""COMPUTED_VALUE"""),"+1.72")</f>
        <v>+1.72</v>
      </c>
      <c r="U151" s="1">
        <f ca="1">IFERROR(__xludf.DUMMYFUNCTION("""COMPUTED_VALUE"""),113)</f>
        <v>113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IFERROR(__xludf.DUMMYFUNCTION("""COMPUTED_VALUE"""),"California")</f>
        <v>California</v>
      </c>
      <c r="C152" s="1" t="str">
        <f ca="1">IFERROR(__xludf.DUMMYFUNCTION("""COMPUTED_VALUE"""),"P10")</f>
        <v>P10</v>
      </c>
      <c r="D152" s="1" t="str">
        <f ca="1">IFERROR(__xludf.DUMMYFUNCTION("""COMPUTED_VALUE"""),"13-16")</f>
        <v>13-16</v>
      </c>
      <c r="E152" s="1" t="str">
        <f ca="1">IFERROR(__xludf.DUMMYFUNCTION("""COMPUTED_VALUE"""),"+1.76")</f>
        <v>+1.76</v>
      </c>
      <c r="F152" s="1">
        <f ca="1">IFERROR(__xludf.DUMMYFUNCTION("""COMPUTED_VALUE"""),102)</f>
        <v>102</v>
      </c>
      <c r="G152" s="1">
        <f ca="1">IFERROR(__xludf.DUMMYFUNCTION("""COMPUTED_VALUE"""),184)</f>
        <v>184</v>
      </c>
      <c r="H152" s="1">
        <f ca="1">IFERROR(__xludf.DUMMYFUNCTION("""COMPUTED_VALUE"""),100.2)</f>
        <v>100.2</v>
      </c>
      <c r="I152" s="1">
        <f ca="1">IFERROR(__xludf.DUMMYFUNCTION("""COMPUTED_VALUE"""),108)</f>
        <v>108</v>
      </c>
      <c r="J152" s="1">
        <f ca="1">IFERROR(__xludf.DUMMYFUNCTION("""COMPUTED_VALUE"""),66.2)</f>
        <v>66.2</v>
      </c>
      <c r="K152" s="1">
        <f ca="1">IFERROR(__xludf.DUMMYFUNCTION("""COMPUTED_VALUE"""),158)</f>
        <v>158</v>
      </c>
      <c r="L152" s="1" t="str">
        <f ca="1">IFERROR(__xludf.DUMMYFUNCTION("""COMPUTED_VALUE"""),"+.029")</f>
        <v>+.029</v>
      </c>
      <c r="M152" s="1">
        <f ca="1">IFERROR(__xludf.DUMMYFUNCTION("""COMPUTED_VALUE"""),102)</f>
        <v>102</v>
      </c>
      <c r="N152" s="1" t="str">
        <f ca="1">IFERROR(__xludf.DUMMYFUNCTION("""COMPUTED_VALUE"""),"+5.60")</f>
        <v>+5.60</v>
      </c>
      <c r="O152" s="1">
        <f ca="1">IFERROR(__xludf.DUMMYFUNCTION("""COMPUTED_VALUE"""),70)</f>
        <v>70</v>
      </c>
      <c r="P152" s="1">
        <f ca="1">IFERROR(__xludf.DUMMYFUNCTION("""COMPUTED_VALUE"""),106)</f>
        <v>106</v>
      </c>
      <c r="Q152" s="1">
        <f ca="1">IFERROR(__xludf.DUMMYFUNCTION("""COMPUTED_VALUE"""),73)</f>
        <v>73</v>
      </c>
      <c r="R152" s="1">
        <f ca="1">IFERROR(__xludf.DUMMYFUNCTION("""COMPUTED_VALUE"""),100.4)</f>
        <v>100.4</v>
      </c>
      <c r="S152" s="1">
        <f ca="1">IFERROR(__xludf.DUMMYFUNCTION("""COMPUTED_VALUE"""),66)</f>
        <v>66</v>
      </c>
      <c r="T152" s="1">
        <f ca="1">IFERROR(__xludf.DUMMYFUNCTION("""COMPUTED_VALUE"""),-4.93)</f>
        <v>-4.93</v>
      </c>
      <c r="U152" s="1">
        <f ca="1">IFERROR(__xludf.DUMMYFUNCTION("""COMPUTED_VALUE"""),282)</f>
        <v>282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IFERROR(__xludf.DUMMYFUNCTION("""COMPUTED_VALUE"""),"Butler")</f>
        <v>Butler</v>
      </c>
      <c r="C153" s="1" t="str">
        <f ca="1">IFERROR(__xludf.DUMMYFUNCTION("""COMPUTED_VALUE"""),"Horz")</f>
        <v>Horz</v>
      </c>
      <c r="D153" s="1" t="str">
        <f ca="1">IFERROR(__xludf.DUMMYFUNCTION("""COMPUTED_VALUE"""),"13-15")</f>
        <v>13-15</v>
      </c>
      <c r="E153" s="1" t="str">
        <f ca="1">IFERROR(__xludf.DUMMYFUNCTION("""COMPUTED_VALUE"""),"+1.70")</f>
        <v>+1.70</v>
      </c>
      <c r="F153" s="1">
        <f ca="1">IFERROR(__xludf.DUMMYFUNCTION("""COMPUTED_VALUE"""),109.6)</f>
        <v>109.6</v>
      </c>
      <c r="G153" s="1">
        <f ca="1">IFERROR(__xludf.DUMMYFUNCTION("""COMPUTED_VALUE"""),60)</f>
        <v>60</v>
      </c>
      <c r="H153" s="1">
        <f ca="1">IFERROR(__xludf.DUMMYFUNCTION("""COMPUTED_VALUE"""),107.9)</f>
        <v>107.9</v>
      </c>
      <c r="I153" s="1">
        <f ca="1">IFERROR(__xludf.DUMMYFUNCTION("""COMPUTED_VALUE"""),263)</f>
        <v>263</v>
      </c>
      <c r="J153" s="1">
        <f ca="1">IFERROR(__xludf.DUMMYFUNCTION("""COMPUTED_VALUE"""),58.1)</f>
        <v>58.1</v>
      </c>
      <c r="K153" s="1">
        <f ca="1">IFERROR(__xludf.DUMMYFUNCTION("""COMPUTED_VALUE"""),326)</f>
        <v>326</v>
      </c>
      <c r="L153" s="1">
        <f ca="1">IFERROR(__xludf.DUMMYFUNCTION("""COMPUTED_VALUE"""),-0.119)</f>
        <v>-0.11899999999999999</v>
      </c>
      <c r="M153" s="1">
        <f ca="1">IFERROR(__xludf.DUMMYFUNCTION("""COMPUTED_VALUE"""),326)</f>
        <v>326</v>
      </c>
      <c r="N153" s="1">
        <f ca="1">IFERROR(__xludf.DUMMYFUNCTION("""COMPUTED_VALUE"""),-0.71)</f>
        <v>-0.71</v>
      </c>
      <c r="O153" s="1">
        <f ca="1">IFERROR(__xludf.DUMMYFUNCTION("""COMPUTED_VALUE"""),171)</f>
        <v>171</v>
      </c>
      <c r="P153" s="1">
        <f ca="1">IFERROR(__xludf.DUMMYFUNCTION("""COMPUTED_VALUE"""),102.6)</f>
        <v>102.6</v>
      </c>
      <c r="Q153" s="1">
        <f ca="1">IFERROR(__xludf.DUMMYFUNCTION("""COMPUTED_VALUE"""),179)</f>
        <v>179</v>
      </c>
      <c r="R153" s="1">
        <f ca="1">IFERROR(__xludf.DUMMYFUNCTION("""COMPUTED_VALUE"""),103.3)</f>
        <v>103.3</v>
      </c>
      <c r="S153" s="1">
        <f ca="1">IFERROR(__xludf.DUMMYFUNCTION("""COMPUTED_VALUE"""),179)</f>
        <v>179</v>
      </c>
      <c r="T153" s="1">
        <f ca="1">IFERROR(__xludf.DUMMYFUNCTION("""COMPUTED_VALUE"""),-0.9)</f>
        <v>-0.9</v>
      </c>
      <c r="U153" s="1">
        <f ca="1">IFERROR(__xludf.DUMMYFUNCTION("""COMPUTED_VALUE"""),183)</f>
        <v>183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IFERROR(__xludf.DUMMYFUNCTION("""COMPUTED_VALUE"""),"Arkansas Little Rock")</f>
        <v>Arkansas Little Rock</v>
      </c>
      <c r="C154" s="1" t="str">
        <f ca="1">IFERROR(__xludf.DUMMYFUNCTION("""COMPUTED_VALUE"""),"SB")</f>
        <v>SB</v>
      </c>
      <c r="D154" s="1" t="str">
        <f ca="1">IFERROR(__xludf.DUMMYFUNCTION("""COMPUTED_VALUE"""),"18-10")</f>
        <v>18-10</v>
      </c>
      <c r="E154" s="1" t="str">
        <f ca="1">IFERROR(__xludf.DUMMYFUNCTION("""COMPUTED_VALUE"""),"+1.69")</f>
        <v>+1.69</v>
      </c>
      <c r="F154" s="1">
        <f ca="1">IFERROR(__xludf.DUMMYFUNCTION("""COMPUTED_VALUE"""),102.6)</f>
        <v>102.6</v>
      </c>
      <c r="G154" s="1">
        <f ca="1">IFERROR(__xludf.DUMMYFUNCTION("""COMPUTED_VALUE"""),168)</f>
        <v>168</v>
      </c>
      <c r="H154" s="1">
        <f ca="1">IFERROR(__xludf.DUMMYFUNCTION("""COMPUTED_VALUE"""),100.9)</f>
        <v>100.9</v>
      </c>
      <c r="I154" s="1">
        <f ca="1">IFERROR(__xludf.DUMMYFUNCTION("""COMPUTED_VALUE"""),127)</f>
        <v>127</v>
      </c>
      <c r="J154" s="1">
        <f ca="1">IFERROR(__xludf.DUMMYFUNCTION("""COMPUTED_VALUE"""),63.3)</f>
        <v>63.3</v>
      </c>
      <c r="K154" s="1">
        <f ca="1">IFERROR(__xludf.DUMMYFUNCTION("""COMPUTED_VALUE"""),279)</f>
        <v>279</v>
      </c>
      <c r="L154" s="1" t="str">
        <f ca="1">IFERROR(__xludf.DUMMYFUNCTION("""COMPUTED_VALUE"""),"+.129")</f>
        <v>+.129</v>
      </c>
      <c r="M154" s="1">
        <f ca="1">IFERROR(__xludf.DUMMYFUNCTION("""COMPUTED_VALUE"""),4)</f>
        <v>4</v>
      </c>
      <c r="N154" s="1" t="str">
        <f ca="1">IFERROR(__xludf.DUMMYFUNCTION("""COMPUTED_VALUE"""),"+1.90")</f>
        <v>+1.90</v>
      </c>
      <c r="O154" s="1">
        <f ca="1">IFERROR(__xludf.DUMMYFUNCTION("""COMPUTED_VALUE"""),126)</f>
        <v>126</v>
      </c>
      <c r="P154" s="1">
        <f ca="1">IFERROR(__xludf.DUMMYFUNCTION("""COMPUTED_VALUE"""),103.8)</f>
        <v>103.8</v>
      </c>
      <c r="Q154" s="1">
        <f ca="1">IFERROR(__xludf.DUMMYFUNCTION("""COMPUTED_VALUE"""),143)</f>
        <v>143</v>
      </c>
      <c r="R154" s="1">
        <f ca="1">IFERROR(__xludf.DUMMYFUNCTION("""COMPUTED_VALUE"""),101.8)</f>
        <v>101.8</v>
      </c>
      <c r="S154" s="1">
        <f ca="1">IFERROR(__xludf.DUMMYFUNCTION("""COMPUTED_VALUE"""),106)</f>
        <v>106</v>
      </c>
      <c r="T154" s="1" t="str">
        <f ca="1">IFERROR(__xludf.DUMMYFUNCTION("""COMPUTED_VALUE"""),"+6.41")</f>
        <v>+6.41</v>
      </c>
      <c r="U154" s="1">
        <f ca="1">IFERROR(__xludf.DUMMYFUNCTION("""COMPUTED_VALUE"""),31)</f>
        <v>31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IFERROR(__xludf.DUMMYFUNCTION("""COMPUTED_VALUE"""),"Portland")</f>
        <v>Portland</v>
      </c>
      <c r="C155" s="1" t="str">
        <f ca="1">IFERROR(__xludf.DUMMYFUNCTION("""COMPUTED_VALUE"""),"WCC")</f>
        <v>WCC</v>
      </c>
      <c r="D155" s="1" t="str">
        <f ca="1">IFERROR(__xludf.DUMMYFUNCTION("""COMPUTED_VALUE"""),"15-15")</f>
        <v>15-15</v>
      </c>
      <c r="E155" s="1" t="str">
        <f ca="1">IFERROR(__xludf.DUMMYFUNCTION("""COMPUTED_VALUE"""),"+1.54")</f>
        <v>+1.54</v>
      </c>
      <c r="F155" s="1">
        <f ca="1">IFERROR(__xludf.DUMMYFUNCTION("""COMPUTED_VALUE"""),104.9)</f>
        <v>104.9</v>
      </c>
      <c r="G155" s="1">
        <f ca="1">IFERROR(__xludf.DUMMYFUNCTION("""COMPUTED_VALUE"""),128)</f>
        <v>128</v>
      </c>
      <c r="H155" s="1">
        <f ca="1">IFERROR(__xludf.DUMMYFUNCTION("""COMPUTED_VALUE"""),103.3)</f>
        <v>103.3</v>
      </c>
      <c r="I155" s="1">
        <f ca="1">IFERROR(__xludf.DUMMYFUNCTION("""COMPUTED_VALUE"""),181)</f>
        <v>181</v>
      </c>
      <c r="J155" s="1">
        <f ca="1">IFERROR(__xludf.DUMMYFUNCTION("""COMPUTED_VALUE"""),65.3)</f>
        <v>65.3</v>
      </c>
      <c r="K155" s="1">
        <f ca="1">IFERROR(__xludf.DUMMYFUNCTION("""COMPUTED_VALUE"""),205)</f>
        <v>205</v>
      </c>
      <c r="L155" s="1">
        <f ca="1">IFERROR(__xludf.DUMMYFUNCTION("""COMPUTED_VALUE"""),-0.022)</f>
        <v>-2.1999999999999999E-2</v>
      </c>
      <c r="M155" s="1">
        <f ca="1">IFERROR(__xludf.DUMMYFUNCTION("""COMPUTED_VALUE"""),219)</f>
        <v>219</v>
      </c>
      <c r="N155" s="1" t="str">
        <f ca="1">IFERROR(__xludf.DUMMYFUNCTION("""COMPUTED_VALUE"""),"+1.28")</f>
        <v>+1.28</v>
      </c>
      <c r="O155" s="1">
        <f ca="1">IFERROR(__xludf.DUMMYFUNCTION("""COMPUTED_VALUE"""),138)</f>
        <v>138</v>
      </c>
      <c r="P155" s="1">
        <f ca="1">IFERROR(__xludf.DUMMYFUNCTION("""COMPUTED_VALUE"""),102.9)</f>
        <v>102.9</v>
      </c>
      <c r="Q155" s="1">
        <f ca="1">IFERROR(__xludf.DUMMYFUNCTION("""COMPUTED_VALUE"""),167)</f>
        <v>167</v>
      </c>
      <c r="R155" s="1">
        <f ca="1">IFERROR(__xludf.DUMMYFUNCTION("""COMPUTED_VALUE"""),101.6)</f>
        <v>101.6</v>
      </c>
      <c r="S155" s="1">
        <f ca="1">IFERROR(__xludf.DUMMYFUNCTION("""COMPUTED_VALUE"""),101)</f>
        <v>101</v>
      </c>
      <c r="T155" s="1">
        <f ca="1">IFERROR(__xludf.DUMMYFUNCTION("""COMPUTED_VALUE"""),-3.27)</f>
        <v>-3.27</v>
      </c>
      <c r="U155" s="1">
        <f ca="1">IFERROR(__xludf.DUMMYFUNCTION("""COMPUTED_VALUE"""),243)</f>
        <v>243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IFERROR(__xludf.DUMMYFUNCTION("""COMPUTED_VALUE"""),"Colorado St.")</f>
        <v>Colorado St.</v>
      </c>
      <c r="C156" s="1" t="str">
        <f ca="1">IFERROR(__xludf.DUMMYFUNCTION("""COMPUTED_VALUE"""),"MWC")</f>
        <v>MWC</v>
      </c>
      <c r="D156" s="2">
        <f ca="1">IFERROR(__xludf.DUMMYFUNCTION("""COMPUTED_VALUE"""),44882)</f>
        <v>44882</v>
      </c>
      <c r="E156" s="1" t="str">
        <f ca="1">IFERROR(__xludf.DUMMYFUNCTION("""COMPUTED_VALUE"""),"+1.53")</f>
        <v>+1.53</v>
      </c>
      <c r="F156" s="1">
        <f ca="1">IFERROR(__xludf.DUMMYFUNCTION("""COMPUTED_VALUE"""),103.5)</f>
        <v>103.5</v>
      </c>
      <c r="G156" s="1">
        <f ca="1">IFERROR(__xludf.DUMMYFUNCTION("""COMPUTED_VALUE"""),153)</f>
        <v>153</v>
      </c>
      <c r="H156" s="1">
        <f ca="1">IFERROR(__xludf.DUMMYFUNCTION("""COMPUTED_VALUE"""),102)</f>
        <v>102</v>
      </c>
      <c r="I156" s="1">
        <f ca="1">IFERROR(__xludf.DUMMYFUNCTION("""COMPUTED_VALUE"""),153)</f>
        <v>153</v>
      </c>
      <c r="J156" s="1">
        <f ca="1">IFERROR(__xludf.DUMMYFUNCTION("""COMPUTED_VALUE"""),66.7)</f>
        <v>66.7</v>
      </c>
      <c r="K156" s="1">
        <f ca="1">IFERROR(__xludf.DUMMYFUNCTION("""COMPUTED_VALUE"""),133)</f>
        <v>133</v>
      </c>
      <c r="L156" s="1">
        <f ca="1">IFERROR(__xludf.DUMMYFUNCTION("""COMPUTED_VALUE"""),-0.106)</f>
        <v>-0.106</v>
      </c>
      <c r="M156" s="1">
        <f ca="1">IFERROR(__xludf.DUMMYFUNCTION("""COMPUTED_VALUE"""),325)</f>
        <v>325</v>
      </c>
      <c r="N156" s="1" t="str">
        <f ca="1">IFERROR(__xludf.DUMMYFUNCTION("""COMPUTED_VALUE"""),"+4.01")</f>
        <v>+4.01</v>
      </c>
      <c r="O156" s="1">
        <f ca="1">IFERROR(__xludf.DUMMYFUNCTION("""COMPUTED_VALUE"""),96)</f>
        <v>96</v>
      </c>
      <c r="P156" s="1">
        <f ca="1">IFERROR(__xludf.DUMMYFUNCTION("""COMPUTED_VALUE"""),106.2)</f>
        <v>106.2</v>
      </c>
      <c r="Q156" s="1">
        <f ca="1">IFERROR(__xludf.DUMMYFUNCTION("""COMPUTED_VALUE"""),64)</f>
        <v>64</v>
      </c>
      <c r="R156" s="1">
        <f ca="1">IFERROR(__xludf.DUMMYFUNCTION("""COMPUTED_VALUE"""),102.2)</f>
        <v>102.2</v>
      </c>
      <c r="S156" s="1">
        <f ca="1">IFERROR(__xludf.DUMMYFUNCTION("""COMPUTED_VALUE"""),127)</f>
        <v>127</v>
      </c>
      <c r="T156" s="1">
        <f ca="1">IFERROR(__xludf.DUMMYFUNCTION("""COMPUTED_VALUE"""),-2.62)</f>
        <v>-2.62</v>
      </c>
      <c r="U156" s="1">
        <f ca="1">IFERROR(__xludf.DUMMYFUNCTION("""COMPUTED_VALUE"""),231)</f>
        <v>231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IFERROR(__xludf.DUMMYFUNCTION("""COMPUTED_VALUE"""),"Auburn")</f>
        <v>Auburn</v>
      </c>
      <c r="C157" s="1" t="str">
        <f ca="1">IFERROR(__xludf.DUMMYFUNCTION("""COMPUTED_VALUE"""),"SEC")</f>
        <v>SEC</v>
      </c>
      <c r="D157" s="1" t="str">
        <f ca="1">IFERROR(__xludf.DUMMYFUNCTION("""COMPUTED_VALUE"""),"14-17")</f>
        <v>14-17</v>
      </c>
      <c r="E157" s="1" t="str">
        <f ca="1">IFERROR(__xludf.DUMMYFUNCTION("""COMPUTED_VALUE"""),"+1.53")</f>
        <v>+1.53</v>
      </c>
      <c r="F157" s="1">
        <f ca="1">IFERROR(__xludf.DUMMYFUNCTION("""COMPUTED_VALUE"""),106.8)</f>
        <v>106.8</v>
      </c>
      <c r="G157" s="1">
        <f ca="1">IFERROR(__xludf.DUMMYFUNCTION("""COMPUTED_VALUE"""),99)</f>
        <v>99</v>
      </c>
      <c r="H157" s="1">
        <f ca="1">IFERROR(__xludf.DUMMYFUNCTION("""COMPUTED_VALUE"""),105.3)</f>
        <v>105.3</v>
      </c>
      <c r="I157" s="1">
        <f ca="1">IFERROR(__xludf.DUMMYFUNCTION("""COMPUTED_VALUE"""),222)</f>
        <v>222</v>
      </c>
      <c r="J157" s="1">
        <f ca="1">IFERROR(__xludf.DUMMYFUNCTION("""COMPUTED_VALUE"""),67.6)</f>
        <v>67.599999999999994</v>
      </c>
      <c r="K157" s="1">
        <f ca="1">IFERROR(__xludf.DUMMYFUNCTION("""COMPUTED_VALUE"""),108)</f>
        <v>108</v>
      </c>
      <c r="L157" s="1" t="str">
        <f ca="1">IFERROR(__xludf.DUMMYFUNCTION("""COMPUTED_VALUE"""),"+.064")</f>
        <v>+.064</v>
      </c>
      <c r="M157" s="1">
        <f ca="1">IFERROR(__xludf.DUMMYFUNCTION("""COMPUTED_VALUE"""),39)</f>
        <v>39</v>
      </c>
      <c r="N157" s="1" t="str">
        <f ca="1">IFERROR(__xludf.DUMMYFUNCTION("""COMPUTED_VALUE"""),"+6.51")</f>
        <v>+6.51</v>
      </c>
      <c r="O157" s="1">
        <f ca="1">IFERROR(__xludf.DUMMYFUNCTION("""COMPUTED_VALUE"""),53)</f>
        <v>53</v>
      </c>
      <c r="P157" s="1">
        <f ca="1">IFERROR(__xludf.DUMMYFUNCTION("""COMPUTED_VALUE"""),106.5)</f>
        <v>106.5</v>
      </c>
      <c r="Q157" s="1">
        <f ca="1">IFERROR(__xludf.DUMMYFUNCTION("""COMPUTED_VALUE"""),56)</f>
        <v>56</v>
      </c>
      <c r="R157" s="1">
        <f ca="1">IFERROR(__xludf.DUMMYFUNCTION("""COMPUTED_VALUE"""),100)</f>
        <v>100</v>
      </c>
      <c r="S157" s="1">
        <f ca="1">IFERROR(__xludf.DUMMYFUNCTION("""COMPUTED_VALUE"""),55)</f>
        <v>55</v>
      </c>
      <c r="T157" s="1">
        <f ca="1">IFERROR(__xludf.DUMMYFUNCTION("""COMPUTED_VALUE"""),-2.71)</f>
        <v>-2.71</v>
      </c>
      <c r="U157" s="1">
        <f ca="1">IFERROR(__xludf.DUMMYFUNCTION("""COMPUTED_VALUE"""),234)</f>
        <v>234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IFERROR(__xludf.DUMMYFUNCTION("""COMPUTED_VALUE"""),"Louisiana Tech")</f>
        <v>Louisiana Tech</v>
      </c>
      <c r="C158" s="1" t="str">
        <f ca="1">IFERROR(__xludf.DUMMYFUNCTION("""COMPUTED_VALUE"""),"WAC")</f>
        <v>WAC</v>
      </c>
      <c r="D158" s="1" t="str">
        <f ca="1">IFERROR(__xludf.DUMMYFUNCTION("""COMPUTED_VALUE"""),"14-15")</f>
        <v>14-15</v>
      </c>
      <c r="E158" s="1" t="str">
        <f ca="1">IFERROR(__xludf.DUMMYFUNCTION("""COMPUTED_VALUE"""),"+1.09")</f>
        <v>+1.09</v>
      </c>
      <c r="F158" s="1">
        <f ca="1">IFERROR(__xludf.DUMMYFUNCTION("""COMPUTED_VALUE"""),102.6)</f>
        <v>102.6</v>
      </c>
      <c r="G158" s="1">
        <f ca="1">IFERROR(__xludf.DUMMYFUNCTION("""COMPUTED_VALUE"""),169)</f>
        <v>169</v>
      </c>
      <c r="H158" s="1">
        <f ca="1">IFERROR(__xludf.DUMMYFUNCTION("""COMPUTED_VALUE"""),101.5)</f>
        <v>101.5</v>
      </c>
      <c r="I158" s="1">
        <f ca="1">IFERROR(__xludf.DUMMYFUNCTION("""COMPUTED_VALUE"""),137)</f>
        <v>137</v>
      </c>
      <c r="J158" s="1">
        <f ca="1">IFERROR(__xludf.DUMMYFUNCTION("""COMPUTED_VALUE"""),67.3)</f>
        <v>67.3</v>
      </c>
      <c r="K158" s="1">
        <f ca="1">IFERROR(__xludf.DUMMYFUNCTION("""COMPUTED_VALUE"""),115)</f>
        <v>115</v>
      </c>
      <c r="L158" s="1">
        <f ca="1">IFERROR(__xludf.DUMMYFUNCTION("""COMPUTED_VALUE"""),-0.01)</f>
        <v>-0.01</v>
      </c>
      <c r="M158" s="1">
        <f ca="1">IFERROR(__xludf.DUMMYFUNCTION("""COMPUTED_VALUE"""),188)</f>
        <v>188</v>
      </c>
      <c r="N158" s="1" t="str">
        <f ca="1">IFERROR(__xludf.DUMMYFUNCTION("""COMPUTED_VALUE"""),"+0.71")</f>
        <v>+0.71</v>
      </c>
      <c r="O158" s="1">
        <f ca="1">IFERROR(__xludf.DUMMYFUNCTION("""COMPUTED_VALUE"""),145)</f>
        <v>145</v>
      </c>
      <c r="P158" s="1">
        <f ca="1">IFERROR(__xludf.DUMMYFUNCTION("""COMPUTED_VALUE"""),103)</f>
        <v>103</v>
      </c>
      <c r="Q158" s="1">
        <f ca="1">IFERROR(__xludf.DUMMYFUNCTION("""COMPUTED_VALUE"""),163)</f>
        <v>163</v>
      </c>
      <c r="R158" s="1">
        <f ca="1">IFERROR(__xludf.DUMMYFUNCTION("""COMPUTED_VALUE"""),102.3)</f>
        <v>102.3</v>
      </c>
      <c r="S158" s="1">
        <f ca="1">IFERROR(__xludf.DUMMYFUNCTION("""COMPUTED_VALUE"""),128)</f>
        <v>128</v>
      </c>
      <c r="T158" s="1">
        <f ca="1">IFERROR(__xludf.DUMMYFUNCTION("""COMPUTED_VALUE"""),-0.43)</f>
        <v>-0.43</v>
      </c>
      <c r="U158" s="1">
        <f ca="1">IFERROR(__xludf.DUMMYFUNCTION("""COMPUTED_VALUE"""),172)</f>
        <v>172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IFERROR(__xludf.DUMMYFUNCTION("""COMPUTED_VALUE"""),"Manhattan")</f>
        <v>Manhattan</v>
      </c>
      <c r="C159" s="1" t="str">
        <f ca="1">IFERROR(__xludf.DUMMYFUNCTION("""COMPUTED_VALUE"""),"MAAC")</f>
        <v>MAAC</v>
      </c>
      <c r="D159" s="1" t="str">
        <f ca="1">IFERROR(__xludf.DUMMYFUNCTION("""COMPUTED_VALUE"""),"15-14")</f>
        <v>15-14</v>
      </c>
      <c r="E159" s="1" t="str">
        <f ca="1">IFERROR(__xludf.DUMMYFUNCTION("""COMPUTED_VALUE"""),"+0.64")</f>
        <v>+0.64</v>
      </c>
      <c r="F159" s="1">
        <f ca="1">IFERROR(__xludf.DUMMYFUNCTION("""COMPUTED_VALUE"""),103.9)</f>
        <v>103.9</v>
      </c>
      <c r="G159" s="1">
        <f ca="1">IFERROR(__xludf.DUMMYFUNCTION("""COMPUTED_VALUE"""),146)</f>
        <v>146</v>
      </c>
      <c r="H159" s="1">
        <f ca="1">IFERROR(__xludf.DUMMYFUNCTION("""COMPUTED_VALUE"""),103.3)</f>
        <v>103.3</v>
      </c>
      <c r="I159" s="1">
        <f ca="1">IFERROR(__xludf.DUMMYFUNCTION("""COMPUTED_VALUE"""),179)</f>
        <v>179</v>
      </c>
      <c r="J159" s="1">
        <f ca="1">IFERROR(__xludf.DUMMYFUNCTION("""COMPUTED_VALUE"""),65.8)</f>
        <v>65.8</v>
      </c>
      <c r="K159" s="1">
        <f ca="1">IFERROR(__xludf.DUMMYFUNCTION("""COMPUTED_VALUE"""),182)</f>
        <v>182</v>
      </c>
      <c r="L159" s="1">
        <f ca="1">IFERROR(__xludf.DUMMYFUNCTION("""COMPUTED_VALUE"""),-0.058)</f>
        <v>-5.8000000000000003E-2</v>
      </c>
      <c r="M159" s="1">
        <f ca="1">IFERROR(__xludf.DUMMYFUNCTION("""COMPUTED_VALUE"""),288)</f>
        <v>288</v>
      </c>
      <c r="N159" s="1">
        <f ca="1">IFERROR(__xludf.DUMMYFUNCTION("""COMPUTED_VALUE"""),-2.35)</f>
        <v>-2.35</v>
      </c>
      <c r="O159" s="1">
        <f ca="1">IFERROR(__xludf.DUMMYFUNCTION("""COMPUTED_VALUE"""),199)</f>
        <v>199</v>
      </c>
      <c r="P159" s="1">
        <f ca="1">IFERROR(__xludf.DUMMYFUNCTION("""COMPUTED_VALUE"""),102.7)</f>
        <v>102.7</v>
      </c>
      <c r="Q159" s="1">
        <f ca="1">IFERROR(__xludf.DUMMYFUNCTION("""COMPUTED_VALUE"""),177)</f>
        <v>177</v>
      </c>
      <c r="R159" s="1">
        <f ca="1">IFERROR(__xludf.DUMMYFUNCTION("""COMPUTED_VALUE"""),105.1)</f>
        <v>105.1</v>
      </c>
      <c r="S159" s="1">
        <f ca="1">IFERROR(__xludf.DUMMYFUNCTION("""COMPUTED_VALUE"""),251)</f>
        <v>251</v>
      </c>
      <c r="T159" s="1" t="str">
        <f ca="1">IFERROR(__xludf.DUMMYFUNCTION("""COMPUTED_VALUE"""),"+11.03")</f>
        <v>+11.03</v>
      </c>
      <c r="U159" s="1">
        <f ca="1">IFERROR(__xludf.DUMMYFUNCTION("""COMPUTED_VALUE"""),11)</f>
        <v>11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IFERROR(__xludf.DUMMYFUNCTION("""COMPUTED_VALUE"""),"Evansville")</f>
        <v>Evansville</v>
      </c>
      <c r="C160" s="1" t="str">
        <f ca="1">IFERROR(__xludf.DUMMYFUNCTION("""COMPUTED_VALUE"""),"MVC")</f>
        <v>MVC</v>
      </c>
      <c r="D160" s="2">
        <f ca="1">IFERROR(__xludf.DUMMYFUNCTION("""COMPUTED_VALUE"""),44882)</f>
        <v>44882</v>
      </c>
      <c r="E160" s="1" t="str">
        <f ca="1">IFERROR(__xludf.DUMMYFUNCTION("""COMPUTED_VALUE"""),"+0.55")</f>
        <v>+0.55</v>
      </c>
      <c r="F160" s="1">
        <f ca="1">IFERROR(__xludf.DUMMYFUNCTION("""COMPUTED_VALUE"""),107.4)</f>
        <v>107.4</v>
      </c>
      <c r="G160" s="1">
        <f ca="1">IFERROR(__xludf.DUMMYFUNCTION("""COMPUTED_VALUE"""),86)</f>
        <v>86</v>
      </c>
      <c r="H160" s="1">
        <f ca="1">IFERROR(__xludf.DUMMYFUNCTION("""COMPUTED_VALUE"""),106.8)</f>
        <v>106.8</v>
      </c>
      <c r="I160" s="1">
        <f ca="1">IFERROR(__xludf.DUMMYFUNCTION("""COMPUTED_VALUE"""),241)</f>
        <v>241</v>
      </c>
      <c r="J160" s="1">
        <f ca="1">IFERROR(__xludf.DUMMYFUNCTION("""COMPUTED_VALUE"""),66.6)</f>
        <v>66.599999999999994</v>
      </c>
      <c r="K160" s="1">
        <f ca="1">IFERROR(__xludf.DUMMYFUNCTION("""COMPUTED_VALUE"""),141)</f>
        <v>141</v>
      </c>
      <c r="L160" s="1">
        <f ca="1">IFERROR(__xludf.DUMMYFUNCTION("""COMPUTED_VALUE"""),-0.03)</f>
        <v>-0.03</v>
      </c>
      <c r="M160" s="1">
        <f ca="1">IFERROR(__xludf.DUMMYFUNCTION("""COMPUTED_VALUE"""),245)</f>
        <v>245</v>
      </c>
      <c r="N160" s="1" t="str">
        <f ca="1">IFERROR(__xludf.DUMMYFUNCTION("""COMPUTED_VALUE"""),"+3.14")</f>
        <v>+3.14</v>
      </c>
      <c r="O160" s="1">
        <f ca="1">IFERROR(__xludf.DUMMYFUNCTION("""COMPUTED_VALUE"""),107)</f>
        <v>107</v>
      </c>
      <c r="P160" s="1">
        <f ca="1">IFERROR(__xludf.DUMMYFUNCTION("""COMPUTED_VALUE"""),105)</f>
        <v>105</v>
      </c>
      <c r="Q160" s="1">
        <f ca="1">IFERROR(__xludf.DUMMYFUNCTION("""COMPUTED_VALUE"""),105)</f>
        <v>105</v>
      </c>
      <c r="R160" s="1">
        <f ca="1">IFERROR(__xludf.DUMMYFUNCTION("""COMPUTED_VALUE"""),101.9)</f>
        <v>101.9</v>
      </c>
      <c r="S160" s="1">
        <f ca="1">IFERROR(__xludf.DUMMYFUNCTION("""COMPUTED_VALUE"""),108)</f>
        <v>108</v>
      </c>
      <c r="T160" s="1">
        <f ca="1">IFERROR(__xludf.DUMMYFUNCTION("""COMPUTED_VALUE"""),-7.05)</f>
        <v>-7.05</v>
      </c>
      <c r="U160" s="1">
        <f ca="1">IFERROR(__xludf.DUMMYFUNCTION("""COMPUTED_VALUE"""),300)</f>
        <v>300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IFERROR(__xludf.DUMMYFUNCTION("""COMPUTED_VALUE"""),"Loyola Marymount")</f>
        <v>Loyola Marymount</v>
      </c>
      <c r="C161" s="1" t="str">
        <f ca="1">IFERROR(__xludf.DUMMYFUNCTION("""COMPUTED_VALUE"""),"WCC")</f>
        <v>WCC</v>
      </c>
      <c r="D161" s="2">
        <f ca="1">IFERROR(__xludf.DUMMYFUNCTION("""COMPUTED_VALUE"""),44882)</f>
        <v>44882</v>
      </c>
      <c r="E161" s="1" t="str">
        <f ca="1">IFERROR(__xludf.DUMMYFUNCTION("""COMPUTED_VALUE"""),"+0.54")</f>
        <v>+0.54</v>
      </c>
      <c r="F161" s="1">
        <f ca="1">IFERROR(__xludf.DUMMYFUNCTION("""COMPUTED_VALUE"""),98.8)</f>
        <v>98.8</v>
      </c>
      <c r="G161" s="1">
        <f ca="1">IFERROR(__xludf.DUMMYFUNCTION("""COMPUTED_VALUE"""),231)</f>
        <v>231</v>
      </c>
      <c r="H161" s="1">
        <f ca="1">IFERROR(__xludf.DUMMYFUNCTION("""COMPUTED_VALUE"""),98.2)</f>
        <v>98.2</v>
      </c>
      <c r="I161" s="1">
        <f ca="1">IFERROR(__xludf.DUMMYFUNCTION("""COMPUTED_VALUE"""),77)</f>
        <v>77</v>
      </c>
      <c r="J161" s="1">
        <f ca="1">IFERROR(__xludf.DUMMYFUNCTION("""COMPUTED_VALUE"""),67.7)</f>
        <v>67.7</v>
      </c>
      <c r="K161" s="1">
        <f ca="1">IFERROR(__xludf.DUMMYFUNCTION("""COMPUTED_VALUE"""),101)</f>
        <v>101</v>
      </c>
      <c r="L161" s="1">
        <f ca="1">IFERROR(__xludf.DUMMYFUNCTION("""COMPUTED_VALUE"""),-0.037)</f>
        <v>-3.6999999999999998E-2</v>
      </c>
      <c r="M161" s="1">
        <f ca="1">IFERROR(__xludf.DUMMYFUNCTION("""COMPUTED_VALUE"""),257)</f>
        <v>257</v>
      </c>
      <c r="N161" s="1" t="str">
        <f ca="1">IFERROR(__xludf.DUMMYFUNCTION("""COMPUTED_VALUE"""),"+3.10")</f>
        <v>+3.10</v>
      </c>
      <c r="O161" s="1">
        <f ca="1">IFERROR(__xludf.DUMMYFUNCTION("""COMPUTED_VALUE"""),108)</f>
        <v>108</v>
      </c>
      <c r="P161" s="1">
        <f ca="1">IFERROR(__xludf.DUMMYFUNCTION("""COMPUTED_VALUE"""),105.5)</f>
        <v>105.5</v>
      </c>
      <c r="Q161" s="1">
        <f ca="1">IFERROR(__xludf.DUMMYFUNCTION("""COMPUTED_VALUE"""),88)</f>
        <v>88</v>
      </c>
      <c r="R161" s="1">
        <f ca="1">IFERROR(__xludf.DUMMYFUNCTION("""COMPUTED_VALUE"""),102.4)</f>
        <v>102.4</v>
      </c>
      <c r="S161" s="1">
        <f ca="1">IFERROR(__xludf.DUMMYFUNCTION("""COMPUTED_VALUE"""),136)</f>
        <v>136</v>
      </c>
      <c r="T161" s="1" t="str">
        <f ca="1">IFERROR(__xludf.DUMMYFUNCTION("""COMPUTED_VALUE"""),"+0.28")</f>
        <v>+0.28</v>
      </c>
      <c r="U161" s="1">
        <f ca="1">IFERROR(__xludf.DUMMYFUNCTION("""COMPUTED_VALUE"""),158)</f>
        <v>158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IFERROR(__xludf.DUMMYFUNCTION("""COMPUTED_VALUE"""),"San Diego St.")</f>
        <v>San Diego St.</v>
      </c>
      <c r="C162" s="1" t="str">
        <f ca="1">IFERROR(__xludf.DUMMYFUNCTION("""COMPUTED_VALUE"""),"MWC")</f>
        <v>MWC</v>
      </c>
      <c r="D162" s="2">
        <f ca="1">IFERROR(__xludf.DUMMYFUNCTION("""COMPUTED_VALUE"""),44883)</f>
        <v>44883</v>
      </c>
      <c r="E162" s="1" t="str">
        <f ca="1">IFERROR(__xludf.DUMMYFUNCTION("""COMPUTED_VALUE"""),"+0.53")</f>
        <v>+0.53</v>
      </c>
      <c r="F162" s="1">
        <f ca="1">IFERROR(__xludf.DUMMYFUNCTION("""COMPUTED_VALUE"""),105.9)</f>
        <v>105.9</v>
      </c>
      <c r="G162" s="1">
        <f ca="1">IFERROR(__xludf.DUMMYFUNCTION("""COMPUTED_VALUE"""),113)</f>
        <v>113</v>
      </c>
      <c r="H162" s="1">
        <f ca="1">IFERROR(__xludf.DUMMYFUNCTION("""COMPUTED_VALUE"""),105.4)</f>
        <v>105.4</v>
      </c>
      <c r="I162" s="1">
        <f ca="1">IFERROR(__xludf.DUMMYFUNCTION("""COMPUTED_VALUE"""),223)</f>
        <v>223</v>
      </c>
      <c r="J162" s="1">
        <f ca="1">IFERROR(__xludf.DUMMYFUNCTION("""COMPUTED_VALUE"""),66.4)</f>
        <v>66.400000000000006</v>
      </c>
      <c r="K162" s="1">
        <f ca="1">IFERROR(__xludf.DUMMYFUNCTION("""COMPUTED_VALUE"""),152)</f>
        <v>152</v>
      </c>
      <c r="L162" s="1">
        <f ca="1">IFERROR(__xludf.DUMMYFUNCTION("""COMPUTED_VALUE"""),-0.016)</f>
        <v>-1.6E-2</v>
      </c>
      <c r="M162" s="1">
        <f ca="1">IFERROR(__xludf.DUMMYFUNCTION("""COMPUTED_VALUE"""),205)</f>
        <v>205</v>
      </c>
      <c r="N162" s="1" t="str">
        <f ca="1">IFERROR(__xludf.DUMMYFUNCTION("""COMPUTED_VALUE"""),"+6.02")</f>
        <v>+6.02</v>
      </c>
      <c r="O162" s="1">
        <f ca="1">IFERROR(__xludf.DUMMYFUNCTION("""COMPUTED_VALUE"""),65)</f>
        <v>65</v>
      </c>
      <c r="P162" s="1">
        <f ca="1">IFERROR(__xludf.DUMMYFUNCTION("""COMPUTED_VALUE"""),106.1)</f>
        <v>106.1</v>
      </c>
      <c r="Q162" s="1">
        <f ca="1">IFERROR(__xludf.DUMMYFUNCTION("""COMPUTED_VALUE"""),70)</f>
        <v>70</v>
      </c>
      <c r="R162" s="1">
        <f ca="1">IFERROR(__xludf.DUMMYFUNCTION("""COMPUTED_VALUE"""),100.1)</f>
        <v>100.1</v>
      </c>
      <c r="S162" s="1">
        <f ca="1">IFERROR(__xludf.DUMMYFUNCTION("""COMPUTED_VALUE"""),56)</f>
        <v>56</v>
      </c>
      <c r="T162" s="1" t="str">
        <f ca="1">IFERROR(__xludf.DUMMYFUNCTION("""COMPUTED_VALUE"""),"+2.04")</f>
        <v>+2.04</v>
      </c>
      <c r="U162" s="1">
        <f ca="1">IFERROR(__xludf.DUMMYFUNCTION("""COMPUTED_VALUE"""),107)</f>
        <v>107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IFERROR(__xludf.DUMMYFUNCTION("""COMPUTED_VALUE"""),"Tennessee Tech")</f>
        <v>Tennessee Tech</v>
      </c>
      <c r="C163" s="1" t="str">
        <f ca="1">IFERROR(__xludf.DUMMYFUNCTION("""COMPUTED_VALUE"""),"OVC")</f>
        <v>OVC</v>
      </c>
      <c r="D163" s="1" t="str">
        <f ca="1">IFERROR(__xludf.DUMMYFUNCTION("""COMPUTED_VALUE"""),"18-11")</f>
        <v>18-11</v>
      </c>
      <c r="E163" s="1" t="str">
        <f ca="1">IFERROR(__xludf.DUMMYFUNCTION("""COMPUTED_VALUE"""),"+0.43")</f>
        <v>+0.43</v>
      </c>
      <c r="F163" s="1">
        <f ca="1">IFERROR(__xludf.DUMMYFUNCTION("""COMPUTED_VALUE"""),101.3)</f>
        <v>101.3</v>
      </c>
      <c r="G163" s="1">
        <f ca="1">IFERROR(__xludf.DUMMYFUNCTION("""COMPUTED_VALUE"""),199)</f>
        <v>199</v>
      </c>
      <c r="H163" s="1">
        <f ca="1">IFERROR(__xludf.DUMMYFUNCTION("""COMPUTED_VALUE"""),100.8)</f>
        <v>100.8</v>
      </c>
      <c r="I163" s="1">
        <f ca="1">IFERROR(__xludf.DUMMYFUNCTION("""COMPUTED_VALUE"""),125)</f>
        <v>125</v>
      </c>
      <c r="J163" s="1">
        <f ca="1">IFERROR(__xludf.DUMMYFUNCTION("""COMPUTED_VALUE"""),67.6)</f>
        <v>67.599999999999994</v>
      </c>
      <c r="K163" s="1">
        <f ca="1">IFERROR(__xludf.DUMMYFUNCTION("""COMPUTED_VALUE"""),106)</f>
        <v>106</v>
      </c>
      <c r="L163" s="1" t="str">
        <f ca="1">IFERROR(__xludf.DUMMYFUNCTION("""COMPUTED_VALUE"""),"+.008")</f>
        <v>+.008</v>
      </c>
      <c r="M163" s="1">
        <f ca="1">IFERROR(__xludf.DUMMYFUNCTION("""COMPUTED_VALUE"""),142)</f>
        <v>142</v>
      </c>
      <c r="N163" s="1">
        <f ca="1">IFERROR(__xludf.DUMMYFUNCTION("""COMPUTED_VALUE"""),-4.18)</f>
        <v>-4.18</v>
      </c>
      <c r="O163" s="1">
        <f ca="1">IFERROR(__xludf.DUMMYFUNCTION("""COMPUTED_VALUE"""),245)</f>
        <v>245</v>
      </c>
      <c r="P163" s="1">
        <f ca="1">IFERROR(__xludf.DUMMYFUNCTION("""COMPUTED_VALUE"""),102.1)</f>
        <v>102.1</v>
      </c>
      <c r="Q163" s="1">
        <f ca="1">IFERROR(__xludf.DUMMYFUNCTION("""COMPUTED_VALUE"""),192)</f>
        <v>192</v>
      </c>
      <c r="R163" s="1">
        <f ca="1">IFERROR(__xludf.DUMMYFUNCTION("""COMPUTED_VALUE"""),106.3)</f>
        <v>106.3</v>
      </c>
      <c r="S163" s="1">
        <f ca="1">IFERROR(__xludf.DUMMYFUNCTION("""COMPUTED_VALUE"""),291)</f>
        <v>291</v>
      </c>
      <c r="T163" s="1" t="str">
        <f ca="1">IFERROR(__xludf.DUMMYFUNCTION("""COMPUTED_VALUE"""),"+2.25")</f>
        <v>+2.25</v>
      </c>
      <c r="U163" s="1">
        <f ca="1">IFERROR(__xludf.DUMMYFUNCTION("""COMPUTED_VALUE"""),101)</f>
        <v>101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IFERROR(__xludf.DUMMYFUNCTION("""COMPUTED_VALUE"""),"UNC Wilmington")</f>
        <v>UNC Wilmington</v>
      </c>
      <c r="C164" s="1" t="str">
        <f ca="1">IFERROR(__xludf.DUMMYFUNCTION("""COMPUTED_VALUE"""),"CAA")</f>
        <v>CAA</v>
      </c>
      <c r="D164" s="1" t="str">
        <f ca="1">IFERROR(__xludf.DUMMYFUNCTION("""COMPUTED_VALUE"""),"19-10")</f>
        <v>19-10</v>
      </c>
      <c r="E164" s="1" t="str">
        <f ca="1">IFERROR(__xludf.DUMMYFUNCTION("""COMPUTED_VALUE"""),"+0.39")</f>
        <v>+0.39</v>
      </c>
      <c r="F164" s="1">
        <f ca="1">IFERROR(__xludf.DUMMYFUNCTION("""COMPUTED_VALUE"""),100)</f>
        <v>100</v>
      </c>
      <c r="G164" s="1">
        <f ca="1">IFERROR(__xludf.DUMMYFUNCTION("""COMPUTED_VALUE"""),216)</f>
        <v>216</v>
      </c>
      <c r="H164" s="1">
        <f ca="1">IFERROR(__xludf.DUMMYFUNCTION("""COMPUTED_VALUE"""),99.6)</f>
        <v>99.6</v>
      </c>
      <c r="I164" s="1">
        <f ca="1">IFERROR(__xludf.DUMMYFUNCTION("""COMPUTED_VALUE"""),95)</f>
        <v>95</v>
      </c>
      <c r="J164" s="1">
        <f ca="1">IFERROR(__xludf.DUMMYFUNCTION("""COMPUTED_VALUE"""),62.7)</f>
        <v>62.7</v>
      </c>
      <c r="K164" s="1">
        <f ca="1">IFERROR(__xludf.DUMMYFUNCTION("""COMPUTED_VALUE"""),293)</f>
        <v>293</v>
      </c>
      <c r="L164" s="1" t="str">
        <f ca="1">IFERROR(__xludf.DUMMYFUNCTION("""COMPUTED_VALUE"""),"+.076")</f>
        <v>+.076</v>
      </c>
      <c r="M164" s="1">
        <f ca="1">IFERROR(__xludf.DUMMYFUNCTION("""COMPUTED_VALUE"""),27)</f>
        <v>27</v>
      </c>
      <c r="N164" s="1">
        <f ca="1">IFERROR(__xludf.DUMMYFUNCTION("""COMPUTED_VALUE"""),-3.3)</f>
        <v>-3.3</v>
      </c>
      <c r="O164" s="1">
        <f ca="1">IFERROR(__xludf.DUMMYFUNCTION("""COMPUTED_VALUE"""),223)</f>
        <v>223</v>
      </c>
      <c r="P164" s="1">
        <f ca="1">IFERROR(__xludf.DUMMYFUNCTION("""COMPUTED_VALUE"""),101.5)</f>
        <v>101.5</v>
      </c>
      <c r="Q164" s="1">
        <f ca="1">IFERROR(__xludf.DUMMYFUNCTION("""COMPUTED_VALUE"""),209)</f>
        <v>209</v>
      </c>
      <c r="R164" s="1">
        <f ca="1">IFERROR(__xludf.DUMMYFUNCTION("""COMPUTED_VALUE"""),104.8)</f>
        <v>104.8</v>
      </c>
      <c r="S164" s="1">
        <f ca="1">IFERROR(__xludf.DUMMYFUNCTION("""COMPUTED_VALUE"""),240)</f>
        <v>240</v>
      </c>
      <c r="T164" s="1">
        <f ca="1">IFERROR(__xludf.DUMMYFUNCTION("""COMPUTED_VALUE"""),-5.06)</f>
        <v>-5.0599999999999996</v>
      </c>
      <c r="U164" s="1">
        <f ca="1">IFERROR(__xludf.DUMMYFUNCTION("""COMPUTED_VALUE"""),284)</f>
        <v>284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IFERROR(__xludf.DUMMYFUNCTION("""COMPUTED_VALUE"""),"BYU")</f>
        <v>BYU</v>
      </c>
      <c r="C165" s="1" t="str">
        <f ca="1">IFERROR(__xludf.DUMMYFUNCTION("""COMPUTED_VALUE"""),"MWC")</f>
        <v>MWC</v>
      </c>
      <c r="D165" s="2">
        <f ca="1">IFERROR(__xludf.DUMMYFUNCTION("""COMPUTED_VALUE"""),44825)</f>
        <v>44825</v>
      </c>
      <c r="E165" s="1" t="str">
        <f ca="1">IFERROR(__xludf.DUMMYFUNCTION("""COMPUTED_VALUE"""),"+0.37")</f>
        <v>+0.37</v>
      </c>
      <c r="F165" s="1">
        <f ca="1">IFERROR(__xludf.DUMMYFUNCTION("""COMPUTED_VALUE"""),101.4)</f>
        <v>101.4</v>
      </c>
      <c r="G165" s="1">
        <f ca="1">IFERROR(__xludf.DUMMYFUNCTION("""COMPUTED_VALUE"""),196)</f>
        <v>196</v>
      </c>
      <c r="H165" s="1">
        <f ca="1">IFERROR(__xludf.DUMMYFUNCTION("""COMPUTED_VALUE"""),101.1)</f>
        <v>101.1</v>
      </c>
      <c r="I165" s="1">
        <f ca="1">IFERROR(__xludf.DUMMYFUNCTION("""COMPUTED_VALUE"""),129)</f>
        <v>129</v>
      </c>
      <c r="J165" s="1">
        <f ca="1">IFERROR(__xludf.DUMMYFUNCTION("""COMPUTED_VALUE"""),65.4)</f>
        <v>65.400000000000006</v>
      </c>
      <c r="K165" s="1">
        <f ca="1">IFERROR(__xludf.DUMMYFUNCTION("""COMPUTED_VALUE"""),197)</f>
        <v>197</v>
      </c>
      <c r="L165" s="1">
        <f ca="1">IFERROR(__xludf.DUMMYFUNCTION("""COMPUTED_VALUE"""),-0.095)</f>
        <v>-9.5000000000000001E-2</v>
      </c>
      <c r="M165" s="1">
        <f ca="1">IFERROR(__xludf.DUMMYFUNCTION("""COMPUTED_VALUE"""),321)</f>
        <v>321</v>
      </c>
      <c r="N165" s="1" t="str">
        <f ca="1">IFERROR(__xludf.DUMMYFUNCTION("""COMPUTED_VALUE"""),"+7.41")</f>
        <v>+7.41</v>
      </c>
      <c r="O165" s="1">
        <f ca="1">IFERROR(__xludf.DUMMYFUNCTION("""COMPUTED_VALUE"""),38)</f>
        <v>38</v>
      </c>
      <c r="P165" s="1">
        <f ca="1">IFERROR(__xludf.DUMMYFUNCTION("""COMPUTED_VALUE"""),107.8)</f>
        <v>107.8</v>
      </c>
      <c r="Q165" s="1">
        <f ca="1">IFERROR(__xludf.DUMMYFUNCTION("""COMPUTED_VALUE"""),23)</f>
        <v>23</v>
      </c>
      <c r="R165" s="1">
        <f ca="1">IFERROR(__xludf.DUMMYFUNCTION("""COMPUTED_VALUE"""),100.4)</f>
        <v>100.4</v>
      </c>
      <c r="S165" s="1">
        <f ca="1">IFERROR(__xludf.DUMMYFUNCTION("""COMPUTED_VALUE"""),64)</f>
        <v>64</v>
      </c>
      <c r="T165" s="1" t="str">
        <f ca="1">IFERROR(__xludf.DUMMYFUNCTION("""COMPUTED_VALUE"""),"+6.10")</f>
        <v>+6.10</v>
      </c>
      <c r="U165" s="1">
        <f ca="1">IFERROR(__xludf.DUMMYFUNCTION("""COMPUTED_VALUE"""),33)</f>
        <v>33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IFERROR(__xludf.DUMMYFUNCTION("""COMPUTED_VALUE"""),"Arkansas St.")</f>
        <v>Arkansas St.</v>
      </c>
      <c r="C166" s="1" t="str">
        <f ca="1">IFERROR(__xludf.DUMMYFUNCTION("""COMPUTED_VALUE"""),"SB")</f>
        <v>SB</v>
      </c>
      <c r="D166" s="1" t="str">
        <f ca="1">IFERROR(__xludf.DUMMYFUNCTION("""COMPUTED_VALUE"""),"16-13")</f>
        <v>16-13</v>
      </c>
      <c r="E166" s="1" t="str">
        <f ca="1">IFERROR(__xludf.DUMMYFUNCTION("""COMPUTED_VALUE"""),"+0.34")</f>
        <v>+0.34</v>
      </c>
      <c r="F166" s="1">
        <f ca="1">IFERROR(__xludf.DUMMYFUNCTION("""COMPUTED_VALUE"""),105.8)</f>
        <v>105.8</v>
      </c>
      <c r="G166" s="1">
        <f ca="1">IFERROR(__xludf.DUMMYFUNCTION("""COMPUTED_VALUE"""),115)</f>
        <v>115</v>
      </c>
      <c r="H166" s="1">
        <f ca="1">IFERROR(__xludf.DUMMYFUNCTION("""COMPUTED_VALUE"""),105.5)</f>
        <v>105.5</v>
      </c>
      <c r="I166" s="1">
        <f ca="1">IFERROR(__xludf.DUMMYFUNCTION("""COMPUTED_VALUE"""),225)</f>
        <v>225</v>
      </c>
      <c r="J166" s="1">
        <f ca="1">IFERROR(__xludf.DUMMYFUNCTION("""COMPUTED_VALUE"""),68.4)</f>
        <v>68.400000000000006</v>
      </c>
      <c r="K166" s="1">
        <f ca="1">IFERROR(__xludf.DUMMYFUNCTION("""COMPUTED_VALUE"""),78)</f>
        <v>78</v>
      </c>
      <c r="L166" s="1">
        <f ca="1">IFERROR(__xludf.DUMMYFUNCTION("""COMPUTED_VALUE"""),-0.026)</f>
        <v>-2.5999999999999999E-2</v>
      </c>
      <c r="M166" s="1">
        <f ca="1">IFERROR(__xludf.DUMMYFUNCTION("""COMPUTED_VALUE"""),235)</f>
        <v>235</v>
      </c>
      <c r="N166" s="1">
        <f ca="1">IFERROR(__xludf.DUMMYFUNCTION("""COMPUTED_VALUE"""),-0.78)</f>
        <v>-0.78</v>
      </c>
      <c r="O166" s="1">
        <f ca="1">IFERROR(__xludf.DUMMYFUNCTION("""COMPUTED_VALUE"""),173)</f>
        <v>173</v>
      </c>
      <c r="P166" s="1">
        <f ca="1">IFERROR(__xludf.DUMMYFUNCTION("""COMPUTED_VALUE"""),102.3)</f>
        <v>102.3</v>
      </c>
      <c r="Q166" s="1">
        <f ca="1">IFERROR(__xludf.DUMMYFUNCTION("""COMPUTED_VALUE"""),186)</f>
        <v>186</v>
      </c>
      <c r="R166" s="1">
        <f ca="1">IFERROR(__xludf.DUMMYFUNCTION("""COMPUTED_VALUE"""),103.1)</f>
        <v>103.1</v>
      </c>
      <c r="S166" s="1">
        <f ca="1">IFERROR(__xludf.DUMMYFUNCTION("""COMPUTED_VALUE"""),161)</f>
        <v>161</v>
      </c>
      <c r="T166" s="1">
        <f ca="1">IFERROR(__xludf.DUMMYFUNCTION("""COMPUTED_VALUE"""),-3.76)</f>
        <v>-3.76</v>
      </c>
      <c r="U166" s="1">
        <f ca="1">IFERROR(__xludf.DUMMYFUNCTION("""COMPUTED_VALUE"""),249)</f>
        <v>249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IFERROR(__xludf.DUMMYFUNCTION("""COMPUTED_VALUE"""),"Richmond")</f>
        <v>Richmond</v>
      </c>
      <c r="C167" s="1" t="str">
        <f ca="1">IFERROR(__xludf.DUMMYFUNCTION("""COMPUTED_VALUE"""),"A10")</f>
        <v>A10</v>
      </c>
      <c r="D167" s="1" t="str">
        <f ca="1">IFERROR(__xludf.DUMMYFUNCTION("""COMPUTED_VALUE"""),"14-15")</f>
        <v>14-15</v>
      </c>
      <c r="E167" s="1" t="str">
        <f ca="1">IFERROR(__xludf.DUMMYFUNCTION("""COMPUTED_VALUE"""),"+0.34")</f>
        <v>+0.34</v>
      </c>
      <c r="F167" s="1">
        <f ca="1">IFERROR(__xludf.DUMMYFUNCTION("""COMPUTED_VALUE"""),104.1)</f>
        <v>104.1</v>
      </c>
      <c r="G167" s="1">
        <f ca="1">IFERROR(__xludf.DUMMYFUNCTION("""COMPUTED_VALUE"""),142)</f>
        <v>142</v>
      </c>
      <c r="H167" s="1">
        <f ca="1">IFERROR(__xludf.DUMMYFUNCTION("""COMPUTED_VALUE"""),103.8)</f>
        <v>103.8</v>
      </c>
      <c r="I167" s="1">
        <f ca="1">IFERROR(__xludf.DUMMYFUNCTION("""COMPUTED_VALUE"""),189)</f>
        <v>189</v>
      </c>
      <c r="J167" s="1">
        <f ca="1">IFERROR(__xludf.DUMMYFUNCTION("""COMPUTED_VALUE"""),65.9)</f>
        <v>65.900000000000006</v>
      </c>
      <c r="K167" s="1">
        <f ca="1">IFERROR(__xludf.DUMMYFUNCTION("""COMPUTED_VALUE"""),171)</f>
        <v>171</v>
      </c>
      <c r="L167" s="1" t="str">
        <f ca="1">IFERROR(__xludf.DUMMYFUNCTION("""COMPUTED_VALUE"""),"+.065")</f>
        <v>+.065</v>
      </c>
      <c r="M167" s="1">
        <f ca="1">IFERROR(__xludf.DUMMYFUNCTION("""COMPUTED_VALUE"""),37)</f>
        <v>37</v>
      </c>
      <c r="N167" s="1" t="str">
        <f ca="1">IFERROR(__xludf.DUMMYFUNCTION("""COMPUTED_VALUE"""),"+3.76")</f>
        <v>+3.76</v>
      </c>
      <c r="O167" s="1">
        <f ca="1">IFERROR(__xludf.DUMMYFUNCTION("""COMPUTED_VALUE"""),98)</f>
        <v>98</v>
      </c>
      <c r="P167" s="1">
        <f ca="1">IFERROR(__xludf.DUMMYFUNCTION("""COMPUTED_VALUE"""),105.1)</f>
        <v>105.1</v>
      </c>
      <c r="Q167" s="1">
        <f ca="1">IFERROR(__xludf.DUMMYFUNCTION("""COMPUTED_VALUE"""),100)</f>
        <v>100</v>
      </c>
      <c r="R167" s="1">
        <f ca="1">IFERROR(__xludf.DUMMYFUNCTION("""COMPUTED_VALUE"""),101.3)</f>
        <v>101.3</v>
      </c>
      <c r="S167" s="1">
        <f ca="1">IFERROR(__xludf.DUMMYFUNCTION("""COMPUTED_VALUE"""),94)</f>
        <v>94</v>
      </c>
      <c r="T167" s="1" t="str">
        <f ca="1">IFERROR(__xludf.DUMMYFUNCTION("""COMPUTED_VALUE"""),"+8.94")</f>
        <v>+8.94</v>
      </c>
      <c r="U167" s="1">
        <f ca="1">IFERROR(__xludf.DUMMYFUNCTION("""COMPUTED_VALUE"""),19)</f>
        <v>19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IFERROR(__xludf.DUMMYFUNCTION("""COMPUTED_VALUE"""),"Indiana St.")</f>
        <v>Indiana St.</v>
      </c>
      <c r="C168" s="1" t="str">
        <f ca="1">IFERROR(__xludf.DUMMYFUNCTION("""COMPUTED_VALUE"""),"MVC")</f>
        <v>MVC</v>
      </c>
      <c r="D168" s="2">
        <f ca="1">IFERROR(__xludf.DUMMYFUNCTION("""COMPUTED_VALUE"""),44885)</f>
        <v>44885</v>
      </c>
      <c r="E168" s="1" t="str">
        <f ca="1">IFERROR(__xludf.DUMMYFUNCTION("""COMPUTED_VALUE"""),"+0.24")</f>
        <v>+0.24</v>
      </c>
      <c r="F168" s="1">
        <f ca="1">IFERROR(__xludf.DUMMYFUNCTION("""COMPUTED_VALUE"""),97.4)</f>
        <v>97.4</v>
      </c>
      <c r="G168" s="1">
        <f ca="1">IFERROR(__xludf.DUMMYFUNCTION("""COMPUTED_VALUE"""),249)</f>
        <v>249</v>
      </c>
      <c r="H168" s="1">
        <f ca="1">IFERROR(__xludf.DUMMYFUNCTION("""COMPUTED_VALUE"""),97.1)</f>
        <v>97.1</v>
      </c>
      <c r="I168" s="1">
        <f ca="1">IFERROR(__xludf.DUMMYFUNCTION("""COMPUTED_VALUE"""),60)</f>
        <v>60</v>
      </c>
      <c r="J168" s="1">
        <f ca="1">IFERROR(__xludf.DUMMYFUNCTION("""COMPUTED_VALUE"""),63.4)</f>
        <v>63.4</v>
      </c>
      <c r="K168" s="1">
        <f ca="1">IFERROR(__xludf.DUMMYFUNCTION("""COMPUTED_VALUE"""),272)</f>
        <v>272</v>
      </c>
      <c r="L168" s="1">
        <f ca="1">IFERROR(__xludf.DUMMYFUNCTION("""COMPUTED_VALUE"""),-0.017)</f>
        <v>-1.7000000000000001E-2</v>
      </c>
      <c r="M168" s="1">
        <f ca="1">IFERROR(__xludf.DUMMYFUNCTION("""COMPUTED_VALUE"""),208)</f>
        <v>208</v>
      </c>
      <c r="N168" s="1" t="str">
        <f ca="1">IFERROR(__xludf.DUMMYFUNCTION("""COMPUTED_VALUE"""),"+5.24")</f>
        <v>+5.24</v>
      </c>
      <c r="O168" s="1">
        <f ca="1">IFERROR(__xludf.DUMMYFUNCTION("""COMPUTED_VALUE"""),74)</f>
        <v>74</v>
      </c>
      <c r="P168" s="1">
        <f ca="1">IFERROR(__xludf.DUMMYFUNCTION("""COMPUTED_VALUE"""),106.8)</f>
        <v>106.8</v>
      </c>
      <c r="Q168" s="1">
        <f ca="1">IFERROR(__xludf.DUMMYFUNCTION("""COMPUTED_VALUE"""),48)</f>
        <v>48</v>
      </c>
      <c r="R168" s="1">
        <f ca="1">IFERROR(__xludf.DUMMYFUNCTION("""COMPUTED_VALUE"""),101.5)</f>
        <v>101.5</v>
      </c>
      <c r="S168" s="1">
        <f ca="1">IFERROR(__xludf.DUMMYFUNCTION("""COMPUTED_VALUE"""),99)</f>
        <v>99</v>
      </c>
      <c r="T168" s="1">
        <f ca="1">IFERROR(__xludf.DUMMYFUNCTION("""COMPUTED_VALUE"""),-0.93)</f>
        <v>-0.93</v>
      </c>
      <c r="U168" s="1">
        <f ca="1">IFERROR(__xludf.DUMMYFUNCTION("""COMPUTED_VALUE"""),185)</f>
        <v>185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IFERROR(__xludf.DUMMYFUNCTION("""COMPUTED_VALUE"""),"Albany")</f>
        <v>Albany</v>
      </c>
      <c r="C171" s="1" t="str">
        <f ca="1">IFERROR(__xludf.DUMMYFUNCTION("""COMPUTED_VALUE"""),"AE")</f>
        <v>AE</v>
      </c>
      <c r="D171" s="1" t="str">
        <f ca="1">IFERROR(__xludf.DUMMYFUNCTION("""COMPUTED_VALUE"""),"13-15")</f>
        <v>13-15</v>
      </c>
      <c r="E171" s="1" t="str">
        <f ca="1">IFERROR(__xludf.DUMMYFUNCTION("""COMPUTED_VALUE"""),"+0.22")</f>
        <v>+0.22</v>
      </c>
      <c r="F171" s="1">
        <f ca="1">IFERROR(__xludf.DUMMYFUNCTION("""COMPUTED_VALUE"""),103.6)</f>
        <v>103.6</v>
      </c>
      <c r="G171" s="1">
        <f ca="1">IFERROR(__xludf.DUMMYFUNCTION("""COMPUTED_VALUE"""),150)</f>
        <v>150</v>
      </c>
      <c r="H171" s="1">
        <f ca="1">IFERROR(__xludf.DUMMYFUNCTION("""COMPUTED_VALUE"""),103.4)</f>
        <v>103.4</v>
      </c>
      <c r="I171" s="1">
        <f ca="1">IFERROR(__xludf.DUMMYFUNCTION("""COMPUTED_VALUE"""),183)</f>
        <v>183</v>
      </c>
      <c r="J171" s="1">
        <f ca="1">IFERROR(__xludf.DUMMYFUNCTION("""COMPUTED_VALUE"""),65.1)</f>
        <v>65.099999999999994</v>
      </c>
      <c r="K171" s="1">
        <f ca="1">IFERROR(__xludf.DUMMYFUNCTION("""COMPUTED_VALUE"""),210)</f>
        <v>210</v>
      </c>
      <c r="L171" s="1">
        <f ca="1">IFERROR(__xludf.DUMMYFUNCTION("""COMPUTED_VALUE"""),-0.121)</f>
        <v>-0.121</v>
      </c>
      <c r="M171" s="1">
        <f ca="1">IFERROR(__xludf.DUMMYFUNCTION("""COMPUTED_VALUE"""),328)</f>
        <v>328</v>
      </c>
      <c r="N171" s="1">
        <f ca="1">IFERROR(__xludf.DUMMYFUNCTION("""COMPUTED_VALUE"""),-4.63)</f>
        <v>-4.63</v>
      </c>
      <c r="O171" s="1">
        <f ca="1">IFERROR(__xludf.DUMMYFUNCTION("""COMPUTED_VALUE"""),254)</f>
        <v>254</v>
      </c>
      <c r="P171" s="1">
        <f ca="1">IFERROR(__xludf.DUMMYFUNCTION("""COMPUTED_VALUE"""),98.5)</f>
        <v>98.5</v>
      </c>
      <c r="Q171" s="1">
        <f ca="1">IFERROR(__xludf.DUMMYFUNCTION("""COMPUTED_VALUE"""),290)</f>
        <v>290</v>
      </c>
      <c r="R171" s="1">
        <f ca="1">IFERROR(__xludf.DUMMYFUNCTION("""COMPUTED_VALUE"""),103.1)</f>
        <v>103.1</v>
      </c>
      <c r="S171" s="1">
        <f ca="1">IFERROR(__xludf.DUMMYFUNCTION("""COMPUTED_VALUE"""),166)</f>
        <v>166</v>
      </c>
      <c r="T171" s="1">
        <f ca="1">IFERROR(__xludf.DUMMYFUNCTION("""COMPUTED_VALUE"""),-5.52)</f>
        <v>-5.52</v>
      </c>
      <c r="U171" s="1">
        <f ca="1">IFERROR(__xludf.DUMMYFUNCTION("""COMPUTED_VALUE"""),292)</f>
        <v>292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IFERROR(__xludf.DUMMYFUNCTION("""COMPUTED_VALUE"""),"Southeast Missouri St.")</f>
        <v>Southeast Missouri St.</v>
      </c>
      <c r="C172" s="1" t="str">
        <f ca="1">IFERROR(__xludf.DUMMYFUNCTION("""COMPUTED_VALUE"""),"OVC")</f>
        <v>OVC</v>
      </c>
      <c r="D172" s="1" t="str">
        <f ca="1">IFERROR(__xludf.DUMMYFUNCTION("""COMPUTED_VALUE"""),"15-14")</f>
        <v>15-14</v>
      </c>
      <c r="E172" s="1" t="str">
        <f ca="1">IFERROR(__xludf.DUMMYFUNCTION("""COMPUTED_VALUE"""),"+0.21")</f>
        <v>+0.21</v>
      </c>
      <c r="F172" s="1">
        <f ca="1">IFERROR(__xludf.DUMMYFUNCTION("""COMPUTED_VALUE"""),103.7)</f>
        <v>103.7</v>
      </c>
      <c r="G172" s="1">
        <f ca="1">IFERROR(__xludf.DUMMYFUNCTION("""COMPUTED_VALUE"""),149)</f>
        <v>149</v>
      </c>
      <c r="H172" s="1">
        <f ca="1">IFERROR(__xludf.DUMMYFUNCTION("""COMPUTED_VALUE"""),103.4)</f>
        <v>103.4</v>
      </c>
      <c r="I172" s="1">
        <f ca="1">IFERROR(__xludf.DUMMYFUNCTION("""COMPUTED_VALUE"""),184)</f>
        <v>184</v>
      </c>
      <c r="J172" s="1">
        <f ca="1">IFERROR(__xludf.DUMMYFUNCTION("""COMPUTED_VALUE"""),64.5)</f>
        <v>64.5</v>
      </c>
      <c r="K172" s="1">
        <f ca="1">IFERROR(__xludf.DUMMYFUNCTION("""COMPUTED_VALUE"""),232)</f>
        <v>232</v>
      </c>
      <c r="L172" s="1">
        <f ca="1">IFERROR(__xludf.DUMMYFUNCTION("""COMPUTED_VALUE"""),-0.092)</f>
        <v>-9.1999999999999998E-2</v>
      </c>
      <c r="M172" s="1">
        <f ca="1">IFERROR(__xludf.DUMMYFUNCTION("""COMPUTED_VALUE"""),317)</f>
        <v>317</v>
      </c>
      <c r="N172" s="1">
        <f ca="1">IFERROR(__xludf.DUMMYFUNCTION("""COMPUTED_VALUE"""),-1.54)</f>
        <v>-1.54</v>
      </c>
      <c r="O172" s="1">
        <f ca="1">IFERROR(__xludf.DUMMYFUNCTION("""COMPUTED_VALUE"""),185)</f>
        <v>185</v>
      </c>
      <c r="P172" s="1">
        <f ca="1">IFERROR(__xludf.DUMMYFUNCTION("""COMPUTED_VALUE"""),103.1)</f>
        <v>103.1</v>
      </c>
      <c r="Q172" s="1">
        <f ca="1">IFERROR(__xludf.DUMMYFUNCTION("""COMPUTED_VALUE"""),161)</f>
        <v>161</v>
      </c>
      <c r="R172" s="1">
        <f ca="1">IFERROR(__xludf.DUMMYFUNCTION("""COMPUTED_VALUE"""),104.6)</f>
        <v>104.6</v>
      </c>
      <c r="S172" s="1">
        <f ca="1">IFERROR(__xludf.DUMMYFUNCTION("""COMPUTED_VALUE"""),230)</f>
        <v>230</v>
      </c>
      <c r="T172" s="1" t="str">
        <f ca="1">IFERROR(__xludf.DUMMYFUNCTION("""COMPUTED_VALUE"""),"+4.65")</f>
        <v>+4.65</v>
      </c>
      <c r="U172" s="1">
        <f ca="1">IFERROR(__xludf.DUMMYFUNCTION("""COMPUTED_VALUE"""),55)</f>
        <v>55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IFERROR(__xludf.DUMMYFUNCTION("""COMPUTED_VALUE"""),"College of Charleston")</f>
        <v>College of Charleston</v>
      </c>
      <c r="C173" s="1" t="str">
        <f ca="1">IFERROR(__xludf.DUMMYFUNCTION("""COMPUTED_VALUE"""),"SC")</f>
        <v>SC</v>
      </c>
      <c r="D173" s="1" t="str">
        <f ca="1">IFERROR(__xludf.DUMMYFUNCTION("""COMPUTED_VALUE"""),"18-10")</f>
        <v>18-10</v>
      </c>
      <c r="E173" s="1" t="str">
        <f ca="1">IFERROR(__xludf.DUMMYFUNCTION("""COMPUTED_VALUE"""),"+0.12")</f>
        <v>+0.12</v>
      </c>
      <c r="F173" s="1">
        <f ca="1">IFERROR(__xludf.DUMMYFUNCTION("""COMPUTED_VALUE"""),101.1)</f>
        <v>101.1</v>
      </c>
      <c r="G173" s="1">
        <f ca="1">IFERROR(__xludf.DUMMYFUNCTION("""COMPUTED_VALUE"""),203)</f>
        <v>203</v>
      </c>
      <c r="H173" s="1">
        <f ca="1">IFERROR(__xludf.DUMMYFUNCTION("""COMPUTED_VALUE"""),101)</f>
        <v>101</v>
      </c>
      <c r="I173" s="1">
        <f ca="1">IFERROR(__xludf.DUMMYFUNCTION("""COMPUTED_VALUE"""),128)</f>
        <v>128</v>
      </c>
      <c r="J173" s="1">
        <f ca="1">IFERROR(__xludf.DUMMYFUNCTION("""COMPUTED_VALUE"""),67.4)</f>
        <v>67.400000000000006</v>
      </c>
      <c r="K173" s="1">
        <f ca="1">IFERROR(__xludf.DUMMYFUNCTION("""COMPUTED_VALUE"""),111)</f>
        <v>111</v>
      </c>
      <c r="L173" s="1" t="str">
        <f ca="1">IFERROR(__xludf.DUMMYFUNCTION("""COMPUTED_VALUE"""),"+.015")</f>
        <v>+.015</v>
      </c>
      <c r="M173" s="1">
        <f ca="1">IFERROR(__xludf.DUMMYFUNCTION("""COMPUTED_VALUE"""),123)</f>
        <v>123</v>
      </c>
      <c r="N173" s="1">
        <f ca="1">IFERROR(__xludf.DUMMYFUNCTION("""COMPUTED_VALUE"""),-6.28)</f>
        <v>-6.28</v>
      </c>
      <c r="O173" s="1">
        <f ca="1">IFERROR(__xludf.DUMMYFUNCTION("""COMPUTED_VALUE"""),271)</f>
        <v>271</v>
      </c>
      <c r="P173" s="1">
        <f ca="1">IFERROR(__xludf.DUMMYFUNCTION("""COMPUTED_VALUE"""),99.6)</f>
        <v>99.6</v>
      </c>
      <c r="Q173" s="1">
        <f ca="1">IFERROR(__xludf.DUMMYFUNCTION("""COMPUTED_VALUE"""),261)</f>
        <v>261</v>
      </c>
      <c r="R173" s="1">
        <f ca="1">IFERROR(__xludf.DUMMYFUNCTION("""COMPUTED_VALUE"""),105.9)</f>
        <v>105.9</v>
      </c>
      <c r="S173" s="1">
        <f ca="1">IFERROR(__xludf.DUMMYFUNCTION("""COMPUTED_VALUE"""),279)</f>
        <v>279</v>
      </c>
      <c r="T173" s="1">
        <f ca="1">IFERROR(__xludf.DUMMYFUNCTION("""COMPUTED_VALUE"""),-7.09)</f>
        <v>-7.09</v>
      </c>
      <c r="U173" s="1">
        <f ca="1">IFERROR(__xludf.DUMMYFUNCTION("""COMPUTED_VALUE"""),301)</f>
        <v>301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IFERROR(__xludf.DUMMYFUNCTION("""COMPUTED_VALUE"""),"Rider")</f>
        <v>Rider</v>
      </c>
      <c r="C174" s="1" t="str">
        <f ca="1">IFERROR(__xludf.DUMMYFUNCTION("""COMPUTED_VALUE"""),"MAAC")</f>
        <v>MAAC</v>
      </c>
      <c r="D174" s="1" t="str">
        <f ca="1">IFERROR(__xludf.DUMMYFUNCTION("""COMPUTED_VALUE"""),"19-11")</f>
        <v>19-11</v>
      </c>
      <c r="E174" s="1" t="str">
        <f ca="1">IFERROR(__xludf.DUMMYFUNCTION("""COMPUTED_VALUE"""),"+0.08")</f>
        <v>+0.08</v>
      </c>
      <c r="F174" s="1">
        <f ca="1">IFERROR(__xludf.DUMMYFUNCTION("""COMPUTED_VALUE"""),107.3)</f>
        <v>107.3</v>
      </c>
      <c r="G174" s="1">
        <f ca="1">IFERROR(__xludf.DUMMYFUNCTION("""COMPUTED_VALUE"""),89)</f>
        <v>89</v>
      </c>
      <c r="H174" s="1">
        <f ca="1">IFERROR(__xludf.DUMMYFUNCTION("""COMPUTED_VALUE"""),107.2)</f>
        <v>107.2</v>
      </c>
      <c r="I174" s="1">
        <f ca="1">IFERROR(__xludf.DUMMYFUNCTION("""COMPUTED_VALUE"""),246)</f>
        <v>246</v>
      </c>
      <c r="J174" s="1">
        <f ca="1">IFERROR(__xludf.DUMMYFUNCTION("""COMPUTED_VALUE"""),66.2)</f>
        <v>66.2</v>
      </c>
      <c r="K174" s="1">
        <f ca="1">IFERROR(__xludf.DUMMYFUNCTION("""COMPUTED_VALUE"""),164)</f>
        <v>164</v>
      </c>
      <c r="L174" s="1" t="str">
        <f ca="1">IFERROR(__xludf.DUMMYFUNCTION("""COMPUTED_VALUE"""),"+.049")</f>
        <v>+.049</v>
      </c>
      <c r="M174" s="1">
        <f ca="1">IFERROR(__xludf.DUMMYFUNCTION("""COMPUTED_VALUE"""),58)</f>
        <v>58</v>
      </c>
      <c r="N174" s="1">
        <f ca="1">IFERROR(__xludf.DUMMYFUNCTION("""COMPUTED_VALUE"""),-3.88)</f>
        <v>-3.88</v>
      </c>
      <c r="O174" s="1">
        <f ca="1">IFERROR(__xludf.DUMMYFUNCTION("""COMPUTED_VALUE"""),240)</f>
        <v>240</v>
      </c>
      <c r="P174" s="1">
        <f ca="1">IFERROR(__xludf.DUMMYFUNCTION("""COMPUTED_VALUE"""),101.3)</f>
        <v>101.3</v>
      </c>
      <c r="Q174" s="1">
        <f ca="1">IFERROR(__xludf.DUMMYFUNCTION("""COMPUTED_VALUE"""),215)</f>
        <v>215</v>
      </c>
      <c r="R174" s="1">
        <f ca="1">IFERROR(__xludf.DUMMYFUNCTION("""COMPUTED_VALUE"""),105.1)</f>
        <v>105.1</v>
      </c>
      <c r="S174" s="1">
        <f ca="1">IFERROR(__xludf.DUMMYFUNCTION("""COMPUTED_VALUE"""),256)</f>
        <v>256</v>
      </c>
      <c r="T174" s="1">
        <f ca="1">IFERROR(__xludf.DUMMYFUNCTION("""COMPUTED_VALUE"""),-1.5)</f>
        <v>-1.5</v>
      </c>
      <c r="U174" s="1">
        <f ca="1">IFERROR(__xludf.DUMMYFUNCTION("""COMPUTED_VALUE"""),205)</f>
        <v>205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IFERROR(__xludf.DUMMYFUNCTION("""COMPUTED_VALUE"""),"Chattanooga15")</f>
        <v>Chattanooga15</v>
      </c>
      <c r="C175" s="1" t="str">
        <f ca="1">IFERROR(__xludf.DUMMYFUNCTION("""COMPUTED_VALUE"""),"SC")</f>
        <v>SC</v>
      </c>
      <c r="D175" s="1" t="str">
        <f ca="1">IFERROR(__xludf.DUMMYFUNCTION("""COMPUTED_VALUE"""),"20-11")</f>
        <v>20-11</v>
      </c>
      <c r="E175" s="1" t="str">
        <f ca="1">IFERROR(__xludf.DUMMYFUNCTION("""COMPUTED_VALUE"""),"+0.03")</f>
        <v>+0.03</v>
      </c>
      <c r="F175" s="1">
        <f ca="1">IFERROR(__xludf.DUMMYFUNCTION("""COMPUTED_VALUE"""),98.9)</f>
        <v>98.9</v>
      </c>
      <c r="G175" s="1">
        <f ca="1">IFERROR(__xludf.DUMMYFUNCTION("""COMPUTED_VALUE"""),229)</f>
        <v>229</v>
      </c>
      <c r="H175" s="1">
        <f ca="1">IFERROR(__xludf.DUMMYFUNCTION("""COMPUTED_VALUE"""),98.8)</f>
        <v>98.8</v>
      </c>
      <c r="I175" s="1">
        <f ca="1">IFERROR(__xludf.DUMMYFUNCTION("""COMPUTED_VALUE"""),82)</f>
        <v>82</v>
      </c>
      <c r="J175" s="1">
        <f ca="1">IFERROR(__xludf.DUMMYFUNCTION("""COMPUTED_VALUE"""),67.6)</f>
        <v>67.599999999999994</v>
      </c>
      <c r="K175" s="1">
        <f ca="1">IFERROR(__xludf.DUMMYFUNCTION("""COMPUTED_VALUE"""),109)</f>
        <v>109</v>
      </c>
      <c r="L175" s="1" t="str">
        <f ca="1">IFERROR(__xludf.DUMMYFUNCTION("""COMPUTED_VALUE"""),"+.059")</f>
        <v>+.059</v>
      </c>
      <c r="M175" s="1">
        <f ca="1">IFERROR(__xludf.DUMMYFUNCTION("""COMPUTED_VALUE"""),47)</f>
        <v>47</v>
      </c>
      <c r="N175" s="1">
        <f ca="1">IFERROR(__xludf.DUMMYFUNCTION("""COMPUTED_VALUE"""),-3.78)</f>
        <v>-3.78</v>
      </c>
      <c r="O175" s="1">
        <f ca="1">IFERROR(__xludf.DUMMYFUNCTION("""COMPUTED_VALUE"""),238)</f>
        <v>238</v>
      </c>
      <c r="P175" s="1">
        <f ca="1">IFERROR(__xludf.DUMMYFUNCTION("""COMPUTED_VALUE"""),101.1)</f>
        <v>101.1</v>
      </c>
      <c r="Q175" s="1">
        <f ca="1">IFERROR(__xludf.DUMMYFUNCTION("""COMPUTED_VALUE"""),223)</f>
        <v>223</v>
      </c>
      <c r="R175" s="1">
        <f ca="1">IFERROR(__xludf.DUMMYFUNCTION("""COMPUTED_VALUE"""),104.9)</f>
        <v>104.9</v>
      </c>
      <c r="S175" s="1">
        <f ca="1">IFERROR(__xludf.DUMMYFUNCTION("""COMPUTED_VALUE"""),245)</f>
        <v>245</v>
      </c>
      <c r="T175" s="1" t="str">
        <f ca="1">IFERROR(__xludf.DUMMYFUNCTION("""COMPUTED_VALUE"""),"+5.69")</f>
        <v>+5.69</v>
      </c>
      <c r="U175" s="1">
        <f ca="1">IFERROR(__xludf.DUMMYFUNCTION("""COMPUTED_VALUE"""),43)</f>
        <v>43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IFERROR(__xludf.DUMMYFUNCTION("""COMPUTED_VALUE"""),"Saint Louis")</f>
        <v>Saint Louis</v>
      </c>
      <c r="C176" s="1" t="str">
        <f ca="1">IFERROR(__xludf.DUMMYFUNCTION("""COMPUTED_VALUE"""),"CUSA")</f>
        <v>CUSA</v>
      </c>
      <c r="D176" s="2">
        <f ca="1">IFERROR(__xludf.DUMMYFUNCTION("""COMPUTED_VALUE"""),44825)</f>
        <v>44825</v>
      </c>
      <c r="E176" s="1" t="str">
        <f ca="1">IFERROR(__xludf.DUMMYFUNCTION("""COMPUTED_VALUE"""),"+0.01")</f>
        <v>+0.01</v>
      </c>
      <c r="F176" s="1">
        <f ca="1">IFERROR(__xludf.DUMMYFUNCTION("""COMPUTED_VALUE"""),94.7)</f>
        <v>94.7</v>
      </c>
      <c r="G176" s="1">
        <f ca="1">IFERROR(__xludf.DUMMYFUNCTION("""COMPUTED_VALUE"""),282)</f>
        <v>282</v>
      </c>
      <c r="H176" s="1">
        <f ca="1">IFERROR(__xludf.DUMMYFUNCTION("""COMPUTED_VALUE"""),94.7)</f>
        <v>94.7</v>
      </c>
      <c r="I176" s="1">
        <f ca="1">IFERROR(__xludf.DUMMYFUNCTION("""COMPUTED_VALUE"""),34)</f>
        <v>34</v>
      </c>
      <c r="J176" s="1">
        <f ca="1">IFERROR(__xludf.DUMMYFUNCTION("""COMPUTED_VALUE"""),59.8)</f>
        <v>59.8</v>
      </c>
      <c r="K176" s="1">
        <f ca="1">IFERROR(__xludf.DUMMYFUNCTION("""COMPUTED_VALUE"""),319)</f>
        <v>319</v>
      </c>
      <c r="L176" s="1">
        <f ca="1">IFERROR(__xludf.DUMMYFUNCTION("""COMPUTED_VALUE"""),-0.058)</f>
        <v>-5.8000000000000003E-2</v>
      </c>
      <c r="M176" s="1">
        <f ca="1">IFERROR(__xludf.DUMMYFUNCTION("""COMPUTED_VALUE"""),289)</f>
        <v>289</v>
      </c>
      <c r="N176" s="1" t="str">
        <f ca="1">IFERROR(__xludf.DUMMYFUNCTION("""COMPUTED_VALUE"""),"+5.17")</f>
        <v>+5.17</v>
      </c>
      <c r="O176" s="1">
        <f ca="1">IFERROR(__xludf.DUMMYFUNCTION("""COMPUTED_VALUE"""),75)</f>
        <v>75</v>
      </c>
      <c r="P176" s="1">
        <f ca="1">IFERROR(__xludf.DUMMYFUNCTION("""COMPUTED_VALUE"""),106.5)</f>
        <v>106.5</v>
      </c>
      <c r="Q176" s="1">
        <f ca="1">IFERROR(__xludf.DUMMYFUNCTION("""COMPUTED_VALUE"""),54)</f>
        <v>54</v>
      </c>
      <c r="R176" s="1">
        <f ca="1">IFERROR(__xludf.DUMMYFUNCTION("""COMPUTED_VALUE"""),101.4)</f>
        <v>101.4</v>
      </c>
      <c r="S176" s="1">
        <f ca="1">IFERROR(__xludf.DUMMYFUNCTION("""COMPUTED_VALUE"""),96)</f>
        <v>96</v>
      </c>
      <c r="T176" s="1" t="str">
        <f ca="1">IFERROR(__xludf.DUMMYFUNCTION("""COMPUTED_VALUE"""),"+1.10")</f>
        <v>+1.10</v>
      </c>
      <c r="U176" s="1">
        <f ca="1">IFERROR(__xludf.DUMMYFUNCTION("""COMPUTED_VALUE"""),131)</f>
        <v>131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IFERROR(__xludf.DUMMYFUNCTION("""COMPUTED_VALUE"""),"Sam Houston St.")</f>
        <v>Sam Houston St.</v>
      </c>
      <c r="C177" s="1" t="str">
        <f ca="1">IFERROR(__xludf.DUMMYFUNCTION("""COMPUTED_VALUE"""),"Slnd")</f>
        <v>Slnd</v>
      </c>
      <c r="D177" s="1" t="str">
        <f ca="1">IFERROR(__xludf.DUMMYFUNCTION("""COMPUTED_VALUE"""),"18-12")</f>
        <v>18-12</v>
      </c>
      <c r="E177" s="1">
        <f ca="1">IFERROR(__xludf.DUMMYFUNCTION("""COMPUTED_VALUE"""),-0.06)</f>
        <v>-0.06</v>
      </c>
      <c r="F177" s="1">
        <f ca="1">IFERROR(__xludf.DUMMYFUNCTION("""COMPUTED_VALUE"""),97.4)</f>
        <v>97.4</v>
      </c>
      <c r="G177" s="1">
        <f ca="1">IFERROR(__xludf.DUMMYFUNCTION("""COMPUTED_VALUE"""),248)</f>
        <v>248</v>
      </c>
      <c r="H177" s="1">
        <f ca="1">IFERROR(__xludf.DUMMYFUNCTION("""COMPUTED_VALUE"""),97.5)</f>
        <v>97.5</v>
      </c>
      <c r="I177" s="1">
        <f ca="1">IFERROR(__xludf.DUMMYFUNCTION("""COMPUTED_VALUE"""),66)</f>
        <v>66</v>
      </c>
      <c r="J177" s="1">
        <f ca="1">IFERROR(__xludf.DUMMYFUNCTION("""COMPUTED_VALUE"""),71.3)</f>
        <v>71.3</v>
      </c>
      <c r="K177" s="1">
        <f ca="1">IFERROR(__xludf.DUMMYFUNCTION("""COMPUTED_VALUE"""),17)</f>
        <v>17</v>
      </c>
      <c r="L177" s="1">
        <f ca="1">IFERROR(__xludf.DUMMYFUNCTION("""COMPUTED_VALUE"""),-0.003)</f>
        <v>-3.0000000000000001E-3</v>
      </c>
      <c r="M177" s="1">
        <f ca="1">IFERROR(__xludf.DUMMYFUNCTION("""COMPUTED_VALUE"""),170)</f>
        <v>170</v>
      </c>
      <c r="N177" s="1">
        <f ca="1">IFERROR(__xludf.DUMMYFUNCTION("""COMPUTED_VALUE"""),-3.93)</f>
        <v>-3.93</v>
      </c>
      <c r="O177" s="1">
        <f ca="1">IFERROR(__xludf.DUMMYFUNCTION("""COMPUTED_VALUE"""),242)</f>
        <v>242</v>
      </c>
      <c r="P177" s="1">
        <f ca="1">IFERROR(__xludf.DUMMYFUNCTION("""COMPUTED_VALUE"""),100.8)</f>
        <v>100.8</v>
      </c>
      <c r="Q177" s="1">
        <f ca="1">IFERROR(__xludf.DUMMYFUNCTION("""COMPUTED_VALUE"""),228)</f>
        <v>228</v>
      </c>
      <c r="R177" s="1">
        <f ca="1">IFERROR(__xludf.DUMMYFUNCTION("""COMPUTED_VALUE"""),104.7)</f>
        <v>104.7</v>
      </c>
      <c r="S177" s="1">
        <f ca="1">IFERROR(__xludf.DUMMYFUNCTION("""COMPUTED_VALUE"""),236)</f>
        <v>236</v>
      </c>
      <c r="T177" s="1" t="str">
        <f ca="1">IFERROR(__xludf.DUMMYFUNCTION("""COMPUTED_VALUE"""),"+4.81")</f>
        <v>+4.81</v>
      </c>
      <c r="U177" s="1">
        <f ca="1">IFERROR(__xludf.DUMMYFUNCTION("""COMPUTED_VALUE"""),54)</f>
        <v>54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IFERROR(__xludf.DUMMYFUNCTION("""COMPUTED_VALUE"""),"Fresno St.")</f>
        <v>Fresno St.</v>
      </c>
      <c r="C178" s="1" t="str">
        <f ca="1">IFERROR(__xludf.DUMMYFUNCTION("""COMPUTED_VALUE"""),"WAC")</f>
        <v>WAC</v>
      </c>
      <c r="D178" s="1" t="str">
        <f ca="1">IFERROR(__xludf.DUMMYFUNCTION("""COMPUTED_VALUE"""),"16-14")</f>
        <v>16-14</v>
      </c>
      <c r="E178" s="1">
        <f ca="1">IFERROR(__xludf.DUMMYFUNCTION("""COMPUTED_VALUE"""),-0.06)</f>
        <v>-0.06</v>
      </c>
      <c r="F178" s="1">
        <f ca="1">IFERROR(__xludf.DUMMYFUNCTION("""COMPUTED_VALUE"""),101.5)</f>
        <v>101.5</v>
      </c>
      <c r="G178" s="1">
        <f ca="1">IFERROR(__xludf.DUMMYFUNCTION("""COMPUTED_VALUE"""),194)</f>
        <v>194</v>
      </c>
      <c r="H178" s="1">
        <f ca="1">IFERROR(__xludf.DUMMYFUNCTION("""COMPUTED_VALUE"""),101.6)</f>
        <v>101.6</v>
      </c>
      <c r="I178" s="1">
        <f ca="1">IFERROR(__xludf.DUMMYFUNCTION("""COMPUTED_VALUE"""),141)</f>
        <v>141</v>
      </c>
      <c r="J178" s="1">
        <f ca="1">IFERROR(__xludf.DUMMYFUNCTION("""COMPUTED_VALUE"""),69)</f>
        <v>69</v>
      </c>
      <c r="K178" s="1">
        <f ca="1">IFERROR(__xludf.DUMMYFUNCTION("""COMPUTED_VALUE"""),53)</f>
        <v>53</v>
      </c>
      <c r="L178" s="1">
        <f ca="1">IFERROR(__xludf.DUMMYFUNCTION("""COMPUTED_VALUE"""),-0.002)</f>
        <v>-2E-3</v>
      </c>
      <c r="M178" s="1">
        <f ca="1">IFERROR(__xludf.DUMMYFUNCTION("""COMPUTED_VALUE"""),166)</f>
        <v>166</v>
      </c>
      <c r="N178" s="1">
        <f ca="1">IFERROR(__xludf.DUMMYFUNCTION("""COMPUTED_VALUE"""),-0.3)</f>
        <v>-0.3</v>
      </c>
      <c r="O178" s="1">
        <f ca="1">IFERROR(__xludf.DUMMYFUNCTION("""COMPUTED_VALUE"""),157)</f>
        <v>157</v>
      </c>
      <c r="P178" s="1">
        <f ca="1">IFERROR(__xludf.DUMMYFUNCTION("""COMPUTED_VALUE"""),102.9)</f>
        <v>102.9</v>
      </c>
      <c r="Q178" s="1">
        <f ca="1">IFERROR(__xludf.DUMMYFUNCTION("""COMPUTED_VALUE"""),164)</f>
        <v>164</v>
      </c>
      <c r="R178" s="1">
        <f ca="1">IFERROR(__xludf.DUMMYFUNCTION("""COMPUTED_VALUE"""),103.2)</f>
        <v>103.2</v>
      </c>
      <c r="S178" s="1">
        <f ca="1">IFERROR(__xludf.DUMMYFUNCTION("""COMPUTED_VALUE"""),175)</f>
        <v>175</v>
      </c>
      <c r="T178" s="1">
        <f ca="1">IFERROR(__xludf.DUMMYFUNCTION("""COMPUTED_VALUE"""),-3.8)</f>
        <v>-3.8</v>
      </c>
      <c r="U178" s="1">
        <f ca="1">IFERROR(__xludf.DUMMYFUNCTION("""COMPUTED_VALUE"""),251)</f>
        <v>251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IFERROR(__xludf.DUMMYFUNCTION("""COMPUTED_VALUE"""),"Texas A&amp;M Corpus Chris")</f>
        <v>Texas A&amp;M Corpus Chris</v>
      </c>
      <c r="C179" s="1" t="str">
        <f ca="1">IFERROR(__xludf.DUMMYFUNCTION("""COMPUTED_VALUE"""),"ind")</f>
        <v>ind</v>
      </c>
      <c r="D179" s="1" t="str">
        <f ca="1">IFERROR(__xludf.DUMMYFUNCTION("""COMPUTED_VALUE"""),"20-8")</f>
        <v>20-8</v>
      </c>
      <c r="E179" s="1">
        <f ca="1">IFERROR(__xludf.DUMMYFUNCTION("""COMPUTED_VALUE"""),-0.22)</f>
        <v>-0.22</v>
      </c>
      <c r="F179" s="1">
        <f ca="1">IFERROR(__xludf.DUMMYFUNCTION("""COMPUTED_VALUE"""),104.5)</f>
        <v>104.5</v>
      </c>
      <c r="G179" s="1">
        <f ca="1">IFERROR(__xludf.DUMMYFUNCTION("""COMPUTED_VALUE"""),136)</f>
        <v>136</v>
      </c>
      <c r="H179" s="1">
        <f ca="1">IFERROR(__xludf.DUMMYFUNCTION("""COMPUTED_VALUE"""),104.8)</f>
        <v>104.8</v>
      </c>
      <c r="I179" s="1">
        <f ca="1">IFERROR(__xludf.DUMMYFUNCTION("""COMPUTED_VALUE"""),210)</f>
        <v>210</v>
      </c>
      <c r="J179" s="1">
        <f ca="1">IFERROR(__xludf.DUMMYFUNCTION("""COMPUTED_VALUE"""),66.5)</f>
        <v>66.5</v>
      </c>
      <c r="K179" s="1">
        <f ca="1">IFERROR(__xludf.DUMMYFUNCTION("""COMPUTED_VALUE"""),145)</f>
        <v>145</v>
      </c>
      <c r="L179" s="1" t="str">
        <f ca="1">IFERROR(__xludf.DUMMYFUNCTION("""COMPUTED_VALUE"""),"+.049")</f>
        <v>+.049</v>
      </c>
      <c r="M179" s="1">
        <f ca="1">IFERROR(__xludf.DUMMYFUNCTION("""COMPUTED_VALUE"""),59)</f>
        <v>59</v>
      </c>
      <c r="N179" s="1">
        <f ca="1">IFERROR(__xludf.DUMMYFUNCTION("""COMPUTED_VALUE"""),-7.7)</f>
        <v>-7.7</v>
      </c>
      <c r="O179" s="1">
        <f ca="1">IFERROR(__xludf.DUMMYFUNCTION("""COMPUTED_VALUE"""),290)</f>
        <v>290</v>
      </c>
      <c r="P179" s="1">
        <f ca="1">IFERROR(__xludf.DUMMYFUNCTION("""COMPUTED_VALUE"""),98.2)</f>
        <v>98.2</v>
      </c>
      <c r="Q179" s="1">
        <f ca="1">IFERROR(__xludf.DUMMYFUNCTION("""COMPUTED_VALUE"""),296)</f>
        <v>296</v>
      </c>
      <c r="R179" s="1">
        <f ca="1">IFERROR(__xludf.DUMMYFUNCTION("""COMPUTED_VALUE"""),105.9)</f>
        <v>105.9</v>
      </c>
      <c r="S179" s="1">
        <f ca="1">IFERROR(__xludf.DUMMYFUNCTION("""COMPUTED_VALUE"""),285)</f>
        <v>285</v>
      </c>
      <c r="T179" s="1" t="str">
        <f ca="1">IFERROR(__xludf.DUMMYFUNCTION("""COMPUTED_VALUE"""),"+0.68")</f>
        <v>+0.68</v>
      </c>
      <c r="U179" s="1">
        <f ca="1">IFERROR(__xludf.DUMMYFUNCTION("""COMPUTED_VALUE"""),141)</f>
        <v>141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IFERROR(__xludf.DUMMYFUNCTION("""COMPUTED_VALUE"""),"Loyola Chicago")</f>
        <v>Loyola Chicago</v>
      </c>
      <c r="C180" s="1" t="str">
        <f ca="1">IFERROR(__xludf.DUMMYFUNCTION("""COMPUTED_VALUE"""),"Horz")</f>
        <v>Horz</v>
      </c>
      <c r="D180" s="1" t="str">
        <f ca="1">IFERROR(__xludf.DUMMYFUNCTION("""COMPUTED_VALUE"""),"13-17")</f>
        <v>13-17</v>
      </c>
      <c r="E180" s="1">
        <f ca="1">IFERROR(__xludf.DUMMYFUNCTION("""COMPUTED_VALUE"""),-0.22)</f>
        <v>-0.22</v>
      </c>
      <c r="F180" s="1">
        <f ca="1">IFERROR(__xludf.DUMMYFUNCTION("""COMPUTED_VALUE"""),100.5)</f>
        <v>100.5</v>
      </c>
      <c r="G180" s="1">
        <f ca="1">IFERROR(__xludf.DUMMYFUNCTION("""COMPUTED_VALUE"""),210)</f>
        <v>210</v>
      </c>
      <c r="H180" s="1">
        <f ca="1">IFERROR(__xludf.DUMMYFUNCTION("""COMPUTED_VALUE"""),100.7)</f>
        <v>100.7</v>
      </c>
      <c r="I180" s="1">
        <f ca="1">IFERROR(__xludf.DUMMYFUNCTION("""COMPUTED_VALUE"""),121)</f>
        <v>121</v>
      </c>
      <c r="J180" s="1">
        <f ca="1">IFERROR(__xludf.DUMMYFUNCTION("""COMPUTED_VALUE"""),67.4)</f>
        <v>67.400000000000006</v>
      </c>
      <c r="K180" s="1">
        <f ca="1">IFERROR(__xludf.DUMMYFUNCTION("""COMPUTED_VALUE"""),113)</f>
        <v>113</v>
      </c>
      <c r="L180" s="1">
        <f ca="1">IFERROR(__xludf.DUMMYFUNCTION("""COMPUTED_VALUE"""),-0.015)</f>
        <v>-1.4999999999999999E-2</v>
      </c>
      <c r="M180" s="1">
        <f ca="1">IFERROR(__xludf.DUMMYFUNCTION("""COMPUTED_VALUE"""),203)</f>
        <v>203</v>
      </c>
      <c r="N180" s="1" t="str">
        <f ca="1">IFERROR(__xludf.DUMMYFUNCTION("""COMPUTED_VALUE"""),"+2.13")</f>
        <v>+2.13</v>
      </c>
      <c r="O180" s="1">
        <f ca="1">IFERROR(__xludf.DUMMYFUNCTION("""COMPUTED_VALUE"""),122)</f>
        <v>122</v>
      </c>
      <c r="P180" s="1">
        <f ca="1">IFERROR(__xludf.DUMMYFUNCTION("""COMPUTED_VALUE"""),105.3)</f>
        <v>105.3</v>
      </c>
      <c r="Q180" s="1">
        <f ca="1">IFERROR(__xludf.DUMMYFUNCTION("""COMPUTED_VALUE"""),96)</f>
        <v>96</v>
      </c>
      <c r="R180" s="1">
        <f ca="1">IFERROR(__xludf.DUMMYFUNCTION("""COMPUTED_VALUE"""),103.1)</f>
        <v>103.1</v>
      </c>
      <c r="S180" s="1">
        <f ca="1">IFERROR(__xludf.DUMMYFUNCTION("""COMPUTED_VALUE"""),167)</f>
        <v>167</v>
      </c>
      <c r="T180" s="1" t="str">
        <f ca="1">IFERROR(__xludf.DUMMYFUNCTION("""COMPUTED_VALUE"""),"+7.11")</f>
        <v>+7.11</v>
      </c>
      <c r="U180" s="1">
        <f ca="1">IFERROR(__xludf.DUMMYFUNCTION("""COMPUTED_VALUE"""),27)</f>
        <v>27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IFERROR(__xludf.DUMMYFUNCTION("""COMPUTED_VALUE"""),"Northwestern St.")</f>
        <v>Northwestern St.</v>
      </c>
      <c r="C181" s="1" t="str">
        <f ca="1">IFERROR(__xludf.DUMMYFUNCTION("""COMPUTED_VALUE"""),"Slnd")</f>
        <v>Slnd</v>
      </c>
      <c r="D181" s="1" t="str">
        <f ca="1">IFERROR(__xludf.DUMMYFUNCTION("""COMPUTED_VALUE"""),"21-12")</f>
        <v>21-12</v>
      </c>
      <c r="E181" s="1">
        <f ca="1">IFERROR(__xludf.DUMMYFUNCTION("""COMPUTED_VALUE"""),-0.36)</f>
        <v>-0.36</v>
      </c>
      <c r="F181" s="1">
        <f ca="1">IFERROR(__xludf.DUMMYFUNCTION("""COMPUTED_VALUE"""),103.7)</f>
        <v>103.7</v>
      </c>
      <c r="G181" s="1">
        <f ca="1">IFERROR(__xludf.DUMMYFUNCTION("""COMPUTED_VALUE"""),148)</f>
        <v>148</v>
      </c>
      <c r="H181" s="1">
        <f ca="1">IFERROR(__xludf.DUMMYFUNCTION("""COMPUTED_VALUE"""),104.1)</f>
        <v>104.1</v>
      </c>
      <c r="I181" s="1">
        <f ca="1">IFERROR(__xludf.DUMMYFUNCTION("""COMPUTED_VALUE"""),194)</f>
        <v>194</v>
      </c>
      <c r="J181" s="1">
        <f ca="1">IFERROR(__xludf.DUMMYFUNCTION("""COMPUTED_VALUE"""),67.9)</f>
        <v>67.900000000000006</v>
      </c>
      <c r="K181" s="1">
        <f ca="1">IFERROR(__xludf.DUMMYFUNCTION("""COMPUTED_VALUE"""),97)</f>
        <v>97</v>
      </c>
      <c r="L181" s="1" t="str">
        <f ca="1">IFERROR(__xludf.DUMMYFUNCTION("""COMPUTED_VALUE"""),"+.074")</f>
        <v>+.074</v>
      </c>
      <c r="M181" s="1">
        <f ca="1">IFERROR(__xludf.DUMMYFUNCTION("""COMPUTED_VALUE"""),28)</f>
        <v>28</v>
      </c>
      <c r="N181" s="1">
        <f ca="1">IFERROR(__xludf.DUMMYFUNCTION("""COMPUTED_VALUE"""),-2.85)</f>
        <v>-2.85</v>
      </c>
      <c r="O181" s="1">
        <f ca="1">IFERROR(__xludf.DUMMYFUNCTION("""COMPUTED_VALUE"""),209)</f>
        <v>209</v>
      </c>
      <c r="P181" s="1">
        <f ca="1">IFERROR(__xludf.DUMMYFUNCTION("""COMPUTED_VALUE"""),101.1)</f>
        <v>101.1</v>
      </c>
      <c r="Q181" s="1">
        <f ca="1">IFERROR(__xludf.DUMMYFUNCTION("""COMPUTED_VALUE"""),222)</f>
        <v>222</v>
      </c>
      <c r="R181" s="1">
        <f ca="1">IFERROR(__xludf.DUMMYFUNCTION("""COMPUTED_VALUE"""),104)</f>
        <v>104</v>
      </c>
      <c r="S181" s="1">
        <f ca="1">IFERROR(__xludf.DUMMYFUNCTION("""COMPUTED_VALUE"""),209)</f>
        <v>209</v>
      </c>
      <c r="T181" s="1" t="str">
        <f ca="1">IFERROR(__xludf.DUMMYFUNCTION("""COMPUTED_VALUE"""),"+10.64")</f>
        <v>+10.64</v>
      </c>
      <c r="U181" s="1">
        <f ca="1">IFERROR(__xludf.DUMMYFUNCTION("""COMPUTED_VALUE"""),12)</f>
        <v>12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IFERROR(__xludf.DUMMYFUNCTION("""COMPUTED_VALUE"""),"Wright St.")</f>
        <v>Wright St.</v>
      </c>
      <c r="C182" s="1" t="str">
        <f ca="1">IFERROR(__xludf.DUMMYFUNCTION("""COMPUTED_VALUE"""),"Horz")</f>
        <v>Horz</v>
      </c>
      <c r="D182" s="1" t="str">
        <f ca="1">IFERROR(__xludf.DUMMYFUNCTION("""COMPUTED_VALUE"""),"15-15")</f>
        <v>15-15</v>
      </c>
      <c r="E182" s="1">
        <f ca="1">IFERROR(__xludf.DUMMYFUNCTION("""COMPUTED_VALUE"""),-0.52)</f>
        <v>-0.52</v>
      </c>
      <c r="F182" s="1">
        <f ca="1">IFERROR(__xludf.DUMMYFUNCTION("""COMPUTED_VALUE"""),104.6)</f>
        <v>104.6</v>
      </c>
      <c r="G182" s="1">
        <f ca="1">IFERROR(__xludf.DUMMYFUNCTION("""COMPUTED_VALUE"""),135)</f>
        <v>135</v>
      </c>
      <c r="H182" s="1">
        <f ca="1">IFERROR(__xludf.DUMMYFUNCTION("""COMPUTED_VALUE"""),105.1)</f>
        <v>105.1</v>
      </c>
      <c r="I182" s="1">
        <f ca="1">IFERROR(__xludf.DUMMYFUNCTION("""COMPUTED_VALUE"""),218)</f>
        <v>218</v>
      </c>
      <c r="J182" s="1">
        <f ca="1">IFERROR(__xludf.DUMMYFUNCTION("""COMPUTED_VALUE"""),61.1)</f>
        <v>61.1</v>
      </c>
      <c r="K182" s="1">
        <f ca="1">IFERROR(__xludf.DUMMYFUNCTION("""COMPUTED_VALUE"""),310)</f>
        <v>310</v>
      </c>
      <c r="L182" s="1" t="str">
        <f ca="1">IFERROR(__xludf.DUMMYFUNCTION("""COMPUTED_VALUE"""),"+.023")</f>
        <v>+.023</v>
      </c>
      <c r="M182" s="1">
        <f ca="1">IFERROR(__xludf.DUMMYFUNCTION("""COMPUTED_VALUE"""),109)</f>
        <v>109</v>
      </c>
      <c r="N182" s="1" t="str">
        <f ca="1">IFERROR(__xludf.DUMMYFUNCTION("""COMPUTED_VALUE"""),"+0.59")</f>
        <v>+0.59</v>
      </c>
      <c r="O182" s="1">
        <f ca="1">IFERROR(__xludf.DUMMYFUNCTION("""COMPUTED_VALUE"""),147)</f>
        <v>147</v>
      </c>
      <c r="P182" s="1">
        <f ca="1">IFERROR(__xludf.DUMMYFUNCTION("""COMPUTED_VALUE"""),103.8)</f>
        <v>103.8</v>
      </c>
      <c r="Q182" s="1">
        <f ca="1">IFERROR(__xludf.DUMMYFUNCTION("""COMPUTED_VALUE"""),142)</f>
        <v>142</v>
      </c>
      <c r="R182" s="1">
        <f ca="1">IFERROR(__xludf.DUMMYFUNCTION("""COMPUTED_VALUE"""),103.2)</f>
        <v>103.2</v>
      </c>
      <c r="S182" s="1">
        <f ca="1">IFERROR(__xludf.DUMMYFUNCTION("""COMPUTED_VALUE"""),172)</f>
        <v>172</v>
      </c>
      <c r="T182" s="1" t="str">
        <f ca="1">IFERROR(__xludf.DUMMYFUNCTION("""COMPUTED_VALUE"""),"+2.87")</f>
        <v>+2.87</v>
      </c>
      <c r="U182" s="1">
        <f ca="1">IFERROR(__xludf.DUMMYFUNCTION("""COMPUTED_VALUE"""),89)</f>
        <v>89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IFERROR(__xludf.DUMMYFUNCTION("""COMPUTED_VALUE"""),"Georgia Southern")</f>
        <v>Georgia Southern</v>
      </c>
      <c r="C183" s="1" t="str">
        <f ca="1">IFERROR(__xludf.DUMMYFUNCTION("""COMPUTED_VALUE"""),"SC")</f>
        <v>SC</v>
      </c>
      <c r="D183" s="1" t="str">
        <f ca="1">IFERROR(__xludf.DUMMYFUNCTION("""COMPUTED_VALUE"""),"18-13")</f>
        <v>18-13</v>
      </c>
      <c r="E183" s="1">
        <f ca="1">IFERROR(__xludf.DUMMYFUNCTION("""COMPUTED_VALUE"""),-0.55)</f>
        <v>-0.55000000000000004</v>
      </c>
      <c r="F183" s="1">
        <f ca="1">IFERROR(__xludf.DUMMYFUNCTION("""COMPUTED_VALUE"""),100.9)</f>
        <v>100.9</v>
      </c>
      <c r="G183" s="1">
        <f ca="1">IFERROR(__xludf.DUMMYFUNCTION("""COMPUTED_VALUE"""),205)</f>
        <v>205</v>
      </c>
      <c r="H183" s="1">
        <f ca="1">IFERROR(__xludf.DUMMYFUNCTION("""COMPUTED_VALUE"""),101.4)</f>
        <v>101.4</v>
      </c>
      <c r="I183" s="1">
        <f ca="1">IFERROR(__xludf.DUMMYFUNCTION("""COMPUTED_VALUE"""),136)</f>
        <v>136</v>
      </c>
      <c r="J183" s="1">
        <f ca="1">IFERROR(__xludf.DUMMYFUNCTION("""COMPUTED_VALUE"""),75.3)</f>
        <v>75.3</v>
      </c>
      <c r="K183" s="1">
        <f ca="1">IFERROR(__xludf.DUMMYFUNCTION("""COMPUTED_VALUE"""),1)</f>
        <v>1</v>
      </c>
      <c r="L183" s="1">
        <f ca="1">IFERROR(__xludf.DUMMYFUNCTION("""COMPUTED_VALUE"""),-0.052)</f>
        <v>-5.1999999999999998E-2</v>
      </c>
      <c r="M183" s="1">
        <f ca="1">IFERROR(__xludf.DUMMYFUNCTION("""COMPUTED_VALUE"""),282)</f>
        <v>282</v>
      </c>
      <c r="N183" s="1">
        <f ca="1">IFERROR(__xludf.DUMMYFUNCTION("""COMPUTED_VALUE"""),-4.83)</f>
        <v>-4.83</v>
      </c>
      <c r="O183" s="1">
        <f ca="1">IFERROR(__xludf.DUMMYFUNCTION("""COMPUTED_VALUE"""),259)</f>
        <v>259</v>
      </c>
      <c r="P183" s="1">
        <f ca="1">IFERROR(__xludf.DUMMYFUNCTION("""COMPUTED_VALUE"""),99.7)</f>
        <v>99.7</v>
      </c>
      <c r="Q183" s="1">
        <f ca="1">IFERROR(__xludf.DUMMYFUNCTION("""COMPUTED_VALUE"""),257)</f>
        <v>257</v>
      </c>
      <c r="R183" s="1">
        <f ca="1">IFERROR(__xludf.DUMMYFUNCTION("""COMPUTED_VALUE"""),104.5)</f>
        <v>104.5</v>
      </c>
      <c r="S183" s="1">
        <f ca="1">IFERROR(__xludf.DUMMYFUNCTION("""COMPUTED_VALUE"""),225)</f>
        <v>225</v>
      </c>
      <c r="T183" s="1" t="str">
        <f ca="1">IFERROR(__xludf.DUMMYFUNCTION("""COMPUTED_VALUE"""),"+0.81")</f>
        <v>+0.81</v>
      </c>
      <c r="U183" s="1">
        <f ca="1">IFERROR(__xludf.DUMMYFUNCTION("""COMPUTED_VALUE"""),138)</f>
        <v>138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IFERROR(__xludf.DUMMYFUNCTION("""COMPUTED_VALUE"""),"Lamar")</f>
        <v>Lamar</v>
      </c>
      <c r="C184" s="1" t="str">
        <f ca="1">IFERROR(__xludf.DUMMYFUNCTION("""COMPUTED_VALUE"""),"Slnd")</f>
        <v>Slnd</v>
      </c>
      <c r="D184" s="1" t="str">
        <f ca="1">IFERROR(__xludf.DUMMYFUNCTION("""COMPUTED_VALUE"""),"18-11")</f>
        <v>18-11</v>
      </c>
      <c r="E184" s="1">
        <f ca="1">IFERROR(__xludf.DUMMYFUNCTION("""COMPUTED_VALUE"""),-0.7)</f>
        <v>-0.7</v>
      </c>
      <c r="F184" s="1">
        <f ca="1">IFERROR(__xludf.DUMMYFUNCTION("""COMPUTED_VALUE"""),102.5)</f>
        <v>102.5</v>
      </c>
      <c r="G184" s="1">
        <f ca="1">IFERROR(__xludf.DUMMYFUNCTION("""COMPUTED_VALUE"""),170)</f>
        <v>170</v>
      </c>
      <c r="H184" s="1">
        <f ca="1">IFERROR(__xludf.DUMMYFUNCTION("""COMPUTED_VALUE"""),103.2)</f>
        <v>103.2</v>
      </c>
      <c r="I184" s="1">
        <f ca="1">IFERROR(__xludf.DUMMYFUNCTION("""COMPUTED_VALUE"""),177)</f>
        <v>177</v>
      </c>
      <c r="J184" s="1">
        <f ca="1">IFERROR(__xludf.DUMMYFUNCTION("""COMPUTED_VALUE"""),73.8)</f>
        <v>73.8</v>
      </c>
      <c r="K184" s="1">
        <f ca="1">IFERROR(__xludf.DUMMYFUNCTION("""COMPUTED_VALUE"""),4)</f>
        <v>4</v>
      </c>
      <c r="L184" s="1">
        <f ca="1">IFERROR(__xludf.DUMMYFUNCTION("""COMPUTED_VALUE"""),-0.021)</f>
        <v>-2.1000000000000001E-2</v>
      </c>
      <c r="M184" s="1">
        <f ca="1">IFERROR(__xludf.DUMMYFUNCTION("""COMPUTED_VALUE"""),218)</f>
        <v>218</v>
      </c>
      <c r="N184" s="1">
        <f ca="1">IFERROR(__xludf.DUMMYFUNCTION("""COMPUTED_VALUE"""),-3.89)</f>
        <v>-3.89</v>
      </c>
      <c r="O184" s="1">
        <f ca="1">IFERROR(__xludf.DUMMYFUNCTION("""COMPUTED_VALUE"""),241)</f>
        <v>241</v>
      </c>
      <c r="P184" s="1">
        <f ca="1">IFERROR(__xludf.DUMMYFUNCTION("""COMPUTED_VALUE"""),100.5)</f>
        <v>100.5</v>
      </c>
      <c r="Q184" s="1">
        <f ca="1">IFERROR(__xludf.DUMMYFUNCTION("""COMPUTED_VALUE"""),234)</f>
        <v>234</v>
      </c>
      <c r="R184" s="1">
        <f ca="1">IFERROR(__xludf.DUMMYFUNCTION("""COMPUTED_VALUE"""),104.4)</f>
        <v>104.4</v>
      </c>
      <c r="S184" s="1">
        <f ca="1">IFERROR(__xludf.DUMMYFUNCTION("""COMPUTED_VALUE"""),223)</f>
        <v>223</v>
      </c>
      <c r="T184" s="1">
        <f ca="1">IFERROR(__xludf.DUMMYFUNCTION("""COMPUTED_VALUE"""),-0.19)</f>
        <v>-0.19</v>
      </c>
      <c r="U184" s="1">
        <f ca="1">IFERROR(__xludf.DUMMYFUNCTION("""COMPUTED_VALUE"""),167)</f>
        <v>167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IFERROR(__xludf.DUMMYFUNCTION("""COMPUTED_VALUE"""),"Fairfield")</f>
        <v>Fairfield</v>
      </c>
      <c r="C185" s="1" t="str">
        <f ca="1">IFERROR(__xludf.DUMMYFUNCTION("""COMPUTED_VALUE"""),"MAAC")</f>
        <v>MAAC</v>
      </c>
      <c r="D185" s="1" t="str">
        <f ca="1">IFERROR(__xludf.DUMMYFUNCTION("""COMPUTED_VALUE"""),"15-15")</f>
        <v>15-15</v>
      </c>
      <c r="E185" s="1">
        <f ca="1">IFERROR(__xludf.DUMMYFUNCTION("""COMPUTED_VALUE"""),-0.71)</f>
        <v>-0.71</v>
      </c>
      <c r="F185" s="1">
        <f ca="1">IFERROR(__xludf.DUMMYFUNCTION("""COMPUTED_VALUE"""),102.3)</f>
        <v>102.3</v>
      </c>
      <c r="G185" s="1">
        <f ca="1">IFERROR(__xludf.DUMMYFUNCTION("""COMPUTED_VALUE"""),174)</f>
        <v>174</v>
      </c>
      <c r="H185" s="1">
        <f ca="1">IFERROR(__xludf.DUMMYFUNCTION("""COMPUTED_VALUE"""),103)</f>
        <v>103</v>
      </c>
      <c r="I185" s="1">
        <f ca="1">IFERROR(__xludf.DUMMYFUNCTION("""COMPUTED_VALUE"""),172)</f>
        <v>172</v>
      </c>
      <c r="J185" s="1">
        <f ca="1">IFERROR(__xludf.DUMMYFUNCTION("""COMPUTED_VALUE"""),63.2)</f>
        <v>63.2</v>
      </c>
      <c r="K185" s="1">
        <f ca="1">IFERROR(__xludf.DUMMYFUNCTION("""COMPUTED_VALUE"""),280)</f>
        <v>280</v>
      </c>
      <c r="L185" s="1">
        <f ca="1">IFERROR(__xludf.DUMMYFUNCTION("""COMPUTED_VALUE"""),-0.038)</f>
        <v>-3.7999999999999999E-2</v>
      </c>
      <c r="M185" s="1">
        <f ca="1">IFERROR(__xludf.DUMMYFUNCTION("""COMPUTED_VALUE"""),261)</f>
        <v>261</v>
      </c>
      <c r="N185" s="1">
        <f ca="1">IFERROR(__xludf.DUMMYFUNCTION("""COMPUTED_VALUE"""),-2.84)</f>
        <v>-2.84</v>
      </c>
      <c r="O185" s="1">
        <f ca="1">IFERROR(__xludf.DUMMYFUNCTION("""COMPUTED_VALUE"""),208)</f>
        <v>208</v>
      </c>
      <c r="P185" s="1">
        <f ca="1">IFERROR(__xludf.DUMMYFUNCTION("""COMPUTED_VALUE"""),101.6)</f>
        <v>101.6</v>
      </c>
      <c r="Q185" s="1">
        <f ca="1">IFERROR(__xludf.DUMMYFUNCTION("""COMPUTED_VALUE"""),203)</f>
        <v>203</v>
      </c>
      <c r="R185" s="1">
        <f ca="1">IFERROR(__xludf.DUMMYFUNCTION("""COMPUTED_VALUE"""),104.4)</f>
        <v>104.4</v>
      </c>
      <c r="S185" s="1">
        <f ca="1">IFERROR(__xludf.DUMMYFUNCTION("""COMPUTED_VALUE"""),224)</f>
        <v>224</v>
      </c>
      <c r="T185" s="1" t="str">
        <f ca="1">IFERROR(__xludf.DUMMYFUNCTION("""COMPUTED_VALUE"""),"+2.19")</f>
        <v>+2.19</v>
      </c>
      <c r="U185" s="1">
        <f ca="1">IFERROR(__xludf.DUMMYFUNCTION("""COMPUTED_VALUE"""),103)</f>
        <v>103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IFERROR(__xludf.DUMMYFUNCTION("""COMPUTED_VALUE"""),"Green Bay")</f>
        <v>Green Bay</v>
      </c>
      <c r="C186" s="1" t="str">
        <f ca="1">IFERROR(__xludf.DUMMYFUNCTION("""COMPUTED_VALUE"""),"Horz")</f>
        <v>Horz</v>
      </c>
      <c r="D186" s="1" t="str">
        <f ca="1">IFERROR(__xludf.DUMMYFUNCTION("""COMPUTED_VALUE"""),"17-11")</f>
        <v>17-11</v>
      </c>
      <c r="E186" s="1">
        <f ca="1">IFERROR(__xludf.DUMMYFUNCTION("""COMPUTED_VALUE"""),-0.87)</f>
        <v>-0.87</v>
      </c>
      <c r="F186" s="1">
        <f ca="1">IFERROR(__xludf.DUMMYFUNCTION("""COMPUTED_VALUE"""),104.3)</f>
        <v>104.3</v>
      </c>
      <c r="G186" s="1">
        <f ca="1">IFERROR(__xludf.DUMMYFUNCTION("""COMPUTED_VALUE"""),139)</f>
        <v>139</v>
      </c>
      <c r="H186" s="1">
        <f ca="1">IFERROR(__xludf.DUMMYFUNCTION("""COMPUTED_VALUE"""),105.2)</f>
        <v>105.2</v>
      </c>
      <c r="I186" s="1">
        <f ca="1">IFERROR(__xludf.DUMMYFUNCTION("""COMPUTED_VALUE"""),219)</f>
        <v>219</v>
      </c>
      <c r="J186" s="1">
        <f ca="1">IFERROR(__xludf.DUMMYFUNCTION("""COMPUTED_VALUE"""),65.9)</f>
        <v>65.900000000000006</v>
      </c>
      <c r="K186" s="1">
        <f ca="1">IFERROR(__xludf.DUMMYFUNCTION("""COMPUTED_VALUE"""),174)</f>
        <v>174</v>
      </c>
      <c r="L186" s="1" t="str">
        <f ca="1">IFERROR(__xludf.DUMMYFUNCTION("""COMPUTED_VALUE"""),"+.132")</f>
        <v>+.132</v>
      </c>
      <c r="M186" s="1">
        <f ca="1">IFERROR(__xludf.DUMMYFUNCTION("""COMPUTED_VALUE"""),3)</f>
        <v>3</v>
      </c>
      <c r="N186" s="1">
        <f ca="1">IFERROR(__xludf.DUMMYFUNCTION("""COMPUTED_VALUE"""),-0.13)</f>
        <v>-0.13</v>
      </c>
      <c r="O186" s="1">
        <f ca="1">IFERROR(__xludf.DUMMYFUNCTION("""COMPUTED_VALUE"""),155)</f>
        <v>155</v>
      </c>
      <c r="P186" s="1">
        <f ca="1">IFERROR(__xludf.DUMMYFUNCTION("""COMPUTED_VALUE"""),103.6)</f>
        <v>103.6</v>
      </c>
      <c r="Q186" s="1">
        <f ca="1">IFERROR(__xludf.DUMMYFUNCTION("""COMPUTED_VALUE"""),146)</f>
        <v>146</v>
      </c>
      <c r="R186" s="1">
        <f ca="1">IFERROR(__xludf.DUMMYFUNCTION("""COMPUTED_VALUE"""),103.7)</f>
        <v>103.7</v>
      </c>
      <c r="S186" s="1">
        <f ca="1">IFERROR(__xludf.DUMMYFUNCTION("""COMPUTED_VALUE"""),196)</f>
        <v>196</v>
      </c>
      <c r="T186" s="1" t="str">
        <f ca="1">IFERROR(__xludf.DUMMYFUNCTION("""COMPUTED_VALUE"""),"+0.53")</f>
        <v>+0.53</v>
      </c>
      <c r="U186" s="1">
        <f ca="1">IFERROR(__xludf.DUMMYFUNCTION("""COMPUTED_VALUE"""),148)</f>
        <v>148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IFERROR(__xludf.DUMMYFUNCTION("""COMPUTED_VALUE"""),"Tulsa")</f>
        <v>Tulsa</v>
      </c>
      <c r="C187" s="1" t="str">
        <f ca="1">IFERROR(__xludf.DUMMYFUNCTION("""COMPUTED_VALUE"""),"WAC")</f>
        <v>WAC</v>
      </c>
      <c r="D187" s="2">
        <f ca="1">IFERROR(__xludf.DUMMYFUNCTION("""COMPUTED_VALUE"""),44824)</f>
        <v>44824</v>
      </c>
      <c r="E187" s="1">
        <f ca="1">IFERROR(__xludf.DUMMYFUNCTION("""COMPUTED_VALUE"""),-1.1)</f>
        <v>-1.1000000000000001</v>
      </c>
      <c r="F187" s="1">
        <f ca="1">IFERROR(__xludf.DUMMYFUNCTION("""COMPUTED_VALUE"""),99.5)</f>
        <v>99.5</v>
      </c>
      <c r="G187" s="1">
        <f ca="1">IFERROR(__xludf.DUMMYFUNCTION("""COMPUTED_VALUE"""),222)</f>
        <v>222</v>
      </c>
      <c r="H187" s="1">
        <f ca="1">IFERROR(__xludf.DUMMYFUNCTION("""COMPUTED_VALUE"""),100.6)</f>
        <v>100.6</v>
      </c>
      <c r="I187" s="1">
        <f ca="1">IFERROR(__xludf.DUMMYFUNCTION("""COMPUTED_VALUE"""),119)</f>
        <v>119</v>
      </c>
      <c r="J187" s="1">
        <f ca="1">IFERROR(__xludf.DUMMYFUNCTION("""COMPUTED_VALUE"""),69.5)</f>
        <v>69.5</v>
      </c>
      <c r="K187" s="1">
        <f ca="1">IFERROR(__xludf.DUMMYFUNCTION("""COMPUTED_VALUE"""),47)</f>
        <v>47</v>
      </c>
      <c r="L187" s="1">
        <f ca="1">IFERROR(__xludf.DUMMYFUNCTION("""COMPUTED_VALUE"""),-0.17)</f>
        <v>-0.17</v>
      </c>
      <c r="M187" s="1">
        <f ca="1">IFERROR(__xludf.DUMMYFUNCTION("""COMPUTED_VALUE"""),330)</f>
        <v>330</v>
      </c>
      <c r="N187" s="1" t="str">
        <f ca="1">IFERROR(__xludf.DUMMYFUNCTION("""COMPUTED_VALUE"""),"+0.18")</f>
        <v>+0.18</v>
      </c>
      <c r="O187" s="1">
        <f ca="1">IFERROR(__xludf.DUMMYFUNCTION("""COMPUTED_VALUE"""),152)</f>
        <v>152</v>
      </c>
      <c r="P187" s="1">
        <f ca="1">IFERROR(__xludf.DUMMYFUNCTION("""COMPUTED_VALUE"""),103.2)</f>
        <v>103.2</v>
      </c>
      <c r="Q187" s="1">
        <f ca="1">IFERROR(__xludf.DUMMYFUNCTION("""COMPUTED_VALUE"""),155)</f>
        <v>155</v>
      </c>
      <c r="R187" s="1">
        <f ca="1">IFERROR(__xludf.DUMMYFUNCTION("""COMPUTED_VALUE"""),103)</f>
        <v>103</v>
      </c>
      <c r="S187" s="1">
        <f ca="1">IFERROR(__xludf.DUMMYFUNCTION("""COMPUTED_VALUE"""),155)</f>
        <v>155</v>
      </c>
      <c r="T187" s="1">
        <f ca="1">IFERROR(__xludf.DUMMYFUNCTION("""COMPUTED_VALUE"""),-2.13)</f>
        <v>-2.13</v>
      </c>
      <c r="U187" s="1">
        <f ca="1">IFERROR(__xludf.DUMMYFUNCTION("""COMPUTED_VALUE"""),220)</f>
        <v>220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IFERROR(__xludf.DUMMYFUNCTION("""COMPUTED_VALUE"""),"Oakland16")</f>
        <v>Oakland16</v>
      </c>
      <c r="C188" s="1" t="str">
        <f ca="1">IFERROR(__xludf.DUMMYFUNCTION("""COMPUTED_VALUE"""),"MCon")</f>
        <v>MCon</v>
      </c>
      <c r="D188" s="1" t="str">
        <f ca="1">IFERROR(__xludf.DUMMYFUNCTION("""COMPUTED_VALUE"""),"13-19")</f>
        <v>13-19</v>
      </c>
      <c r="E188" s="1">
        <f ca="1">IFERROR(__xludf.DUMMYFUNCTION("""COMPUTED_VALUE"""),-1.2)</f>
        <v>-1.2</v>
      </c>
      <c r="F188" s="1">
        <f ca="1">IFERROR(__xludf.DUMMYFUNCTION("""COMPUTED_VALUE"""),108.1)</f>
        <v>108.1</v>
      </c>
      <c r="G188" s="1">
        <f ca="1">IFERROR(__xludf.DUMMYFUNCTION("""COMPUTED_VALUE"""),75)</f>
        <v>75</v>
      </c>
      <c r="H188" s="1">
        <f ca="1">IFERROR(__xludf.DUMMYFUNCTION("""COMPUTED_VALUE"""),109.3)</f>
        <v>109.3</v>
      </c>
      <c r="I188" s="1">
        <f ca="1">IFERROR(__xludf.DUMMYFUNCTION("""COMPUTED_VALUE"""),282)</f>
        <v>282</v>
      </c>
      <c r="J188" s="1">
        <f ca="1">IFERROR(__xludf.DUMMYFUNCTION("""COMPUTED_VALUE"""),65.2)</f>
        <v>65.2</v>
      </c>
      <c r="K188" s="1">
        <f ca="1">IFERROR(__xludf.DUMMYFUNCTION("""COMPUTED_VALUE"""),208)</f>
        <v>208</v>
      </c>
      <c r="L188" s="1">
        <f ca="1">IFERROR(__xludf.DUMMYFUNCTION("""COMPUTED_VALUE"""),-0.022)</f>
        <v>-2.1999999999999999E-2</v>
      </c>
      <c r="M188" s="1">
        <f ca="1">IFERROR(__xludf.DUMMYFUNCTION("""COMPUTED_VALUE"""),222)</f>
        <v>222</v>
      </c>
      <c r="N188" s="1" t="str">
        <f ca="1">IFERROR(__xludf.DUMMYFUNCTION("""COMPUTED_VALUE"""),"+1.99")</f>
        <v>+1.99</v>
      </c>
      <c r="O188" s="1">
        <f ca="1">IFERROR(__xludf.DUMMYFUNCTION("""COMPUTED_VALUE"""),124)</f>
        <v>124</v>
      </c>
      <c r="P188" s="1">
        <f ca="1">IFERROR(__xludf.DUMMYFUNCTION("""COMPUTED_VALUE"""),105.2)</f>
        <v>105.2</v>
      </c>
      <c r="Q188" s="1">
        <f ca="1">IFERROR(__xludf.DUMMYFUNCTION("""COMPUTED_VALUE"""),99)</f>
        <v>99</v>
      </c>
      <c r="R188" s="1">
        <f ca="1">IFERROR(__xludf.DUMMYFUNCTION("""COMPUTED_VALUE"""),103.2)</f>
        <v>103.2</v>
      </c>
      <c r="S188" s="1">
        <f ca="1">IFERROR(__xludf.DUMMYFUNCTION("""COMPUTED_VALUE"""),170)</f>
        <v>170</v>
      </c>
      <c r="T188" s="1" t="str">
        <f ca="1">IFERROR(__xludf.DUMMYFUNCTION("""COMPUTED_VALUE"""),"+14.37")</f>
        <v>+14.37</v>
      </c>
      <c r="U188" s="1">
        <f ca="1">IFERROR(__xludf.DUMMYFUNCTION("""COMPUTED_VALUE"""),3)</f>
        <v>3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IFERROR(__xludf.DUMMYFUNCTION("""COMPUTED_VALUE"""),"Saint Peter's")</f>
        <v>Saint Peter's</v>
      </c>
      <c r="C189" s="1" t="str">
        <f ca="1">IFERROR(__xludf.DUMMYFUNCTION("""COMPUTED_VALUE"""),"MAAC")</f>
        <v>MAAC</v>
      </c>
      <c r="D189" s="1" t="str">
        <f ca="1">IFERROR(__xludf.DUMMYFUNCTION("""COMPUTED_VALUE"""),"15-13")</f>
        <v>15-13</v>
      </c>
      <c r="E189" s="1">
        <f ca="1">IFERROR(__xludf.DUMMYFUNCTION("""COMPUTED_VALUE"""),-1.32)</f>
        <v>-1.32</v>
      </c>
      <c r="F189" s="1">
        <f ca="1">IFERROR(__xludf.DUMMYFUNCTION("""COMPUTED_VALUE"""),104.2)</f>
        <v>104.2</v>
      </c>
      <c r="G189" s="1">
        <f ca="1">IFERROR(__xludf.DUMMYFUNCTION("""COMPUTED_VALUE"""),140)</f>
        <v>140</v>
      </c>
      <c r="H189" s="1">
        <f ca="1">IFERROR(__xludf.DUMMYFUNCTION("""COMPUTED_VALUE"""),105.6)</f>
        <v>105.6</v>
      </c>
      <c r="I189" s="1">
        <f ca="1">IFERROR(__xludf.DUMMYFUNCTION("""COMPUTED_VALUE"""),227)</f>
        <v>227</v>
      </c>
      <c r="J189" s="1">
        <f ca="1">IFERROR(__xludf.DUMMYFUNCTION("""COMPUTED_VALUE"""),72.8)</f>
        <v>72.8</v>
      </c>
      <c r="K189" s="1">
        <f ca="1">IFERROR(__xludf.DUMMYFUNCTION("""COMPUTED_VALUE"""),11)</f>
        <v>11</v>
      </c>
      <c r="L189" s="1">
        <f ca="1">IFERROR(__xludf.DUMMYFUNCTION("""COMPUTED_VALUE"""),-0.014)</f>
        <v>-1.4E-2</v>
      </c>
      <c r="M189" s="1">
        <f ca="1">IFERROR(__xludf.DUMMYFUNCTION("""COMPUTED_VALUE"""),200)</f>
        <v>200</v>
      </c>
      <c r="N189" s="1">
        <f ca="1">IFERROR(__xludf.DUMMYFUNCTION("""COMPUTED_VALUE"""),-3.65)</f>
        <v>-3.65</v>
      </c>
      <c r="O189" s="1">
        <f ca="1">IFERROR(__xludf.DUMMYFUNCTION("""COMPUTED_VALUE"""),233)</f>
        <v>233</v>
      </c>
      <c r="P189" s="1">
        <f ca="1">IFERROR(__xludf.DUMMYFUNCTION("""COMPUTED_VALUE"""),101.4)</f>
        <v>101.4</v>
      </c>
      <c r="Q189" s="1">
        <f ca="1">IFERROR(__xludf.DUMMYFUNCTION("""COMPUTED_VALUE"""),211)</f>
        <v>211</v>
      </c>
      <c r="R189" s="1">
        <f ca="1">IFERROR(__xludf.DUMMYFUNCTION("""COMPUTED_VALUE"""),105)</f>
        <v>105</v>
      </c>
      <c r="S189" s="1">
        <f ca="1">IFERROR(__xludf.DUMMYFUNCTION("""COMPUTED_VALUE"""),249)</f>
        <v>249</v>
      </c>
      <c r="T189" s="1" t="str">
        <f ca="1">IFERROR(__xludf.DUMMYFUNCTION("""COMPUTED_VALUE"""),"+0.23")</f>
        <v>+0.23</v>
      </c>
      <c r="U189" s="1">
        <f ca="1">IFERROR(__xludf.DUMMYFUNCTION("""COMPUTED_VALUE"""),159)</f>
        <v>159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IFERROR(__xludf.DUMMYFUNCTION("""COMPUTED_VALUE"""),"Massachusetts")</f>
        <v>Massachusetts</v>
      </c>
      <c r="C190" s="1" t="str">
        <f ca="1">IFERROR(__xludf.DUMMYFUNCTION("""COMPUTED_VALUE"""),"A10")</f>
        <v>A10</v>
      </c>
      <c r="D190" s="1" t="str">
        <f ca="1">IFERROR(__xludf.DUMMYFUNCTION("""COMPUTED_VALUE"""),"16-12")</f>
        <v>16-12</v>
      </c>
      <c r="E190" s="1">
        <f ca="1">IFERROR(__xludf.DUMMYFUNCTION("""COMPUTED_VALUE"""),-1.56)</f>
        <v>-1.56</v>
      </c>
      <c r="F190" s="1">
        <f ca="1">IFERROR(__xludf.DUMMYFUNCTION("""COMPUTED_VALUE"""),99)</f>
        <v>99</v>
      </c>
      <c r="G190" s="1">
        <f ca="1">IFERROR(__xludf.DUMMYFUNCTION("""COMPUTED_VALUE"""),227)</f>
        <v>227</v>
      </c>
      <c r="H190" s="1">
        <f ca="1">IFERROR(__xludf.DUMMYFUNCTION("""COMPUTED_VALUE"""),100.6)</f>
        <v>100.6</v>
      </c>
      <c r="I190" s="1">
        <f ca="1">IFERROR(__xludf.DUMMYFUNCTION("""COMPUTED_VALUE"""),120)</f>
        <v>120</v>
      </c>
      <c r="J190" s="1">
        <f ca="1">IFERROR(__xludf.DUMMYFUNCTION("""COMPUTED_VALUE"""),63.6)</f>
        <v>63.6</v>
      </c>
      <c r="K190" s="1">
        <f ca="1">IFERROR(__xludf.DUMMYFUNCTION("""COMPUTED_VALUE"""),266)</f>
        <v>266</v>
      </c>
      <c r="L190" s="1" t="str">
        <f ca="1">IFERROR(__xludf.DUMMYFUNCTION("""COMPUTED_VALUE"""),"+.136")</f>
        <v>+.136</v>
      </c>
      <c r="M190" s="1">
        <f ca="1">IFERROR(__xludf.DUMMYFUNCTION("""COMPUTED_VALUE"""),2)</f>
        <v>2</v>
      </c>
      <c r="N190" s="1" t="str">
        <f ca="1">IFERROR(__xludf.DUMMYFUNCTION("""COMPUTED_VALUE"""),"+0.09")</f>
        <v>+0.09</v>
      </c>
      <c r="O190" s="1">
        <f ca="1">IFERROR(__xludf.DUMMYFUNCTION("""COMPUTED_VALUE"""),153)</f>
        <v>153</v>
      </c>
      <c r="P190" s="1">
        <f ca="1">IFERROR(__xludf.DUMMYFUNCTION("""COMPUTED_VALUE"""),103.2)</f>
        <v>103.2</v>
      </c>
      <c r="Q190" s="1">
        <f ca="1">IFERROR(__xludf.DUMMYFUNCTION("""COMPUTED_VALUE"""),156)</f>
        <v>156</v>
      </c>
      <c r="R190" s="1">
        <f ca="1">IFERROR(__xludf.DUMMYFUNCTION("""COMPUTED_VALUE"""),103.1)</f>
        <v>103.1</v>
      </c>
      <c r="S190" s="1">
        <f ca="1">IFERROR(__xludf.DUMMYFUNCTION("""COMPUTED_VALUE"""),162)</f>
        <v>162</v>
      </c>
      <c r="T190" s="1" t="str">
        <f ca="1">IFERROR(__xludf.DUMMYFUNCTION("""COMPUTED_VALUE"""),"+2.49")</f>
        <v>+2.49</v>
      </c>
      <c r="U190" s="1">
        <f ca="1">IFERROR(__xludf.DUMMYFUNCTION("""COMPUTED_VALUE"""),92)</f>
        <v>92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IFERROR(__xludf.DUMMYFUNCTION("""COMPUTED_VALUE"""),"UMKC")</f>
        <v>UMKC</v>
      </c>
      <c r="C191" s="1" t="str">
        <f ca="1">IFERROR(__xludf.DUMMYFUNCTION("""COMPUTED_VALUE"""),"MCon")</f>
        <v>MCon</v>
      </c>
      <c r="D191" s="1" t="str">
        <f ca="1">IFERROR(__xludf.DUMMYFUNCTION("""COMPUTED_VALUE"""),"16-12")</f>
        <v>16-12</v>
      </c>
      <c r="E191" s="1">
        <f ca="1">IFERROR(__xludf.DUMMYFUNCTION("""COMPUTED_VALUE"""),-1.68)</f>
        <v>-1.68</v>
      </c>
      <c r="F191" s="1">
        <f ca="1">IFERROR(__xludf.DUMMYFUNCTION("""COMPUTED_VALUE"""),106)</f>
        <v>106</v>
      </c>
      <c r="G191" s="1">
        <f ca="1">IFERROR(__xludf.DUMMYFUNCTION("""COMPUTED_VALUE"""),109)</f>
        <v>109</v>
      </c>
      <c r="H191" s="1">
        <f ca="1">IFERROR(__xludf.DUMMYFUNCTION("""COMPUTED_VALUE"""),107.7)</f>
        <v>107.7</v>
      </c>
      <c r="I191" s="1">
        <f ca="1">IFERROR(__xludf.DUMMYFUNCTION("""COMPUTED_VALUE"""),260)</f>
        <v>260</v>
      </c>
      <c r="J191" s="1">
        <f ca="1">IFERROR(__xludf.DUMMYFUNCTION("""COMPUTED_VALUE"""),66.9)</f>
        <v>66.900000000000006</v>
      </c>
      <c r="K191" s="1">
        <f ca="1">IFERROR(__xludf.DUMMYFUNCTION("""COMPUTED_VALUE"""),127)</f>
        <v>127</v>
      </c>
      <c r="L191" s="1" t="str">
        <f ca="1">IFERROR(__xludf.DUMMYFUNCTION("""COMPUTED_VALUE"""),"+.030")</f>
        <v>+.030</v>
      </c>
      <c r="M191" s="1">
        <f ca="1">IFERROR(__xludf.DUMMYFUNCTION("""COMPUTED_VALUE"""),100)</f>
        <v>100</v>
      </c>
      <c r="N191" s="1">
        <f ca="1">IFERROR(__xludf.DUMMYFUNCTION("""COMPUTED_VALUE"""),-2.87)</f>
        <v>-2.87</v>
      </c>
      <c r="O191" s="1">
        <f ca="1">IFERROR(__xludf.DUMMYFUNCTION("""COMPUTED_VALUE"""),210)</f>
        <v>210</v>
      </c>
      <c r="P191" s="1">
        <f ca="1">IFERROR(__xludf.DUMMYFUNCTION("""COMPUTED_VALUE"""),103.5)</f>
        <v>103.5</v>
      </c>
      <c r="Q191" s="1">
        <f ca="1">IFERROR(__xludf.DUMMYFUNCTION("""COMPUTED_VALUE"""),151)</f>
        <v>151</v>
      </c>
      <c r="R191" s="1">
        <f ca="1">IFERROR(__xludf.DUMMYFUNCTION("""COMPUTED_VALUE"""),106.4)</f>
        <v>106.4</v>
      </c>
      <c r="S191" s="1">
        <f ca="1">IFERROR(__xludf.DUMMYFUNCTION("""COMPUTED_VALUE"""),296)</f>
        <v>296</v>
      </c>
      <c r="T191" s="1" t="str">
        <f ca="1">IFERROR(__xludf.DUMMYFUNCTION("""COMPUTED_VALUE"""),"+1.48")</f>
        <v>+1.48</v>
      </c>
      <c r="U191" s="1">
        <f ca="1">IFERROR(__xludf.DUMMYFUNCTION("""COMPUTED_VALUE"""),117)</f>
        <v>117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IFERROR(__xludf.DUMMYFUNCTION("""COMPUTED_VALUE"""),"Appalachian St.")</f>
        <v>Appalachian St.</v>
      </c>
      <c r="C192" s="1" t="str">
        <f ca="1">IFERROR(__xludf.DUMMYFUNCTION("""COMPUTED_VALUE"""),"SC")</f>
        <v>SC</v>
      </c>
      <c r="D192" s="1" t="str">
        <f ca="1">IFERROR(__xludf.DUMMYFUNCTION("""COMPUTED_VALUE"""),"18-12")</f>
        <v>18-12</v>
      </c>
      <c r="E192" s="1">
        <f ca="1">IFERROR(__xludf.DUMMYFUNCTION("""COMPUTED_VALUE"""),-1.84)</f>
        <v>-1.84</v>
      </c>
      <c r="F192" s="1">
        <f ca="1">IFERROR(__xludf.DUMMYFUNCTION("""COMPUTED_VALUE"""),102)</f>
        <v>102</v>
      </c>
      <c r="G192" s="1">
        <f ca="1">IFERROR(__xludf.DUMMYFUNCTION("""COMPUTED_VALUE"""),183)</f>
        <v>183</v>
      </c>
      <c r="H192" s="1">
        <f ca="1">IFERROR(__xludf.DUMMYFUNCTION("""COMPUTED_VALUE"""),103.8)</f>
        <v>103.8</v>
      </c>
      <c r="I192" s="1">
        <f ca="1">IFERROR(__xludf.DUMMYFUNCTION("""COMPUTED_VALUE"""),190)</f>
        <v>190</v>
      </c>
      <c r="J192" s="1">
        <f ca="1">IFERROR(__xludf.DUMMYFUNCTION("""COMPUTED_VALUE"""),67.1)</f>
        <v>67.099999999999994</v>
      </c>
      <c r="K192" s="1">
        <f ca="1">IFERROR(__xludf.DUMMYFUNCTION("""COMPUTED_VALUE"""),119)</f>
        <v>119</v>
      </c>
      <c r="L192" s="1" t="str">
        <f ca="1">IFERROR(__xludf.DUMMYFUNCTION("""COMPUTED_VALUE"""),"+.007")</f>
        <v>+.007</v>
      </c>
      <c r="M192" s="1">
        <f ca="1">IFERROR(__xludf.DUMMYFUNCTION("""COMPUTED_VALUE"""),148)</f>
        <v>148</v>
      </c>
      <c r="N192" s="1">
        <f ca="1">IFERROR(__xludf.DUMMYFUNCTION("""COMPUTED_VALUE"""),-5.7)</f>
        <v>-5.7</v>
      </c>
      <c r="O192" s="1">
        <f ca="1">IFERROR(__xludf.DUMMYFUNCTION("""COMPUTED_VALUE"""),265)</f>
        <v>265</v>
      </c>
      <c r="P192" s="1">
        <f ca="1">IFERROR(__xludf.DUMMYFUNCTION("""COMPUTED_VALUE"""),98.6)</f>
        <v>98.6</v>
      </c>
      <c r="Q192" s="1">
        <f ca="1">IFERROR(__xludf.DUMMYFUNCTION("""COMPUTED_VALUE"""),288)</f>
        <v>288</v>
      </c>
      <c r="R192" s="1">
        <f ca="1">IFERROR(__xludf.DUMMYFUNCTION("""COMPUTED_VALUE"""),104.3)</f>
        <v>104.3</v>
      </c>
      <c r="S192" s="1">
        <f ca="1">IFERROR(__xludf.DUMMYFUNCTION("""COMPUTED_VALUE"""),221)</f>
        <v>221</v>
      </c>
      <c r="T192" s="1">
        <f ca="1">IFERROR(__xludf.DUMMYFUNCTION("""COMPUTED_VALUE"""),-1.49)</f>
        <v>-1.49</v>
      </c>
      <c r="U192" s="1">
        <f ca="1">IFERROR(__xludf.DUMMYFUNCTION("""COMPUTED_VALUE"""),204)</f>
        <v>204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IFERROR(__xludf.DUMMYFUNCTION("""COMPUTED_VALUE"""),"Austin Peay")</f>
        <v>Austin Peay</v>
      </c>
      <c r="C193" s="1" t="str">
        <f ca="1">IFERROR(__xludf.DUMMYFUNCTION("""COMPUTED_VALUE"""),"OVC")</f>
        <v>OVC</v>
      </c>
      <c r="D193" s="1" t="str">
        <f ca="1">IFERROR(__xludf.DUMMYFUNCTION("""COMPUTED_VALUE"""),"13-19")</f>
        <v>13-19</v>
      </c>
      <c r="E193" s="1">
        <f ca="1">IFERROR(__xludf.DUMMYFUNCTION("""COMPUTED_VALUE"""),-1.93)</f>
        <v>-1.93</v>
      </c>
      <c r="F193" s="1">
        <f ca="1">IFERROR(__xludf.DUMMYFUNCTION("""COMPUTED_VALUE"""),99.8)</f>
        <v>99.8</v>
      </c>
      <c r="G193" s="1">
        <f ca="1">IFERROR(__xludf.DUMMYFUNCTION("""COMPUTED_VALUE"""),220)</f>
        <v>220</v>
      </c>
      <c r="H193" s="1">
        <f ca="1">IFERROR(__xludf.DUMMYFUNCTION("""COMPUTED_VALUE"""),101.7)</f>
        <v>101.7</v>
      </c>
      <c r="I193" s="1">
        <f ca="1">IFERROR(__xludf.DUMMYFUNCTION("""COMPUTED_VALUE"""),147)</f>
        <v>147</v>
      </c>
      <c r="J193" s="1">
        <f ca="1">IFERROR(__xludf.DUMMYFUNCTION("""COMPUTED_VALUE"""),64.4)</f>
        <v>64.400000000000006</v>
      </c>
      <c r="K193" s="1">
        <f ca="1">IFERROR(__xludf.DUMMYFUNCTION("""COMPUTED_VALUE"""),235)</f>
        <v>235</v>
      </c>
      <c r="L193" s="1">
        <f ca="1">IFERROR(__xludf.DUMMYFUNCTION("""COMPUTED_VALUE"""),-0.032)</f>
        <v>-3.2000000000000001E-2</v>
      </c>
      <c r="M193" s="1">
        <f ca="1">IFERROR(__xludf.DUMMYFUNCTION("""COMPUTED_VALUE"""),247)</f>
        <v>247</v>
      </c>
      <c r="N193" s="1">
        <f ca="1">IFERROR(__xludf.DUMMYFUNCTION("""COMPUTED_VALUE"""),-0.65)</f>
        <v>-0.65</v>
      </c>
      <c r="O193" s="1">
        <f ca="1">IFERROR(__xludf.DUMMYFUNCTION("""COMPUTED_VALUE"""),168)</f>
        <v>168</v>
      </c>
      <c r="P193" s="1">
        <f ca="1">IFERROR(__xludf.DUMMYFUNCTION("""COMPUTED_VALUE"""),104.1)</f>
        <v>104.1</v>
      </c>
      <c r="Q193" s="1">
        <f ca="1">IFERROR(__xludf.DUMMYFUNCTION("""COMPUTED_VALUE"""),133)</f>
        <v>133</v>
      </c>
      <c r="R193" s="1">
        <f ca="1">IFERROR(__xludf.DUMMYFUNCTION("""COMPUTED_VALUE"""),104.7)</f>
        <v>104.7</v>
      </c>
      <c r="S193" s="1">
        <f ca="1">IFERROR(__xludf.DUMMYFUNCTION("""COMPUTED_VALUE"""),235)</f>
        <v>235</v>
      </c>
      <c r="T193" s="1" t="str">
        <f ca="1">IFERROR(__xludf.DUMMYFUNCTION("""COMPUTED_VALUE"""),"+4.35")</f>
        <v>+4.35</v>
      </c>
      <c r="U193" s="1">
        <f ca="1">IFERROR(__xludf.DUMMYFUNCTION("""COMPUTED_VALUE"""),63)</f>
        <v>63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IFERROR(__xludf.DUMMYFUNCTION("""COMPUTED_VALUE"""),"New Orleans")</f>
        <v>New Orleans</v>
      </c>
      <c r="C194" s="1" t="str">
        <f ca="1">IFERROR(__xludf.DUMMYFUNCTION("""COMPUTED_VALUE"""),"SB")</f>
        <v>SB</v>
      </c>
      <c r="D194" s="1" t="str">
        <f ca="1">IFERROR(__xludf.DUMMYFUNCTION("""COMPUTED_VALUE"""),"13-17")</f>
        <v>13-17</v>
      </c>
      <c r="E194" s="1">
        <f ca="1">IFERROR(__xludf.DUMMYFUNCTION("""COMPUTED_VALUE"""),-1.94)</f>
        <v>-1.94</v>
      </c>
      <c r="F194" s="1">
        <f ca="1">IFERROR(__xludf.DUMMYFUNCTION("""COMPUTED_VALUE"""),103.1)</f>
        <v>103.1</v>
      </c>
      <c r="G194" s="1">
        <f ca="1">IFERROR(__xludf.DUMMYFUNCTION("""COMPUTED_VALUE"""),161)</f>
        <v>161</v>
      </c>
      <c r="H194" s="1">
        <f ca="1">IFERROR(__xludf.DUMMYFUNCTION("""COMPUTED_VALUE"""),105)</f>
        <v>105</v>
      </c>
      <c r="I194" s="1">
        <f ca="1">IFERROR(__xludf.DUMMYFUNCTION("""COMPUTED_VALUE"""),217)</f>
        <v>217</v>
      </c>
      <c r="J194" s="1">
        <f ca="1">IFERROR(__xludf.DUMMYFUNCTION("""COMPUTED_VALUE"""),64.2)</f>
        <v>64.2</v>
      </c>
      <c r="K194" s="1">
        <f ca="1">IFERROR(__xludf.DUMMYFUNCTION("""COMPUTED_VALUE"""),241)</f>
        <v>241</v>
      </c>
      <c r="L194" s="1" t="str">
        <f ca="1">IFERROR(__xludf.DUMMYFUNCTION("""COMPUTED_VALUE"""),"+.003")</f>
        <v>+.003</v>
      </c>
      <c r="M194" s="1">
        <f ca="1">IFERROR(__xludf.DUMMYFUNCTION("""COMPUTED_VALUE"""),153)</f>
        <v>153</v>
      </c>
      <c r="N194" s="1" t="str">
        <f ca="1">IFERROR(__xludf.DUMMYFUNCTION("""COMPUTED_VALUE"""),"+0.89")</f>
        <v>+0.89</v>
      </c>
      <c r="O194" s="1">
        <f ca="1">IFERROR(__xludf.DUMMYFUNCTION("""COMPUTED_VALUE"""),142)</f>
        <v>142</v>
      </c>
      <c r="P194" s="1">
        <f ca="1">IFERROR(__xludf.DUMMYFUNCTION("""COMPUTED_VALUE"""),104)</f>
        <v>104</v>
      </c>
      <c r="Q194" s="1">
        <f ca="1">IFERROR(__xludf.DUMMYFUNCTION("""COMPUTED_VALUE"""),134)</f>
        <v>134</v>
      </c>
      <c r="R194" s="1">
        <f ca="1">IFERROR(__xludf.DUMMYFUNCTION("""COMPUTED_VALUE"""),103.1)</f>
        <v>103.1</v>
      </c>
      <c r="S194" s="1">
        <f ca="1">IFERROR(__xludf.DUMMYFUNCTION("""COMPUTED_VALUE"""),165)</f>
        <v>165</v>
      </c>
      <c r="T194" s="1" t="str">
        <f ca="1">IFERROR(__xludf.DUMMYFUNCTION("""COMPUTED_VALUE"""),"+1.72")</f>
        <v>+1.72</v>
      </c>
      <c r="U194" s="1">
        <f ca="1">IFERROR(__xludf.DUMMYFUNCTION("""COMPUTED_VALUE"""),112)</f>
        <v>112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IFERROR(__xludf.DUMMYFUNCTION("""COMPUTED_VALUE"""),"American")</f>
        <v>American</v>
      </c>
      <c r="C195" s="1" t="str">
        <f ca="1">IFERROR(__xludf.DUMMYFUNCTION("""COMPUTED_VALUE"""),"Pat")</f>
        <v>Pat</v>
      </c>
      <c r="D195" s="1" t="str">
        <f ca="1">IFERROR(__xludf.DUMMYFUNCTION("""COMPUTED_VALUE"""),"16-12")</f>
        <v>16-12</v>
      </c>
      <c r="E195" s="1">
        <f ca="1">IFERROR(__xludf.DUMMYFUNCTION("""COMPUTED_VALUE"""),-1.95)</f>
        <v>-1.95</v>
      </c>
      <c r="F195" s="1">
        <f ca="1">IFERROR(__xludf.DUMMYFUNCTION("""COMPUTED_VALUE"""),101.8)</f>
        <v>101.8</v>
      </c>
      <c r="G195" s="1">
        <f ca="1">IFERROR(__xludf.DUMMYFUNCTION("""COMPUTED_VALUE"""),187)</f>
        <v>187</v>
      </c>
      <c r="H195" s="1">
        <f ca="1">IFERROR(__xludf.DUMMYFUNCTION("""COMPUTED_VALUE"""),103.7)</f>
        <v>103.7</v>
      </c>
      <c r="I195" s="1">
        <f ca="1">IFERROR(__xludf.DUMMYFUNCTION("""COMPUTED_VALUE"""),187)</f>
        <v>187</v>
      </c>
      <c r="J195" s="1">
        <f ca="1">IFERROR(__xludf.DUMMYFUNCTION("""COMPUTED_VALUE"""),63.9)</f>
        <v>63.9</v>
      </c>
      <c r="K195" s="1">
        <f ca="1">IFERROR(__xludf.DUMMYFUNCTION("""COMPUTED_VALUE"""),256)</f>
        <v>256</v>
      </c>
      <c r="L195" s="1" t="str">
        <f ca="1">IFERROR(__xludf.DUMMYFUNCTION("""COMPUTED_VALUE"""),"+.041")</f>
        <v>+.041</v>
      </c>
      <c r="M195" s="1">
        <f ca="1">IFERROR(__xludf.DUMMYFUNCTION("""COMPUTED_VALUE"""),73)</f>
        <v>73</v>
      </c>
      <c r="N195" s="1">
        <f ca="1">IFERROR(__xludf.DUMMYFUNCTION("""COMPUTED_VALUE"""),-3.66)</f>
        <v>-3.66</v>
      </c>
      <c r="O195" s="1">
        <f ca="1">IFERROR(__xludf.DUMMYFUNCTION("""COMPUTED_VALUE"""),234)</f>
        <v>234</v>
      </c>
      <c r="P195" s="1">
        <f ca="1">IFERROR(__xludf.DUMMYFUNCTION("""COMPUTED_VALUE"""),100)</f>
        <v>100</v>
      </c>
      <c r="Q195" s="1">
        <f ca="1">IFERROR(__xludf.DUMMYFUNCTION("""COMPUTED_VALUE"""),249)</f>
        <v>249</v>
      </c>
      <c r="R195" s="1">
        <f ca="1">IFERROR(__xludf.DUMMYFUNCTION("""COMPUTED_VALUE"""),103.7)</f>
        <v>103.7</v>
      </c>
      <c r="S195" s="1">
        <f ca="1">IFERROR(__xludf.DUMMYFUNCTION("""COMPUTED_VALUE"""),195)</f>
        <v>195</v>
      </c>
      <c r="T195" s="1" t="str">
        <f ca="1">IFERROR(__xludf.DUMMYFUNCTION("""COMPUTED_VALUE"""),"+0.70")</f>
        <v>+0.70</v>
      </c>
      <c r="U195" s="1">
        <f ca="1">IFERROR(__xludf.DUMMYFUNCTION("""COMPUTED_VALUE"""),140)</f>
        <v>140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IFERROR(__xludf.DUMMYFUNCTION("""COMPUTED_VALUE"""),"Iona")</f>
        <v>Iona</v>
      </c>
      <c r="C196" s="1" t="str">
        <f ca="1">IFERROR(__xludf.DUMMYFUNCTION("""COMPUTED_VALUE"""),"MAAC")</f>
        <v>MAAC</v>
      </c>
      <c r="D196" s="1" t="str">
        <f ca="1">IFERROR(__xludf.DUMMYFUNCTION("""COMPUTED_VALUE"""),"15-16")</f>
        <v>15-16</v>
      </c>
      <c r="E196" s="1">
        <f ca="1">IFERROR(__xludf.DUMMYFUNCTION("""COMPUTED_VALUE"""),-2.07)</f>
        <v>-2.0699999999999998</v>
      </c>
      <c r="F196" s="1">
        <f ca="1">IFERROR(__xludf.DUMMYFUNCTION("""COMPUTED_VALUE"""),100.5)</f>
        <v>100.5</v>
      </c>
      <c r="G196" s="1">
        <f ca="1">IFERROR(__xludf.DUMMYFUNCTION("""COMPUTED_VALUE"""),209)</f>
        <v>209</v>
      </c>
      <c r="H196" s="1">
        <f ca="1">IFERROR(__xludf.DUMMYFUNCTION("""COMPUTED_VALUE"""),102.5)</f>
        <v>102.5</v>
      </c>
      <c r="I196" s="1">
        <f ca="1">IFERROR(__xludf.DUMMYFUNCTION("""COMPUTED_VALUE"""),159)</f>
        <v>159</v>
      </c>
      <c r="J196" s="1">
        <f ca="1">IFERROR(__xludf.DUMMYFUNCTION("""COMPUTED_VALUE"""),67.9)</f>
        <v>67.900000000000006</v>
      </c>
      <c r="K196" s="1">
        <f ca="1">IFERROR(__xludf.DUMMYFUNCTION("""COMPUTED_VALUE"""),98)</f>
        <v>98</v>
      </c>
      <c r="L196" s="1">
        <f ca="1">IFERROR(__xludf.DUMMYFUNCTION("""COMPUTED_VALUE"""),-0.019)</f>
        <v>-1.9E-2</v>
      </c>
      <c r="M196" s="1">
        <f ca="1">IFERROR(__xludf.DUMMYFUNCTION("""COMPUTED_VALUE"""),214)</f>
        <v>214</v>
      </c>
      <c r="N196" s="1">
        <f ca="1">IFERROR(__xludf.DUMMYFUNCTION("""COMPUTED_VALUE"""),-3.28)</f>
        <v>-3.28</v>
      </c>
      <c r="O196" s="1">
        <f ca="1">IFERROR(__xludf.DUMMYFUNCTION("""COMPUTED_VALUE"""),221)</f>
        <v>221</v>
      </c>
      <c r="P196" s="1">
        <f ca="1">IFERROR(__xludf.DUMMYFUNCTION("""COMPUTED_VALUE"""),102.6)</f>
        <v>102.6</v>
      </c>
      <c r="Q196" s="1">
        <f ca="1">IFERROR(__xludf.DUMMYFUNCTION("""COMPUTED_VALUE"""),178)</f>
        <v>178</v>
      </c>
      <c r="R196" s="1">
        <f ca="1">IFERROR(__xludf.DUMMYFUNCTION("""COMPUTED_VALUE"""),105.9)</f>
        <v>105.9</v>
      </c>
      <c r="S196" s="1">
        <f ca="1">IFERROR(__xludf.DUMMYFUNCTION("""COMPUTED_VALUE"""),280)</f>
        <v>280</v>
      </c>
      <c r="T196" s="1" t="str">
        <f ca="1">IFERROR(__xludf.DUMMYFUNCTION("""COMPUTED_VALUE"""),"+1.25")</f>
        <v>+1.25</v>
      </c>
      <c r="U196" s="1">
        <f ca="1">IFERROR(__xludf.DUMMYFUNCTION("""COMPUTED_VALUE"""),124)</f>
        <v>124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IFERROR(__xludf.DUMMYFUNCTION("""COMPUTED_VALUE"""),"UC Irvine")</f>
        <v>UC Irvine</v>
      </c>
      <c r="C197" s="1" t="str">
        <f ca="1">IFERROR(__xludf.DUMMYFUNCTION("""COMPUTED_VALUE"""),"BW")</f>
        <v>BW</v>
      </c>
      <c r="D197" s="1" t="str">
        <f ca="1">IFERROR(__xludf.DUMMYFUNCTION("""COMPUTED_VALUE"""),"16-13")</f>
        <v>16-13</v>
      </c>
      <c r="E197" s="1">
        <f ca="1">IFERROR(__xludf.DUMMYFUNCTION("""COMPUTED_VALUE"""),-2.13)</f>
        <v>-2.13</v>
      </c>
      <c r="F197" s="1">
        <f ca="1">IFERROR(__xludf.DUMMYFUNCTION("""COMPUTED_VALUE"""),102.6)</f>
        <v>102.6</v>
      </c>
      <c r="G197" s="1">
        <f ca="1">IFERROR(__xludf.DUMMYFUNCTION("""COMPUTED_VALUE"""),167)</f>
        <v>167</v>
      </c>
      <c r="H197" s="1">
        <f ca="1">IFERROR(__xludf.DUMMYFUNCTION("""COMPUTED_VALUE"""),104.7)</f>
        <v>104.7</v>
      </c>
      <c r="I197" s="1">
        <f ca="1">IFERROR(__xludf.DUMMYFUNCTION("""COMPUTED_VALUE"""),208)</f>
        <v>208</v>
      </c>
      <c r="J197" s="1">
        <f ca="1">IFERROR(__xludf.DUMMYFUNCTION("""COMPUTED_VALUE"""),64.9)</f>
        <v>64.900000000000006</v>
      </c>
      <c r="K197" s="1">
        <f ca="1">IFERROR(__xludf.DUMMYFUNCTION("""COMPUTED_VALUE"""),222)</f>
        <v>222</v>
      </c>
      <c r="L197" s="1" t="str">
        <f ca="1">IFERROR(__xludf.DUMMYFUNCTION("""COMPUTED_VALUE"""),"+.053")</f>
        <v>+.053</v>
      </c>
      <c r="M197" s="1">
        <f ca="1">IFERROR(__xludf.DUMMYFUNCTION("""COMPUTED_VALUE"""),52)</f>
        <v>52</v>
      </c>
      <c r="N197" s="1">
        <f ca="1">IFERROR(__xludf.DUMMYFUNCTION("""COMPUTED_VALUE"""),-2.3)</f>
        <v>-2.2999999999999998</v>
      </c>
      <c r="O197" s="1">
        <f ca="1">IFERROR(__xludf.DUMMYFUNCTION("""COMPUTED_VALUE"""),196)</f>
        <v>196</v>
      </c>
      <c r="P197" s="1">
        <f ca="1">IFERROR(__xludf.DUMMYFUNCTION("""COMPUTED_VALUE"""),101.5)</f>
        <v>101.5</v>
      </c>
      <c r="Q197" s="1">
        <f ca="1">IFERROR(__xludf.DUMMYFUNCTION("""COMPUTED_VALUE"""),208)</f>
        <v>208</v>
      </c>
      <c r="R197" s="1">
        <f ca="1">IFERROR(__xludf.DUMMYFUNCTION("""COMPUTED_VALUE"""),103.8)</f>
        <v>103.8</v>
      </c>
      <c r="S197" s="1">
        <f ca="1">IFERROR(__xludf.DUMMYFUNCTION("""COMPUTED_VALUE"""),202)</f>
        <v>202</v>
      </c>
      <c r="T197" s="1">
        <f ca="1">IFERROR(__xludf.DUMMYFUNCTION("""COMPUTED_VALUE"""),-4.16)</f>
        <v>-4.16</v>
      </c>
      <c r="U197" s="1">
        <f ca="1">IFERROR(__xludf.DUMMYFUNCTION("""COMPUTED_VALUE"""),261)</f>
        <v>261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IFERROR(__xludf.DUMMYFUNCTION("""COMPUTED_VALUE"""),"Fordham")</f>
        <v>Fordham</v>
      </c>
      <c r="C198" s="1" t="str">
        <f ca="1">IFERROR(__xludf.DUMMYFUNCTION("""COMPUTED_VALUE"""),"A10")</f>
        <v>A10</v>
      </c>
      <c r="D198" s="1" t="str">
        <f ca="1">IFERROR(__xludf.DUMMYFUNCTION("""COMPUTED_VALUE"""),"13-16")</f>
        <v>13-16</v>
      </c>
      <c r="E198" s="1">
        <f ca="1">IFERROR(__xludf.DUMMYFUNCTION("""COMPUTED_VALUE"""),-2.17)</f>
        <v>-2.17</v>
      </c>
      <c r="F198" s="1">
        <f ca="1">IFERROR(__xludf.DUMMYFUNCTION("""COMPUTED_VALUE"""),97.4)</f>
        <v>97.4</v>
      </c>
      <c r="G198" s="1">
        <f ca="1">IFERROR(__xludf.DUMMYFUNCTION("""COMPUTED_VALUE"""),247)</f>
        <v>247</v>
      </c>
      <c r="H198" s="1">
        <f ca="1">IFERROR(__xludf.DUMMYFUNCTION("""COMPUTED_VALUE"""),99.6)</f>
        <v>99.6</v>
      </c>
      <c r="I198" s="1">
        <f ca="1">IFERROR(__xludf.DUMMYFUNCTION("""COMPUTED_VALUE"""),94)</f>
        <v>94</v>
      </c>
      <c r="J198" s="1">
        <f ca="1">IFERROR(__xludf.DUMMYFUNCTION("""COMPUTED_VALUE"""),65.7)</f>
        <v>65.7</v>
      </c>
      <c r="K198" s="1">
        <f ca="1">IFERROR(__xludf.DUMMYFUNCTION("""COMPUTED_VALUE"""),186)</f>
        <v>186</v>
      </c>
      <c r="L198" s="1">
        <f ca="1">IFERROR(__xludf.DUMMYFUNCTION("""COMPUTED_VALUE"""),0)</f>
        <v>0</v>
      </c>
      <c r="M198" s="1">
        <f ca="1">IFERROR(__xludf.DUMMYFUNCTION("""COMPUTED_VALUE"""),160)</f>
        <v>160</v>
      </c>
      <c r="N198" s="1">
        <f ca="1">IFERROR(__xludf.DUMMYFUNCTION("""COMPUTED_VALUE"""),-0.55)</f>
        <v>-0.55000000000000004</v>
      </c>
      <c r="O198" s="1">
        <f ca="1">IFERROR(__xludf.DUMMYFUNCTION("""COMPUTED_VALUE"""),165)</f>
        <v>165</v>
      </c>
      <c r="P198" s="1">
        <f ca="1">IFERROR(__xludf.DUMMYFUNCTION("""COMPUTED_VALUE"""),102.2)</f>
        <v>102.2</v>
      </c>
      <c r="Q198" s="1">
        <f ca="1">IFERROR(__xludf.DUMMYFUNCTION("""COMPUTED_VALUE"""),191)</f>
        <v>191</v>
      </c>
      <c r="R198" s="1">
        <f ca="1">IFERROR(__xludf.DUMMYFUNCTION("""COMPUTED_VALUE"""),102.8)</f>
        <v>102.8</v>
      </c>
      <c r="S198" s="1">
        <f ca="1">IFERROR(__xludf.DUMMYFUNCTION("""COMPUTED_VALUE"""),149)</f>
        <v>149</v>
      </c>
      <c r="T198" s="1">
        <f ca="1">IFERROR(__xludf.DUMMYFUNCTION("""COMPUTED_VALUE"""),-0.28)</f>
        <v>-0.28000000000000003</v>
      </c>
      <c r="U198" s="1">
        <f ca="1">IFERROR(__xludf.DUMMYFUNCTION("""COMPUTED_VALUE"""),170)</f>
        <v>170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IFERROR(__xludf.DUMMYFUNCTION("""COMPUTED_VALUE"""),"Samford")</f>
        <v>Samford</v>
      </c>
      <c r="C199" s="1" t="str">
        <f ca="1">IFERROR(__xludf.DUMMYFUNCTION("""COMPUTED_VALUE"""),"OVC")</f>
        <v>OVC</v>
      </c>
      <c r="D199" s="1" t="str">
        <f ca="1">IFERROR(__xludf.DUMMYFUNCTION("""COMPUTED_VALUE"""),"15-13")</f>
        <v>15-13</v>
      </c>
      <c r="E199" s="1">
        <f ca="1">IFERROR(__xludf.DUMMYFUNCTION("""COMPUTED_VALUE"""),-2.44)</f>
        <v>-2.44</v>
      </c>
      <c r="F199" s="1">
        <f ca="1">IFERROR(__xludf.DUMMYFUNCTION("""COMPUTED_VALUE"""),109.9)</f>
        <v>109.9</v>
      </c>
      <c r="G199" s="1">
        <f ca="1">IFERROR(__xludf.DUMMYFUNCTION("""COMPUTED_VALUE"""),55)</f>
        <v>55</v>
      </c>
      <c r="H199" s="1">
        <f ca="1">IFERROR(__xludf.DUMMYFUNCTION("""COMPUTED_VALUE"""),112.3)</f>
        <v>112.3</v>
      </c>
      <c r="I199" s="1">
        <f ca="1">IFERROR(__xludf.DUMMYFUNCTION("""COMPUTED_VALUE"""),315)</f>
        <v>315</v>
      </c>
      <c r="J199" s="1">
        <f ca="1">IFERROR(__xludf.DUMMYFUNCTION("""COMPUTED_VALUE"""),56)</f>
        <v>56</v>
      </c>
      <c r="K199" s="1">
        <f ca="1">IFERROR(__xludf.DUMMYFUNCTION("""COMPUTED_VALUE"""),328)</f>
        <v>328</v>
      </c>
      <c r="L199" s="1">
        <f ca="1">IFERROR(__xludf.DUMMYFUNCTION("""COMPUTED_VALUE"""),-0.021)</f>
        <v>-2.1000000000000001E-2</v>
      </c>
      <c r="M199" s="1">
        <f ca="1">IFERROR(__xludf.DUMMYFUNCTION("""COMPUTED_VALUE"""),216)</f>
        <v>216</v>
      </c>
      <c r="N199" s="1">
        <f ca="1">IFERROR(__xludf.DUMMYFUNCTION("""COMPUTED_VALUE"""),-3.6)</f>
        <v>-3.6</v>
      </c>
      <c r="O199" s="1">
        <f ca="1">IFERROR(__xludf.DUMMYFUNCTION("""COMPUTED_VALUE"""),232)</f>
        <v>232</v>
      </c>
      <c r="P199" s="1">
        <f ca="1">IFERROR(__xludf.DUMMYFUNCTION("""COMPUTED_VALUE"""),102)</f>
        <v>102</v>
      </c>
      <c r="Q199" s="1">
        <f ca="1">IFERROR(__xludf.DUMMYFUNCTION("""COMPUTED_VALUE"""),197)</f>
        <v>197</v>
      </c>
      <c r="R199" s="1">
        <f ca="1">IFERROR(__xludf.DUMMYFUNCTION("""COMPUTED_VALUE"""),105.6)</f>
        <v>105.6</v>
      </c>
      <c r="S199" s="1">
        <f ca="1">IFERROR(__xludf.DUMMYFUNCTION("""COMPUTED_VALUE"""),270)</f>
        <v>270</v>
      </c>
      <c r="T199" s="1" t="str">
        <f ca="1">IFERROR(__xludf.DUMMYFUNCTION("""COMPUTED_VALUE"""),"+0.61")</f>
        <v>+0.61</v>
      </c>
      <c r="U199" s="1">
        <f ca="1">IFERROR(__xludf.DUMMYFUNCTION("""COMPUTED_VALUE"""),146)</f>
        <v>146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IFERROR(__xludf.DUMMYFUNCTION("""COMPUTED_VALUE"""),"Fairleigh Dickinson16")</f>
        <v>Fairleigh Dickinson16</v>
      </c>
      <c r="C200" s="1" t="str">
        <f ca="1">IFERROR(__xludf.DUMMYFUNCTION("""COMPUTED_VALUE"""),"NEC")</f>
        <v>NEC</v>
      </c>
      <c r="D200" s="1" t="str">
        <f ca="1">IFERROR(__xludf.DUMMYFUNCTION("""COMPUTED_VALUE"""),"20-13")</f>
        <v>20-13</v>
      </c>
      <c r="E200" s="1">
        <f ca="1">IFERROR(__xludf.DUMMYFUNCTION("""COMPUTED_VALUE"""),-2.52)</f>
        <v>-2.52</v>
      </c>
      <c r="F200" s="1">
        <f ca="1">IFERROR(__xludf.DUMMYFUNCTION("""COMPUTED_VALUE"""),102.7)</f>
        <v>102.7</v>
      </c>
      <c r="G200" s="1">
        <f ca="1">IFERROR(__xludf.DUMMYFUNCTION("""COMPUTED_VALUE"""),166)</f>
        <v>166</v>
      </c>
      <c r="H200" s="1">
        <f ca="1">IFERROR(__xludf.DUMMYFUNCTION("""COMPUTED_VALUE"""),105.2)</f>
        <v>105.2</v>
      </c>
      <c r="I200" s="1">
        <f ca="1">IFERROR(__xludf.DUMMYFUNCTION("""COMPUTED_VALUE"""),220)</f>
        <v>220</v>
      </c>
      <c r="J200" s="1">
        <f ca="1">IFERROR(__xludf.DUMMYFUNCTION("""COMPUTED_VALUE"""),68.6)</f>
        <v>68.599999999999994</v>
      </c>
      <c r="K200" s="1">
        <f ca="1">IFERROR(__xludf.DUMMYFUNCTION("""COMPUTED_VALUE"""),74)</f>
        <v>74</v>
      </c>
      <c r="L200" s="1">
        <f ca="1">IFERROR(__xludf.DUMMYFUNCTION("""COMPUTED_VALUE"""),-0.003)</f>
        <v>-3.0000000000000001E-3</v>
      </c>
      <c r="M200" s="1">
        <f ca="1">IFERROR(__xludf.DUMMYFUNCTION("""COMPUTED_VALUE"""),171)</f>
        <v>171</v>
      </c>
      <c r="N200" s="1">
        <f ca="1">IFERROR(__xludf.DUMMYFUNCTION("""COMPUTED_VALUE"""),-7.88)</f>
        <v>-7.88</v>
      </c>
      <c r="O200" s="1">
        <f ca="1">IFERROR(__xludf.DUMMYFUNCTION("""COMPUTED_VALUE"""),293)</f>
        <v>293</v>
      </c>
      <c r="P200" s="1">
        <f ca="1">IFERROR(__xludf.DUMMYFUNCTION("""COMPUTED_VALUE"""),99.4)</f>
        <v>99.4</v>
      </c>
      <c r="Q200" s="1">
        <f ca="1">IFERROR(__xludf.DUMMYFUNCTION("""COMPUTED_VALUE"""),267)</f>
        <v>267</v>
      </c>
      <c r="R200" s="1">
        <f ca="1">IFERROR(__xludf.DUMMYFUNCTION("""COMPUTED_VALUE"""),107.3)</f>
        <v>107.3</v>
      </c>
      <c r="S200" s="1">
        <f ca="1">IFERROR(__xludf.DUMMYFUNCTION("""COMPUTED_VALUE"""),319)</f>
        <v>319</v>
      </c>
      <c r="T200" s="1" t="str">
        <f ca="1">IFERROR(__xludf.DUMMYFUNCTION("""COMPUTED_VALUE"""),"+0.75")</f>
        <v>+0.75</v>
      </c>
      <c r="U200" s="1">
        <f ca="1">IFERROR(__xludf.DUMMYFUNCTION("""COMPUTED_VALUE"""),139)</f>
        <v>139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IFERROR(__xludf.DUMMYFUNCTION("""COMPUTED_VALUE"""),"Eastern Michigan")</f>
        <v>Eastern Michigan</v>
      </c>
      <c r="C201" s="1" t="str">
        <f ca="1">IFERROR(__xludf.DUMMYFUNCTION("""COMPUTED_VALUE"""),"MAC")</f>
        <v>MAC</v>
      </c>
      <c r="D201" s="2">
        <f ca="1">IFERROR(__xludf.DUMMYFUNCTION("""COMPUTED_VALUE"""),44913)</f>
        <v>44913</v>
      </c>
      <c r="E201" s="1">
        <f ca="1">IFERROR(__xludf.DUMMYFUNCTION("""COMPUTED_VALUE"""),-2.54)</f>
        <v>-2.54</v>
      </c>
      <c r="F201" s="1">
        <f ca="1">IFERROR(__xludf.DUMMYFUNCTION("""COMPUTED_VALUE"""),103.8)</f>
        <v>103.8</v>
      </c>
      <c r="G201" s="1">
        <f ca="1">IFERROR(__xludf.DUMMYFUNCTION("""COMPUTED_VALUE"""),147)</f>
        <v>147</v>
      </c>
      <c r="H201" s="1">
        <f ca="1">IFERROR(__xludf.DUMMYFUNCTION("""COMPUTED_VALUE"""),106.4)</f>
        <v>106.4</v>
      </c>
      <c r="I201" s="1">
        <f ca="1">IFERROR(__xludf.DUMMYFUNCTION("""COMPUTED_VALUE"""),235)</f>
        <v>235</v>
      </c>
      <c r="J201" s="1">
        <f ca="1">IFERROR(__xludf.DUMMYFUNCTION("""COMPUTED_VALUE"""),70.1)</f>
        <v>70.099999999999994</v>
      </c>
      <c r="K201" s="1">
        <f ca="1">IFERROR(__xludf.DUMMYFUNCTION("""COMPUTED_VALUE"""),37)</f>
        <v>37</v>
      </c>
      <c r="L201" s="1">
        <f ca="1">IFERROR(__xludf.DUMMYFUNCTION("""COMPUTED_VALUE"""),-0.03)</f>
        <v>-0.03</v>
      </c>
      <c r="M201" s="1">
        <f ca="1">IFERROR(__xludf.DUMMYFUNCTION("""COMPUTED_VALUE"""),244)</f>
        <v>244</v>
      </c>
      <c r="N201" s="1" t="str">
        <f ca="1">IFERROR(__xludf.DUMMYFUNCTION("""COMPUTED_VALUE"""),"+1.77")</f>
        <v>+1.77</v>
      </c>
      <c r="O201" s="1">
        <f ca="1">IFERROR(__xludf.DUMMYFUNCTION("""COMPUTED_VALUE"""),129)</f>
        <v>129</v>
      </c>
      <c r="P201" s="1">
        <f ca="1">IFERROR(__xludf.DUMMYFUNCTION("""COMPUTED_VALUE"""),104.1)</f>
        <v>104.1</v>
      </c>
      <c r="Q201" s="1">
        <f ca="1">IFERROR(__xludf.DUMMYFUNCTION("""COMPUTED_VALUE"""),131)</f>
        <v>131</v>
      </c>
      <c r="R201" s="1">
        <f ca="1">IFERROR(__xludf.DUMMYFUNCTION("""COMPUTED_VALUE"""),102.3)</f>
        <v>102.3</v>
      </c>
      <c r="S201" s="1">
        <f ca="1">IFERROR(__xludf.DUMMYFUNCTION("""COMPUTED_VALUE"""),132)</f>
        <v>132</v>
      </c>
      <c r="T201" s="1">
        <f ca="1">IFERROR(__xludf.DUMMYFUNCTION("""COMPUTED_VALUE"""),-4.93)</f>
        <v>-4.93</v>
      </c>
      <c r="U201" s="1">
        <f ca="1">IFERROR(__xludf.DUMMYFUNCTION("""COMPUTED_VALUE"""),281)</f>
        <v>281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IFERROR(__xludf.DUMMYFUNCTION("""COMPUTED_VALUE"""),"UCF15")</f>
        <v>UCF15</v>
      </c>
      <c r="C202" s="1" t="str">
        <f ca="1">IFERROR(__xludf.DUMMYFUNCTION("""COMPUTED_VALUE"""),"ASun")</f>
        <v>ASun</v>
      </c>
      <c r="D202" s="1" t="str">
        <f ca="1">IFERROR(__xludf.DUMMYFUNCTION("""COMPUTED_VALUE"""),"24-9")</f>
        <v>24-9</v>
      </c>
      <c r="E202" s="1">
        <f ca="1">IFERROR(__xludf.DUMMYFUNCTION("""COMPUTED_VALUE"""),-2.56)</f>
        <v>-2.56</v>
      </c>
      <c r="F202" s="1">
        <f ca="1">IFERROR(__xludf.DUMMYFUNCTION("""COMPUTED_VALUE"""),105)</f>
        <v>105</v>
      </c>
      <c r="G202" s="1">
        <f ca="1">IFERROR(__xludf.DUMMYFUNCTION("""COMPUTED_VALUE"""),126)</f>
        <v>126</v>
      </c>
      <c r="H202" s="1">
        <f ca="1">IFERROR(__xludf.DUMMYFUNCTION("""COMPUTED_VALUE"""),107.6)</f>
        <v>107.6</v>
      </c>
      <c r="I202" s="1">
        <f ca="1">IFERROR(__xludf.DUMMYFUNCTION("""COMPUTED_VALUE"""),254)</f>
        <v>254</v>
      </c>
      <c r="J202" s="1">
        <f ca="1">IFERROR(__xludf.DUMMYFUNCTION("""COMPUTED_VALUE"""),60.1)</f>
        <v>60.1</v>
      </c>
      <c r="K202" s="1">
        <f ca="1">IFERROR(__xludf.DUMMYFUNCTION("""COMPUTED_VALUE"""),317)</f>
        <v>317</v>
      </c>
      <c r="L202" s="1" t="str">
        <f ca="1">IFERROR(__xludf.DUMMYFUNCTION("""COMPUTED_VALUE"""),"+.067")</f>
        <v>+.067</v>
      </c>
      <c r="M202" s="1">
        <f ca="1">IFERROR(__xludf.DUMMYFUNCTION("""COMPUTED_VALUE"""),34)</f>
        <v>34</v>
      </c>
      <c r="N202" s="1">
        <f ca="1">IFERROR(__xludf.DUMMYFUNCTION("""COMPUTED_VALUE"""),-8.61)</f>
        <v>-8.61</v>
      </c>
      <c r="O202" s="1">
        <f ca="1">IFERROR(__xludf.DUMMYFUNCTION("""COMPUTED_VALUE"""),304)</f>
        <v>304</v>
      </c>
      <c r="P202" s="1">
        <f ca="1">IFERROR(__xludf.DUMMYFUNCTION("""COMPUTED_VALUE"""),99)</f>
        <v>99</v>
      </c>
      <c r="Q202" s="1">
        <f ca="1">IFERROR(__xludf.DUMMYFUNCTION("""COMPUTED_VALUE"""),280)</f>
        <v>280</v>
      </c>
      <c r="R202" s="1">
        <f ca="1">IFERROR(__xludf.DUMMYFUNCTION("""COMPUTED_VALUE"""),107.7)</f>
        <v>107.7</v>
      </c>
      <c r="S202" s="1">
        <f ca="1">IFERROR(__xludf.DUMMYFUNCTION("""COMPUTED_VALUE"""),325)</f>
        <v>325</v>
      </c>
      <c r="T202" s="1">
        <f ca="1">IFERROR(__xludf.DUMMYFUNCTION("""COMPUTED_VALUE"""),-4.62)</f>
        <v>-4.62</v>
      </c>
      <c r="U202" s="1">
        <f ca="1">IFERROR(__xludf.DUMMYFUNCTION("""COMPUTED_VALUE"""),276)</f>
        <v>276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IFERROR(__xludf.DUMMYFUNCTION("""COMPUTED_VALUE"""),"Binghamton")</f>
        <v>Binghamton</v>
      </c>
      <c r="C203" s="1" t="str">
        <f ca="1">IFERROR(__xludf.DUMMYFUNCTION("""COMPUTED_VALUE"""),"AE")</f>
        <v>AE</v>
      </c>
      <c r="D203" s="2">
        <f ca="1">IFERROR(__xludf.DUMMYFUNCTION("""COMPUTED_VALUE"""),44912)</f>
        <v>44912</v>
      </c>
      <c r="E203" s="1">
        <f ca="1">IFERROR(__xludf.DUMMYFUNCTION("""COMPUTED_VALUE"""),-2.73)</f>
        <v>-2.73</v>
      </c>
      <c r="F203" s="1">
        <f ca="1">IFERROR(__xludf.DUMMYFUNCTION("""COMPUTED_VALUE"""),98.5)</f>
        <v>98.5</v>
      </c>
      <c r="G203" s="1">
        <f ca="1">IFERROR(__xludf.DUMMYFUNCTION("""COMPUTED_VALUE"""),234)</f>
        <v>234</v>
      </c>
      <c r="H203" s="1">
        <f ca="1">IFERROR(__xludf.DUMMYFUNCTION("""COMPUTED_VALUE"""),101.2)</f>
        <v>101.2</v>
      </c>
      <c r="I203" s="1">
        <f ca="1">IFERROR(__xludf.DUMMYFUNCTION("""COMPUTED_VALUE"""),134)</f>
        <v>134</v>
      </c>
      <c r="J203" s="1">
        <f ca="1">IFERROR(__xludf.DUMMYFUNCTION("""COMPUTED_VALUE"""),63.4)</f>
        <v>63.4</v>
      </c>
      <c r="K203" s="1">
        <f ca="1">IFERROR(__xludf.DUMMYFUNCTION("""COMPUTED_VALUE"""),274)</f>
        <v>274</v>
      </c>
      <c r="L203" s="1">
        <f ca="1">IFERROR(__xludf.DUMMYFUNCTION("""COMPUTED_VALUE"""),-0.048)</f>
        <v>-4.8000000000000001E-2</v>
      </c>
      <c r="M203" s="1">
        <f ca="1">IFERROR(__xludf.DUMMYFUNCTION("""COMPUTED_VALUE"""),272)</f>
        <v>272</v>
      </c>
      <c r="N203" s="1">
        <f ca="1">IFERROR(__xludf.DUMMYFUNCTION("""COMPUTED_VALUE"""),-2)</f>
        <v>-2</v>
      </c>
      <c r="O203" s="1">
        <f ca="1">IFERROR(__xludf.DUMMYFUNCTION("""COMPUTED_VALUE"""),194)</f>
        <v>194</v>
      </c>
      <c r="P203" s="1">
        <f ca="1">IFERROR(__xludf.DUMMYFUNCTION("""COMPUTED_VALUE"""),101)</f>
        <v>101</v>
      </c>
      <c r="Q203" s="1">
        <f ca="1">IFERROR(__xludf.DUMMYFUNCTION("""COMPUTED_VALUE"""),224)</f>
        <v>224</v>
      </c>
      <c r="R203" s="1">
        <f ca="1">IFERROR(__xludf.DUMMYFUNCTION("""COMPUTED_VALUE"""),103)</f>
        <v>103</v>
      </c>
      <c r="S203" s="1">
        <f ca="1">IFERROR(__xludf.DUMMYFUNCTION("""COMPUTED_VALUE"""),153)</f>
        <v>153</v>
      </c>
      <c r="T203" s="1" t="str">
        <f ca="1">IFERROR(__xludf.DUMMYFUNCTION("""COMPUTED_VALUE"""),"+2.07")</f>
        <v>+2.07</v>
      </c>
      <c r="U203" s="1">
        <f ca="1">IFERROR(__xludf.DUMMYFUNCTION("""COMPUTED_VALUE"""),106)</f>
        <v>106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IFERROR(__xludf.DUMMYFUNCTION("""COMPUTED_VALUE"""),"Montana16")</f>
        <v>Montana16</v>
      </c>
      <c r="C204" s="1" t="str">
        <f ca="1">IFERROR(__xludf.DUMMYFUNCTION("""COMPUTED_VALUE"""),"BSky")</f>
        <v>BSky</v>
      </c>
      <c r="D204" s="1" t="str">
        <f ca="1">IFERROR(__xludf.DUMMYFUNCTION("""COMPUTED_VALUE"""),"18-13")</f>
        <v>18-13</v>
      </c>
      <c r="E204" s="1">
        <f ca="1">IFERROR(__xludf.DUMMYFUNCTION("""COMPUTED_VALUE"""),-2.73)</f>
        <v>-2.73</v>
      </c>
      <c r="F204" s="1">
        <f ca="1">IFERROR(__xludf.DUMMYFUNCTION("""COMPUTED_VALUE"""),99.9)</f>
        <v>99.9</v>
      </c>
      <c r="G204" s="1">
        <f ca="1">IFERROR(__xludf.DUMMYFUNCTION("""COMPUTED_VALUE"""),219)</f>
        <v>219</v>
      </c>
      <c r="H204" s="1">
        <f ca="1">IFERROR(__xludf.DUMMYFUNCTION("""COMPUTED_VALUE"""),102.6)</f>
        <v>102.6</v>
      </c>
      <c r="I204" s="1">
        <f ca="1">IFERROR(__xludf.DUMMYFUNCTION("""COMPUTED_VALUE"""),160)</f>
        <v>160</v>
      </c>
      <c r="J204" s="1">
        <f ca="1">IFERROR(__xludf.DUMMYFUNCTION("""COMPUTED_VALUE"""),68.2)</f>
        <v>68.2</v>
      </c>
      <c r="K204" s="1">
        <f ca="1">IFERROR(__xludf.DUMMYFUNCTION("""COMPUTED_VALUE"""),86)</f>
        <v>86</v>
      </c>
      <c r="L204" s="1" t="str">
        <f ca="1">IFERROR(__xludf.DUMMYFUNCTION("""COMPUTED_VALUE"""),"+.049")</f>
        <v>+.049</v>
      </c>
      <c r="M204" s="1">
        <f ca="1">IFERROR(__xludf.DUMMYFUNCTION("""COMPUTED_VALUE"""),56)</f>
        <v>56</v>
      </c>
      <c r="N204" s="1">
        <f ca="1">IFERROR(__xludf.DUMMYFUNCTION("""COMPUTED_VALUE"""),-4.35)</f>
        <v>-4.3499999999999996</v>
      </c>
      <c r="O204" s="1">
        <f ca="1">IFERROR(__xludf.DUMMYFUNCTION("""COMPUTED_VALUE"""),248)</f>
        <v>248</v>
      </c>
      <c r="P204" s="1">
        <f ca="1">IFERROR(__xludf.DUMMYFUNCTION("""COMPUTED_VALUE"""),100.4)</f>
        <v>100.4</v>
      </c>
      <c r="Q204" s="1">
        <f ca="1">IFERROR(__xludf.DUMMYFUNCTION("""COMPUTED_VALUE"""),237)</f>
        <v>237</v>
      </c>
      <c r="R204" s="1">
        <f ca="1">IFERROR(__xludf.DUMMYFUNCTION("""COMPUTED_VALUE"""),104.8)</f>
        <v>104.8</v>
      </c>
      <c r="S204" s="1">
        <f ca="1">IFERROR(__xludf.DUMMYFUNCTION("""COMPUTED_VALUE"""),237)</f>
        <v>237</v>
      </c>
      <c r="T204" s="1" t="str">
        <f ca="1">IFERROR(__xludf.DUMMYFUNCTION("""COMPUTED_VALUE"""),"+4.56")</f>
        <v>+4.56</v>
      </c>
      <c r="U204" s="1">
        <f ca="1">IFERROR(__xludf.DUMMYFUNCTION("""COMPUTED_VALUE"""),57)</f>
        <v>57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IFERROR(__xludf.DUMMYFUNCTION("""COMPUTED_VALUE"""),"Tennessee St.")</f>
        <v>Tennessee St.</v>
      </c>
      <c r="C205" s="1" t="str">
        <f ca="1">IFERROR(__xludf.DUMMYFUNCTION("""COMPUTED_VALUE"""),"OVC")</f>
        <v>OVC</v>
      </c>
      <c r="D205" s="1" t="str">
        <f ca="1">IFERROR(__xludf.DUMMYFUNCTION("""COMPUTED_VALUE"""),"14-17")</f>
        <v>14-17</v>
      </c>
      <c r="E205" s="1">
        <f ca="1">IFERROR(__xludf.DUMMYFUNCTION("""COMPUTED_VALUE"""),-2.87)</f>
        <v>-2.87</v>
      </c>
      <c r="F205" s="1">
        <f ca="1">IFERROR(__xludf.DUMMYFUNCTION("""COMPUTED_VALUE"""),105.3)</f>
        <v>105.3</v>
      </c>
      <c r="G205" s="1">
        <f ca="1">IFERROR(__xludf.DUMMYFUNCTION("""COMPUTED_VALUE"""),120)</f>
        <v>120</v>
      </c>
      <c r="H205" s="1">
        <f ca="1">IFERROR(__xludf.DUMMYFUNCTION("""COMPUTED_VALUE"""),108.2)</f>
        <v>108.2</v>
      </c>
      <c r="I205" s="1">
        <f ca="1">IFERROR(__xludf.DUMMYFUNCTION("""COMPUTED_VALUE"""),265)</f>
        <v>265</v>
      </c>
      <c r="J205" s="1">
        <f ca="1">IFERROR(__xludf.DUMMYFUNCTION("""COMPUTED_VALUE"""),69.6)</f>
        <v>69.599999999999994</v>
      </c>
      <c r="K205" s="1">
        <f ca="1">IFERROR(__xludf.DUMMYFUNCTION("""COMPUTED_VALUE"""),46)</f>
        <v>46</v>
      </c>
      <c r="L205" s="1" t="str">
        <f ca="1">IFERROR(__xludf.DUMMYFUNCTION("""COMPUTED_VALUE"""),"+.014")</f>
        <v>+.014</v>
      </c>
      <c r="M205" s="1">
        <f ca="1">IFERROR(__xludf.DUMMYFUNCTION("""COMPUTED_VALUE"""),127)</f>
        <v>127</v>
      </c>
      <c r="N205" s="1" t="str">
        <f ca="1">IFERROR(__xludf.DUMMYFUNCTION("""COMPUTED_VALUE"""),"+1.60")</f>
        <v>+1.60</v>
      </c>
      <c r="O205" s="1">
        <f ca="1">IFERROR(__xludf.DUMMYFUNCTION("""COMPUTED_VALUE"""),135)</f>
        <v>135</v>
      </c>
      <c r="P205" s="1">
        <f ca="1">IFERROR(__xludf.DUMMYFUNCTION("""COMPUTED_VALUE"""),104.9)</f>
        <v>104.9</v>
      </c>
      <c r="Q205" s="1">
        <f ca="1">IFERROR(__xludf.DUMMYFUNCTION("""COMPUTED_VALUE"""),113)</f>
        <v>113</v>
      </c>
      <c r="R205" s="1">
        <f ca="1">IFERROR(__xludf.DUMMYFUNCTION("""COMPUTED_VALUE"""),103.3)</f>
        <v>103.3</v>
      </c>
      <c r="S205" s="1">
        <f ca="1">IFERROR(__xludf.DUMMYFUNCTION("""COMPUTED_VALUE"""),178)</f>
        <v>178</v>
      </c>
      <c r="T205" s="1" t="str">
        <f ca="1">IFERROR(__xludf.DUMMYFUNCTION("""COMPUTED_VALUE"""),"+13.44")</f>
        <v>+13.44</v>
      </c>
      <c r="U205" s="1">
        <f ca="1">IFERROR(__xludf.DUMMYFUNCTION("""COMPUTED_VALUE"""),5)</f>
        <v>5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IFERROR(__xludf.DUMMYFUNCTION("""COMPUTED_VALUE"""),"Valparaiso")</f>
        <v>Valparaiso</v>
      </c>
      <c r="C206" s="1" t="str">
        <f ca="1">IFERROR(__xludf.DUMMYFUNCTION("""COMPUTED_VALUE"""),"MCon")</f>
        <v>MCon</v>
      </c>
      <c r="D206" s="1" t="str">
        <f ca="1">IFERROR(__xludf.DUMMYFUNCTION("""COMPUTED_VALUE"""),"15-16")</f>
        <v>15-16</v>
      </c>
      <c r="E206" s="1">
        <f ca="1">IFERROR(__xludf.DUMMYFUNCTION("""COMPUTED_VALUE"""),-2.95)</f>
        <v>-2.95</v>
      </c>
      <c r="F206" s="1">
        <f ca="1">IFERROR(__xludf.DUMMYFUNCTION("""COMPUTED_VALUE"""),104.6)</f>
        <v>104.6</v>
      </c>
      <c r="G206" s="1">
        <f ca="1">IFERROR(__xludf.DUMMYFUNCTION("""COMPUTED_VALUE"""),133)</f>
        <v>133</v>
      </c>
      <c r="H206" s="1">
        <f ca="1">IFERROR(__xludf.DUMMYFUNCTION("""COMPUTED_VALUE"""),107.6)</f>
        <v>107.6</v>
      </c>
      <c r="I206" s="1">
        <f ca="1">IFERROR(__xludf.DUMMYFUNCTION("""COMPUTED_VALUE"""),255)</f>
        <v>255</v>
      </c>
      <c r="J206" s="1">
        <f ca="1">IFERROR(__xludf.DUMMYFUNCTION("""COMPUTED_VALUE"""),65.5)</f>
        <v>65.5</v>
      </c>
      <c r="K206" s="1">
        <f ca="1">IFERROR(__xludf.DUMMYFUNCTION("""COMPUTED_VALUE"""),193)</f>
        <v>193</v>
      </c>
      <c r="L206" s="1" t="str">
        <f ca="1">IFERROR(__xludf.DUMMYFUNCTION("""COMPUTED_VALUE"""),"+.067")</f>
        <v>+.067</v>
      </c>
      <c r="M206" s="1">
        <f ca="1">IFERROR(__xludf.DUMMYFUNCTION("""COMPUTED_VALUE"""),33)</f>
        <v>33</v>
      </c>
      <c r="N206" s="1">
        <f ca="1">IFERROR(__xludf.DUMMYFUNCTION("""COMPUTED_VALUE"""),-0.72)</f>
        <v>-0.72</v>
      </c>
      <c r="O206" s="1">
        <f ca="1">IFERROR(__xludf.DUMMYFUNCTION("""COMPUTED_VALUE"""),172)</f>
        <v>172</v>
      </c>
      <c r="P206" s="1">
        <f ca="1">IFERROR(__xludf.DUMMYFUNCTION("""COMPUTED_VALUE"""),103.8)</f>
        <v>103.8</v>
      </c>
      <c r="Q206" s="1">
        <f ca="1">IFERROR(__xludf.DUMMYFUNCTION("""COMPUTED_VALUE"""),141)</f>
        <v>141</v>
      </c>
      <c r="R206" s="1">
        <f ca="1">IFERROR(__xludf.DUMMYFUNCTION("""COMPUTED_VALUE"""),104.5)</f>
        <v>104.5</v>
      </c>
      <c r="S206" s="1">
        <f ca="1">IFERROR(__xludf.DUMMYFUNCTION("""COMPUTED_VALUE"""),226)</f>
        <v>226</v>
      </c>
      <c r="T206" s="1" t="str">
        <f ca="1">IFERROR(__xludf.DUMMYFUNCTION("""COMPUTED_VALUE"""),"+5.87")</f>
        <v>+5.87</v>
      </c>
      <c r="U206" s="1">
        <f ca="1">IFERROR(__xludf.DUMMYFUNCTION("""COMPUTED_VALUE"""),36)</f>
        <v>36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IFERROR(__xludf.DUMMYFUNCTION("""COMPUTED_VALUE"""),"East Carolina")</f>
        <v>East Carolina</v>
      </c>
      <c r="C207" s="1" t="str">
        <f ca="1">IFERROR(__xludf.DUMMYFUNCTION("""COMPUTED_VALUE"""),"CUSA")</f>
        <v>CUSA</v>
      </c>
      <c r="D207" s="2">
        <f ca="1">IFERROR(__xludf.DUMMYFUNCTION("""COMPUTED_VALUE"""),44823)</f>
        <v>44823</v>
      </c>
      <c r="E207" s="1">
        <f ca="1">IFERROR(__xludf.DUMMYFUNCTION("""COMPUTED_VALUE"""),-2.99)</f>
        <v>-2.99</v>
      </c>
      <c r="F207" s="1">
        <f ca="1">IFERROR(__xludf.DUMMYFUNCTION("""COMPUTED_VALUE"""),97.4)</f>
        <v>97.4</v>
      </c>
      <c r="G207" s="1">
        <f ca="1">IFERROR(__xludf.DUMMYFUNCTION("""COMPUTED_VALUE"""),250)</f>
        <v>250</v>
      </c>
      <c r="H207" s="1">
        <f ca="1">IFERROR(__xludf.DUMMYFUNCTION("""COMPUTED_VALUE"""),100.3)</f>
        <v>100.3</v>
      </c>
      <c r="I207" s="1">
        <f ca="1">IFERROR(__xludf.DUMMYFUNCTION("""COMPUTED_VALUE"""),112)</f>
        <v>112</v>
      </c>
      <c r="J207" s="1">
        <f ca="1">IFERROR(__xludf.DUMMYFUNCTION("""COMPUTED_VALUE"""),66.3)</f>
        <v>66.3</v>
      </c>
      <c r="K207" s="1">
        <f ca="1">IFERROR(__xludf.DUMMYFUNCTION("""COMPUTED_VALUE"""),156)</f>
        <v>156</v>
      </c>
      <c r="L207" s="1">
        <f ca="1">IFERROR(__xludf.DUMMYFUNCTION("""COMPUTED_VALUE"""),-0.022)</f>
        <v>-2.1999999999999999E-2</v>
      </c>
      <c r="M207" s="1">
        <f ca="1">IFERROR(__xludf.DUMMYFUNCTION("""COMPUTED_VALUE"""),220)</f>
        <v>220</v>
      </c>
      <c r="N207" s="1" t="str">
        <f ca="1">IFERROR(__xludf.DUMMYFUNCTION("""COMPUTED_VALUE"""),"+6.17")</f>
        <v>+6.17</v>
      </c>
      <c r="O207" s="1">
        <f ca="1">IFERROR(__xludf.DUMMYFUNCTION("""COMPUTED_VALUE"""),62)</f>
        <v>62</v>
      </c>
      <c r="P207" s="1">
        <f ca="1">IFERROR(__xludf.DUMMYFUNCTION("""COMPUTED_VALUE"""),106)</f>
        <v>106</v>
      </c>
      <c r="Q207" s="1">
        <f ca="1">IFERROR(__xludf.DUMMYFUNCTION("""COMPUTED_VALUE"""),77)</f>
        <v>77</v>
      </c>
      <c r="R207" s="1">
        <f ca="1">IFERROR(__xludf.DUMMYFUNCTION("""COMPUTED_VALUE"""),99.8)</f>
        <v>99.8</v>
      </c>
      <c r="S207" s="1">
        <f ca="1">IFERROR(__xludf.DUMMYFUNCTION("""COMPUTED_VALUE"""),46)</f>
        <v>46</v>
      </c>
      <c r="T207" s="1" t="str">
        <f ca="1">IFERROR(__xludf.DUMMYFUNCTION("""COMPUTED_VALUE"""),"+4.18")</f>
        <v>+4.18</v>
      </c>
      <c r="U207" s="1">
        <f ca="1">IFERROR(__xludf.DUMMYFUNCTION("""COMPUTED_VALUE"""),65)</f>
        <v>65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IFERROR(__xludf.DUMMYFUNCTION("""COMPUTED_VALUE"""),"South Carolina St.")</f>
        <v>South Carolina St.</v>
      </c>
      <c r="C208" s="1" t="str">
        <f ca="1">IFERROR(__xludf.DUMMYFUNCTION("""COMPUTED_VALUE"""),"MEAC")</f>
        <v>MEAC</v>
      </c>
      <c r="D208" s="1" t="str">
        <f ca="1">IFERROR(__xludf.DUMMYFUNCTION("""COMPUTED_VALUE"""),"18-12")</f>
        <v>18-12</v>
      </c>
      <c r="E208" s="1">
        <f ca="1">IFERROR(__xludf.DUMMYFUNCTION("""COMPUTED_VALUE"""),-3.02)</f>
        <v>-3.02</v>
      </c>
      <c r="F208" s="1">
        <f ca="1">IFERROR(__xludf.DUMMYFUNCTION("""COMPUTED_VALUE"""),98.8)</f>
        <v>98.8</v>
      </c>
      <c r="G208" s="1">
        <f ca="1">IFERROR(__xludf.DUMMYFUNCTION("""COMPUTED_VALUE"""),230)</f>
        <v>230</v>
      </c>
      <c r="H208" s="1">
        <f ca="1">IFERROR(__xludf.DUMMYFUNCTION("""COMPUTED_VALUE"""),101.8)</f>
        <v>101.8</v>
      </c>
      <c r="I208" s="1">
        <f ca="1">IFERROR(__xludf.DUMMYFUNCTION("""COMPUTED_VALUE"""),149)</f>
        <v>149</v>
      </c>
      <c r="J208" s="1">
        <f ca="1">IFERROR(__xludf.DUMMYFUNCTION("""COMPUTED_VALUE"""),65)</f>
        <v>65</v>
      </c>
      <c r="K208" s="1">
        <f ca="1">IFERROR(__xludf.DUMMYFUNCTION("""COMPUTED_VALUE"""),216)</f>
        <v>216</v>
      </c>
      <c r="L208" s="1">
        <f ca="1">IFERROR(__xludf.DUMMYFUNCTION("""COMPUTED_VALUE"""),-0.066)</f>
        <v>-6.6000000000000003E-2</v>
      </c>
      <c r="M208" s="1">
        <f ca="1">IFERROR(__xludf.DUMMYFUNCTION("""COMPUTED_VALUE"""),299)</f>
        <v>299</v>
      </c>
      <c r="N208" s="1">
        <f ca="1">IFERROR(__xludf.DUMMYFUNCTION("""COMPUTED_VALUE"""),-12.62)</f>
        <v>-12.62</v>
      </c>
      <c r="O208" s="1">
        <f ca="1">IFERROR(__xludf.DUMMYFUNCTION("""COMPUTED_VALUE"""),323)</f>
        <v>323</v>
      </c>
      <c r="P208" s="1">
        <f ca="1">IFERROR(__xludf.DUMMYFUNCTION("""COMPUTED_VALUE"""),94.6)</f>
        <v>94.6</v>
      </c>
      <c r="Q208" s="1">
        <f ca="1">IFERROR(__xludf.DUMMYFUNCTION("""COMPUTED_VALUE"""),315)</f>
        <v>315</v>
      </c>
      <c r="R208" s="1">
        <f ca="1">IFERROR(__xludf.DUMMYFUNCTION("""COMPUTED_VALUE"""),107.2)</f>
        <v>107.2</v>
      </c>
      <c r="S208" s="1">
        <f ca="1">IFERROR(__xludf.DUMMYFUNCTION("""COMPUTED_VALUE"""),315)</f>
        <v>315</v>
      </c>
      <c r="T208" s="1">
        <f ca="1">IFERROR(__xludf.DUMMYFUNCTION("""COMPUTED_VALUE"""),-7.8)</f>
        <v>-7.8</v>
      </c>
      <c r="U208" s="1">
        <f ca="1">IFERROR(__xludf.DUMMYFUNCTION("""COMPUTED_VALUE"""),308)</f>
        <v>308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IFERROR(__xludf.DUMMYFUNCTION("""COMPUTED_VALUE"""),"Furman")</f>
        <v>Furman</v>
      </c>
      <c r="C209" s="1" t="str">
        <f ca="1">IFERROR(__xludf.DUMMYFUNCTION("""COMPUTED_VALUE"""),"SC")</f>
        <v>SC</v>
      </c>
      <c r="D209" s="1" t="str">
        <f ca="1">IFERROR(__xludf.DUMMYFUNCTION("""COMPUTED_VALUE"""),"16-13")</f>
        <v>16-13</v>
      </c>
      <c r="E209" s="1">
        <f ca="1">IFERROR(__xludf.DUMMYFUNCTION("""COMPUTED_VALUE"""),-3.08)</f>
        <v>-3.08</v>
      </c>
      <c r="F209" s="1">
        <f ca="1">IFERROR(__xludf.DUMMYFUNCTION("""COMPUTED_VALUE"""),101.7)</f>
        <v>101.7</v>
      </c>
      <c r="G209" s="1">
        <f ca="1">IFERROR(__xludf.DUMMYFUNCTION("""COMPUTED_VALUE"""),190)</f>
        <v>190</v>
      </c>
      <c r="H209" s="1">
        <f ca="1">IFERROR(__xludf.DUMMYFUNCTION("""COMPUTED_VALUE"""),104.8)</f>
        <v>104.8</v>
      </c>
      <c r="I209" s="1">
        <f ca="1">IFERROR(__xludf.DUMMYFUNCTION("""COMPUTED_VALUE"""),209)</f>
        <v>209</v>
      </c>
      <c r="J209" s="1">
        <f ca="1">IFERROR(__xludf.DUMMYFUNCTION("""COMPUTED_VALUE"""),63.1)</f>
        <v>63.1</v>
      </c>
      <c r="K209" s="1">
        <f ca="1">IFERROR(__xludf.DUMMYFUNCTION("""COMPUTED_VALUE"""),283)</f>
        <v>283</v>
      </c>
      <c r="L209" s="1">
        <f ca="1">IFERROR(__xludf.DUMMYFUNCTION("""COMPUTED_VALUE"""),-0.012)</f>
        <v>-1.2E-2</v>
      </c>
      <c r="M209" s="1">
        <f ca="1">IFERROR(__xludf.DUMMYFUNCTION("""COMPUTED_VALUE"""),191)</f>
        <v>191</v>
      </c>
      <c r="N209" s="1">
        <f ca="1">IFERROR(__xludf.DUMMYFUNCTION("""COMPUTED_VALUE"""),-3.25)</f>
        <v>-3.25</v>
      </c>
      <c r="O209" s="1">
        <f ca="1">IFERROR(__xludf.DUMMYFUNCTION("""COMPUTED_VALUE"""),219)</f>
        <v>219</v>
      </c>
      <c r="P209" s="1">
        <f ca="1">IFERROR(__xludf.DUMMYFUNCTION("""COMPUTED_VALUE"""),100.7)</f>
        <v>100.7</v>
      </c>
      <c r="Q209" s="1">
        <f ca="1">IFERROR(__xludf.DUMMYFUNCTION("""COMPUTED_VALUE"""),230)</f>
        <v>230</v>
      </c>
      <c r="R209" s="1">
        <f ca="1">IFERROR(__xludf.DUMMYFUNCTION("""COMPUTED_VALUE"""),104)</f>
        <v>104</v>
      </c>
      <c r="S209" s="1">
        <f ca="1">IFERROR(__xludf.DUMMYFUNCTION("""COMPUTED_VALUE"""),208)</f>
        <v>208</v>
      </c>
      <c r="T209" s="1" t="str">
        <f ca="1">IFERROR(__xludf.DUMMYFUNCTION("""COMPUTED_VALUE"""),"+3.89")</f>
        <v>+3.89</v>
      </c>
      <c r="U209" s="1">
        <f ca="1">IFERROR(__xludf.DUMMYFUNCTION("""COMPUTED_VALUE"""),70)</f>
        <v>70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IFERROR(__xludf.DUMMYFUNCTION("""COMPUTED_VALUE"""),"UTSA")</f>
        <v>UTSA</v>
      </c>
      <c r="C210" s="1" t="str">
        <f ca="1">IFERROR(__xludf.DUMMYFUNCTION("""COMPUTED_VALUE"""),"Slnd")</f>
        <v>Slnd</v>
      </c>
      <c r="D210" s="1" t="str">
        <f ca="1">IFERROR(__xludf.DUMMYFUNCTION("""COMPUTED_VALUE"""),"15-13")</f>
        <v>15-13</v>
      </c>
      <c r="E210" s="1">
        <f ca="1">IFERROR(__xludf.DUMMYFUNCTION("""COMPUTED_VALUE"""),-3.35)</f>
        <v>-3.35</v>
      </c>
      <c r="F210" s="1">
        <f ca="1">IFERROR(__xludf.DUMMYFUNCTION("""COMPUTED_VALUE"""),100.4)</f>
        <v>100.4</v>
      </c>
      <c r="G210" s="1">
        <f ca="1">IFERROR(__xludf.DUMMYFUNCTION("""COMPUTED_VALUE"""),211)</f>
        <v>211</v>
      </c>
      <c r="H210" s="1">
        <f ca="1">IFERROR(__xludf.DUMMYFUNCTION("""COMPUTED_VALUE"""),103.8)</f>
        <v>103.8</v>
      </c>
      <c r="I210" s="1">
        <f ca="1">IFERROR(__xludf.DUMMYFUNCTION("""COMPUTED_VALUE"""),188)</f>
        <v>188</v>
      </c>
      <c r="J210" s="1">
        <f ca="1">IFERROR(__xludf.DUMMYFUNCTION("""COMPUTED_VALUE"""),72.8)</f>
        <v>72.8</v>
      </c>
      <c r="K210" s="1">
        <f ca="1">IFERROR(__xludf.DUMMYFUNCTION("""COMPUTED_VALUE"""),9)</f>
        <v>9</v>
      </c>
      <c r="L210" s="1">
        <f ca="1">IFERROR(__xludf.DUMMYFUNCTION("""COMPUTED_VALUE"""),-0.006)</f>
        <v>-6.0000000000000001E-3</v>
      </c>
      <c r="M210" s="1">
        <f ca="1">IFERROR(__xludf.DUMMYFUNCTION("""COMPUTED_VALUE"""),176)</f>
        <v>176</v>
      </c>
      <c r="N210" s="1">
        <f ca="1">IFERROR(__xludf.DUMMYFUNCTION("""COMPUTED_VALUE"""),-3.67)</f>
        <v>-3.67</v>
      </c>
      <c r="O210" s="1">
        <f ca="1">IFERROR(__xludf.DUMMYFUNCTION("""COMPUTED_VALUE"""),235)</f>
        <v>235</v>
      </c>
      <c r="P210" s="1">
        <f ca="1">IFERROR(__xludf.DUMMYFUNCTION("""COMPUTED_VALUE"""),101.2)</f>
        <v>101.2</v>
      </c>
      <c r="Q210" s="1">
        <f ca="1">IFERROR(__xludf.DUMMYFUNCTION("""COMPUTED_VALUE"""),220)</f>
        <v>220</v>
      </c>
      <c r="R210" s="1">
        <f ca="1">IFERROR(__xludf.DUMMYFUNCTION("""COMPUTED_VALUE"""),104.9)</f>
        <v>104.9</v>
      </c>
      <c r="S210" s="1">
        <f ca="1">IFERROR(__xludf.DUMMYFUNCTION("""COMPUTED_VALUE"""),243)</f>
        <v>243</v>
      </c>
      <c r="T210" s="1" t="str">
        <f ca="1">IFERROR(__xludf.DUMMYFUNCTION("""COMPUTED_VALUE"""),"+5.14")</f>
        <v>+5.14</v>
      </c>
      <c r="U210" s="1">
        <f ca="1">IFERROR(__xludf.DUMMYFUNCTION("""COMPUTED_VALUE"""),47)</f>
        <v>47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IFERROR(__xludf.DUMMYFUNCTION("""COMPUTED_VALUE"""),"FIU")</f>
        <v>FIU</v>
      </c>
      <c r="C213" s="1" t="str">
        <f ca="1">IFERROR(__xludf.DUMMYFUNCTION("""COMPUTED_VALUE"""),"SB")</f>
        <v>SB</v>
      </c>
      <c r="D213" s="1" t="str">
        <f ca="1">IFERROR(__xludf.DUMMYFUNCTION("""COMPUTED_VALUE"""),"13-17")</f>
        <v>13-17</v>
      </c>
      <c r="E213" s="1">
        <f ca="1">IFERROR(__xludf.DUMMYFUNCTION("""COMPUTED_VALUE"""),-3.66)</f>
        <v>-3.66</v>
      </c>
      <c r="F213" s="1">
        <f ca="1">IFERROR(__xludf.DUMMYFUNCTION("""COMPUTED_VALUE"""),98.4)</f>
        <v>98.4</v>
      </c>
      <c r="G213" s="1">
        <f ca="1">IFERROR(__xludf.DUMMYFUNCTION("""COMPUTED_VALUE"""),235)</f>
        <v>235</v>
      </c>
      <c r="H213" s="1">
        <f ca="1">IFERROR(__xludf.DUMMYFUNCTION("""COMPUTED_VALUE"""),102)</f>
        <v>102</v>
      </c>
      <c r="I213" s="1">
        <f ca="1">IFERROR(__xludf.DUMMYFUNCTION("""COMPUTED_VALUE"""),154)</f>
        <v>154</v>
      </c>
      <c r="J213" s="1">
        <f ca="1">IFERROR(__xludf.DUMMYFUNCTION("""COMPUTED_VALUE"""),66.6)</f>
        <v>66.599999999999994</v>
      </c>
      <c r="K213" s="1">
        <f ca="1">IFERROR(__xludf.DUMMYFUNCTION("""COMPUTED_VALUE"""),139)</f>
        <v>139</v>
      </c>
      <c r="L213" s="1" t="str">
        <f ca="1">IFERROR(__xludf.DUMMYFUNCTION("""COMPUTED_VALUE"""),"+.040")</f>
        <v>+.040</v>
      </c>
      <c r="M213" s="1">
        <f ca="1">IFERROR(__xludf.DUMMYFUNCTION("""COMPUTED_VALUE"""),75)</f>
        <v>75</v>
      </c>
      <c r="N213" s="1" t="str">
        <f ca="1">IFERROR(__xludf.DUMMYFUNCTION("""COMPUTED_VALUE"""),"+0.85")</f>
        <v>+0.85</v>
      </c>
      <c r="O213" s="1">
        <f ca="1">IFERROR(__xludf.DUMMYFUNCTION("""COMPUTED_VALUE"""),143)</f>
        <v>143</v>
      </c>
      <c r="P213" s="1">
        <f ca="1">IFERROR(__xludf.DUMMYFUNCTION("""COMPUTED_VALUE"""),104)</f>
        <v>104</v>
      </c>
      <c r="Q213" s="1">
        <f ca="1">IFERROR(__xludf.DUMMYFUNCTION("""COMPUTED_VALUE"""),137)</f>
        <v>137</v>
      </c>
      <c r="R213" s="1">
        <f ca="1">IFERROR(__xludf.DUMMYFUNCTION("""COMPUTED_VALUE"""),103.1)</f>
        <v>103.1</v>
      </c>
      <c r="S213" s="1">
        <f ca="1">IFERROR(__xludf.DUMMYFUNCTION("""COMPUTED_VALUE"""),164)</f>
        <v>164</v>
      </c>
      <c r="T213" s="1" t="str">
        <f ca="1">IFERROR(__xludf.DUMMYFUNCTION("""COMPUTED_VALUE"""),"+0.52")</f>
        <v>+0.52</v>
      </c>
      <c r="U213" s="1">
        <f ca="1">IFERROR(__xludf.DUMMYFUNCTION("""COMPUTED_VALUE"""),149)</f>
        <v>149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IFERROR(__xludf.DUMMYFUNCTION("""COMPUTED_VALUE"""),"Marshall")</f>
        <v>Marshall</v>
      </c>
      <c r="C214" s="1" t="str">
        <f ca="1">IFERROR(__xludf.DUMMYFUNCTION("""COMPUTED_VALUE"""),"MAC")</f>
        <v>MAC</v>
      </c>
      <c r="D214" s="2">
        <f ca="1">IFERROR(__xludf.DUMMYFUNCTION("""COMPUTED_VALUE"""),44734)</f>
        <v>44734</v>
      </c>
      <c r="E214" s="1">
        <f ca="1">IFERROR(__xludf.DUMMYFUNCTION("""COMPUTED_VALUE"""),-3.8)</f>
        <v>-3.8</v>
      </c>
      <c r="F214" s="1">
        <f ca="1">IFERROR(__xludf.DUMMYFUNCTION("""COMPUTED_VALUE"""),104)</f>
        <v>104</v>
      </c>
      <c r="G214" s="1">
        <f ca="1">IFERROR(__xludf.DUMMYFUNCTION("""COMPUTED_VALUE"""),145)</f>
        <v>145</v>
      </c>
      <c r="H214" s="1">
        <f ca="1">IFERROR(__xludf.DUMMYFUNCTION("""COMPUTED_VALUE"""),107.8)</f>
        <v>107.8</v>
      </c>
      <c r="I214" s="1">
        <f ca="1">IFERROR(__xludf.DUMMYFUNCTION("""COMPUTED_VALUE"""),261)</f>
        <v>261</v>
      </c>
      <c r="J214" s="1">
        <f ca="1">IFERROR(__xludf.DUMMYFUNCTION("""COMPUTED_VALUE"""),65.3)</f>
        <v>65.3</v>
      </c>
      <c r="K214" s="1">
        <f ca="1">IFERROR(__xludf.DUMMYFUNCTION("""COMPUTED_VALUE"""),206)</f>
        <v>206</v>
      </c>
      <c r="L214" s="1" t="str">
        <f ca="1">IFERROR(__xludf.DUMMYFUNCTION("""COMPUTED_VALUE"""),"+.007")</f>
        <v>+.007</v>
      </c>
      <c r="M214" s="1">
        <f ca="1">IFERROR(__xludf.DUMMYFUNCTION("""COMPUTED_VALUE"""),147)</f>
        <v>147</v>
      </c>
      <c r="N214" s="1" t="str">
        <f ca="1">IFERROR(__xludf.DUMMYFUNCTION("""COMPUTED_VALUE"""),"+5.77")</f>
        <v>+5.77</v>
      </c>
      <c r="O214" s="1">
        <f ca="1">IFERROR(__xludf.DUMMYFUNCTION("""COMPUTED_VALUE"""),66)</f>
        <v>66</v>
      </c>
      <c r="P214" s="1">
        <f ca="1">IFERROR(__xludf.DUMMYFUNCTION("""COMPUTED_VALUE"""),106.9)</f>
        <v>106.9</v>
      </c>
      <c r="Q214" s="1">
        <f ca="1">IFERROR(__xludf.DUMMYFUNCTION("""COMPUTED_VALUE"""),43)</f>
        <v>43</v>
      </c>
      <c r="R214" s="1">
        <f ca="1">IFERROR(__xludf.DUMMYFUNCTION("""COMPUTED_VALUE"""),101.1)</f>
        <v>101.1</v>
      </c>
      <c r="S214" s="1">
        <f ca="1">IFERROR(__xludf.DUMMYFUNCTION("""COMPUTED_VALUE"""),91)</f>
        <v>91</v>
      </c>
      <c r="T214" s="1" t="str">
        <f ca="1">IFERROR(__xludf.DUMMYFUNCTION("""COMPUTED_VALUE"""),"+4.89")</f>
        <v>+4.89</v>
      </c>
      <c r="U214" s="1">
        <f ca="1">IFERROR(__xludf.DUMMYFUNCTION("""COMPUTED_VALUE"""),50)</f>
        <v>50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IFERROR(__xludf.DUMMYFUNCTION("""COMPUTED_VALUE"""),"Yale")</f>
        <v>Yale</v>
      </c>
      <c r="C215" s="1" t="str">
        <f ca="1">IFERROR(__xludf.DUMMYFUNCTION("""COMPUTED_VALUE"""),"Ivy")</f>
        <v>Ivy</v>
      </c>
      <c r="D215" s="2">
        <f ca="1">IFERROR(__xludf.DUMMYFUNCTION("""COMPUTED_VALUE"""),44881)</f>
        <v>44881</v>
      </c>
      <c r="E215" s="1">
        <f ca="1">IFERROR(__xludf.DUMMYFUNCTION("""COMPUTED_VALUE"""),-4.1)</f>
        <v>-4.0999999999999996</v>
      </c>
      <c r="F215" s="1">
        <f ca="1">IFERROR(__xludf.DUMMYFUNCTION("""COMPUTED_VALUE"""),98.7)</f>
        <v>98.7</v>
      </c>
      <c r="G215" s="1">
        <f ca="1">IFERROR(__xludf.DUMMYFUNCTION("""COMPUTED_VALUE"""),233)</f>
        <v>233</v>
      </c>
      <c r="H215" s="1">
        <f ca="1">IFERROR(__xludf.DUMMYFUNCTION("""COMPUTED_VALUE"""),102.8)</f>
        <v>102.8</v>
      </c>
      <c r="I215" s="1">
        <f ca="1">IFERROR(__xludf.DUMMYFUNCTION("""COMPUTED_VALUE"""),163)</f>
        <v>163</v>
      </c>
      <c r="J215" s="1">
        <f ca="1">IFERROR(__xludf.DUMMYFUNCTION("""COMPUTED_VALUE"""),67.1)</f>
        <v>67.099999999999994</v>
      </c>
      <c r="K215" s="1">
        <f ca="1">IFERROR(__xludf.DUMMYFUNCTION("""COMPUTED_VALUE"""),118)</f>
        <v>118</v>
      </c>
      <c r="L215" s="1">
        <f ca="1">IFERROR(__xludf.DUMMYFUNCTION("""COMPUTED_VALUE"""),-0.025)</f>
        <v>-2.5000000000000001E-2</v>
      </c>
      <c r="M215" s="1">
        <f ca="1">IFERROR(__xludf.DUMMYFUNCTION("""COMPUTED_VALUE"""),230)</f>
        <v>230</v>
      </c>
      <c r="N215" s="1">
        <f ca="1">IFERROR(__xludf.DUMMYFUNCTION("""COMPUTED_VALUE"""),-2.6)</f>
        <v>-2.6</v>
      </c>
      <c r="O215" s="1">
        <f ca="1">IFERROR(__xludf.DUMMYFUNCTION("""COMPUTED_VALUE"""),205)</f>
        <v>205</v>
      </c>
      <c r="P215" s="1">
        <f ca="1">IFERROR(__xludf.DUMMYFUNCTION("""COMPUTED_VALUE"""),101.6)</f>
        <v>101.6</v>
      </c>
      <c r="Q215" s="1">
        <f ca="1">IFERROR(__xludf.DUMMYFUNCTION("""COMPUTED_VALUE"""),204)</f>
        <v>204</v>
      </c>
      <c r="R215" s="1">
        <f ca="1">IFERROR(__xludf.DUMMYFUNCTION("""COMPUTED_VALUE"""),104.2)</f>
        <v>104.2</v>
      </c>
      <c r="S215" s="1">
        <f ca="1">IFERROR(__xludf.DUMMYFUNCTION("""COMPUTED_VALUE"""),216)</f>
        <v>216</v>
      </c>
      <c r="T215" s="1" t="str">
        <f ca="1">IFERROR(__xludf.DUMMYFUNCTION("""COMPUTED_VALUE"""),"+0.66")</f>
        <v>+0.66</v>
      </c>
      <c r="U215" s="1">
        <f ca="1">IFERROR(__xludf.DUMMYFUNCTION("""COMPUTED_VALUE"""),143)</f>
        <v>143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IFERROR(__xludf.DUMMYFUNCTION("""COMPUTED_VALUE"""),"Cleveland St.")</f>
        <v>Cleveland St.</v>
      </c>
      <c r="C216" s="1" t="str">
        <f ca="1">IFERROR(__xludf.DUMMYFUNCTION("""COMPUTED_VALUE"""),"Horz")</f>
        <v>Horz</v>
      </c>
      <c r="D216" s="2">
        <f ca="1">IFERROR(__xludf.DUMMYFUNCTION("""COMPUTED_VALUE"""),44821)</f>
        <v>44821</v>
      </c>
      <c r="E216" s="1">
        <f ca="1">IFERROR(__xludf.DUMMYFUNCTION("""COMPUTED_VALUE"""),-4.25)</f>
        <v>-4.25</v>
      </c>
      <c r="F216" s="1">
        <f ca="1">IFERROR(__xludf.DUMMYFUNCTION("""COMPUTED_VALUE"""),100.6)</f>
        <v>100.6</v>
      </c>
      <c r="G216" s="1">
        <f ca="1">IFERROR(__xludf.DUMMYFUNCTION("""COMPUTED_VALUE"""),208)</f>
        <v>208</v>
      </c>
      <c r="H216" s="1">
        <f ca="1">IFERROR(__xludf.DUMMYFUNCTION("""COMPUTED_VALUE"""),104.8)</f>
        <v>104.8</v>
      </c>
      <c r="I216" s="1">
        <f ca="1">IFERROR(__xludf.DUMMYFUNCTION("""COMPUTED_VALUE"""),213)</f>
        <v>213</v>
      </c>
      <c r="J216" s="1">
        <f ca="1">IFERROR(__xludf.DUMMYFUNCTION("""COMPUTED_VALUE"""),68.2)</f>
        <v>68.2</v>
      </c>
      <c r="K216" s="1">
        <f ca="1">IFERROR(__xludf.DUMMYFUNCTION("""COMPUTED_VALUE"""),85)</f>
        <v>85</v>
      </c>
      <c r="L216" s="1">
        <f ca="1">IFERROR(__xludf.DUMMYFUNCTION("""COMPUTED_VALUE"""),-0.096)</f>
        <v>-9.6000000000000002E-2</v>
      </c>
      <c r="M216" s="1">
        <f ca="1">IFERROR(__xludf.DUMMYFUNCTION("""COMPUTED_VALUE"""),322)</f>
        <v>322</v>
      </c>
      <c r="N216" s="1" t="str">
        <f ca="1">IFERROR(__xludf.DUMMYFUNCTION("""COMPUTED_VALUE"""),"+1.24")</f>
        <v>+1.24</v>
      </c>
      <c r="O216" s="1">
        <f ca="1">IFERROR(__xludf.DUMMYFUNCTION("""COMPUTED_VALUE"""),140)</f>
        <v>140</v>
      </c>
      <c r="P216" s="1">
        <f ca="1">IFERROR(__xludf.DUMMYFUNCTION("""COMPUTED_VALUE"""),104.3)</f>
        <v>104.3</v>
      </c>
      <c r="Q216" s="1">
        <f ca="1">IFERROR(__xludf.DUMMYFUNCTION("""COMPUTED_VALUE"""),128)</f>
        <v>128</v>
      </c>
      <c r="R216" s="1">
        <f ca="1">IFERROR(__xludf.DUMMYFUNCTION("""COMPUTED_VALUE"""),103.1)</f>
        <v>103.1</v>
      </c>
      <c r="S216" s="1">
        <f ca="1">IFERROR(__xludf.DUMMYFUNCTION("""COMPUTED_VALUE"""),159)</f>
        <v>159</v>
      </c>
      <c r="T216" s="1" t="str">
        <f ca="1">IFERROR(__xludf.DUMMYFUNCTION("""COMPUTED_VALUE"""),"+3.54")</f>
        <v>+3.54</v>
      </c>
      <c r="U216" s="1">
        <f ca="1">IFERROR(__xludf.DUMMYFUNCTION("""COMPUTED_VALUE"""),76)</f>
        <v>76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IFERROR(__xludf.DUMMYFUNCTION("""COMPUTED_VALUE"""),"Georgia")</f>
        <v>Georgia</v>
      </c>
      <c r="C217" s="1" t="str">
        <f ca="1">IFERROR(__xludf.DUMMYFUNCTION("""COMPUTED_VALUE"""),"SEC")</f>
        <v>SEC</v>
      </c>
      <c r="D217" s="2">
        <f ca="1">IFERROR(__xludf.DUMMYFUNCTION("""COMPUTED_VALUE"""),44793)</f>
        <v>44793</v>
      </c>
      <c r="E217" s="1">
        <f ca="1">IFERROR(__xludf.DUMMYFUNCTION("""COMPUTED_VALUE"""),-4.63)</f>
        <v>-4.63</v>
      </c>
      <c r="F217" s="1">
        <f ca="1">IFERROR(__xludf.DUMMYFUNCTION("""COMPUTED_VALUE"""),94.4)</f>
        <v>94.4</v>
      </c>
      <c r="G217" s="1">
        <f ca="1">IFERROR(__xludf.DUMMYFUNCTION("""COMPUTED_VALUE"""),287)</f>
        <v>287</v>
      </c>
      <c r="H217" s="1">
        <f ca="1">IFERROR(__xludf.DUMMYFUNCTION("""COMPUTED_VALUE"""),99.1)</f>
        <v>99.1</v>
      </c>
      <c r="I217" s="1">
        <f ca="1">IFERROR(__xludf.DUMMYFUNCTION("""COMPUTED_VALUE"""),87)</f>
        <v>87</v>
      </c>
      <c r="J217" s="1">
        <f ca="1">IFERROR(__xludf.DUMMYFUNCTION("""COMPUTED_VALUE"""),64.2)</f>
        <v>64.2</v>
      </c>
      <c r="K217" s="1">
        <f ca="1">IFERROR(__xludf.DUMMYFUNCTION("""COMPUTED_VALUE"""),244)</f>
        <v>244</v>
      </c>
      <c r="L217" s="1">
        <f ca="1">IFERROR(__xludf.DUMMYFUNCTION("""COMPUTED_VALUE"""),-0.008)</f>
        <v>-8.0000000000000002E-3</v>
      </c>
      <c r="M217" s="1">
        <f ca="1">IFERROR(__xludf.DUMMYFUNCTION("""COMPUTED_VALUE"""),183)</f>
        <v>183</v>
      </c>
      <c r="N217" s="1" t="str">
        <f ca="1">IFERROR(__xludf.DUMMYFUNCTION("""COMPUTED_VALUE"""),"+7.09")</f>
        <v>+7.09</v>
      </c>
      <c r="O217" s="1">
        <f ca="1">IFERROR(__xludf.DUMMYFUNCTION("""COMPUTED_VALUE"""),42)</f>
        <v>42</v>
      </c>
      <c r="P217" s="1">
        <f ca="1">IFERROR(__xludf.DUMMYFUNCTION("""COMPUTED_VALUE"""),106.3)</f>
        <v>106.3</v>
      </c>
      <c r="Q217" s="1">
        <f ca="1">IFERROR(__xludf.DUMMYFUNCTION("""COMPUTED_VALUE"""),62)</f>
        <v>62</v>
      </c>
      <c r="R217" s="1">
        <f ca="1">IFERROR(__xludf.DUMMYFUNCTION("""COMPUTED_VALUE"""),99.2)</f>
        <v>99.2</v>
      </c>
      <c r="S217" s="1">
        <f ca="1">IFERROR(__xludf.DUMMYFUNCTION("""COMPUTED_VALUE"""),30)</f>
        <v>30</v>
      </c>
      <c r="T217" s="1">
        <f ca="1">IFERROR(__xludf.DUMMYFUNCTION("""COMPUTED_VALUE"""),-7.69)</f>
        <v>-7.69</v>
      </c>
      <c r="U217" s="1">
        <f ca="1">IFERROR(__xludf.DUMMYFUNCTION("""COMPUTED_VALUE"""),306)</f>
        <v>306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IFERROR(__xludf.DUMMYFUNCTION("""COMPUTED_VALUE"""),"Western Illinois")</f>
        <v>Western Illinois</v>
      </c>
      <c r="C218" s="1" t="str">
        <f ca="1">IFERROR(__xludf.DUMMYFUNCTION("""COMPUTED_VALUE"""),"MCon")</f>
        <v>MCon</v>
      </c>
      <c r="D218" s="2">
        <f ca="1">IFERROR(__xludf.DUMMYFUNCTION("""COMPUTED_VALUE"""),44882)</f>
        <v>44882</v>
      </c>
      <c r="E218" s="1">
        <f ca="1">IFERROR(__xludf.DUMMYFUNCTION("""COMPUTED_VALUE"""),-4.71)</f>
        <v>-4.71</v>
      </c>
      <c r="F218" s="1">
        <f ca="1">IFERROR(__xludf.DUMMYFUNCTION("""COMPUTED_VALUE"""),100)</f>
        <v>100</v>
      </c>
      <c r="G218" s="1">
        <f ca="1">IFERROR(__xludf.DUMMYFUNCTION("""COMPUTED_VALUE"""),215)</f>
        <v>215</v>
      </c>
      <c r="H218" s="1">
        <f ca="1">IFERROR(__xludf.DUMMYFUNCTION("""COMPUTED_VALUE"""),104.7)</f>
        <v>104.7</v>
      </c>
      <c r="I218" s="1">
        <f ca="1">IFERROR(__xludf.DUMMYFUNCTION("""COMPUTED_VALUE"""),204)</f>
        <v>204</v>
      </c>
      <c r="J218" s="1">
        <f ca="1">IFERROR(__xludf.DUMMYFUNCTION("""COMPUTED_VALUE"""),64.1)</f>
        <v>64.099999999999994</v>
      </c>
      <c r="K218" s="1">
        <f ca="1">IFERROR(__xludf.DUMMYFUNCTION("""COMPUTED_VALUE"""),251)</f>
        <v>251</v>
      </c>
      <c r="L218" s="1">
        <f ca="1">IFERROR(__xludf.DUMMYFUNCTION("""COMPUTED_VALUE"""),-0.054)</f>
        <v>-5.3999999999999999E-2</v>
      </c>
      <c r="M218" s="1">
        <f ca="1">IFERROR(__xludf.DUMMYFUNCTION("""COMPUTED_VALUE"""),286)</f>
        <v>286</v>
      </c>
      <c r="N218" s="1">
        <f ca="1">IFERROR(__xludf.DUMMYFUNCTION("""COMPUTED_VALUE"""),-0.95)</f>
        <v>-0.95</v>
      </c>
      <c r="O218" s="1">
        <f ca="1">IFERROR(__xludf.DUMMYFUNCTION("""COMPUTED_VALUE"""),176)</f>
        <v>176</v>
      </c>
      <c r="P218" s="1">
        <f ca="1">IFERROR(__xludf.DUMMYFUNCTION("""COMPUTED_VALUE"""),104.6)</f>
        <v>104.6</v>
      </c>
      <c r="Q218" s="1">
        <f ca="1">IFERROR(__xludf.DUMMYFUNCTION("""COMPUTED_VALUE"""),118)</f>
        <v>118</v>
      </c>
      <c r="R218" s="1">
        <f ca="1">IFERROR(__xludf.DUMMYFUNCTION("""COMPUTED_VALUE"""),105.6)</f>
        <v>105.6</v>
      </c>
      <c r="S218" s="1">
        <f ca="1">IFERROR(__xludf.DUMMYFUNCTION("""COMPUTED_VALUE"""),269)</f>
        <v>269</v>
      </c>
      <c r="T218" s="1" t="str">
        <f ca="1">IFERROR(__xludf.DUMMYFUNCTION("""COMPUTED_VALUE"""),"+5.81")</f>
        <v>+5.81</v>
      </c>
      <c r="U218" s="1">
        <f ca="1">IFERROR(__xludf.DUMMYFUNCTION("""COMPUTED_VALUE"""),38)</f>
        <v>38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IFERROR(__xludf.DUMMYFUNCTION("""COMPUTED_VALUE"""),"North Texas")</f>
        <v>North Texas</v>
      </c>
      <c r="C219" s="1" t="str">
        <f ca="1">IFERROR(__xludf.DUMMYFUNCTION("""COMPUTED_VALUE"""),"SB")</f>
        <v>SB</v>
      </c>
      <c r="D219" s="1" t="str">
        <f ca="1">IFERROR(__xludf.DUMMYFUNCTION("""COMPUTED_VALUE"""),"14-14")</f>
        <v>14-14</v>
      </c>
      <c r="E219" s="1">
        <f ca="1">IFERROR(__xludf.DUMMYFUNCTION("""COMPUTED_VALUE"""),-4.73)</f>
        <v>-4.7300000000000004</v>
      </c>
      <c r="F219" s="1">
        <f ca="1">IFERROR(__xludf.DUMMYFUNCTION("""COMPUTED_VALUE"""),100.9)</f>
        <v>100.9</v>
      </c>
      <c r="G219" s="1">
        <f ca="1">IFERROR(__xludf.DUMMYFUNCTION("""COMPUTED_VALUE"""),206)</f>
        <v>206</v>
      </c>
      <c r="H219" s="1">
        <f ca="1">IFERROR(__xludf.DUMMYFUNCTION("""COMPUTED_VALUE"""),105.6)</f>
        <v>105.6</v>
      </c>
      <c r="I219" s="1">
        <f ca="1">IFERROR(__xludf.DUMMYFUNCTION("""COMPUTED_VALUE"""),228)</f>
        <v>228</v>
      </c>
      <c r="J219" s="1">
        <f ca="1">IFERROR(__xludf.DUMMYFUNCTION("""COMPUTED_VALUE"""),71.1)</f>
        <v>71.099999999999994</v>
      </c>
      <c r="K219" s="1">
        <f ca="1">IFERROR(__xludf.DUMMYFUNCTION("""COMPUTED_VALUE"""),22)</f>
        <v>22</v>
      </c>
      <c r="L219" s="1" t="str">
        <f ca="1">IFERROR(__xludf.DUMMYFUNCTION("""COMPUTED_VALUE"""),"+.067")</f>
        <v>+.067</v>
      </c>
      <c r="M219" s="1">
        <f ca="1">IFERROR(__xludf.DUMMYFUNCTION("""COMPUTED_VALUE"""),35)</f>
        <v>35</v>
      </c>
      <c r="N219" s="1">
        <f ca="1">IFERROR(__xludf.DUMMYFUNCTION("""COMPUTED_VALUE"""),-1.41)</f>
        <v>-1.41</v>
      </c>
      <c r="O219" s="1">
        <f ca="1">IFERROR(__xludf.DUMMYFUNCTION("""COMPUTED_VALUE"""),183)</f>
        <v>183</v>
      </c>
      <c r="P219" s="1">
        <f ca="1">IFERROR(__xludf.DUMMYFUNCTION("""COMPUTED_VALUE"""),102.3)</f>
        <v>102.3</v>
      </c>
      <c r="Q219" s="1">
        <f ca="1">IFERROR(__xludf.DUMMYFUNCTION("""COMPUTED_VALUE"""),188)</f>
        <v>188</v>
      </c>
      <c r="R219" s="1">
        <f ca="1">IFERROR(__xludf.DUMMYFUNCTION("""COMPUTED_VALUE"""),103.7)</f>
        <v>103.7</v>
      </c>
      <c r="S219" s="1">
        <f ca="1">IFERROR(__xludf.DUMMYFUNCTION("""COMPUTED_VALUE"""),194)</f>
        <v>194</v>
      </c>
      <c r="T219" s="1">
        <f ca="1">IFERROR(__xludf.DUMMYFUNCTION("""COMPUTED_VALUE"""),-2.41)</f>
        <v>-2.41</v>
      </c>
      <c r="U219" s="1">
        <f ca="1">IFERROR(__xludf.DUMMYFUNCTION("""COMPUTED_VALUE"""),224)</f>
        <v>224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IFERROR(__xludf.DUMMYFUNCTION("""COMPUTED_VALUE"""),"UNC Greensboro")</f>
        <v>UNC Greensboro</v>
      </c>
      <c r="C220" s="1" t="str">
        <f ca="1">IFERROR(__xludf.DUMMYFUNCTION("""COMPUTED_VALUE"""),"SC")</f>
        <v>SC</v>
      </c>
      <c r="D220" s="1" t="str">
        <f ca="1">IFERROR(__xludf.DUMMYFUNCTION("""COMPUTED_VALUE"""),"18-12")</f>
        <v>18-12</v>
      </c>
      <c r="E220" s="1">
        <f ca="1">IFERROR(__xludf.DUMMYFUNCTION("""COMPUTED_VALUE"""),-4.89)</f>
        <v>-4.8899999999999997</v>
      </c>
      <c r="F220" s="1">
        <f ca="1">IFERROR(__xludf.DUMMYFUNCTION("""COMPUTED_VALUE"""),98.1)</f>
        <v>98.1</v>
      </c>
      <c r="G220" s="1">
        <f ca="1">IFERROR(__xludf.DUMMYFUNCTION("""COMPUTED_VALUE"""),238)</f>
        <v>238</v>
      </c>
      <c r="H220" s="1">
        <f ca="1">IFERROR(__xludf.DUMMYFUNCTION("""COMPUTED_VALUE"""),103)</f>
        <v>103</v>
      </c>
      <c r="I220" s="1">
        <f ca="1">IFERROR(__xludf.DUMMYFUNCTION("""COMPUTED_VALUE"""),170)</f>
        <v>170</v>
      </c>
      <c r="J220" s="1">
        <f ca="1">IFERROR(__xludf.DUMMYFUNCTION("""COMPUTED_VALUE"""),69.8)</f>
        <v>69.8</v>
      </c>
      <c r="K220" s="1">
        <f ca="1">IFERROR(__xludf.DUMMYFUNCTION("""COMPUTED_VALUE"""),40)</f>
        <v>40</v>
      </c>
      <c r="L220" s="1" t="str">
        <f ca="1">IFERROR(__xludf.DUMMYFUNCTION("""COMPUTED_VALUE"""),"+.140")</f>
        <v>+.140</v>
      </c>
      <c r="M220" s="1">
        <f ca="1">IFERROR(__xludf.DUMMYFUNCTION("""COMPUTED_VALUE"""),1)</f>
        <v>1</v>
      </c>
      <c r="N220" s="1">
        <f ca="1">IFERROR(__xludf.DUMMYFUNCTION("""COMPUTED_VALUE"""),-3.19)</f>
        <v>-3.19</v>
      </c>
      <c r="O220" s="1">
        <f ca="1">IFERROR(__xludf.DUMMYFUNCTION("""COMPUTED_VALUE"""),215)</f>
        <v>215</v>
      </c>
      <c r="P220" s="1">
        <f ca="1">IFERROR(__xludf.DUMMYFUNCTION("""COMPUTED_VALUE"""),100.5)</f>
        <v>100.5</v>
      </c>
      <c r="Q220" s="1">
        <f ca="1">IFERROR(__xludf.DUMMYFUNCTION("""COMPUTED_VALUE"""),235)</f>
        <v>235</v>
      </c>
      <c r="R220" s="1">
        <f ca="1">IFERROR(__xludf.DUMMYFUNCTION("""COMPUTED_VALUE"""),103.7)</f>
        <v>103.7</v>
      </c>
      <c r="S220" s="1">
        <f ca="1">IFERROR(__xludf.DUMMYFUNCTION("""COMPUTED_VALUE"""),193)</f>
        <v>193</v>
      </c>
      <c r="T220" s="1" t="str">
        <f ca="1">IFERROR(__xludf.DUMMYFUNCTION("""COMPUTED_VALUE"""),"+5.78")</f>
        <v>+5.78</v>
      </c>
      <c r="U220" s="1">
        <f ca="1">IFERROR(__xludf.DUMMYFUNCTION("""COMPUTED_VALUE"""),39)</f>
        <v>39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IFERROR(__xludf.DUMMYFUNCTION("""COMPUTED_VALUE"""),"Delaware St.16")</f>
        <v>Delaware St.16</v>
      </c>
      <c r="C221" s="1" t="str">
        <f ca="1">IFERROR(__xludf.DUMMYFUNCTION("""COMPUTED_VALUE"""),"MEAC")</f>
        <v>MEAC</v>
      </c>
      <c r="D221" s="1" t="str">
        <f ca="1">IFERROR(__xludf.DUMMYFUNCTION("""COMPUTED_VALUE"""),"19-14")</f>
        <v>19-14</v>
      </c>
      <c r="E221" s="1">
        <f ca="1">IFERROR(__xludf.DUMMYFUNCTION("""COMPUTED_VALUE"""),-4.95)</f>
        <v>-4.95</v>
      </c>
      <c r="F221" s="1">
        <f ca="1">IFERROR(__xludf.DUMMYFUNCTION("""COMPUTED_VALUE"""),102.3)</f>
        <v>102.3</v>
      </c>
      <c r="G221" s="1">
        <f ca="1">IFERROR(__xludf.DUMMYFUNCTION("""COMPUTED_VALUE"""),175)</f>
        <v>175</v>
      </c>
      <c r="H221" s="1">
        <f ca="1">IFERROR(__xludf.DUMMYFUNCTION("""COMPUTED_VALUE"""),107.2)</f>
        <v>107.2</v>
      </c>
      <c r="I221" s="1">
        <f ca="1">IFERROR(__xludf.DUMMYFUNCTION("""COMPUTED_VALUE"""),245)</f>
        <v>245</v>
      </c>
      <c r="J221" s="1">
        <f ca="1">IFERROR(__xludf.DUMMYFUNCTION("""COMPUTED_VALUE"""),59.3)</f>
        <v>59.3</v>
      </c>
      <c r="K221" s="1">
        <f ca="1">IFERROR(__xludf.DUMMYFUNCTION("""COMPUTED_VALUE"""),322)</f>
        <v>322</v>
      </c>
      <c r="L221" s="1" t="str">
        <f ca="1">IFERROR(__xludf.DUMMYFUNCTION("""COMPUTED_VALUE"""),"+.077")</f>
        <v>+.077</v>
      </c>
      <c r="M221" s="1">
        <f ca="1">IFERROR(__xludf.DUMMYFUNCTION("""COMPUTED_VALUE"""),25)</f>
        <v>25</v>
      </c>
      <c r="N221" s="1">
        <f ca="1">IFERROR(__xludf.DUMMYFUNCTION("""COMPUTED_VALUE"""),-7.47)</f>
        <v>-7.47</v>
      </c>
      <c r="O221" s="1">
        <f ca="1">IFERROR(__xludf.DUMMYFUNCTION("""COMPUTED_VALUE"""),284)</f>
        <v>284</v>
      </c>
      <c r="P221" s="1">
        <f ca="1">IFERROR(__xludf.DUMMYFUNCTION("""COMPUTED_VALUE"""),97.1)</f>
        <v>97.1</v>
      </c>
      <c r="Q221" s="1">
        <f ca="1">IFERROR(__xludf.DUMMYFUNCTION("""COMPUTED_VALUE"""),311)</f>
        <v>311</v>
      </c>
      <c r="R221" s="1">
        <f ca="1">IFERROR(__xludf.DUMMYFUNCTION("""COMPUTED_VALUE"""),104.6)</f>
        <v>104.6</v>
      </c>
      <c r="S221" s="1">
        <f ca="1">IFERROR(__xludf.DUMMYFUNCTION("""COMPUTED_VALUE"""),229)</f>
        <v>229</v>
      </c>
      <c r="T221" s="1" t="str">
        <f ca="1">IFERROR(__xludf.DUMMYFUNCTION("""COMPUTED_VALUE"""),"+9.89")</f>
        <v>+9.89</v>
      </c>
      <c r="U221" s="1">
        <f ca="1">IFERROR(__xludf.DUMMYFUNCTION("""COMPUTED_VALUE"""),14)</f>
        <v>14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IFERROR(__xludf.DUMMYFUNCTION("""COMPUTED_VALUE"""),"Gardner Webb")</f>
        <v>Gardner Webb</v>
      </c>
      <c r="C222" s="1" t="str">
        <f ca="1">IFERROR(__xludf.DUMMYFUNCTION("""COMPUTED_VALUE"""),"ASun")</f>
        <v>ASun</v>
      </c>
      <c r="D222" s="1" t="str">
        <f ca="1">IFERROR(__xludf.DUMMYFUNCTION("""COMPUTED_VALUE"""),"18-12")</f>
        <v>18-12</v>
      </c>
      <c r="E222" s="1">
        <f ca="1">IFERROR(__xludf.DUMMYFUNCTION("""COMPUTED_VALUE"""),-5.12)</f>
        <v>-5.12</v>
      </c>
      <c r="F222" s="1">
        <f ca="1">IFERROR(__xludf.DUMMYFUNCTION("""COMPUTED_VALUE"""),97.8)</f>
        <v>97.8</v>
      </c>
      <c r="G222" s="1">
        <f ca="1">IFERROR(__xludf.DUMMYFUNCTION("""COMPUTED_VALUE"""),243)</f>
        <v>243</v>
      </c>
      <c r="H222" s="1">
        <f ca="1">IFERROR(__xludf.DUMMYFUNCTION("""COMPUTED_VALUE"""),102.9)</f>
        <v>102.9</v>
      </c>
      <c r="I222" s="1">
        <f ca="1">IFERROR(__xludf.DUMMYFUNCTION("""COMPUTED_VALUE"""),168)</f>
        <v>168</v>
      </c>
      <c r="J222" s="1">
        <f ca="1">IFERROR(__xludf.DUMMYFUNCTION("""COMPUTED_VALUE"""),67.8)</f>
        <v>67.8</v>
      </c>
      <c r="K222" s="1">
        <f ca="1">IFERROR(__xludf.DUMMYFUNCTION("""COMPUTED_VALUE"""),99)</f>
        <v>99</v>
      </c>
      <c r="L222" s="1" t="str">
        <f ca="1">IFERROR(__xludf.DUMMYFUNCTION("""COMPUTED_VALUE"""),"+.001")</f>
        <v>+.001</v>
      </c>
      <c r="M222" s="1">
        <f ca="1">IFERROR(__xludf.DUMMYFUNCTION("""COMPUTED_VALUE"""),157)</f>
        <v>157</v>
      </c>
      <c r="N222" s="1">
        <f ca="1">IFERROR(__xludf.DUMMYFUNCTION("""COMPUTED_VALUE"""),-8.33)</f>
        <v>-8.33</v>
      </c>
      <c r="O222" s="1">
        <f ca="1">IFERROR(__xludf.DUMMYFUNCTION("""COMPUTED_VALUE"""),299)</f>
        <v>299</v>
      </c>
      <c r="P222" s="1">
        <f ca="1">IFERROR(__xludf.DUMMYFUNCTION("""COMPUTED_VALUE"""),99.4)</f>
        <v>99.4</v>
      </c>
      <c r="Q222" s="1">
        <f ca="1">IFERROR(__xludf.DUMMYFUNCTION("""COMPUTED_VALUE"""),269)</f>
        <v>269</v>
      </c>
      <c r="R222" s="1">
        <f ca="1">IFERROR(__xludf.DUMMYFUNCTION("""COMPUTED_VALUE"""),107.7)</f>
        <v>107.7</v>
      </c>
      <c r="S222" s="1">
        <f ca="1">IFERROR(__xludf.DUMMYFUNCTION("""COMPUTED_VALUE"""),326)</f>
        <v>326</v>
      </c>
      <c r="T222" s="1" t="str">
        <f ca="1">IFERROR(__xludf.DUMMYFUNCTION("""COMPUTED_VALUE"""),"+6.09")</f>
        <v>+6.09</v>
      </c>
      <c r="U222" s="1">
        <f ca="1">IFERROR(__xludf.DUMMYFUNCTION("""COMPUTED_VALUE"""),34)</f>
        <v>34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IFERROR(__xludf.DUMMYFUNCTION("""COMPUTED_VALUE"""),"Lehigh")</f>
        <v>Lehigh</v>
      </c>
      <c r="C223" s="1" t="str">
        <f ca="1">IFERROR(__xludf.DUMMYFUNCTION("""COMPUTED_VALUE"""),"Pat")</f>
        <v>Pat</v>
      </c>
      <c r="D223" s="1" t="str">
        <f ca="1">IFERROR(__xludf.DUMMYFUNCTION("""COMPUTED_VALUE"""),"14-15")</f>
        <v>14-15</v>
      </c>
      <c r="E223" s="1">
        <f ca="1">IFERROR(__xludf.DUMMYFUNCTION("""COMPUTED_VALUE"""),-5.17)</f>
        <v>-5.17</v>
      </c>
      <c r="F223" s="1">
        <f ca="1">IFERROR(__xludf.DUMMYFUNCTION("""COMPUTED_VALUE"""),94.9)</f>
        <v>94.9</v>
      </c>
      <c r="G223" s="1">
        <f ca="1">IFERROR(__xludf.DUMMYFUNCTION("""COMPUTED_VALUE"""),279)</f>
        <v>279</v>
      </c>
      <c r="H223" s="1">
        <f ca="1">IFERROR(__xludf.DUMMYFUNCTION("""COMPUTED_VALUE"""),100.1)</f>
        <v>100.1</v>
      </c>
      <c r="I223" s="1">
        <f ca="1">IFERROR(__xludf.DUMMYFUNCTION("""COMPUTED_VALUE"""),105)</f>
        <v>105</v>
      </c>
      <c r="J223" s="1">
        <f ca="1">IFERROR(__xludf.DUMMYFUNCTION("""COMPUTED_VALUE"""),64.1)</f>
        <v>64.099999999999994</v>
      </c>
      <c r="K223" s="1">
        <f ca="1">IFERROR(__xludf.DUMMYFUNCTION("""COMPUTED_VALUE"""),245)</f>
        <v>245</v>
      </c>
      <c r="L223" s="1">
        <f ca="1">IFERROR(__xludf.DUMMYFUNCTION("""COMPUTED_VALUE"""),-0.047)</f>
        <v>-4.7E-2</v>
      </c>
      <c r="M223" s="1">
        <f ca="1">IFERROR(__xludf.DUMMYFUNCTION("""COMPUTED_VALUE"""),270)</f>
        <v>270</v>
      </c>
      <c r="N223" s="1">
        <f ca="1">IFERROR(__xludf.DUMMYFUNCTION("""COMPUTED_VALUE"""),-6.78)</f>
        <v>-6.78</v>
      </c>
      <c r="O223" s="1">
        <f ca="1">IFERROR(__xludf.DUMMYFUNCTION("""COMPUTED_VALUE"""),278)</f>
        <v>278</v>
      </c>
      <c r="P223" s="1">
        <f ca="1">IFERROR(__xludf.DUMMYFUNCTION("""COMPUTED_VALUE"""),98.3)</f>
        <v>98.3</v>
      </c>
      <c r="Q223" s="1">
        <f ca="1">IFERROR(__xludf.DUMMYFUNCTION("""COMPUTED_VALUE"""),294)</f>
        <v>294</v>
      </c>
      <c r="R223" s="1">
        <f ca="1">IFERROR(__xludf.DUMMYFUNCTION("""COMPUTED_VALUE"""),105.1)</f>
        <v>105.1</v>
      </c>
      <c r="S223" s="1">
        <f ca="1">IFERROR(__xludf.DUMMYFUNCTION("""COMPUTED_VALUE"""),252)</f>
        <v>252</v>
      </c>
      <c r="T223" s="1">
        <f ca="1">IFERROR(__xludf.DUMMYFUNCTION("""COMPUTED_VALUE"""),-7.73)</f>
        <v>-7.73</v>
      </c>
      <c r="U223" s="1">
        <f ca="1">IFERROR(__xludf.DUMMYFUNCTION("""COMPUTED_VALUE"""),307)</f>
        <v>307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IFERROR(__xludf.DUMMYFUNCTION("""COMPUTED_VALUE"""),"UC Santa Barbara")</f>
        <v>UC Santa Barbara</v>
      </c>
      <c r="C224" s="1" t="str">
        <f ca="1">IFERROR(__xludf.DUMMYFUNCTION("""COMPUTED_VALUE"""),"BW")</f>
        <v>BW</v>
      </c>
      <c r="D224" s="2">
        <f ca="1">IFERROR(__xludf.DUMMYFUNCTION("""COMPUTED_VALUE"""),44883)</f>
        <v>44883</v>
      </c>
      <c r="E224" s="1">
        <f ca="1">IFERROR(__xludf.DUMMYFUNCTION("""COMPUTED_VALUE"""),-5.18)</f>
        <v>-5.18</v>
      </c>
      <c r="F224" s="1">
        <f ca="1">IFERROR(__xludf.DUMMYFUNCTION("""COMPUTED_VALUE"""),96.4)</f>
        <v>96.4</v>
      </c>
      <c r="G224" s="1">
        <f ca="1">IFERROR(__xludf.DUMMYFUNCTION("""COMPUTED_VALUE"""),260)</f>
        <v>260</v>
      </c>
      <c r="H224" s="1">
        <f ca="1">IFERROR(__xludf.DUMMYFUNCTION("""COMPUTED_VALUE"""),101.6)</f>
        <v>101.6</v>
      </c>
      <c r="I224" s="1">
        <f ca="1">IFERROR(__xludf.DUMMYFUNCTION("""COMPUTED_VALUE"""),142)</f>
        <v>142</v>
      </c>
      <c r="J224" s="1">
        <f ca="1">IFERROR(__xludf.DUMMYFUNCTION("""COMPUTED_VALUE"""),60.8)</f>
        <v>60.8</v>
      </c>
      <c r="K224" s="1">
        <f ca="1">IFERROR(__xludf.DUMMYFUNCTION("""COMPUTED_VALUE"""),313)</f>
        <v>313</v>
      </c>
      <c r="L224" s="1">
        <f ca="1">IFERROR(__xludf.DUMMYFUNCTION("""COMPUTED_VALUE"""),-0.01)</f>
        <v>-0.01</v>
      </c>
      <c r="M224" s="1">
        <f ca="1">IFERROR(__xludf.DUMMYFUNCTION("""COMPUTED_VALUE"""),189)</f>
        <v>189</v>
      </c>
      <c r="N224" s="1">
        <f ca="1">IFERROR(__xludf.DUMMYFUNCTION("""COMPUTED_VALUE"""),-0.19)</f>
        <v>-0.19</v>
      </c>
      <c r="O224" s="1">
        <f ca="1">IFERROR(__xludf.DUMMYFUNCTION("""COMPUTED_VALUE"""),156)</f>
        <v>156</v>
      </c>
      <c r="P224" s="1">
        <f ca="1">IFERROR(__xludf.DUMMYFUNCTION("""COMPUTED_VALUE"""),103.1)</f>
        <v>103.1</v>
      </c>
      <c r="Q224" s="1">
        <f ca="1">IFERROR(__xludf.DUMMYFUNCTION("""COMPUTED_VALUE"""),159)</f>
        <v>159</v>
      </c>
      <c r="R224" s="1">
        <f ca="1">IFERROR(__xludf.DUMMYFUNCTION("""COMPUTED_VALUE"""),103.3)</f>
        <v>103.3</v>
      </c>
      <c r="S224" s="1">
        <f ca="1">IFERROR(__xludf.DUMMYFUNCTION("""COMPUTED_VALUE"""),181)</f>
        <v>181</v>
      </c>
      <c r="T224" s="1" t="str">
        <f ca="1">IFERROR(__xludf.DUMMYFUNCTION("""COMPUTED_VALUE"""),"+2.27")</f>
        <v>+2.27</v>
      </c>
      <c r="U224" s="1">
        <f ca="1">IFERROR(__xludf.DUMMYFUNCTION("""COMPUTED_VALUE"""),98)</f>
        <v>98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IFERROR(__xludf.DUMMYFUNCTION("""COMPUTED_VALUE"""),"Portland St.")</f>
        <v>Portland St.</v>
      </c>
      <c r="C225" s="1" t="str">
        <f ca="1">IFERROR(__xludf.DUMMYFUNCTION("""COMPUTED_VALUE"""),"BSky")</f>
        <v>BSky</v>
      </c>
      <c r="D225" s="1" t="str">
        <f ca="1">IFERROR(__xludf.DUMMYFUNCTION("""COMPUTED_VALUE"""),"19-9")</f>
        <v>19-9</v>
      </c>
      <c r="E225" s="1">
        <f ca="1">IFERROR(__xludf.DUMMYFUNCTION("""COMPUTED_VALUE"""),-5.2)</f>
        <v>-5.2</v>
      </c>
      <c r="F225" s="1">
        <f ca="1">IFERROR(__xludf.DUMMYFUNCTION("""COMPUTED_VALUE"""),99.2)</f>
        <v>99.2</v>
      </c>
      <c r="G225" s="1">
        <f ca="1">IFERROR(__xludf.DUMMYFUNCTION("""COMPUTED_VALUE"""),224)</f>
        <v>224</v>
      </c>
      <c r="H225" s="1">
        <f ca="1">IFERROR(__xludf.DUMMYFUNCTION("""COMPUTED_VALUE"""),104.4)</f>
        <v>104.4</v>
      </c>
      <c r="I225" s="1">
        <f ca="1">IFERROR(__xludf.DUMMYFUNCTION("""COMPUTED_VALUE"""),199)</f>
        <v>199</v>
      </c>
      <c r="J225" s="1">
        <f ca="1">IFERROR(__xludf.DUMMYFUNCTION("""COMPUTED_VALUE"""),68.8)</f>
        <v>68.8</v>
      </c>
      <c r="K225" s="1">
        <f ca="1">IFERROR(__xludf.DUMMYFUNCTION("""COMPUTED_VALUE"""),61)</f>
        <v>61</v>
      </c>
      <c r="L225" s="1" t="str">
        <f ca="1">IFERROR(__xludf.DUMMYFUNCTION("""COMPUTED_VALUE"""),"+.070")</f>
        <v>+.070</v>
      </c>
      <c r="M225" s="1">
        <f ca="1">IFERROR(__xludf.DUMMYFUNCTION("""COMPUTED_VALUE"""),30)</f>
        <v>30</v>
      </c>
      <c r="N225" s="1">
        <f ca="1">IFERROR(__xludf.DUMMYFUNCTION("""COMPUTED_VALUE"""),-10.23)</f>
        <v>-10.23</v>
      </c>
      <c r="O225" s="1">
        <f ca="1">IFERROR(__xludf.DUMMYFUNCTION("""COMPUTED_VALUE"""),311)</f>
        <v>311</v>
      </c>
      <c r="P225" s="1">
        <f ca="1">IFERROR(__xludf.DUMMYFUNCTION("""COMPUTED_VALUE"""),97.2)</f>
        <v>97.2</v>
      </c>
      <c r="Q225" s="1">
        <f ca="1">IFERROR(__xludf.DUMMYFUNCTION("""COMPUTED_VALUE"""),309)</f>
        <v>309</v>
      </c>
      <c r="R225" s="1">
        <f ca="1">IFERROR(__xludf.DUMMYFUNCTION("""COMPUTED_VALUE"""),107.5)</f>
        <v>107.5</v>
      </c>
      <c r="S225" s="1">
        <f ca="1">IFERROR(__xludf.DUMMYFUNCTION("""COMPUTED_VALUE"""),322)</f>
        <v>322</v>
      </c>
      <c r="T225" s="1">
        <f ca="1">IFERROR(__xludf.DUMMYFUNCTION("""COMPUTED_VALUE"""),-10)</f>
        <v>-10</v>
      </c>
      <c r="U225" s="1">
        <f ca="1">IFERROR(__xludf.DUMMYFUNCTION("""COMPUTED_VALUE"""),318)</f>
        <v>318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IFERROR(__xludf.DUMMYFUNCTION("""COMPUTED_VALUE"""),"Boise St.")</f>
        <v>Boise St.</v>
      </c>
      <c r="C226" s="1" t="str">
        <f ca="1">IFERROR(__xludf.DUMMYFUNCTION("""COMPUTED_VALUE"""),"WAC")</f>
        <v>WAC</v>
      </c>
      <c r="D226" s="1" t="str">
        <f ca="1">IFERROR(__xludf.DUMMYFUNCTION("""COMPUTED_VALUE"""),"16-18")</f>
        <v>16-18</v>
      </c>
      <c r="E226" s="1">
        <f ca="1">IFERROR(__xludf.DUMMYFUNCTION("""COMPUTED_VALUE"""),-5.4)</f>
        <v>-5.4</v>
      </c>
      <c r="F226" s="1">
        <f ca="1">IFERROR(__xludf.DUMMYFUNCTION("""COMPUTED_VALUE"""),104.4)</f>
        <v>104.4</v>
      </c>
      <c r="G226" s="1">
        <f ca="1">IFERROR(__xludf.DUMMYFUNCTION("""COMPUTED_VALUE"""),138)</f>
        <v>138</v>
      </c>
      <c r="H226" s="1">
        <f ca="1">IFERROR(__xludf.DUMMYFUNCTION("""COMPUTED_VALUE"""),109.8)</f>
        <v>109.8</v>
      </c>
      <c r="I226" s="1">
        <f ca="1">IFERROR(__xludf.DUMMYFUNCTION("""COMPUTED_VALUE"""),290)</f>
        <v>290</v>
      </c>
      <c r="J226" s="1">
        <f ca="1">IFERROR(__xludf.DUMMYFUNCTION("""COMPUTED_VALUE"""),69.1)</f>
        <v>69.099999999999994</v>
      </c>
      <c r="K226" s="1">
        <f ca="1">IFERROR(__xludf.DUMMYFUNCTION("""COMPUTED_VALUE"""),51)</f>
        <v>51</v>
      </c>
      <c r="L226" s="1" t="str">
        <f ca="1">IFERROR(__xludf.DUMMYFUNCTION("""COMPUTED_VALUE"""),"+.079")</f>
        <v>+.079</v>
      </c>
      <c r="M226" s="1">
        <f ca="1">IFERROR(__xludf.DUMMYFUNCTION("""COMPUTED_VALUE"""),23)</f>
        <v>23</v>
      </c>
      <c r="N226" s="1">
        <f ca="1">IFERROR(__xludf.DUMMYFUNCTION("""COMPUTED_VALUE"""),-1.1)</f>
        <v>-1.1000000000000001</v>
      </c>
      <c r="O226" s="1">
        <f ca="1">IFERROR(__xludf.DUMMYFUNCTION("""COMPUTED_VALUE"""),179)</f>
        <v>179</v>
      </c>
      <c r="P226" s="1">
        <f ca="1">IFERROR(__xludf.DUMMYFUNCTION("""COMPUTED_VALUE"""),101.2)</f>
        <v>101.2</v>
      </c>
      <c r="Q226" s="1">
        <f ca="1">IFERROR(__xludf.DUMMYFUNCTION("""COMPUTED_VALUE"""),219)</f>
        <v>219</v>
      </c>
      <c r="R226" s="1">
        <f ca="1">IFERROR(__xludf.DUMMYFUNCTION("""COMPUTED_VALUE"""),102.3)</f>
        <v>102.3</v>
      </c>
      <c r="S226" s="1">
        <f ca="1">IFERROR(__xludf.DUMMYFUNCTION("""COMPUTED_VALUE"""),130)</f>
        <v>130</v>
      </c>
      <c r="T226" s="1">
        <f ca="1">IFERROR(__xludf.DUMMYFUNCTION("""COMPUTED_VALUE"""),-9.56)</f>
        <v>-9.56</v>
      </c>
      <c r="U226" s="1">
        <f ca="1">IFERROR(__xludf.DUMMYFUNCTION("""COMPUTED_VALUE"""),315)</f>
        <v>315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IFERROR(__xludf.DUMMYFUNCTION("""COMPUTED_VALUE"""),"Monmouth")</f>
        <v>Monmouth</v>
      </c>
      <c r="C227" s="1" t="str">
        <f ca="1">IFERROR(__xludf.DUMMYFUNCTION("""COMPUTED_VALUE"""),"NEC")</f>
        <v>NEC</v>
      </c>
      <c r="D227" s="1" t="str">
        <f ca="1">IFERROR(__xludf.DUMMYFUNCTION("""COMPUTED_VALUE"""),"16-13")</f>
        <v>16-13</v>
      </c>
      <c r="E227" s="1">
        <f ca="1">IFERROR(__xludf.DUMMYFUNCTION("""COMPUTED_VALUE"""),-5.42)</f>
        <v>-5.42</v>
      </c>
      <c r="F227" s="1">
        <f ca="1">IFERROR(__xludf.DUMMYFUNCTION("""COMPUTED_VALUE"""),98.1)</f>
        <v>98.1</v>
      </c>
      <c r="G227" s="1">
        <f ca="1">IFERROR(__xludf.DUMMYFUNCTION("""COMPUTED_VALUE"""),236)</f>
        <v>236</v>
      </c>
      <c r="H227" s="1">
        <f ca="1">IFERROR(__xludf.DUMMYFUNCTION("""COMPUTED_VALUE"""),103.5)</f>
        <v>103.5</v>
      </c>
      <c r="I227" s="1">
        <f ca="1">IFERROR(__xludf.DUMMYFUNCTION("""COMPUTED_VALUE"""),185)</f>
        <v>185</v>
      </c>
      <c r="J227" s="1">
        <f ca="1">IFERROR(__xludf.DUMMYFUNCTION("""COMPUTED_VALUE"""),62.2)</f>
        <v>62.2</v>
      </c>
      <c r="K227" s="1">
        <f ca="1">IFERROR(__xludf.DUMMYFUNCTION("""COMPUTED_VALUE"""),298)</f>
        <v>298</v>
      </c>
      <c r="L227" s="1" t="str">
        <f ca="1">IFERROR(__xludf.DUMMYFUNCTION("""COMPUTED_VALUE"""),"+.041")</f>
        <v>+.041</v>
      </c>
      <c r="M227" s="1">
        <f ca="1">IFERROR(__xludf.DUMMYFUNCTION("""COMPUTED_VALUE"""),74)</f>
        <v>74</v>
      </c>
      <c r="N227" s="1">
        <f ca="1">IFERROR(__xludf.DUMMYFUNCTION("""COMPUTED_VALUE"""),-7.55)</f>
        <v>-7.55</v>
      </c>
      <c r="O227" s="1">
        <f ca="1">IFERROR(__xludf.DUMMYFUNCTION("""COMPUTED_VALUE"""),285)</f>
        <v>285</v>
      </c>
      <c r="P227" s="1">
        <f ca="1">IFERROR(__xludf.DUMMYFUNCTION("""COMPUTED_VALUE"""),99.5)</f>
        <v>99.5</v>
      </c>
      <c r="Q227" s="1">
        <f ca="1">IFERROR(__xludf.DUMMYFUNCTION("""COMPUTED_VALUE"""),266)</f>
        <v>266</v>
      </c>
      <c r="R227" s="1">
        <f ca="1">IFERROR(__xludf.DUMMYFUNCTION("""COMPUTED_VALUE"""),107)</f>
        <v>107</v>
      </c>
      <c r="S227" s="1">
        <f ca="1">IFERROR(__xludf.DUMMYFUNCTION("""COMPUTED_VALUE"""),313)</f>
        <v>313</v>
      </c>
      <c r="T227" s="1" t="str">
        <f ca="1">IFERROR(__xludf.DUMMYFUNCTION("""COMPUTED_VALUE"""),"+3.88")</f>
        <v>+3.88</v>
      </c>
      <c r="U227" s="1">
        <f ca="1">IFERROR(__xludf.DUMMYFUNCTION("""COMPUTED_VALUE"""),71)</f>
        <v>71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IFERROR(__xludf.DUMMYFUNCTION("""COMPUTED_VALUE"""),"Penn St.")</f>
        <v>Penn St.</v>
      </c>
      <c r="C228" s="1" t="str">
        <f ca="1">IFERROR(__xludf.DUMMYFUNCTION("""COMPUTED_VALUE"""),"B10")</f>
        <v>B10</v>
      </c>
      <c r="D228" s="2">
        <f ca="1">IFERROR(__xludf.DUMMYFUNCTION("""COMPUTED_VALUE"""),44765)</f>
        <v>44765</v>
      </c>
      <c r="E228" s="1">
        <f ca="1">IFERROR(__xludf.DUMMYFUNCTION("""COMPUTED_VALUE"""),-5.44)</f>
        <v>-5.44</v>
      </c>
      <c r="F228" s="1">
        <f ca="1">IFERROR(__xludf.DUMMYFUNCTION("""COMPUTED_VALUE"""),101.2)</f>
        <v>101.2</v>
      </c>
      <c r="G228" s="1">
        <f ca="1">IFERROR(__xludf.DUMMYFUNCTION("""COMPUTED_VALUE"""),201)</f>
        <v>201</v>
      </c>
      <c r="H228" s="1">
        <f ca="1">IFERROR(__xludf.DUMMYFUNCTION("""COMPUTED_VALUE"""),106.6)</f>
        <v>106.6</v>
      </c>
      <c r="I228" s="1">
        <f ca="1">IFERROR(__xludf.DUMMYFUNCTION("""COMPUTED_VALUE"""),238)</f>
        <v>238</v>
      </c>
      <c r="J228" s="1">
        <f ca="1">IFERROR(__xludf.DUMMYFUNCTION("""COMPUTED_VALUE"""),65.9)</f>
        <v>65.900000000000006</v>
      </c>
      <c r="K228" s="1">
        <f ca="1">IFERROR(__xludf.DUMMYFUNCTION("""COMPUTED_VALUE"""),175)</f>
        <v>175</v>
      </c>
      <c r="L228" s="1">
        <f ca="1">IFERROR(__xludf.DUMMYFUNCTION("""COMPUTED_VALUE"""),-0.026)</f>
        <v>-2.5999999999999999E-2</v>
      </c>
      <c r="M228" s="1">
        <f ca="1">IFERROR(__xludf.DUMMYFUNCTION("""COMPUTED_VALUE"""),231)</f>
        <v>231</v>
      </c>
      <c r="N228" s="1" t="str">
        <f ca="1">IFERROR(__xludf.DUMMYFUNCTION("""COMPUTED_VALUE"""),"+8.04")</f>
        <v>+8.04</v>
      </c>
      <c r="O228" s="1">
        <f ca="1">IFERROR(__xludf.DUMMYFUNCTION("""COMPUTED_VALUE"""),32)</f>
        <v>32</v>
      </c>
      <c r="P228" s="1">
        <f ca="1">IFERROR(__xludf.DUMMYFUNCTION("""COMPUTED_VALUE"""),106.6)</f>
        <v>106.6</v>
      </c>
      <c r="Q228" s="1">
        <f ca="1">IFERROR(__xludf.DUMMYFUNCTION("""COMPUTED_VALUE"""),52)</f>
        <v>52</v>
      </c>
      <c r="R228" s="1">
        <f ca="1">IFERROR(__xludf.DUMMYFUNCTION("""COMPUTED_VALUE"""),98.6)</f>
        <v>98.6</v>
      </c>
      <c r="S228" s="1">
        <f ca="1">IFERROR(__xludf.DUMMYFUNCTION("""COMPUTED_VALUE"""),16)</f>
        <v>16</v>
      </c>
      <c r="T228" s="1">
        <f ca="1">IFERROR(__xludf.DUMMYFUNCTION("""COMPUTED_VALUE"""),-1.83)</f>
        <v>-1.83</v>
      </c>
      <c r="U228" s="1">
        <f ca="1">IFERROR(__xludf.DUMMYFUNCTION("""COMPUTED_VALUE"""),213)</f>
        <v>213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IFERROR(__xludf.DUMMYFUNCTION("""COMPUTED_VALUE"""),"La Salle")</f>
        <v>La Salle</v>
      </c>
      <c r="C229" s="1" t="str">
        <f ca="1">IFERROR(__xludf.DUMMYFUNCTION("""COMPUTED_VALUE"""),"A10")</f>
        <v>A10</v>
      </c>
      <c r="D229" s="2">
        <f ca="1">IFERROR(__xludf.DUMMYFUNCTION("""COMPUTED_VALUE"""),44853)</f>
        <v>44853</v>
      </c>
      <c r="E229" s="1">
        <f ca="1">IFERROR(__xludf.DUMMYFUNCTION("""COMPUTED_VALUE"""),-5.47)</f>
        <v>-5.47</v>
      </c>
      <c r="F229" s="1">
        <f ca="1">IFERROR(__xludf.DUMMYFUNCTION("""COMPUTED_VALUE"""),99.2)</f>
        <v>99.2</v>
      </c>
      <c r="G229" s="1">
        <f ca="1">IFERROR(__xludf.DUMMYFUNCTION("""COMPUTED_VALUE"""),225)</f>
        <v>225</v>
      </c>
      <c r="H229" s="1">
        <f ca="1">IFERROR(__xludf.DUMMYFUNCTION("""COMPUTED_VALUE"""),104.7)</f>
        <v>104.7</v>
      </c>
      <c r="I229" s="1">
        <f ca="1">IFERROR(__xludf.DUMMYFUNCTION("""COMPUTED_VALUE"""),206)</f>
        <v>206</v>
      </c>
      <c r="J229" s="1">
        <f ca="1">IFERROR(__xludf.DUMMYFUNCTION("""COMPUTED_VALUE"""),63.5)</f>
        <v>63.5</v>
      </c>
      <c r="K229" s="1">
        <f ca="1">IFERROR(__xludf.DUMMYFUNCTION("""COMPUTED_VALUE"""),269)</f>
        <v>269</v>
      </c>
      <c r="L229" s="1" t="str">
        <f ca="1">IFERROR(__xludf.DUMMYFUNCTION("""COMPUTED_VALUE"""),"+.026")</f>
        <v>+.026</v>
      </c>
      <c r="M229" s="1">
        <f ca="1">IFERROR(__xludf.DUMMYFUNCTION("""COMPUTED_VALUE"""),107)</f>
        <v>107</v>
      </c>
      <c r="N229" s="1" t="str">
        <f ca="1">IFERROR(__xludf.DUMMYFUNCTION("""COMPUTED_VALUE"""),"+1.88")</f>
        <v>+1.88</v>
      </c>
      <c r="O229" s="1">
        <f ca="1">IFERROR(__xludf.DUMMYFUNCTION("""COMPUTED_VALUE"""),127)</f>
        <v>127</v>
      </c>
      <c r="P229" s="1">
        <f ca="1">IFERROR(__xludf.DUMMYFUNCTION("""COMPUTED_VALUE"""),104)</f>
        <v>104</v>
      </c>
      <c r="Q229" s="1">
        <f ca="1">IFERROR(__xludf.DUMMYFUNCTION("""COMPUTED_VALUE"""),136)</f>
        <v>136</v>
      </c>
      <c r="R229" s="1">
        <f ca="1">IFERROR(__xludf.DUMMYFUNCTION("""COMPUTED_VALUE"""),102.1)</f>
        <v>102.1</v>
      </c>
      <c r="S229" s="1">
        <f ca="1">IFERROR(__xludf.DUMMYFUNCTION("""COMPUTED_VALUE"""),116)</f>
        <v>116</v>
      </c>
      <c r="T229" s="1" t="str">
        <f ca="1">IFERROR(__xludf.DUMMYFUNCTION("""COMPUTED_VALUE"""),"+2.33")</f>
        <v>+2.33</v>
      </c>
      <c r="U229" s="1">
        <f ca="1">IFERROR(__xludf.DUMMYFUNCTION("""COMPUTED_VALUE"""),95)</f>
        <v>95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IFERROR(__xludf.DUMMYFUNCTION("""COMPUTED_VALUE"""),"Harvard")</f>
        <v>Harvard</v>
      </c>
      <c r="C230" s="1" t="str">
        <f ca="1">IFERROR(__xludf.DUMMYFUNCTION("""COMPUTED_VALUE"""),"Ivy")</f>
        <v>Ivy</v>
      </c>
      <c r="D230" s="2">
        <f ca="1">IFERROR(__xludf.DUMMYFUNCTION("""COMPUTED_VALUE"""),44910)</f>
        <v>44910</v>
      </c>
      <c r="E230" s="1">
        <f ca="1">IFERROR(__xludf.DUMMYFUNCTION("""COMPUTED_VALUE"""),-5.66)</f>
        <v>-5.66</v>
      </c>
      <c r="F230" s="1">
        <f ca="1">IFERROR(__xludf.DUMMYFUNCTION("""COMPUTED_VALUE"""),97.5)</f>
        <v>97.5</v>
      </c>
      <c r="G230" s="1">
        <f ca="1">IFERROR(__xludf.DUMMYFUNCTION("""COMPUTED_VALUE"""),246)</f>
        <v>246</v>
      </c>
      <c r="H230" s="1">
        <f ca="1">IFERROR(__xludf.DUMMYFUNCTION("""COMPUTED_VALUE"""),103.1)</f>
        <v>103.1</v>
      </c>
      <c r="I230" s="1">
        <f ca="1">IFERROR(__xludf.DUMMYFUNCTION("""COMPUTED_VALUE"""),175)</f>
        <v>175</v>
      </c>
      <c r="J230" s="1">
        <f ca="1">IFERROR(__xludf.DUMMYFUNCTION("""COMPUTED_VALUE"""),69)</f>
        <v>69</v>
      </c>
      <c r="K230" s="1">
        <f ca="1">IFERROR(__xludf.DUMMYFUNCTION("""COMPUTED_VALUE"""),54)</f>
        <v>54</v>
      </c>
      <c r="L230" s="1" t="str">
        <f ca="1">IFERROR(__xludf.DUMMYFUNCTION("""COMPUTED_VALUE"""),"+.017")</f>
        <v>+.017</v>
      </c>
      <c r="M230" s="1">
        <f ca="1">IFERROR(__xludf.DUMMYFUNCTION("""COMPUTED_VALUE"""),119)</f>
        <v>119</v>
      </c>
      <c r="N230" s="1">
        <f ca="1">IFERROR(__xludf.DUMMYFUNCTION("""COMPUTED_VALUE"""),-3.47)</f>
        <v>-3.47</v>
      </c>
      <c r="O230" s="1">
        <f ca="1">IFERROR(__xludf.DUMMYFUNCTION("""COMPUTED_VALUE"""),228)</f>
        <v>228</v>
      </c>
      <c r="P230" s="1">
        <f ca="1">IFERROR(__xludf.DUMMYFUNCTION("""COMPUTED_VALUE"""),99.6)</f>
        <v>99.6</v>
      </c>
      <c r="Q230" s="1">
        <f ca="1">IFERROR(__xludf.DUMMYFUNCTION("""COMPUTED_VALUE"""),263)</f>
        <v>263</v>
      </c>
      <c r="R230" s="1">
        <f ca="1">IFERROR(__xludf.DUMMYFUNCTION("""COMPUTED_VALUE"""),103)</f>
        <v>103</v>
      </c>
      <c r="S230" s="1">
        <f ca="1">IFERROR(__xludf.DUMMYFUNCTION("""COMPUTED_VALUE"""),158)</f>
        <v>158</v>
      </c>
      <c r="T230" s="1">
        <f ca="1">IFERROR(__xludf.DUMMYFUNCTION("""COMPUTED_VALUE"""),-1.87)</f>
        <v>-1.87</v>
      </c>
      <c r="U230" s="1">
        <f ca="1">IFERROR(__xludf.DUMMYFUNCTION("""COMPUTED_VALUE"""),215)</f>
        <v>215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IFERROR(__xludf.DUMMYFUNCTION("""COMPUTED_VALUE"""),"Maine")</f>
        <v>Maine</v>
      </c>
      <c r="C231" s="1" t="str">
        <f ca="1">IFERROR(__xludf.DUMMYFUNCTION("""COMPUTED_VALUE"""),"AE")</f>
        <v>AE</v>
      </c>
      <c r="D231" s="1" t="str">
        <f ca="1">IFERROR(__xludf.DUMMYFUNCTION("""COMPUTED_VALUE"""),"14-15")</f>
        <v>14-15</v>
      </c>
      <c r="E231" s="1">
        <f ca="1">IFERROR(__xludf.DUMMYFUNCTION("""COMPUTED_VALUE"""),-5.78)</f>
        <v>-5.78</v>
      </c>
      <c r="F231" s="1">
        <f ca="1">IFERROR(__xludf.DUMMYFUNCTION("""COMPUTED_VALUE"""),93.8)</f>
        <v>93.8</v>
      </c>
      <c r="G231" s="1">
        <f ca="1">IFERROR(__xludf.DUMMYFUNCTION("""COMPUTED_VALUE"""),295)</f>
        <v>295</v>
      </c>
      <c r="H231" s="1">
        <f ca="1">IFERROR(__xludf.DUMMYFUNCTION("""COMPUTED_VALUE"""),99.5)</f>
        <v>99.5</v>
      </c>
      <c r="I231" s="1">
        <f ca="1">IFERROR(__xludf.DUMMYFUNCTION("""COMPUTED_VALUE"""),92)</f>
        <v>92</v>
      </c>
      <c r="J231" s="1">
        <f ca="1">IFERROR(__xludf.DUMMYFUNCTION("""COMPUTED_VALUE"""),67.1)</f>
        <v>67.099999999999994</v>
      </c>
      <c r="K231" s="1">
        <f ca="1">IFERROR(__xludf.DUMMYFUNCTION("""COMPUTED_VALUE"""),122)</f>
        <v>122</v>
      </c>
      <c r="L231" s="1" t="str">
        <f ca="1">IFERROR(__xludf.DUMMYFUNCTION("""COMPUTED_VALUE"""),"+.050")</f>
        <v>+.050</v>
      </c>
      <c r="M231" s="1">
        <f ca="1">IFERROR(__xludf.DUMMYFUNCTION("""COMPUTED_VALUE"""),55)</f>
        <v>55</v>
      </c>
      <c r="N231" s="1">
        <f ca="1">IFERROR(__xludf.DUMMYFUNCTION("""COMPUTED_VALUE"""),-3.29)</f>
        <v>-3.29</v>
      </c>
      <c r="O231" s="1">
        <f ca="1">IFERROR(__xludf.DUMMYFUNCTION("""COMPUTED_VALUE"""),222)</f>
        <v>222</v>
      </c>
      <c r="P231" s="1">
        <f ca="1">IFERROR(__xludf.DUMMYFUNCTION("""COMPUTED_VALUE"""),99.9)</f>
        <v>99.9</v>
      </c>
      <c r="Q231" s="1">
        <f ca="1">IFERROR(__xludf.DUMMYFUNCTION("""COMPUTED_VALUE"""),252)</f>
        <v>252</v>
      </c>
      <c r="R231" s="1">
        <f ca="1">IFERROR(__xludf.DUMMYFUNCTION("""COMPUTED_VALUE"""),103.2)</f>
        <v>103.2</v>
      </c>
      <c r="S231" s="1">
        <f ca="1">IFERROR(__xludf.DUMMYFUNCTION("""COMPUTED_VALUE"""),174)</f>
        <v>174</v>
      </c>
      <c r="T231" s="1">
        <f ca="1">IFERROR(__xludf.DUMMYFUNCTION("""COMPUTED_VALUE"""),-4.24)</f>
        <v>-4.24</v>
      </c>
      <c r="U231" s="1">
        <f ca="1">IFERROR(__xludf.DUMMYFUNCTION("""COMPUTED_VALUE"""),263)</f>
        <v>263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IFERROR(__xludf.DUMMYFUNCTION("""COMPUTED_VALUE"""),"Birmingham Southern")</f>
        <v>Birmingham Southern</v>
      </c>
      <c r="C232" s="1" t="str">
        <f ca="1">IFERROR(__xludf.DUMMYFUNCTION("""COMPUTED_VALUE"""),"BSth")</f>
        <v>BSth</v>
      </c>
      <c r="D232" s="1" t="str">
        <f ca="1">IFERROR(__xludf.DUMMYFUNCTION("""COMPUTED_VALUE"""),"16-14")</f>
        <v>16-14</v>
      </c>
      <c r="E232" s="1">
        <f ca="1">IFERROR(__xludf.DUMMYFUNCTION("""COMPUTED_VALUE"""),-6)</f>
        <v>-6</v>
      </c>
      <c r="F232" s="1">
        <f ca="1">IFERROR(__xludf.DUMMYFUNCTION("""COMPUTED_VALUE"""),103.4)</f>
        <v>103.4</v>
      </c>
      <c r="G232" s="1">
        <f ca="1">IFERROR(__xludf.DUMMYFUNCTION("""COMPUTED_VALUE"""),154)</f>
        <v>154</v>
      </c>
      <c r="H232" s="1">
        <f ca="1">IFERROR(__xludf.DUMMYFUNCTION("""COMPUTED_VALUE"""),109.4)</f>
        <v>109.4</v>
      </c>
      <c r="I232" s="1">
        <f ca="1">IFERROR(__xludf.DUMMYFUNCTION("""COMPUTED_VALUE"""),284)</f>
        <v>284</v>
      </c>
      <c r="J232" s="1">
        <f ca="1">IFERROR(__xludf.DUMMYFUNCTION("""COMPUTED_VALUE"""),59.7)</f>
        <v>59.7</v>
      </c>
      <c r="K232" s="1">
        <f ca="1">IFERROR(__xludf.DUMMYFUNCTION("""COMPUTED_VALUE"""),320)</f>
        <v>320</v>
      </c>
      <c r="L232" s="1">
        <f ca="1">IFERROR(__xludf.DUMMYFUNCTION("""COMPUTED_VALUE"""),-0.015)</f>
        <v>-1.4999999999999999E-2</v>
      </c>
      <c r="M232" s="1">
        <f ca="1">IFERROR(__xludf.DUMMYFUNCTION("""COMPUTED_VALUE"""),202)</f>
        <v>202</v>
      </c>
      <c r="N232" s="1">
        <f ca="1">IFERROR(__xludf.DUMMYFUNCTION("""COMPUTED_VALUE"""),-7.94)</f>
        <v>-7.94</v>
      </c>
      <c r="O232" s="1">
        <f ca="1">IFERROR(__xludf.DUMMYFUNCTION("""COMPUTED_VALUE"""),296)</f>
        <v>296</v>
      </c>
      <c r="P232" s="1">
        <f ca="1">IFERROR(__xludf.DUMMYFUNCTION("""COMPUTED_VALUE"""),97.8)</f>
        <v>97.8</v>
      </c>
      <c r="Q232" s="1">
        <f ca="1">IFERROR(__xludf.DUMMYFUNCTION("""COMPUTED_VALUE"""),301)</f>
        <v>301</v>
      </c>
      <c r="R232" s="1">
        <f ca="1">IFERROR(__xludf.DUMMYFUNCTION("""COMPUTED_VALUE"""),105.8)</f>
        <v>105.8</v>
      </c>
      <c r="S232" s="1">
        <f ca="1">IFERROR(__xludf.DUMMYFUNCTION("""COMPUTED_VALUE"""),276)</f>
        <v>276</v>
      </c>
      <c r="T232" s="1">
        <f ca="1">IFERROR(__xludf.DUMMYFUNCTION("""COMPUTED_VALUE"""),-3.57)</f>
        <v>-3.57</v>
      </c>
      <c r="U232" s="1">
        <f ca="1">IFERROR(__xludf.DUMMYFUNCTION("""COMPUTED_VALUE"""),246)</f>
        <v>246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IFERROR(__xludf.DUMMYFUNCTION("""COMPUTED_VALUE"""),"Belmont")</f>
        <v>Belmont</v>
      </c>
      <c r="C233" s="1" t="str">
        <f ca="1">IFERROR(__xludf.DUMMYFUNCTION("""COMPUTED_VALUE"""),"ASun")</f>
        <v>ASun</v>
      </c>
      <c r="D233" s="1" t="str">
        <f ca="1">IFERROR(__xludf.DUMMYFUNCTION("""COMPUTED_VALUE"""),"14-16")</f>
        <v>14-16</v>
      </c>
      <c r="E233" s="1">
        <f ca="1">IFERROR(__xludf.DUMMYFUNCTION("""COMPUTED_VALUE"""),-6.13)</f>
        <v>-6.13</v>
      </c>
      <c r="F233" s="1">
        <f ca="1">IFERROR(__xludf.DUMMYFUNCTION("""COMPUTED_VALUE"""),98.7)</f>
        <v>98.7</v>
      </c>
      <c r="G233" s="1">
        <f ca="1">IFERROR(__xludf.DUMMYFUNCTION("""COMPUTED_VALUE"""),232)</f>
        <v>232</v>
      </c>
      <c r="H233" s="1">
        <f ca="1">IFERROR(__xludf.DUMMYFUNCTION("""COMPUTED_VALUE"""),104.8)</f>
        <v>104.8</v>
      </c>
      <c r="I233" s="1">
        <f ca="1">IFERROR(__xludf.DUMMYFUNCTION("""COMPUTED_VALUE"""),214)</f>
        <v>214</v>
      </c>
      <c r="J233" s="1">
        <f ca="1">IFERROR(__xludf.DUMMYFUNCTION("""COMPUTED_VALUE"""),65.9)</f>
        <v>65.900000000000006</v>
      </c>
      <c r="K233" s="1">
        <f ca="1">IFERROR(__xludf.DUMMYFUNCTION("""COMPUTED_VALUE"""),177)</f>
        <v>177</v>
      </c>
      <c r="L233" s="1">
        <f ca="1">IFERROR(__xludf.DUMMYFUNCTION("""COMPUTED_VALUE"""),-0.05)</f>
        <v>-0.05</v>
      </c>
      <c r="M233" s="1">
        <f ca="1">IFERROR(__xludf.DUMMYFUNCTION("""COMPUTED_VALUE"""),276)</f>
        <v>276</v>
      </c>
      <c r="N233" s="1">
        <f ca="1">IFERROR(__xludf.DUMMYFUNCTION("""COMPUTED_VALUE"""),-7.89)</f>
        <v>-7.89</v>
      </c>
      <c r="O233" s="1">
        <f ca="1">IFERROR(__xludf.DUMMYFUNCTION("""COMPUTED_VALUE"""),294)</f>
        <v>294</v>
      </c>
      <c r="P233" s="1">
        <f ca="1">IFERROR(__xludf.DUMMYFUNCTION("""COMPUTED_VALUE"""),99.6)</f>
        <v>99.6</v>
      </c>
      <c r="Q233" s="1">
        <f ca="1">IFERROR(__xludf.DUMMYFUNCTION("""COMPUTED_VALUE"""),260)</f>
        <v>260</v>
      </c>
      <c r="R233" s="1">
        <f ca="1">IFERROR(__xludf.DUMMYFUNCTION("""COMPUTED_VALUE"""),107.5)</f>
        <v>107.5</v>
      </c>
      <c r="S233" s="1">
        <f ca="1">IFERROR(__xludf.DUMMYFUNCTION("""COMPUTED_VALUE"""),323)</f>
        <v>323</v>
      </c>
      <c r="T233" s="1" t="str">
        <f ca="1">IFERROR(__xludf.DUMMYFUNCTION("""COMPUTED_VALUE"""),"+3.30")</f>
        <v>+3.30</v>
      </c>
      <c r="U233" s="1">
        <f ca="1">IFERROR(__xludf.DUMMYFUNCTION("""COMPUTED_VALUE"""),82)</f>
        <v>82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IFERROR(__xludf.DUMMYFUNCTION("""COMPUTED_VALUE"""),"South Alabama")</f>
        <v>South Alabama</v>
      </c>
      <c r="C234" s="1" t="str">
        <f ca="1">IFERROR(__xludf.DUMMYFUNCTION("""COMPUTED_VALUE"""),"SB")</f>
        <v>SB</v>
      </c>
      <c r="D234" s="2">
        <f ca="1">IFERROR(__xludf.DUMMYFUNCTION("""COMPUTED_VALUE"""),44852)</f>
        <v>44852</v>
      </c>
      <c r="E234" s="1">
        <f ca="1">IFERROR(__xludf.DUMMYFUNCTION("""COMPUTED_VALUE"""),-6.2)</f>
        <v>-6.2</v>
      </c>
      <c r="F234" s="1">
        <f ca="1">IFERROR(__xludf.DUMMYFUNCTION("""COMPUTED_VALUE"""),96.1)</f>
        <v>96.1</v>
      </c>
      <c r="G234" s="1">
        <f ca="1">IFERROR(__xludf.DUMMYFUNCTION("""COMPUTED_VALUE"""),262)</f>
        <v>262</v>
      </c>
      <c r="H234" s="1">
        <f ca="1">IFERROR(__xludf.DUMMYFUNCTION("""COMPUTED_VALUE"""),102.3)</f>
        <v>102.3</v>
      </c>
      <c r="I234" s="1">
        <f ca="1">IFERROR(__xludf.DUMMYFUNCTION("""COMPUTED_VALUE"""),155)</f>
        <v>155</v>
      </c>
      <c r="J234" s="1">
        <f ca="1">IFERROR(__xludf.DUMMYFUNCTION("""COMPUTED_VALUE"""),63.4)</f>
        <v>63.4</v>
      </c>
      <c r="K234" s="1">
        <f ca="1">IFERROR(__xludf.DUMMYFUNCTION("""COMPUTED_VALUE"""),270)</f>
        <v>270</v>
      </c>
      <c r="L234" s="1">
        <f ca="1">IFERROR(__xludf.DUMMYFUNCTION("""COMPUTED_VALUE"""),-0.028)</f>
        <v>-2.8000000000000001E-2</v>
      </c>
      <c r="M234" s="1">
        <f ca="1">IFERROR(__xludf.DUMMYFUNCTION("""COMPUTED_VALUE"""),242)</f>
        <v>242</v>
      </c>
      <c r="N234" s="1" t="str">
        <f ca="1">IFERROR(__xludf.DUMMYFUNCTION("""COMPUTED_VALUE"""),"+1.26")</f>
        <v>+1.26</v>
      </c>
      <c r="O234" s="1">
        <f ca="1">IFERROR(__xludf.DUMMYFUNCTION("""COMPUTED_VALUE"""),139)</f>
        <v>139</v>
      </c>
      <c r="P234" s="1">
        <f ca="1">IFERROR(__xludf.DUMMYFUNCTION("""COMPUTED_VALUE"""),103.7)</f>
        <v>103.7</v>
      </c>
      <c r="Q234" s="1">
        <f ca="1">IFERROR(__xludf.DUMMYFUNCTION("""COMPUTED_VALUE"""),144)</f>
        <v>144</v>
      </c>
      <c r="R234" s="1">
        <f ca="1">IFERROR(__xludf.DUMMYFUNCTION("""COMPUTED_VALUE"""),102.4)</f>
        <v>102.4</v>
      </c>
      <c r="S234" s="1">
        <f ca="1">IFERROR(__xludf.DUMMYFUNCTION("""COMPUTED_VALUE"""),140)</f>
        <v>140</v>
      </c>
      <c r="T234" s="1" t="str">
        <f ca="1">IFERROR(__xludf.DUMMYFUNCTION("""COMPUTED_VALUE"""),"+3.74")</f>
        <v>+3.74</v>
      </c>
      <c r="U234" s="1">
        <f ca="1">IFERROR(__xludf.DUMMYFUNCTION("""COMPUTED_VALUE"""),73)</f>
        <v>73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IFERROR(__xludf.DUMMYFUNCTION("""COMPUTED_VALUE"""),"Wofford")</f>
        <v>Wofford</v>
      </c>
      <c r="C235" s="1" t="str">
        <f ca="1">IFERROR(__xludf.DUMMYFUNCTION("""COMPUTED_VALUE"""),"SC")</f>
        <v>SC</v>
      </c>
      <c r="D235" s="1" t="str">
        <f ca="1">IFERROR(__xludf.DUMMYFUNCTION("""COMPUTED_VALUE"""),"14-14")</f>
        <v>14-14</v>
      </c>
      <c r="E235" s="1">
        <f ca="1">IFERROR(__xludf.DUMMYFUNCTION("""COMPUTED_VALUE"""),-6.24)</f>
        <v>-6.24</v>
      </c>
      <c r="F235" s="1">
        <f ca="1">IFERROR(__xludf.DUMMYFUNCTION("""COMPUTED_VALUE"""),102.2)</f>
        <v>102.2</v>
      </c>
      <c r="G235" s="1">
        <f ca="1">IFERROR(__xludf.DUMMYFUNCTION("""COMPUTED_VALUE"""),178)</f>
        <v>178</v>
      </c>
      <c r="H235" s="1">
        <f ca="1">IFERROR(__xludf.DUMMYFUNCTION("""COMPUTED_VALUE"""),108.4)</f>
        <v>108.4</v>
      </c>
      <c r="I235" s="1">
        <f ca="1">IFERROR(__xludf.DUMMYFUNCTION("""COMPUTED_VALUE"""),269)</f>
        <v>269</v>
      </c>
      <c r="J235" s="1">
        <f ca="1">IFERROR(__xludf.DUMMYFUNCTION("""COMPUTED_VALUE"""),66.7)</f>
        <v>66.7</v>
      </c>
      <c r="K235" s="1">
        <f ca="1">IFERROR(__xludf.DUMMYFUNCTION("""COMPUTED_VALUE"""),136)</f>
        <v>136</v>
      </c>
      <c r="L235" s="1" t="str">
        <f ca="1">IFERROR(__xludf.DUMMYFUNCTION("""COMPUTED_VALUE"""),"+.010")</f>
        <v>+.010</v>
      </c>
      <c r="M235" s="1">
        <f ca="1">IFERROR(__xludf.DUMMYFUNCTION("""COMPUTED_VALUE"""),137)</f>
        <v>137</v>
      </c>
      <c r="N235" s="1">
        <f ca="1">IFERROR(__xludf.DUMMYFUNCTION("""COMPUTED_VALUE"""),-3.19)</f>
        <v>-3.19</v>
      </c>
      <c r="O235" s="1">
        <f ca="1">IFERROR(__xludf.DUMMYFUNCTION("""COMPUTED_VALUE"""),216)</f>
        <v>216</v>
      </c>
      <c r="P235" s="1">
        <f ca="1">IFERROR(__xludf.DUMMYFUNCTION("""COMPUTED_VALUE"""),100.4)</f>
        <v>100.4</v>
      </c>
      <c r="Q235" s="1">
        <f ca="1">IFERROR(__xludf.DUMMYFUNCTION("""COMPUTED_VALUE"""),236)</f>
        <v>236</v>
      </c>
      <c r="R235" s="1">
        <f ca="1">IFERROR(__xludf.DUMMYFUNCTION("""COMPUTED_VALUE"""),103.6)</f>
        <v>103.6</v>
      </c>
      <c r="S235" s="1">
        <f ca="1">IFERROR(__xludf.DUMMYFUNCTION("""COMPUTED_VALUE"""),191)</f>
        <v>191</v>
      </c>
      <c r="T235" s="1" t="str">
        <f ca="1">IFERROR(__xludf.DUMMYFUNCTION("""COMPUTED_VALUE"""),"+4.51")</f>
        <v>+4.51</v>
      </c>
      <c r="U235" s="1">
        <f ca="1">IFERROR(__xludf.DUMMYFUNCTION("""COMPUTED_VALUE"""),60)</f>
        <v>60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IFERROR(__xludf.DUMMYFUNCTION("""COMPUTED_VALUE"""),"Delaware")</f>
        <v>Delaware</v>
      </c>
      <c r="C236" s="1" t="str">
        <f ca="1">IFERROR(__xludf.DUMMYFUNCTION("""COMPUTED_VALUE"""),"CAA")</f>
        <v>CAA</v>
      </c>
      <c r="D236" s="2">
        <f ca="1">IFERROR(__xludf.DUMMYFUNCTION("""COMPUTED_VALUE"""),44885)</f>
        <v>44885</v>
      </c>
      <c r="E236" s="1">
        <f ca="1">IFERROR(__xludf.DUMMYFUNCTION("""COMPUTED_VALUE"""),-6.46)</f>
        <v>-6.46</v>
      </c>
      <c r="F236" s="1">
        <f ca="1">IFERROR(__xludf.DUMMYFUNCTION("""COMPUTED_VALUE"""),95.1)</f>
        <v>95.1</v>
      </c>
      <c r="G236" s="1">
        <f ca="1">IFERROR(__xludf.DUMMYFUNCTION("""COMPUTED_VALUE"""),278)</f>
        <v>278</v>
      </c>
      <c r="H236" s="1">
        <f ca="1">IFERROR(__xludf.DUMMYFUNCTION("""COMPUTED_VALUE"""),101.5)</f>
        <v>101.5</v>
      </c>
      <c r="I236" s="1">
        <f ca="1">IFERROR(__xludf.DUMMYFUNCTION("""COMPUTED_VALUE"""),140)</f>
        <v>140</v>
      </c>
      <c r="J236" s="1">
        <f ca="1">IFERROR(__xludf.DUMMYFUNCTION("""COMPUTED_VALUE"""),68.2)</f>
        <v>68.2</v>
      </c>
      <c r="K236" s="1">
        <f ca="1">IFERROR(__xludf.DUMMYFUNCTION("""COMPUTED_VALUE"""),84)</f>
        <v>84</v>
      </c>
      <c r="L236" s="1">
        <f ca="1">IFERROR(__xludf.DUMMYFUNCTION("""COMPUTED_VALUE"""),-0.063)</f>
        <v>-6.3E-2</v>
      </c>
      <c r="M236" s="1">
        <f ca="1">IFERROR(__xludf.DUMMYFUNCTION("""COMPUTED_VALUE"""),296)</f>
        <v>296</v>
      </c>
      <c r="N236" s="1">
        <f ca="1">IFERROR(__xludf.DUMMYFUNCTION("""COMPUTED_VALUE"""),-2.21)</f>
        <v>-2.21</v>
      </c>
      <c r="O236" s="1">
        <f ca="1">IFERROR(__xludf.DUMMYFUNCTION("""COMPUTED_VALUE"""),195)</f>
        <v>195</v>
      </c>
      <c r="P236" s="1">
        <f ca="1">IFERROR(__xludf.DUMMYFUNCTION("""COMPUTED_VALUE"""),101.7)</f>
        <v>101.7</v>
      </c>
      <c r="Q236" s="1">
        <f ca="1">IFERROR(__xludf.DUMMYFUNCTION("""COMPUTED_VALUE"""),200)</f>
        <v>200</v>
      </c>
      <c r="R236" s="1">
        <f ca="1">IFERROR(__xludf.DUMMYFUNCTION("""COMPUTED_VALUE"""),103.9)</f>
        <v>103.9</v>
      </c>
      <c r="S236" s="1">
        <f ca="1">IFERROR(__xludf.DUMMYFUNCTION("""COMPUTED_VALUE"""),207)</f>
        <v>207</v>
      </c>
      <c r="T236" s="1">
        <f ca="1">IFERROR(__xludf.DUMMYFUNCTION("""COMPUTED_VALUE"""),-1.25)</f>
        <v>-1.25</v>
      </c>
      <c r="U236" s="1">
        <f ca="1">IFERROR(__xludf.DUMMYFUNCTION("""COMPUTED_VALUE"""),196)</f>
        <v>196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IFERROR(__xludf.DUMMYFUNCTION("""COMPUTED_VALUE"""),"Utah Valley St.")</f>
        <v>Utah Valley St.</v>
      </c>
      <c r="C237" s="1" t="str">
        <f ca="1">IFERROR(__xludf.DUMMYFUNCTION("""COMPUTED_VALUE"""),"ind")</f>
        <v>ind</v>
      </c>
      <c r="D237" s="1" t="str">
        <f ca="1">IFERROR(__xludf.DUMMYFUNCTION("""COMPUTED_VALUE"""),"16-12")</f>
        <v>16-12</v>
      </c>
      <c r="E237" s="1">
        <f ca="1">IFERROR(__xludf.DUMMYFUNCTION("""COMPUTED_VALUE"""),-6.51)</f>
        <v>-6.51</v>
      </c>
      <c r="F237" s="1">
        <f ca="1">IFERROR(__xludf.DUMMYFUNCTION("""COMPUTED_VALUE"""),101.2)</f>
        <v>101.2</v>
      </c>
      <c r="G237" s="1">
        <f ca="1">IFERROR(__xludf.DUMMYFUNCTION("""COMPUTED_VALUE"""),202)</f>
        <v>202</v>
      </c>
      <c r="H237" s="1">
        <f ca="1">IFERROR(__xludf.DUMMYFUNCTION("""COMPUTED_VALUE"""),107.7)</f>
        <v>107.7</v>
      </c>
      <c r="I237" s="1">
        <f ca="1">IFERROR(__xludf.DUMMYFUNCTION("""COMPUTED_VALUE"""),258)</f>
        <v>258</v>
      </c>
      <c r="J237" s="1">
        <f ca="1">IFERROR(__xludf.DUMMYFUNCTION("""COMPUTED_VALUE"""),62.1)</f>
        <v>62.1</v>
      </c>
      <c r="K237" s="1">
        <f ca="1">IFERROR(__xludf.DUMMYFUNCTION("""COMPUTED_VALUE"""),300)</f>
        <v>300</v>
      </c>
      <c r="L237" s="1" t="str">
        <f ca="1">IFERROR(__xludf.DUMMYFUNCTION("""COMPUTED_VALUE"""),"+.040")</f>
        <v>+.040</v>
      </c>
      <c r="M237" s="1">
        <f ca="1">IFERROR(__xludf.DUMMYFUNCTION("""COMPUTED_VALUE"""),76)</f>
        <v>76</v>
      </c>
      <c r="N237" s="1">
        <f ca="1">IFERROR(__xludf.DUMMYFUNCTION("""COMPUTED_VALUE"""),-8.49)</f>
        <v>-8.49</v>
      </c>
      <c r="O237" s="1">
        <f ca="1">IFERROR(__xludf.DUMMYFUNCTION("""COMPUTED_VALUE"""),302)</f>
        <v>302</v>
      </c>
      <c r="P237" s="1">
        <f ca="1">IFERROR(__xludf.DUMMYFUNCTION("""COMPUTED_VALUE"""),98.4)</f>
        <v>98.4</v>
      </c>
      <c r="Q237" s="1">
        <f ca="1">IFERROR(__xludf.DUMMYFUNCTION("""COMPUTED_VALUE"""),292)</f>
        <v>292</v>
      </c>
      <c r="R237" s="1">
        <f ca="1">IFERROR(__xludf.DUMMYFUNCTION("""COMPUTED_VALUE"""),106.9)</f>
        <v>106.9</v>
      </c>
      <c r="S237" s="1">
        <f ca="1">IFERROR(__xludf.DUMMYFUNCTION("""COMPUTED_VALUE"""),307)</f>
        <v>307</v>
      </c>
      <c r="T237" s="1">
        <f ca="1">IFERROR(__xludf.DUMMYFUNCTION("""COMPUTED_VALUE"""),-4.38)</f>
        <v>-4.38</v>
      </c>
      <c r="U237" s="1">
        <f ca="1">IFERROR(__xludf.DUMMYFUNCTION("""COMPUTED_VALUE"""),266)</f>
        <v>266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IFERROR(__xludf.DUMMYFUNCTION("""COMPUTED_VALUE"""),"High Point")</f>
        <v>High Point</v>
      </c>
      <c r="C238" s="1" t="str">
        <f ca="1">IFERROR(__xludf.DUMMYFUNCTION("""COMPUTED_VALUE"""),"BSth")</f>
        <v>BSth</v>
      </c>
      <c r="D238" s="1" t="str">
        <f ca="1">IFERROR(__xludf.DUMMYFUNCTION("""COMPUTED_VALUE"""),"13-18")</f>
        <v>13-18</v>
      </c>
      <c r="E238" s="1">
        <f ca="1">IFERROR(__xludf.DUMMYFUNCTION("""COMPUTED_VALUE"""),-6.53)</f>
        <v>-6.53</v>
      </c>
      <c r="F238" s="1">
        <f ca="1">IFERROR(__xludf.DUMMYFUNCTION("""COMPUTED_VALUE"""),97.3)</f>
        <v>97.3</v>
      </c>
      <c r="G238" s="1">
        <f ca="1">IFERROR(__xludf.DUMMYFUNCTION("""COMPUTED_VALUE"""),251)</f>
        <v>251</v>
      </c>
      <c r="H238" s="1">
        <f ca="1">IFERROR(__xludf.DUMMYFUNCTION("""COMPUTED_VALUE"""),103.8)</f>
        <v>103.8</v>
      </c>
      <c r="I238" s="1">
        <f ca="1">IFERROR(__xludf.DUMMYFUNCTION("""COMPUTED_VALUE"""),191)</f>
        <v>191</v>
      </c>
      <c r="J238" s="1">
        <f ca="1">IFERROR(__xludf.DUMMYFUNCTION("""COMPUTED_VALUE"""),72.4)</f>
        <v>72.400000000000006</v>
      </c>
      <c r="K238" s="1">
        <f ca="1">IFERROR(__xludf.DUMMYFUNCTION("""COMPUTED_VALUE"""),12)</f>
        <v>12</v>
      </c>
      <c r="L238" s="1">
        <f ca="1">IFERROR(__xludf.DUMMYFUNCTION("""COMPUTED_VALUE"""),-0.12)</f>
        <v>-0.12</v>
      </c>
      <c r="M238" s="1">
        <f ca="1">IFERROR(__xludf.DUMMYFUNCTION("""COMPUTED_VALUE"""),327)</f>
        <v>327</v>
      </c>
      <c r="N238" s="1">
        <f ca="1">IFERROR(__xludf.DUMMYFUNCTION("""COMPUTED_VALUE"""),-8.45)</f>
        <v>-8.4499999999999993</v>
      </c>
      <c r="O238" s="1">
        <f ca="1">IFERROR(__xludf.DUMMYFUNCTION("""COMPUTED_VALUE"""),301)</f>
        <v>301</v>
      </c>
      <c r="P238" s="1">
        <f ca="1">IFERROR(__xludf.DUMMYFUNCTION("""COMPUTED_VALUE"""),98.6)</f>
        <v>98.6</v>
      </c>
      <c r="Q238" s="1">
        <f ca="1">IFERROR(__xludf.DUMMYFUNCTION("""COMPUTED_VALUE"""),289)</f>
        <v>289</v>
      </c>
      <c r="R238" s="1">
        <f ca="1">IFERROR(__xludf.DUMMYFUNCTION("""COMPUTED_VALUE"""),107)</f>
        <v>107</v>
      </c>
      <c r="S238" s="1">
        <f ca="1">IFERROR(__xludf.DUMMYFUNCTION("""COMPUTED_VALUE"""),312)</f>
        <v>312</v>
      </c>
      <c r="T238" s="1">
        <f ca="1">IFERROR(__xludf.DUMMYFUNCTION("""COMPUTED_VALUE"""),-1.45)</f>
        <v>-1.45</v>
      </c>
      <c r="U238" s="1">
        <f ca="1">IFERROR(__xludf.DUMMYFUNCTION("""COMPUTED_VALUE"""),203)</f>
        <v>203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IFERROR(__xludf.DUMMYFUNCTION("""COMPUTED_VALUE"""),"Cornell")</f>
        <v>Cornell</v>
      </c>
      <c r="C239" s="1" t="str">
        <f ca="1">IFERROR(__xludf.DUMMYFUNCTION("""COMPUTED_VALUE"""),"Ivy")</f>
        <v>Ivy</v>
      </c>
      <c r="D239" s="1" t="str">
        <f ca="1">IFERROR(__xludf.DUMMYFUNCTION("""COMPUTED_VALUE"""),"13-14")</f>
        <v>13-14</v>
      </c>
      <c r="E239" s="1">
        <f ca="1">IFERROR(__xludf.DUMMYFUNCTION("""COMPUTED_VALUE"""),-6.86)</f>
        <v>-6.86</v>
      </c>
      <c r="F239" s="1">
        <f ca="1">IFERROR(__xludf.DUMMYFUNCTION("""COMPUTED_VALUE"""),101.8)</f>
        <v>101.8</v>
      </c>
      <c r="G239" s="1">
        <f ca="1">IFERROR(__xludf.DUMMYFUNCTION("""COMPUTED_VALUE"""),186)</f>
        <v>186</v>
      </c>
      <c r="H239" s="1">
        <f ca="1">IFERROR(__xludf.DUMMYFUNCTION("""COMPUTED_VALUE"""),108.7)</f>
        <v>108.7</v>
      </c>
      <c r="I239" s="1">
        <f ca="1">IFERROR(__xludf.DUMMYFUNCTION("""COMPUTED_VALUE"""),274)</f>
        <v>274</v>
      </c>
      <c r="J239" s="1">
        <f ca="1">IFERROR(__xludf.DUMMYFUNCTION("""COMPUTED_VALUE"""),62.3)</f>
        <v>62.3</v>
      </c>
      <c r="K239" s="1">
        <f ca="1">IFERROR(__xludf.DUMMYFUNCTION("""COMPUTED_VALUE"""),297)</f>
        <v>297</v>
      </c>
      <c r="L239" s="1" t="str">
        <f ca="1">IFERROR(__xludf.DUMMYFUNCTION("""COMPUTED_VALUE"""),"+.038")</f>
        <v>+.038</v>
      </c>
      <c r="M239" s="1">
        <f ca="1">IFERROR(__xludf.DUMMYFUNCTION("""COMPUTED_VALUE"""),79)</f>
        <v>79</v>
      </c>
      <c r="N239" s="1">
        <f ca="1">IFERROR(__xludf.DUMMYFUNCTION("""COMPUTED_VALUE"""),-4.65)</f>
        <v>-4.6500000000000004</v>
      </c>
      <c r="O239" s="1">
        <f ca="1">IFERROR(__xludf.DUMMYFUNCTION("""COMPUTED_VALUE"""),255)</f>
        <v>255</v>
      </c>
      <c r="P239" s="1">
        <f ca="1">IFERROR(__xludf.DUMMYFUNCTION("""COMPUTED_VALUE"""),99.4)</f>
        <v>99.4</v>
      </c>
      <c r="Q239" s="1">
        <f ca="1">IFERROR(__xludf.DUMMYFUNCTION("""COMPUTED_VALUE"""),270)</f>
        <v>270</v>
      </c>
      <c r="R239" s="1">
        <f ca="1">IFERROR(__xludf.DUMMYFUNCTION("""COMPUTED_VALUE"""),104)</f>
        <v>104</v>
      </c>
      <c r="S239" s="1">
        <f ca="1">IFERROR(__xludf.DUMMYFUNCTION("""COMPUTED_VALUE"""),210)</f>
        <v>210</v>
      </c>
      <c r="T239" s="1">
        <f ca="1">IFERROR(__xludf.DUMMYFUNCTION("""COMPUTED_VALUE"""),-4.41)</f>
        <v>-4.41</v>
      </c>
      <c r="U239" s="1">
        <f ca="1">IFERROR(__xludf.DUMMYFUNCTION("""COMPUTED_VALUE"""),268)</f>
        <v>268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IFERROR(__xludf.DUMMYFUNCTION("""COMPUTED_VALUE"""),"McNeese St.")</f>
        <v>McNeese St.</v>
      </c>
      <c r="C240" s="1" t="str">
        <f ca="1">IFERROR(__xludf.DUMMYFUNCTION("""COMPUTED_VALUE"""),"Slnd")</f>
        <v>Slnd</v>
      </c>
      <c r="D240" s="1" t="str">
        <f ca="1">IFERROR(__xludf.DUMMYFUNCTION("""COMPUTED_VALUE"""),"13-15")</f>
        <v>13-15</v>
      </c>
      <c r="E240" s="1">
        <f ca="1">IFERROR(__xludf.DUMMYFUNCTION("""COMPUTED_VALUE"""),-6.89)</f>
        <v>-6.89</v>
      </c>
      <c r="F240" s="1">
        <f ca="1">IFERROR(__xludf.DUMMYFUNCTION("""COMPUTED_VALUE"""),97.6)</f>
        <v>97.6</v>
      </c>
      <c r="G240" s="1">
        <f ca="1">IFERROR(__xludf.DUMMYFUNCTION("""COMPUTED_VALUE"""),245)</f>
        <v>245</v>
      </c>
      <c r="H240" s="1">
        <f ca="1">IFERROR(__xludf.DUMMYFUNCTION("""COMPUTED_VALUE"""),104.5)</f>
        <v>104.5</v>
      </c>
      <c r="I240" s="1">
        <f ca="1">IFERROR(__xludf.DUMMYFUNCTION("""COMPUTED_VALUE"""),200)</f>
        <v>200</v>
      </c>
      <c r="J240" s="1">
        <f ca="1">IFERROR(__xludf.DUMMYFUNCTION("""COMPUTED_VALUE"""),74)</f>
        <v>74</v>
      </c>
      <c r="K240" s="1">
        <f ca="1">IFERROR(__xludf.DUMMYFUNCTION("""COMPUTED_VALUE"""),3)</f>
        <v>3</v>
      </c>
      <c r="L240" s="1">
        <f ca="1">IFERROR(__xludf.DUMMYFUNCTION("""COMPUTED_VALUE"""),-0.011)</f>
        <v>-1.0999999999999999E-2</v>
      </c>
      <c r="M240" s="1">
        <f ca="1">IFERROR(__xludf.DUMMYFUNCTION("""COMPUTED_VALUE"""),190)</f>
        <v>190</v>
      </c>
      <c r="N240" s="1">
        <f ca="1">IFERROR(__xludf.DUMMYFUNCTION("""COMPUTED_VALUE"""),-3.02)</f>
        <v>-3.02</v>
      </c>
      <c r="O240" s="1">
        <f ca="1">IFERROR(__xludf.DUMMYFUNCTION("""COMPUTED_VALUE"""),213)</f>
        <v>213</v>
      </c>
      <c r="P240" s="1">
        <f ca="1">IFERROR(__xludf.DUMMYFUNCTION("""COMPUTED_VALUE"""),101.2)</f>
        <v>101.2</v>
      </c>
      <c r="Q240" s="1">
        <f ca="1">IFERROR(__xludf.DUMMYFUNCTION("""COMPUTED_VALUE"""),217)</f>
        <v>217</v>
      </c>
      <c r="R240" s="1">
        <f ca="1">IFERROR(__xludf.DUMMYFUNCTION("""COMPUTED_VALUE"""),104.3)</f>
        <v>104.3</v>
      </c>
      <c r="S240" s="1">
        <f ca="1">IFERROR(__xludf.DUMMYFUNCTION("""COMPUTED_VALUE"""),219)</f>
        <v>219</v>
      </c>
      <c r="T240" s="1" t="str">
        <f ca="1">IFERROR(__xludf.DUMMYFUNCTION("""COMPUTED_VALUE"""),"+5.43")</f>
        <v>+5.43</v>
      </c>
      <c r="U240" s="1">
        <f ca="1">IFERROR(__xludf.DUMMYFUNCTION("""COMPUTED_VALUE"""),46)</f>
        <v>46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IFERROR(__xludf.DUMMYFUNCTION("""COMPUTED_VALUE"""),"Eastern Illinois")</f>
        <v>Eastern Illinois</v>
      </c>
      <c r="C241" s="1" t="str">
        <f ca="1">IFERROR(__xludf.DUMMYFUNCTION("""COMPUTED_VALUE"""),"OVC")</f>
        <v>OVC</v>
      </c>
      <c r="D241" s="2">
        <f ca="1">IFERROR(__xludf.DUMMYFUNCTION("""COMPUTED_VALUE"""),44911)</f>
        <v>44911</v>
      </c>
      <c r="E241" s="1">
        <f ca="1">IFERROR(__xludf.DUMMYFUNCTION("""COMPUTED_VALUE"""),-7.03)</f>
        <v>-7.03</v>
      </c>
      <c r="F241" s="1">
        <f ca="1">IFERROR(__xludf.DUMMYFUNCTION("""COMPUTED_VALUE"""),101.7)</f>
        <v>101.7</v>
      </c>
      <c r="G241" s="1">
        <f ca="1">IFERROR(__xludf.DUMMYFUNCTION("""COMPUTED_VALUE"""),189)</f>
        <v>189</v>
      </c>
      <c r="H241" s="1">
        <f ca="1">IFERROR(__xludf.DUMMYFUNCTION("""COMPUTED_VALUE"""),108.7)</f>
        <v>108.7</v>
      </c>
      <c r="I241" s="1">
        <f ca="1">IFERROR(__xludf.DUMMYFUNCTION("""COMPUTED_VALUE"""),277)</f>
        <v>277</v>
      </c>
      <c r="J241" s="1">
        <f ca="1">IFERROR(__xludf.DUMMYFUNCTION("""COMPUTED_VALUE"""),66.2)</f>
        <v>66.2</v>
      </c>
      <c r="K241" s="1">
        <f ca="1">IFERROR(__xludf.DUMMYFUNCTION("""COMPUTED_VALUE"""),163)</f>
        <v>163</v>
      </c>
      <c r="L241" s="1" t="str">
        <f ca="1">IFERROR(__xludf.DUMMYFUNCTION("""COMPUTED_VALUE"""),"+.056")</f>
        <v>+.056</v>
      </c>
      <c r="M241" s="1">
        <f ca="1">IFERROR(__xludf.DUMMYFUNCTION("""COMPUTED_VALUE"""),51)</f>
        <v>51</v>
      </c>
      <c r="N241" s="1">
        <f ca="1">IFERROR(__xludf.DUMMYFUNCTION("""COMPUTED_VALUE"""),-1.91)</f>
        <v>-1.91</v>
      </c>
      <c r="O241" s="1">
        <f ca="1">IFERROR(__xludf.DUMMYFUNCTION("""COMPUTED_VALUE"""),189)</f>
        <v>189</v>
      </c>
      <c r="P241" s="1">
        <f ca="1">IFERROR(__xludf.DUMMYFUNCTION("""COMPUTED_VALUE"""),102.9)</f>
        <v>102.9</v>
      </c>
      <c r="Q241" s="1">
        <f ca="1">IFERROR(__xludf.DUMMYFUNCTION("""COMPUTED_VALUE"""),166)</f>
        <v>166</v>
      </c>
      <c r="R241" s="1">
        <f ca="1">IFERROR(__xludf.DUMMYFUNCTION("""COMPUTED_VALUE"""),104.8)</f>
        <v>104.8</v>
      </c>
      <c r="S241" s="1">
        <f ca="1">IFERROR(__xludf.DUMMYFUNCTION("""COMPUTED_VALUE"""),241)</f>
        <v>241</v>
      </c>
      <c r="T241" s="1" t="str">
        <f ca="1">IFERROR(__xludf.DUMMYFUNCTION("""COMPUTED_VALUE"""),"+1.59")</f>
        <v>+1.59</v>
      </c>
      <c r="U241" s="1">
        <f ca="1">IFERROR(__xludf.DUMMYFUNCTION("""COMPUTED_VALUE"""),115)</f>
        <v>115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IFERROR(__xludf.DUMMYFUNCTION("""COMPUTED_VALUE"""),"Southern Miss")</f>
        <v>Southern Miss</v>
      </c>
      <c r="C242" s="1" t="str">
        <f ca="1">IFERROR(__xludf.DUMMYFUNCTION("""COMPUTED_VALUE"""),"CUSA")</f>
        <v>CUSA</v>
      </c>
      <c r="D242" s="2">
        <f ca="1">IFERROR(__xludf.DUMMYFUNCTION("""COMPUTED_VALUE"""),44882)</f>
        <v>44882</v>
      </c>
      <c r="E242" s="1">
        <f ca="1">IFERROR(__xludf.DUMMYFUNCTION("""COMPUTED_VALUE"""),-7.08)</f>
        <v>-7.08</v>
      </c>
      <c r="F242" s="1">
        <f ca="1">IFERROR(__xludf.DUMMYFUNCTION("""COMPUTED_VALUE"""),102.7)</f>
        <v>102.7</v>
      </c>
      <c r="G242" s="1">
        <f ca="1">IFERROR(__xludf.DUMMYFUNCTION("""COMPUTED_VALUE"""),165)</f>
        <v>165</v>
      </c>
      <c r="H242" s="1">
        <f ca="1">IFERROR(__xludf.DUMMYFUNCTION("""COMPUTED_VALUE"""),109.8)</f>
        <v>109.8</v>
      </c>
      <c r="I242" s="1">
        <f ca="1">IFERROR(__xludf.DUMMYFUNCTION("""COMPUTED_VALUE"""),291)</f>
        <v>291</v>
      </c>
      <c r="J242" s="1">
        <f ca="1">IFERROR(__xludf.DUMMYFUNCTION("""COMPUTED_VALUE"""),64.8)</f>
        <v>64.8</v>
      </c>
      <c r="K242" s="1">
        <f ca="1">IFERROR(__xludf.DUMMYFUNCTION("""COMPUTED_VALUE"""),225)</f>
        <v>225</v>
      </c>
      <c r="L242" s="1">
        <f ca="1">IFERROR(__xludf.DUMMYFUNCTION("""COMPUTED_VALUE"""),-0.009)</f>
        <v>-8.9999999999999993E-3</v>
      </c>
      <c r="M242" s="1">
        <f ca="1">IFERROR(__xludf.DUMMYFUNCTION("""COMPUTED_VALUE"""),184)</f>
        <v>184</v>
      </c>
      <c r="N242" s="1" t="str">
        <f ca="1">IFERROR(__xludf.DUMMYFUNCTION("""COMPUTED_VALUE"""),"+1.61")</f>
        <v>+1.61</v>
      </c>
      <c r="O242" s="1">
        <f ca="1">IFERROR(__xludf.DUMMYFUNCTION("""COMPUTED_VALUE"""),131)</f>
        <v>131</v>
      </c>
      <c r="P242" s="1">
        <f ca="1">IFERROR(__xludf.DUMMYFUNCTION("""COMPUTED_VALUE"""),102.9)</f>
        <v>102.9</v>
      </c>
      <c r="Q242" s="1">
        <f ca="1">IFERROR(__xludf.DUMMYFUNCTION("""COMPUTED_VALUE"""),169)</f>
        <v>169</v>
      </c>
      <c r="R242" s="1">
        <f ca="1">IFERROR(__xludf.DUMMYFUNCTION("""COMPUTED_VALUE"""),101.3)</f>
        <v>101.3</v>
      </c>
      <c r="S242" s="1">
        <f ca="1">IFERROR(__xludf.DUMMYFUNCTION("""COMPUTED_VALUE"""),93)</f>
        <v>93</v>
      </c>
      <c r="T242" s="1">
        <f ca="1">IFERROR(__xludf.DUMMYFUNCTION("""COMPUTED_VALUE"""),-7.64)</f>
        <v>-7.64</v>
      </c>
      <c r="U242" s="1">
        <f ca="1">IFERROR(__xludf.DUMMYFUNCTION("""COMPUTED_VALUE"""),305)</f>
        <v>305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IFERROR(__xludf.DUMMYFUNCTION("""COMPUTED_VALUE"""),"Marist")</f>
        <v>Marist</v>
      </c>
      <c r="C243" s="1" t="str">
        <f ca="1">IFERROR(__xludf.DUMMYFUNCTION("""COMPUTED_VALUE"""),"MAAC")</f>
        <v>MAAC</v>
      </c>
      <c r="D243" s="2">
        <f ca="1">IFERROR(__xludf.DUMMYFUNCTION("""COMPUTED_VALUE"""),44882)</f>
        <v>44882</v>
      </c>
      <c r="E243" s="1">
        <f ca="1">IFERROR(__xludf.DUMMYFUNCTION("""COMPUTED_VALUE"""),-7.17)</f>
        <v>-7.17</v>
      </c>
      <c r="F243" s="1">
        <f ca="1">IFERROR(__xludf.DUMMYFUNCTION("""COMPUTED_VALUE"""),101.4)</f>
        <v>101.4</v>
      </c>
      <c r="G243" s="1">
        <f ca="1">IFERROR(__xludf.DUMMYFUNCTION("""COMPUTED_VALUE"""),197)</f>
        <v>197</v>
      </c>
      <c r="H243" s="1">
        <f ca="1">IFERROR(__xludf.DUMMYFUNCTION("""COMPUTED_VALUE"""),108.6)</f>
        <v>108.6</v>
      </c>
      <c r="I243" s="1">
        <f ca="1">IFERROR(__xludf.DUMMYFUNCTION("""COMPUTED_VALUE"""),273)</f>
        <v>273</v>
      </c>
      <c r="J243" s="1">
        <f ca="1">IFERROR(__xludf.DUMMYFUNCTION("""COMPUTED_VALUE"""),66.1)</f>
        <v>66.099999999999994</v>
      </c>
      <c r="K243" s="1">
        <f ca="1">IFERROR(__xludf.DUMMYFUNCTION("""COMPUTED_VALUE"""),165)</f>
        <v>165</v>
      </c>
      <c r="L243" s="1">
        <f ca="1">IFERROR(__xludf.DUMMYFUNCTION("""COMPUTED_VALUE"""),-0.019)</f>
        <v>-1.9E-2</v>
      </c>
      <c r="M243" s="1">
        <f ca="1">IFERROR(__xludf.DUMMYFUNCTION("""COMPUTED_VALUE"""),215)</f>
        <v>215</v>
      </c>
      <c r="N243" s="1">
        <f ca="1">IFERROR(__xludf.DUMMYFUNCTION("""COMPUTED_VALUE"""),-4.39)</f>
        <v>-4.3899999999999997</v>
      </c>
      <c r="O243" s="1">
        <f ca="1">IFERROR(__xludf.DUMMYFUNCTION("""COMPUTED_VALUE"""),250)</f>
        <v>250</v>
      </c>
      <c r="P243" s="1">
        <f ca="1">IFERROR(__xludf.DUMMYFUNCTION("""COMPUTED_VALUE"""),101.5)</f>
        <v>101.5</v>
      </c>
      <c r="Q243" s="1">
        <f ca="1">IFERROR(__xludf.DUMMYFUNCTION("""COMPUTED_VALUE"""),206)</f>
        <v>206</v>
      </c>
      <c r="R243" s="1">
        <f ca="1">IFERROR(__xludf.DUMMYFUNCTION("""COMPUTED_VALUE"""),105.9)</f>
        <v>105.9</v>
      </c>
      <c r="S243" s="1">
        <f ca="1">IFERROR(__xludf.DUMMYFUNCTION("""COMPUTED_VALUE"""),284)</f>
        <v>284</v>
      </c>
      <c r="T243" s="1">
        <f ca="1">IFERROR(__xludf.DUMMYFUNCTION("""COMPUTED_VALUE"""),-2.69)</f>
        <v>-2.69</v>
      </c>
      <c r="U243" s="1">
        <f ca="1">IFERROR(__xludf.DUMMYFUNCTION("""COMPUTED_VALUE"""),233)</f>
        <v>233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IFERROR(__xludf.DUMMYFUNCTION("""COMPUTED_VALUE"""),"Hampton")</f>
        <v>Hampton</v>
      </c>
      <c r="C244" s="1" t="str">
        <f ca="1">IFERROR(__xludf.DUMMYFUNCTION("""COMPUTED_VALUE"""),"MEAC")</f>
        <v>MEAC</v>
      </c>
      <c r="D244" s="1" t="str">
        <f ca="1">IFERROR(__xludf.DUMMYFUNCTION("""COMPUTED_VALUE"""),"17-13")</f>
        <v>17-13</v>
      </c>
      <c r="E244" s="1">
        <f ca="1">IFERROR(__xludf.DUMMYFUNCTION("""COMPUTED_VALUE"""),-7.17)</f>
        <v>-7.17</v>
      </c>
      <c r="F244" s="1">
        <f ca="1">IFERROR(__xludf.DUMMYFUNCTION("""COMPUTED_VALUE"""),94.6)</f>
        <v>94.6</v>
      </c>
      <c r="G244" s="1">
        <f ca="1">IFERROR(__xludf.DUMMYFUNCTION("""COMPUTED_VALUE"""),285)</f>
        <v>285</v>
      </c>
      <c r="H244" s="1">
        <f ca="1">IFERROR(__xludf.DUMMYFUNCTION("""COMPUTED_VALUE"""),101.8)</f>
        <v>101.8</v>
      </c>
      <c r="I244" s="1">
        <f ca="1">IFERROR(__xludf.DUMMYFUNCTION("""COMPUTED_VALUE"""),148)</f>
        <v>148</v>
      </c>
      <c r="J244" s="1">
        <f ca="1">IFERROR(__xludf.DUMMYFUNCTION("""COMPUTED_VALUE"""),66.2)</f>
        <v>66.2</v>
      </c>
      <c r="K244" s="1">
        <f ca="1">IFERROR(__xludf.DUMMYFUNCTION("""COMPUTED_VALUE"""),159)</f>
        <v>159</v>
      </c>
      <c r="L244" s="1" t="str">
        <f ca="1">IFERROR(__xludf.DUMMYFUNCTION("""COMPUTED_VALUE"""),"+.028")</f>
        <v>+.028</v>
      </c>
      <c r="M244" s="1">
        <f ca="1">IFERROR(__xludf.DUMMYFUNCTION("""COMPUTED_VALUE"""),103)</f>
        <v>103</v>
      </c>
      <c r="N244" s="1">
        <f ca="1">IFERROR(__xludf.DUMMYFUNCTION("""COMPUTED_VALUE"""),-11.35)</f>
        <v>-11.35</v>
      </c>
      <c r="O244" s="1">
        <f ca="1">IFERROR(__xludf.DUMMYFUNCTION("""COMPUTED_VALUE"""),316)</f>
        <v>316</v>
      </c>
      <c r="P244" s="1">
        <f ca="1">IFERROR(__xludf.DUMMYFUNCTION("""COMPUTED_VALUE"""),95)</f>
        <v>95</v>
      </c>
      <c r="Q244" s="1">
        <f ca="1">IFERROR(__xludf.DUMMYFUNCTION("""COMPUTED_VALUE"""),314)</f>
        <v>314</v>
      </c>
      <c r="R244" s="1">
        <f ca="1">IFERROR(__xludf.DUMMYFUNCTION("""COMPUTED_VALUE"""),106.3)</f>
        <v>106.3</v>
      </c>
      <c r="S244" s="1">
        <f ca="1">IFERROR(__xludf.DUMMYFUNCTION("""COMPUTED_VALUE"""),295)</f>
        <v>295</v>
      </c>
      <c r="T244" s="1" t="str">
        <f ca="1">IFERROR(__xludf.DUMMYFUNCTION("""COMPUTED_VALUE"""),"+2.68")</f>
        <v>+2.68</v>
      </c>
      <c r="U244" s="1">
        <f ca="1">IFERROR(__xludf.DUMMYFUNCTION("""COMPUTED_VALUE"""),90)</f>
        <v>90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IFERROR(__xludf.DUMMYFUNCTION("""COMPUTED_VALUE"""),"Northern Arizona")</f>
        <v>Northern Arizona</v>
      </c>
      <c r="C245" s="1" t="str">
        <f ca="1">IFERROR(__xludf.DUMMYFUNCTION("""COMPUTED_VALUE"""),"BSky")</f>
        <v>BSky</v>
      </c>
      <c r="D245" s="2">
        <f ca="1">IFERROR(__xludf.DUMMYFUNCTION("""COMPUTED_VALUE"""),44882)</f>
        <v>44882</v>
      </c>
      <c r="E245" s="1">
        <f ca="1">IFERROR(__xludf.DUMMYFUNCTION("""COMPUTED_VALUE"""),-7.17)</f>
        <v>-7.17</v>
      </c>
      <c r="F245" s="1">
        <f ca="1">IFERROR(__xludf.DUMMYFUNCTION("""COMPUTED_VALUE"""),102.3)</f>
        <v>102.3</v>
      </c>
      <c r="G245" s="1">
        <f ca="1">IFERROR(__xludf.DUMMYFUNCTION("""COMPUTED_VALUE"""),173)</f>
        <v>173</v>
      </c>
      <c r="H245" s="1">
        <f ca="1">IFERROR(__xludf.DUMMYFUNCTION("""COMPUTED_VALUE"""),109.5)</f>
        <v>109.5</v>
      </c>
      <c r="I245" s="1">
        <f ca="1">IFERROR(__xludf.DUMMYFUNCTION("""COMPUTED_VALUE"""),285)</f>
        <v>285</v>
      </c>
      <c r="J245" s="1">
        <f ca="1">IFERROR(__xludf.DUMMYFUNCTION("""COMPUTED_VALUE"""),71.7)</f>
        <v>71.7</v>
      </c>
      <c r="K245" s="1">
        <f ca="1">IFERROR(__xludf.DUMMYFUNCTION("""COMPUTED_VALUE"""),15)</f>
        <v>15</v>
      </c>
      <c r="L245" s="1">
        <f ca="1">IFERROR(__xludf.DUMMYFUNCTION("""COMPUTED_VALUE"""),-0.128)</f>
        <v>-0.128</v>
      </c>
      <c r="M245" s="1">
        <f ca="1">IFERROR(__xludf.DUMMYFUNCTION("""COMPUTED_VALUE"""),329)</f>
        <v>329</v>
      </c>
      <c r="N245" s="1">
        <f ca="1">IFERROR(__xludf.DUMMYFUNCTION("""COMPUTED_VALUE"""),-6.37)</f>
        <v>-6.37</v>
      </c>
      <c r="O245" s="1">
        <f ca="1">IFERROR(__xludf.DUMMYFUNCTION("""COMPUTED_VALUE"""),274)</f>
        <v>274</v>
      </c>
      <c r="P245" s="1">
        <f ca="1">IFERROR(__xludf.DUMMYFUNCTION("""COMPUTED_VALUE"""),98.2)</f>
        <v>98.2</v>
      </c>
      <c r="Q245" s="1">
        <f ca="1">IFERROR(__xludf.DUMMYFUNCTION("""COMPUTED_VALUE"""),298)</f>
        <v>298</v>
      </c>
      <c r="R245" s="1">
        <f ca="1">IFERROR(__xludf.DUMMYFUNCTION("""COMPUTED_VALUE"""),104.5)</f>
        <v>104.5</v>
      </c>
      <c r="S245" s="1">
        <f ca="1">IFERROR(__xludf.DUMMYFUNCTION("""COMPUTED_VALUE"""),228)</f>
        <v>228</v>
      </c>
      <c r="T245" s="1">
        <f ca="1">IFERROR(__xludf.DUMMYFUNCTION("""COMPUTED_VALUE"""),-1.4)</f>
        <v>-1.4</v>
      </c>
      <c r="U245" s="1">
        <f ca="1">IFERROR(__xludf.DUMMYFUNCTION("""COMPUTED_VALUE"""),202)</f>
        <v>202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IFERROR(__xludf.DUMMYFUNCTION("""COMPUTED_VALUE"""),"Georgia St.")</f>
        <v>Georgia St.</v>
      </c>
      <c r="C246" s="1" t="str">
        <f ca="1">IFERROR(__xludf.DUMMYFUNCTION("""COMPUTED_VALUE"""),"ASun")</f>
        <v>ASun</v>
      </c>
      <c r="D246" s="1" t="str">
        <f ca="1">IFERROR(__xludf.DUMMYFUNCTION("""COMPUTED_VALUE"""),"14-15")</f>
        <v>14-15</v>
      </c>
      <c r="E246" s="1">
        <f ca="1">IFERROR(__xludf.DUMMYFUNCTION("""COMPUTED_VALUE"""),-7.42)</f>
        <v>-7.42</v>
      </c>
      <c r="F246" s="1">
        <f ca="1">IFERROR(__xludf.DUMMYFUNCTION("""COMPUTED_VALUE"""),102.2)</f>
        <v>102.2</v>
      </c>
      <c r="G246" s="1">
        <f ca="1">IFERROR(__xludf.DUMMYFUNCTION("""COMPUTED_VALUE"""),179)</f>
        <v>179</v>
      </c>
      <c r="H246" s="1">
        <f ca="1">IFERROR(__xludf.DUMMYFUNCTION("""COMPUTED_VALUE"""),109.6)</f>
        <v>109.6</v>
      </c>
      <c r="I246" s="1">
        <f ca="1">IFERROR(__xludf.DUMMYFUNCTION("""COMPUTED_VALUE"""),287)</f>
        <v>287</v>
      </c>
      <c r="J246" s="1">
        <f ca="1">IFERROR(__xludf.DUMMYFUNCTION("""COMPUTED_VALUE"""),65)</f>
        <v>65</v>
      </c>
      <c r="K246" s="1">
        <f ca="1">IFERROR(__xludf.DUMMYFUNCTION("""COMPUTED_VALUE"""),214)</f>
        <v>214</v>
      </c>
      <c r="L246" s="1" t="str">
        <f ca="1">IFERROR(__xludf.DUMMYFUNCTION("""COMPUTED_VALUE"""),"+.035")</f>
        <v>+.035</v>
      </c>
      <c r="M246" s="1">
        <f ca="1">IFERROR(__xludf.DUMMYFUNCTION("""COMPUTED_VALUE"""),89)</f>
        <v>89</v>
      </c>
      <c r="N246" s="1">
        <f ca="1">IFERROR(__xludf.DUMMYFUNCTION("""COMPUTED_VALUE"""),-5.37)</f>
        <v>-5.37</v>
      </c>
      <c r="O246" s="1">
        <f ca="1">IFERROR(__xludf.DUMMYFUNCTION("""COMPUTED_VALUE"""),262)</f>
        <v>262</v>
      </c>
      <c r="P246" s="1">
        <f ca="1">IFERROR(__xludf.DUMMYFUNCTION("""COMPUTED_VALUE"""),100.4)</f>
        <v>100.4</v>
      </c>
      <c r="Q246" s="1">
        <f ca="1">IFERROR(__xludf.DUMMYFUNCTION("""COMPUTED_VALUE"""),238)</f>
        <v>238</v>
      </c>
      <c r="R246" s="1">
        <f ca="1">IFERROR(__xludf.DUMMYFUNCTION("""COMPUTED_VALUE"""),105.8)</f>
        <v>105.8</v>
      </c>
      <c r="S246" s="1">
        <f ca="1">IFERROR(__xludf.DUMMYFUNCTION("""COMPUTED_VALUE"""),278)</f>
        <v>278</v>
      </c>
      <c r="T246" s="1" t="str">
        <f ca="1">IFERROR(__xludf.DUMMYFUNCTION("""COMPUTED_VALUE"""),"+13.98")</f>
        <v>+13.98</v>
      </c>
      <c r="U246" s="1">
        <f ca="1">IFERROR(__xludf.DUMMYFUNCTION("""COMPUTED_VALUE"""),4)</f>
        <v>4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IFERROR(__xludf.DUMMYFUNCTION("""COMPUTED_VALUE"""),"Long Beach St.")</f>
        <v>Long Beach St.</v>
      </c>
      <c r="C247" s="1" t="str">
        <f ca="1">IFERROR(__xludf.DUMMYFUNCTION("""COMPUTED_VALUE"""),"BW")</f>
        <v>BW</v>
      </c>
      <c r="D247" s="2">
        <f ca="1">IFERROR(__xludf.DUMMYFUNCTION("""COMPUTED_VALUE"""),44854)</f>
        <v>44854</v>
      </c>
      <c r="E247" s="1">
        <f ca="1">IFERROR(__xludf.DUMMYFUNCTION("""COMPUTED_VALUE"""),-7.5)</f>
        <v>-7.5</v>
      </c>
      <c r="F247" s="1">
        <f ca="1">IFERROR(__xludf.DUMMYFUNCTION("""COMPUTED_VALUE"""),94.2)</f>
        <v>94.2</v>
      </c>
      <c r="G247" s="1">
        <f ca="1">IFERROR(__xludf.DUMMYFUNCTION("""COMPUTED_VALUE"""),291)</f>
        <v>291</v>
      </c>
      <c r="H247" s="1">
        <f ca="1">IFERROR(__xludf.DUMMYFUNCTION("""COMPUTED_VALUE"""),101.7)</f>
        <v>101.7</v>
      </c>
      <c r="I247" s="1">
        <f ca="1">IFERROR(__xludf.DUMMYFUNCTION("""COMPUTED_VALUE"""),146)</f>
        <v>146</v>
      </c>
      <c r="J247" s="1">
        <f ca="1">IFERROR(__xludf.DUMMYFUNCTION("""COMPUTED_VALUE"""),64.1)</f>
        <v>64.099999999999994</v>
      </c>
      <c r="K247" s="1">
        <f ca="1">IFERROR(__xludf.DUMMYFUNCTION("""COMPUTED_VALUE"""),252)</f>
        <v>252</v>
      </c>
      <c r="L247" s="1" t="str">
        <f ca="1">IFERROR(__xludf.DUMMYFUNCTION("""COMPUTED_VALUE"""),"+.010")</f>
        <v>+.010</v>
      </c>
      <c r="M247" s="1">
        <f ca="1">IFERROR(__xludf.DUMMYFUNCTION("""COMPUTED_VALUE"""),139)</f>
        <v>139</v>
      </c>
      <c r="N247" s="1">
        <f ca="1">IFERROR(__xludf.DUMMYFUNCTION("""COMPUTED_VALUE"""),-0.38)</f>
        <v>-0.38</v>
      </c>
      <c r="O247" s="1">
        <f ca="1">IFERROR(__xludf.DUMMYFUNCTION("""COMPUTED_VALUE"""),161)</f>
        <v>161</v>
      </c>
      <c r="P247" s="1">
        <f ca="1">IFERROR(__xludf.DUMMYFUNCTION("""COMPUTED_VALUE"""),102.9)</f>
        <v>102.9</v>
      </c>
      <c r="Q247" s="1">
        <f ca="1">IFERROR(__xludf.DUMMYFUNCTION("""COMPUTED_VALUE"""),170)</f>
        <v>170</v>
      </c>
      <c r="R247" s="1">
        <f ca="1">IFERROR(__xludf.DUMMYFUNCTION("""COMPUTED_VALUE"""),103.3)</f>
        <v>103.3</v>
      </c>
      <c r="S247" s="1">
        <f ca="1">IFERROR(__xludf.DUMMYFUNCTION("""COMPUTED_VALUE"""),177)</f>
        <v>177</v>
      </c>
      <c r="T247" s="1" t="str">
        <f ca="1">IFERROR(__xludf.DUMMYFUNCTION("""COMPUTED_VALUE"""),"+1.03")</f>
        <v>+1.03</v>
      </c>
      <c r="U247" s="1">
        <f ca="1">IFERROR(__xludf.DUMMYFUNCTION("""COMPUTED_VALUE"""),134)</f>
        <v>134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IFERROR(__xludf.DUMMYFUNCTION("""COMPUTED_VALUE"""),"Baylor")</f>
        <v>Baylor</v>
      </c>
      <c r="C248" s="1" t="str">
        <f ca="1">IFERROR(__xludf.DUMMYFUNCTION("""COMPUTED_VALUE"""),"B12")</f>
        <v>B12</v>
      </c>
      <c r="D248" s="2">
        <f ca="1">IFERROR(__xludf.DUMMYFUNCTION("""COMPUTED_VALUE"""),44823)</f>
        <v>44823</v>
      </c>
      <c r="E248" s="1">
        <f ca="1">IFERROR(__xludf.DUMMYFUNCTION("""COMPUTED_VALUE"""),-7.51)</f>
        <v>-7.51</v>
      </c>
      <c r="F248" s="1">
        <f ca="1">IFERROR(__xludf.DUMMYFUNCTION("""COMPUTED_VALUE"""),103.5)</f>
        <v>103.5</v>
      </c>
      <c r="G248" s="1">
        <f ca="1">IFERROR(__xludf.DUMMYFUNCTION("""COMPUTED_VALUE"""),151)</f>
        <v>151</v>
      </c>
      <c r="H248" s="1">
        <f ca="1">IFERROR(__xludf.DUMMYFUNCTION("""COMPUTED_VALUE"""),111.1)</f>
        <v>111.1</v>
      </c>
      <c r="I248" s="1">
        <f ca="1">IFERROR(__xludf.DUMMYFUNCTION("""COMPUTED_VALUE"""),300)</f>
        <v>300</v>
      </c>
      <c r="J248" s="1">
        <f ca="1">IFERROR(__xludf.DUMMYFUNCTION("""COMPUTED_VALUE"""),63.8)</f>
        <v>63.8</v>
      </c>
      <c r="K248" s="1">
        <f ca="1">IFERROR(__xludf.DUMMYFUNCTION("""COMPUTED_VALUE"""),258)</f>
        <v>258</v>
      </c>
      <c r="L248" s="1">
        <f ca="1">IFERROR(__xludf.DUMMYFUNCTION("""COMPUTED_VALUE"""),-0.051)</f>
        <v>-5.0999999999999997E-2</v>
      </c>
      <c r="M248" s="1">
        <f ca="1">IFERROR(__xludf.DUMMYFUNCTION("""COMPUTED_VALUE"""),278)</f>
        <v>278</v>
      </c>
      <c r="N248" s="1" t="str">
        <f ca="1">IFERROR(__xludf.DUMMYFUNCTION("""COMPUTED_VALUE"""),"+5.25")</f>
        <v>+5.25</v>
      </c>
      <c r="O248" s="1">
        <f ca="1">IFERROR(__xludf.DUMMYFUNCTION("""COMPUTED_VALUE"""),73)</f>
        <v>73</v>
      </c>
      <c r="P248" s="1">
        <f ca="1">IFERROR(__xludf.DUMMYFUNCTION("""COMPUTED_VALUE"""),104.9)</f>
        <v>104.9</v>
      </c>
      <c r="Q248" s="1">
        <f ca="1">IFERROR(__xludf.DUMMYFUNCTION("""COMPUTED_VALUE"""),110)</f>
        <v>110</v>
      </c>
      <c r="R248" s="1">
        <f ca="1">IFERROR(__xludf.DUMMYFUNCTION("""COMPUTED_VALUE"""),99.7)</f>
        <v>99.7</v>
      </c>
      <c r="S248" s="1">
        <f ca="1">IFERROR(__xludf.DUMMYFUNCTION("""COMPUTED_VALUE"""),41)</f>
        <v>41</v>
      </c>
      <c r="T248" s="1">
        <f ca="1">IFERROR(__xludf.DUMMYFUNCTION("""COMPUTED_VALUE"""),-20.99)</f>
        <v>-20.99</v>
      </c>
      <c r="U248" s="1">
        <f ca="1">IFERROR(__xludf.DUMMYFUNCTION("""COMPUTED_VALUE"""),330)</f>
        <v>330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IFERROR(__xludf.DUMMYFUNCTION("""COMPUTED_VALUE"""),"Montana St.")</f>
        <v>Montana St.</v>
      </c>
      <c r="C249" s="1" t="str">
        <f ca="1">IFERROR(__xludf.DUMMYFUNCTION("""COMPUTED_VALUE"""),"BSky")</f>
        <v>BSky</v>
      </c>
      <c r="D249" s="1" t="str">
        <f ca="1">IFERROR(__xludf.DUMMYFUNCTION("""COMPUTED_VALUE"""),"14-14")</f>
        <v>14-14</v>
      </c>
      <c r="E249" s="1">
        <f ca="1">IFERROR(__xludf.DUMMYFUNCTION("""COMPUTED_VALUE"""),-7.67)</f>
        <v>-7.67</v>
      </c>
      <c r="F249" s="1">
        <f ca="1">IFERROR(__xludf.DUMMYFUNCTION("""COMPUTED_VALUE"""),95.4)</f>
        <v>95.4</v>
      </c>
      <c r="G249" s="1">
        <f ca="1">IFERROR(__xludf.DUMMYFUNCTION("""COMPUTED_VALUE"""),276)</f>
        <v>276</v>
      </c>
      <c r="H249" s="1">
        <f ca="1">IFERROR(__xludf.DUMMYFUNCTION("""COMPUTED_VALUE"""),103)</f>
        <v>103</v>
      </c>
      <c r="I249" s="1">
        <f ca="1">IFERROR(__xludf.DUMMYFUNCTION("""COMPUTED_VALUE"""),173)</f>
        <v>173</v>
      </c>
      <c r="J249" s="1">
        <f ca="1">IFERROR(__xludf.DUMMYFUNCTION("""COMPUTED_VALUE"""),67.9)</f>
        <v>67.900000000000006</v>
      </c>
      <c r="K249" s="1">
        <f ca="1">IFERROR(__xludf.DUMMYFUNCTION("""COMPUTED_VALUE"""),94)</f>
        <v>94</v>
      </c>
      <c r="L249" s="1" t="str">
        <f ca="1">IFERROR(__xludf.DUMMYFUNCTION("""COMPUTED_VALUE"""),"+.001")</f>
        <v>+.001</v>
      </c>
      <c r="M249" s="1">
        <f ca="1">IFERROR(__xludf.DUMMYFUNCTION("""COMPUTED_VALUE"""),158)</f>
        <v>158</v>
      </c>
      <c r="N249" s="1">
        <f ca="1">IFERROR(__xludf.DUMMYFUNCTION("""COMPUTED_VALUE"""),-6.93)</f>
        <v>-6.93</v>
      </c>
      <c r="O249" s="1">
        <f ca="1">IFERROR(__xludf.DUMMYFUNCTION("""COMPUTED_VALUE"""),279)</f>
        <v>279</v>
      </c>
      <c r="P249" s="1">
        <f ca="1">IFERROR(__xludf.DUMMYFUNCTION("""COMPUTED_VALUE"""),98.5)</f>
        <v>98.5</v>
      </c>
      <c r="Q249" s="1">
        <f ca="1">IFERROR(__xludf.DUMMYFUNCTION("""COMPUTED_VALUE"""),291)</f>
        <v>291</v>
      </c>
      <c r="R249" s="1">
        <f ca="1">IFERROR(__xludf.DUMMYFUNCTION("""COMPUTED_VALUE"""),105.4)</f>
        <v>105.4</v>
      </c>
      <c r="S249" s="1">
        <f ca="1">IFERROR(__xludf.DUMMYFUNCTION("""COMPUTED_VALUE"""),265)</f>
        <v>265</v>
      </c>
      <c r="T249" s="1">
        <f ca="1">IFERROR(__xludf.DUMMYFUNCTION("""COMPUTED_VALUE"""),-3.22)</f>
        <v>-3.22</v>
      </c>
      <c r="U249" s="1">
        <f ca="1">IFERROR(__xludf.DUMMYFUNCTION("""COMPUTED_VALUE"""),242)</f>
        <v>242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IFERROR(__xludf.DUMMYFUNCTION("""COMPUTED_VALUE"""),"Central Michigan")</f>
        <v>Central Michigan</v>
      </c>
      <c r="C250" s="1" t="str">
        <f ca="1">IFERROR(__xludf.DUMMYFUNCTION("""COMPUTED_VALUE"""),"MAC")</f>
        <v>MAC</v>
      </c>
      <c r="D250" s="2">
        <f ca="1">IFERROR(__xludf.DUMMYFUNCTION("""COMPUTED_VALUE"""),44852)</f>
        <v>44852</v>
      </c>
      <c r="E250" s="1">
        <f ca="1">IFERROR(__xludf.DUMMYFUNCTION("""COMPUTED_VALUE"""),-7.71)</f>
        <v>-7.71</v>
      </c>
      <c r="F250" s="1">
        <f ca="1">IFERROR(__xludf.DUMMYFUNCTION("""COMPUTED_VALUE"""),97.9)</f>
        <v>97.9</v>
      </c>
      <c r="G250" s="1">
        <f ca="1">IFERROR(__xludf.DUMMYFUNCTION("""COMPUTED_VALUE"""),241)</f>
        <v>241</v>
      </c>
      <c r="H250" s="1">
        <f ca="1">IFERROR(__xludf.DUMMYFUNCTION("""COMPUTED_VALUE"""),105.6)</f>
        <v>105.6</v>
      </c>
      <c r="I250" s="1">
        <f ca="1">IFERROR(__xludf.DUMMYFUNCTION("""COMPUTED_VALUE"""),226)</f>
        <v>226</v>
      </c>
      <c r="J250" s="1">
        <f ca="1">IFERROR(__xludf.DUMMYFUNCTION("""COMPUTED_VALUE"""),68.9)</f>
        <v>68.900000000000006</v>
      </c>
      <c r="K250" s="1">
        <f ca="1">IFERROR(__xludf.DUMMYFUNCTION("""COMPUTED_VALUE"""),57)</f>
        <v>57</v>
      </c>
      <c r="L250" s="1" t="str">
        <f ca="1">IFERROR(__xludf.DUMMYFUNCTION("""COMPUTED_VALUE"""),"+.046")</f>
        <v>+.046</v>
      </c>
      <c r="M250" s="1">
        <f ca="1">IFERROR(__xludf.DUMMYFUNCTION("""COMPUTED_VALUE"""),64)</f>
        <v>64</v>
      </c>
      <c r="N250" s="1" t="str">
        <f ca="1">IFERROR(__xludf.DUMMYFUNCTION("""COMPUTED_VALUE"""),"+4.11")</f>
        <v>+4.11</v>
      </c>
      <c r="O250" s="1">
        <f ca="1">IFERROR(__xludf.DUMMYFUNCTION("""COMPUTED_VALUE"""),93)</f>
        <v>93</v>
      </c>
      <c r="P250" s="1">
        <f ca="1">IFERROR(__xludf.DUMMYFUNCTION("""COMPUTED_VALUE"""),106.2)</f>
        <v>106.2</v>
      </c>
      <c r="Q250" s="1">
        <f ca="1">IFERROR(__xludf.DUMMYFUNCTION("""COMPUTED_VALUE"""),65)</f>
        <v>65</v>
      </c>
      <c r="R250" s="1">
        <f ca="1">IFERROR(__xludf.DUMMYFUNCTION("""COMPUTED_VALUE"""),102.1)</f>
        <v>102.1</v>
      </c>
      <c r="S250" s="1">
        <f ca="1">IFERROR(__xludf.DUMMYFUNCTION("""COMPUTED_VALUE"""),119)</f>
        <v>119</v>
      </c>
      <c r="T250" s="1">
        <f ca="1">IFERROR(__xludf.DUMMYFUNCTION("""COMPUTED_VALUE"""),-0.46)</f>
        <v>-0.46</v>
      </c>
      <c r="U250" s="1">
        <f ca="1">IFERROR(__xludf.DUMMYFUNCTION("""COMPUTED_VALUE"""),174)</f>
        <v>174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IFERROR(__xludf.DUMMYFUNCTION("""COMPUTED_VALUE"""),"Brown")</f>
        <v>Brown</v>
      </c>
      <c r="C251" s="1" t="str">
        <f ca="1">IFERROR(__xludf.DUMMYFUNCTION("""COMPUTED_VALUE"""),"Ivy")</f>
        <v>Ivy</v>
      </c>
      <c r="D251" s="2">
        <f ca="1">IFERROR(__xludf.DUMMYFUNCTION("""COMPUTED_VALUE"""),44911)</f>
        <v>44911</v>
      </c>
      <c r="E251" s="1">
        <f ca="1">IFERROR(__xludf.DUMMYFUNCTION("""COMPUTED_VALUE"""),-7.73)</f>
        <v>-7.73</v>
      </c>
      <c r="F251" s="1">
        <f ca="1">IFERROR(__xludf.DUMMYFUNCTION("""COMPUTED_VALUE"""),99.1)</f>
        <v>99.1</v>
      </c>
      <c r="G251" s="1">
        <f ca="1">IFERROR(__xludf.DUMMYFUNCTION("""COMPUTED_VALUE"""),226)</f>
        <v>226</v>
      </c>
      <c r="H251" s="1">
        <f ca="1">IFERROR(__xludf.DUMMYFUNCTION("""COMPUTED_VALUE"""),106.8)</f>
        <v>106.8</v>
      </c>
      <c r="I251" s="1">
        <f ca="1">IFERROR(__xludf.DUMMYFUNCTION("""COMPUTED_VALUE"""),239)</f>
        <v>239</v>
      </c>
      <c r="J251" s="1">
        <f ca="1">IFERROR(__xludf.DUMMYFUNCTION("""COMPUTED_VALUE"""),67.8)</f>
        <v>67.8</v>
      </c>
      <c r="K251" s="1">
        <f ca="1">IFERROR(__xludf.DUMMYFUNCTION("""COMPUTED_VALUE"""),100)</f>
        <v>100</v>
      </c>
      <c r="L251" s="1">
        <f ca="1">IFERROR(__xludf.DUMMYFUNCTION("""COMPUTED_VALUE"""),-0.022)</f>
        <v>-2.1999999999999999E-2</v>
      </c>
      <c r="M251" s="1">
        <f ca="1">IFERROR(__xludf.DUMMYFUNCTION("""COMPUTED_VALUE"""),223)</f>
        <v>223</v>
      </c>
      <c r="N251" s="1">
        <f ca="1">IFERROR(__xludf.DUMMYFUNCTION("""COMPUTED_VALUE"""),-4.67)</f>
        <v>-4.67</v>
      </c>
      <c r="O251" s="1">
        <f ca="1">IFERROR(__xludf.DUMMYFUNCTION("""COMPUTED_VALUE"""),257)</f>
        <v>257</v>
      </c>
      <c r="P251" s="1">
        <f ca="1">IFERROR(__xludf.DUMMYFUNCTION("""COMPUTED_VALUE"""),99)</f>
        <v>99</v>
      </c>
      <c r="Q251" s="1">
        <f ca="1">IFERROR(__xludf.DUMMYFUNCTION("""COMPUTED_VALUE"""),281)</f>
        <v>281</v>
      </c>
      <c r="R251" s="1">
        <f ca="1">IFERROR(__xludf.DUMMYFUNCTION("""COMPUTED_VALUE"""),103.6)</f>
        <v>103.6</v>
      </c>
      <c r="S251" s="1">
        <f ca="1">IFERROR(__xludf.DUMMYFUNCTION("""COMPUTED_VALUE"""),190)</f>
        <v>190</v>
      </c>
      <c r="T251" s="1">
        <f ca="1">IFERROR(__xludf.DUMMYFUNCTION("""COMPUTED_VALUE"""),-4.65)</f>
        <v>-4.6500000000000004</v>
      </c>
      <c r="U251" s="1">
        <f ca="1">IFERROR(__xludf.DUMMYFUNCTION("""COMPUTED_VALUE"""),277)</f>
        <v>277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IFERROR(__xludf.DUMMYFUNCTION("""COMPUTED_VALUE"""),"Central Connecticut")</f>
        <v>Central Connecticut</v>
      </c>
      <c r="C252" s="1" t="str">
        <f ca="1">IFERROR(__xludf.DUMMYFUNCTION("""COMPUTED_VALUE"""),"NEC")</f>
        <v>NEC</v>
      </c>
      <c r="D252" s="2">
        <f ca="1">IFERROR(__xludf.DUMMYFUNCTION("""COMPUTED_VALUE"""),44911)</f>
        <v>44911</v>
      </c>
      <c r="E252" s="1">
        <f ca="1">IFERROR(__xludf.DUMMYFUNCTION("""COMPUTED_VALUE"""),-7.96)</f>
        <v>-7.96</v>
      </c>
      <c r="F252" s="1">
        <f ca="1">IFERROR(__xludf.DUMMYFUNCTION("""COMPUTED_VALUE"""),102.4)</f>
        <v>102.4</v>
      </c>
      <c r="G252" s="1">
        <f ca="1">IFERROR(__xludf.DUMMYFUNCTION("""COMPUTED_VALUE"""),171)</f>
        <v>171</v>
      </c>
      <c r="H252" s="1">
        <f ca="1">IFERROR(__xludf.DUMMYFUNCTION("""COMPUTED_VALUE"""),110.4)</f>
        <v>110.4</v>
      </c>
      <c r="I252" s="1">
        <f ca="1">IFERROR(__xludf.DUMMYFUNCTION("""COMPUTED_VALUE"""),296)</f>
        <v>296</v>
      </c>
      <c r="J252" s="1">
        <f ca="1">IFERROR(__xludf.DUMMYFUNCTION("""COMPUTED_VALUE"""),63.6)</f>
        <v>63.6</v>
      </c>
      <c r="K252" s="1">
        <f ca="1">IFERROR(__xludf.DUMMYFUNCTION("""COMPUTED_VALUE"""),264)</f>
        <v>264</v>
      </c>
      <c r="L252" s="1">
        <f ca="1">IFERROR(__xludf.DUMMYFUNCTION("""COMPUTED_VALUE"""),-0.04)</f>
        <v>-0.04</v>
      </c>
      <c r="M252" s="1">
        <f ca="1">IFERROR(__xludf.DUMMYFUNCTION("""COMPUTED_VALUE"""),263)</f>
        <v>263</v>
      </c>
      <c r="N252" s="1">
        <f ca="1">IFERROR(__xludf.DUMMYFUNCTION("""COMPUTED_VALUE"""),-7.92)</f>
        <v>-7.92</v>
      </c>
      <c r="O252" s="1">
        <f ca="1">IFERROR(__xludf.DUMMYFUNCTION("""COMPUTED_VALUE"""),295)</f>
        <v>295</v>
      </c>
      <c r="P252" s="1">
        <f ca="1">IFERROR(__xludf.DUMMYFUNCTION("""COMPUTED_VALUE"""),99.9)</f>
        <v>99.9</v>
      </c>
      <c r="Q252" s="1">
        <f ca="1">IFERROR(__xludf.DUMMYFUNCTION("""COMPUTED_VALUE"""),253)</f>
        <v>253</v>
      </c>
      <c r="R252" s="1">
        <f ca="1">IFERROR(__xludf.DUMMYFUNCTION("""COMPUTED_VALUE"""),107.9)</f>
        <v>107.9</v>
      </c>
      <c r="S252" s="1">
        <f ca="1">IFERROR(__xludf.DUMMYFUNCTION("""COMPUTED_VALUE"""),327)</f>
        <v>327</v>
      </c>
      <c r="T252" s="1">
        <f ca="1">IFERROR(__xludf.DUMMYFUNCTION("""COMPUTED_VALUE"""),0)</f>
        <v>0</v>
      </c>
      <c r="U252" s="1">
        <f ca="1">IFERROR(__xludf.DUMMYFUNCTION("""COMPUTED_VALUE"""),163)</f>
        <v>163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IFERROR(__xludf.DUMMYFUNCTION("""COMPUTED_VALUE"""),"Chicago St.")</f>
        <v>Chicago St.</v>
      </c>
      <c r="C255" s="1" t="str">
        <f ca="1">IFERROR(__xludf.DUMMYFUNCTION("""COMPUTED_VALUE"""),"MCon")</f>
        <v>MCon</v>
      </c>
      <c r="D255" s="2">
        <f ca="1">IFERROR(__xludf.DUMMYFUNCTION("""COMPUTED_VALUE"""),44823)</f>
        <v>44823</v>
      </c>
      <c r="E255" s="1">
        <f ca="1">IFERROR(__xludf.DUMMYFUNCTION("""COMPUTED_VALUE"""),-8.09)</f>
        <v>-8.09</v>
      </c>
      <c r="F255" s="1">
        <f ca="1">IFERROR(__xludf.DUMMYFUNCTION("""COMPUTED_VALUE"""),97.1)</f>
        <v>97.1</v>
      </c>
      <c r="G255" s="1">
        <f ca="1">IFERROR(__xludf.DUMMYFUNCTION("""COMPUTED_VALUE"""),253)</f>
        <v>253</v>
      </c>
      <c r="H255" s="1">
        <f ca="1">IFERROR(__xludf.DUMMYFUNCTION("""COMPUTED_VALUE"""),105.2)</f>
        <v>105.2</v>
      </c>
      <c r="I255" s="1">
        <f ca="1">IFERROR(__xludf.DUMMYFUNCTION("""COMPUTED_VALUE"""),221)</f>
        <v>221</v>
      </c>
      <c r="J255" s="1">
        <f ca="1">IFERROR(__xludf.DUMMYFUNCTION("""COMPUTED_VALUE"""),65.5)</f>
        <v>65.5</v>
      </c>
      <c r="K255" s="1">
        <f ca="1">IFERROR(__xludf.DUMMYFUNCTION("""COMPUTED_VALUE"""),195)</f>
        <v>195</v>
      </c>
      <c r="L255" s="1" t="str">
        <f ca="1">IFERROR(__xludf.DUMMYFUNCTION("""COMPUTED_VALUE"""),"+.016")</f>
        <v>+.016</v>
      </c>
      <c r="M255" s="1">
        <f ca="1">IFERROR(__xludf.DUMMYFUNCTION("""COMPUTED_VALUE"""),120)</f>
        <v>120</v>
      </c>
      <c r="N255" s="1">
        <f ca="1">IFERROR(__xludf.DUMMYFUNCTION("""COMPUTED_VALUE"""),-0.36)</f>
        <v>-0.36</v>
      </c>
      <c r="O255" s="1">
        <f ca="1">IFERROR(__xludf.DUMMYFUNCTION("""COMPUTED_VALUE"""),159)</f>
        <v>159</v>
      </c>
      <c r="P255" s="1">
        <f ca="1">IFERROR(__xludf.DUMMYFUNCTION("""COMPUTED_VALUE"""),104.8)</f>
        <v>104.8</v>
      </c>
      <c r="Q255" s="1">
        <f ca="1">IFERROR(__xludf.DUMMYFUNCTION("""COMPUTED_VALUE"""),116)</f>
        <v>116</v>
      </c>
      <c r="R255" s="1">
        <f ca="1">IFERROR(__xludf.DUMMYFUNCTION("""COMPUTED_VALUE"""),105.1)</f>
        <v>105.1</v>
      </c>
      <c r="S255" s="1">
        <f ca="1">IFERROR(__xludf.DUMMYFUNCTION("""COMPUTED_VALUE"""),254)</f>
        <v>254</v>
      </c>
      <c r="T255" s="1" t="str">
        <f ca="1">IFERROR(__xludf.DUMMYFUNCTION("""COMPUTED_VALUE"""),"+7.37")</f>
        <v>+7.37</v>
      </c>
      <c r="U255" s="1">
        <f ca="1">IFERROR(__xludf.DUMMYFUNCTION("""COMPUTED_VALUE"""),22)</f>
        <v>22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IFERROR(__xludf.DUMMYFUNCTION("""COMPUTED_VALUE"""),"Florida Atlantic")</f>
        <v>Florida Atlantic</v>
      </c>
      <c r="C256" s="1" t="str">
        <f ca="1">IFERROR(__xludf.DUMMYFUNCTION("""COMPUTED_VALUE"""),"ASun")</f>
        <v>ASun</v>
      </c>
      <c r="D256" s="2">
        <f ca="1">IFERROR(__xludf.DUMMYFUNCTION("""COMPUTED_VALUE"""),44851)</f>
        <v>44851</v>
      </c>
      <c r="E256" s="1">
        <f ca="1">IFERROR(__xludf.DUMMYFUNCTION("""COMPUTED_VALUE"""),-8.12)</f>
        <v>-8.1199999999999992</v>
      </c>
      <c r="F256" s="1">
        <f ca="1">IFERROR(__xludf.DUMMYFUNCTION("""COMPUTED_VALUE"""),100.3)</f>
        <v>100.3</v>
      </c>
      <c r="G256" s="1">
        <f ca="1">IFERROR(__xludf.DUMMYFUNCTION("""COMPUTED_VALUE"""),213)</f>
        <v>213</v>
      </c>
      <c r="H256" s="1">
        <f ca="1">IFERROR(__xludf.DUMMYFUNCTION("""COMPUTED_VALUE"""),108.5)</f>
        <v>108.5</v>
      </c>
      <c r="I256" s="1">
        <f ca="1">IFERROR(__xludf.DUMMYFUNCTION("""COMPUTED_VALUE"""),271)</f>
        <v>271</v>
      </c>
      <c r="J256" s="1">
        <f ca="1">IFERROR(__xludf.DUMMYFUNCTION("""COMPUTED_VALUE"""),72.9)</f>
        <v>72.900000000000006</v>
      </c>
      <c r="K256" s="1">
        <f ca="1">IFERROR(__xludf.DUMMYFUNCTION("""COMPUTED_VALUE"""),8)</f>
        <v>8</v>
      </c>
      <c r="L256" s="1">
        <f ca="1">IFERROR(__xludf.DUMMYFUNCTION("""COMPUTED_VALUE"""),-0.075)</f>
        <v>-7.4999999999999997E-2</v>
      </c>
      <c r="M256" s="1">
        <f ca="1">IFERROR(__xludf.DUMMYFUNCTION("""COMPUTED_VALUE"""),309)</f>
        <v>309</v>
      </c>
      <c r="N256" s="1">
        <f ca="1">IFERROR(__xludf.DUMMYFUNCTION("""COMPUTED_VALUE"""),-7.58)</f>
        <v>-7.58</v>
      </c>
      <c r="O256" s="1">
        <f ca="1">IFERROR(__xludf.DUMMYFUNCTION("""COMPUTED_VALUE"""),286)</f>
        <v>286</v>
      </c>
      <c r="P256" s="1">
        <f ca="1">IFERROR(__xludf.DUMMYFUNCTION("""COMPUTED_VALUE"""),99.4)</f>
        <v>99.4</v>
      </c>
      <c r="Q256" s="1">
        <f ca="1">IFERROR(__xludf.DUMMYFUNCTION("""COMPUTED_VALUE"""),268)</f>
        <v>268</v>
      </c>
      <c r="R256" s="1">
        <f ca="1">IFERROR(__xludf.DUMMYFUNCTION("""COMPUTED_VALUE"""),107)</f>
        <v>107</v>
      </c>
      <c r="S256" s="1">
        <f ca="1">IFERROR(__xludf.DUMMYFUNCTION("""COMPUTED_VALUE"""),309)</f>
        <v>309</v>
      </c>
      <c r="T256" s="1" t="str">
        <f ca="1">IFERROR(__xludf.DUMMYFUNCTION("""COMPUTED_VALUE"""),"+6.56")</f>
        <v>+6.56</v>
      </c>
      <c r="U256" s="1">
        <f ca="1">IFERROR(__xludf.DUMMYFUNCTION("""COMPUTED_VALUE"""),30)</f>
        <v>30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IFERROR(__xludf.DUMMYFUNCTION("""COMPUTED_VALUE"""),"St. Francis NY")</f>
        <v>St. Francis NY</v>
      </c>
      <c r="C257" s="1" t="str">
        <f ca="1">IFERROR(__xludf.DUMMYFUNCTION("""COMPUTED_VALUE"""),"NEC")</f>
        <v>NEC</v>
      </c>
      <c r="D257" s="1" t="str">
        <f ca="1">IFERROR(__xludf.DUMMYFUNCTION("""COMPUTED_VALUE"""),"13-15")</f>
        <v>13-15</v>
      </c>
      <c r="E257" s="1">
        <f ca="1">IFERROR(__xludf.DUMMYFUNCTION("""COMPUTED_VALUE"""),-8.2)</f>
        <v>-8.1999999999999993</v>
      </c>
      <c r="F257" s="1">
        <f ca="1">IFERROR(__xludf.DUMMYFUNCTION("""COMPUTED_VALUE"""),96.8)</f>
        <v>96.8</v>
      </c>
      <c r="G257" s="1">
        <f ca="1">IFERROR(__xludf.DUMMYFUNCTION("""COMPUTED_VALUE"""),258)</f>
        <v>258</v>
      </c>
      <c r="H257" s="1">
        <f ca="1">IFERROR(__xludf.DUMMYFUNCTION("""COMPUTED_VALUE"""),105)</f>
        <v>105</v>
      </c>
      <c r="I257" s="1">
        <f ca="1">IFERROR(__xludf.DUMMYFUNCTION("""COMPUTED_VALUE"""),216)</f>
        <v>216</v>
      </c>
      <c r="J257" s="1">
        <f ca="1">IFERROR(__xludf.DUMMYFUNCTION("""COMPUTED_VALUE"""),69.7)</f>
        <v>69.7</v>
      </c>
      <c r="K257" s="1">
        <f ca="1">IFERROR(__xludf.DUMMYFUNCTION("""COMPUTED_VALUE"""),41)</f>
        <v>41</v>
      </c>
      <c r="L257" s="1">
        <f ca="1">IFERROR(__xludf.DUMMYFUNCTION("""COMPUTED_VALUE"""),-0.028)</f>
        <v>-2.8000000000000001E-2</v>
      </c>
      <c r="M257" s="1">
        <f ca="1">IFERROR(__xludf.DUMMYFUNCTION("""COMPUTED_VALUE"""),240)</f>
        <v>240</v>
      </c>
      <c r="N257" s="1">
        <f ca="1">IFERROR(__xludf.DUMMYFUNCTION("""COMPUTED_VALUE"""),-8.55)</f>
        <v>-8.5500000000000007</v>
      </c>
      <c r="O257" s="1">
        <f ca="1">IFERROR(__xludf.DUMMYFUNCTION("""COMPUTED_VALUE"""),303)</f>
        <v>303</v>
      </c>
      <c r="P257" s="1">
        <f ca="1">IFERROR(__xludf.DUMMYFUNCTION("""COMPUTED_VALUE"""),98.4)</f>
        <v>98.4</v>
      </c>
      <c r="Q257" s="1">
        <f ca="1">IFERROR(__xludf.DUMMYFUNCTION("""COMPUTED_VALUE"""),293)</f>
        <v>293</v>
      </c>
      <c r="R257" s="1">
        <f ca="1">IFERROR(__xludf.DUMMYFUNCTION("""COMPUTED_VALUE"""),106.9)</f>
        <v>106.9</v>
      </c>
      <c r="S257" s="1">
        <f ca="1">IFERROR(__xludf.DUMMYFUNCTION("""COMPUTED_VALUE"""),306)</f>
        <v>306</v>
      </c>
      <c r="T257" s="1">
        <f ca="1">IFERROR(__xludf.DUMMYFUNCTION("""COMPUTED_VALUE"""),-3.34)</f>
        <v>-3.34</v>
      </c>
      <c r="U257" s="1">
        <f ca="1">IFERROR(__xludf.DUMMYFUNCTION("""COMPUTED_VALUE"""),244)</f>
        <v>244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IFERROR(__xludf.DUMMYFUNCTION("""COMPUTED_VALUE"""),"Mercer")</f>
        <v>Mercer</v>
      </c>
      <c r="C258" s="1" t="str">
        <f ca="1">IFERROR(__xludf.DUMMYFUNCTION("""COMPUTED_VALUE"""),"ASun")</f>
        <v>ASun</v>
      </c>
      <c r="D258" s="1" t="str">
        <f ca="1">IFERROR(__xludf.DUMMYFUNCTION("""COMPUTED_VALUE"""),"16-12")</f>
        <v>16-12</v>
      </c>
      <c r="E258" s="1">
        <f ca="1">IFERROR(__xludf.DUMMYFUNCTION("""COMPUTED_VALUE"""),-8.26)</f>
        <v>-8.26</v>
      </c>
      <c r="F258" s="1">
        <f ca="1">IFERROR(__xludf.DUMMYFUNCTION("""COMPUTED_VALUE"""),102.1)</f>
        <v>102.1</v>
      </c>
      <c r="G258" s="1">
        <f ca="1">IFERROR(__xludf.DUMMYFUNCTION("""COMPUTED_VALUE"""),182)</f>
        <v>182</v>
      </c>
      <c r="H258" s="1">
        <f ca="1">IFERROR(__xludf.DUMMYFUNCTION("""COMPUTED_VALUE"""),110.3)</f>
        <v>110.3</v>
      </c>
      <c r="I258" s="1">
        <f ca="1">IFERROR(__xludf.DUMMYFUNCTION("""COMPUTED_VALUE"""),295)</f>
        <v>295</v>
      </c>
      <c r="J258" s="1">
        <f ca="1">IFERROR(__xludf.DUMMYFUNCTION("""COMPUTED_VALUE"""),71.2)</f>
        <v>71.2</v>
      </c>
      <c r="K258" s="1">
        <f ca="1">IFERROR(__xludf.DUMMYFUNCTION("""COMPUTED_VALUE"""),19)</f>
        <v>19</v>
      </c>
      <c r="L258" s="1" t="str">
        <f ca="1">IFERROR(__xludf.DUMMYFUNCTION("""COMPUTED_VALUE"""),"+.009")</f>
        <v>+.009</v>
      </c>
      <c r="M258" s="1">
        <f ca="1">IFERROR(__xludf.DUMMYFUNCTION("""COMPUTED_VALUE"""),140)</f>
        <v>140</v>
      </c>
      <c r="N258" s="1">
        <f ca="1">IFERROR(__xludf.DUMMYFUNCTION("""COMPUTED_VALUE"""),-10.2)</f>
        <v>-10.199999999999999</v>
      </c>
      <c r="O258" s="1">
        <f ca="1">IFERROR(__xludf.DUMMYFUNCTION("""COMPUTED_VALUE"""),310)</f>
        <v>310</v>
      </c>
      <c r="P258" s="1">
        <f ca="1">IFERROR(__xludf.DUMMYFUNCTION("""COMPUTED_VALUE"""),97.7)</f>
        <v>97.7</v>
      </c>
      <c r="Q258" s="1">
        <f ca="1">IFERROR(__xludf.DUMMYFUNCTION("""COMPUTED_VALUE"""),304)</f>
        <v>304</v>
      </c>
      <c r="R258" s="1">
        <f ca="1">IFERROR(__xludf.DUMMYFUNCTION("""COMPUTED_VALUE"""),107.9)</f>
        <v>107.9</v>
      </c>
      <c r="S258" s="1">
        <f ca="1">IFERROR(__xludf.DUMMYFUNCTION("""COMPUTED_VALUE"""),328)</f>
        <v>328</v>
      </c>
      <c r="T258" s="1">
        <f ca="1">IFERROR(__xludf.DUMMYFUNCTION("""COMPUTED_VALUE"""),-6.95)</f>
        <v>-6.95</v>
      </c>
      <c r="U258" s="1">
        <f ca="1">IFERROR(__xludf.DUMMYFUNCTION("""COMPUTED_VALUE"""),299)</f>
        <v>299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IFERROR(__xludf.DUMMYFUNCTION("""COMPUTED_VALUE"""),"Weber St.")</f>
        <v>Weber St.</v>
      </c>
      <c r="C259" s="1" t="str">
        <f ca="1">IFERROR(__xludf.DUMMYFUNCTION("""COMPUTED_VALUE"""),"BSky")</f>
        <v>BSky</v>
      </c>
      <c r="D259" s="1" t="str">
        <f ca="1">IFERROR(__xludf.DUMMYFUNCTION("""COMPUTED_VALUE"""),"14-16")</f>
        <v>14-16</v>
      </c>
      <c r="E259" s="1">
        <f ca="1">IFERROR(__xludf.DUMMYFUNCTION("""COMPUTED_VALUE"""),-8.32)</f>
        <v>-8.32</v>
      </c>
      <c r="F259" s="1">
        <f ca="1">IFERROR(__xludf.DUMMYFUNCTION("""COMPUTED_VALUE"""),101.2)</f>
        <v>101.2</v>
      </c>
      <c r="G259" s="1">
        <f ca="1">IFERROR(__xludf.DUMMYFUNCTION("""COMPUTED_VALUE"""),200)</f>
        <v>200</v>
      </c>
      <c r="H259" s="1">
        <f ca="1">IFERROR(__xludf.DUMMYFUNCTION("""COMPUTED_VALUE"""),109.6)</f>
        <v>109.6</v>
      </c>
      <c r="I259" s="1">
        <f ca="1">IFERROR(__xludf.DUMMYFUNCTION("""COMPUTED_VALUE"""),286)</f>
        <v>286</v>
      </c>
      <c r="J259" s="1">
        <f ca="1">IFERROR(__xludf.DUMMYFUNCTION("""COMPUTED_VALUE"""),62.9)</f>
        <v>62.9</v>
      </c>
      <c r="K259" s="1">
        <f ca="1">IFERROR(__xludf.DUMMYFUNCTION("""COMPUTED_VALUE"""),290)</f>
        <v>290</v>
      </c>
      <c r="L259" s="1" t="str">
        <f ca="1">IFERROR(__xludf.DUMMYFUNCTION("""COMPUTED_VALUE"""),"+.010")</f>
        <v>+.010</v>
      </c>
      <c r="M259" s="1">
        <f ca="1">IFERROR(__xludf.DUMMYFUNCTION("""COMPUTED_VALUE"""),138)</f>
        <v>138</v>
      </c>
      <c r="N259" s="1">
        <f ca="1">IFERROR(__xludf.DUMMYFUNCTION("""COMPUTED_VALUE"""),-6.4)</f>
        <v>-6.4</v>
      </c>
      <c r="O259" s="1">
        <f ca="1">IFERROR(__xludf.DUMMYFUNCTION("""COMPUTED_VALUE"""),275)</f>
        <v>275</v>
      </c>
      <c r="P259" s="1">
        <f ca="1">IFERROR(__xludf.DUMMYFUNCTION("""COMPUTED_VALUE"""),98.7)</f>
        <v>98.7</v>
      </c>
      <c r="Q259" s="1">
        <f ca="1">IFERROR(__xludf.DUMMYFUNCTION("""COMPUTED_VALUE"""),286)</f>
        <v>286</v>
      </c>
      <c r="R259" s="1">
        <f ca="1">IFERROR(__xludf.DUMMYFUNCTION("""COMPUTED_VALUE"""),105.1)</f>
        <v>105.1</v>
      </c>
      <c r="S259" s="1">
        <f ca="1">IFERROR(__xludf.DUMMYFUNCTION("""COMPUTED_VALUE"""),253)</f>
        <v>253</v>
      </c>
      <c r="T259" s="1">
        <f ca="1">IFERROR(__xludf.DUMMYFUNCTION("""COMPUTED_VALUE"""),-2.63)</f>
        <v>-2.63</v>
      </c>
      <c r="U259" s="1">
        <f ca="1">IFERROR(__xludf.DUMMYFUNCTION("""COMPUTED_VALUE"""),232)</f>
        <v>232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IFERROR(__xludf.DUMMYFUNCTION("""COMPUTED_VALUE"""),"Idaho")</f>
        <v>Idaho</v>
      </c>
      <c r="C260" s="1" t="str">
        <f ca="1">IFERROR(__xludf.DUMMYFUNCTION("""COMPUTED_VALUE"""),"BW")</f>
        <v>BW</v>
      </c>
      <c r="D260" s="2">
        <f ca="1">IFERROR(__xludf.DUMMYFUNCTION("""COMPUTED_VALUE"""),44795)</f>
        <v>44795</v>
      </c>
      <c r="E260" s="1">
        <f ca="1">IFERROR(__xludf.DUMMYFUNCTION("""COMPUTED_VALUE"""),-8.55)</f>
        <v>-8.5500000000000007</v>
      </c>
      <c r="F260" s="1">
        <f ca="1">IFERROR(__xludf.DUMMYFUNCTION("""COMPUTED_VALUE"""),96)</f>
        <v>96</v>
      </c>
      <c r="G260" s="1">
        <f ca="1">IFERROR(__xludf.DUMMYFUNCTION("""COMPUTED_VALUE"""),266)</f>
        <v>266</v>
      </c>
      <c r="H260" s="1">
        <f ca="1">IFERROR(__xludf.DUMMYFUNCTION("""COMPUTED_VALUE"""),104.5)</f>
        <v>104.5</v>
      </c>
      <c r="I260" s="1">
        <f ca="1">IFERROR(__xludf.DUMMYFUNCTION("""COMPUTED_VALUE"""),202)</f>
        <v>202</v>
      </c>
      <c r="J260" s="1">
        <f ca="1">IFERROR(__xludf.DUMMYFUNCTION("""COMPUTED_VALUE"""),63.6)</f>
        <v>63.6</v>
      </c>
      <c r="K260" s="1">
        <f ca="1">IFERROR(__xludf.DUMMYFUNCTION("""COMPUTED_VALUE"""),267)</f>
        <v>267</v>
      </c>
      <c r="L260" s="1">
        <f ca="1">IFERROR(__xludf.DUMMYFUNCTION("""COMPUTED_VALUE"""),-0.049)</f>
        <v>-4.9000000000000002E-2</v>
      </c>
      <c r="M260" s="1">
        <f ca="1">IFERROR(__xludf.DUMMYFUNCTION("""COMPUTED_VALUE"""),274)</f>
        <v>274</v>
      </c>
      <c r="N260" s="1">
        <f ca="1">IFERROR(__xludf.DUMMYFUNCTION("""COMPUTED_VALUE"""),-0.93)</f>
        <v>-0.93</v>
      </c>
      <c r="O260" s="1">
        <f ca="1">IFERROR(__xludf.DUMMYFUNCTION("""COMPUTED_VALUE"""),175)</f>
        <v>175</v>
      </c>
      <c r="P260" s="1">
        <f ca="1">IFERROR(__xludf.DUMMYFUNCTION("""COMPUTED_VALUE"""),102.1)</f>
        <v>102.1</v>
      </c>
      <c r="Q260" s="1">
        <f ca="1">IFERROR(__xludf.DUMMYFUNCTION("""COMPUTED_VALUE"""),194)</f>
        <v>194</v>
      </c>
      <c r="R260" s="1">
        <f ca="1">IFERROR(__xludf.DUMMYFUNCTION("""COMPUTED_VALUE"""),103)</f>
        <v>103</v>
      </c>
      <c r="S260" s="1">
        <f ca="1">IFERROR(__xludf.DUMMYFUNCTION("""COMPUTED_VALUE"""),156)</f>
        <v>156</v>
      </c>
      <c r="T260" s="1">
        <f ca="1">IFERROR(__xludf.DUMMYFUNCTION("""COMPUTED_VALUE"""),-0.92)</f>
        <v>-0.92</v>
      </c>
      <c r="U260" s="1">
        <f ca="1">IFERROR(__xludf.DUMMYFUNCTION("""COMPUTED_VALUE"""),184)</f>
        <v>184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IFERROR(__xludf.DUMMYFUNCTION("""COMPUTED_VALUE"""),"Tulane")</f>
        <v>Tulane</v>
      </c>
      <c r="C261" s="1" t="str">
        <f ca="1">IFERROR(__xludf.DUMMYFUNCTION("""COMPUTED_VALUE"""),"CUSA")</f>
        <v>CUSA</v>
      </c>
      <c r="D261" s="2">
        <f ca="1">IFERROR(__xludf.DUMMYFUNCTION("""COMPUTED_VALUE"""),44852)</f>
        <v>44852</v>
      </c>
      <c r="E261" s="1">
        <f ca="1">IFERROR(__xludf.DUMMYFUNCTION("""COMPUTED_VALUE"""),-8.56)</f>
        <v>-8.56</v>
      </c>
      <c r="F261" s="1">
        <f ca="1">IFERROR(__xludf.DUMMYFUNCTION("""COMPUTED_VALUE"""),98.9)</f>
        <v>98.9</v>
      </c>
      <c r="G261" s="1">
        <f ca="1">IFERROR(__xludf.DUMMYFUNCTION("""COMPUTED_VALUE"""),228)</f>
        <v>228</v>
      </c>
      <c r="H261" s="1">
        <f ca="1">IFERROR(__xludf.DUMMYFUNCTION("""COMPUTED_VALUE"""),107.5)</f>
        <v>107.5</v>
      </c>
      <c r="I261" s="1">
        <f ca="1">IFERROR(__xludf.DUMMYFUNCTION("""COMPUTED_VALUE"""),253)</f>
        <v>253</v>
      </c>
      <c r="J261" s="1">
        <f ca="1">IFERROR(__xludf.DUMMYFUNCTION("""COMPUTED_VALUE"""),67.7)</f>
        <v>67.7</v>
      </c>
      <c r="K261" s="1">
        <f ca="1">IFERROR(__xludf.DUMMYFUNCTION("""COMPUTED_VALUE"""),104)</f>
        <v>104</v>
      </c>
      <c r="L261" s="1" t="str">
        <f ca="1">IFERROR(__xludf.DUMMYFUNCTION("""COMPUTED_VALUE"""),"+.019")</f>
        <v>+.019</v>
      </c>
      <c r="M261" s="1">
        <f ca="1">IFERROR(__xludf.DUMMYFUNCTION("""COMPUTED_VALUE"""),114)</f>
        <v>114</v>
      </c>
      <c r="N261" s="1" t="str">
        <f ca="1">IFERROR(__xludf.DUMMYFUNCTION("""COMPUTED_VALUE"""),"+1.85")</f>
        <v>+1.85</v>
      </c>
      <c r="O261" s="1">
        <f ca="1">IFERROR(__xludf.DUMMYFUNCTION("""COMPUTED_VALUE"""),128)</f>
        <v>128</v>
      </c>
      <c r="P261" s="1">
        <f ca="1">IFERROR(__xludf.DUMMYFUNCTION("""COMPUTED_VALUE"""),102.9)</f>
        <v>102.9</v>
      </c>
      <c r="Q261" s="1">
        <f ca="1">IFERROR(__xludf.DUMMYFUNCTION("""COMPUTED_VALUE"""),165)</f>
        <v>165</v>
      </c>
      <c r="R261" s="1">
        <f ca="1">IFERROR(__xludf.DUMMYFUNCTION("""COMPUTED_VALUE"""),101.1)</f>
        <v>101.1</v>
      </c>
      <c r="S261" s="1">
        <f ca="1">IFERROR(__xludf.DUMMYFUNCTION("""COMPUTED_VALUE"""),90)</f>
        <v>90</v>
      </c>
      <c r="T261" s="1">
        <f ca="1">IFERROR(__xludf.DUMMYFUNCTION("""COMPUTED_VALUE"""),-11.62)</f>
        <v>-11.62</v>
      </c>
      <c r="U261" s="1">
        <f ca="1">IFERROR(__xludf.DUMMYFUNCTION("""COMPUTED_VALUE"""),324)</f>
        <v>324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IFERROR(__xludf.DUMMYFUNCTION("""COMPUTED_VALUE"""),"Colgate")</f>
        <v>Colgate</v>
      </c>
      <c r="C262" s="1" t="str">
        <f ca="1">IFERROR(__xludf.DUMMYFUNCTION("""COMPUTED_VALUE"""),"Pat")</f>
        <v>Pat</v>
      </c>
      <c r="D262" s="2">
        <f ca="1">IFERROR(__xludf.DUMMYFUNCTION("""COMPUTED_VALUE"""),44911)</f>
        <v>44911</v>
      </c>
      <c r="E262" s="1">
        <f ca="1">IFERROR(__xludf.DUMMYFUNCTION("""COMPUTED_VALUE"""),-8.59)</f>
        <v>-8.59</v>
      </c>
      <c r="F262" s="1">
        <f ca="1">IFERROR(__xludf.DUMMYFUNCTION("""COMPUTED_VALUE"""),99.9)</f>
        <v>99.9</v>
      </c>
      <c r="G262" s="1">
        <f ca="1">IFERROR(__xludf.DUMMYFUNCTION("""COMPUTED_VALUE"""),217)</f>
        <v>217</v>
      </c>
      <c r="H262" s="1">
        <f ca="1">IFERROR(__xludf.DUMMYFUNCTION("""COMPUTED_VALUE"""),108.5)</f>
        <v>108.5</v>
      </c>
      <c r="I262" s="1">
        <f ca="1">IFERROR(__xludf.DUMMYFUNCTION("""COMPUTED_VALUE"""),272)</f>
        <v>272</v>
      </c>
      <c r="J262" s="1">
        <f ca="1">IFERROR(__xludf.DUMMYFUNCTION("""COMPUTED_VALUE"""),64.2)</f>
        <v>64.2</v>
      </c>
      <c r="K262" s="1">
        <f ca="1">IFERROR(__xludf.DUMMYFUNCTION("""COMPUTED_VALUE"""),240)</f>
        <v>240</v>
      </c>
      <c r="L262" s="1" t="str">
        <f ca="1">IFERROR(__xludf.DUMMYFUNCTION("""COMPUTED_VALUE"""),"+.024")</f>
        <v>+.024</v>
      </c>
      <c r="M262" s="1">
        <f ca="1">IFERROR(__xludf.DUMMYFUNCTION("""COMPUTED_VALUE"""),108)</f>
        <v>108</v>
      </c>
      <c r="N262" s="1">
        <f ca="1">IFERROR(__xludf.DUMMYFUNCTION("""COMPUTED_VALUE"""),-4.08)</f>
        <v>-4.08</v>
      </c>
      <c r="O262" s="1">
        <f ca="1">IFERROR(__xludf.DUMMYFUNCTION("""COMPUTED_VALUE"""),244)</f>
        <v>244</v>
      </c>
      <c r="P262" s="1">
        <f ca="1">IFERROR(__xludf.DUMMYFUNCTION("""COMPUTED_VALUE"""),99.2)</f>
        <v>99.2</v>
      </c>
      <c r="Q262" s="1">
        <f ca="1">IFERROR(__xludf.DUMMYFUNCTION("""COMPUTED_VALUE"""),273)</f>
        <v>273</v>
      </c>
      <c r="R262" s="1">
        <f ca="1">IFERROR(__xludf.DUMMYFUNCTION("""COMPUTED_VALUE"""),103.3)</f>
        <v>103.3</v>
      </c>
      <c r="S262" s="1">
        <f ca="1">IFERROR(__xludf.DUMMYFUNCTION("""COMPUTED_VALUE"""),180)</f>
        <v>180</v>
      </c>
      <c r="T262" s="1">
        <f ca="1">IFERROR(__xludf.DUMMYFUNCTION("""COMPUTED_VALUE"""),-0.82)</f>
        <v>-0.82</v>
      </c>
      <c r="U262" s="1">
        <f ca="1">IFERROR(__xludf.DUMMYFUNCTION("""COMPUTED_VALUE"""),180)</f>
        <v>180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IFERROR(__xludf.DUMMYFUNCTION("""COMPUTED_VALUE"""),"Coppin St.")</f>
        <v>Coppin St.</v>
      </c>
      <c r="C263" s="1" t="str">
        <f ca="1">IFERROR(__xludf.DUMMYFUNCTION("""COMPUTED_VALUE"""),"MEAC")</f>
        <v>MEAC</v>
      </c>
      <c r="D263" s="1" t="str">
        <f ca="1">IFERROR(__xludf.DUMMYFUNCTION("""COMPUTED_VALUE"""),"13-15")</f>
        <v>13-15</v>
      </c>
      <c r="E263" s="1">
        <f ca="1">IFERROR(__xludf.DUMMYFUNCTION("""COMPUTED_VALUE"""),-8.71)</f>
        <v>-8.7100000000000009</v>
      </c>
      <c r="F263" s="1">
        <f ca="1">IFERROR(__xludf.DUMMYFUNCTION("""COMPUTED_VALUE"""),92.9)</f>
        <v>92.9</v>
      </c>
      <c r="G263" s="1">
        <f ca="1">IFERROR(__xludf.DUMMYFUNCTION("""COMPUTED_VALUE"""),299)</f>
        <v>299</v>
      </c>
      <c r="H263" s="1">
        <f ca="1">IFERROR(__xludf.DUMMYFUNCTION("""COMPUTED_VALUE"""),101.6)</f>
        <v>101.6</v>
      </c>
      <c r="I263" s="1">
        <f ca="1">IFERROR(__xludf.DUMMYFUNCTION("""COMPUTED_VALUE"""),143)</f>
        <v>143</v>
      </c>
      <c r="J263" s="1">
        <f ca="1">IFERROR(__xludf.DUMMYFUNCTION("""COMPUTED_VALUE"""),64.1)</f>
        <v>64.099999999999994</v>
      </c>
      <c r="K263" s="1">
        <f ca="1">IFERROR(__xludf.DUMMYFUNCTION("""COMPUTED_VALUE"""),248)</f>
        <v>248</v>
      </c>
      <c r="L263" s="1" t="str">
        <f ca="1">IFERROR(__xludf.DUMMYFUNCTION("""COMPUTED_VALUE"""),"+.039")</f>
        <v>+.039</v>
      </c>
      <c r="M263" s="1">
        <f ca="1">IFERROR(__xludf.DUMMYFUNCTION("""COMPUTED_VALUE"""),77)</f>
        <v>77</v>
      </c>
      <c r="N263" s="1">
        <f ca="1">IFERROR(__xludf.DUMMYFUNCTION("""COMPUTED_VALUE"""),-6.33)</f>
        <v>-6.33</v>
      </c>
      <c r="O263" s="1">
        <f ca="1">IFERROR(__xludf.DUMMYFUNCTION("""COMPUTED_VALUE"""),273)</f>
        <v>273</v>
      </c>
      <c r="P263" s="1">
        <f ca="1">IFERROR(__xludf.DUMMYFUNCTION("""COMPUTED_VALUE"""),97.8)</f>
        <v>97.8</v>
      </c>
      <c r="Q263" s="1">
        <f ca="1">IFERROR(__xludf.DUMMYFUNCTION("""COMPUTED_VALUE"""),303)</f>
        <v>303</v>
      </c>
      <c r="R263" s="1">
        <f ca="1">IFERROR(__xludf.DUMMYFUNCTION("""COMPUTED_VALUE"""),104.1)</f>
        <v>104.1</v>
      </c>
      <c r="S263" s="1">
        <f ca="1">IFERROR(__xludf.DUMMYFUNCTION("""COMPUTED_VALUE"""),213)</f>
        <v>213</v>
      </c>
      <c r="T263" s="1" t="str">
        <f ca="1">IFERROR(__xludf.DUMMYFUNCTION("""COMPUTED_VALUE"""),"+21.32")</f>
        <v>+21.32</v>
      </c>
      <c r="U263" s="1">
        <f ca="1">IFERROR(__xludf.DUMMYFUNCTION("""COMPUTED_VALUE"""),1)</f>
        <v>1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IFERROR(__xludf.DUMMYFUNCTION("""COMPUTED_VALUE"""),"Columbia")</f>
        <v>Columbia</v>
      </c>
      <c r="C264" s="1" t="str">
        <f ca="1">IFERROR(__xludf.DUMMYFUNCTION("""COMPUTED_VALUE"""),"Ivy")</f>
        <v>Ivy</v>
      </c>
      <c r="D264" s="2">
        <f ca="1">IFERROR(__xludf.DUMMYFUNCTION("""COMPUTED_VALUE"""),44910)</f>
        <v>44910</v>
      </c>
      <c r="E264" s="1">
        <f ca="1">IFERROR(__xludf.DUMMYFUNCTION("""COMPUTED_VALUE"""),-8.89)</f>
        <v>-8.89</v>
      </c>
      <c r="F264" s="1">
        <f ca="1">IFERROR(__xludf.DUMMYFUNCTION("""COMPUTED_VALUE"""),95.5)</f>
        <v>95.5</v>
      </c>
      <c r="G264" s="1">
        <f ca="1">IFERROR(__xludf.DUMMYFUNCTION("""COMPUTED_VALUE"""),272)</f>
        <v>272</v>
      </c>
      <c r="H264" s="1">
        <f ca="1">IFERROR(__xludf.DUMMYFUNCTION("""COMPUTED_VALUE"""),104.4)</f>
        <v>104.4</v>
      </c>
      <c r="I264" s="1">
        <f ca="1">IFERROR(__xludf.DUMMYFUNCTION("""COMPUTED_VALUE"""),197)</f>
        <v>197</v>
      </c>
      <c r="J264" s="1">
        <f ca="1">IFERROR(__xludf.DUMMYFUNCTION("""COMPUTED_VALUE"""),66.1)</f>
        <v>66.099999999999994</v>
      </c>
      <c r="K264" s="1">
        <f ca="1">IFERROR(__xludf.DUMMYFUNCTION("""COMPUTED_VALUE"""),166)</f>
        <v>166</v>
      </c>
      <c r="L264" s="1">
        <f ca="1">IFERROR(__xludf.DUMMYFUNCTION("""COMPUTED_VALUE"""),-0.014)</f>
        <v>-1.4E-2</v>
      </c>
      <c r="M264" s="1">
        <f ca="1">IFERROR(__xludf.DUMMYFUNCTION("""COMPUTED_VALUE"""),201)</f>
        <v>201</v>
      </c>
      <c r="N264" s="1">
        <f ca="1">IFERROR(__xludf.DUMMYFUNCTION("""COMPUTED_VALUE"""),-7.65)</f>
        <v>-7.65</v>
      </c>
      <c r="O264" s="1">
        <f ca="1">IFERROR(__xludf.DUMMYFUNCTION("""COMPUTED_VALUE"""),287)</f>
        <v>287</v>
      </c>
      <c r="P264" s="1">
        <f ca="1">IFERROR(__xludf.DUMMYFUNCTION("""COMPUTED_VALUE"""),97.8)</f>
        <v>97.8</v>
      </c>
      <c r="Q264" s="1">
        <f ca="1">IFERROR(__xludf.DUMMYFUNCTION("""COMPUTED_VALUE"""),302)</f>
        <v>302</v>
      </c>
      <c r="R264" s="1">
        <f ca="1">IFERROR(__xludf.DUMMYFUNCTION("""COMPUTED_VALUE"""),105.4)</f>
        <v>105.4</v>
      </c>
      <c r="S264" s="1">
        <f ca="1">IFERROR(__xludf.DUMMYFUNCTION("""COMPUTED_VALUE"""),266)</f>
        <v>266</v>
      </c>
      <c r="T264" s="1">
        <f ca="1">IFERROR(__xludf.DUMMYFUNCTION("""COMPUTED_VALUE"""),-11.34)</f>
        <v>-11.34</v>
      </c>
      <c r="U264" s="1">
        <f ca="1">IFERROR(__xludf.DUMMYFUNCTION("""COMPUTED_VALUE"""),323)</f>
        <v>323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IFERROR(__xludf.DUMMYFUNCTION("""COMPUTED_VALUE"""),"Rhode Island")</f>
        <v>Rhode Island</v>
      </c>
      <c r="C265" s="1" t="str">
        <f ca="1">IFERROR(__xludf.DUMMYFUNCTION("""COMPUTED_VALUE"""),"A10")</f>
        <v>A10</v>
      </c>
      <c r="D265" s="2">
        <f ca="1">IFERROR(__xludf.DUMMYFUNCTION("""COMPUTED_VALUE"""),44734)</f>
        <v>44734</v>
      </c>
      <c r="E265" s="1">
        <f ca="1">IFERROR(__xludf.DUMMYFUNCTION("""COMPUTED_VALUE"""),-8.91)</f>
        <v>-8.91</v>
      </c>
      <c r="F265" s="1">
        <f ca="1">IFERROR(__xludf.DUMMYFUNCTION("""COMPUTED_VALUE"""),95.5)</f>
        <v>95.5</v>
      </c>
      <c r="G265" s="1">
        <f ca="1">IFERROR(__xludf.DUMMYFUNCTION("""COMPUTED_VALUE"""),273)</f>
        <v>273</v>
      </c>
      <c r="H265" s="1">
        <f ca="1">IFERROR(__xludf.DUMMYFUNCTION("""COMPUTED_VALUE"""),104.4)</f>
        <v>104.4</v>
      </c>
      <c r="I265" s="1">
        <f ca="1">IFERROR(__xludf.DUMMYFUNCTION("""COMPUTED_VALUE"""),198)</f>
        <v>198</v>
      </c>
      <c r="J265" s="1">
        <f ca="1">IFERROR(__xludf.DUMMYFUNCTION("""COMPUTED_VALUE"""),62)</f>
        <v>62</v>
      </c>
      <c r="K265" s="1">
        <f ca="1">IFERROR(__xludf.DUMMYFUNCTION("""COMPUTED_VALUE"""),301)</f>
        <v>301</v>
      </c>
      <c r="L265" s="1">
        <f ca="1">IFERROR(__xludf.DUMMYFUNCTION("""COMPUTED_VALUE"""),-0.025)</f>
        <v>-2.5000000000000001E-2</v>
      </c>
      <c r="M265" s="1">
        <f ca="1">IFERROR(__xludf.DUMMYFUNCTION("""COMPUTED_VALUE"""),229)</f>
        <v>229</v>
      </c>
      <c r="N265" s="1" t="str">
        <f ca="1">IFERROR(__xludf.DUMMYFUNCTION("""COMPUTED_VALUE"""),"+0.25")</f>
        <v>+0.25</v>
      </c>
      <c r="O265" s="1">
        <f ca="1">IFERROR(__xludf.DUMMYFUNCTION("""COMPUTED_VALUE"""),151)</f>
        <v>151</v>
      </c>
      <c r="P265" s="1">
        <f ca="1">IFERROR(__xludf.DUMMYFUNCTION("""COMPUTED_VALUE"""),102.3)</f>
        <v>102.3</v>
      </c>
      <c r="Q265" s="1">
        <f ca="1">IFERROR(__xludf.DUMMYFUNCTION("""COMPUTED_VALUE"""),187)</f>
        <v>187</v>
      </c>
      <c r="R265" s="1">
        <f ca="1">IFERROR(__xludf.DUMMYFUNCTION("""COMPUTED_VALUE"""),102)</f>
        <v>102</v>
      </c>
      <c r="S265" s="1">
        <f ca="1">IFERROR(__xludf.DUMMYFUNCTION("""COMPUTED_VALUE"""),113)</f>
        <v>113</v>
      </c>
      <c r="T265" s="1" t="str">
        <f ca="1">IFERROR(__xludf.DUMMYFUNCTION("""COMPUTED_VALUE"""),"+0.84")</f>
        <v>+0.84</v>
      </c>
      <c r="U265" s="1">
        <f ca="1">IFERROR(__xludf.DUMMYFUNCTION("""COMPUTED_VALUE"""),135)</f>
        <v>135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IFERROR(__xludf.DUMMYFUNCTION("""COMPUTED_VALUE"""),"UT Arlington")</f>
        <v>UT Arlington</v>
      </c>
      <c r="C266" s="1" t="str">
        <f ca="1">IFERROR(__xludf.DUMMYFUNCTION("""COMPUTED_VALUE"""),"Slnd")</f>
        <v>Slnd</v>
      </c>
      <c r="D266" s="1" t="str">
        <f ca="1">IFERROR(__xludf.DUMMYFUNCTION("""COMPUTED_VALUE"""),"13-15")</f>
        <v>13-15</v>
      </c>
      <c r="E266" s="1">
        <f ca="1">IFERROR(__xludf.DUMMYFUNCTION("""COMPUTED_VALUE"""),-8.94)</f>
        <v>-8.94</v>
      </c>
      <c r="F266" s="1">
        <f ca="1">IFERROR(__xludf.DUMMYFUNCTION("""COMPUTED_VALUE"""),96.9)</f>
        <v>96.9</v>
      </c>
      <c r="G266" s="1">
        <f ca="1">IFERROR(__xludf.DUMMYFUNCTION("""COMPUTED_VALUE"""),256)</f>
        <v>256</v>
      </c>
      <c r="H266" s="1">
        <f ca="1">IFERROR(__xludf.DUMMYFUNCTION("""COMPUTED_VALUE"""),105.9)</f>
        <v>105.9</v>
      </c>
      <c r="I266" s="1">
        <f ca="1">IFERROR(__xludf.DUMMYFUNCTION("""COMPUTED_VALUE"""),229)</f>
        <v>229</v>
      </c>
      <c r="J266" s="1">
        <f ca="1">IFERROR(__xludf.DUMMYFUNCTION("""COMPUTED_VALUE"""),68.4)</f>
        <v>68.400000000000006</v>
      </c>
      <c r="K266" s="1">
        <f ca="1">IFERROR(__xludf.DUMMYFUNCTION("""COMPUTED_VALUE"""),77)</f>
        <v>77</v>
      </c>
      <c r="L266" s="1" t="str">
        <f ca="1">IFERROR(__xludf.DUMMYFUNCTION("""COMPUTED_VALUE"""),"+.012")</f>
        <v>+.012</v>
      </c>
      <c r="M266" s="1">
        <f ca="1">IFERROR(__xludf.DUMMYFUNCTION("""COMPUTED_VALUE"""),133)</f>
        <v>133</v>
      </c>
      <c r="N266" s="1">
        <f ca="1">IFERROR(__xludf.DUMMYFUNCTION("""COMPUTED_VALUE"""),-3.37)</f>
        <v>-3.37</v>
      </c>
      <c r="O266" s="1">
        <f ca="1">IFERROR(__xludf.DUMMYFUNCTION("""COMPUTED_VALUE"""),224)</f>
        <v>224</v>
      </c>
      <c r="P266" s="1">
        <f ca="1">IFERROR(__xludf.DUMMYFUNCTION("""COMPUTED_VALUE"""),101.3)</f>
        <v>101.3</v>
      </c>
      <c r="Q266" s="1">
        <f ca="1">IFERROR(__xludf.DUMMYFUNCTION("""COMPUTED_VALUE"""),212)</f>
        <v>212</v>
      </c>
      <c r="R266" s="1">
        <f ca="1">IFERROR(__xludf.DUMMYFUNCTION("""COMPUTED_VALUE"""),104.6)</f>
        <v>104.6</v>
      </c>
      <c r="S266" s="1">
        <f ca="1">IFERROR(__xludf.DUMMYFUNCTION("""COMPUTED_VALUE"""),231)</f>
        <v>231</v>
      </c>
      <c r="T266" s="1" t="str">
        <f ca="1">IFERROR(__xludf.DUMMYFUNCTION("""COMPUTED_VALUE"""),"+7.29")</f>
        <v>+7.29</v>
      </c>
      <c r="U266" s="1">
        <f ca="1">IFERROR(__xludf.DUMMYFUNCTION("""COMPUTED_VALUE"""),25)</f>
        <v>25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IFERROR(__xludf.DUMMYFUNCTION("""COMPUTED_VALUE"""),"Stony Brook")</f>
        <v>Stony Brook</v>
      </c>
      <c r="C267" s="1" t="str">
        <f ca="1">IFERROR(__xludf.DUMMYFUNCTION("""COMPUTED_VALUE"""),"AE")</f>
        <v>AE</v>
      </c>
      <c r="D267" s="2">
        <f ca="1">IFERROR(__xludf.DUMMYFUNCTION("""COMPUTED_VALUE"""),44912)</f>
        <v>44912</v>
      </c>
      <c r="E267" s="1">
        <f ca="1">IFERROR(__xludf.DUMMYFUNCTION("""COMPUTED_VALUE"""),-9.02)</f>
        <v>-9.02</v>
      </c>
      <c r="F267" s="1">
        <f ca="1">IFERROR(__xludf.DUMMYFUNCTION("""COMPUTED_VALUE"""),95.8)</f>
        <v>95.8</v>
      </c>
      <c r="G267" s="1">
        <f ca="1">IFERROR(__xludf.DUMMYFUNCTION("""COMPUTED_VALUE"""),269)</f>
        <v>269</v>
      </c>
      <c r="H267" s="1">
        <f ca="1">IFERROR(__xludf.DUMMYFUNCTION("""COMPUTED_VALUE"""),104.9)</f>
        <v>104.9</v>
      </c>
      <c r="I267" s="1">
        <f ca="1">IFERROR(__xludf.DUMMYFUNCTION("""COMPUTED_VALUE"""),215)</f>
        <v>215</v>
      </c>
      <c r="J267" s="1">
        <f ca="1">IFERROR(__xludf.DUMMYFUNCTION("""COMPUTED_VALUE"""),64.7)</f>
        <v>64.7</v>
      </c>
      <c r="K267" s="1">
        <f ca="1">IFERROR(__xludf.DUMMYFUNCTION("""COMPUTED_VALUE"""),231)</f>
        <v>231</v>
      </c>
      <c r="L267" s="1" t="str">
        <f ca="1">IFERROR(__xludf.DUMMYFUNCTION("""COMPUTED_VALUE"""),"+.037")</f>
        <v>+.037</v>
      </c>
      <c r="M267" s="1">
        <f ca="1">IFERROR(__xludf.DUMMYFUNCTION("""COMPUTED_VALUE"""),80)</f>
        <v>80</v>
      </c>
      <c r="N267" s="1">
        <f ca="1">IFERROR(__xludf.DUMMYFUNCTION("""COMPUTED_VALUE"""),-4.18)</f>
        <v>-4.18</v>
      </c>
      <c r="O267" s="1">
        <f ca="1">IFERROR(__xludf.DUMMYFUNCTION("""COMPUTED_VALUE"""),246)</f>
        <v>246</v>
      </c>
      <c r="P267" s="1">
        <f ca="1">IFERROR(__xludf.DUMMYFUNCTION("""COMPUTED_VALUE"""),99.1)</f>
        <v>99.1</v>
      </c>
      <c r="Q267" s="1">
        <f ca="1">IFERROR(__xludf.DUMMYFUNCTION("""COMPUTED_VALUE"""),278)</f>
        <v>278</v>
      </c>
      <c r="R267" s="1">
        <f ca="1">IFERROR(__xludf.DUMMYFUNCTION("""COMPUTED_VALUE"""),103.2)</f>
        <v>103.2</v>
      </c>
      <c r="S267" s="1">
        <f ca="1">IFERROR(__xludf.DUMMYFUNCTION("""COMPUTED_VALUE"""),176)</f>
        <v>176</v>
      </c>
      <c r="T267" s="1">
        <f ca="1">IFERROR(__xludf.DUMMYFUNCTION("""COMPUTED_VALUE"""),-4.81)</f>
        <v>-4.8099999999999996</v>
      </c>
      <c r="U267" s="1">
        <f ca="1">IFERROR(__xludf.DUMMYFUNCTION("""COMPUTED_VALUE"""),279)</f>
        <v>279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IFERROR(__xludf.DUMMYFUNCTION("""COMPUTED_VALUE"""),"Wagner")</f>
        <v>Wagner</v>
      </c>
      <c r="C268" s="1" t="str">
        <f ca="1">IFERROR(__xludf.DUMMYFUNCTION("""COMPUTED_VALUE"""),"NEC")</f>
        <v>NEC</v>
      </c>
      <c r="D268" s="1" t="str">
        <f ca="1">IFERROR(__xludf.DUMMYFUNCTION("""COMPUTED_VALUE"""),"13-17")</f>
        <v>13-17</v>
      </c>
      <c r="E268" s="1">
        <f ca="1">IFERROR(__xludf.DUMMYFUNCTION("""COMPUTED_VALUE"""),-9.06)</f>
        <v>-9.06</v>
      </c>
      <c r="F268" s="1">
        <f ca="1">IFERROR(__xludf.DUMMYFUNCTION("""COMPUTED_VALUE"""),94.3)</f>
        <v>94.3</v>
      </c>
      <c r="G268" s="1">
        <f ca="1">IFERROR(__xludf.DUMMYFUNCTION("""COMPUTED_VALUE"""),289)</f>
        <v>289</v>
      </c>
      <c r="H268" s="1">
        <f ca="1">IFERROR(__xludf.DUMMYFUNCTION("""COMPUTED_VALUE"""),103.3)</f>
        <v>103.3</v>
      </c>
      <c r="I268" s="1">
        <f ca="1">IFERROR(__xludf.DUMMYFUNCTION("""COMPUTED_VALUE"""),180)</f>
        <v>180</v>
      </c>
      <c r="J268" s="1">
        <f ca="1">IFERROR(__xludf.DUMMYFUNCTION("""COMPUTED_VALUE"""),62.9)</f>
        <v>62.9</v>
      </c>
      <c r="K268" s="1">
        <f ca="1">IFERROR(__xludf.DUMMYFUNCTION("""COMPUTED_VALUE"""),289)</f>
        <v>289</v>
      </c>
      <c r="L268" s="1" t="str">
        <f ca="1">IFERROR(__xludf.DUMMYFUNCTION("""COMPUTED_VALUE"""),"+.018")</f>
        <v>+.018</v>
      </c>
      <c r="M268" s="1">
        <f ca="1">IFERROR(__xludf.DUMMYFUNCTION("""COMPUTED_VALUE"""),118)</f>
        <v>118</v>
      </c>
      <c r="N268" s="1">
        <f ca="1">IFERROR(__xludf.DUMMYFUNCTION("""COMPUTED_VALUE"""),-6.31)</f>
        <v>-6.31</v>
      </c>
      <c r="O268" s="1">
        <f ca="1">IFERROR(__xludf.DUMMYFUNCTION("""COMPUTED_VALUE"""),272)</f>
        <v>272</v>
      </c>
      <c r="P268" s="1">
        <f ca="1">IFERROR(__xludf.DUMMYFUNCTION("""COMPUTED_VALUE"""),100.2)</f>
        <v>100.2</v>
      </c>
      <c r="Q268" s="1">
        <f ca="1">IFERROR(__xludf.DUMMYFUNCTION("""COMPUTED_VALUE"""),244)</f>
        <v>244</v>
      </c>
      <c r="R268" s="1">
        <f ca="1">IFERROR(__xludf.DUMMYFUNCTION("""COMPUTED_VALUE"""),106.5)</f>
        <v>106.5</v>
      </c>
      <c r="S268" s="1">
        <f ca="1">IFERROR(__xludf.DUMMYFUNCTION("""COMPUTED_VALUE"""),298)</f>
        <v>298</v>
      </c>
      <c r="T268" s="1" t="str">
        <f ca="1">IFERROR(__xludf.DUMMYFUNCTION("""COMPUTED_VALUE"""),"+2.48")</f>
        <v>+2.48</v>
      </c>
      <c r="U268" s="1">
        <f ca="1">IFERROR(__xludf.DUMMYFUNCTION("""COMPUTED_VALUE"""),93)</f>
        <v>93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IFERROR(__xludf.DUMMYFUNCTION("""COMPUTED_VALUE"""),"Texas St.")</f>
        <v>Texas St.</v>
      </c>
      <c r="C269" s="1" t="str">
        <f ca="1">IFERROR(__xludf.DUMMYFUNCTION("""COMPUTED_VALUE"""),"Slnd")</f>
        <v>Slnd</v>
      </c>
      <c r="D269" s="1" t="str">
        <f ca="1">IFERROR(__xludf.DUMMYFUNCTION("""COMPUTED_VALUE"""),"14-14")</f>
        <v>14-14</v>
      </c>
      <c r="E269" s="1">
        <f ca="1">IFERROR(__xludf.DUMMYFUNCTION("""COMPUTED_VALUE"""),-9.23)</f>
        <v>-9.23</v>
      </c>
      <c r="F269" s="1">
        <f ca="1">IFERROR(__xludf.DUMMYFUNCTION("""COMPUTED_VALUE"""),102.1)</f>
        <v>102.1</v>
      </c>
      <c r="G269" s="1">
        <f ca="1">IFERROR(__xludf.DUMMYFUNCTION("""COMPUTED_VALUE"""),180)</f>
        <v>180</v>
      </c>
      <c r="H269" s="1">
        <f ca="1">IFERROR(__xludf.DUMMYFUNCTION("""COMPUTED_VALUE"""),111.4)</f>
        <v>111.4</v>
      </c>
      <c r="I269" s="1">
        <f ca="1">IFERROR(__xludf.DUMMYFUNCTION("""COMPUTED_VALUE"""),304)</f>
        <v>304</v>
      </c>
      <c r="J269" s="1">
        <f ca="1">IFERROR(__xludf.DUMMYFUNCTION("""COMPUTED_VALUE"""),61.7)</f>
        <v>61.7</v>
      </c>
      <c r="K269" s="1">
        <f ca="1">IFERROR(__xludf.DUMMYFUNCTION("""COMPUTED_VALUE"""),305)</f>
        <v>305</v>
      </c>
      <c r="L269" s="1" t="str">
        <f ca="1">IFERROR(__xludf.DUMMYFUNCTION("""COMPUTED_VALUE"""),"+.031")</f>
        <v>+.031</v>
      </c>
      <c r="M269" s="1">
        <f ca="1">IFERROR(__xludf.DUMMYFUNCTION("""COMPUTED_VALUE"""),98)</f>
        <v>98</v>
      </c>
      <c r="N269" s="1">
        <f ca="1">IFERROR(__xludf.DUMMYFUNCTION("""COMPUTED_VALUE"""),-5)</f>
        <v>-5</v>
      </c>
      <c r="O269" s="1">
        <f ca="1">IFERROR(__xludf.DUMMYFUNCTION("""COMPUTED_VALUE"""),260)</f>
        <v>260</v>
      </c>
      <c r="P269" s="1">
        <f ca="1">IFERROR(__xludf.DUMMYFUNCTION("""COMPUTED_VALUE"""),99.2)</f>
        <v>99.2</v>
      </c>
      <c r="Q269" s="1">
        <f ca="1">IFERROR(__xludf.DUMMYFUNCTION("""COMPUTED_VALUE"""),274)</f>
        <v>274</v>
      </c>
      <c r="R269" s="1">
        <f ca="1">IFERROR(__xludf.DUMMYFUNCTION("""COMPUTED_VALUE"""),104.2)</f>
        <v>104.2</v>
      </c>
      <c r="S269" s="1">
        <f ca="1">IFERROR(__xludf.DUMMYFUNCTION("""COMPUTED_VALUE"""),217)</f>
        <v>217</v>
      </c>
      <c r="T269" s="1" t="str">
        <f ca="1">IFERROR(__xludf.DUMMYFUNCTION("""COMPUTED_VALUE"""),"+0.67")</f>
        <v>+0.67</v>
      </c>
      <c r="U269" s="1">
        <f ca="1">IFERROR(__xludf.DUMMYFUNCTION("""COMPUTED_VALUE"""),142)</f>
        <v>142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IFERROR(__xludf.DUMMYFUNCTION("""COMPUTED_VALUE"""),"Duquesne")</f>
        <v>Duquesne</v>
      </c>
      <c r="C270" s="1" t="str">
        <f ca="1">IFERROR(__xludf.DUMMYFUNCTION("""COMPUTED_VALUE"""),"A10")</f>
        <v>A10</v>
      </c>
      <c r="D270" s="2">
        <f ca="1">IFERROR(__xludf.DUMMYFUNCTION("""COMPUTED_VALUE"""),44795)</f>
        <v>44795</v>
      </c>
      <c r="E270" s="1">
        <f ca="1">IFERROR(__xludf.DUMMYFUNCTION("""COMPUTED_VALUE"""),-9.28)</f>
        <v>-9.2799999999999994</v>
      </c>
      <c r="F270" s="1">
        <f ca="1">IFERROR(__xludf.DUMMYFUNCTION("""COMPUTED_VALUE"""),102.9)</f>
        <v>102.9</v>
      </c>
      <c r="G270" s="1">
        <f ca="1">IFERROR(__xludf.DUMMYFUNCTION("""COMPUTED_VALUE"""),162)</f>
        <v>162</v>
      </c>
      <c r="H270" s="1">
        <f ca="1">IFERROR(__xludf.DUMMYFUNCTION("""COMPUTED_VALUE"""),112.2)</f>
        <v>112.2</v>
      </c>
      <c r="I270" s="1">
        <f ca="1">IFERROR(__xludf.DUMMYFUNCTION("""COMPUTED_VALUE"""),313)</f>
        <v>313</v>
      </c>
      <c r="J270" s="1">
        <f ca="1">IFERROR(__xludf.DUMMYFUNCTION("""COMPUTED_VALUE"""),66.2)</f>
        <v>66.2</v>
      </c>
      <c r="K270" s="1">
        <f ca="1">IFERROR(__xludf.DUMMYFUNCTION("""COMPUTED_VALUE"""),161)</f>
        <v>161</v>
      </c>
      <c r="L270" s="1">
        <f ca="1">IFERROR(__xludf.DUMMYFUNCTION("""COMPUTED_VALUE"""),-0.007)</f>
        <v>-7.0000000000000001E-3</v>
      </c>
      <c r="M270" s="1">
        <f ca="1">IFERROR(__xludf.DUMMYFUNCTION("""COMPUTED_VALUE"""),181)</f>
        <v>181</v>
      </c>
      <c r="N270" s="1" t="str">
        <f ca="1">IFERROR(__xludf.DUMMYFUNCTION("""COMPUTED_VALUE"""),"+1.53")</f>
        <v>+1.53</v>
      </c>
      <c r="O270" s="1">
        <f ca="1">IFERROR(__xludf.DUMMYFUNCTION("""COMPUTED_VALUE"""),136)</f>
        <v>136</v>
      </c>
      <c r="P270" s="1">
        <f ca="1">IFERROR(__xludf.DUMMYFUNCTION("""COMPUTED_VALUE"""),103.6)</f>
        <v>103.6</v>
      </c>
      <c r="Q270" s="1">
        <f ca="1">IFERROR(__xludf.DUMMYFUNCTION("""COMPUTED_VALUE"""),145)</f>
        <v>145</v>
      </c>
      <c r="R270" s="1">
        <f ca="1">IFERROR(__xludf.DUMMYFUNCTION("""COMPUTED_VALUE"""),102.1)</f>
        <v>102.1</v>
      </c>
      <c r="S270" s="1">
        <f ca="1">IFERROR(__xludf.DUMMYFUNCTION("""COMPUTED_VALUE"""),117)</f>
        <v>117</v>
      </c>
      <c r="T270" s="1" t="str">
        <f ca="1">IFERROR(__xludf.DUMMYFUNCTION("""COMPUTED_VALUE"""),"+1.43")</f>
        <v>+1.43</v>
      </c>
      <c r="U270" s="1">
        <f ca="1">IFERROR(__xludf.DUMMYFUNCTION("""COMPUTED_VALUE"""),119)</f>
        <v>119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IFERROR(__xludf.DUMMYFUNCTION("""COMPUTED_VALUE"""),"East Tennessee St.")</f>
        <v>East Tennessee St.</v>
      </c>
      <c r="C271" s="1" t="str">
        <f ca="1">IFERROR(__xludf.DUMMYFUNCTION("""COMPUTED_VALUE"""),"SC")</f>
        <v>SC</v>
      </c>
      <c r="D271" s="2">
        <f ca="1">IFERROR(__xludf.DUMMYFUNCTION("""COMPUTED_VALUE"""),44853)</f>
        <v>44853</v>
      </c>
      <c r="E271" s="1">
        <f ca="1">IFERROR(__xludf.DUMMYFUNCTION("""COMPUTED_VALUE"""),-9.31)</f>
        <v>-9.31</v>
      </c>
      <c r="F271" s="1">
        <f ca="1">IFERROR(__xludf.DUMMYFUNCTION("""COMPUTED_VALUE"""),102)</f>
        <v>102</v>
      </c>
      <c r="G271" s="1">
        <f ca="1">IFERROR(__xludf.DUMMYFUNCTION("""COMPUTED_VALUE"""),185)</f>
        <v>185</v>
      </c>
      <c r="H271" s="1">
        <f ca="1">IFERROR(__xludf.DUMMYFUNCTION("""COMPUTED_VALUE"""),111.3)</f>
        <v>111.3</v>
      </c>
      <c r="I271" s="1">
        <f ca="1">IFERROR(__xludf.DUMMYFUNCTION("""COMPUTED_VALUE"""),302)</f>
        <v>302</v>
      </c>
      <c r="J271" s="1">
        <f ca="1">IFERROR(__xludf.DUMMYFUNCTION("""COMPUTED_VALUE"""),72.3)</f>
        <v>72.3</v>
      </c>
      <c r="K271" s="1">
        <f ca="1">IFERROR(__xludf.DUMMYFUNCTION("""COMPUTED_VALUE"""),13)</f>
        <v>13</v>
      </c>
      <c r="L271" s="1">
        <f ca="1">IFERROR(__xludf.DUMMYFUNCTION("""COMPUTED_VALUE"""),-0.058)</f>
        <v>-5.8000000000000003E-2</v>
      </c>
      <c r="M271" s="1">
        <f ca="1">IFERROR(__xludf.DUMMYFUNCTION("""COMPUTED_VALUE"""),291)</f>
        <v>291</v>
      </c>
      <c r="N271" s="1">
        <f ca="1">IFERROR(__xludf.DUMMYFUNCTION("""COMPUTED_VALUE"""),-2.88)</f>
        <v>-2.88</v>
      </c>
      <c r="O271" s="1">
        <f ca="1">IFERROR(__xludf.DUMMYFUNCTION("""COMPUTED_VALUE"""),211)</f>
        <v>211</v>
      </c>
      <c r="P271" s="1">
        <f ca="1">IFERROR(__xludf.DUMMYFUNCTION("""COMPUTED_VALUE"""),100.1)</f>
        <v>100.1</v>
      </c>
      <c r="Q271" s="1">
        <f ca="1">IFERROR(__xludf.DUMMYFUNCTION("""COMPUTED_VALUE"""),246)</f>
        <v>246</v>
      </c>
      <c r="R271" s="1">
        <f ca="1">IFERROR(__xludf.DUMMYFUNCTION("""COMPUTED_VALUE"""),103)</f>
        <v>103</v>
      </c>
      <c r="S271" s="1">
        <f ca="1">IFERROR(__xludf.DUMMYFUNCTION("""COMPUTED_VALUE"""),157)</f>
        <v>157</v>
      </c>
      <c r="T271" s="1" t="str">
        <f ca="1">IFERROR(__xludf.DUMMYFUNCTION("""COMPUTED_VALUE"""),"+3.51")</f>
        <v>+3.51</v>
      </c>
      <c r="U271" s="1">
        <f ca="1">IFERROR(__xludf.DUMMYFUNCTION("""COMPUTED_VALUE"""),77)</f>
        <v>77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IFERROR(__xludf.DUMMYFUNCTION("""COMPUTED_VALUE"""),"St. Francis PA")</f>
        <v>St. Francis PA</v>
      </c>
      <c r="C272" s="1" t="str">
        <f ca="1">IFERROR(__xludf.DUMMYFUNCTION("""COMPUTED_VALUE"""),"NEC")</f>
        <v>NEC</v>
      </c>
      <c r="D272" s="1" t="str">
        <f ca="1">IFERROR(__xludf.DUMMYFUNCTION("""COMPUTED_VALUE"""),"15-13")</f>
        <v>15-13</v>
      </c>
      <c r="E272" s="1">
        <f ca="1">IFERROR(__xludf.DUMMYFUNCTION("""COMPUTED_VALUE"""),-9.47)</f>
        <v>-9.4700000000000006</v>
      </c>
      <c r="F272" s="1">
        <f ca="1">IFERROR(__xludf.DUMMYFUNCTION("""COMPUTED_VALUE"""),104.5)</f>
        <v>104.5</v>
      </c>
      <c r="G272" s="1">
        <f ca="1">IFERROR(__xludf.DUMMYFUNCTION("""COMPUTED_VALUE"""),137)</f>
        <v>137</v>
      </c>
      <c r="H272" s="1">
        <f ca="1">IFERROR(__xludf.DUMMYFUNCTION("""COMPUTED_VALUE"""),113.9)</f>
        <v>113.9</v>
      </c>
      <c r="I272" s="1">
        <f ca="1">IFERROR(__xludf.DUMMYFUNCTION("""COMPUTED_VALUE"""),322)</f>
        <v>322</v>
      </c>
      <c r="J272" s="1">
        <f ca="1">IFERROR(__xludf.DUMMYFUNCTION("""COMPUTED_VALUE"""),64.1)</f>
        <v>64.099999999999994</v>
      </c>
      <c r="K272" s="1">
        <f ca="1">IFERROR(__xludf.DUMMYFUNCTION("""COMPUTED_VALUE"""),250)</f>
        <v>250</v>
      </c>
      <c r="L272" s="1" t="str">
        <f ca="1">IFERROR(__xludf.DUMMYFUNCTION("""COMPUTED_VALUE"""),"+.076")</f>
        <v>+.076</v>
      </c>
      <c r="M272" s="1">
        <f ca="1">IFERROR(__xludf.DUMMYFUNCTION("""COMPUTED_VALUE"""),26)</f>
        <v>26</v>
      </c>
      <c r="N272" s="1">
        <f ca="1">IFERROR(__xludf.DUMMYFUNCTION("""COMPUTED_VALUE"""),-7.77)</f>
        <v>-7.77</v>
      </c>
      <c r="O272" s="1">
        <f ca="1">IFERROR(__xludf.DUMMYFUNCTION("""COMPUTED_VALUE"""),292)</f>
        <v>292</v>
      </c>
      <c r="P272" s="1">
        <f ca="1">IFERROR(__xludf.DUMMYFUNCTION("""COMPUTED_VALUE"""),98.9)</f>
        <v>98.9</v>
      </c>
      <c r="Q272" s="1">
        <f ca="1">IFERROR(__xludf.DUMMYFUNCTION("""COMPUTED_VALUE"""),282)</f>
        <v>282</v>
      </c>
      <c r="R272" s="1">
        <f ca="1">IFERROR(__xludf.DUMMYFUNCTION("""COMPUTED_VALUE"""),106.7)</f>
        <v>106.7</v>
      </c>
      <c r="S272" s="1">
        <f ca="1">IFERROR(__xludf.DUMMYFUNCTION("""COMPUTED_VALUE"""),304)</f>
        <v>304</v>
      </c>
      <c r="T272" s="1" t="str">
        <f ca="1">IFERROR(__xludf.DUMMYFUNCTION("""COMPUTED_VALUE"""),"+4.42")</f>
        <v>+4.42</v>
      </c>
      <c r="U272" s="1">
        <f ca="1">IFERROR(__xludf.DUMMYFUNCTION("""COMPUTED_VALUE"""),62)</f>
        <v>62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IFERROR(__xludf.DUMMYFUNCTION("""COMPUTED_VALUE"""),"Mississippi Valley St.")</f>
        <v>Mississippi Valley St.</v>
      </c>
      <c r="C273" s="1" t="str">
        <f ca="1">IFERROR(__xludf.DUMMYFUNCTION("""COMPUTED_VALUE"""),"SWAC")</f>
        <v>SWAC</v>
      </c>
      <c r="D273" s="1" t="str">
        <f ca="1">IFERROR(__xludf.DUMMYFUNCTION("""COMPUTED_VALUE"""),"13-14")</f>
        <v>13-14</v>
      </c>
      <c r="E273" s="1">
        <f ca="1">IFERROR(__xludf.DUMMYFUNCTION("""COMPUTED_VALUE"""),-9.48)</f>
        <v>-9.48</v>
      </c>
      <c r="F273" s="1">
        <f ca="1">IFERROR(__xludf.DUMMYFUNCTION("""COMPUTED_VALUE"""),97.8)</f>
        <v>97.8</v>
      </c>
      <c r="G273" s="1">
        <f ca="1">IFERROR(__xludf.DUMMYFUNCTION("""COMPUTED_VALUE"""),244)</f>
        <v>244</v>
      </c>
      <c r="H273" s="1">
        <f ca="1">IFERROR(__xludf.DUMMYFUNCTION("""COMPUTED_VALUE"""),107.3)</f>
        <v>107.3</v>
      </c>
      <c r="I273" s="1">
        <f ca="1">IFERROR(__xludf.DUMMYFUNCTION("""COMPUTED_VALUE"""),248)</f>
        <v>248</v>
      </c>
      <c r="J273" s="1">
        <f ca="1">IFERROR(__xludf.DUMMYFUNCTION("""COMPUTED_VALUE"""),65.4)</f>
        <v>65.400000000000006</v>
      </c>
      <c r="K273" s="1">
        <f ca="1">IFERROR(__xludf.DUMMYFUNCTION("""COMPUTED_VALUE"""),204)</f>
        <v>204</v>
      </c>
      <c r="L273" s="1">
        <f ca="1">IFERROR(__xludf.DUMMYFUNCTION("""COMPUTED_VALUE"""),-0.064)</f>
        <v>-6.4000000000000001E-2</v>
      </c>
      <c r="M273" s="1">
        <f ca="1">IFERROR(__xludf.DUMMYFUNCTION("""COMPUTED_VALUE"""),298)</f>
        <v>298</v>
      </c>
      <c r="N273" s="1">
        <f ca="1">IFERROR(__xludf.DUMMYFUNCTION("""COMPUTED_VALUE"""),-12.45)</f>
        <v>-12.45</v>
      </c>
      <c r="O273" s="1">
        <f ca="1">IFERROR(__xludf.DUMMYFUNCTION("""COMPUTED_VALUE"""),321)</f>
        <v>321</v>
      </c>
      <c r="P273" s="1">
        <f ca="1">IFERROR(__xludf.DUMMYFUNCTION("""COMPUTED_VALUE"""),93.2)</f>
        <v>93.2</v>
      </c>
      <c r="Q273" s="1">
        <f ca="1">IFERROR(__xludf.DUMMYFUNCTION("""COMPUTED_VALUE"""),326)</f>
        <v>326</v>
      </c>
      <c r="R273" s="1">
        <f ca="1">IFERROR(__xludf.DUMMYFUNCTION("""COMPUTED_VALUE"""),105.7)</f>
        <v>105.7</v>
      </c>
      <c r="S273" s="1">
        <f ca="1">IFERROR(__xludf.DUMMYFUNCTION("""COMPUTED_VALUE"""),272)</f>
        <v>272</v>
      </c>
      <c r="T273" s="1" t="str">
        <f ca="1">IFERROR(__xludf.DUMMYFUNCTION("""COMPUTED_VALUE"""),"+3.22")</f>
        <v>+3.22</v>
      </c>
      <c r="U273" s="1">
        <f ca="1">IFERROR(__xludf.DUMMYFUNCTION("""COMPUTED_VALUE"""),85)</f>
        <v>85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IFERROR(__xludf.DUMMYFUNCTION("""COMPUTED_VALUE"""),"Robert Morris")</f>
        <v>Robert Morris</v>
      </c>
      <c r="C274" s="1" t="str">
        <f ca="1">IFERROR(__xludf.DUMMYFUNCTION("""COMPUTED_VALUE"""),"NEC")</f>
        <v>NEC</v>
      </c>
      <c r="D274" s="1" t="str">
        <f ca="1">IFERROR(__xludf.DUMMYFUNCTION("""COMPUTED_VALUE"""),"14-15")</f>
        <v>14-15</v>
      </c>
      <c r="E274" s="1">
        <f ca="1">IFERROR(__xludf.DUMMYFUNCTION("""COMPUTED_VALUE"""),-9.65)</f>
        <v>-9.65</v>
      </c>
      <c r="F274" s="1">
        <f ca="1">IFERROR(__xludf.DUMMYFUNCTION("""COMPUTED_VALUE"""),103.1)</f>
        <v>103.1</v>
      </c>
      <c r="G274" s="1">
        <f ca="1">IFERROR(__xludf.DUMMYFUNCTION("""COMPUTED_VALUE"""),158)</f>
        <v>158</v>
      </c>
      <c r="H274" s="1">
        <f ca="1">IFERROR(__xludf.DUMMYFUNCTION("""COMPUTED_VALUE"""),112.8)</f>
        <v>112.8</v>
      </c>
      <c r="I274" s="1">
        <f ca="1">IFERROR(__xludf.DUMMYFUNCTION("""COMPUTED_VALUE"""),317)</f>
        <v>317</v>
      </c>
      <c r="J274" s="1">
        <f ca="1">IFERROR(__xludf.DUMMYFUNCTION("""COMPUTED_VALUE"""),65.4)</f>
        <v>65.400000000000006</v>
      </c>
      <c r="K274" s="1">
        <f ca="1">IFERROR(__xludf.DUMMYFUNCTION("""COMPUTED_VALUE"""),203)</f>
        <v>203</v>
      </c>
      <c r="L274" s="1" t="str">
        <f ca="1">IFERROR(__xludf.DUMMYFUNCTION("""COMPUTED_VALUE"""),"+.036")</f>
        <v>+.036</v>
      </c>
      <c r="M274" s="1">
        <f ca="1">IFERROR(__xludf.DUMMYFUNCTION("""COMPUTED_VALUE"""),86)</f>
        <v>86</v>
      </c>
      <c r="N274" s="1">
        <f ca="1">IFERROR(__xludf.DUMMYFUNCTION("""COMPUTED_VALUE"""),-7.69)</f>
        <v>-7.69</v>
      </c>
      <c r="O274" s="1">
        <f ca="1">IFERROR(__xludf.DUMMYFUNCTION("""COMPUTED_VALUE"""),288)</f>
        <v>288</v>
      </c>
      <c r="P274" s="1">
        <f ca="1">IFERROR(__xludf.DUMMYFUNCTION("""COMPUTED_VALUE"""),98.8)</f>
        <v>98.8</v>
      </c>
      <c r="Q274" s="1">
        <f ca="1">IFERROR(__xludf.DUMMYFUNCTION("""COMPUTED_VALUE"""),284)</f>
        <v>284</v>
      </c>
      <c r="R274" s="1">
        <f ca="1">IFERROR(__xludf.DUMMYFUNCTION("""COMPUTED_VALUE"""),106.5)</f>
        <v>106.5</v>
      </c>
      <c r="S274" s="1">
        <f ca="1">IFERROR(__xludf.DUMMYFUNCTION("""COMPUTED_VALUE"""),297)</f>
        <v>297</v>
      </c>
      <c r="T274" s="1" t="str">
        <f ca="1">IFERROR(__xludf.DUMMYFUNCTION("""COMPUTED_VALUE"""),"+3.97")</f>
        <v>+3.97</v>
      </c>
      <c r="U274" s="1">
        <f ca="1">IFERROR(__xludf.DUMMYFUNCTION("""COMPUTED_VALUE"""),69)</f>
        <v>69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IFERROR(__xludf.DUMMYFUNCTION("""COMPUTED_VALUE"""),"Canisius")</f>
        <v>Canisius</v>
      </c>
      <c r="C275" s="1" t="str">
        <f ca="1">IFERROR(__xludf.DUMMYFUNCTION("""COMPUTED_VALUE"""),"MAAC")</f>
        <v>MAAC</v>
      </c>
      <c r="D275" s="2">
        <f ca="1">IFERROR(__xludf.DUMMYFUNCTION("""COMPUTED_VALUE"""),44883)</f>
        <v>44883</v>
      </c>
      <c r="E275" s="1">
        <f ca="1">IFERROR(__xludf.DUMMYFUNCTION("""COMPUTED_VALUE"""),-9.65)</f>
        <v>-9.65</v>
      </c>
      <c r="F275" s="1">
        <f ca="1">IFERROR(__xludf.DUMMYFUNCTION("""COMPUTED_VALUE"""),99.8)</f>
        <v>99.8</v>
      </c>
      <c r="G275" s="1">
        <f ca="1">IFERROR(__xludf.DUMMYFUNCTION("""COMPUTED_VALUE"""),221)</f>
        <v>221</v>
      </c>
      <c r="H275" s="1">
        <f ca="1">IFERROR(__xludf.DUMMYFUNCTION("""COMPUTED_VALUE"""),109.4)</f>
        <v>109.4</v>
      </c>
      <c r="I275" s="1">
        <f ca="1">IFERROR(__xludf.DUMMYFUNCTION("""COMPUTED_VALUE"""),283)</f>
        <v>283</v>
      </c>
      <c r="J275" s="1">
        <f ca="1">IFERROR(__xludf.DUMMYFUNCTION("""COMPUTED_VALUE"""),66.6)</f>
        <v>66.599999999999994</v>
      </c>
      <c r="K275" s="1">
        <f ca="1">IFERROR(__xludf.DUMMYFUNCTION("""COMPUTED_VALUE"""),137)</f>
        <v>137</v>
      </c>
      <c r="L275" s="1" t="str">
        <f ca="1">IFERROR(__xludf.DUMMYFUNCTION("""COMPUTED_VALUE"""),"+.035")</f>
        <v>+.035</v>
      </c>
      <c r="M275" s="1">
        <f ca="1">IFERROR(__xludf.DUMMYFUNCTION("""COMPUTED_VALUE"""),90)</f>
        <v>90</v>
      </c>
      <c r="N275" s="1">
        <f ca="1">IFERROR(__xludf.DUMMYFUNCTION("""COMPUTED_VALUE"""),-4.56)</f>
        <v>-4.5599999999999996</v>
      </c>
      <c r="O275" s="1">
        <f ca="1">IFERROR(__xludf.DUMMYFUNCTION("""COMPUTED_VALUE"""),252)</f>
        <v>252</v>
      </c>
      <c r="P275" s="1">
        <f ca="1">IFERROR(__xludf.DUMMYFUNCTION("""COMPUTED_VALUE"""),101.2)</f>
        <v>101.2</v>
      </c>
      <c r="Q275" s="1">
        <f ca="1">IFERROR(__xludf.DUMMYFUNCTION("""COMPUTED_VALUE"""),221)</f>
        <v>221</v>
      </c>
      <c r="R275" s="1">
        <f ca="1">IFERROR(__xludf.DUMMYFUNCTION("""COMPUTED_VALUE"""),105.7)</f>
        <v>105.7</v>
      </c>
      <c r="S275" s="1">
        <f ca="1">IFERROR(__xludf.DUMMYFUNCTION("""COMPUTED_VALUE"""),273)</f>
        <v>273</v>
      </c>
      <c r="T275" s="1">
        <f ca="1">IFERROR(__xludf.DUMMYFUNCTION("""COMPUTED_VALUE"""),-3.91)</f>
        <v>-3.91</v>
      </c>
      <c r="U275" s="1">
        <f ca="1">IFERROR(__xludf.DUMMYFUNCTION("""COMPUTED_VALUE"""),255)</f>
        <v>255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IFERROR(__xludf.DUMMYFUNCTION("""COMPUTED_VALUE"""),"Eastern Washington")</f>
        <v>Eastern Washington</v>
      </c>
      <c r="C276" s="1" t="str">
        <f ca="1">IFERROR(__xludf.DUMMYFUNCTION("""COMPUTED_VALUE"""),"BSky")</f>
        <v>BSky</v>
      </c>
      <c r="D276" s="2">
        <f ca="1">IFERROR(__xludf.DUMMYFUNCTION("""COMPUTED_VALUE"""),44793)</f>
        <v>44793</v>
      </c>
      <c r="E276" s="1">
        <f ca="1">IFERROR(__xludf.DUMMYFUNCTION("""COMPUTED_VALUE"""),-9.83)</f>
        <v>-9.83</v>
      </c>
      <c r="F276" s="1">
        <f ca="1">IFERROR(__xludf.DUMMYFUNCTION("""COMPUTED_VALUE"""),92.5)</f>
        <v>92.5</v>
      </c>
      <c r="G276" s="1">
        <f ca="1">IFERROR(__xludf.DUMMYFUNCTION("""COMPUTED_VALUE"""),303)</f>
        <v>303</v>
      </c>
      <c r="H276" s="1">
        <f ca="1">IFERROR(__xludf.DUMMYFUNCTION("""COMPUTED_VALUE"""),102.3)</f>
        <v>102.3</v>
      </c>
      <c r="I276" s="1">
        <f ca="1">IFERROR(__xludf.DUMMYFUNCTION("""COMPUTED_VALUE"""),156)</f>
        <v>156</v>
      </c>
      <c r="J276" s="1">
        <f ca="1">IFERROR(__xludf.DUMMYFUNCTION("""COMPUTED_VALUE"""),63.3)</f>
        <v>63.3</v>
      </c>
      <c r="K276" s="1">
        <f ca="1">IFERROR(__xludf.DUMMYFUNCTION("""COMPUTED_VALUE"""),278)</f>
        <v>278</v>
      </c>
      <c r="L276" s="1">
        <f ca="1">IFERROR(__xludf.DUMMYFUNCTION("""COMPUTED_VALUE"""),-0.093)</f>
        <v>-9.2999999999999999E-2</v>
      </c>
      <c r="M276" s="1">
        <f ca="1">IFERROR(__xludf.DUMMYFUNCTION("""COMPUTED_VALUE"""),319)</f>
        <v>319</v>
      </c>
      <c r="N276" s="1">
        <f ca="1">IFERROR(__xludf.DUMMYFUNCTION("""COMPUTED_VALUE"""),-2.31)</f>
        <v>-2.31</v>
      </c>
      <c r="O276" s="1">
        <f ca="1">IFERROR(__xludf.DUMMYFUNCTION("""COMPUTED_VALUE"""),197)</f>
        <v>197</v>
      </c>
      <c r="P276" s="1">
        <f ca="1">IFERROR(__xludf.DUMMYFUNCTION("""COMPUTED_VALUE"""),102.7)</f>
        <v>102.7</v>
      </c>
      <c r="Q276" s="1">
        <f ca="1">IFERROR(__xludf.DUMMYFUNCTION("""COMPUTED_VALUE"""),176)</f>
        <v>176</v>
      </c>
      <c r="R276" s="1">
        <f ca="1">IFERROR(__xludf.DUMMYFUNCTION("""COMPUTED_VALUE"""),105)</f>
        <v>105</v>
      </c>
      <c r="S276" s="1">
        <f ca="1">IFERROR(__xludf.DUMMYFUNCTION("""COMPUTED_VALUE"""),247)</f>
        <v>247</v>
      </c>
      <c r="T276" s="1" t="str">
        <f ca="1">IFERROR(__xludf.DUMMYFUNCTION("""COMPUTED_VALUE"""),"+7.35")</f>
        <v>+7.35</v>
      </c>
      <c r="U276" s="1">
        <f ca="1">IFERROR(__xludf.DUMMYFUNCTION("""COMPUTED_VALUE"""),24)</f>
        <v>24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IFERROR(__xludf.DUMMYFUNCTION("""COMPUTED_VALUE"""),"Troy")</f>
        <v>Troy</v>
      </c>
      <c r="C277" s="1" t="str">
        <f ca="1">IFERROR(__xludf.DUMMYFUNCTION("""COMPUTED_VALUE"""),"ASun")</f>
        <v>ASun</v>
      </c>
      <c r="D277" s="2">
        <f ca="1">IFERROR(__xludf.DUMMYFUNCTION("""COMPUTED_VALUE"""),44913)</f>
        <v>44913</v>
      </c>
      <c r="E277" s="1">
        <f ca="1">IFERROR(__xludf.DUMMYFUNCTION("""COMPUTED_VALUE"""),-9.95)</f>
        <v>-9.9499999999999993</v>
      </c>
      <c r="F277" s="1">
        <f ca="1">IFERROR(__xludf.DUMMYFUNCTION("""COMPUTED_VALUE"""),104.6)</f>
        <v>104.6</v>
      </c>
      <c r="G277" s="1">
        <f ca="1">IFERROR(__xludf.DUMMYFUNCTION("""COMPUTED_VALUE"""),134)</f>
        <v>134</v>
      </c>
      <c r="H277" s="1">
        <f ca="1">IFERROR(__xludf.DUMMYFUNCTION("""COMPUTED_VALUE"""),114.6)</f>
        <v>114.6</v>
      </c>
      <c r="I277" s="1">
        <f ca="1">IFERROR(__xludf.DUMMYFUNCTION("""COMPUTED_VALUE"""),325)</f>
        <v>325</v>
      </c>
      <c r="J277" s="1">
        <f ca="1">IFERROR(__xludf.DUMMYFUNCTION("""COMPUTED_VALUE"""),68.8)</f>
        <v>68.8</v>
      </c>
      <c r="K277" s="1">
        <f ca="1">IFERROR(__xludf.DUMMYFUNCTION("""COMPUTED_VALUE"""),64)</f>
        <v>64</v>
      </c>
      <c r="L277" s="1">
        <f ca="1">IFERROR(__xludf.DUMMYFUNCTION("""COMPUTED_VALUE"""),-0.008)</f>
        <v>-8.0000000000000002E-3</v>
      </c>
      <c r="M277" s="1">
        <f ca="1">IFERROR(__xludf.DUMMYFUNCTION("""COMPUTED_VALUE"""),182)</f>
        <v>182</v>
      </c>
      <c r="N277" s="1">
        <f ca="1">IFERROR(__xludf.DUMMYFUNCTION("""COMPUTED_VALUE"""),-6.15)</f>
        <v>-6.15</v>
      </c>
      <c r="O277" s="1">
        <f ca="1">IFERROR(__xludf.DUMMYFUNCTION("""COMPUTED_VALUE"""),269)</f>
        <v>269</v>
      </c>
      <c r="P277" s="1">
        <f ca="1">IFERROR(__xludf.DUMMYFUNCTION("""COMPUTED_VALUE"""),99.1)</f>
        <v>99.1</v>
      </c>
      <c r="Q277" s="1">
        <f ca="1">IFERROR(__xludf.DUMMYFUNCTION("""COMPUTED_VALUE"""),277)</f>
        <v>277</v>
      </c>
      <c r="R277" s="1">
        <f ca="1">IFERROR(__xludf.DUMMYFUNCTION("""COMPUTED_VALUE"""),105.3)</f>
        <v>105.3</v>
      </c>
      <c r="S277" s="1">
        <f ca="1">IFERROR(__xludf.DUMMYFUNCTION("""COMPUTED_VALUE"""),261)</f>
        <v>261</v>
      </c>
      <c r="T277" s="1" t="str">
        <f ca="1">IFERROR(__xludf.DUMMYFUNCTION("""COMPUTED_VALUE"""),"+6.91")</f>
        <v>+6.91</v>
      </c>
      <c r="U277" s="1">
        <f ca="1">IFERROR(__xludf.DUMMYFUNCTION("""COMPUTED_VALUE"""),28)</f>
        <v>28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IFERROR(__xludf.DUMMYFUNCTION("""COMPUTED_VALUE"""),"UNC Asheville")</f>
        <v>UNC Asheville</v>
      </c>
      <c r="C278" s="1" t="str">
        <f ca="1">IFERROR(__xludf.DUMMYFUNCTION("""COMPUTED_VALUE"""),"BSth")</f>
        <v>BSth</v>
      </c>
      <c r="D278" s="2">
        <f ca="1">IFERROR(__xludf.DUMMYFUNCTION("""COMPUTED_VALUE"""),44882)</f>
        <v>44882</v>
      </c>
      <c r="E278" s="1">
        <f ca="1">IFERROR(__xludf.DUMMYFUNCTION("""COMPUTED_VALUE"""),-10.12)</f>
        <v>-10.119999999999999</v>
      </c>
      <c r="F278" s="1">
        <f ca="1">IFERROR(__xludf.DUMMYFUNCTION("""COMPUTED_VALUE"""),101)</f>
        <v>101</v>
      </c>
      <c r="G278" s="1">
        <f ca="1">IFERROR(__xludf.DUMMYFUNCTION("""COMPUTED_VALUE"""),204)</f>
        <v>204</v>
      </c>
      <c r="H278" s="1">
        <f ca="1">IFERROR(__xludf.DUMMYFUNCTION("""COMPUTED_VALUE"""),111.2)</f>
        <v>111.2</v>
      </c>
      <c r="I278" s="1">
        <f ca="1">IFERROR(__xludf.DUMMYFUNCTION("""COMPUTED_VALUE"""),301)</f>
        <v>301</v>
      </c>
      <c r="J278" s="1">
        <f ca="1">IFERROR(__xludf.DUMMYFUNCTION("""COMPUTED_VALUE"""),68.6)</f>
        <v>68.599999999999994</v>
      </c>
      <c r="K278" s="1">
        <f ca="1">IFERROR(__xludf.DUMMYFUNCTION("""COMPUTED_VALUE"""),69)</f>
        <v>69</v>
      </c>
      <c r="L278" s="1">
        <f ca="1">IFERROR(__xludf.DUMMYFUNCTION("""COMPUTED_VALUE"""),-0.009)</f>
        <v>-8.9999999999999993E-3</v>
      </c>
      <c r="M278" s="1">
        <f ca="1">IFERROR(__xludf.DUMMYFUNCTION("""COMPUTED_VALUE"""),185)</f>
        <v>185</v>
      </c>
      <c r="N278" s="1">
        <f ca="1">IFERROR(__xludf.DUMMYFUNCTION("""COMPUTED_VALUE"""),-4.54)</f>
        <v>-4.54</v>
      </c>
      <c r="O278" s="1">
        <f ca="1">IFERROR(__xludf.DUMMYFUNCTION("""COMPUTED_VALUE"""),251)</f>
        <v>251</v>
      </c>
      <c r="P278" s="1">
        <f ca="1">IFERROR(__xludf.DUMMYFUNCTION("""COMPUTED_VALUE"""),100)</f>
        <v>100</v>
      </c>
      <c r="Q278" s="1">
        <f ca="1">IFERROR(__xludf.DUMMYFUNCTION("""COMPUTED_VALUE"""),250)</f>
        <v>250</v>
      </c>
      <c r="R278" s="1">
        <f ca="1">IFERROR(__xludf.DUMMYFUNCTION("""COMPUTED_VALUE"""),104.5)</f>
        <v>104.5</v>
      </c>
      <c r="S278" s="1">
        <f ca="1">IFERROR(__xludf.DUMMYFUNCTION("""COMPUTED_VALUE"""),227)</f>
        <v>227</v>
      </c>
      <c r="T278" s="1" t="str">
        <f ca="1">IFERROR(__xludf.DUMMYFUNCTION("""COMPUTED_VALUE"""),"+11.07")</f>
        <v>+11.07</v>
      </c>
      <c r="U278" s="1">
        <f ca="1">IFERROR(__xludf.DUMMYFUNCTION("""COMPUTED_VALUE"""),10)</f>
        <v>10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IFERROR(__xludf.DUMMYFUNCTION("""COMPUTED_VALUE"""),"UC Davis")</f>
        <v>UC Davis</v>
      </c>
      <c r="C279" s="1" t="str">
        <f ca="1">IFERROR(__xludf.DUMMYFUNCTION("""COMPUTED_VALUE"""),"ind")</f>
        <v>ind</v>
      </c>
      <c r="D279" s="2">
        <f ca="1">IFERROR(__xludf.DUMMYFUNCTION("""COMPUTED_VALUE"""),44882)</f>
        <v>44882</v>
      </c>
      <c r="E279" s="1">
        <f ca="1">IFERROR(__xludf.DUMMYFUNCTION("""COMPUTED_VALUE"""),-10.18)</f>
        <v>-10.18</v>
      </c>
      <c r="F279" s="1">
        <f ca="1">IFERROR(__xludf.DUMMYFUNCTION("""COMPUTED_VALUE"""),101.6)</f>
        <v>101.6</v>
      </c>
      <c r="G279" s="1">
        <f ca="1">IFERROR(__xludf.DUMMYFUNCTION("""COMPUTED_VALUE"""),191)</f>
        <v>191</v>
      </c>
      <c r="H279" s="1">
        <f ca="1">IFERROR(__xludf.DUMMYFUNCTION("""COMPUTED_VALUE"""),111.8)</f>
        <v>111.8</v>
      </c>
      <c r="I279" s="1">
        <f ca="1">IFERROR(__xludf.DUMMYFUNCTION("""COMPUTED_VALUE"""),306)</f>
        <v>306</v>
      </c>
      <c r="J279" s="1">
        <f ca="1">IFERROR(__xludf.DUMMYFUNCTION("""COMPUTED_VALUE"""),64.1)</f>
        <v>64.099999999999994</v>
      </c>
      <c r="K279" s="1">
        <f ca="1">IFERROR(__xludf.DUMMYFUNCTION("""COMPUTED_VALUE"""),247)</f>
        <v>247</v>
      </c>
      <c r="L279" s="1" t="str">
        <f ca="1">IFERROR(__xludf.DUMMYFUNCTION("""COMPUTED_VALUE"""),"+.013")</f>
        <v>+.013</v>
      </c>
      <c r="M279" s="1">
        <f ca="1">IFERROR(__xludf.DUMMYFUNCTION("""COMPUTED_VALUE"""),128)</f>
        <v>128</v>
      </c>
      <c r="N279" s="1">
        <f ca="1">IFERROR(__xludf.DUMMYFUNCTION("""COMPUTED_VALUE"""),-3.69)</f>
        <v>-3.69</v>
      </c>
      <c r="O279" s="1">
        <f ca="1">IFERROR(__xludf.DUMMYFUNCTION("""COMPUTED_VALUE"""),236)</f>
        <v>236</v>
      </c>
      <c r="P279" s="1">
        <f ca="1">IFERROR(__xludf.DUMMYFUNCTION("""COMPUTED_VALUE"""),100.6)</f>
        <v>100.6</v>
      </c>
      <c r="Q279" s="1">
        <f ca="1">IFERROR(__xludf.DUMMYFUNCTION("""COMPUTED_VALUE"""),233)</f>
        <v>233</v>
      </c>
      <c r="R279" s="1">
        <f ca="1">IFERROR(__xludf.DUMMYFUNCTION("""COMPUTED_VALUE"""),104.3)</f>
        <v>104.3</v>
      </c>
      <c r="S279" s="1">
        <f ca="1">IFERROR(__xludf.DUMMYFUNCTION("""COMPUTED_VALUE"""),218)</f>
        <v>218</v>
      </c>
      <c r="T279" s="1">
        <f ca="1">IFERROR(__xludf.DUMMYFUNCTION("""COMPUTED_VALUE"""),-2.28)</f>
        <v>-2.2799999999999998</v>
      </c>
      <c r="U279" s="1">
        <f ca="1">IFERROR(__xludf.DUMMYFUNCTION("""COMPUTED_VALUE"""),223)</f>
        <v>223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IFERROR(__xludf.DUMMYFUNCTION("""COMPUTED_VALUE"""),"Stephen F. Austin")</f>
        <v>Stephen F. Austin</v>
      </c>
      <c r="C280" s="1" t="str">
        <f ca="1">IFERROR(__xludf.DUMMYFUNCTION("""COMPUTED_VALUE"""),"Slnd")</f>
        <v>Slnd</v>
      </c>
      <c r="D280" s="2">
        <f ca="1">IFERROR(__xludf.DUMMYFUNCTION("""COMPUTED_VALUE"""),44910)</f>
        <v>44910</v>
      </c>
      <c r="E280" s="1">
        <f ca="1">IFERROR(__xludf.DUMMYFUNCTION("""COMPUTED_VALUE"""),-10.43)</f>
        <v>-10.43</v>
      </c>
      <c r="F280" s="1">
        <f ca="1">IFERROR(__xludf.DUMMYFUNCTION("""COMPUTED_VALUE"""),97.9)</f>
        <v>97.9</v>
      </c>
      <c r="G280" s="1">
        <f ca="1">IFERROR(__xludf.DUMMYFUNCTION("""COMPUTED_VALUE"""),240)</f>
        <v>240</v>
      </c>
      <c r="H280" s="1">
        <f ca="1">IFERROR(__xludf.DUMMYFUNCTION("""COMPUTED_VALUE"""),108.3)</f>
        <v>108.3</v>
      </c>
      <c r="I280" s="1">
        <f ca="1">IFERROR(__xludf.DUMMYFUNCTION("""COMPUTED_VALUE"""),268)</f>
        <v>268</v>
      </c>
      <c r="J280" s="1">
        <f ca="1">IFERROR(__xludf.DUMMYFUNCTION("""COMPUTED_VALUE"""),59.3)</f>
        <v>59.3</v>
      </c>
      <c r="K280" s="1">
        <f ca="1">IFERROR(__xludf.DUMMYFUNCTION("""COMPUTED_VALUE"""),323)</f>
        <v>323</v>
      </c>
      <c r="L280" s="1">
        <f ca="1">IFERROR(__xludf.DUMMYFUNCTION("""COMPUTED_VALUE"""),-0.046)</f>
        <v>-4.5999999999999999E-2</v>
      </c>
      <c r="M280" s="1">
        <f ca="1">IFERROR(__xludf.DUMMYFUNCTION("""COMPUTED_VALUE"""),269)</f>
        <v>269</v>
      </c>
      <c r="N280" s="1">
        <f ca="1">IFERROR(__xludf.DUMMYFUNCTION("""COMPUTED_VALUE"""),-7.44)</f>
        <v>-7.44</v>
      </c>
      <c r="O280" s="1">
        <f ca="1">IFERROR(__xludf.DUMMYFUNCTION("""COMPUTED_VALUE"""),283)</f>
        <v>283</v>
      </c>
      <c r="P280" s="1">
        <f ca="1">IFERROR(__xludf.DUMMYFUNCTION("""COMPUTED_VALUE"""),97.3)</f>
        <v>97.3</v>
      </c>
      <c r="Q280" s="1">
        <f ca="1">IFERROR(__xludf.DUMMYFUNCTION("""COMPUTED_VALUE"""),308)</f>
        <v>308</v>
      </c>
      <c r="R280" s="1">
        <f ca="1">IFERROR(__xludf.DUMMYFUNCTION("""COMPUTED_VALUE"""),104.7)</f>
        <v>104.7</v>
      </c>
      <c r="S280" s="1">
        <f ca="1">IFERROR(__xludf.DUMMYFUNCTION("""COMPUTED_VALUE"""),234)</f>
        <v>234</v>
      </c>
      <c r="T280" s="1">
        <f ca="1">IFERROR(__xludf.DUMMYFUNCTION("""COMPUTED_VALUE"""),-10.08)</f>
        <v>-10.08</v>
      </c>
      <c r="U280" s="1">
        <f ca="1">IFERROR(__xludf.DUMMYFUNCTION("""COMPUTED_VALUE"""),320)</f>
        <v>320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IFERROR(__xludf.DUMMYFUNCTION("""COMPUTED_VALUE"""),"Southern Utah")</f>
        <v>Southern Utah</v>
      </c>
      <c r="C281" s="1" t="str">
        <f ca="1">IFERROR(__xludf.DUMMYFUNCTION("""COMPUTED_VALUE"""),"MCon")</f>
        <v>MCon</v>
      </c>
      <c r="D281" s="1" t="str">
        <f ca="1">IFERROR(__xludf.DUMMYFUNCTION("""COMPUTED_VALUE"""),"13-15")</f>
        <v>13-15</v>
      </c>
      <c r="E281" s="1">
        <f ca="1">IFERROR(__xludf.DUMMYFUNCTION("""COMPUTED_VALUE"""),-10.44)</f>
        <v>-10.44</v>
      </c>
      <c r="F281" s="1">
        <f ca="1">IFERROR(__xludf.DUMMYFUNCTION("""COMPUTED_VALUE"""),101.3)</f>
        <v>101.3</v>
      </c>
      <c r="G281" s="1">
        <f ca="1">IFERROR(__xludf.DUMMYFUNCTION("""COMPUTED_VALUE"""),198)</f>
        <v>198</v>
      </c>
      <c r="H281" s="1">
        <f ca="1">IFERROR(__xludf.DUMMYFUNCTION("""COMPUTED_VALUE"""),111.8)</f>
        <v>111.8</v>
      </c>
      <c r="I281" s="1">
        <f ca="1">IFERROR(__xludf.DUMMYFUNCTION("""COMPUTED_VALUE"""),307)</f>
        <v>307</v>
      </c>
      <c r="J281" s="1">
        <f ca="1">IFERROR(__xludf.DUMMYFUNCTION("""COMPUTED_VALUE"""),65.7)</f>
        <v>65.7</v>
      </c>
      <c r="K281" s="1">
        <f ca="1">IFERROR(__xludf.DUMMYFUNCTION("""COMPUTED_VALUE"""),185)</f>
        <v>185</v>
      </c>
      <c r="L281" s="1" t="str">
        <f ca="1">IFERROR(__xludf.DUMMYFUNCTION("""COMPUTED_VALUE"""),"+.070")</f>
        <v>+.070</v>
      </c>
      <c r="M281" s="1">
        <f ca="1">IFERROR(__xludf.DUMMYFUNCTION("""COMPUTED_VALUE"""),32)</f>
        <v>32</v>
      </c>
      <c r="N281" s="1">
        <f ca="1">IFERROR(__xludf.DUMMYFUNCTION("""COMPUTED_VALUE"""),-3.38)</f>
        <v>-3.38</v>
      </c>
      <c r="O281" s="1">
        <f ca="1">IFERROR(__xludf.DUMMYFUNCTION("""COMPUTED_VALUE"""),225)</f>
        <v>225</v>
      </c>
      <c r="P281" s="1">
        <f ca="1">IFERROR(__xludf.DUMMYFUNCTION("""COMPUTED_VALUE"""),102.1)</f>
        <v>102.1</v>
      </c>
      <c r="Q281" s="1">
        <f ca="1">IFERROR(__xludf.DUMMYFUNCTION("""COMPUTED_VALUE"""),195)</f>
        <v>195</v>
      </c>
      <c r="R281" s="1">
        <f ca="1">IFERROR(__xludf.DUMMYFUNCTION("""COMPUTED_VALUE"""),105.4)</f>
        <v>105.4</v>
      </c>
      <c r="S281" s="1">
        <f ca="1">IFERROR(__xludf.DUMMYFUNCTION("""COMPUTED_VALUE"""),267)</f>
        <v>267</v>
      </c>
      <c r="T281" s="1">
        <f ca="1">IFERROR(__xludf.DUMMYFUNCTION("""COMPUTED_VALUE"""),-4.42)</f>
        <v>-4.42</v>
      </c>
      <c r="U281" s="1">
        <f ca="1">IFERROR(__xludf.DUMMYFUNCTION("""COMPUTED_VALUE"""),269)</f>
        <v>269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IFERROR(__xludf.DUMMYFUNCTION("""COMPUTED_VALUE"""),"UC Riverside")</f>
        <v>UC Riverside</v>
      </c>
      <c r="C282" s="1" t="str">
        <f ca="1">IFERROR(__xludf.DUMMYFUNCTION("""COMPUTED_VALUE"""),"BW")</f>
        <v>BW</v>
      </c>
      <c r="D282" s="2">
        <f ca="1">IFERROR(__xludf.DUMMYFUNCTION("""COMPUTED_VALUE"""),44823)</f>
        <v>44823</v>
      </c>
      <c r="E282" s="1">
        <f ca="1">IFERROR(__xludf.DUMMYFUNCTION("""COMPUTED_VALUE"""),-10.48)</f>
        <v>-10.48</v>
      </c>
      <c r="F282" s="1">
        <f ca="1">IFERROR(__xludf.DUMMYFUNCTION("""COMPUTED_VALUE"""),93.8)</f>
        <v>93.8</v>
      </c>
      <c r="G282" s="1">
        <f ca="1">IFERROR(__xludf.DUMMYFUNCTION("""COMPUTED_VALUE"""),293)</f>
        <v>293</v>
      </c>
      <c r="H282" s="1">
        <f ca="1">IFERROR(__xludf.DUMMYFUNCTION("""COMPUTED_VALUE"""),104.3)</f>
        <v>104.3</v>
      </c>
      <c r="I282" s="1">
        <f ca="1">IFERROR(__xludf.DUMMYFUNCTION("""COMPUTED_VALUE"""),195)</f>
        <v>195</v>
      </c>
      <c r="J282" s="1">
        <f ca="1">IFERROR(__xludf.DUMMYFUNCTION("""COMPUTED_VALUE"""),64.7)</f>
        <v>64.7</v>
      </c>
      <c r="K282" s="1">
        <f ca="1">IFERROR(__xludf.DUMMYFUNCTION("""COMPUTED_VALUE"""),229)</f>
        <v>229</v>
      </c>
      <c r="L282" s="1" t="str">
        <f ca="1">IFERROR(__xludf.DUMMYFUNCTION("""COMPUTED_VALUE"""),"+.010")</f>
        <v>+.010</v>
      </c>
      <c r="M282" s="1">
        <f ca="1">IFERROR(__xludf.DUMMYFUNCTION("""COMPUTED_VALUE"""),136)</f>
        <v>136</v>
      </c>
      <c r="N282" s="1">
        <f ca="1">IFERROR(__xludf.DUMMYFUNCTION("""COMPUTED_VALUE"""),-1.96)</f>
        <v>-1.96</v>
      </c>
      <c r="O282" s="1">
        <f ca="1">IFERROR(__xludf.DUMMYFUNCTION("""COMPUTED_VALUE"""),192)</f>
        <v>192</v>
      </c>
      <c r="P282" s="1">
        <f ca="1">IFERROR(__xludf.DUMMYFUNCTION("""COMPUTED_VALUE"""),102.1)</f>
        <v>102.1</v>
      </c>
      <c r="Q282" s="1">
        <f ca="1">IFERROR(__xludf.DUMMYFUNCTION("""COMPUTED_VALUE"""),193)</f>
        <v>193</v>
      </c>
      <c r="R282" s="1">
        <f ca="1">IFERROR(__xludf.DUMMYFUNCTION("""COMPUTED_VALUE"""),104.1)</f>
        <v>104.1</v>
      </c>
      <c r="S282" s="1">
        <f ca="1">IFERROR(__xludf.DUMMYFUNCTION("""COMPUTED_VALUE"""),212)</f>
        <v>212</v>
      </c>
      <c r="T282" s="1">
        <f ca="1">IFERROR(__xludf.DUMMYFUNCTION("""COMPUTED_VALUE"""),-4.51)</f>
        <v>-4.51</v>
      </c>
      <c r="U282" s="1">
        <f ca="1">IFERROR(__xludf.DUMMYFUNCTION("""COMPUTED_VALUE"""),273)</f>
        <v>273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IFERROR(__xludf.DUMMYFUNCTION("""COMPUTED_VALUE"""),"New Hampshire")</f>
        <v>New Hampshire</v>
      </c>
      <c r="C283" s="1" t="str">
        <f ca="1">IFERROR(__xludf.DUMMYFUNCTION("""COMPUTED_VALUE"""),"AE")</f>
        <v>AE</v>
      </c>
      <c r="D283" s="2">
        <f ca="1">IFERROR(__xludf.DUMMYFUNCTION("""COMPUTED_VALUE"""),44823)</f>
        <v>44823</v>
      </c>
      <c r="E283" s="1">
        <f ca="1">IFERROR(__xludf.DUMMYFUNCTION("""COMPUTED_VALUE"""),-10.5)</f>
        <v>-10.5</v>
      </c>
      <c r="F283" s="1">
        <f ca="1">IFERROR(__xludf.DUMMYFUNCTION("""COMPUTED_VALUE"""),97.8)</f>
        <v>97.8</v>
      </c>
      <c r="G283" s="1">
        <f ca="1">IFERROR(__xludf.DUMMYFUNCTION("""COMPUTED_VALUE"""),242)</f>
        <v>242</v>
      </c>
      <c r="H283" s="1">
        <f ca="1">IFERROR(__xludf.DUMMYFUNCTION("""COMPUTED_VALUE"""),108.3)</f>
        <v>108.3</v>
      </c>
      <c r="I283" s="1">
        <f ca="1">IFERROR(__xludf.DUMMYFUNCTION("""COMPUTED_VALUE"""),267)</f>
        <v>267</v>
      </c>
      <c r="J283" s="1">
        <f ca="1">IFERROR(__xludf.DUMMYFUNCTION("""COMPUTED_VALUE"""),66.4)</f>
        <v>66.400000000000006</v>
      </c>
      <c r="K283" s="1">
        <f ca="1">IFERROR(__xludf.DUMMYFUNCTION("""COMPUTED_VALUE"""),149)</f>
        <v>149</v>
      </c>
      <c r="L283" s="1">
        <f ca="1">IFERROR(__xludf.DUMMYFUNCTION("""COMPUTED_VALUE"""),-0.024)</f>
        <v>-2.4E-2</v>
      </c>
      <c r="M283" s="1">
        <f ca="1">IFERROR(__xludf.DUMMYFUNCTION("""COMPUTED_VALUE"""),228)</f>
        <v>228</v>
      </c>
      <c r="N283" s="1">
        <f ca="1">IFERROR(__xludf.DUMMYFUNCTION("""COMPUTED_VALUE"""),-2.91)</f>
        <v>-2.91</v>
      </c>
      <c r="O283" s="1">
        <f ca="1">IFERROR(__xludf.DUMMYFUNCTION("""COMPUTED_VALUE"""),212)</f>
        <v>212</v>
      </c>
      <c r="P283" s="1">
        <f ca="1">IFERROR(__xludf.DUMMYFUNCTION("""COMPUTED_VALUE"""),100.1)</f>
        <v>100.1</v>
      </c>
      <c r="Q283" s="1">
        <f ca="1">IFERROR(__xludf.DUMMYFUNCTION("""COMPUTED_VALUE"""),247)</f>
        <v>247</v>
      </c>
      <c r="R283" s="1">
        <f ca="1">IFERROR(__xludf.DUMMYFUNCTION("""COMPUTED_VALUE"""),103)</f>
        <v>103</v>
      </c>
      <c r="S283" s="1">
        <f ca="1">IFERROR(__xludf.DUMMYFUNCTION("""COMPUTED_VALUE"""),154)</f>
        <v>154</v>
      </c>
      <c r="T283" s="1" t="str">
        <f ca="1">IFERROR(__xludf.DUMMYFUNCTION("""COMPUTED_VALUE"""),"+0.46")</f>
        <v>+0.46</v>
      </c>
      <c r="U283" s="1">
        <f ca="1">IFERROR(__xludf.DUMMYFUNCTION("""COMPUTED_VALUE"""),151)</f>
        <v>151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IFERROR(__xludf.DUMMYFUNCTION("""COMPUTED_VALUE"""),"Norfolk St.")</f>
        <v>Norfolk St.</v>
      </c>
      <c r="C284" s="1" t="str">
        <f ca="1">IFERROR(__xludf.DUMMYFUNCTION("""COMPUTED_VALUE"""),"MEAC")</f>
        <v>MEAC</v>
      </c>
      <c r="D284" s="1" t="str">
        <f ca="1">IFERROR(__xludf.DUMMYFUNCTION("""COMPUTED_VALUE"""),"13-14")</f>
        <v>13-14</v>
      </c>
      <c r="E284" s="1">
        <f ca="1">IFERROR(__xludf.DUMMYFUNCTION("""COMPUTED_VALUE"""),-11.23)</f>
        <v>-11.23</v>
      </c>
      <c r="F284" s="1">
        <f ca="1">IFERROR(__xludf.DUMMYFUNCTION("""COMPUTED_VALUE"""),91.6)</f>
        <v>91.6</v>
      </c>
      <c r="G284" s="1">
        <f ca="1">IFERROR(__xludf.DUMMYFUNCTION("""COMPUTED_VALUE"""),309)</f>
        <v>309</v>
      </c>
      <c r="H284" s="1">
        <f ca="1">IFERROR(__xludf.DUMMYFUNCTION("""COMPUTED_VALUE"""),102.8)</f>
        <v>102.8</v>
      </c>
      <c r="I284" s="1">
        <f ca="1">IFERROR(__xludf.DUMMYFUNCTION("""COMPUTED_VALUE"""),164)</f>
        <v>164</v>
      </c>
      <c r="J284" s="1">
        <f ca="1">IFERROR(__xludf.DUMMYFUNCTION("""COMPUTED_VALUE"""),63.8)</f>
        <v>63.8</v>
      </c>
      <c r="K284" s="1">
        <f ca="1">IFERROR(__xludf.DUMMYFUNCTION("""COMPUTED_VALUE"""),259)</f>
        <v>259</v>
      </c>
      <c r="L284" s="1">
        <f ca="1">IFERROR(__xludf.DUMMYFUNCTION("""COMPUTED_VALUE"""),-0.026)</f>
        <v>-2.5999999999999999E-2</v>
      </c>
      <c r="M284" s="1">
        <f ca="1">IFERROR(__xludf.DUMMYFUNCTION("""COMPUTED_VALUE"""),233)</f>
        <v>233</v>
      </c>
      <c r="N284" s="1">
        <f ca="1">IFERROR(__xludf.DUMMYFUNCTION("""COMPUTED_VALUE"""),-12.68)</f>
        <v>-12.68</v>
      </c>
      <c r="O284" s="1">
        <f ca="1">IFERROR(__xludf.DUMMYFUNCTION("""COMPUTED_VALUE"""),324)</f>
        <v>324</v>
      </c>
      <c r="P284" s="1">
        <f ca="1">IFERROR(__xludf.DUMMYFUNCTION("""COMPUTED_VALUE"""),94.3)</f>
        <v>94.3</v>
      </c>
      <c r="Q284" s="1">
        <f ca="1">IFERROR(__xludf.DUMMYFUNCTION("""COMPUTED_VALUE"""),319)</f>
        <v>319</v>
      </c>
      <c r="R284" s="1">
        <f ca="1">IFERROR(__xludf.DUMMYFUNCTION("""COMPUTED_VALUE"""),107)</f>
        <v>107</v>
      </c>
      <c r="S284" s="1">
        <f ca="1">IFERROR(__xludf.DUMMYFUNCTION("""COMPUTED_VALUE"""),310)</f>
        <v>310</v>
      </c>
      <c r="T284" s="1">
        <f ca="1">IFERROR(__xludf.DUMMYFUNCTION("""COMPUTED_VALUE"""),-0.09)</f>
        <v>-0.09</v>
      </c>
      <c r="U284" s="1">
        <f ca="1">IFERROR(__xludf.DUMMYFUNCTION("""COMPUTED_VALUE"""),166)</f>
        <v>166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IFERROR(__xludf.DUMMYFUNCTION("""COMPUTED_VALUE"""),"New Mexico St.")</f>
        <v>New Mexico St.</v>
      </c>
      <c r="C285" s="1" t="str">
        <f ca="1">IFERROR(__xludf.DUMMYFUNCTION("""COMPUTED_VALUE"""),"SB")</f>
        <v>SB</v>
      </c>
      <c r="D285" s="2">
        <f ca="1">IFERROR(__xludf.DUMMYFUNCTION("""COMPUTED_VALUE"""),44736)</f>
        <v>44736</v>
      </c>
      <c r="E285" s="1">
        <f ca="1">IFERROR(__xludf.DUMMYFUNCTION("""COMPUTED_VALUE"""),-11.3)</f>
        <v>-11.3</v>
      </c>
      <c r="F285" s="1">
        <f ca="1">IFERROR(__xludf.DUMMYFUNCTION("""COMPUTED_VALUE"""),97.1)</f>
        <v>97.1</v>
      </c>
      <c r="G285" s="1">
        <f ca="1">IFERROR(__xludf.DUMMYFUNCTION("""COMPUTED_VALUE"""),254)</f>
        <v>254</v>
      </c>
      <c r="H285" s="1">
        <f ca="1">IFERROR(__xludf.DUMMYFUNCTION("""COMPUTED_VALUE"""),108.4)</f>
        <v>108.4</v>
      </c>
      <c r="I285" s="1">
        <f ca="1">IFERROR(__xludf.DUMMYFUNCTION("""COMPUTED_VALUE"""),270)</f>
        <v>270</v>
      </c>
      <c r="J285" s="1">
        <f ca="1">IFERROR(__xludf.DUMMYFUNCTION("""COMPUTED_VALUE"""),67.9)</f>
        <v>67.900000000000006</v>
      </c>
      <c r="K285" s="1">
        <f ca="1">IFERROR(__xludf.DUMMYFUNCTION("""COMPUTED_VALUE"""),93)</f>
        <v>93</v>
      </c>
      <c r="L285" s="1">
        <f ca="1">IFERROR(__xludf.DUMMYFUNCTION("""COMPUTED_VALUE"""),-0.041)</f>
        <v>-4.1000000000000002E-2</v>
      </c>
      <c r="M285" s="1">
        <f ca="1">IFERROR(__xludf.DUMMYFUNCTION("""COMPUTED_VALUE"""),264)</f>
        <v>264</v>
      </c>
      <c r="N285" s="1" t="str">
        <f ca="1">IFERROR(__xludf.DUMMYFUNCTION("""COMPUTED_VALUE"""),"+1.61")</f>
        <v>+1.61</v>
      </c>
      <c r="O285" s="1">
        <f ca="1">IFERROR(__xludf.DUMMYFUNCTION("""COMPUTED_VALUE"""),133)</f>
        <v>133</v>
      </c>
      <c r="P285" s="1">
        <f ca="1">IFERROR(__xludf.DUMMYFUNCTION("""COMPUTED_VALUE"""),104.3)</f>
        <v>104.3</v>
      </c>
      <c r="Q285" s="1">
        <f ca="1">IFERROR(__xludf.DUMMYFUNCTION("""COMPUTED_VALUE"""),129)</f>
        <v>129</v>
      </c>
      <c r="R285" s="1">
        <f ca="1">IFERROR(__xludf.DUMMYFUNCTION("""COMPUTED_VALUE"""),102.6)</f>
        <v>102.6</v>
      </c>
      <c r="S285" s="1">
        <f ca="1">IFERROR(__xludf.DUMMYFUNCTION("""COMPUTED_VALUE"""),145)</f>
        <v>145</v>
      </c>
      <c r="T285" s="1" t="str">
        <f ca="1">IFERROR(__xludf.DUMMYFUNCTION("""COMPUTED_VALUE"""),"+2.16")</f>
        <v>+2.16</v>
      </c>
      <c r="U285" s="1">
        <f ca="1">IFERROR(__xludf.DUMMYFUNCTION("""COMPUTED_VALUE"""),105)</f>
        <v>105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IFERROR(__xludf.DUMMYFUNCTION("""COMPUTED_VALUE"""),"Liberty")</f>
        <v>Liberty</v>
      </c>
      <c r="C286" s="1" t="str">
        <f ca="1">IFERROR(__xludf.DUMMYFUNCTION("""COMPUTED_VALUE"""),"BSth")</f>
        <v>BSth</v>
      </c>
      <c r="D286" s="1" t="str">
        <f ca="1">IFERROR(__xludf.DUMMYFUNCTION("""COMPUTED_VALUE"""),"13-15")</f>
        <v>13-15</v>
      </c>
      <c r="E286" s="1">
        <f ca="1">IFERROR(__xludf.DUMMYFUNCTION("""COMPUTED_VALUE"""),-11.42)</f>
        <v>-11.42</v>
      </c>
      <c r="F286" s="1">
        <f ca="1">IFERROR(__xludf.DUMMYFUNCTION("""COMPUTED_VALUE"""),97.3)</f>
        <v>97.3</v>
      </c>
      <c r="G286" s="1">
        <f ca="1">IFERROR(__xludf.DUMMYFUNCTION("""COMPUTED_VALUE"""),252)</f>
        <v>252</v>
      </c>
      <c r="H286" s="1">
        <f ca="1">IFERROR(__xludf.DUMMYFUNCTION("""COMPUTED_VALUE"""),108.7)</f>
        <v>108.7</v>
      </c>
      <c r="I286" s="1">
        <f ca="1">IFERROR(__xludf.DUMMYFUNCTION("""COMPUTED_VALUE"""),276)</f>
        <v>276</v>
      </c>
      <c r="J286" s="1">
        <f ca="1">IFERROR(__xludf.DUMMYFUNCTION("""COMPUTED_VALUE"""),68.6)</f>
        <v>68.599999999999994</v>
      </c>
      <c r="K286" s="1">
        <f ca="1">IFERROR(__xludf.DUMMYFUNCTION("""COMPUTED_VALUE"""),71)</f>
        <v>71</v>
      </c>
      <c r="L286" s="1" t="str">
        <f ca="1">IFERROR(__xludf.DUMMYFUNCTION("""COMPUTED_VALUE"""),"+.096")</f>
        <v>+.096</v>
      </c>
      <c r="M286" s="1">
        <f ca="1">IFERROR(__xludf.DUMMYFUNCTION("""COMPUTED_VALUE"""),12)</f>
        <v>12</v>
      </c>
      <c r="N286" s="1">
        <f ca="1">IFERROR(__xludf.DUMMYFUNCTION("""COMPUTED_VALUE"""),-6.1)</f>
        <v>-6.1</v>
      </c>
      <c r="O286" s="1">
        <f ca="1">IFERROR(__xludf.DUMMYFUNCTION("""COMPUTED_VALUE"""),268)</f>
        <v>268</v>
      </c>
      <c r="P286" s="1">
        <f ca="1">IFERROR(__xludf.DUMMYFUNCTION("""COMPUTED_VALUE"""),99.2)</f>
        <v>99.2</v>
      </c>
      <c r="Q286" s="1">
        <f ca="1">IFERROR(__xludf.DUMMYFUNCTION("""COMPUTED_VALUE"""),275)</f>
        <v>275</v>
      </c>
      <c r="R286" s="1">
        <f ca="1">IFERROR(__xludf.DUMMYFUNCTION("""COMPUTED_VALUE"""),105.3)</f>
        <v>105.3</v>
      </c>
      <c r="S286" s="1">
        <f ca="1">IFERROR(__xludf.DUMMYFUNCTION("""COMPUTED_VALUE"""),260)</f>
        <v>260</v>
      </c>
      <c r="T286" s="1" t="str">
        <f ca="1">IFERROR(__xludf.DUMMYFUNCTION("""COMPUTED_VALUE"""),"+3.65")</f>
        <v>+3.65</v>
      </c>
      <c r="U286" s="1">
        <f ca="1">IFERROR(__xludf.DUMMYFUNCTION("""COMPUTED_VALUE"""),75)</f>
        <v>75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IFERROR(__xludf.DUMMYFUNCTION("""COMPUTED_VALUE"""),"Coastal Carolina")</f>
        <v>Coastal Carolina</v>
      </c>
      <c r="C287" s="1" t="str">
        <f ca="1">IFERROR(__xludf.DUMMYFUNCTION("""COMPUTED_VALUE"""),"BSth")</f>
        <v>BSth</v>
      </c>
      <c r="D287" s="2">
        <f ca="1">IFERROR(__xludf.DUMMYFUNCTION("""COMPUTED_VALUE"""),44853)</f>
        <v>44853</v>
      </c>
      <c r="E287" s="1">
        <f ca="1">IFERROR(__xludf.DUMMYFUNCTION("""COMPUTED_VALUE"""),-11.97)</f>
        <v>-11.97</v>
      </c>
      <c r="F287" s="1">
        <f ca="1">IFERROR(__xludf.DUMMYFUNCTION("""COMPUTED_VALUE"""),99.4)</f>
        <v>99.4</v>
      </c>
      <c r="G287" s="1">
        <f ca="1">IFERROR(__xludf.DUMMYFUNCTION("""COMPUTED_VALUE"""),223)</f>
        <v>223</v>
      </c>
      <c r="H287" s="1">
        <f ca="1">IFERROR(__xludf.DUMMYFUNCTION("""COMPUTED_VALUE"""),111.4)</f>
        <v>111.4</v>
      </c>
      <c r="I287" s="1">
        <f ca="1">IFERROR(__xludf.DUMMYFUNCTION("""COMPUTED_VALUE"""),303)</f>
        <v>303</v>
      </c>
      <c r="J287" s="1">
        <f ca="1">IFERROR(__xludf.DUMMYFUNCTION("""COMPUTED_VALUE"""),67.7)</f>
        <v>67.7</v>
      </c>
      <c r="K287" s="1">
        <f ca="1">IFERROR(__xludf.DUMMYFUNCTION("""COMPUTED_VALUE"""),105)</f>
        <v>105</v>
      </c>
      <c r="L287" s="1">
        <f ca="1">IFERROR(__xludf.DUMMYFUNCTION("""COMPUTED_VALUE"""),-0.027)</f>
        <v>-2.7E-2</v>
      </c>
      <c r="M287" s="1">
        <f ca="1">IFERROR(__xludf.DUMMYFUNCTION("""COMPUTED_VALUE"""),236)</f>
        <v>236</v>
      </c>
      <c r="N287" s="1">
        <f ca="1">IFERROR(__xludf.DUMMYFUNCTION("""COMPUTED_VALUE"""),-5.65)</f>
        <v>-5.65</v>
      </c>
      <c r="O287" s="1">
        <f ca="1">IFERROR(__xludf.DUMMYFUNCTION("""COMPUTED_VALUE"""),264)</f>
        <v>264</v>
      </c>
      <c r="P287" s="1">
        <f ca="1">IFERROR(__xludf.DUMMYFUNCTION("""COMPUTED_VALUE"""),99.5)</f>
        <v>99.5</v>
      </c>
      <c r="Q287" s="1">
        <f ca="1">IFERROR(__xludf.DUMMYFUNCTION("""COMPUTED_VALUE"""),264)</f>
        <v>264</v>
      </c>
      <c r="R287" s="1">
        <f ca="1">IFERROR(__xludf.DUMMYFUNCTION("""COMPUTED_VALUE"""),105.2)</f>
        <v>105.2</v>
      </c>
      <c r="S287" s="1">
        <f ca="1">IFERROR(__xludf.DUMMYFUNCTION("""COMPUTED_VALUE"""),257)</f>
        <v>257</v>
      </c>
      <c r="T287" s="1" t="str">
        <f ca="1">IFERROR(__xludf.DUMMYFUNCTION("""COMPUTED_VALUE"""),"+1.17")</f>
        <v>+1.17</v>
      </c>
      <c r="U287" s="1">
        <f ca="1">IFERROR(__xludf.DUMMYFUNCTION("""COMPUTED_VALUE"""),127)</f>
        <v>127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IFERROR(__xludf.DUMMYFUNCTION("""COMPUTED_VALUE"""),"LIU Brooklyn")</f>
        <v>LIU Brooklyn</v>
      </c>
      <c r="C288" s="1" t="str">
        <f ca="1">IFERROR(__xludf.DUMMYFUNCTION("""COMPUTED_VALUE"""),"NEC")</f>
        <v>NEC</v>
      </c>
      <c r="D288" s="1" t="str">
        <f ca="1">IFERROR(__xludf.DUMMYFUNCTION("""COMPUTED_VALUE"""),"14-15")</f>
        <v>14-15</v>
      </c>
      <c r="E288" s="1">
        <f ca="1">IFERROR(__xludf.DUMMYFUNCTION("""COMPUTED_VALUE"""),-12.11)</f>
        <v>-12.11</v>
      </c>
      <c r="F288" s="1">
        <f ca="1">IFERROR(__xludf.DUMMYFUNCTION("""COMPUTED_VALUE"""),94.1)</f>
        <v>94.1</v>
      </c>
      <c r="G288" s="1">
        <f ca="1">IFERROR(__xludf.DUMMYFUNCTION("""COMPUTED_VALUE"""),292)</f>
        <v>292</v>
      </c>
      <c r="H288" s="1">
        <f ca="1">IFERROR(__xludf.DUMMYFUNCTION("""COMPUTED_VALUE"""),106.2)</f>
        <v>106.2</v>
      </c>
      <c r="I288" s="1">
        <f ca="1">IFERROR(__xludf.DUMMYFUNCTION("""COMPUTED_VALUE"""),232)</f>
        <v>232</v>
      </c>
      <c r="J288" s="1">
        <f ca="1">IFERROR(__xludf.DUMMYFUNCTION("""COMPUTED_VALUE"""),68.6)</f>
        <v>68.599999999999994</v>
      </c>
      <c r="K288" s="1">
        <f ca="1">IFERROR(__xludf.DUMMYFUNCTION("""COMPUTED_VALUE"""),70)</f>
        <v>70</v>
      </c>
      <c r="L288" s="1" t="str">
        <f ca="1">IFERROR(__xludf.DUMMYFUNCTION("""COMPUTED_VALUE"""),"+.080")</f>
        <v>+.080</v>
      </c>
      <c r="M288" s="1">
        <f ca="1">IFERROR(__xludf.DUMMYFUNCTION("""COMPUTED_VALUE"""),21)</f>
        <v>21</v>
      </c>
      <c r="N288" s="1">
        <f ca="1">IFERROR(__xludf.DUMMYFUNCTION("""COMPUTED_VALUE"""),-8.31)</f>
        <v>-8.31</v>
      </c>
      <c r="O288" s="1">
        <f ca="1">IFERROR(__xludf.DUMMYFUNCTION("""COMPUTED_VALUE"""),298)</f>
        <v>298</v>
      </c>
      <c r="P288" s="1">
        <f ca="1">IFERROR(__xludf.DUMMYFUNCTION("""COMPUTED_VALUE"""),99.2)</f>
        <v>99.2</v>
      </c>
      <c r="Q288" s="1">
        <f ca="1">IFERROR(__xludf.DUMMYFUNCTION("""COMPUTED_VALUE"""),271)</f>
        <v>271</v>
      </c>
      <c r="R288" s="1">
        <f ca="1">IFERROR(__xludf.DUMMYFUNCTION("""COMPUTED_VALUE"""),107.6)</f>
        <v>107.6</v>
      </c>
      <c r="S288" s="1">
        <f ca="1">IFERROR(__xludf.DUMMYFUNCTION("""COMPUTED_VALUE"""),324)</f>
        <v>324</v>
      </c>
      <c r="T288" s="1">
        <f ca="1">IFERROR(__xludf.DUMMYFUNCTION("""COMPUTED_VALUE"""),-1.26)</f>
        <v>-1.26</v>
      </c>
      <c r="U288" s="1">
        <f ca="1">IFERROR(__xludf.DUMMYFUNCTION("""COMPUTED_VALUE"""),197)</f>
        <v>197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IFERROR(__xludf.DUMMYFUNCTION("""COMPUTED_VALUE"""),"Lafayette")</f>
        <v>Lafayette</v>
      </c>
      <c r="C289" s="1" t="str">
        <f ca="1">IFERROR(__xludf.DUMMYFUNCTION("""COMPUTED_VALUE"""),"Pat")</f>
        <v>Pat</v>
      </c>
      <c r="D289" s="2">
        <f ca="1">IFERROR(__xludf.DUMMYFUNCTION("""COMPUTED_VALUE"""),44823)</f>
        <v>44823</v>
      </c>
      <c r="E289" s="1">
        <f ca="1">IFERROR(__xludf.DUMMYFUNCTION("""COMPUTED_VALUE"""),-12.19)</f>
        <v>-12.19</v>
      </c>
      <c r="F289" s="1">
        <f ca="1">IFERROR(__xludf.DUMMYFUNCTION("""COMPUTED_VALUE"""),95.2)</f>
        <v>95.2</v>
      </c>
      <c r="G289" s="1">
        <f ca="1">IFERROR(__xludf.DUMMYFUNCTION("""COMPUTED_VALUE"""),277)</f>
        <v>277</v>
      </c>
      <c r="H289" s="1">
        <f ca="1">IFERROR(__xludf.DUMMYFUNCTION("""COMPUTED_VALUE"""),107.4)</f>
        <v>107.4</v>
      </c>
      <c r="I289" s="1">
        <f ca="1">IFERROR(__xludf.DUMMYFUNCTION("""COMPUTED_VALUE"""),249)</f>
        <v>249</v>
      </c>
      <c r="J289" s="1">
        <f ca="1">IFERROR(__xludf.DUMMYFUNCTION("""COMPUTED_VALUE"""),71.2)</f>
        <v>71.2</v>
      </c>
      <c r="K289" s="1">
        <f ca="1">IFERROR(__xludf.DUMMYFUNCTION("""COMPUTED_VALUE"""),20)</f>
        <v>20</v>
      </c>
      <c r="L289" s="1" t="str">
        <f ca="1">IFERROR(__xludf.DUMMYFUNCTION("""COMPUTED_VALUE"""),"+.019")</f>
        <v>+.019</v>
      </c>
      <c r="M289" s="1">
        <f ca="1">IFERROR(__xludf.DUMMYFUNCTION("""COMPUTED_VALUE"""),116)</f>
        <v>116</v>
      </c>
      <c r="N289" s="1">
        <f ca="1">IFERROR(__xludf.DUMMYFUNCTION("""COMPUTED_VALUE"""),-1.92)</f>
        <v>-1.92</v>
      </c>
      <c r="O289" s="1">
        <f ca="1">IFERROR(__xludf.DUMMYFUNCTION("""COMPUTED_VALUE"""),190)</f>
        <v>190</v>
      </c>
      <c r="P289" s="1">
        <f ca="1">IFERROR(__xludf.DUMMYFUNCTION("""COMPUTED_VALUE"""),100.8)</f>
        <v>100.8</v>
      </c>
      <c r="Q289" s="1">
        <f ca="1">IFERROR(__xludf.DUMMYFUNCTION("""COMPUTED_VALUE"""),229)</f>
        <v>229</v>
      </c>
      <c r="R289" s="1">
        <f ca="1">IFERROR(__xludf.DUMMYFUNCTION("""COMPUTED_VALUE"""),102.7)</f>
        <v>102.7</v>
      </c>
      <c r="S289" s="1">
        <f ca="1">IFERROR(__xludf.DUMMYFUNCTION("""COMPUTED_VALUE"""),146)</f>
        <v>146</v>
      </c>
      <c r="T289" s="1" t="str">
        <f ca="1">IFERROR(__xludf.DUMMYFUNCTION("""COMPUTED_VALUE"""),"+1.26")</f>
        <v>+1.26</v>
      </c>
      <c r="U289" s="1">
        <f ca="1">IFERROR(__xludf.DUMMYFUNCTION("""COMPUTED_VALUE"""),123)</f>
        <v>123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IFERROR(__xludf.DUMMYFUNCTION("""COMPUTED_VALUE"""),"Lipscomb")</f>
        <v>Lipscomb</v>
      </c>
      <c r="C290" s="1" t="str">
        <f ca="1">IFERROR(__xludf.DUMMYFUNCTION("""COMPUTED_VALUE"""),"ASun")</f>
        <v>ASun</v>
      </c>
      <c r="D290" s="1" t="str">
        <f ca="1">IFERROR(__xludf.DUMMYFUNCTION("""COMPUTED_VALUE"""),"16-12")</f>
        <v>16-12</v>
      </c>
      <c r="E290" s="1">
        <f ca="1">IFERROR(__xludf.DUMMYFUNCTION("""COMPUTED_VALUE"""),-12.3)</f>
        <v>-12.3</v>
      </c>
      <c r="F290" s="1">
        <f ca="1">IFERROR(__xludf.DUMMYFUNCTION("""COMPUTED_VALUE"""),95.5)</f>
        <v>95.5</v>
      </c>
      <c r="G290" s="1">
        <f ca="1">IFERROR(__xludf.DUMMYFUNCTION("""COMPUTED_VALUE"""),274)</f>
        <v>274</v>
      </c>
      <c r="H290" s="1">
        <f ca="1">IFERROR(__xludf.DUMMYFUNCTION("""COMPUTED_VALUE"""),107.8)</f>
        <v>107.8</v>
      </c>
      <c r="I290" s="1">
        <f ca="1">IFERROR(__xludf.DUMMYFUNCTION("""COMPUTED_VALUE"""),262)</f>
        <v>262</v>
      </c>
      <c r="J290" s="1">
        <f ca="1">IFERROR(__xludf.DUMMYFUNCTION("""COMPUTED_VALUE"""),64.1)</f>
        <v>64.099999999999994</v>
      </c>
      <c r="K290" s="1">
        <f ca="1">IFERROR(__xludf.DUMMYFUNCTION("""COMPUTED_VALUE"""),253)</f>
        <v>253</v>
      </c>
      <c r="L290" s="1" t="str">
        <f ca="1">IFERROR(__xludf.DUMMYFUNCTION("""COMPUTED_VALUE"""),"+.090")</f>
        <v>+.090</v>
      </c>
      <c r="M290" s="1">
        <f ca="1">IFERROR(__xludf.DUMMYFUNCTION("""COMPUTED_VALUE"""),14)</f>
        <v>14</v>
      </c>
      <c r="N290" s="1">
        <f ca="1">IFERROR(__xludf.DUMMYFUNCTION("""COMPUTED_VALUE"""),-11.28)</f>
        <v>-11.28</v>
      </c>
      <c r="O290" s="1">
        <f ca="1">IFERROR(__xludf.DUMMYFUNCTION("""COMPUTED_VALUE"""),315)</f>
        <v>315</v>
      </c>
      <c r="P290" s="1">
        <f ca="1">IFERROR(__xludf.DUMMYFUNCTION("""COMPUTED_VALUE"""),97.1)</f>
        <v>97.1</v>
      </c>
      <c r="Q290" s="1">
        <f ca="1">IFERROR(__xludf.DUMMYFUNCTION("""COMPUTED_VALUE"""),310)</f>
        <v>310</v>
      </c>
      <c r="R290" s="1">
        <f ca="1">IFERROR(__xludf.DUMMYFUNCTION("""COMPUTED_VALUE"""),108.4)</f>
        <v>108.4</v>
      </c>
      <c r="S290" s="1">
        <f ca="1">IFERROR(__xludf.DUMMYFUNCTION("""COMPUTED_VALUE"""),330)</f>
        <v>330</v>
      </c>
      <c r="T290" s="1">
        <f ca="1">IFERROR(__xludf.DUMMYFUNCTION("""COMPUTED_VALUE"""),-17.19)</f>
        <v>-17.190000000000001</v>
      </c>
      <c r="U290" s="1">
        <f ca="1">IFERROR(__xludf.DUMMYFUNCTION("""COMPUTED_VALUE"""),329)</f>
        <v>329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IFERROR(__xludf.DUMMYFUNCTION("""COMPUTED_VALUE"""),"Texas Pan American")</f>
        <v>Texas Pan American</v>
      </c>
      <c r="C291" s="1" t="str">
        <f ca="1">IFERROR(__xludf.DUMMYFUNCTION("""COMPUTED_VALUE"""),"ind")</f>
        <v>ind</v>
      </c>
      <c r="D291" s="2">
        <f ca="1">IFERROR(__xludf.DUMMYFUNCTION("""COMPUTED_VALUE"""),44911)</f>
        <v>44911</v>
      </c>
      <c r="E291" s="1">
        <f ca="1">IFERROR(__xludf.DUMMYFUNCTION("""COMPUTED_VALUE"""),-12.47)</f>
        <v>-12.47</v>
      </c>
      <c r="F291" s="1">
        <f ca="1">IFERROR(__xludf.DUMMYFUNCTION("""COMPUTED_VALUE"""),98.1)</f>
        <v>98.1</v>
      </c>
      <c r="G291" s="1">
        <f ca="1">IFERROR(__xludf.DUMMYFUNCTION("""COMPUTED_VALUE"""),239)</f>
        <v>239</v>
      </c>
      <c r="H291" s="1">
        <f ca="1">IFERROR(__xludf.DUMMYFUNCTION("""COMPUTED_VALUE"""),110.6)</f>
        <v>110.6</v>
      </c>
      <c r="I291" s="1">
        <f ca="1">IFERROR(__xludf.DUMMYFUNCTION("""COMPUTED_VALUE"""),297)</f>
        <v>297</v>
      </c>
      <c r="J291" s="1">
        <f ca="1">IFERROR(__xludf.DUMMYFUNCTION("""COMPUTED_VALUE"""),67.4)</f>
        <v>67.400000000000006</v>
      </c>
      <c r="K291" s="1">
        <f ca="1">IFERROR(__xludf.DUMMYFUNCTION("""COMPUTED_VALUE"""),112)</f>
        <v>112</v>
      </c>
      <c r="L291" s="1" t="str">
        <f ca="1">IFERROR(__xludf.DUMMYFUNCTION("""COMPUTED_VALUE"""),"+.018")</f>
        <v>+.018</v>
      </c>
      <c r="M291" s="1">
        <f ca="1">IFERROR(__xludf.DUMMYFUNCTION("""COMPUTED_VALUE"""),117)</f>
        <v>117</v>
      </c>
      <c r="N291" s="1">
        <f ca="1">IFERROR(__xludf.DUMMYFUNCTION("""COMPUTED_VALUE"""),-3.56)</f>
        <v>-3.56</v>
      </c>
      <c r="O291" s="1">
        <f ca="1">IFERROR(__xludf.DUMMYFUNCTION("""COMPUTED_VALUE"""),231)</f>
        <v>231</v>
      </c>
      <c r="P291" s="1">
        <f ca="1">IFERROR(__xludf.DUMMYFUNCTION("""COMPUTED_VALUE"""),101.2)</f>
        <v>101.2</v>
      </c>
      <c r="Q291" s="1">
        <f ca="1">IFERROR(__xludf.DUMMYFUNCTION("""COMPUTED_VALUE"""),218)</f>
        <v>218</v>
      </c>
      <c r="R291" s="1">
        <f ca="1">IFERROR(__xludf.DUMMYFUNCTION("""COMPUTED_VALUE"""),104.8)</f>
        <v>104.8</v>
      </c>
      <c r="S291" s="1">
        <f ca="1">IFERROR(__xludf.DUMMYFUNCTION("""COMPUTED_VALUE"""),238)</f>
        <v>238</v>
      </c>
      <c r="T291" s="1" t="str">
        <f ca="1">IFERROR(__xludf.DUMMYFUNCTION("""COMPUTED_VALUE"""),"+0.34")</f>
        <v>+0.34</v>
      </c>
      <c r="U291" s="1">
        <f ca="1">IFERROR(__xludf.DUMMYFUNCTION("""COMPUTED_VALUE"""),156)</f>
        <v>156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IFERROR(__xludf.DUMMYFUNCTION("""COMPUTED_VALUE"""),"Alabama A&amp;M16")</f>
        <v>Alabama A&amp;M16</v>
      </c>
      <c r="C292" s="1" t="str">
        <f ca="1">IFERROR(__xludf.DUMMYFUNCTION("""COMPUTED_VALUE"""),"SWAC")</f>
        <v>SWAC</v>
      </c>
      <c r="D292" s="1" t="str">
        <f ca="1">IFERROR(__xludf.DUMMYFUNCTION("""COMPUTED_VALUE"""),"15-14")</f>
        <v>15-14</v>
      </c>
      <c r="E292" s="1">
        <f ca="1">IFERROR(__xludf.DUMMYFUNCTION("""COMPUTED_VALUE"""),-12.49)</f>
        <v>-12.49</v>
      </c>
      <c r="F292" s="1">
        <f ca="1">IFERROR(__xludf.DUMMYFUNCTION("""COMPUTED_VALUE"""),90.5)</f>
        <v>90.5</v>
      </c>
      <c r="G292" s="1">
        <f ca="1">IFERROR(__xludf.DUMMYFUNCTION("""COMPUTED_VALUE"""),316)</f>
        <v>316</v>
      </c>
      <c r="H292" s="1">
        <f ca="1">IFERROR(__xludf.DUMMYFUNCTION("""COMPUTED_VALUE"""),102.9)</f>
        <v>102.9</v>
      </c>
      <c r="I292" s="1">
        <f ca="1">IFERROR(__xludf.DUMMYFUNCTION("""COMPUTED_VALUE"""),169)</f>
        <v>169</v>
      </c>
      <c r="J292" s="1">
        <f ca="1">IFERROR(__xludf.DUMMYFUNCTION("""COMPUTED_VALUE"""),72.8)</f>
        <v>72.8</v>
      </c>
      <c r="K292" s="1">
        <f ca="1">IFERROR(__xludf.DUMMYFUNCTION("""COMPUTED_VALUE"""),10)</f>
        <v>10</v>
      </c>
      <c r="L292" s="1">
        <f ca="1">IFERROR(__xludf.DUMMYFUNCTION("""COMPUTED_VALUE"""),-0.023)</f>
        <v>-2.3E-2</v>
      </c>
      <c r="M292" s="1">
        <f ca="1">IFERROR(__xludf.DUMMYFUNCTION("""COMPUTED_VALUE"""),224)</f>
        <v>224</v>
      </c>
      <c r="N292" s="1">
        <f ca="1">IFERROR(__xludf.DUMMYFUNCTION("""COMPUTED_VALUE"""),-14.52)</f>
        <v>-14.52</v>
      </c>
      <c r="O292" s="1">
        <f ca="1">IFERROR(__xludf.DUMMYFUNCTION("""COMPUTED_VALUE"""),328)</f>
        <v>328</v>
      </c>
      <c r="P292" s="1">
        <f ca="1">IFERROR(__xludf.DUMMYFUNCTION("""COMPUTED_VALUE"""),92.4)</f>
        <v>92.4</v>
      </c>
      <c r="Q292" s="1">
        <f ca="1">IFERROR(__xludf.DUMMYFUNCTION("""COMPUTED_VALUE"""),327)</f>
        <v>327</v>
      </c>
      <c r="R292" s="1">
        <f ca="1">IFERROR(__xludf.DUMMYFUNCTION("""COMPUTED_VALUE"""),106.9)</f>
        <v>106.9</v>
      </c>
      <c r="S292" s="1">
        <f ca="1">IFERROR(__xludf.DUMMYFUNCTION("""COMPUTED_VALUE"""),308)</f>
        <v>308</v>
      </c>
      <c r="T292" s="1" t="str">
        <f ca="1">IFERROR(__xludf.DUMMYFUNCTION("""COMPUTED_VALUE"""),"+1.14")</f>
        <v>+1.14</v>
      </c>
      <c r="U292" s="1">
        <f ca="1">IFERROR(__xludf.DUMMYFUNCTION("""COMPUTED_VALUE"""),128)</f>
        <v>128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IFERROR(__xludf.DUMMYFUNCTION("""COMPUTED_VALUE"""),"Sacramento St.")</f>
        <v>Sacramento St.</v>
      </c>
      <c r="C293" s="1" t="str">
        <f ca="1">IFERROR(__xludf.DUMMYFUNCTION("""COMPUTED_VALUE"""),"BSky")</f>
        <v>BSky</v>
      </c>
      <c r="D293" s="2">
        <f ca="1">IFERROR(__xludf.DUMMYFUNCTION("""COMPUTED_VALUE"""),44911)</f>
        <v>44911</v>
      </c>
      <c r="E293" s="1">
        <f ca="1">IFERROR(__xludf.DUMMYFUNCTION("""COMPUTED_VALUE"""),-12.53)</f>
        <v>-12.53</v>
      </c>
      <c r="F293" s="1">
        <f ca="1">IFERROR(__xludf.DUMMYFUNCTION("""COMPUTED_VALUE"""),95.4)</f>
        <v>95.4</v>
      </c>
      <c r="G293" s="1">
        <f ca="1">IFERROR(__xludf.DUMMYFUNCTION("""COMPUTED_VALUE"""),275)</f>
        <v>275</v>
      </c>
      <c r="H293" s="1">
        <f ca="1">IFERROR(__xludf.DUMMYFUNCTION("""COMPUTED_VALUE"""),108)</f>
        <v>108</v>
      </c>
      <c r="I293" s="1">
        <f ca="1">IFERROR(__xludf.DUMMYFUNCTION("""COMPUTED_VALUE"""),264)</f>
        <v>264</v>
      </c>
      <c r="J293" s="1">
        <f ca="1">IFERROR(__xludf.DUMMYFUNCTION("""COMPUTED_VALUE"""),70.3)</f>
        <v>70.3</v>
      </c>
      <c r="K293" s="1">
        <f ca="1">IFERROR(__xludf.DUMMYFUNCTION("""COMPUTED_VALUE"""),34)</f>
        <v>34</v>
      </c>
      <c r="L293" s="1" t="str">
        <f ca="1">IFERROR(__xludf.DUMMYFUNCTION("""COMPUTED_VALUE"""),"+.087")</f>
        <v>+.087</v>
      </c>
      <c r="M293" s="1">
        <f ca="1">IFERROR(__xludf.DUMMYFUNCTION("""COMPUTED_VALUE"""),15)</f>
        <v>15</v>
      </c>
      <c r="N293" s="1">
        <f ca="1">IFERROR(__xludf.DUMMYFUNCTION("""COMPUTED_VALUE"""),-6.24)</f>
        <v>-6.24</v>
      </c>
      <c r="O293" s="1">
        <f ca="1">IFERROR(__xludf.DUMMYFUNCTION("""COMPUTED_VALUE"""),270)</f>
        <v>270</v>
      </c>
      <c r="P293" s="1">
        <f ca="1">IFERROR(__xludf.DUMMYFUNCTION("""COMPUTED_VALUE"""),99)</f>
        <v>99</v>
      </c>
      <c r="Q293" s="1">
        <f ca="1">IFERROR(__xludf.DUMMYFUNCTION("""COMPUTED_VALUE"""),279)</f>
        <v>279</v>
      </c>
      <c r="R293" s="1">
        <f ca="1">IFERROR(__xludf.DUMMYFUNCTION("""COMPUTED_VALUE"""),105.3)</f>
        <v>105.3</v>
      </c>
      <c r="S293" s="1">
        <f ca="1">IFERROR(__xludf.DUMMYFUNCTION("""COMPUTED_VALUE"""),262)</f>
        <v>262</v>
      </c>
      <c r="T293" s="1">
        <f ca="1">IFERROR(__xludf.DUMMYFUNCTION("""COMPUTED_VALUE"""),-1.5)</f>
        <v>-1.5</v>
      </c>
      <c r="U293" s="1">
        <f ca="1">IFERROR(__xludf.DUMMYFUNCTION("""COMPUTED_VALUE"""),207)</f>
        <v>207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IFERROR(__xludf.DUMMYFUNCTION("""COMPUTED_VALUE"""),"San Jose St.")</f>
        <v>San Jose St.</v>
      </c>
      <c r="C294" s="1" t="str">
        <f ca="1">IFERROR(__xludf.DUMMYFUNCTION("""COMPUTED_VALUE"""),"WAC")</f>
        <v>WAC</v>
      </c>
      <c r="D294" s="2">
        <f ca="1">IFERROR(__xludf.DUMMYFUNCTION("""COMPUTED_VALUE"""),44735)</f>
        <v>44735</v>
      </c>
      <c r="E294" s="1">
        <f ca="1">IFERROR(__xludf.DUMMYFUNCTION("""COMPUTED_VALUE"""),-12.57)</f>
        <v>-12.57</v>
      </c>
      <c r="F294" s="1">
        <f ca="1">IFERROR(__xludf.DUMMYFUNCTION("""COMPUTED_VALUE"""),94.9)</f>
        <v>94.9</v>
      </c>
      <c r="G294" s="1">
        <f ca="1">IFERROR(__xludf.DUMMYFUNCTION("""COMPUTED_VALUE"""),280)</f>
        <v>280</v>
      </c>
      <c r="H294" s="1">
        <f ca="1">IFERROR(__xludf.DUMMYFUNCTION("""COMPUTED_VALUE"""),107.4)</f>
        <v>107.4</v>
      </c>
      <c r="I294" s="1">
        <f ca="1">IFERROR(__xludf.DUMMYFUNCTION("""COMPUTED_VALUE"""),250)</f>
        <v>250</v>
      </c>
      <c r="J294" s="1">
        <f ca="1">IFERROR(__xludf.DUMMYFUNCTION("""COMPUTED_VALUE"""),64.4)</f>
        <v>64.400000000000006</v>
      </c>
      <c r="K294" s="1">
        <f ca="1">IFERROR(__xludf.DUMMYFUNCTION("""COMPUTED_VALUE"""),236)</f>
        <v>236</v>
      </c>
      <c r="L294" s="1" t="str">
        <f ca="1">IFERROR(__xludf.DUMMYFUNCTION("""COMPUTED_VALUE"""),"+.031")</f>
        <v>+.031</v>
      </c>
      <c r="M294" s="1">
        <f ca="1">IFERROR(__xludf.DUMMYFUNCTION("""COMPUTED_VALUE"""),97)</f>
        <v>97</v>
      </c>
      <c r="N294" s="1" t="str">
        <f ca="1">IFERROR(__xludf.DUMMYFUNCTION("""COMPUTED_VALUE"""),"+1.93")</f>
        <v>+1.93</v>
      </c>
      <c r="O294" s="1">
        <f ca="1">IFERROR(__xludf.DUMMYFUNCTION("""COMPUTED_VALUE"""),125)</f>
        <v>125</v>
      </c>
      <c r="P294" s="1">
        <f ca="1">IFERROR(__xludf.DUMMYFUNCTION("""COMPUTED_VALUE"""),104.4)</f>
        <v>104.4</v>
      </c>
      <c r="Q294" s="1">
        <f ca="1">IFERROR(__xludf.DUMMYFUNCTION("""COMPUTED_VALUE"""),126)</f>
        <v>126</v>
      </c>
      <c r="R294" s="1">
        <f ca="1">IFERROR(__xludf.DUMMYFUNCTION("""COMPUTED_VALUE"""),102.4)</f>
        <v>102.4</v>
      </c>
      <c r="S294" s="1">
        <f ca="1">IFERROR(__xludf.DUMMYFUNCTION("""COMPUTED_VALUE"""),139)</f>
        <v>139</v>
      </c>
      <c r="T294" s="1" t="str">
        <f ca="1">IFERROR(__xludf.DUMMYFUNCTION("""COMPUTED_VALUE"""),"+0.14")</f>
        <v>+0.14</v>
      </c>
      <c r="U294" s="1">
        <f ca="1">IFERROR(__xludf.DUMMYFUNCTION("""COMPUTED_VALUE"""),160)</f>
        <v>160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IFERROR(__xludf.DUMMYFUNCTION("""COMPUTED_VALUE"""),"Elon")</f>
        <v>Elon</v>
      </c>
      <c r="C297" s="1" t="str">
        <f ca="1">IFERROR(__xludf.DUMMYFUNCTION("""COMPUTED_VALUE"""),"SC")</f>
        <v>SC</v>
      </c>
      <c r="D297" s="2">
        <f ca="1">IFERROR(__xludf.DUMMYFUNCTION("""COMPUTED_VALUE"""),44796)</f>
        <v>44796</v>
      </c>
      <c r="E297" s="1">
        <f ca="1">IFERROR(__xludf.DUMMYFUNCTION("""COMPUTED_VALUE"""),-12.67)</f>
        <v>-12.67</v>
      </c>
      <c r="F297" s="1">
        <f ca="1">IFERROR(__xludf.DUMMYFUNCTION("""COMPUTED_VALUE"""),92)</f>
        <v>92</v>
      </c>
      <c r="G297" s="1">
        <f ca="1">IFERROR(__xludf.DUMMYFUNCTION("""COMPUTED_VALUE"""),307)</f>
        <v>307</v>
      </c>
      <c r="H297" s="1">
        <f ca="1">IFERROR(__xludf.DUMMYFUNCTION("""COMPUTED_VALUE"""),104.7)</f>
        <v>104.7</v>
      </c>
      <c r="I297" s="1">
        <f ca="1">IFERROR(__xludf.DUMMYFUNCTION("""COMPUTED_VALUE"""),205)</f>
        <v>205</v>
      </c>
      <c r="J297" s="1">
        <f ca="1">IFERROR(__xludf.DUMMYFUNCTION("""COMPUTED_VALUE"""),62.7)</f>
        <v>62.7</v>
      </c>
      <c r="K297" s="1">
        <f ca="1">IFERROR(__xludf.DUMMYFUNCTION("""COMPUTED_VALUE"""),294)</f>
        <v>294</v>
      </c>
      <c r="L297" s="1" t="str">
        <f ca="1">IFERROR(__xludf.DUMMYFUNCTION("""COMPUTED_VALUE"""),"+.021")</f>
        <v>+.021</v>
      </c>
      <c r="M297" s="1">
        <f ca="1">IFERROR(__xludf.DUMMYFUNCTION("""COMPUTED_VALUE"""),113)</f>
        <v>113</v>
      </c>
      <c r="N297" s="1">
        <f ca="1">IFERROR(__xludf.DUMMYFUNCTION("""COMPUTED_VALUE"""),-1.95)</f>
        <v>-1.95</v>
      </c>
      <c r="O297" s="1">
        <f ca="1">IFERROR(__xludf.DUMMYFUNCTION("""COMPUTED_VALUE"""),191)</f>
        <v>191</v>
      </c>
      <c r="P297" s="1">
        <f ca="1">IFERROR(__xludf.DUMMYFUNCTION("""COMPUTED_VALUE"""),102.4)</f>
        <v>102.4</v>
      </c>
      <c r="Q297" s="1">
        <f ca="1">IFERROR(__xludf.DUMMYFUNCTION("""COMPUTED_VALUE"""),184)</f>
        <v>184</v>
      </c>
      <c r="R297" s="1">
        <f ca="1">IFERROR(__xludf.DUMMYFUNCTION("""COMPUTED_VALUE"""),104.4)</f>
        <v>104.4</v>
      </c>
      <c r="S297" s="1">
        <f ca="1">IFERROR(__xludf.DUMMYFUNCTION("""COMPUTED_VALUE"""),222)</f>
        <v>222</v>
      </c>
      <c r="T297" s="1" t="str">
        <f ca="1">IFERROR(__xludf.DUMMYFUNCTION("""COMPUTED_VALUE"""),"+4.52")</f>
        <v>+4.52</v>
      </c>
      <c r="U297" s="1">
        <f ca="1">IFERROR(__xludf.DUMMYFUNCTION("""COMPUTED_VALUE"""),58)</f>
        <v>58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IFERROR(__xludf.DUMMYFUNCTION("""COMPUTED_VALUE"""),"Dartmouth")</f>
        <v>Dartmouth</v>
      </c>
      <c r="C298" s="1" t="str">
        <f ca="1">IFERROR(__xludf.DUMMYFUNCTION("""COMPUTED_VALUE"""),"Ivy")</f>
        <v>Ivy</v>
      </c>
      <c r="D298" s="2">
        <f ca="1">IFERROR(__xludf.DUMMYFUNCTION("""COMPUTED_VALUE"""),44851)</f>
        <v>44851</v>
      </c>
      <c r="E298" s="1">
        <f ca="1">IFERROR(__xludf.DUMMYFUNCTION("""COMPUTED_VALUE"""),-12.71)</f>
        <v>-12.71</v>
      </c>
      <c r="F298" s="1">
        <f ca="1">IFERROR(__xludf.DUMMYFUNCTION("""COMPUTED_VALUE"""),94.5)</f>
        <v>94.5</v>
      </c>
      <c r="G298" s="1">
        <f ca="1">IFERROR(__xludf.DUMMYFUNCTION("""COMPUTED_VALUE"""),286)</f>
        <v>286</v>
      </c>
      <c r="H298" s="1">
        <f ca="1">IFERROR(__xludf.DUMMYFUNCTION("""COMPUTED_VALUE"""),107.2)</f>
        <v>107.2</v>
      </c>
      <c r="I298" s="1">
        <f ca="1">IFERROR(__xludf.DUMMYFUNCTION("""COMPUTED_VALUE"""),244)</f>
        <v>244</v>
      </c>
      <c r="J298" s="1">
        <f ca="1">IFERROR(__xludf.DUMMYFUNCTION("""COMPUTED_VALUE"""),61)</f>
        <v>61</v>
      </c>
      <c r="K298" s="1">
        <f ca="1">IFERROR(__xludf.DUMMYFUNCTION("""COMPUTED_VALUE"""),312)</f>
        <v>312</v>
      </c>
      <c r="L298" s="1" t="str">
        <f ca="1">IFERROR(__xludf.DUMMYFUNCTION("""COMPUTED_VALUE"""),"+.083")</f>
        <v>+.083</v>
      </c>
      <c r="M298" s="1">
        <f ca="1">IFERROR(__xludf.DUMMYFUNCTION("""COMPUTED_VALUE"""),18)</f>
        <v>18</v>
      </c>
      <c r="N298" s="1">
        <f ca="1">IFERROR(__xludf.DUMMYFUNCTION("""COMPUTED_VALUE"""),-3.43)</f>
        <v>-3.43</v>
      </c>
      <c r="O298" s="1">
        <f ca="1">IFERROR(__xludf.DUMMYFUNCTION("""COMPUTED_VALUE"""),226)</f>
        <v>226</v>
      </c>
      <c r="P298" s="1">
        <f ca="1">IFERROR(__xludf.DUMMYFUNCTION("""COMPUTED_VALUE"""),100.3)</f>
        <v>100.3</v>
      </c>
      <c r="Q298" s="1">
        <f ca="1">IFERROR(__xludf.DUMMYFUNCTION("""COMPUTED_VALUE"""),240)</f>
        <v>240</v>
      </c>
      <c r="R298" s="1">
        <f ca="1">IFERROR(__xludf.DUMMYFUNCTION("""COMPUTED_VALUE"""),103.7)</f>
        <v>103.7</v>
      </c>
      <c r="S298" s="1">
        <f ca="1">IFERROR(__xludf.DUMMYFUNCTION("""COMPUTED_VALUE"""),199)</f>
        <v>199</v>
      </c>
      <c r="T298" s="1">
        <f ca="1">IFERROR(__xludf.DUMMYFUNCTION("""COMPUTED_VALUE"""),-2.6)</f>
        <v>-2.6</v>
      </c>
      <c r="U298" s="1">
        <f ca="1">IFERROR(__xludf.DUMMYFUNCTION("""COMPUTED_VALUE"""),230)</f>
        <v>230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IFERROR(__xludf.DUMMYFUNCTION("""COMPUTED_VALUE"""),"Stetson")</f>
        <v>Stetson</v>
      </c>
      <c r="C299" s="1" t="str">
        <f ca="1">IFERROR(__xludf.DUMMYFUNCTION("""COMPUTED_VALUE"""),"ASun")</f>
        <v>ASun</v>
      </c>
      <c r="D299" s="2">
        <f ca="1">IFERROR(__xludf.DUMMYFUNCTION("""COMPUTED_VALUE"""),44851)</f>
        <v>44851</v>
      </c>
      <c r="E299" s="1">
        <f ca="1">IFERROR(__xludf.DUMMYFUNCTION("""COMPUTED_VALUE"""),-12.82)</f>
        <v>-12.82</v>
      </c>
      <c r="F299" s="1">
        <f ca="1">IFERROR(__xludf.DUMMYFUNCTION("""COMPUTED_VALUE"""),96.4)</f>
        <v>96.4</v>
      </c>
      <c r="G299" s="1">
        <f ca="1">IFERROR(__xludf.DUMMYFUNCTION("""COMPUTED_VALUE"""),261)</f>
        <v>261</v>
      </c>
      <c r="H299" s="1">
        <f ca="1">IFERROR(__xludf.DUMMYFUNCTION("""COMPUTED_VALUE"""),109.2)</f>
        <v>109.2</v>
      </c>
      <c r="I299" s="1">
        <f ca="1">IFERROR(__xludf.DUMMYFUNCTION("""COMPUTED_VALUE"""),281)</f>
        <v>281</v>
      </c>
      <c r="J299" s="1">
        <f ca="1">IFERROR(__xludf.DUMMYFUNCTION("""COMPUTED_VALUE"""),66)</f>
        <v>66</v>
      </c>
      <c r="K299" s="1">
        <f ca="1">IFERROR(__xludf.DUMMYFUNCTION("""COMPUTED_VALUE"""),170)</f>
        <v>170</v>
      </c>
      <c r="L299" s="1" t="str">
        <f ca="1">IFERROR(__xludf.DUMMYFUNCTION("""COMPUTED_VALUE"""),"+.015")</f>
        <v>+.015</v>
      </c>
      <c r="M299" s="1">
        <f ca="1">IFERROR(__xludf.DUMMYFUNCTION("""COMPUTED_VALUE"""),124)</f>
        <v>124</v>
      </c>
      <c r="N299" s="1">
        <f ca="1">IFERROR(__xludf.DUMMYFUNCTION("""COMPUTED_VALUE"""),-5.93)</f>
        <v>-5.93</v>
      </c>
      <c r="O299" s="1">
        <f ca="1">IFERROR(__xludf.DUMMYFUNCTION("""COMPUTED_VALUE"""),266)</f>
        <v>266</v>
      </c>
      <c r="P299" s="1">
        <f ca="1">IFERROR(__xludf.DUMMYFUNCTION("""COMPUTED_VALUE"""),100.4)</f>
        <v>100.4</v>
      </c>
      <c r="Q299" s="1">
        <f ca="1">IFERROR(__xludf.DUMMYFUNCTION("""COMPUTED_VALUE"""),239)</f>
        <v>239</v>
      </c>
      <c r="R299" s="1">
        <f ca="1">IFERROR(__xludf.DUMMYFUNCTION("""COMPUTED_VALUE"""),106.3)</f>
        <v>106.3</v>
      </c>
      <c r="S299" s="1">
        <f ca="1">IFERROR(__xludf.DUMMYFUNCTION("""COMPUTED_VALUE"""),290)</f>
        <v>290</v>
      </c>
      <c r="T299" s="1" t="str">
        <f ca="1">IFERROR(__xludf.DUMMYFUNCTION("""COMPUTED_VALUE"""),"+11.58")</f>
        <v>+11.58</v>
      </c>
      <c r="U299" s="1">
        <f ca="1">IFERROR(__xludf.DUMMYFUNCTION("""COMPUTED_VALUE"""),8)</f>
        <v>8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IFERROR(__xludf.DUMMYFUNCTION("""COMPUTED_VALUE"""),"Navy")</f>
        <v>Navy</v>
      </c>
      <c r="C300" s="1" t="str">
        <f ca="1">IFERROR(__xludf.DUMMYFUNCTION("""COMPUTED_VALUE"""),"Pat")</f>
        <v>Pat</v>
      </c>
      <c r="D300" s="2">
        <f ca="1">IFERROR(__xludf.DUMMYFUNCTION("""COMPUTED_VALUE"""),44823)</f>
        <v>44823</v>
      </c>
      <c r="E300" s="1">
        <f ca="1">IFERROR(__xludf.DUMMYFUNCTION("""COMPUTED_VALUE"""),-12.94)</f>
        <v>-12.94</v>
      </c>
      <c r="F300" s="1">
        <f ca="1">IFERROR(__xludf.DUMMYFUNCTION("""COMPUTED_VALUE"""),94.7)</f>
        <v>94.7</v>
      </c>
      <c r="G300" s="1">
        <f ca="1">IFERROR(__xludf.DUMMYFUNCTION("""COMPUTED_VALUE"""),283)</f>
        <v>283</v>
      </c>
      <c r="H300" s="1">
        <f ca="1">IFERROR(__xludf.DUMMYFUNCTION("""COMPUTED_VALUE"""),107.6)</f>
        <v>107.6</v>
      </c>
      <c r="I300" s="1">
        <f ca="1">IFERROR(__xludf.DUMMYFUNCTION("""COMPUTED_VALUE"""),257)</f>
        <v>257</v>
      </c>
      <c r="J300" s="1">
        <f ca="1">IFERROR(__xludf.DUMMYFUNCTION("""COMPUTED_VALUE"""),73.4)</f>
        <v>73.400000000000006</v>
      </c>
      <c r="K300" s="1">
        <f ca="1">IFERROR(__xludf.DUMMYFUNCTION("""COMPUTED_VALUE"""),5)</f>
        <v>5</v>
      </c>
      <c r="L300" s="1">
        <f ca="1">IFERROR(__xludf.DUMMYFUNCTION("""COMPUTED_VALUE"""),-0.027)</f>
        <v>-2.7E-2</v>
      </c>
      <c r="M300" s="1">
        <f ca="1">IFERROR(__xludf.DUMMYFUNCTION("""COMPUTED_VALUE"""),237)</f>
        <v>237</v>
      </c>
      <c r="N300" s="1">
        <f ca="1">IFERROR(__xludf.DUMMYFUNCTION("""COMPUTED_VALUE"""),-7.27)</f>
        <v>-7.27</v>
      </c>
      <c r="O300" s="1">
        <f ca="1">IFERROR(__xludf.DUMMYFUNCTION("""COMPUTED_VALUE"""),282)</f>
        <v>282</v>
      </c>
      <c r="P300" s="1">
        <f ca="1">IFERROR(__xludf.DUMMYFUNCTION("""COMPUTED_VALUE"""),97.6)</f>
        <v>97.6</v>
      </c>
      <c r="Q300" s="1">
        <f ca="1">IFERROR(__xludf.DUMMYFUNCTION("""COMPUTED_VALUE"""),305)</f>
        <v>305</v>
      </c>
      <c r="R300" s="1">
        <f ca="1">IFERROR(__xludf.DUMMYFUNCTION("""COMPUTED_VALUE"""),104.9)</f>
        <v>104.9</v>
      </c>
      <c r="S300" s="1">
        <f ca="1">IFERROR(__xludf.DUMMYFUNCTION("""COMPUTED_VALUE"""),244)</f>
        <v>244</v>
      </c>
      <c r="T300" s="1">
        <f ca="1">IFERROR(__xludf.DUMMYFUNCTION("""COMPUTED_VALUE"""),-9.64)</f>
        <v>-9.64</v>
      </c>
      <c r="U300" s="1">
        <f ca="1">IFERROR(__xludf.DUMMYFUNCTION("""COMPUTED_VALUE"""),316)</f>
        <v>316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IFERROR(__xludf.DUMMYFUNCTION("""COMPUTED_VALUE"""),"Siena")</f>
        <v>Siena</v>
      </c>
      <c r="C301" s="1" t="str">
        <f ca="1">IFERROR(__xludf.DUMMYFUNCTION("""COMPUTED_VALUE"""),"MAAC")</f>
        <v>MAAC</v>
      </c>
      <c r="D301" s="2">
        <f ca="1">IFERROR(__xludf.DUMMYFUNCTION("""COMPUTED_VALUE"""),44736)</f>
        <v>44736</v>
      </c>
      <c r="E301" s="1">
        <f ca="1">IFERROR(__xludf.DUMMYFUNCTION("""COMPUTED_VALUE"""),-13.22)</f>
        <v>-13.22</v>
      </c>
      <c r="F301" s="1">
        <f ca="1">IFERROR(__xludf.DUMMYFUNCTION("""COMPUTED_VALUE"""),92.9)</f>
        <v>92.9</v>
      </c>
      <c r="G301" s="1">
        <f ca="1">IFERROR(__xludf.DUMMYFUNCTION("""COMPUTED_VALUE"""),298)</f>
        <v>298</v>
      </c>
      <c r="H301" s="1">
        <f ca="1">IFERROR(__xludf.DUMMYFUNCTION("""COMPUTED_VALUE"""),106.1)</f>
        <v>106.1</v>
      </c>
      <c r="I301" s="1">
        <f ca="1">IFERROR(__xludf.DUMMYFUNCTION("""COMPUTED_VALUE"""),231)</f>
        <v>231</v>
      </c>
      <c r="J301" s="1">
        <f ca="1">IFERROR(__xludf.DUMMYFUNCTION("""COMPUTED_VALUE"""),66.1)</f>
        <v>66.099999999999994</v>
      </c>
      <c r="K301" s="1">
        <f ca="1">IFERROR(__xludf.DUMMYFUNCTION("""COMPUTED_VALUE"""),168)</f>
        <v>168</v>
      </c>
      <c r="L301" s="1" t="str">
        <f ca="1">IFERROR(__xludf.DUMMYFUNCTION("""COMPUTED_VALUE"""),"+.013")</f>
        <v>+.013</v>
      </c>
      <c r="M301" s="1">
        <f ca="1">IFERROR(__xludf.DUMMYFUNCTION("""COMPUTED_VALUE"""),129)</f>
        <v>129</v>
      </c>
      <c r="N301" s="1">
        <f ca="1">IFERROR(__xludf.DUMMYFUNCTION("""COMPUTED_VALUE"""),-1.88)</f>
        <v>-1.88</v>
      </c>
      <c r="O301" s="1">
        <f ca="1">IFERROR(__xludf.DUMMYFUNCTION("""COMPUTED_VALUE"""),188)</f>
        <v>188</v>
      </c>
      <c r="P301" s="1">
        <f ca="1">IFERROR(__xludf.DUMMYFUNCTION("""COMPUTED_VALUE"""),102.8)</f>
        <v>102.8</v>
      </c>
      <c r="Q301" s="1">
        <f ca="1">IFERROR(__xludf.DUMMYFUNCTION("""COMPUTED_VALUE"""),173)</f>
        <v>173</v>
      </c>
      <c r="R301" s="1">
        <f ca="1">IFERROR(__xludf.DUMMYFUNCTION("""COMPUTED_VALUE"""),104.7)</f>
        <v>104.7</v>
      </c>
      <c r="S301" s="1">
        <f ca="1">IFERROR(__xludf.DUMMYFUNCTION("""COMPUTED_VALUE"""),233)</f>
        <v>233</v>
      </c>
      <c r="T301" s="1" t="str">
        <f ca="1">IFERROR(__xludf.DUMMYFUNCTION("""COMPUTED_VALUE"""),"+1.96")</f>
        <v>+1.96</v>
      </c>
      <c r="U301" s="1">
        <f ca="1">IFERROR(__xludf.DUMMYFUNCTION("""COMPUTED_VALUE"""),108)</f>
        <v>108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IFERROR(__xludf.DUMMYFUNCTION("""COMPUTED_VALUE"""),"Jacksonville St.")</f>
        <v>Jacksonville St.</v>
      </c>
      <c r="C302" s="1" t="str">
        <f ca="1">IFERROR(__xludf.DUMMYFUNCTION("""COMPUTED_VALUE"""),"OVC")</f>
        <v>OVC</v>
      </c>
      <c r="D302" s="2">
        <f ca="1">IFERROR(__xludf.DUMMYFUNCTION("""COMPUTED_VALUE"""),44764)</f>
        <v>44764</v>
      </c>
      <c r="E302" s="1">
        <f ca="1">IFERROR(__xludf.DUMMYFUNCTION("""COMPUTED_VALUE"""),-13.41)</f>
        <v>-13.41</v>
      </c>
      <c r="F302" s="1">
        <f ca="1">IFERROR(__xludf.DUMMYFUNCTION("""COMPUTED_VALUE"""),99.9)</f>
        <v>99.9</v>
      </c>
      <c r="G302" s="1">
        <f ca="1">IFERROR(__xludf.DUMMYFUNCTION("""COMPUTED_VALUE"""),218)</f>
        <v>218</v>
      </c>
      <c r="H302" s="1">
        <f ca="1">IFERROR(__xludf.DUMMYFUNCTION("""COMPUTED_VALUE"""),113.3)</f>
        <v>113.3</v>
      </c>
      <c r="I302" s="1">
        <f ca="1">IFERROR(__xludf.DUMMYFUNCTION("""COMPUTED_VALUE"""),319)</f>
        <v>319</v>
      </c>
      <c r="J302" s="1">
        <f ca="1">IFERROR(__xludf.DUMMYFUNCTION("""COMPUTED_VALUE"""),66.5)</f>
        <v>66.5</v>
      </c>
      <c r="K302" s="1">
        <f ca="1">IFERROR(__xludf.DUMMYFUNCTION("""COMPUTED_VALUE"""),144)</f>
        <v>144</v>
      </c>
      <c r="L302" s="1">
        <f ca="1">IFERROR(__xludf.DUMMYFUNCTION("""COMPUTED_VALUE"""),-0.075)</f>
        <v>-7.4999999999999997E-2</v>
      </c>
      <c r="M302" s="1">
        <f ca="1">IFERROR(__xludf.DUMMYFUNCTION("""COMPUTED_VALUE"""),310)</f>
        <v>310</v>
      </c>
      <c r="N302" s="1">
        <f ca="1">IFERROR(__xludf.DUMMYFUNCTION("""COMPUTED_VALUE"""),-3.08)</f>
        <v>-3.08</v>
      </c>
      <c r="O302" s="1">
        <f ca="1">IFERROR(__xludf.DUMMYFUNCTION("""COMPUTED_VALUE"""),214)</f>
        <v>214</v>
      </c>
      <c r="P302" s="1">
        <f ca="1">IFERROR(__xludf.DUMMYFUNCTION("""COMPUTED_VALUE"""),102.1)</f>
        <v>102.1</v>
      </c>
      <c r="Q302" s="1">
        <f ca="1">IFERROR(__xludf.DUMMYFUNCTION("""COMPUTED_VALUE"""),196)</f>
        <v>196</v>
      </c>
      <c r="R302" s="1">
        <f ca="1">IFERROR(__xludf.DUMMYFUNCTION("""COMPUTED_VALUE"""),105.1)</f>
        <v>105.1</v>
      </c>
      <c r="S302" s="1">
        <f ca="1">IFERROR(__xludf.DUMMYFUNCTION("""COMPUTED_VALUE"""),255)</f>
        <v>255</v>
      </c>
      <c r="T302" s="1">
        <f ca="1">IFERROR(__xludf.DUMMYFUNCTION("""COMPUTED_VALUE"""),-1.35)</f>
        <v>-1.35</v>
      </c>
      <c r="U302" s="1">
        <f ca="1">IFERROR(__xludf.DUMMYFUNCTION("""COMPUTED_VALUE"""),200)</f>
        <v>200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IFERROR(__xludf.DUMMYFUNCTION("""COMPUTED_VALUE"""),"UMBC")</f>
        <v>UMBC</v>
      </c>
      <c r="C303" s="1" t="str">
        <f ca="1">IFERROR(__xludf.DUMMYFUNCTION("""COMPUTED_VALUE"""),"AE")</f>
        <v>AE</v>
      </c>
      <c r="D303" s="2">
        <f ca="1">IFERROR(__xludf.DUMMYFUNCTION("""COMPUTED_VALUE"""),44883)</f>
        <v>44883</v>
      </c>
      <c r="E303" s="1">
        <f ca="1">IFERROR(__xludf.DUMMYFUNCTION("""COMPUTED_VALUE"""),-13.48)</f>
        <v>-13.48</v>
      </c>
      <c r="F303" s="1">
        <f ca="1">IFERROR(__xludf.DUMMYFUNCTION("""COMPUTED_VALUE"""),94.2)</f>
        <v>94.2</v>
      </c>
      <c r="G303" s="1">
        <f ca="1">IFERROR(__xludf.DUMMYFUNCTION("""COMPUTED_VALUE"""),290)</f>
        <v>290</v>
      </c>
      <c r="H303" s="1">
        <f ca="1">IFERROR(__xludf.DUMMYFUNCTION("""COMPUTED_VALUE"""),107.7)</f>
        <v>107.7</v>
      </c>
      <c r="I303" s="1">
        <f ca="1">IFERROR(__xludf.DUMMYFUNCTION("""COMPUTED_VALUE"""),259)</f>
        <v>259</v>
      </c>
      <c r="J303" s="1">
        <f ca="1">IFERROR(__xludf.DUMMYFUNCTION("""COMPUTED_VALUE"""),63.7)</f>
        <v>63.7</v>
      </c>
      <c r="K303" s="1">
        <f ca="1">IFERROR(__xludf.DUMMYFUNCTION("""COMPUTED_VALUE"""),261)</f>
        <v>261</v>
      </c>
      <c r="L303" s="1" t="str">
        <f ca="1">IFERROR(__xludf.DUMMYFUNCTION("""COMPUTED_VALUE"""),"+.065")</f>
        <v>+.065</v>
      </c>
      <c r="M303" s="1">
        <f ca="1">IFERROR(__xludf.DUMMYFUNCTION("""COMPUTED_VALUE"""),38)</f>
        <v>38</v>
      </c>
      <c r="N303" s="1">
        <f ca="1">IFERROR(__xludf.DUMMYFUNCTION("""COMPUTED_VALUE"""),-5.4)</f>
        <v>-5.4</v>
      </c>
      <c r="O303" s="1">
        <f ca="1">IFERROR(__xludf.DUMMYFUNCTION("""COMPUTED_VALUE"""),263)</f>
        <v>263</v>
      </c>
      <c r="P303" s="1">
        <f ca="1">IFERROR(__xludf.DUMMYFUNCTION("""COMPUTED_VALUE"""),98.8)</f>
        <v>98.8</v>
      </c>
      <c r="Q303" s="1">
        <f ca="1">IFERROR(__xludf.DUMMYFUNCTION("""COMPUTED_VALUE"""),285)</f>
        <v>285</v>
      </c>
      <c r="R303" s="1">
        <f ca="1">IFERROR(__xludf.DUMMYFUNCTION("""COMPUTED_VALUE"""),104.2)</f>
        <v>104.2</v>
      </c>
      <c r="S303" s="1">
        <f ca="1">IFERROR(__xludf.DUMMYFUNCTION("""COMPUTED_VALUE"""),214)</f>
        <v>214</v>
      </c>
      <c r="T303" s="1">
        <f ca="1">IFERROR(__xludf.DUMMYFUNCTION("""COMPUTED_VALUE"""),-13.15)</f>
        <v>-13.15</v>
      </c>
      <c r="U303" s="1">
        <f ca="1">IFERROR(__xludf.DUMMYFUNCTION("""COMPUTED_VALUE"""),326)</f>
        <v>326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IFERROR(__xludf.DUMMYFUNCTION("""COMPUTED_VALUE"""),"Charleston Southern")</f>
        <v>Charleston Southern</v>
      </c>
      <c r="C304" s="1" t="str">
        <f ca="1">IFERROR(__xludf.DUMMYFUNCTION("""COMPUTED_VALUE"""),"BSth")</f>
        <v>BSth</v>
      </c>
      <c r="D304" s="1" t="str">
        <f ca="1">IFERROR(__xludf.DUMMYFUNCTION("""COMPUTED_VALUE"""),"13-17")</f>
        <v>13-17</v>
      </c>
      <c r="E304" s="1">
        <f ca="1">IFERROR(__xludf.DUMMYFUNCTION("""COMPUTED_VALUE"""),-13.52)</f>
        <v>-13.52</v>
      </c>
      <c r="F304" s="1">
        <f ca="1">IFERROR(__xludf.DUMMYFUNCTION("""COMPUTED_VALUE"""),90.3)</f>
        <v>90.3</v>
      </c>
      <c r="G304" s="1">
        <f ca="1">IFERROR(__xludf.DUMMYFUNCTION("""COMPUTED_VALUE"""),317)</f>
        <v>317</v>
      </c>
      <c r="H304" s="1">
        <f ca="1">IFERROR(__xludf.DUMMYFUNCTION("""COMPUTED_VALUE"""),103.8)</f>
        <v>103.8</v>
      </c>
      <c r="I304" s="1">
        <f ca="1">IFERROR(__xludf.DUMMYFUNCTION("""COMPUTED_VALUE"""),192)</f>
        <v>192</v>
      </c>
      <c r="J304" s="1">
        <f ca="1">IFERROR(__xludf.DUMMYFUNCTION("""COMPUTED_VALUE"""),61.4)</f>
        <v>61.4</v>
      </c>
      <c r="K304" s="1">
        <f ca="1">IFERROR(__xludf.DUMMYFUNCTION("""COMPUTED_VALUE"""),308)</f>
        <v>308</v>
      </c>
      <c r="L304" s="1" t="str">
        <f ca="1">IFERROR(__xludf.DUMMYFUNCTION("""COMPUTED_VALUE"""),"+.106")</f>
        <v>+.106</v>
      </c>
      <c r="M304" s="1">
        <f ca="1">IFERROR(__xludf.DUMMYFUNCTION("""COMPUTED_VALUE"""),8)</f>
        <v>8</v>
      </c>
      <c r="N304" s="1">
        <f ca="1">IFERROR(__xludf.DUMMYFUNCTION("""COMPUTED_VALUE"""),-6.41)</f>
        <v>-6.41</v>
      </c>
      <c r="O304" s="1">
        <f ca="1">IFERROR(__xludf.DUMMYFUNCTION("""COMPUTED_VALUE"""),276)</f>
        <v>276</v>
      </c>
      <c r="P304" s="1">
        <f ca="1">IFERROR(__xludf.DUMMYFUNCTION("""COMPUTED_VALUE"""),99.5)</f>
        <v>99.5</v>
      </c>
      <c r="Q304" s="1">
        <f ca="1">IFERROR(__xludf.DUMMYFUNCTION("""COMPUTED_VALUE"""),265)</f>
        <v>265</v>
      </c>
      <c r="R304" s="1">
        <f ca="1">IFERROR(__xludf.DUMMYFUNCTION("""COMPUTED_VALUE"""),105.9)</f>
        <v>105.9</v>
      </c>
      <c r="S304" s="1">
        <f ca="1">IFERROR(__xludf.DUMMYFUNCTION("""COMPUTED_VALUE"""),281)</f>
        <v>281</v>
      </c>
      <c r="T304" s="1">
        <f ca="1">IFERROR(__xludf.DUMMYFUNCTION("""COMPUTED_VALUE"""),-1.17)</f>
        <v>-1.17</v>
      </c>
      <c r="U304" s="1">
        <f ca="1">IFERROR(__xludf.DUMMYFUNCTION("""COMPUTED_VALUE"""),194)</f>
        <v>194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IFERROR(__xludf.DUMMYFUNCTION("""COMPUTED_VALUE"""),"Jacksonville")</f>
        <v>Jacksonville</v>
      </c>
      <c r="C305" s="1" t="str">
        <f ca="1">IFERROR(__xludf.DUMMYFUNCTION("""COMPUTED_VALUE"""),"ASun")</f>
        <v>ASun</v>
      </c>
      <c r="D305" s="1" t="str">
        <f ca="1">IFERROR(__xludf.DUMMYFUNCTION("""COMPUTED_VALUE"""),"16-13")</f>
        <v>16-13</v>
      </c>
      <c r="E305" s="1">
        <f ca="1">IFERROR(__xludf.DUMMYFUNCTION("""COMPUTED_VALUE"""),-13.63)</f>
        <v>-13.63</v>
      </c>
      <c r="F305" s="1">
        <f ca="1">IFERROR(__xludf.DUMMYFUNCTION("""COMPUTED_VALUE"""),92.9)</f>
        <v>92.9</v>
      </c>
      <c r="G305" s="1">
        <f ca="1">IFERROR(__xludf.DUMMYFUNCTION("""COMPUTED_VALUE"""),300)</f>
        <v>300</v>
      </c>
      <c r="H305" s="1">
        <f ca="1">IFERROR(__xludf.DUMMYFUNCTION("""COMPUTED_VALUE"""),106.5)</f>
        <v>106.5</v>
      </c>
      <c r="I305" s="1">
        <f ca="1">IFERROR(__xludf.DUMMYFUNCTION("""COMPUTED_VALUE"""),236)</f>
        <v>236</v>
      </c>
      <c r="J305" s="1">
        <f ca="1">IFERROR(__xludf.DUMMYFUNCTION("""COMPUTED_VALUE"""),71.1)</f>
        <v>71.099999999999994</v>
      </c>
      <c r="K305" s="1">
        <f ca="1">IFERROR(__xludf.DUMMYFUNCTION("""COMPUTED_VALUE"""),21)</f>
        <v>21</v>
      </c>
      <c r="L305" s="1" t="str">
        <f ca="1">IFERROR(__xludf.DUMMYFUNCTION("""COMPUTED_VALUE"""),"+.129")</f>
        <v>+.129</v>
      </c>
      <c r="M305" s="1">
        <f ca="1">IFERROR(__xludf.DUMMYFUNCTION("""COMPUTED_VALUE"""),5)</f>
        <v>5</v>
      </c>
      <c r="N305" s="1">
        <f ca="1">IFERROR(__xludf.DUMMYFUNCTION("""COMPUTED_VALUE"""),-9.65)</f>
        <v>-9.65</v>
      </c>
      <c r="O305" s="1">
        <f ca="1">IFERROR(__xludf.DUMMYFUNCTION("""COMPUTED_VALUE"""),308)</f>
        <v>308</v>
      </c>
      <c r="P305" s="1">
        <f ca="1">IFERROR(__xludf.DUMMYFUNCTION("""COMPUTED_VALUE"""),98.3)</f>
        <v>98.3</v>
      </c>
      <c r="Q305" s="1">
        <f ca="1">IFERROR(__xludf.DUMMYFUNCTION("""COMPUTED_VALUE"""),295)</f>
        <v>295</v>
      </c>
      <c r="R305" s="1">
        <f ca="1">IFERROR(__xludf.DUMMYFUNCTION("""COMPUTED_VALUE"""),107.9)</f>
        <v>107.9</v>
      </c>
      <c r="S305" s="1">
        <f ca="1">IFERROR(__xludf.DUMMYFUNCTION("""COMPUTED_VALUE"""),329)</f>
        <v>329</v>
      </c>
      <c r="T305" s="1">
        <f ca="1">IFERROR(__xludf.DUMMYFUNCTION("""COMPUTED_VALUE"""),-3.67)</f>
        <v>-3.67</v>
      </c>
      <c r="U305" s="1">
        <f ca="1">IFERROR(__xludf.DUMMYFUNCTION("""COMPUTED_VALUE"""),248)</f>
        <v>248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IFERROR(__xludf.DUMMYFUNCTION("""COMPUTED_VALUE"""),"William &amp; Mary")</f>
        <v>William &amp; Mary</v>
      </c>
      <c r="C306" s="1" t="str">
        <f ca="1">IFERROR(__xludf.DUMMYFUNCTION("""COMPUTED_VALUE"""),"CAA")</f>
        <v>CAA</v>
      </c>
      <c r="D306" s="2">
        <f ca="1">IFERROR(__xludf.DUMMYFUNCTION("""COMPUTED_VALUE"""),44794)</f>
        <v>44794</v>
      </c>
      <c r="E306" s="1">
        <f ca="1">IFERROR(__xludf.DUMMYFUNCTION("""COMPUTED_VALUE"""),-13.85)</f>
        <v>-13.85</v>
      </c>
      <c r="F306" s="1">
        <f ca="1">IFERROR(__xludf.DUMMYFUNCTION("""COMPUTED_VALUE"""),94.4)</f>
        <v>94.4</v>
      </c>
      <c r="G306" s="1">
        <f ca="1">IFERROR(__xludf.DUMMYFUNCTION("""COMPUTED_VALUE"""),288)</f>
        <v>288</v>
      </c>
      <c r="H306" s="1">
        <f ca="1">IFERROR(__xludf.DUMMYFUNCTION("""COMPUTED_VALUE"""),108.2)</f>
        <v>108.2</v>
      </c>
      <c r="I306" s="1">
        <f ca="1">IFERROR(__xludf.DUMMYFUNCTION("""COMPUTED_VALUE"""),266)</f>
        <v>266</v>
      </c>
      <c r="J306" s="1">
        <f ca="1">IFERROR(__xludf.DUMMYFUNCTION("""COMPUTED_VALUE"""),66.7)</f>
        <v>66.7</v>
      </c>
      <c r="K306" s="1">
        <f ca="1">IFERROR(__xludf.DUMMYFUNCTION("""COMPUTED_VALUE"""),132)</f>
        <v>132</v>
      </c>
      <c r="L306" s="1">
        <f ca="1">IFERROR(__xludf.DUMMYFUNCTION("""COMPUTED_VALUE"""),-0.036)</f>
        <v>-3.5999999999999997E-2</v>
      </c>
      <c r="M306" s="1">
        <f ca="1">IFERROR(__xludf.DUMMYFUNCTION("""COMPUTED_VALUE"""),256)</f>
        <v>256</v>
      </c>
      <c r="N306" s="1">
        <f ca="1">IFERROR(__xludf.DUMMYFUNCTION("""COMPUTED_VALUE"""),-3.51)</f>
        <v>-3.51</v>
      </c>
      <c r="O306" s="1">
        <f ca="1">IFERROR(__xludf.DUMMYFUNCTION("""COMPUTED_VALUE"""),229)</f>
        <v>229</v>
      </c>
      <c r="P306" s="1">
        <f ca="1">IFERROR(__xludf.DUMMYFUNCTION("""COMPUTED_VALUE"""),100.2)</f>
        <v>100.2</v>
      </c>
      <c r="Q306" s="1">
        <f ca="1">IFERROR(__xludf.DUMMYFUNCTION("""COMPUTED_VALUE"""),243)</f>
        <v>243</v>
      </c>
      <c r="R306" s="1">
        <f ca="1">IFERROR(__xludf.DUMMYFUNCTION("""COMPUTED_VALUE"""),103.7)</f>
        <v>103.7</v>
      </c>
      <c r="S306" s="1">
        <f ca="1">IFERROR(__xludf.DUMMYFUNCTION("""COMPUTED_VALUE"""),198)</f>
        <v>198</v>
      </c>
      <c r="T306" s="1">
        <f ca="1">IFERROR(__xludf.DUMMYFUNCTION("""COMPUTED_VALUE"""),-8.5)</f>
        <v>-8.5</v>
      </c>
      <c r="U306" s="1">
        <f ca="1">IFERROR(__xludf.DUMMYFUNCTION("""COMPUTED_VALUE"""),312)</f>
        <v>312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IFERROR(__xludf.DUMMYFUNCTION("""COMPUTED_VALUE"""),"Radford")</f>
        <v>Radford</v>
      </c>
      <c r="C307" s="1" t="str">
        <f ca="1">IFERROR(__xludf.DUMMYFUNCTION("""COMPUTED_VALUE"""),"BSth")</f>
        <v>BSth</v>
      </c>
      <c r="D307" s="2">
        <f ca="1">IFERROR(__xludf.DUMMYFUNCTION("""COMPUTED_VALUE"""),44911)</f>
        <v>44911</v>
      </c>
      <c r="E307" s="1">
        <f ca="1">IFERROR(__xludf.DUMMYFUNCTION("""COMPUTED_VALUE"""),-14)</f>
        <v>-14</v>
      </c>
      <c r="F307" s="1">
        <f ca="1">IFERROR(__xludf.DUMMYFUNCTION("""COMPUTED_VALUE"""),98.1)</f>
        <v>98.1</v>
      </c>
      <c r="G307" s="1">
        <f ca="1">IFERROR(__xludf.DUMMYFUNCTION("""COMPUTED_VALUE"""),237)</f>
        <v>237</v>
      </c>
      <c r="H307" s="1">
        <f ca="1">IFERROR(__xludf.DUMMYFUNCTION("""COMPUTED_VALUE"""),112.1)</f>
        <v>112.1</v>
      </c>
      <c r="I307" s="1">
        <f ca="1">IFERROR(__xludf.DUMMYFUNCTION("""COMPUTED_VALUE"""),311)</f>
        <v>311</v>
      </c>
      <c r="J307" s="1">
        <f ca="1">IFERROR(__xludf.DUMMYFUNCTION("""COMPUTED_VALUE"""),65.6)</f>
        <v>65.599999999999994</v>
      </c>
      <c r="K307" s="1">
        <f ca="1">IFERROR(__xludf.DUMMYFUNCTION("""COMPUTED_VALUE"""),190)</f>
        <v>190</v>
      </c>
      <c r="L307" s="1" t="str">
        <f ca="1">IFERROR(__xludf.DUMMYFUNCTION("""COMPUTED_VALUE"""),"+.037")</f>
        <v>+.037</v>
      </c>
      <c r="M307" s="1">
        <f ca="1">IFERROR(__xludf.DUMMYFUNCTION("""COMPUTED_VALUE"""),84)</f>
        <v>84</v>
      </c>
      <c r="N307" s="1">
        <f ca="1">IFERROR(__xludf.DUMMYFUNCTION("""COMPUTED_VALUE"""),-8.24)</f>
        <v>-8.24</v>
      </c>
      <c r="O307" s="1">
        <f ca="1">IFERROR(__xludf.DUMMYFUNCTION("""COMPUTED_VALUE"""),297)</f>
        <v>297</v>
      </c>
      <c r="P307" s="1">
        <f ca="1">IFERROR(__xludf.DUMMYFUNCTION("""COMPUTED_VALUE"""),98.1)</f>
        <v>98.1</v>
      </c>
      <c r="Q307" s="1">
        <f ca="1">IFERROR(__xludf.DUMMYFUNCTION("""COMPUTED_VALUE"""),299)</f>
        <v>299</v>
      </c>
      <c r="R307" s="1">
        <f ca="1">IFERROR(__xludf.DUMMYFUNCTION("""COMPUTED_VALUE"""),106.3)</f>
        <v>106.3</v>
      </c>
      <c r="S307" s="1">
        <f ca="1">IFERROR(__xludf.DUMMYFUNCTION("""COMPUTED_VALUE"""),293)</f>
        <v>293</v>
      </c>
      <c r="T307" s="1">
        <f ca="1">IFERROR(__xludf.DUMMYFUNCTION("""COMPUTED_VALUE"""),-5.26)</f>
        <v>-5.26</v>
      </c>
      <c r="U307" s="1">
        <f ca="1">IFERROR(__xludf.DUMMYFUNCTION("""COMPUTED_VALUE"""),289)</f>
        <v>289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IFERROR(__xludf.DUMMYFUNCTION("""COMPUTED_VALUE"""),"IPFW")</f>
        <v>IPFW</v>
      </c>
      <c r="C308" s="1" t="str">
        <f ca="1">IFERROR(__xludf.DUMMYFUNCTION("""COMPUTED_VALUE"""),"ind")</f>
        <v>ind</v>
      </c>
      <c r="D308" s="2">
        <f ca="1">IFERROR(__xludf.DUMMYFUNCTION("""COMPUTED_VALUE"""),44764)</f>
        <v>44764</v>
      </c>
      <c r="E308" s="1">
        <f ca="1">IFERROR(__xludf.DUMMYFUNCTION("""COMPUTED_VALUE"""),-14.04)</f>
        <v>-14.04</v>
      </c>
      <c r="F308" s="1">
        <f ca="1">IFERROR(__xludf.DUMMYFUNCTION("""COMPUTED_VALUE"""),94.7)</f>
        <v>94.7</v>
      </c>
      <c r="G308" s="1">
        <f ca="1">IFERROR(__xludf.DUMMYFUNCTION("""COMPUTED_VALUE"""),284)</f>
        <v>284</v>
      </c>
      <c r="H308" s="1">
        <f ca="1">IFERROR(__xludf.DUMMYFUNCTION("""COMPUTED_VALUE"""),108.7)</f>
        <v>108.7</v>
      </c>
      <c r="I308" s="1">
        <f ca="1">IFERROR(__xludf.DUMMYFUNCTION("""COMPUTED_VALUE"""),275)</f>
        <v>275</v>
      </c>
      <c r="J308" s="1">
        <f ca="1">IFERROR(__xludf.DUMMYFUNCTION("""COMPUTED_VALUE"""),65.6)</f>
        <v>65.599999999999994</v>
      </c>
      <c r="K308" s="1">
        <f ca="1">IFERROR(__xludf.DUMMYFUNCTION("""COMPUTED_VALUE"""),192)</f>
        <v>192</v>
      </c>
      <c r="L308" s="1">
        <f ca="1">IFERROR(__xludf.DUMMYFUNCTION("""COMPUTED_VALUE"""),-0.043)</f>
        <v>-4.2999999999999997E-2</v>
      </c>
      <c r="M308" s="1">
        <f ca="1">IFERROR(__xludf.DUMMYFUNCTION("""COMPUTED_VALUE"""),266)</f>
        <v>266</v>
      </c>
      <c r="N308" s="1">
        <f ca="1">IFERROR(__xludf.DUMMYFUNCTION("""COMPUTED_VALUE"""),-1.12)</f>
        <v>-1.1200000000000001</v>
      </c>
      <c r="O308" s="1">
        <f ca="1">IFERROR(__xludf.DUMMYFUNCTION("""COMPUTED_VALUE"""),180)</f>
        <v>180</v>
      </c>
      <c r="P308" s="1">
        <f ca="1">IFERROR(__xludf.DUMMYFUNCTION("""COMPUTED_VALUE"""),103.5)</f>
        <v>103.5</v>
      </c>
      <c r="Q308" s="1">
        <f ca="1">IFERROR(__xludf.DUMMYFUNCTION("""COMPUTED_VALUE"""),150)</f>
        <v>150</v>
      </c>
      <c r="R308" s="1">
        <f ca="1">IFERROR(__xludf.DUMMYFUNCTION("""COMPUTED_VALUE"""),104.6)</f>
        <v>104.6</v>
      </c>
      <c r="S308" s="1">
        <f ca="1">IFERROR(__xludf.DUMMYFUNCTION("""COMPUTED_VALUE"""),232)</f>
        <v>232</v>
      </c>
      <c r="T308" s="1" t="str">
        <f ca="1">IFERROR(__xludf.DUMMYFUNCTION("""COMPUTED_VALUE"""),"+3.33")</f>
        <v>+3.33</v>
      </c>
      <c r="U308" s="1">
        <f ca="1">IFERROR(__xludf.DUMMYFUNCTION("""COMPUTED_VALUE"""),80)</f>
        <v>80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IFERROR(__xludf.DUMMYFUNCTION("""COMPUTED_VALUE"""),"Louisiana Monroe")</f>
        <v>Louisiana Monroe</v>
      </c>
      <c r="C309" s="1" t="str">
        <f ca="1">IFERROR(__xludf.DUMMYFUNCTION("""COMPUTED_VALUE"""),"Slnd")</f>
        <v>Slnd</v>
      </c>
      <c r="D309" s="2">
        <f ca="1">IFERROR(__xludf.DUMMYFUNCTION("""COMPUTED_VALUE"""),44792)</f>
        <v>44792</v>
      </c>
      <c r="E309" s="1">
        <f ca="1">IFERROR(__xludf.DUMMYFUNCTION("""COMPUTED_VALUE"""),-14.18)</f>
        <v>-14.18</v>
      </c>
      <c r="F309" s="1">
        <f ca="1">IFERROR(__xludf.DUMMYFUNCTION("""COMPUTED_VALUE"""),95.9)</f>
        <v>95.9</v>
      </c>
      <c r="G309" s="1">
        <f ca="1">IFERROR(__xludf.DUMMYFUNCTION("""COMPUTED_VALUE"""),268)</f>
        <v>268</v>
      </c>
      <c r="H309" s="1">
        <f ca="1">IFERROR(__xludf.DUMMYFUNCTION("""COMPUTED_VALUE"""),110)</f>
        <v>110</v>
      </c>
      <c r="I309" s="1">
        <f ca="1">IFERROR(__xludf.DUMMYFUNCTION("""COMPUTED_VALUE"""),294)</f>
        <v>294</v>
      </c>
      <c r="J309" s="1">
        <f ca="1">IFERROR(__xludf.DUMMYFUNCTION("""COMPUTED_VALUE"""),64.8)</f>
        <v>64.8</v>
      </c>
      <c r="K309" s="1">
        <f ca="1">IFERROR(__xludf.DUMMYFUNCTION("""COMPUTED_VALUE"""),223)</f>
        <v>223</v>
      </c>
      <c r="L309" s="1">
        <f ca="1">IFERROR(__xludf.DUMMYFUNCTION("""COMPUTED_VALUE"""),-0.07)</f>
        <v>-7.0000000000000007E-2</v>
      </c>
      <c r="M309" s="1">
        <f ca="1">IFERROR(__xludf.DUMMYFUNCTION("""COMPUTED_VALUE"""),307)</f>
        <v>307</v>
      </c>
      <c r="N309" s="1">
        <f ca="1">IFERROR(__xludf.DUMMYFUNCTION("""COMPUTED_VALUE"""),-4.08)</f>
        <v>-4.08</v>
      </c>
      <c r="O309" s="1">
        <f ca="1">IFERROR(__xludf.DUMMYFUNCTION("""COMPUTED_VALUE"""),243)</f>
        <v>243</v>
      </c>
      <c r="P309" s="1">
        <f ca="1">IFERROR(__xludf.DUMMYFUNCTION("""COMPUTED_VALUE"""),100.9)</f>
        <v>100.9</v>
      </c>
      <c r="Q309" s="1">
        <f ca="1">IFERROR(__xludf.DUMMYFUNCTION("""COMPUTED_VALUE"""),226)</f>
        <v>226</v>
      </c>
      <c r="R309" s="1">
        <f ca="1">IFERROR(__xludf.DUMMYFUNCTION("""COMPUTED_VALUE"""),105)</f>
        <v>105</v>
      </c>
      <c r="S309" s="1">
        <f ca="1">IFERROR(__xludf.DUMMYFUNCTION("""COMPUTED_VALUE"""),246)</f>
        <v>246</v>
      </c>
      <c r="T309" s="1" t="str">
        <f ca="1">IFERROR(__xludf.DUMMYFUNCTION("""COMPUTED_VALUE"""),"+0.00")</f>
        <v>+0.00</v>
      </c>
      <c r="U309" s="1">
        <f ca="1">IFERROR(__xludf.DUMMYFUNCTION("""COMPUTED_VALUE"""),162)</f>
        <v>162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IFERROR(__xludf.DUMMYFUNCTION("""COMPUTED_VALUE"""),"Morehead St.")</f>
        <v>Morehead St.</v>
      </c>
      <c r="C310" s="1" t="str">
        <f ca="1">IFERROR(__xludf.DUMMYFUNCTION("""COMPUTED_VALUE"""),"OVC")</f>
        <v>OVC</v>
      </c>
      <c r="D310" s="2">
        <f ca="1">IFERROR(__xludf.DUMMYFUNCTION("""COMPUTED_VALUE"""),44881)</f>
        <v>44881</v>
      </c>
      <c r="E310" s="1">
        <f ca="1">IFERROR(__xludf.DUMMYFUNCTION("""COMPUTED_VALUE"""),-14.26)</f>
        <v>-14.26</v>
      </c>
      <c r="F310" s="1">
        <f ca="1">IFERROR(__xludf.DUMMYFUNCTION("""COMPUTED_VALUE"""),95.7)</f>
        <v>95.7</v>
      </c>
      <c r="G310" s="1">
        <f ca="1">IFERROR(__xludf.DUMMYFUNCTION("""COMPUTED_VALUE"""),270)</f>
        <v>270</v>
      </c>
      <c r="H310" s="1">
        <f ca="1">IFERROR(__xludf.DUMMYFUNCTION("""COMPUTED_VALUE"""),110)</f>
        <v>110</v>
      </c>
      <c r="I310" s="1">
        <f ca="1">IFERROR(__xludf.DUMMYFUNCTION("""COMPUTED_VALUE"""),293)</f>
        <v>293</v>
      </c>
      <c r="J310" s="1">
        <f ca="1">IFERROR(__xludf.DUMMYFUNCTION("""COMPUTED_VALUE"""),64.9)</f>
        <v>64.900000000000006</v>
      </c>
      <c r="K310" s="1">
        <f ca="1">IFERROR(__xludf.DUMMYFUNCTION("""COMPUTED_VALUE"""),221)</f>
        <v>221</v>
      </c>
      <c r="L310" s="1" t="str">
        <f ca="1">IFERROR(__xludf.DUMMYFUNCTION("""COMPUTED_VALUE"""),"+.033")</f>
        <v>+.033</v>
      </c>
      <c r="M310" s="1">
        <f ca="1">IFERROR(__xludf.DUMMYFUNCTION("""COMPUTED_VALUE"""),93)</f>
        <v>93</v>
      </c>
      <c r="N310" s="1">
        <f ca="1">IFERROR(__xludf.DUMMYFUNCTION("""COMPUTED_VALUE"""),-3.72)</f>
        <v>-3.72</v>
      </c>
      <c r="O310" s="1">
        <f ca="1">IFERROR(__xludf.DUMMYFUNCTION("""COMPUTED_VALUE"""),237)</f>
        <v>237</v>
      </c>
      <c r="P310" s="1">
        <f ca="1">IFERROR(__xludf.DUMMYFUNCTION("""COMPUTED_VALUE"""),102.3)</f>
        <v>102.3</v>
      </c>
      <c r="Q310" s="1">
        <f ca="1">IFERROR(__xludf.DUMMYFUNCTION("""COMPUTED_VALUE"""),185)</f>
        <v>185</v>
      </c>
      <c r="R310" s="1">
        <f ca="1">IFERROR(__xludf.DUMMYFUNCTION("""COMPUTED_VALUE"""),106)</f>
        <v>106</v>
      </c>
      <c r="S310" s="1">
        <f ca="1">IFERROR(__xludf.DUMMYFUNCTION("""COMPUTED_VALUE"""),286)</f>
        <v>286</v>
      </c>
      <c r="T310" s="1">
        <f ca="1">IFERROR(__xludf.DUMMYFUNCTION("""COMPUTED_VALUE"""),-1.05)</f>
        <v>-1.05</v>
      </c>
      <c r="U310" s="1">
        <f ca="1">IFERROR(__xludf.DUMMYFUNCTION("""COMPUTED_VALUE"""),192)</f>
        <v>192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IFERROR(__xludf.DUMMYFUNCTION("""COMPUTED_VALUE"""),"Western Carolina")</f>
        <v>Western Carolina</v>
      </c>
      <c r="C311" s="1" t="str">
        <f ca="1">IFERROR(__xludf.DUMMYFUNCTION("""COMPUTED_VALUE"""),"SC")</f>
        <v>SC</v>
      </c>
      <c r="D311" s="2">
        <f ca="1">IFERROR(__xludf.DUMMYFUNCTION("""COMPUTED_VALUE"""),44795)</f>
        <v>44795</v>
      </c>
      <c r="E311" s="1">
        <f ca="1">IFERROR(__xludf.DUMMYFUNCTION("""COMPUTED_VALUE"""),-14.34)</f>
        <v>-14.34</v>
      </c>
      <c r="F311" s="1">
        <f ca="1">IFERROR(__xludf.DUMMYFUNCTION("""COMPUTED_VALUE"""),92.6)</f>
        <v>92.6</v>
      </c>
      <c r="G311" s="1">
        <f ca="1">IFERROR(__xludf.DUMMYFUNCTION("""COMPUTED_VALUE"""),302)</f>
        <v>302</v>
      </c>
      <c r="H311" s="1">
        <f ca="1">IFERROR(__xludf.DUMMYFUNCTION("""COMPUTED_VALUE"""),106.9)</f>
        <v>106.9</v>
      </c>
      <c r="I311" s="1">
        <f ca="1">IFERROR(__xludf.DUMMYFUNCTION("""COMPUTED_VALUE"""),242)</f>
        <v>242</v>
      </c>
      <c r="J311" s="1">
        <f ca="1">IFERROR(__xludf.DUMMYFUNCTION("""COMPUTED_VALUE"""),70.5)</f>
        <v>70.5</v>
      </c>
      <c r="K311" s="1">
        <f ca="1">IFERROR(__xludf.DUMMYFUNCTION("""COMPUTED_VALUE"""),32)</f>
        <v>32</v>
      </c>
      <c r="L311" s="1">
        <f ca="1">IFERROR(__xludf.DUMMYFUNCTION("""COMPUTED_VALUE"""),-0.004)</f>
        <v>-4.0000000000000001E-3</v>
      </c>
      <c r="M311" s="1">
        <f ca="1">IFERROR(__xludf.DUMMYFUNCTION("""COMPUTED_VALUE"""),172)</f>
        <v>172</v>
      </c>
      <c r="N311" s="1">
        <f ca="1">IFERROR(__xludf.DUMMYFUNCTION("""COMPUTED_VALUE"""),-2.57)</f>
        <v>-2.57</v>
      </c>
      <c r="O311" s="1">
        <f ca="1">IFERROR(__xludf.DUMMYFUNCTION("""COMPUTED_VALUE"""),203)</f>
        <v>203</v>
      </c>
      <c r="P311" s="1">
        <f ca="1">IFERROR(__xludf.DUMMYFUNCTION("""COMPUTED_VALUE"""),101.5)</f>
        <v>101.5</v>
      </c>
      <c r="Q311" s="1">
        <f ca="1">IFERROR(__xludf.DUMMYFUNCTION("""COMPUTED_VALUE"""),207)</f>
        <v>207</v>
      </c>
      <c r="R311" s="1">
        <f ca="1">IFERROR(__xludf.DUMMYFUNCTION("""COMPUTED_VALUE"""),104.1)</f>
        <v>104.1</v>
      </c>
      <c r="S311" s="1">
        <f ca="1">IFERROR(__xludf.DUMMYFUNCTION("""COMPUTED_VALUE"""),211)</f>
        <v>211</v>
      </c>
      <c r="T311" s="1" t="str">
        <f ca="1">IFERROR(__xludf.DUMMYFUNCTION("""COMPUTED_VALUE"""),"+4.51")</f>
        <v>+4.51</v>
      </c>
      <c r="U311" s="1">
        <f ca="1">IFERROR(__xludf.DUMMYFUNCTION("""COMPUTED_VALUE"""),59)</f>
        <v>59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IFERROR(__xludf.DUMMYFUNCTION("""COMPUTED_VALUE"""),"Quinnipiac")</f>
        <v>Quinnipiac</v>
      </c>
      <c r="C312" s="1" t="str">
        <f ca="1">IFERROR(__xludf.DUMMYFUNCTION("""COMPUTED_VALUE"""),"NEC")</f>
        <v>NEC</v>
      </c>
      <c r="D312" s="2">
        <f ca="1">IFERROR(__xludf.DUMMYFUNCTION("""COMPUTED_VALUE"""),44851)</f>
        <v>44851</v>
      </c>
      <c r="E312" s="1">
        <f ca="1">IFERROR(__xludf.DUMMYFUNCTION("""COMPUTED_VALUE"""),-14.34)</f>
        <v>-14.34</v>
      </c>
      <c r="F312" s="1">
        <f ca="1">IFERROR(__xludf.DUMMYFUNCTION("""COMPUTED_VALUE"""),100.1)</f>
        <v>100.1</v>
      </c>
      <c r="G312" s="1">
        <f ca="1">IFERROR(__xludf.DUMMYFUNCTION("""COMPUTED_VALUE"""),214)</f>
        <v>214</v>
      </c>
      <c r="H312" s="1">
        <f ca="1">IFERROR(__xludf.DUMMYFUNCTION("""COMPUTED_VALUE"""),114.5)</f>
        <v>114.5</v>
      </c>
      <c r="I312" s="1">
        <f ca="1">IFERROR(__xludf.DUMMYFUNCTION("""COMPUTED_VALUE"""),324)</f>
        <v>324</v>
      </c>
      <c r="J312" s="1">
        <f ca="1">IFERROR(__xludf.DUMMYFUNCTION("""COMPUTED_VALUE"""),69.9)</f>
        <v>69.900000000000006</v>
      </c>
      <c r="K312" s="1">
        <f ca="1">IFERROR(__xludf.DUMMYFUNCTION("""COMPUTED_VALUE"""),39)</f>
        <v>39</v>
      </c>
      <c r="L312" s="1">
        <f ca="1">IFERROR(__xludf.DUMMYFUNCTION("""COMPUTED_VALUE"""),-0.009)</f>
        <v>-8.9999999999999993E-3</v>
      </c>
      <c r="M312" s="1">
        <f ca="1">IFERROR(__xludf.DUMMYFUNCTION("""COMPUTED_VALUE"""),186)</f>
        <v>186</v>
      </c>
      <c r="N312" s="1">
        <f ca="1">IFERROR(__xludf.DUMMYFUNCTION("""COMPUTED_VALUE"""),-9.02)</f>
        <v>-9.02</v>
      </c>
      <c r="O312" s="1">
        <f ca="1">IFERROR(__xludf.DUMMYFUNCTION("""COMPUTED_VALUE"""),305)</f>
        <v>305</v>
      </c>
      <c r="P312" s="1">
        <f ca="1">IFERROR(__xludf.DUMMYFUNCTION("""COMPUTED_VALUE"""),98.2)</f>
        <v>98.2</v>
      </c>
      <c r="Q312" s="1">
        <f ca="1">IFERROR(__xludf.DUMMYFUNCTION("""COMPUTED_VALUE"""),297)</f>
        <v>297</v>
      </c>
      <c r="R312" s="1">
        <f ca="1">IFERROR(__xludf.DUMMYFUNCTION("""COMPUTED_VALUE"""),107.2)</f>
        <v>107.2</v>
      </c>
      <c r="S312" s="1">
        <f ca="1">IFERROR(__xludf.DUMMYFUNCTION("""COMPUTED_VALUE"""),316)</f>
        <v>316</v>
      </c>
      <c r="T312" s="1">
        <f ca="1">IFERROR(__xludf.DUMMYFUNCTION("""COMPUTED_VALUE"""),-3.8)</f>
        <v>-3.8</v>
      </c>
      <c r="U312" s="1">
        <f ca="1">IFERROR(__xludf.DUMMYFUNCTION("""COMPUTED_VALUE"""),252)</f>
        <v>252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IFERROR(__xludf.DUMMYFUNCTION("""COMPUTED_VALUE"""),"Morgan St.")</f>
        <v>Morgan St.</v>
      </c>
      <c r="C313" s="1" t="str">
        <f ca="1">IFERROR(__xludf.DUMMYFUNCTION("""COMPUTED_VALUE"""),"MEAC")</f>
        <v>MEAC</v>
      </c>
      <c r="D313" s="1" t="str">
        <f ca="1">IFERROR(__xludf.DUMMYFUNCTION("""COMPUTED_VALUE"""),"14-15")</f>
        <v>14-15</v>
      </c>
      <c r="E313" s="1">
        <f ca="1">IFERROR(__xludf.DUMMYFUNCTION("""COMPUTED_VALUE"""),-14.36)</f>
        <v>-14.36</v>
      </c>
      <c r="F313" s="1">
        <f ca="1">IFERROR(__xludf.DUMMYFUNCTION("""COMPUTED_VALUE"""),92)</f>
        <v>92</v>
      </c>
      <c r="G313" s="1">
        <f ca="1">IFERROR(__xludf.DUMMYFUNCTION("""COMPUTED_VALUE"""),308)</f>
        <v>308</v>
      </c>
      <c r="H313" s="1">
        <f ca="1">IFERROR(__xludf.DUMMYFUNCTION("""COMPUTED_VALUE"""),106.3)</f>
        <v>106.3</v>
      </c>
      <c r="I313" s="1">
        <f ca="1">IFERROR(__xludf.DUMMYFUNCTION("""COMPUTED_VALUE"""),234)</f>
        <v>234</v>
      </c>
      <c r="J313" s="1">
        <f ca="1">IFERROR(__xludf.DUMMYFUNCTION("""COMPUTED_VALUE"""),67.7)</f>
        <v>67.7</v>
      </c>
      <c r="K313" s="1">
        <f ca="1">IFERROR(__xludf.DUMMYFUNCTION("""COMPUTED_VALUE"""),103)</f>
        <v>103</v>
      </c>
      <c r="L313" s="1" t="str">
        <f ca="1">IFERROR(__xludf.DUMMYFUNCTION("""COMPUTED_VALUE"""),"+.045")</f>
        <v>+.045</v>
      </c>
      <c r="M313" s="1">
        <f ca="1">IFERROR(__xludf.DUMMYFUNCTION("""COMPUTED_VALUE"""),66)</f>
        <v>66</v>
      </c>
      <c r="N313" s="1">
        <f ca="1">IFERROR(__xludf.DUMMYFUNCTION("""COMPUTED_VALUE"""),-12.16)</f>
        <v>-12.16</v>
      </c>
      <c r="O313" s="1">
        <f ca="1">IFERROR(__xludf.DUMMYFUNCTION("""COMPUTED_VALUE"""),319)</f>
        <v>319</v>
      </c>
      <c r="P313" s="1">
        <f ca="1">IFERROR(__xludf.DUMMYFUNCTION("""COMPUTED_VALUE"""),94.4)</f>
        <v>94.4</v>
      </c>
      <c r="Q313" s="1">
        <f ca="1">IFERROR(__xludf.DUMMYFUNCTION("""COMPUTED_VALUE"""),316)</f>
        <v>316</v>
      </c>
      <c r="R313" s="1">
        <f ca="1">IFERROR(__xludf.DUMMYFUNCTION("""COMPUTED_VALUE"""),106.6)</f>
        <v>106.6</v>
      </c>
      <c r="S313" s="1">
        <f ca="1">IFERROR(__xludf.DUMMYFUNCTION("""COMPUTED_VALUE"""),301)</f>
        <v>301</v>
      </c>
      <c r="T313" s="1">
        <f ca="1">IFERROR(__xludf.DUMMYFUNCTION("""COMPUTED_VALUE"""),-0.98)</f>
        <v>-0.98</v>
      </c>
      <c r="U313" s="1">
        <f ca="1">IFERROR(__xludf.DUMMYFUNCTION("""COMPUTED_VALUE"""),187)</f>
        <v>187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IFERROR(__xludf.DUMMYFUNCTION("""COMPUTED_VALUE"""),"Towson")</f>
        <v>Towson</v>
      </c>
      <c r="C314" s="1" t="str">
        <f ca="1">IFERROR(__xludf.DUMMYFUNCTION("""COMPUTED_VALUE"""),"CAA")</f>
        <v>CAA</v>
      </c>
      <c r="D314" s="2">
        <f ca="1">IFERROR(__xludf.DUMMYFUNCTION("""COMPUTED_VALUE"""),44705)</f>
        <v>44705</v>
      </c>
      <c r="E314" s="1">
        <f ca="1">IFERROR(__xludf.DUMMYFUNCTION("""COMPUTED_VALUE"""),-15.02)</f>
        <v>-15.02</v>
      </c>
      <c r="F314" s="1">
        <f ca="1">IFERROR(__xludf.DUMMYFUNCTION("""COMPUTED_VALUE"""),96)</f>
        <v>96</v>
      </c>
      <c r="G314" s="1">
        <f ca="1">IFERROR(__xludf.DUMMYFUNCTION("""COMPUTED_VALUE"""),265)</f>
        <v>265</v>
      </c>
      <c r="H314" s="1">
        <f ca="1">IFERROR(__xludf.DUMMYFUNCTION("""COMPUTED_VALUE"""),111)</f>
        <v>111</v>
      </c>
      <c r="I314" s="1">
        <f ca="1">IFERROR(__xludf.DUMMYFUNCTION("""COMPUTED_VALUE"""),299)</f>
        <v>299</v>
      </c>
      <c r="J314" s="1">
        <f ca="1">IFERROR(__xludf.DUMMYFUNCTION("""COMPUTED_VALUE"""),64.3)</f>
        <v>64.3</v>
      </c>
      <c r="K314" s="1">
        <f ca="1">IFERROR(__xludf.DUMMYFUNCTION("""COMPUTED_VALUE"""),238)</f>
        <v>238</v>
      </c>
      <c r="L314" s="1">
        <f ca="1">IFERROR(__xludf.DUMMYFUNCTION("""COMPUTED_VALUE"""),-0.062)</f>
        <v>-6.2E-2</v>
      </c>
      <c r="M314" s="1">
        <f ca="1">IFERROR(__xludf.DUMMYFUNCTION("""COMPUTED_VALUE"""),294)</f>
        <v>294</v>
      </c>
      <c r="N314" s="1">
        <f ca="1">IFERROR(__xludf.DUMMYFUNCTION("""COMPUTED_VALUE"""),-3.44)</f>
        <v>-3.44</v>
      </c>
      <c r="O314" s="1">
        <f ca="1">IFERROR(__xludf.DUMMYFUNCTION("""COMPUTED_VALUE"""),227)</f>
        <v>227</v>
      </c>
      <c r="P314" s="1">
        <f ca="1">IFERROR(__xludf.DUMMYFUNCTION("""COMPUTED_VALUE"""),99.7)</f>
        <v>99.7</v>
      </c>
      <c r="Q314" s="1">
        <f ca="1">IFERROR(__xludf.DUMMYFUNCTION("""COMPUTED_VALUE"""),255)</f>
        <v>255</v>
      </c>
      <c r="R314" s="1">
        <f ca="1">IFERROR(__xludf.DUMMYFUNCTION("""COMPUTED_VALUE"""),103.2)</f>
        <v>103.2</v>
      </c>
      <c r="S314" s="1">
        <f ca="1">IFERROR(__xludf.DUMMYFUNCTION("""COMPUTED_VALUE"""),171)</f>
        <v>171</v>
      </c>
      <c r="T314" s="1">
        <f ca="1">IFERROR(__xludf.DUMMYFUNCTION("""COMPUTED_VALUE"""),-6.39)</f>
        <v>-6.39</v>
      </c>
      <c r="U314" s="1">
        <f ca="1">IFERROR(__xludf.DUMMYFUNCTION("""COMPUTED_VALUE"""),295)</f>
        <v>295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IFERROR(__xludf.DUMMYFUNCTION("""COMPUTED_VALUE"""),"Jackson St.")</f>
        <v>Jackson St.</v>
      </c>
      <c r="C315" s="1" t="str">
        <f ca="1">IFERROR(__xludf.DUMMYFUNCTION("""COMPUTED_VALUE"""),"SWAC")</f>
        <v>SWAC</v>
      </c>
      <c r="D315" s="1" t="str">
        <f ca="1">IFERROR(__xludf.DUMMYFUNCTION("""COMPUTED_VALUE"""),"14-16")</f>
        <v>14-16</v>
      </c>
      <c r="E315" s="1">
        <f ca="1">IFERROR(__xludf.DUMMYFUNCTION("""COMPUTED_VALUE"""),-15.24)</f>
        <v>-15.24</v>
      </c>
      <c r="F315" s="1">
        <f ca="1">IFERROR(__xludf.DUMMYFUNCTION("""COMPUTED_VALUE"""),89.6)</f>
        <v>89.6</v>
      </c>
      <c r="G315" s="1">
        <f ca="1">IFERROR(__xludf.DUMMYFUNCTION("""COMPUTED_VALUE"""),319)</f>
        <v>319</v>
      </c>
      <c r="H315" s="1">
        <f ca="1">IFERROR(__xludf.DUMMYFUNCTION("""COMPUTED_VALUE"""),104.8)</f>
        <v>104.8</v>
      </c>
      <c r="I315" s="1">
        <f ca="1">IFERROR(__xludf.DUMMYFUNCTION("""COMPUTED_VALUE"""),212)</f>
        <v>212</v>
      </c>
      <c r="J315" s="1">
        <f ca="1">IFERROR(__xludf.DUMMYFUNCTION("""COMPUTED_VALUE"""),69.6)</f>
        <v>69.599999999999994</v>
      </c>
      <c r="K315" s="1">
        <f ca="1">IFERROR(__xludf.DUMMYFUNCTION("""COMPUTED_VALUE"""),45)</f>
        <v>45</v>
      </c>
      <c r="L315" s="1" t="str">
        <f ca="1">IFERROR(__xludf.DUMMYFUNCTION("""COMPUTED_VALUE"""),"+.058")</f>
        <v>+.058</v>
      </c>
      <c r="M315" s="1">
        <f ca="1">IFERROR(__xludf.DUMMYFUNCTION("""COMPUTED_VALUE"""),48)</f>
        <v>48</v>
      </c>
      <c r="N315" s="1">
        <f ca="1">IFERROR(__xludf.DUMMYFUNCTION("""COMPUTED_VALUE"""),-12.45)</f>
        <v>-12.45</v>
      </c>
      <c r="O315" s="1">
        <f ca="1">IFERROR(__xludf.DUMMYFUNCTION("""COMPUTED_VALUE"""),322)</f>
        <v>322</v>
      </c>
      <c r="P315" s="1">
        <f ca="1">IFERROR(__xludf.DUMMYFUNCTION("""COMPUTED_VALUE"""),93.9)</f>
        <v>93.9</v>
      </c>
      <c r="Q315" s="1">
        <f ca="1">IFERROR(__xludf.DUMMYFUNCTION("""COMPUTED_VALUE"""),323)</f>
        <v>323</v>
      </c>
      <c r="R315" s="1">
        <f ca="1">IFERROR(__xludf.DUMMYFUNCTION("""COMPUTED_VALUE"""),106.3)</f>
        <v>106.3</v>
      </c>
      <c r="S315" s="1">
        <f ca="1">IFERROR(__xludf.DUMMYFUNCTION("""COMPUTED_VALUE"""),294)</f>
        <v>294</v>
      </c>
      <c r="T315" s="1" t="str">
        <f ca="1">IFERROR(__xludf.DUMMYFUNCTION("""COMPUTED_VALUE"""),"+1.14")</f>
        <v>+1.14</v>
      </c>
      <c r="U315" s="1">
        <f ca="1">IFERROR(__xludf.DUMMYFUNCTION("""COMPUTED_VALUE"""),130)</f>
        <v>130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IFERROR(__xludf.DUMMYFUNCTION("""COMPUTED_VALUE"""),"Grambling St.")</f>
        <v>Grambling St.</v>
      </c>
      <c r="C316" s="1" t="str">
        <f ca="1">IFERROR(__xludf.DUMMYFUNCTION("""COMPUTED_VALUE"""),"SWAC")</f>
        <v>SWAC</v>
      </c>
      <c r="D316" s="1" t="str">
        <f ca="1">IFERROR(__xludf.DUMMYFUNCTION("""COMPUTED_VALUE"""),"14-10")</f>
        <v>14-10</v>
      </c>
      <c r="E316" s="1">
        <f ca="1">IFERROR(__xludf.DUMMYFUNCTION("""COMPUTED_VALUE"""),-15.43)</f>
        <v>-15.43</v>
      </c>
      <c r="F316" s="1">
        <f ca="1">IFERROR(__xludf.DUMMYFUNCTION("""COMPUTED_VALUE"""),93.6)</f>
        <v>93.6</v>
      </c>
      <c r="G316" s="1">
        <f ca="1">IFERROR(__xludf.DUMMYFUNCTION("""COMPUTED_VALUE"""),296)</f>
        <v>296</v>
      </c>
      <c r="H316" s="1">
        <f ca="1">IFERROR(__xludf.DUMMYFUNCTION("""COMPUTED_VALUE"""),109)</f>
        <v>109</v>
      </c>
      <c r="I316" s="1">
        <f ca="1">IFERROR(__xludf.DUMMYFUNCTION("""COMPUTED_VALUE"""),279)</f>
        <v>279</v>
      </c>
      <c r="J316" s="1">
        <f ca="1">IFERROR(__xludf.DUMMYFUNCTION("""COMPUTED_VALUE"""),68.3)</f>
        <v>68.3</v>
      </c>
      <c r="K316" s="1">
        <f ca="1">IFERROR(__xludf.DUMMYFUNCTION("""COMPUTED_VALUE"""),80)</f>
        <v>80</v>
      </c>
      <c r="L316" s="1" t="str">
        <f ca="1">IFERROR(__xludf.DUMMYFUNCTION("""COMPUTED_VALUE"""),"+.122")</f>
        <v>+.122</v>
      </c>
      <c r="M316" s="1">
        <f ca="1">IFERROR(__xludf.DUMMYFUNCTION("""COMPUTED_VALUE"""),6)</f>
        <v>6</v>
      </c>
      <c r="N316" s="1">
        <f ca="1">IFERROR(__xludf.DUMMYFUNCTION("""COMPUTED_VALUE"""),-15.15)</f>
        <v>-15.15</v>
      </c>
      <c r="O316" s="1">
        <f ca="1">IFERROR(__xludf.DUMMYFUNCTION("""COMPUTED_VALUE"""),330)</f>
        <v>330</v>
      </c>
      <c r="P316" s="1">
        <f ca="1">IFERROR(__xludf.DUMMYFUNCTION("""COMPUTED_VALUE"""),91.1)</f>
        <v>91.1</v>
      </c>
      <c r="Q316" s="1">
        <f ca="1">IFERROR(__xludf.DUMMYFUNCTION("""COMPUTED_VALUE"""),329)</f>
        <v>329</v>
      </c>
      <c r="R316" s="1">
        <f ca="1">IFERROR(__xludf.DUMMYFUNCTION("""COMPUTED_VALUE"""),106.2)</f>
        <v>106.2</v>
      </c>
      <c r="S316" s="1">
        <f ca="1">IFERROR(__xludf.DUMMYFUNCTION("""COMPUTED_VALUE"""),288)</f>
        <v>288</v>
      </c>
      <c r="T316" s="1" t="str">
        <f ca="1">IFERROR(__xludf.DUMMYFUNCTION("""COMPUTED_VALUE"""),"+8.65")</f>
        <v>+8.65</v>
      </c>
      <c r="U316" s="1">
        <f ca="1">IFERROR(__xludf.DUMMYFUNCTION("""COMPUTED_VALUE"""),20)</f>
        <v>20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IFERROR(__xludf.DUMMYFUNCTION("""COMPUTED_VALUE"""),"Alabama St.")</f>
        <v>Alabama St.</v>
      </c>
      <c r="C317" s="1" t="str">
        <f ca="1">IFERROR(__xludf.DUMMYFUNCTION("""COMPUTED_VALUE"""),"SWAC")</f>
        <v>SWAC</v>
      </c>
      <c r="D317" s="1" t="str">
        <f ca="1">IFERROR(__xludf.DUMMYFUNCTION("""COMPUTED_VALUE"""),"13-14")</f>
        <v>13-14</v>
      </c>
      <c r="E317" s="1">
        <f ca="1">IFERROR(__xludf.DUMMYFUNCTION("""COMPUTED_VALUE"""),-15.76)</f>
        <v>-15.76</v>
      </c>
      <c r="F317" s="1">
        <f ca="1">IFERROR(__xludf.DUMMYFUNCTION("""COMPUTED_VALUE"""),87.1)</f>
        <v>87.1</v>
      </c>
      <c r="G317" s="1">
        <f ca="1">IFERROR(__xludf.DUMMYFUNCTION("""COMPUTED_VALUE"""),323)</f>
        <v>323</v>
      </c>
      <c r="H317" s="1">
        <f ca="1">IFERROR(__xludf.DUMMYFUNCTION("""COMPUTED_VALUE"""),102.8)</f>
        <v>102.8</v>
      </c>
      <c r="I317" s="1">
        <f ca="1">IFERROR(__xludf.DUMMYFUNCTION("""COMPUTED_VALUE"""),165)</f>
        <v>165</v>
      </c>
      <c r="J317" s="1">
        <f ca="1">IFERROR(__xludf.DUMMYFUNCTION("""COMPUTED_VALUE"""),61.8)</f>
        <v>61.8</v>
      </c>
      <c r="K317" s="1">
        <f ca="1">IFERROR(__xludf.DUMMYFUNCTION("""COMPUTED_VALUE"""),303)</f>
        <v>303</v>
      </c>
      <c r="L317" s="1" t="str">
        <f ca="1">IFERROR(__xludf.DUMMYFUNCTION("""COMPUTED_VALUE"""),"+.083")</f>
        <v>+.083</v>
      </c>
      <c r="M317" s="1">
        <f ca="1">IFERROR(__xludf.DUMMYFUNCTION("""COMPUTED_VALUE"""),17)</f>
        <v>17</v>
      </c>
      <c r="N317" s="1">
        <f ca="1">IFERROR(__xludf.DUMMYFUNCTION("""COMPUTED_VALUE"""),-12.85)</f>
        <v>-12.85</v>
      </c>
      <c r="O317" s="1">
        <f ca="1">IFERROR(__xludf.DUMMYFUNCTION("""COMPUTED_VALUE"""),326)</f>
        <v>326</v>
      </c>
      <c r="P317" s="1">
        <f ca="1">IFERROR(__xludf.DUMMYFUNCTION("""COMPUTED_VALUE"""),93.7)</f>
        <v>93.7</v>
      </c>
      <c r="Q317" s="1">
        <f ca="1">IFERROR(__xludf.DUMMYFUNCTION("""COMPUTED_VALUE"""),324)</f>
        <v>324</v>
      </c>
      <c r="R317" s="1">
        <f ca="1">IFERROR(__xludf.DUMMYFUNCTION("""COMPUTED_VALUE"""),106.6)</f>
        <v>106.6</v>
      </c>
      <c r="S317" s="1">
        <f ca="1">IFERROR(__xludf.DUMMYFUNCTION("""COMPUTED_VALUE"""),300)</f>
        <v>300</v>
      </c>
      <c r="T317" s="1" t="str">
        <f ca="1">IFERROR(__xludf.DUMMYFUNCTION("""COMPUTED_VALUE"""),"+1.14")</f>
        <v>+1.14</v>
      </c>
      <c r="U317" s="1">
        <f ca="1">IFERROR(__xludf.DUMMYFUNCTION("""COMPUTED_VALUE"""),129)</f>
        <v>129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IFERROR(__xludf.DUMMYFUNCTION("""COMPUTED_VALUE"""),"Florida A&amp;M")</f>
        <v>Florida A&amp;M</v>
      </c>
      <c r="C318" s="1" t="str">
        <f ca="1">IFERROR(__xludf.DUMMYFUNCTION("""COMPUTED_VALUE"""),"MEAC")</f>
        <v>MEAC</v>
      </c>
      <c r="D318" s="1" t="str">
        <f ca="1">IFERROR(__xludf.DUMMYFUNCTION("""COMPUTED_VALUE"""),"14-15")</f>
        <v>14-15</v>
      </c>
      <c r="E318" s="1">
        <f ca="1">IFERROR(__xludf.DUMMYFUNCTION("""COMPUTED_VALUE"""),-15.78)</f>
        <v>-15.78</v>
      </c>
      <c r="F318" s="1">
        <f ca="1">IFERROR(__xludf.DUMMYFUNCTION("""COMPUTED_VALUE"""),96)</f>
        <v>96</v>
      </c>
      <c r="G318" s="1">
        <f ca="1">IFERROR(__xludf.DUMMYFUNCTION("""COMPUTED_VALUE"""),267)</f>
        <v>267</v>
      </c>
      <c r="H318" s="1">
        <f ca="1">IFERROR(__xludf.DUMMYFUNCTION("""COMPUTED_VALUE"""),111.8)</f>
        <v>111.8</v>
      </c>
      <c r="I318" s="1">
        <f ca="1">IFERROR(__xludf.DUMMYFUNCTION("""COMPUTED_VALUE"""),309)</f>
        <v>309</v>
      </c>
      <c r="J318" s="1">
        <f ca="1">IFERROR(__xludf.DUMMYFUNCTION("""COMPUTED_VALUE"""),67.7)</f>
        <v>67.7</v>
      </c>
      <c r="K318" s="1">
        <f ca="1">IFERROR(__xludf.DUMMYFUNCTION("""COMPUTED_VALUE"""),102)</f>
        <v>102</v>
      </c>
      <c r="L318" s="1" t="str">
        <f ca="1">IFERROR(__xludf.DUMMYFUNCTION("""COMPUTED_VALUE"""),"+.101")</f>
        <v>+.101</v>
      </c>
      <c r="M318" s="1">
        <f ca="1">IFERROR(__xludf.DUMMYFUNCTION("""COMPUTED_VALUE"""),10)</f>
        <v>10</v>
      </c>
      <c r="N318" s="1">
        <f ca="1">IFERROR(__xludf.DUMMYFUNCTION("""COMPUTED_VALUE"""),-11.21)</f>
        <v>-11.21</v>
      </c>
      <c r="O318" s="1">
        <f ca="1">IFERROR(__xludf.DUMMYFUNCTION("""COMPUTED_VALUE"""),314)</f>
        <v>314</v>
      </c>
      <c r="P318" s="1">
        <f ca="1">IFERROR(__xludf.DUMMYFUNCTION("""COMPUTED_VALUE"""),94.1)</f>
        <v>94.1</v>
      </c>
      <c r="Q318" s="1">
        <f ca="1">IFERROR(__xludf.DUMMYFUNCTION("""COMPUTED_VALUE"""),322)</f>
        <v>322</v>
      </c>
      <c r="R318" s="1">
        <f ca="1">IFERROR(__xludf.DUMMYFUNCTION("""COMPUTED_VALUE"""),105.3)</f>
        <v>105.3</v>
      </c>
      <c r="S318" s="1">
        <f ca="1">IFERROR(__xludf.DUMMYFUNCTION("""COMPUTED_VALUE"""),263)</f>
        <v>263</v>
      </c>
      <c r="T318" s="1" t="str">
        <f ca="1">IFERROR(__xludf.DUMMYFUNCTION("""COMPUTED_VALUE"""),"+11.93")</f>
        <v>+11.93</v>
      </c>
      <c r="U318" s="1">
        <f ca="1">IFERROR(__xludf.DUMMYFUNCTION("""COMPUTED_VALUE"""),7)</f>
        <v>7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IFERROR(__xludf.DUMMYFUNCTION("""COMPUTED_VALUE"""),"The Citadel")</f>
        <v>The Citadel</v>
      </c>
      <c r="C319" s="1" t="str">
        <f ca="1">IFERROR(__xludf.DUMMYFUNCTION("""COMPUTED_VALUE"""),"SC")</f>
        <v>SC</v>
      </c>
      <c r="D319" s="2">
        <f ca="1">IFERROR(__xludf.DUMMYFUNCTION("""COMPUTED_VALUE"""),44911)</f>
        <v>44911</v>
      </c>
      <c r="E319" s="1">
        <f ca="1">IFERROR(__xludf.DUMMYFUNCTION("""COMPUTED_VALUE"""),-15.78)</f>
        <v>-15.78</v>
      </c>
      <c r="F319" s="1">
        <f ca="1">IFERROR(__xludf.DUMMYFUNCTION("""COMPUTED_VALUE"""),90.7)</f>
        <v>90.7</v>
      </c>
      <c r="G319" s="1">
        <f ca="1">IFERROR(__xludf.DUMMYFUNCTION("""COMPUTED_VALUE"""),312)</f>
        <v>312</v>
      </c>
      <c r="H319" s="1">
        <f ca="1">IFERROR(__xludf.DUMMYFUNCTION("""COMPUTED_VALUE"""),106.5)</f>
        <v>106.5</v>
      </c>
      <c r="I319" s="1">
        <f ca="1">IFERROR(__xludf.DUMMYFUNCTION("""COMPUTED_VALUE"""),237)</f>
        <v>237</v>
      </c>
      <c r="J319" s="1">
        <f ca="1">IFERROR(__xludf.DUMMYFUNCTION("""COMPUTED_VALUE"""),68.3)</f>
        <v>68.3</v>
      </c>
      <c r="K319" s="1">
        <f ca="1">IFERROR(__xludf.DUMMYFUNCTION("""COMPUTED_VALUE"""),79)</f>
        <v>79</v>
      </c>
      <c r="L319" s="1" t="str">
        <f ca="1">IFERROR(__xludf.DUMMYFUNCTION("""COMPUTED_VALUE"""),"+.012")</f>
        <v>+.012</v>
      </c>
      <c r="M319" s="1">
        <f ca="1">IFERROR(__xludf.DUMMYFUNCTION("""COMPUTED_VALUE"""),130)</f>
        <v>130</v>
      </c>
      <c r="N319" s="1">
        <f ca="1">IFERROR(__xludf.DUMMYFUNCTION("""COMPUTED_VALUE"""),-5.93)</f>
        <v>-5.93</v>
      </c>
      <c r="O319" s="1">
        <f ca="1">IFERROR(__xludf.DUMMYFUNCTION("""COMPUTED_VALUE"""),267)</f>
        <v>267</v>
      </c>
      <c r="P319" s="1">
        <f ca="1">IFERROR(__xludf.DUMMYFUNCTION("""COMPUTED_VALUE"""),98.9)</f>
        <v>98.9</v>
      </c>
      <c r="Q319" s="1">
        <f ca="1">IFERROR(__xludf.DUMMYFUNCTION("""COMPUTED_VALUE"""),283)</f>
        <v>283</v>
      </c>
      <c r="R319" s="1">
        <f ca="1">IFERROR(__xludf.DUMMYFUNCTION("""COMPUTED_VALUE"""),104.8)</f>
        <v>104.8</v>
      </c>
      <c r="S319" s="1">
        <f ca="1">IFERROR(__xludf.DUMMYFUNCTION("""COMPUTED_VALUE"""),242)</f>
        <v>242</v>
      </c>
      <c r="T319" s="1">
        <f ca="1">IFERROR(__xludf.DUMMYFUNCTION("""COMPUTED_VALUE"""),-14.88)</f>
        <v>-14.88</v>
      </c>
      <c r="U319" s="1">
        <f ca="1">IFERROR(__xludf.DUMMYFUNCTION("""COMPUTED_VALUE"""),327)</f>
        <v>327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IFERROR(__xludf.DUMMYFUNCTION("""COMPUTED_VALUE"""),"Tennessee Martin")</f>
        <v>Tennessee Martin</v>
      </c>
      <c r="C320" s="1" t="str">
        <f ca="1">IFERROR(__xludf.DUMMYFUNCTION("""COMPUTED_VALUE"""),"OVC")</f>
        <v>OVC</v>
      </c>
      <c r="D320" s="2">
        <f ca="1">IFERROR(__xludf.DUMMYFUNCTION("""COMPUTED_VALUE"""),44733)</f>
        <v>44733</v>
      </c>
      <c r="E320" s="1">
        <f ca="1">IFERROR(__xludf.DUMMYFUNCTION("""COMPUTED_VALUE"""),-15.83)</f>
        <v>-15.83</v>
      </c>
      <c r="F320" s="1">
        <f ca="1">IFERROR(__xludf.DUMMYFUNCTION("""COMPUTED_VALUE"""),96.7)</f>
        <v>96.7</v>
      </c>
      <c r="G320" s="1">
        <f ca="1">IFERROR(__xludf.DUMMYFUNCTION("""COMPUTED_VALUE"""),259)</f>
        <v>259</v>
      </c>
      <c r="H320" s="1">
        <f ca="1">IFERROR(__xludf.DUMMYFUNCTION("""COMPUTED_VALUE"""),112.5)</f>
        <v>112.5</v>
      </c>
      <c r="I320" s="1">
        <f ca="1">IFERROR(__xludf.DUMMYFUNCTION("""COMPUTED_VALUE"""),316)</f>
        <v>316</v>
      </c>
      <c r="J320" s="1">
        <f ca="1">IFERROR(__xludf.DUMMYFUNCTION("""COMPUTED_VALUE"""),67.1)</f>
        <v>67.099999999999994</v>
      </c>
      <c r="K320" s="1">
        <f ca="1">IFERROR(__xludf.DUMMYFUNCTION("""COMPUTED_VALUE"""),120)</f>
        <v>120</v>
      </c>
      <c r="L320" s="1">
        <f ca="1">IFERROR(__xludf.DUMMYFUNCTION("""COMPUTED_VALUE"""),-0.004)</f>
        <v>-4.0000000000000001E-3</v>
      </c>
      <c r="M320" s="1">
        <f ca="1">IFERROR(__xludf.DUMMYFUNCTION("""COMPUTED_VALUE"""),173)</f>
        <v>173</v>
      </c>
      <c r="N320" s="1">
        <f ca="1">IFERROR(__xludf.DUMMYFUNCTION("""COMPUTED_VALUE"""),-1.5)</f>
        <v>-1.5</v>
      </c>
      <c r="O320" s="1">
        <f ca="1">IFERROR(__xludf.DUMMYFUNCTION("""COMPUTED_VALUE"""),184)</f>
        <v>184</v>
      </c>
      <c r="P320" s="1">
        <f ca="1">IFERROR(__xludf.DUMMYFUNCTION("""COMPUTED_VALUE"""),103.5)</f>
        <v>103.5</v>
      </c>
      <c r="Q320" s="1">
        <f ca="1">IFERROR(__xludf.DUMMYFUNCTION("""COMPUTED_VALUE"""),149)</f>
        <v>149</v>
      </c>
      <c r="R320" s="1">
        <f ca="1">IFERROR(__xludf.DUMMYFUNCTION("""COMPUTED_VALUE"""),105)</f>
        <v>105</v>
      </c>
      <c r="S320" s="1">
        <f ca="1">IFERROR(__xludf.DUMMYFUNCTION("""COMPUTED_VALUE"""),248)</f>
        <v>248</v>
      </c>
      <c r="T320" s="1" t="str">
        <f ca="1">IFERROR(__xludf.DUMMYFUNCTION("""COMPUTED_VALUE"""),"+3.23")</f>
        <v>+3.23</v>
      </c>
      <c r="U320" s="1">
        <f ca="1">IFERROR(__xludf.DUMMYFUNCTION("""COMPUTED_VALUE"""),84)</f>
        <v>84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IFERROR(__xludf.DUMMYFUNCTION("""COMPUTED_VALUE"""),"Southern")</f>
        <v>Southern</v>
      </c>
      <c r="C321" s="1" t="str">
        <f ca="1">IFERROR(__xludf.DUMMYFUNCTION("""COMPUTED_VALUE"""),"SWAC")</f>
        <v>SWAC</v>
      </c>
      <c r="D321" s="2">
        <f ca="1">IFERROR(__xludf.DUMMYFUNCTION("""COMPUTED_VALUE"""),44909)</f>
        <v>44909</v>
      </c>
      <c r="E321" s="1">
        <f ca="1">IFERROR(__xludf.DUMMYFUNCTION("""COMPUTED_VALUE"""),-16.32)</f>
        <v>-16.32</v>
      </c>
      <c r="F321" s="1">
        <f ca="1">IFERROR(__xludf.DUMMYFUNCTION("""COMPUTED_VALUE"""),90.8)</f>
        <v>90.8</v>
      </c>
      <c r="G321" s="1">
        <f ca="1">IFERROR(__xludf.DUMMYFUNCTION("""COMPUTED_VALUE"""),311)</f>
        <v>311</v>
      </c>
      <c r="H321" s="1">
        <f ca="1">IFERROR(__xludf.DUMMYFUNCTION("""COMPUTED_VALUE"""),107.1)</f>
        <v>107.1</v>
      </c>
      <c r="I321" s="1">
        <f ca="1">IFERROR(__xludf.DUMMYFUNCTION("""COMPUTED_VALUE"""),243)</f>
        <v>243</v>
      </c>
      <c r="J321" s="1">
        <f ca="1">IFERROR(__xludf.DUMMYFUNCTION("""COMPUTED_VALUE"""),67.9)</f>
        <v>67.900000000000006</v>
      </c>
      <c r="K321" s="1">
        <f ca="1">IFERROR(__xludf.DUMMYFUNCTION("""COMPUTED_VALUE"""),95)</f>
        <v>95</v>
      </c>
      <c r="L321" s="1" t="str">
        <f ca="1">IFERROR(__xludf.DUMMYFUNCTION("""COMPUTED_VALUE"""),"+.004")</f>
        <v>+.004</v>
      </c>
      <c r="M321" s="1">
        <f ca="1">IFERROR(__xludf.DUMMYFUNCTION("""COMPUTED_VALUE"""),151)</f>
        <v>151</v>
      </c>
      <c r="N321" s="1">
        <f ca="1">IFERROR(__xludf.DUMMYFUNCTION("""COMPUTED_VALUE"""),-13.75)</f>
        <v>-13.75</v>
      </c>
      <c r="O321" s="1">
        <f ca="1">IFERROR(__xludf.DUMMYFUNCTION("""COMPUTED_VALUE"""),327)</f>
        <v>327</v>
      </c>
      <c r="P321" s="1">
        <f ca="1">IFERROR(__xludf.DUMMYFUNCTION("""COMPUTED_VALUE"""),92)</f>
        <v>92</v>
      </c>
      <c r="Q321" s="1">
        <f ca="1">IFERROR(__xludf.DUMMYFUNCTION("""COMPUTED_VALUE"""),328)</f>
        <v>328</v>
      </c>
      <c r="R321" s="1">
        <f ca="1">IFERROR(__xludf.DUMMYFUNCTION("""COMPUTED_VALUE"""),105.7)</f>
        <v>105.7</v>
      </c>
      <c r="S321" s="1">
        <f ca="1">IFERROR(__xludf.DUMMYFUNCTION("""COMPUTED_VALUE"""),275)</f>
        <v>275</v>
      </c>
      <c r="T321" s="1">
        <f ca="1">IFERROR(__xludf.DUMMYFUNCTION("""COMPUTED_VALUE"""),-0.21)</f>
        <v>-0.21</v>
      </c>
      <c r="U321" s="1">
        <f ca="1">IFERROR(__xludf.DUMMYFUNCTION("""COMPUTED_VALUE"""),168)</f>
        <v>168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IFERROR(__xludf.DUMMYFUNCTION("""COMPUTED_VALUE"""),"Loyola MD")</f>
        <v>Loyola MD</v>
      </c>
      <c r="C322" s="1" t="str">
        <f ca="1">IFERROR(__xludf.DUMMYFUNCTION("""COMPUTED_VALUE"""),"MAAC")</f>
        <v>MAAC</v>
      </c>
      <c r="D322" s="2">
        <f ca="1">IFERROR(__xludf.DUMMYFUNCTION("""COMPUTED_VALUE"""),44734)</f>
        <v>44734</v>
      </c>
      <c r="E322" s="1">
        <f ca="1">IFERROR(__xludf.DUMMYFUNCTION("""COMPUTED_VALUE"""),-16.88)</f>
        <v>-16.88</v>
      </c>
      <c r="F322" s="1">
        <f ca="1">IFERROR(__xludf.DUMMYFUNCTION("""COMPUTED_VALUE"""),90.6)</f>
        <v>90.6</v>
      </c>
      <c r="G322" s="1">
        <f ca="1">IFERROR(__xludf.DUMMYFUNCTION("""COMPUTED_VALUE"""),314)</f>
        <v>314</v>
      </c>
      <c r="H322" s="1">
        <f ca="1">IFERROR(__xludf.DUMMYFUNCTION("""COMPUTED_VALUE"""),107.5)</f>
        <v>107.5</v>
      </c>
      <c r="I322" s="1">
        <f ca="1">IFERROR(__xludf.DUMMYFUNCTION("""COMPUTED_VALUE"""),252)</f>
        <v>252</v>
      </c>
      <c r="J322" s="1">
        <f ca="1">IFERROR(__xludf.DUMMYFUNCTION("""COMPUTED_VALUE"""),69.7)</f>
        <v>69.7</v>
      </c>
      <c r="K322" s="1">
        <f ca="1">IFERROR(__xludf.DUMMYFUNCTION("""COMPUTED_VALUE"""),43)</f>
        <v>43</v>
      </c>
      <c r="L322" s="1" t="str">
        <f ca="1">IFERROR(__xludf.DUMMYFUNCTION("""COMPUTED_VALUE"""),"+.035")</f>
        <v>+.035</v>
      </c>
      <c r="M322" s="1">
        <f ca="1">IFERROR(__xludf.DUMMYFUNCTION("""COMPUTED_VALUE"""),88)</f>
        <v>88</v>
      </c>
      <c r="N322" s="1">
        <f ca="1">IFERROR(__xludf.DUMMYFUNCTION("""COMPUTED_VALUE"""),-4.59)</f>
        <v>-4.59</v>
      </c>
      <c r="O322" s="1">
        <f ca="1">IFERROR(__xludf.DUMMYFUNCTION("""COMPUTED_VALUE"""),253)</f>
        <v>253</v>
      </c>
      <c r="P322" s="1">
        <f ca="1">IFERROR(__xludf.DUMMYFUNCTION("""COMPUTED_VALUE"""),101.7)</f>
        <v>101.7</v>
      </c>
      <c r="Q322" s="1">
        <f ca="1">IFERROR(__xludf.DUMMYFUNCTION("""COMPUTED_VALUE"""),201)</f>
        <v>201</v>
      </c>
      <c r="R322" s="1">
        <f ca="1">IFERROR(__xludf.DUMMYFUNCTION("""COMPUTED_VALUE"""),106.3)</f>
        <v>106.3</v>
      </c>
      <c r="S322" s="1">
        <f ca="1">IFERROR(__xludf.DUMMYFUNCTION("""COMPUTED_VALUE"""),289)</f>
        <v>289</v>
      </c>
      <c r="T322" s="1">
        <f ca="1">IFERROR(__xludf.DUMMYFUNCTION("""COMPUTED_VALUE"""),-6.8)</f>
        <v>-6.8</v>
      </c>
      <c r="U322" s="1">
        <f ca="1">IFERROR(__xludf.DUMMYFUNCTION("""COMPUTED_VALUE"""),297)</f>
        <v>297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IFERROR(__xludf.DUMMYFUNCTION("""COMPUTED_VALUE"""),"Northern Colorado")</f>
        <v>Northern Colorado</v>
      </c>
      <c r="C323" s="1" t="str">
        <f ca="1">IFERROR(__xludf.DUMMYFUNCTION("""COMPUTED_VALUE"""),"ind")</f>
        <v>ind</v>
      </c>
      <c r="D323" s="2">
        <f ca="1">IFERROR(__xludf.DUMMYFUNCTION("""COMPUTED_VALUE"""),44794)</f>
        <v>44794</v>
      </c>
      <c r="E323" s="1">
        <f ca="1">IFERROR(__xludf.DUMMYFUNCTION("""COMPUTED_VALUE"""),-16.97)</f>
        <v>-16.97</v>
      </c>
      <c r="F323" s="1">
        <f ca="1">IFERROR(__xludf.DUMMYFUNCTION("""COMPUTED_VALUE"""),96)</f>
        <v>96</v>
      </c>
      <c r="G323" s="1">
        <f ca="1">IFERROR(__xludf.DUMMYFUNCTION("""COMPUTED_VALUE"""),263)</f>
        <v>263</v>
      </c>
      <c r="H323" s="1">
        <f ca="1">IFERROR(__xludf.DUMMYFUNCTION("""COMPUTED_VALUE"""),113)</f>
        <v>113</v>
      </c>
      <c r="I323" s="1">
        <f ca="1">IFERROR(__xludf.DUMMYFUNCTION("""COMPUTED_VALUE"""),318)</f>
        <v>318</v>
      </c>
      <c r="J323" s="1">
        <f ca="1">IFERROR(__xludf.DUMMYFUNCTION("""COMPUTED_VALUE"""),67.1)</f>
        <v>67.099999999999994</v>
      </c>
      <c r="K323" s="1">
        <f ca="1">IFERROR(__xludf.DUMMYFUNCTION("""COMPUTED_VALUE"""),117)</f>
        <v>117</v>
      </c>
      <c r="L323" s="1">
        <f ca="1">IFERROR(__xludf.DUMMYFUNCTION("""COMPUTED_VALUE"""),-0.021)</f>
        <v>-2.1000000000000001E-2</v>
      </c>
      <c r="M323" s="1">
        <f ca="1">IFERROR(__xludf.DUMMYFUNCTION("""COMPUTED_VALUE"""),217)</f>
        <v>217</v>
      </c>
      <c r="N323" s="1" t="str">
        <f ca="1">IFERROR(__xludf.DUMMYFUNCTION("""COMPUTED_VALUE"""),"+1.61")</f>
        <v>+1.61</v>
      </c>
      <c r="O323" s="1">
        <f ca="1">IFERROR(__xludf.DUMMYFUNCTION("""COMPUTED_VALUE"""),134)</f>
        <v>134</v>
      </c>
      <c r="P323" s="1">
        <f ca="1">IFERROR(__xludf.DUMMYFUNCTION("""COMPUTED_VALUE"""),103.8)</f>
        <v>103.8</v>
      </c>
      <c r="Q323" s="1">
        <f ca="1">IFERROR(__xludf.DUMMYFUNCTION("""COMPUTED_VALUE"""),139)</f>
        <v>139</v>
      </c>
      <c r="R323" s="1">
        <f ca="1">IFERROR(__xludf.DUMMYFUNCTION("""COMPUTED_VALUE"""),102.2)</f>
        <v>102.2</v>
      </c>
      <c r="S323" s="1">
        <f ca="1">IFERROR(__xludf.DUMMYFUNCTION("""COMPUTED_VALUE"""),124)</f>
        <v>124</v>
      </c>
      <c r="T323" s="1" t="str">
        <f ca="1">IFERROR(__xludf.DUMMYFUNCTION("""COMPUTED_VALUE"""),"+11.46")</f>
        <v>+11.46</v>
      </c>
      <c r="U323" s="1">
        <f ca="1">IFERROR(__xludf.DUMMYFUNCTION("""COMPUTED_VALUE"""),9)</f>
        <v>9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IFERROR(__xludf.DUMMYFUNCTION("""COMPUTED_VALUE"""),"Idaho St.")</f>
        <v>Idaho St.</v>
      </c>
      <c r="C324" s="1" t="str">
        <f ca="1">IFERROR(__xludf.DUMMYFUNCTION("""COMPUTED_VALUE"""),"BSky")</f>
        <v>BSky</v>
      </c>
      <c r="D324" s="2">
        <f ca="1">IFERROR(__xludf.DUMMYFUNCTION("""COMPUTED_VALUE"""),44822)</f>
        <v>44822</v>
      </c>
      <c r="E324" s="1">
        <f ca="1">IFERROR(__xludf.DUMMYFUNCTION("""COMPUTED_VALUE"""),-17.04)</f>
        <v>-17.04</v>
      </c>
      <c r="F324" s="1">
        <f ca="1">IFERROR(__xludf.DUMMYFUNCTION("""COMPUTED_VALUE"""),90.6)</f>
        <v>90.6</v>
      </c>
      <c r="G324" s="1">
        <f ca="1">IFERROR(__xludf.DUMMYFUNCTION("""COMPUTED_VALUE"""),315)</f>
        <v>315</v>
      </c>
      <c r="H324" s="1">
        <f ca="1">IFERROR(__xludf.DUMMYFUNCTION("""COMPUTED_VALUE"""),107.6)</f>
        <v>107.6</v>
      </c>
      <c r="I324" s="1">
        <f ca="1">IFERROR(__xludf.DUMMYFUNCTION("""COMPUTED_VALUE"""),256)</f>
        <v>256</v>
      </c>
      <c r="J324" s="1">
        <f ca="1">IFERROR(__xludf.DUMMYFUNCTION("""COMPUTED_VALUE"""),65.8)</f>
        <v>65.8</v>
      </c>
      <c r="K324" s="1">
        <f ca="1">IFERROR(__xludf.DUMMYFUNCTION("""COMPUTED_VALUE"""),181)</f>
        <v>181</v>
      </c>
      <c r="L324" s="1">
        <f ca="1">IFERROR(__xludf.DUMMYFUNCTION("""COMPUTED_VALUE"""),-0.017)</f>
        <v>-1.7000000000000001E-2</v>
      </c>
      <c r="M324" s="1">
        <f ca="1">IFERROR(__xludf.DUMMYFUNCTION("""COMPUTED_VALUE"""),210)</f>
        <v>210</v>
      </c>
      <c r="N324" s="1">
        <f ca="1">IFERROR(__xludf.DUMMYFUNCTION("""COMPUTED_VALUE"""),-7.03)</f>
        <v>-7.03</v>
      </c>
      <c r="O324" s="1">
        <f ca="1">IFERROR(__xludf.DUMMYFUNCTION("""COMPUTED_VALUE"""),280)</f>
        <v>280</v>
      </c>
      <c r="P324" s="1">
        <f ca="1">IFERROR(__xludf.DUMMYFUNCTION("""COMPUTED_VALUE"""),99.6)</f>
        <v>99.6</v>
      </c>
      <c r="Q324" s="1">
        <f ca="1">IFERROR(__xludf.DUMMYFUNCTION("""COMPUTED_VALUE"""),258)</f>
        <v>258</v>
      </c>
      <c r="R324" s="1">
        <f ca="1">IFERROR(__xludf.DUMMYFUNCTION("""COMPUTED_VALUE"""),106.7)</f>
        <v>106.7</v>
      </c>
      <c r="S324" s="1">
        <f ca="1">IFERROR(__xludf.DUMMYFUNCTION("""COMPUTED_VALUE"""),303)</f>
        <v>303</v>
      </c>
      <c r="T324" s="1">
        <f ca="1">IFERROR(__xludf.DUMMYFUNCTION("""COMPUTED_VALUE"""),-5.22)</f>
        <v>-5.22</v>
      </c>
      <c r="U324" s="1">
        <f ca="1">IFERROR(__xludf.DUMMYFUNCTION("""COMPUTED_VALUE"""),286)</f>
        <v>286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IFERROR(__xludf.DUMMYFUNCTION("""COMPUTED_VALUE"""),"Mount St. Mary's")</f>
        <v>Mount St. Mary's</v>
      </c>
      <c r="C325" s="1" t="str">
        <f ca="1">IFERROR(__xludf.DUMMYFUNCTION("""COMPUTED_VALUE"""),"NEC")</f>
        <v>NEC</v>
      </c>
      <c r="D325" s="2">
        <f ca="1">IFERROR(__xludf.DUMMYFUNCTION("""COMPUTED_VALUE"""),44762)</f>
        <v>44762</v>
      </c>
      <c r="E325" s="1">
        <f ca="1">IFERROR(__xludf.DUMMYFUNCTION("""COMPUTED_VALUE"""),-17.48)</f>
        <v>-17.48</v>
      </c>
      <c r="F325" s="1">
        <f ca="1">IFERROR(__xludf.DUMMYFUNCTION("""COMPUTED_VALUE"""),94.7)</f>
        <v>94.7</v>
      </c>
      <c r="G325" s="1">
        <f ca="1">IFERROR(__xludf.DUMMYFUNCTION("""COMPUTED_VALUE"""),281)</f>
        <v>281</v>
      </c>
      <c r="H325" s="1">
        <f ca="1">IFERROR(__xludf.DUMMYFUNCTION("""COMPUTED_VALUE"""),112.2)</f>
        <v>112.2</v>
      </c>
      <c r="I325" s="1">
        <f ca="1">IFERROR(__xludf.DUMMYFUNCTION("""COMPUTED_VALUE"""),314)</f>
        <v>314</v>
      </c>
      <c r="J325" s="1">
        <f ca="1">IFERROR(__xludf.DUMMYFUNCTION("""COMPUTED_VALUE"""),64.8)</f>
        <v>64.8</v>
      </c>
      <c r="K325" s="1">
        <f ca="1">IFERROR(__xludf.DUMMYFUNCTION("""COMPUTED_VALUE"""),224)</f>
        <v>224</v>
      </c>
      <c r="L325" s="1">
        <f ca="1">IFERROR(__xludf.DUMMYFUNCTION("""COMPUTED_VALUE"""),-0.049)</f>
        <v>-4.9000000000000002E-2</v>
      </c>
      <c r="M325" s="1">
        <f ca="1">IFERROR(__xludf.DUMMYFUNCTION("""COMPUTED_VALUE"""),275)</f>
        <v>275</v>
      </c>
      <c r="N325" s="1">
        <f ca="1">IFERROR(__xludf.DUMMYFUNCTION("""COMPUTED_VALUE"""),-9.38)</f>
        <v>-9.3800000000000008</v>
      </c>
      <c r="O325" s="1">
        <f ca="1">IFERROR(__xludf.DUMMYFUNCTION("""COMPUTED_VALUE"""),306)</f>
        <v>306</v>
      </c>
      <c r="P325" s="1">
        <f ca="1">IFERROR(__xludf.DUMMYFUNCTION("""COMPUTED_VALUE"""),97.9)</f>
        <v>97.9</v>
      </c>
      <c r="Q325" s="1">
        <f ca="1">IFERROR(__xludf.DUMMYFUNCTION("""COMPUTED_VALUE"""),300)</f>
        <v>300</v>
      </c>
      <c r="R325" s="1">
        <f ca="1">IFERROR(__xludf.DUMMYFUNCTION("""COMPUTED_VALUE"""),107.3)</f>
        <v>107.3</v>
      </c>
      <c r="S325" s="1">
        <f ca="1">IFERROR(__xludf.DUMMYFUNCTION("""COMPUTED_VALUE"""),320)</f>
        <v>320</v>
      </c>
      <c r="T325" s="1">
        <f ca="1">IFERROR(__xludf.DUMMYFUNCTION("""COMPUTED_VALUE"""),-6.68)</f>
        <v>-6.68</v>
      </c>
      <c r="U325" s="1">
        <f ca="1">IFERROR(__xludf.DUMMYFUNCTION("""COMPUTED_VALUE"""),296)</f>
        <v>296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IFERROR(__xludf.DUMMYFUNCTION("""COMPUTED_VALUE"""),"Hartford")</f>
        <v>Hartford</v>
      </c>
      <c r="C326" s="1" t="str">
        <f ca="1">IFERROR(__xludf.DUMMYFUNCTION("""COMPUTED_VALUE"""),"AE")</f>
        <v>AE</v>
      </c>
      <c r="D326" s="2">
        <f ca="1">IFERROR(__xludf.DUMMYFUNCTION("""COMPUTED_VALUE"""),44793)</f>
        <v>44793</v>
      </c>
      <c r="E326" s="1">
        <f ca="1">IFERROR(__xludf.DUMMYFUNCTION("""COMPUTED_VALUE"""),-17.6)</f>
        <v>-17.600000000000001</v>
      </c>
      <c r="F326" s="1">
        <f ca="1">IFERROR(__xludf.DUMMYFUNCTION("""COMPUTED_VALUE"""),92.1)</f>
        <v>92.1</v>
      </c>
      <c r="G326" s="1">
        <f ca="1">IFERROR(__xludf.DUMMYFUNCTION("""COMPUTED_VALUE"""),306)</f>
        <v>306</v>
      </c>
      <c r="H326" s="1">
        <f ca="1">IFERROR(__xludf.DUMMYFUNCTION("""COMPUTED_VALUE"""),109.7)</f>
        <v>109.7</v>
      </c>
      <c r="I326" s="1">
        <f ca="1">IFERROR(__xludf.DUMMYFUNCTION("""COMPUTED_VALUE"""),288)</f>
        <v>288</v>
      </c>
      <c r="J326" s="1">
        <f ca="1">IFERROR(__xludf.DUMMYFUNCTION("""COMPUTED_VALUE"""),65)</f>
        <v>65</v>
      </c>
      <c r="K326" s="1">
        <f ca="1">IFERROR(__xludf.DUMMYFUNCTION("""COMPUTED_VALUE"""),213)</f>
        <v>213</v>
      </c>
      <c r="L326" s="1" t="str">
        <f ca="1">IFERROR(__xludf.DUMMYFUNCTION("""COMPUTED_VALUE"""),"+.014")</f>
        <v>+.014</v>
      </c>
      <c r="M326" s="1">
        <f ca="1">IFERROR(__xludf.DUMMYFUNCTION("""COMPUTED_VALUE"""),126)</f>
        <v>126</v>
      </c>
      <c r="N326" s="1">
        <f ca="1">IFERROR(__xludf.DUMMYFUNCTION("""COMPUTED_VALUE"""),-4.37)</f>
        <v>-4.37</v>
      </c>
      <c r="O326" s="1">
        <f ca="1">IFERROR(__xludf.DUMMYFUNCTION("""COMPUTED_VALUE"""),249)</f>
        <v>249</v>
      </c>
      <c r="P326" s="1">
        <f ca="1">IFERROR(__xludf.DUMMYFUNCTION("""COMPUTED_VALUE"""),99.2)</f>
        <v>99.2</v>
      </c>
      <c r="Q326" s="1">
        <f ca="1">IFERROR(__xludf.DUMMYFUNCTION("""COMPUTED_VALUE"""),272)</f>
        <v>272</v>
      </c>
      <c r="R326" s="1">
        <f ca="1">IFERROR(__xludf.DUMMYFUNCTION("""COMPUTED_VALUE"""),103.6)</f>
        <v>103.6</v>
      </c>
      <c r="S326" s="1">
        <f ca="1">IFERROR(__xludf.DUMMYFUNCTION("""COMPUTED_VALUE"""),189)</f>
        <v>189</v>
      </c>
      <c r="T326" s="1">
        <f ca="1">IFERROR(__xludf.DUMMYFUNCTION("""COMPUTED_VALUE"""),-7.32)</f>
        <v>-7.32</v>
      </c>
      <c r="U326" s="1">
        <f ca="1">IFERROR(__xludf.DUMMYFUNCTION("""COMPUTED_VALUE"""),303)</f>
        <v>303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IFERROR(__xludf.DUMMYFUNCTION("""COMPUTED_VALUE"""),"Cal Poly")</f>
        <v>Cal Poly</v>
      </c>
      <c r="C327" s="1" t="str">
        <f ca="1">IFERROR(__xludf.DUMMYFUNCTION("""COMPUTED_VALUE"""),"BW")</f>
        <v>BW</v>
      </c>
      <c r="D327" s="2">
        <f ca="1">IFERROR(__xludf.DUMMYFUNCTION("""COMPUTED_VALUE"""),44703)</f>
        <v>44703</v>
      </c>
      <c r="E327" s="1">
        <f ca="1">IFERROR(__xludf.DUMMYFUNCTION("""COMPUTED_VALUE"""),-17.87)</f>
        <v>-17.87</v>
      </c>
      <c r="F327" s="1">
        <f ca="1">IFERROR(__xludf.DUMMYFUNCTION("""COMPUTED_VALUE"""),96.8)</f>
        <v>96.8</v>
      </c>
      <c r="G327" s="1">
        <f ca="1">IFERROR(__xludf.DUMMYFUNCTION("""COMPUTED_VALUE"""),257)</f>
        <v>257</v>
      </c>
      <c r="H327" s="1">
        <f ca="1">IFERROR(__xludf.DUMMYFUNCTION("""COMPUTED_VALUE"""),114.7)</f>
        <v>114.7</v>
      </c>
      <c r="I327" s="1">
        <f ca="1">IFERROR(__xludf.DUMMYFUNCTION("""COMPUTED_VALUE"""),327)</f>
        <v>327</v>
      </c>
      <c r="J327" s="1">
        <f ca="1">IFERROR(__xludf.DUMMYFUNCTION("""COMPUTED_VALUE"""),71.2)</f>
        <v>71.2</v>
      </c>
      <c r="K327" s="1">
        <f ca="1">IFERROR(__xludf.DUMMYFUNCTION("""COMPUTED_VALUE"""),18)</f>
        <v>18</v>
      </c>
      <c r="L327" s="1" t="str">
        <f ca="1">IFERROR(__xludf.DUMMYFUNCTION("""COMPUTED_VALUE"""),"+.003")</f>
        <v>+.003</v>
      </c>
      <c r="M327" s="1">
        <f ca="1">IFERROR(__xludf.DUMMYFUNCTION("""COMPUTED_VALUE"""),154)</f>
        <v>154</v>
      </c>
      <c r="N327" s="1">
        <f ca="1">IFERROR(__xludf.DUMMYFUNCTION("""COMPUTED_VALUE"""),-1.07)</f>
        <v>-1.07</v>
      </c>
      <c r="O327" s="1">
        <f ca="1">IFERROR(__xludf.DUMMYFUNCTION("""COMPUTED_VALUE"""),178)</f>
        <v>178</v>
      </c>
      <c r="P327" s="1">
        <f ca="1">IFERROR(__xludf.DUMMYFUNCTION("""COMPUTED_VALUE"""),101.9)</f>
        <v>101.9</v>
      </c>
      <c r="Q327" s="1">
        <f ca="1">IFERROR(__xludf.DUMMYFUNCTION("""COMPUTED_VALUE"""),198)</f>
        <v>198</v>
      </c>
      <c r="R327" s="1">
        <f ca="1">IFERROR(__xludf.DUMMYFUNCTION("""COMPUTED_VALUE"""),103)</f>
        <v>103</v>
      </c>
      <c r="S327" s="1">
        <f ca="1">IFERROR(__xludf.DUMMYFUNCTION("""COMPUTED_VALUE"""),152)</f>
        <v>152</v>
      </c>
      <c r="T327" s="1">
        <f ca="1">IFERROR(__xludf.DUMMYFUNCTION("""COMPUTED_VALUE"""),-3.8)</f>
        <v>-3.8</v>
      </c>
      <c r="U327" s="1">
        <f ca="1">IFERROR(__xludf.DUMMYFUNCTION("""COMPUTED_VALUE"""),250)</f>
        <v>250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IFERROR(__xludf.DUMMYFUNCTION("""COMPUTED_VALUE"""),"James Madison")</f>
        <v>James Madison</v>
      </c>
      <c r="C328" s="1" t="str">
        <f ca="1">IFERROR(__xludf.DUMMYFUNCTION("""COMPUTED_VALUE"""),"CAA")</f>
        <v>CAA</v>
      </c>
      <c r="D328" s="2">
        <f ca="1">IFERROR(__xludf.DUMMYFUNCTION("""COMPUTED_VALUE"""),44734)</f>
        <v>44734</v>
      </c>
      <c r="E328" s="1">
        <f ca="1">IFERROR(__xludf.DUMMYFUNCTION("""COMPUTED_VALUE"""),-18.32)</f>
        <v>-18.32</v>
      </c>
      <c r="F328" s="1">
        <f ca="1">IFERROR(__xludf.DUMMYFUNCTION("""COMPUTED_VALUE"""),92.2)</f>
        <v>92.2</v>
      </c>
      <c r="G328" s="1">
        <f ca="1">IFERROR(__xludf.DUMMYFUNCTION("""COMPUTED_VALUE"""),304)</f>
        <v>304</v>
      </c>
      <c r="H328" s="1">
        <f ca="1">IFERROR(__xludf.DUMMYFUNCTION("""COMPUTED_VALUE"""),110.6)</f>
        <v>110.6</v>
      </c>
      <c r="I328" s="1">
        <f ca="1">IFERROR(__xludf.DUMMYFUNCTION("""COMPUTED_VALUE"""),298)</f>
        <v>298</v>
      </c>
      <c r="J328" s="1">
        <f ca="1">IFERROR(__xludf.DUMMYFUNCTION("""COMPUTED_VALUE"""),64.7)</f>
        <v>64.7</v>
      </c>
      <c r="K328" s="1">
        <f ca="1">IFERROR(__xludf.DUMMYFUNCTION("""COMPUTED_VALUE"""),228)</f>
        <v>228</v>
      </c>
      <c r="L328" s="1">
        <f ca="1">IFERROR(__xludf.DUMMYFUNCTION("""COMPUTED_VALUE"""),-0.002)</f>
        <v>-2E-3</v>
      </c>
      <c r="M328" s="1">
        <f ca="1">IFERROR(__xludf.DUMMYFUNCTION("""COMPUTED_VALUE"""),169)</f>
        <v>169</v>
      </c>
      <c r="N328" s="1">
        <f ca="1">IFERROR(__xludf.DUMMYFUNCTION("""COMPUTED_VALUE"""),-2.58)</f>
        <v>-2.58</v>
      </c>
      <c r="O328" s="1">
        <f ca="1">IFERROR(__xludf.DUMMYFUNCTION("""COMPUTED_VALUE"""),204)</f>
        <v>204</v>
      </c>
      <c r="P328" s="1">
        <f ca="1">IFERROR(__xludf.DUMMYFUNCTION("""COMPUTED_VALUE"""),100.9)</f>
        <v>100.9</v>
      </c>
      <c r="Q328" s="1">
        <f ca="1">IFERROR(__xludf.DUMMYFUNCTION("""COMPUTED_VALUE"""),227)</f>
        <v>227</v>
      </c>
      <c r="R328" s="1">
        <f ca="1">IFERROR(__xludf.DUMMYFUNCTION("""COMPUTED_VALUE"""),103.5)</f>
        <v>103.5</v>
      </c>
      <c r="S328" s="1">
        <f ca="1">IFERROR(__xludf.DUMMYFUNCTION("""COMPUTED_VALUE"""),186)</f>
        <v>186</v>
      </c>
      <c r="T328" s="1">
        <f ca="1">IFERROR(__xludf.DUMMYFUNCTION("""COMPUTED_VALUE"""),-4.1)</f>
        <v>-4.0999999999999996</v>
      </c>
      <c r="U328" s="1">
        <f ca="1">IFERROR(__xludf.DUMMYFUNCTION("""COMPUTED_VALUE"""),260)</f>
        <v>260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IFERROR(__xludf.DUMMYFUNCTION("""COMPUTED_VALUE"""),"Bethune Cookman")</f>
        <v>Bethune Cookman</v>
      </c>
      <c r="C329" s="1" t="str">
        <f ca="1">IFERROR(__xludf.DUMMYFUNCTION("""COMPUTED_VALUE"""),"MEAC")</f>
        <v>MEAC</v>
      </c>
      <c r="D329" s="1" t="str">
        <f ca="1">IFERROR(__xludf.DUMMYFUNCTION("""COMPUTED_VALUE"""),"13-17")</f>
        <v>13-17</v>
      </c>
      <c r="E329" s="1">
        <f ca="1">IFERROR(__xludf.DUMMYFUNCTION("""COMPUTED_VALUE"""),-18.38)</f>
        <v>-18.38</v>
      </c>
      <c r="F329" s="1">
        <f ca="1">IFERROR(__xludf.DUMMYFUNCTION("""COMPUTED_VALUE"""),90.7)</f>
        <v>90.7</v>
      </c>
      <c r="G329" s="1">
        <f ca="1">IFERROR(__xludf.DUMMYFUNCTION("""COMPUTED_VALUE"""),313)</f>
        <v>313</v>
      </c>
      <c r="H329" s="1">
        <f ca="1">IFERROR(__xludf.DUMMYFUNCTION("""COMPUTED_VALUE"""),109.1)</f>
        <v>109.1</v>
      </c>
      <c r="I329" s="1">
        <f ca="1">IFERROR(__xludf.DUMMYFUNCTION("""COMPUTED_VALUE"""),280)</f>
        <v>280</v>
      </c>
      <c r="J329" s="1">
        <f ca="1">IFERROR(__xludf.DUMMYFUNCTION("""COMPUTED_VALUE"""),67.2)</f>
        <v>67.2</v>
      </c>
      <c r="K329" s="1">
        <f ca="1">IFERROR(__xludf.DUMMYFUNCTION("""COMPUTED_VALUE"""),116)</f>
        <v>116</v>
      </c>
      <c r="L329" s="1" t="str">
        <f ca="1">IFERROR(__xludf.DUMMYFUNCTION("""COMPUTED_VALUE"""),"+.073")</f>
        <v>+.073</v>
      </c>
      <c r="M329" s="1">
        <f ca="1">IFERROR(__xludf.DUMMYFUNCTION("""COMPUTED_VALUE"""),29)</f>
        <v>29</v>
      </c>
      <c r="N329" s="1">
        <f ca="1">IFERROR(__xludf.DUMMYFUNCTION("""COMPUTED_VALUE"""),-12.4)</f>
        <v>-12.4</v>
      </c>
      <c r="O329" s="1">
        <f ca="1">IFERROR(__xludf.DUMMYFUNCTION("""COMPUTED_VALUE"""),320)</f>
        <v>320</v>
      </c>
      <c r="P329" s="1">
        <f ca="1">IFERROR(__xludf.DUMMYFUNCTION("""COMPUTED_VALUE"""),93.3)</f>
        <v>93.3</v>
      </c>
      <c r="Q329" s="1">
        <f ca="1">IFERROR(__xludf.DUMMYFUNCTION("""COMPUTED_VALUE"""),325)</f>
        <v>325</v>
      </c>
      <c r="R329" s="1">
        <f ca="1">IFERROR(__xludf.DUMMYFUNCTION("""COMPUTED_VALUE"""),105.7)</f>
        <v>105.7</v>
      </c>
      <c r="S329" s="1">
        <f ca="1">IFERROR(__xludf.DUMMYFUNCTION("""COMPUTED_VALUE"""),274)</f>
        <v>274</v>
      </c>
      <c r="T329" s="1">
        <f ca="1">IFERROR(__xludf.DUMMYFUNCTION("""COMPUTED_VALUE"""),-4.4)</f>
        <v>-4.4000000000000004</v>
      </c>
      <c r="U329" s="1">
        <f ca="1">IFERROR(__xludf.DUMMYFUNCTION("""COMPUTED_VALUE"""),267)</f>
        <v>267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IFERROR(__xludf.DUMMYFUNCTION("""COMPUTED_VALUE"""),"Texas Southern")</f>
        <v>Texas Southern</v>
      </c>
      <c r="C330" s="1" t="str">
        <f ca="1">IFERROR(__xludf.DUMMYFUNCTION("""COMPUTED_VALUE"""),"SWAC")</f>
        <v>SWAC</v>
      </c>
      <c r="D330" s="2">
        <f ca="1">IFERROR(__xludf.DUMMYFUNCTION("""COMPUTED_VALUE"""),44879)</f>
        <v>44879</v>
      </c>
      <c r="E330" s="1">
        <f ca="1">IFERROR(__xludf.DUMMYFUNCTION("""COMPUTED_VALUE"""),-18.42)</f>
        <v>-18.420000000000002</v>
      </c>
      <c r="F330" s="1">
        <f ca="1">IFERROR(__xludf.DUMMYFUNCTION("""COMPUTED_VALUE"""),93.8)</f>
        <v>93.8</v>
      </c>
      <c r="G330" s="1">
        <f ca="1">IFERROR(__xludf.DUMMYFUNCTION("""COMPUTED_VALUE"""),294)</f>
        <v>294</v>
      </c>
      <c r="H330" s="1">
        <f ca="1">IFERROR(__xludf.DUMMYFUNCTION("""COMPUTED_VALUE"""),112.2)</f>
        <v>112.2</v>
      </c>
      <c r="I330" s="1">
        <f ca="1">IFERROR(__xludf.DUMMYFUNCTION("""COMPUTED_VALUE"""),312)</f>
        <v>312</v>
      </c>
      <c r="J330" s="1">
        <f ca="1">IFERROR(__xludf.DUMMYFUNCTION("""COMPUTED_VALUE"""),67.1)</f>
        <v>67.099999999999994</v>
      </c>
      <c r="K330" s="1">
        <f ca="1">IFERROR(__xludf.DUMMYFUNCTION("""COMPUTED_VALUE"""),123)</f>
        <v>123</v>
      </c>
      <c r="L330" s="1" t="str">
        <f ca="1">IFERROR(__xludf.DUMMYFUNCTION("""COMPUTED_VALUE"""),"+.050")</f>
        <v>+.050</v>
      </c>
      <c r="M330" s="1">
        <f ca="1">IFERROR(__xludf.DUMMYFUNCTION("""COMPUTED_VALUE"""),54)</f>
        <v>54</v>
      </c>
      <c r="N330" s="1">
        <f ca="1">IFERROR(__xludf.DUMMYFUNCTION("""COMPUTED_VALUE"""),-14.85)</f>
        <v>-14.85</v>
      </c>
      <c r="O330" s="1">
        <f ca="1">IFERROR(__xludf.DUMMYFUNCTION("""COMPUTED_VALUE"""),329)</f>
        <v>329</v>
      </c>
      <c r="P330" s="1">
        <f ca="1">IFERROR(__xludf.DUMMYFUNCTION("""COMPUTED_VALUE"""),91.1)</f>
        <v>91.1</v>
      </c>
      <c r="Q330" s="1">
        <f ca="1">IFERROR(__xludf.DUMMYFUNCTION("""COMPUTED_VALUE"""),330)</f>
        <v>330</v>
      </c>
      <c r="R330" s="1">
        <f ca="1">IFERROR(__xludf.DUMMYFUNCTION("""COMPUTED_VALUE"""),105.9)</f>
        <v>105.9</v>
      </c>
      <c r="S330" s="1">
        <f ca="1">IFERROR(__xludf.DUMMYFUNCTION("""COMPUTED_VALUE"""),282)</f>
        <v>282</v>
      </c>
      <c r="T330" s="1">
        <f ca="1">IFERROR(__xludf.DUMMYFUNCTION("""COMPUTED_VALUE"""),-2.45)</f>
        <v>-2.4500000000000002</v>
      </c>
      <c r="U330" s="1">
        <f ca="1">IFERROR(__xludf.DUMMYFUNCTION("""COMPUTED_VALUE"""),227)</f>
        <v>227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IFERROR(__xludf.DUMMYFUNCTION("""COMPUTED_VALUE"""),"Sacred Heart")</f>
        <v>Sacred Heart</v>
      </c>
      <c r="C331" s="1" t="str">
        <f ca="1">IFERROR(__xludf.DUMMYFUNCTION("""COMPUTED_VALUE"""),"NEC")</f>
        <v>NEC</v>
      </c>
      <c r="D331" s="2">
        <f ca="1">IFERROR(__xludf.DUMMYFUNCTION("""COMPUTED_VALUE"""),44674)</f>
        <v>44674</v>
      </c>
      <c r="E331" s="1">
        <f ca="1">IFERROR(__xludf.DUMMYFUNCTION("""COMPUTED_VALUE"""),-18.48)</f>
        <v>-18.48</v>
      </c>
      <c r="F331" s="1">
        <f ca="1">IFERROR(__xludf.DUMMYFUNCTION("""COMPUTED_VALUE"""),90.3)</f>
        <v>90.3</v>
      </c>
      <c r="G331" s="1">
        <f ca="1">IFERROR(__xludf.DUMMYFUNCTION("""COMPUTED_VALUE"""),318)</f>
        <v>318</v>
      </c>
      <c r="H331" s="1">
        <f ca="1">IFERROR(__xludf.DUMMYFUNCTION("""COMPUTED_VALUE"""),108.8)</f>
        <v>108.8</v>
      </c>
      <c r="I331" s="1">
        <f ca="1">IFERROR(__xludf.DUMMYFUNCTION("""COMPUTED_VALUE"""),278)</f>
        <v>278</v>
      </c>
      <c r="J331" s="1">
        <f ca="1">IFERROR(__xludf.DUMMYFUNCTION("""COMPUTED_VALUE"""),68.8)</f>
        <v>68.8</v>
      </c>
      <c r="K331" s="1">
        <f ca="1">IFERROR(__xludf.DUMMYFUNCTION("""COMPUTED_VALUE"""),62)</f>
        <v>62</v>
      </c>
      <c r="L331" s="1">
        <f ca="1">IFERROR(__xludf.DUMMYFUNCTION("""COMPUTED_VALUE"""),-0.068)</f>
        <v>-6.8000000000000005E-2</v>
      </c>
      <c r="M331" s="1">
        <f ca="1">IFERROR(__xludf.DUMMYFUNCTION("""COMPUTED_VALUE"""),303)</f>
        <v>303</v>
      </c>
      <c r="N331" s="1">
        <f ca="1">IFERROR(__xludf.DUMMYFUNCTION("""COMPUTED_VALUE"""),-7.72)</f>
        <v>-7.72</v>
      </c>
      <c r="O331" s="1">
        <f ca="1">IFERROR(__xludf.DUMMYFUNCTION("""COMPUTED_VALUE"""),291)</f>
        <v>291</v>
      </c>
      <c r="P331" s="1">
        <f ca="1">IFERROR(__xludf.DUMMYFUNCTION("""COMPUTED_VALUE"""),99.7)</f>
        <v>99.7</v>
      </c>
      <c r="Q331" s="1">
        <f ca="1">IFERROR(__xludf.DUMMYFUNCTION("""COMPUTED_VALUE"""),256)</f>
        <v>256</v>
      </c>
      <c r="R331" s="1">
        <f ca="1">IFERROR(__xludf.DUMMYFUNCTION("""COMPUTED_VALUE"""),107.4)</f>
        <v>107.4</v>
      </c>
      <c r="S331" s="1">
        <f ca="1">IFERROR(__xludf.DUMMYFUNCTION("""COMPUTED_VALUE"""),321)</f>
        <v>321</v>
      </c>
      <c r="T331" s="1">
        <f ca="1">IFERROR(__xludf.DUMMYFUNCTION("""COMPUTED_VALUE"""),-0.06)</f>
        <v>-0.06</v>
      </c>
      <c r="U331" s="1">
        <f ca="1">IFERROR(__xludf.DUMMYFUNCTION("""COMPUTED_VALUE"""),165)</f>
        <v>165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IFERROR(__xludf.DUMMYFUNCTION("""COMPUTED_VALUE"""),"VMI")</f>
        <v>VMI</v>
      </c>
      <c r="C332" s="1" t="str">
        <f ca="1">IFERROR(__xludf.DUMMYFUNCTION("""COMPUTED_VALUE"""),"BSth")</f>
        <v>BSth</v>
      </c>
      <c r="D332" s="2">
        <f ca="1">IFERROR(__xludf.DUMMYFUNCTION("""COMPUTED_VALUE"""),44822)</f>
        <v>44822</v>
      </c>
      <c r="E332" s="1">
        <f ca="1">IFERROR(__xludf.DUMMYFUNCTION("""COMPUTED_VALUE"""),-18.53)</f>
        <v>-18.53</v>
      </c>
      <c r="F332" s="1">
        <f ca="1">IFERROR(__xludf.DUMMYFUNCTION("""COMPUTED_VALUE"""),91.4)</f>
        <v>91.4</v>
      </c>
      <c r="G332" s="1">
        <f ca="1">IFERROR(__xludf.DUMMYFUNCTION("""COMPUTED_VALUE"""),310)</f>
        <v>310</v>
      </c>
      <c r="H332" s="1">
        <f ca="1">IFERROR(__xludf.DUMMYFUNCTION("""COMPUTED_VALUE"""),109.9)</f>
        <v>109.9</v>
      </c>
      <c r="I332" s="1">
        <f ca="1">IFERROR(__xludf.DUMMYFUNCTION("""COMPUTED_VALUE"""),292)</f>
        <v>292</v>
      </c>
      <c r="J332" s="1">
        <f ca="1">IFERROR(__xludf.DUMMYFUNCTION("""COMPUTED_VALUE"""),66.7)</f>
        <v>66.7</v>
      </c>
      <c r="K332" s="1">
        <f ca="1">IFERROR(__xludf.DUMMYFUNCTION("""COMPUTED_VALUE"""),135)</f>
        <v>135</v>
      </c>
      <c r="L332" s="1">
        <f ca="1">IFERROR(__xludf.DUMMYFUNCTION("""COMPUTED_VALUE"""),-0.002)</f>
        <v>-2E-3</v>
      </c>
      <c r="M332" s="1">
        <f ca="1">IFERROR(__xludf.DUMMYFUNCTION("""COMPUTED_VALUE"""),168)</f>
        <v>168</v>
      </c>
      <c r="N332" s="1">
        <f ca="1">IFERROR(__xludf.DUMMYFUNCTION("""COMPUTED_VALUE"""),-9.51)</f>
        <v>-9.51</v>
      </c>
      <c r="O332" s="1">
        <f ca="1">IFERROR(__xludf.DUMMYFUNCTION("""COMPUTED_VALUE"""),307)</f>
        <v>307</v>
      </c>
      <c r="P332" s="1">
        <f ca="1">IFERROR(__xludf.DUMMYFUNCTION("""COMPUTED_VALUE"""),97.5)</f>
        <v>97.5</v>
      </c>
      <c r="Q332" s="1">
        <f ca="1">IFERROR(__xludf.DUMMYFUNCTION("""COMPUTED_VALUE"""),306)</f>
        <v>306</v>
      </c>
      <c r="R332" s="1">
        <f ca="1">IFERROR(__xludf.DUMMYFUNCTION("""COMPUTED_VALUE"""),107)</f>
        <v>107</v>
      </c>
      <c r="S332" s="1">
        <f ca="1">IFERROR(__xludf.DUMMYFUNCTION("""COMPUTED_VALUE"""),311)</f>
        <v>311</v>
      </c>
      <c r="T332" s="1">
        <f ca="1">IFERROR(__xludf.DUMMYFUNCTION("""COMPUTED_VALUE"""),-9.51)</f>
        <v>-9.51</v>
      </c>
      <c r="U332" s="1">
        <f ca="1">IFERROR(__xludf.DUMMYFUNCTION("""COMPUTED_VALUE"""),314)</f>
        <v>314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IFERROR(__xludf.DUMMYFUNCTION("""COMPUTED_VALUE"""),"Nicholls St.")</f>
        <v>Nicholls St.</v>
      </c>
      <c r="C333" s="1" t="str">
        <f ca="1">IFERROR(__xludf.DUMMYFUNCTION("""COMPUTED_VALUE"""),"Slnd")</f>
        <v>Slnd</v>
      </c>
      <c r="D333" s="2">
        <f ca="1">IFERROR(__xludf.DUMMYFUNCTION("""COMPUTED_VALUE"""),44733)</f>
        <v>44733</v>
      </c>
      <c r="E333" s="1">
        <f ca="1">IFERROR(__xludf.DUMMYFUNCTION("""COMPUTED_VALUE"""),-18.63)</f>
        <v>-18.63</v>
      </c>
      <c r="F333" s="1">
        <f ca="1">IFERROR(__xludf.DUMMYFUNCTION("""COMPUTED_VALUE"""),95.6)</f>
        <v>95.6</v>
      </c>
      <c r="G333" s="1">
        <f ca="1">IFERROR(__xludf.DUMMYFUNCTION("""COMPUTED_VALUE"""),271)</f>
        <v>271</v>
      </c>
      <c r="H333" s="1">
        <f ca="1">IFERROR(__xludf.DUMMYFUNCTION("""COMPUTED_VALUE"""),114.3)</f>
        <v>114.3</v>
      </c>
      <c r="I333" s="1">
        <f ca="1">IFERROR(__xludf.DUMMYFUNCTION("""COMPUTED_VALUE"""),323)</f>
        <v>323</v>
      </c>
      <c r="J333" s="1">
        <f ca="1">IFERROR(__xludf.DUMMYFUNCTION("""COMPUTED_VALUE"""),70.8)</f>
        <v>70.8</v>
      </c>
      <c r="K333" s="1">
        <f ca="1">IFERROR(__xludf.DUMMYFUNCTION("""COMPUTED_VALUE"""),26)</f>
        <v>26</v>
      </c>
      <c r="L333" s="1">
        <f ca="1">IFERROR(__xludf.DUMMYFUNCTION("""COMPUTED_VALUE"""),-0.104)</f>
        <v>-0.104</v>
      </c>
      <c r="M333" s="1">
        <f ca="1">IFERROR(__xludf.DUMMYFUNCTION("""COMPUTED_VALUE"""),324)</f>
        <v>324</v>
      </c>
      <c r="N333" s="1">
        <f ca="1">IFERROR(__xludf.DUMMYFUNCTION("""COMPUTED_VALUE"""),-4.67)</f>
        <v>-4.67</v>
      </c>
      <c r="O333" s="1">
        <f ca="1">IFERROR(__xludf.DUMMYFUNCTION("""COMPUTED_VALUE"""),256)</f>
        <v>256</v>
      </c>
      <c r="P333" s="1">
        <f ca="1">IFERROR(__xludf.DUMMYFUNCTION("""COMPUTED_VALUE"""),99.6)</f>
        <v>99.6</v>
      </c>
      <c r="Q333" s="1">
        <f ca="1">IFERROR(__xludf.DUMMYFUNCTION("""COMPUTED_VALUE"""),259)</f>
        <v>259</v>
      </c>
      <c r="R333" s="1">
        <f ca="1">IFERROR(__xludf.DUMMYFUNCTION("""COMPUTED_VALUE"""),104.3)</f>
        <v>104.3</v>
      </c>
      <c r="S333" s="1">
        <f ca="1">IFERROR(__xludf.DUMMYFUNCTION("""COMPUTED_VALUE"""),220)</f>
        <v>220</v>
      </c>
      <c r="T333" s="1">
        <f ca="1">IFERROR(__xludf.DUMMYFUNCTION("""COMPUTED_VALUE"""),-1.23)</f>
        <v>-1.23</v>
      </c>
      <c r="U333" s="1">
        <f ca="1">IFERROR(__xludf.DUMMYFUNCTION("""COMPUTED_VALUE"""),195)</f>
        <v>195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IFERROR(__xludf.DUMMYFUNCTION("""COMPUTED_VALUE"""),"Youngstown St.")</f>
        <v>Youngstown St.</v>
      </c>
      <c r="C334" s="1" t="str">
        <f ca="1">IFERROR(__xludf.DUMMYFUNCTION("""COMPUTED_VALUE"""),"Horz")</f>
        <v>Horz</v>
      </c>
      <c r="D334" s="2">
        <f ca="1">IFERROR(__xludf.DUMMYFUNCTION("""COMPUTED_VALUE"""),44704)</f>
        <v>44704</v>
      </c>
      <c r="E334" s="1">
        <f ca="1">IFERROR(__xludf.DUMMYFUNCTION("""COMPUTED_VALUE"""),-19.54)</f>
        <v>-19.54</v>
      </c>
      <c r="F334" s="1">
        <f ca="1">IFERROR(__xludf.DUMMYFUNCTION("""COMPUTED_VALUE"""),92.2)</f>
        <v>92.2</v>
      </c>
      <c r="G334" s="1">
        <f ca="1">IFERROR(__xludf.DUMMYFUNCTION("""COMPUTED_VALUE"""),305)</f>
        <v>305</v>
      </c>
      <c r="H334" s="1">
        <f ca="1">IFERROR(__xludf.DUMMYFUNCTION("""COMPUTED_VALUE"""),111.8)</f>
        <v>111.8</v>
      </c>
      <c r="I334" s="1">
        <f ca="1">IFERROR(__xludf.DUMMYFUNCTION("""COMPUTED_VALUE"""),308)</f>
        <v>308</v>
      </c>
      <c r="J334" s="1">
        <f ca="1">IFERROR(__xludf.DUMMYFUNCTION("""COMPUTED_VALUE"""),64.2)</f>
        <v>64.2</v>
      </c>
      <c r="K334" s="1">
        <f ca="1">IFERROR(__xludf.DUMMYFUNCTION("""COMPUTED_VALUE"""),243)</f>
        <v>243</v>
      </c>
      <c r="L334" s="1">
        <f ca="1">IFERROR(__xludf.DUMMYFUNCTION("""COMPUTED_VALUE"""),-0.001)</f>
        <v>-1E-3</v>
      </c>
      <c r="M334" s="1">
        <f ca="1">IFERROR(__xludf.DUMMYFUNCTION("""COMPUTED_VALUE"""),162)</f>
        <v>162</v>
      </c>
      <c r="N334" s="1">
        <f ca="1">IFERROR(__xludf.DUMMYFUNCTION("""COMPUTED_VALUE"""),-0.65)</f>
        <v>-0.65</v>
      </c>
      <c r="O334" s="1">
        <f ca="1">IFERROR(__xludf.DUMMYFUNCTION("""COMPUTED_VALUE"""),167)</f>
        <v>167</v>
      </c>
      <c r="P334" s="1">
        <f ca="1">IFERROR(__xludf.DUMMYFUNCTION("""COMPUTED_VALUE"""),103.2)</f>
        <v>103.2</v>
      </c>
      <c r="Q334" s="1">
        <f ca="1">IFERROR(__xludf.DUMMYFUNCTION("""COMPUTED_VALUE"""),157)</f>
        <v>157</v>
      </c>
      <c r="R334" s="1">
        <f ca="1">IFERROR(__xludf.DUMMYFUNCTION("""COMPUTED_VALUE"""),103.8)</f>
        <v>103.8</v>
      </c>
      <c r="S334" s="1">
        <f ca="1">IFERROR(__xludf.DUMMYFUNCTION("""COMPUTED_VALUE"""),203)</f>
        <v>203</v>
      </c>
      <c r="T334" s="1">
        <f ca="1">IFERROR(__xludf.DUMMYFUNCTION("""COMPUTED_VALUE"""),-5.06)</f>
        <v>-5.0599999999999996</v>
      </c>
      <c r="U334" s="1">
        <f ca="1">IFERROR(__xludf.DUMMYFUNCTION("""COMPUTED_VALUE"""),285)</f>
        <v>285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IFERROR(__xludf.DUMMYFUNCTION("""COMPUTED_VALUE"""),"Centenary")</f>
        <v>Centenary</v>
      </c>
      <c r="C335" s="1" t="str">
        <f ca="1">IFERROR(__xludf.DUMMYFUNCTION("""COMPUTED_VALUE"""),"MCon")</f>
        <v>MCon</v>
      </c>
      <c r="D335" s="2">
        <f ca="1">IFERROR(__xludf.DUMMYFUNCTION("""COMPUTED_VALUE"""),44644)</f>
        <v>44644</v>
      </c>
      <c r="E335" s="1">
        <f ca="1">IFERROR(__xludf.DUMMYFUNCTION("""COMPUTED_VALUE"""),-19.89)</f>
        <v>-19.89</v>
      </c>
      <c r="F335" s="1">
        <f ca="1">IFERROR(__xludf.DUMMYFUNCTION("""COMPUTED_VALUE"""),93.5)</f>
        <v>93.5</v>
      </c>
      <c r="G335" s="1">
        <f ca="1">IFERROR(__xludf.DUMMYFUNCTION("""COMPUTED_VALUE"""),297)</f>
        <v>297</v>
      </c>
      <c r="H335" s="1">
        <f ca="1">IFERROR(__xludf.DUMMYFUNCTION("""COMPUTED_VALUE"""),113.4)</f>
        <v>113.4</v>
      </c>
      <c r="I335" s="1">
        <f ca="1">IFERROR(__xludf.DUMMYFUNCTION("""COMPUTED_VALUE"""),320)</f>
        <v>320</v>
      </c>
      <c r="J335" s="1">
        <f ca="1">IFERROR(__xludf.DUMMYFUNCTION("""COMPUTED_VALUE"""),66)</f>
        <v>66</v>
      </c>
      <c r="K335" s="1">
        <f ca="1">IFERROR(__xludf.DUMMYFUNCTION("""COMPUTED_VALUE"""),169)</f>
        <v>169</v>
      </c>
      <c r="L335" s="1">
        <f ca="1">IFERROR(__xludf.DUMMYFUNCTION("""COMPUTED_VALUE"""),-0.033)</f>
        <v>-3.3000000000000002E-2</v>
      </c>
      <c r="M335" s="1">
        <f ca="1">IFERROR(__xludf.DUMMYFUNCTION("""COMPUTED_VALUE"""),249)</f>
        <v>249</v>
      </c>
      <c r="N335" s="1">
        <f ca="1">IFERROR(__xludf.DUMMYFUNCTION("""COMPUTED_VALUE"""),-0.71)</f>
        <v>-0.71</v>
      </c>
      <c r="O335" s="1">
        <f ca="1">IFERROR(__xludf.DUMMYFUNCTION("""COMPUTED_VALUE"""),170)</f>
        <v>170</v>
      </c>
      <c r="P335" s="1">
        <f ca="1">IFERROR(__xludf.DUMMYFUNCTION("""COMPUTED_VALUE"""),104.5)</f>
        <v>104.5</v>
      </c>
      <c r="Q335" s="1">
        <f ca="1">IFERROR(__xludf.DUMMYFUNCTION("""COMPUTED_VALUE"""),123)</f>
        <v>123</v>
      </c>
      <c r="R335" s="1">
        <f ca="1">IFERROR(__xludf.DUMMYFUNCTION("""COMPUTED_VALUE"""),105.2)</f>
        <v>105.2</v>
      </c>
      <c r="S335" s="1">
        <f ca="1">IFERROR(__xludf.DUMMYFUNCTION("""COMPUTED_VALUE"""),258)</f>
        <v>258</v>
      </c>
      <c r="T335" s="1" t="str">
        <f ca="1">IFERROR(__xludf.DUMMYFUNCTION("""COMPUTED_VALUE"""),"+3.67")</f>
        <v>+3.67</v>
      </c>
      <c r="U335" s="1">
        <f ca="1">IFERROR(__xludf.DUMMYFUNCTION("""COMPUTED_VALUE"""),74)</f>
        <v>74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IFERROR(__xludf.DUMMYFUNCTION("""COMPUTED_VALUE"""),"North Carolina A&amp;T")</f>
        <v>North Carolina A&amp;T</v>
      </c>
      <c r="C336" s="1" t="str">
        <f ca="1">IFERROR(__xludf.DUMMYFUNCTION("""COMPUTED_VALUE"""),"MEAC")</f>
        <v>MEAC</v>
      </c>
      <c r="D336" s="2">
        <f ca="1">IFERROR(__xludf.DUMMYFUNCTION("""COMPUTED_VALUE"""),44735)</f>
        <v>44735</v>
      </c>
      <c r="E336" s="1">
        <f ca="1">IFERROR(__xludf.DUMMYFUNCTION("""COMPUTED_VALUE"""),-20.49)</f>
        <v>-20.49</v>
      </c>
      <c r="F336" s="1">
        <f ca="1">IFERROR(__xludf.DUMMYFUNCTION("""COMPUTED_VALUE"""),83.1)</f>
        <v>83.1</v>
      </c>
      <c r="G336" s="1">
        <f ca="1">IFERROR(__xludf.DUMMYFUNCTION("""COMPUTED_VALUE"""),326)</f>
        <v>326</v>
      </c>
      <c r="H336" s="1">
        <f ca="1">IFERROR(__xludf.DUMMYFUNCTION("""COMPUTED_VALUE"""),103.6)</f>
        <v>103.6</v>
      </c>
      <c r="I336" s="1">
        <f ca="1">IFERROR(__xludf.DUMMYFUNCTION("""COMPUTED_VALUE"""),186)</f>
        <v>186</v>
      </c>
      <c r="J336" s="1">
        <f ca="1">IFERROR(__xludf.DUMMYFUNCTION("""COMPUTED_VALUE"""),73.2)</f>
        <v>73.2</v>
      </c>
      <c r="K336" s="1">
        <f ca="1">IFERROR(__xludf.DUMMYFUNCTION("""COMPUTED_VALUE"""),6)</f>
        <v>6</v>
      </c>
      <c r="L336" s="1">
        <f ca="1">IFERROR(__xludf.DUMMYFUNCTION("""COMPUTED_VALUE"""),-0.024)</f>
        <v>-2.4E-2</v>
      </c>
      <c r="M336" s="1">
        <f ca="1">IFERROR(__xludf.DUMMYFUNCTION("""COMPUTED_VALUE"""),227)</f>
        <v>227</v>
      </c>
      <c r="N336" s="1">
        <f ca="1">IFERROR(__xludf.DUMMYFUNCTION("""COMPUTED_VALUE"""),-9.68)</f>
        <v>-9.68</v>
      </c>
      <c r="O336" s="1">
        <f ca="1">IFERROR(__xludf.DUMMYFUNCTION("""COMPUTED_VALUE"""),309)</f>
        <v>309</v>
      </c>
      <c r="P336" s="1">
        <f ca="1">IFERROR(__xludf.DUMMYFUNCTION("""COMPUTED_VALUE"""),97)</f>
        <v>97</v>
      </c>
      <c r="Q336" s="1">
        <f ca="1">IFERROR(__xludf.DUMMYFUNCTION("""COMPUTED_VALUE"""),312)</f>
        <v>312</v>
      </c>
      <c r="R336" s="1">
        <f ca="1">IFERROR(__xludf.DUMMYFUNCTION("""COMPUTED_VALUE"""),106.7)</f>
        <v>106.7</v>
      </c>
      <c r="S336" s="1">
        <f ca="1">IFERROR(__xludf.DUMMYFUNCTION("""COMPUTED_VALUE"""),305)</f>
        <v>305</v>
      </c>
      <c r="T336" s="1" t="str">
        <f ca="1">IFERROR(__xludf.DUMMYFUNCTION("""COMPUTED_VALUE"""),"+4.46")</f>
        <v>+4.46</v>
      </c>
      <c r="U336" s="1">
        <f ca="1">IFERROR(__xludf.DUMMYFUNCTION("""COMPUTED_VALUE"""),61)</f>
        <v>61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IFERROR(__xludf.DUMMYFUNCTION("""COMPUTED_VALUE"""),"St. Bonaventure")</f>
        <v>St. Bonaventure</v>
      </c>
      <c r="C339" s="1" t="str">
        <f ca="1">IFERROR(__xludf.DUMMYFUNCTION("""COMPUTED_VALUE"""),"A10")</f>
        <v>A10</v>
      </c>
      <c r="D339" s="2">
        <f ca="1">IFERROR(__xludf.DUMMYFUNCTION("""COMPUTED_VALUE"""),44618)</f>
        <v>44618</v>
      </c>
      <c r="E339" s="1">
        <f ca="1">IFERROR(__xludf.DUMMYFUNCTION("""COMPUTED_VALUE"""),-21.17)</f>
        <v>-21.17</v>
      </c>
      <c r="F339" s="1">
        <f ca="1">IFERROR(__xludf.DUMMYFUNCTION("""COMPUTED_VALUE"""),92.7)</f>
        <v>92.7</v>
      </c>
      <c r="G339" s="1">
        <f ca="1">IFERROR(__xludf.DUMMYFUNCTION("""COMPUTED_VALUE"""),301)</f>
        <v>301</v>
      </c>
      <c r="H339" s="1">
        <f ca="1">IFERROR(__xludf.DUMMYFUNCTION("""COMPUTED_VALUE"""),113.9)</f>
        <v>113.9</v>
      </c>
      <c r="I339" s="1">
        <f ca="1">IFERROR(__xludf.DUMMYFUNCTION("""COMPUTED_VALUE"""),321)</f>
        <v>321</v>
      </c>
      <c r="J339" s="1">
        <f ca="1">IFERROR(__xludf.DUMMYFUNCTION("""COMPUTED_VALUE"""),68)</f>
        <v>68</v>
      </c>
      <c r="K339" s="1">
        <f ca="1">IFERROR(__xludf.DUMMYFUNCTION("""COMPUTED_VALUE"""),90)</f>
        <v>90</v>
      </c>
      <c r="L339" s="1">
        <f ca="1">IFERROR(__xludf.DUMMYFUNCTION("""COMPUTED_VALUE"""),-0.012)</f>
        <v>-1.2E-2</v>
      </c>
      <c r="M339" s="1">
        <f ca="1">IFERROR(__xludf.DUMMYFUNCTION("""COMPUTED_VALUE"""),193)</f>
        <v>193</v>
      </c>
      <c r="N339" s="1" t="str">
        <f ca="1">IFERROR(__xludf.DUMMYFUNCTION("""COMPUTED_VALUE"""),"+0.38")</f>
        <v>+0.38</v>
      </c>
      <c r="O339" s="1">
        <f ca="1">IFERROR(__xludf.DUMMYFUNCTION("""COMPUTED_VALUE"""),149)</f>
        <v>149</v>
      </c>
      <c r="P339" s="1">
        <f ca="1">IFERROR(__xludf.DUMMYFUNCTION("""COMPUTED_VALUE"""),103.1)</f>
        <v>103.1</v>
      </c>
      <c r="Q339" s="1">
        <f ca="1">IFERROR(__xludf.DUMMYFUNCTION("""COMPUTED_VALUE"""),158)</f>
        <v>158</v>
      </c>
      <c r="R339" s="1">
        <f ca="1">IFERROR(__xludf.DUMMYFUNCTION("""COMPUTED_VALUE"""),102.7)</f>
        <v>102.7</v>
      </c>
      <c r="S339" s="1">
        <f ca="1">IFERROR(__xludf.DUMMYFUNCTION("""COMPUTED_VALUE"""),148)</f>
        <v>148</v>
      </c>
      <c r="T339" s="1">
        <f ca="1">IFERROR(__xludf.DUMMYFUNCTION("""COMPUTED_VALUE"""),-1.39)</f>
        <v>-1.39</v>
      </c>
      <c r="U339" s="1">
        <f ca="1">IFERROR(__xludf.DUMMYFUNCTION("""COMPUTED_VALUE"""),201)</f>
        <v>201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IFERROR(__xludf.DUMMYFUNCTION("""COMPUTED_VALUE"""),"Arkansas Pine Bluff")</f>
        <v>Arkansas Pine Bluff</v>
      </c>
      <c r="C340" s="1" t="str">
        <f ca="1">IFERROR(__xludf.DUMMYFUNCTION("""COMPUTED_VALUE"""),"SWAC")</f>
        <v>SWAC</v>
      </c>
      <c r="D340" s="2">
        <f ca="1">IFERROR(__xludf.DUMMYFUNCTION("""COMPUTED_VALUE"""),44732)</f>
        <v>44732</v>
      </c>
      <c r="E340" s="1">
        <f ca="1">IFERROR(__xludf.DUMMYFUNCTION("""COMPUTED_VALUE"""),-22.97)</f>
        <v>-22.97</v>
      </c>
      <c r="F340" s="1">
        <f ca="1">IFERROR(__xludf.DUMMYFUNCTION("""COMPUTED_VALUE"""),83.9)</f>
        <v>83.9</v>
      </c>
      <c r="G340" s="1">
        <f ca="1">IFERROR(__xludf.DUMMYFUNCTION("""COMPUTED_VALUE"""),325)</f>
        <v>325</v>
      </c>
      <c r="H340" s="1">
        <f ca="1">IFERROR(__xludf.DUMMYFUNCTION("""COMPUTED_VALUE"""),106.8)</f>
        <v>106.8</v>
      </c>
      <c r="I340" s="1">
        <f ca="1">IFERROR(__xludf.DUMMYFUNCTION("""COMPUTED_VALUE"""),240)</f>
        <v>240</v>
      </c>
      <c r="J340" s="1">
        <f ca="1">IFERROR(__xludf.DUMMYFUNCTION("""COMPUTED_VALUE"""),66.6)</f>
        <v>66.599999999999994</v>
      </c>
      <c r="K340" s="1">
        <f ca="1">IFERROR(__xludf.DUMMYFUNCTION("""COMPUTED_VALUE"""),138)</f>
        <v>138</v>
      </c>
      <c r="L340" s="1">
        <f ca="1">IFERROR(__xludf.DUMMYFUNCTION("""COMPUTED_VALUE"""),-0.038)</f>
        <v>-3.7999999999999999E-2</v>
      </c>
      <c r="M340" s="1">
        <f ca="1">IFERROR(__xludf.DUMMYFUNCTION("""COMPUTED_VALUE"""),260)</f>
        <v>260</v>
      </c>
      <c r="N340" s="1">
        <f ca="1">IFERROR(__xludf.DUMMYFUNCTION("""COMPUTED_VALUE"""),-11.12)</f>
        <v>-11.12</v>
      </c>
      <c r="O340" s="1">
        <f ca="1">IFERROR(__xludf.DUMMYFUNCTION("""COMPUTED_VALUE"""),313)</f>
        <v>313</v>
      </c>
      <c r="P340" s="1">
        <f ca="1">IFERROR(__xludf.DUMMYFUNCTION("""COMPUTED_VALUE"""),94.2)</f>
        <v>94.2</v>
      </c>
      <c r="Q340" s="1">
        <f ca="1">IFERROR(__xludf.DUMMYFUNCTION("""COMPUTED_VALUE"""),321)</f>
        <v>321</v>
      </c>
      <c r="R340" s="1">
        <f ca="1">IFERROR(__xludf.DUMMYFUNCTION("""COMPUTED_VALUE"""),105.3)</f>
        <v>105.3</v>
      </c>
      <c r="S340" s="1">
        <f ca="1">IFERROR(__xludf.DUMMYFUNCTION("""COMPUTED_VALUE"""),264)</f>
        <v>264</v>
      </c>
      <c r="T340" s="1" t="str">
        <f ca="1">IFERROR(__xludf.DUMMYFUNCTION("""COMPUTED_VALUE"""),"+12.64")</f>
        <v>+12.64</v>
      </c>
      <c r="U340" s="1">
        <f ca="1">IFERROR(__xludf.DUMMYFUNCTION("""COMPUTED_VALUE"""),6)</f>
        <v>6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IFERROR(__xludf.DUMMYFUNCTION("""COMPUTED_VALUE"""),"Campbell")</f>
        <v>Campbell</v>
      </c>
      <c r="C341" s="1" t="str">
        <f ca="1">IFERROR(__xludf.DUMMYFUNCTION("""COMPUTED_VALUE"""),"ASun")</f>
        <v>ASun</v>
      </c>
      <c r="D341" s="2">
        <f ca="1">IFERROR(__xludf.DUMMYFUNCTION("""COMPUTED_VALUE"""),44617)</f>
        <v>44617</v>
      </c>
      <c r="E341" s="1">
        <f ca="1">IFERROR(__xludf.DUMMYFUNCTION("""COMPUTED_VALUE"""),-23.46)</f>
        <v>-23.46</v>
      </c>
      <c r="F341" s="1">
        <f ca="1">IFERROR(__xludf.DUMMYFUNCTION("""COMPUTED_VALUE"""),87.9)</f>
        <v>87.9</v>
      </c>
      <c r="G341" s="1">
        <f ca="1">IFERROR(__xludf.DUMMYFUNCTION("""COMPUTED_VALUE"""),322)</f>
        <v>322</v>
      </c>
      <c r="H341" s="1">
        <f ca="1">IFERROR(__xludf.DUMMYFUNCTION("""COMPUTED_VALUE"""),111.4)</f>
        <v>111.4</v>
      </c>
      <c r="I341" s="1">
        <f ca="1">IFERROR(__xludf.DUMMYFUNCTION("""COMPUTED_VALUE"""),305)</f>
        <v>305</v>
      </c>
      <c r="J341" s="1">
        <f ca="1">IFERROR(__xludf.DUMMYFUNCTION("""COMPUTED_VALUE"""),67.4)</f>
        <v>67.400000000000006</v>
      </c>
      <c r="K341" s="1">
        <f ca="1">IFERROR(__xludf.DUMMYFUNCTION("""COMPUTED_VALUE"""),110)</f>
        <v>110</v>
      </c>
      <c r="L341" s="1">
        <f ca="1">IFERROR(__xludf.DUMMYFUNCTION("""COMPUTED_VALUE"""),-0.084)</f>
        <v>-8.4000000000000005E-2</v>
      </c>
      <c r="M341" s="1">
        <f ca="1">IFERROR(__xludf.DUMMYFUNCTION("""COMPUTED_VALUE"""),315)</f>
        <v>315</v>
      </c>
      <c r="N341" s="1">
        <f ca="1">IFERROR(__xludf.DUMMYFUNCTION("""COMPUTED_VALUE"""),-6.68)</f>
        <v>-6.68</v>
      </c>
      <c r="O341" s="1">
        <f ca="1">IFERROR(__xludf.DUMMYFUNCTION("""COMPUTED_VALUE"""),277)</f>
        <v>277</v>
      </c>
      <c r="P341" s="1">
        <f ca="1">IFERROR(__xludf.DUMMYFUNCTION("""COMPUTED_VALUE"""),100)</f>
        <v>100</v>
      </c>
      <c r="Q341" s="1">
        <f ca="1">IFERROR(__xludf.DUMMYFUNCTION("""COMPUTED_VALUE"""),251)</f>
        <v>251</v>
      </c>
      <c r="R341" s="1">
        <f ca="1">IFERROR(__xludf.DUMMYFUNCTION("""COMPUTED_VALUE"""),106.7)</f>
        <v>106.7</v>
      </c>
      <c r="S341" s="1">
        <f ca="1">IFERROR(__xludf.DUMMYFUNCTION("""COMPUTED_VALUE"""),302)</f>
        <v>302</v>
      </c>
      <c r="T341" s="1" t="str">
        <f ca="1">IFERROR(__xludf.DUMMYFUNCTION("""COMPUTED_VALUE"""),"+5.75")</f>
        <v>+5.75</v>
      </c>
      <c r="U341" s="1">
        <f ca="1">IFERROR(__xludf.DUMMYFUNCTION("""COMPUTED_VALUE"""),41)</f>
        <v>41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IFERROR(__xludf.DUMMYFUNCTION("""COMPUTED_VALUE"""),"Howard")</f>
        <v>Howard</v>
      </c>
      <c r="C342" s="1" t="str">
        <f ca="1">IFERROR(__xludf.DUMMYFUNCTION("""COMPUTED_VALUE"""),"MEAC")</f>
        <v>MEAC</v>
      </c>
      <c r="D342" s="2">
        <f ca="1">IFERROR(__xludf.DUMMYFUNCTION("""COMPUTED_VALUE"""),44704)</f>
        <v>44704</v>
      </c>
      <c r="E342" s="1">
        <f ca="1">IFERROR(__xludf.DUMMYFUNCTION("""COMPUTED_VALUE"""),-25.43)</f>
        <v>-25.43</v>
      </c>
      <c r="F342" s="1">
        <f ca="1">IFERROR(__xludf.DUMMYFUNCTION("""COMPUTED_VALUE"""),89.2)</f>
        <v>89.2</v>
      </c>
      <c r="G342" s="1">
        <f ca="1">IFERROR(__xludf.DUMMYFUNCTION("""COMPUTED_VALUE"""),320)</f>
        <v>320</v>
      </c>
      <c r="H342" s="1">
        <f ca="1">IFERROR(__xludf.DUMMYFUNCTION("""COMPUTED_VALUE"""),114.6)</f>
        <v>114.6</v>
      </c>
      <c r="I342" s="1">
        <f ca="1">IFERROR(__xludf.DUMMYFUNCTION("""COMPUTED_VALUE"""),326)</f>
        <v>326</v>
      </c>
      <c r="J342" s="1">
        <f ca="1">IFERROR(__xludf.DUMMYFUNCTION("""COMPUTED_VALUE"""),68.7)</f>
        <v>68.7</v>
      </c>
      <c r="K342" s="1">
        <f ca="1">IFERROR(__xludf.DUMMYFUNCTION("""COMPUTED_VALUE"""),67)</f>
        <v>67</v>
      </c>
      <c r="L342" s="1">
        <f ca="1">IFERROR(__xludf.DUMMYFUNCTION("""COMPUTED_VALUE"""),-0.026)</f>
        <v>-2.5999999999999999E-2</v>
      </c>
      <c r="M342" s="1">
        <f ca="1">IFERROR(__xludf.DUMMYFUNCTION("""COMPUTED_VALUE"""),234)</f>
        <v>234</v>
      </c>
      <c r="N342" s="1">
        <f ca="1">IFERROR(__xludf.DUMMYFUNCTION("""COMPUTED_VALUE"""),-11.84)</f>
        <v>-11.84</v>
      </c>
      <c r="O342" s="1">
        <f ca="1">IFERROR(__xludf.DUMMYFUNCTION("""COMPUTED_VALUE"""),318)</f>
        <v>318</v>
      </c>
      <c r="P342" s="1">
        <f ca="1">IFERROR(__xludf.DUMMYFUNCTION("""COMPUTED_VALUE"""),94.4)</f>
        <v>94.4</v>
      </c>
      <c r="Q342" s="1">
        <f ca="1">IFERROR(__xludf.DUMMYFUNCTION("""COMPUTED_VALUE"""),318)</f>
        <v>318</v>
      </c>
      <c r="R342" s="1">
        <f ca="1">IFERROR(__xludf.DUMMYFUNCTION("""COMPUTED_VALUE"""),106.2)</f>
        <v>106.2</v>
      </c>
      <c r="S342" s="1">
        <f ca="1">IFERROR(__xludf.DUMMYFUNCTION("""COMPUTED_VALUE"""),287)</f>
        <v>287</v>
      </c>
      <c r="T342" s="1">
        <f ca="1">IFERROR(__xludf.DUMMYFUNCTION("""COMPUTED_VALUE"""),-4.46)</f>
        <v>-4.46</v>
      </c>
      <c r="U342" s="1">
        <f ca="1">IFERROR(__xludf.DUMMYFUNCTION("""COMPUTED_VALUE"""),271)</f>
        <v>271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IFERROR(__xludf.DUMMYFUNCTION("""COMPUTED_VALUE"""),"Army")</f>
        <v>Army</v>
      </c>
      <c r="C343" s="1" t="str">
        <f ca="1">IFERROR(__xludf.DUMMYFUNCTION("""COMPUTED_VALUE"""),"Pat")</f>
        <v>Pat</v>
      </c>
      <c r="D343" s="2">
        <f ca="1">IFERROR(__xludf.DUMMYFUNCTION("""COMPUTED_VALUE"""),44644)</f>
        <v>44644</v>
      </c>
      <c r="E343" s="1">
        <f ca="1">IFERROR(__xludf.DUMMYFUNCTION("""COMPUTED_VALUE"""),-26.29)</f>
        <v>-26.29</v>
      </c>
      <c r="F343" s="1">
        <f ca="1">IFERROR(__xludf.DUMMYFUNCTION("""COMPUTED_VALUE"""),88.6)</f>
        <v>88.6</v>
      </c>
      <c r="G343" s="1">
        <f ca="1">IFERROR(__xludf.DUMMYFUNCTION("""COMPUTED_VALUE"""),321)</f>
        <v>321</v>
      </c>
      <c r="H343" s="1">
        <f ca="1">IFERROR(__xludf.DUMMYFUNCTION("""COMPUTED_VALUE"""),114.9)</f>
        <v>114.9</v>
      </c>
      <c r="I343" s="1">
        <f ca="1">IFERROR(__xludf.DUMMYFUNCTION("""COMPUTED_VALUE"""),328)</f>
        <v>328</v>
      </c>
      <c r="J343" s="1">
        <f ca="1">IFERROR(__xludf.DUMMYFUNCTION("""COMPUTED_VALUE"""),61.4)</f>
        <v>61.4</v>
      </c>
      <c r="K343" s="1">
        <f ca="1">IFERROR(__xludf.DUMMYFUNCTION("""COMPUTED_VALUE"""),307)</f>
        <v>307</v>
      </c>
      <c r="L343" s="1">
        <f ca="1">IFERROR(__xludf.DUMMYFUNCTION("""COMPUTED_VALUE"""),-0.079)</f>
        <v>-7.9000000000000001E-2</v>
      </c>
      <c r="M343" s="1">
        <f ca="1">IFERROR(__xludf.DUMMYFUNCTION("""COMPUTED_VALUE"""),311)</f>
        <v>311</v>
      </c>
      <c r="N343" s="1">
        <f ca="1">IFERROR(__xludf.DUMMYFUNCTION("""COMPUTED_VALUE"""),-5.1)</f>
        <v>-5.0999999999999996</v>
      </c>
      <c r="O343" s="1">
        <f ca="1">IFERROR(__xludf.DUMMYFUNCTION("""COMPUTED_VALUE"""),261)</f>
        <v>261</v>
      </c>
      <c r="P343" s="1">
        <f ca="1">IFERROR(__xludf.DUMMYFUNCTION("""COMPUTED_VALUE"""),98.7)</f>
        <v>98.7</v>
      </c>
      <c r="Q343" s="1">
        <f ca="1">IFERROR(__xludf.DUMMYFUNCTION("""COMPUTED_VALUE"""),287)</f>
        <v>287</v>
      </c>
      <c r="R343" s="1">
        <f ca="1">IFERROR(__xludf.DUMMYFUNCTION("""COMPUTED_VALUE"""),103.8)</f>
        <v>103.8</v>
      </c>
      <c r="S343" s="1">
        <f ca="1">IFERROR(__xludf.DUMMYFUNCTION("""COMPUTED_VALUE"""),201)</f>
        <v>201</v>
      </c>
      <c r="T343" s="1">
        <f ca="1">IFERROR(__xludf.DUMMYFUNCTION("""COMPUTED_VALUE"""),-7.92)</f>
        <v>-7.92</v>
      </c>
      <c r="U343" s="1">
        <f ca="1">IFERROR(__xludf.DUMMYFUNCTION("""COMPUTED_VALUE"""),309)</f>
        <v>309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IFERROR(__xludf.DUMMYFUNCTION("""COMPUTED_VALUE"""),"Prairie View A&amp;M")</f>
        <v>Prairie View A&amp;M</v>
      </c>
      <c r="C344" s="1" t="str">
        <f ca="1">IFERROR(__xludf.DUMMYFUNCTION("""COMPUTED_VALUE"""),"SWAC")</f>
        <v>SWAC</v>
      </c>
      <c r="D344" s="2">
        <f ca="1">IFERROR(__xludf.DUMMYFUNCTION("""COMPUTED_VALUE"""),44704)</f>
        <v>44704</v>
      </c>
      <c r="E344" s="1">
        <f ca="1">IFERROR(__xludf.DUMMYFUNCTION("""COMPUTED_VALUE"""),-26.71)</f>
        <v>-26.71</v>
      </c>
      <c r="F344" s="1">
        <f ca="1">IFERROR(__xludf.DUMMYFUNCTION("""COMPUTED_VALUE"""),80.7)</f>
        <v>80.7</v>
      </c>
      <c r="G344" s="1">
        <f ca="1">IFERROR(__xludf.DUMMYFUNCTION("""COMPUTED_VALUE"""),327)</f>
        <v>327</v>
      </c>
      <c r="H344" s="1">
        <f ca="1">IFERROR(__xludf.DUMMYFUNCTION("""COMPUTED_VALUE"""),107.5)</f>
        <v>107.5</v>
      </c>
      <c r="I344" s="1">
        <f ca="1">IFERROR(__xludf.DUMMYFUNCTION("""COMPUTED_VALUE"""),251)</f>
        <v>251</v>
      </c>
      <c r="J344" s="1">
        <f ca="1">IFERROR(__xludf.DUMMYFUNCTION("""COMPUTED_VALUE"""),67.9)</f>
        <v>67.900000000000006</v>
      </c>
      <c r="K344" s="1">
        <f ca="1">IFERROR(__xludf.DUMMYFUNCTION("""COMPUTED_VALUE"""),96)</f>
        <v>96</v>
      </c>
      <c r="L344" s="1">
        <f ca="1">IFERROR(__xludf.DUMMYFUNCTION("""COMPUTED_VALUE"""),-0.014)</f>
        <v>-1.4E-2</v>
      </c>
      <c r="M344" s="1">
        <f ca="1">IFERROR(__xludf.DUMMYFUNCTION("""COMPUTED_VALUE"""),199)</f>
        <v>199</v>
      </c>
      <c r="N344" s="1">
        <f ca="1">IFERROR(__xludf.DUMMYFUNCTION("""COMPUTED_VALUE"""),-11.03)</f>
        <v>-11.03</v>
      </c>
      <c r="O344" s="1">
        <f ca="1">IFERROR(__xludf.DUMMYFUNCTION("""COMPUTED_VALUE"""),312)</f>
        <v>312</v>
      </c>
      <c r="P344" s="1">
        <f ca="1">IFERROR(__xludf.DUMMYFUNCTION("""COMPUTED_VALUE"""),94.2)</f>
        <v>94.2</v>
      </c>
      <c r="Q344" s="1">
        <f ca="1">IFERROR(__xludf.DUMMYFUNCTION("""COMPUTED_VALUE"""),320)</f>
        <v>320</v>
      </c>
      <c r="R344" s="1">
        <f ca="1">IFERROR(__xludf.DUMMYFUNCTION("""COMPUTED_VALUE"""),105.3)</f>
        <v>105.3</v>
      </c>
      <c r="S344" s="1">
        <f ca="1">IFERROR(__xludf.DUMMYFUNCTION("""COMPUTED_VALUE"""),259)</f>
        <v>259</v>
      </c>
      <c r="T344" s="1" t="str">
        <f ca="1">IFERROR(__xludf.DUMMYFUNCTION("""COMPUTED_VALUE"""),"+5.48")</f>
        <v>+5.48</v>
      </c>
      <c r="U344" s="1">
        <f ca="1">IFERROR(__xludf.DUMMYFUNCTION("""COMPUTED_VALUE"""),45)</f>
        <v>45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IFERROR(__xludf.DUMMYFUNCTION("""COMPUTED_VALUE"""),"Alcorn St.")</f>
        <v>Alcorn St.</v>
      </c>
      <c r="C345" s="1" t="str">
        <f ca="1">IFERROR(__xludf.DUMMYFUNCTION("""COMPUTED_VALUE"""),"SWAC")</f>
        <v>SWAC</v>
      </c>
      <c r="D345" s="2">
        <f ca="1">IFERROR(__xludf.DUMMYFUNCTION("""COMPUTED_VALUE"""),44764)</f>
        <v>44764</v>
      </c>
      <c r="E345" s="1">
        <f ca="1">IFERROR(__xludf.DUMMYFUNCTION("""COMPUTED_VALUE"""),-27.05)</f>
        <v>-27.05</v>
      </c>
      <c r="F345" s="1">
        <f ca="1">IFERROR(__xludf.DUMMYFUNCTION("""COMPUTED_VALUE"""),79)</f>
        <v>79</v>
      </c>
      <c r="G345" s="1">
        <f ca="1">IFERROR(__xludf.DUMMYFUNCTION("""COMPUTED_VALUE"""),328)</f>
        <v>328</v>
      </c>
      <c r="H345" s="1">
        <f ca="1">IFERROR(__xludf.DUMMYFUNCTION("""COMPUTED_VALUE"""),106.1)</f>
        <v>106.1</v>
      </c>
      <c r="I345" s="1">
        <f ca="1">IFERROR(__xludf.DUMMYFUNCTION("""COMPUTED_VALUE"""),230)</f>
        <v>230</v>
      </c>
      <c r="J345" s="1">
        <f ca="1">IFERROR(__xludf.DUMMYFUNCTION("""COMPUTED_VALUE"""),68.9)</f>
        <v>68.900000000000006</v>
      </c>
      <c r="K345" s="1">
        <f ca="1">IFERROR(__xludf.DUMMYFUNCTION("""COMPUTED_VALUE"""),58)</f>
        <v>58</v>
      </c>
      <c r="L345" s="1" t="str">
        <f ca="1">IFERROR(__xludf.DUMMYFUNCTION("""COMPUTED_VALUE"""),"+.027")</f>
        <v>+.027</v>
      </c>
      <c r="M345" s="1">
        <f ca="1">IFERROR(__xludf.DUMMYFUNCTION("""COMPUTED_VALUE"""),105)</f>
        <v>105</v>
      </c>
      <c r="N345" s="1">
        <f ca="1">IFERROR(__xludf.DUMMYFUNCTION("""COMPUTED_VALUE"""),-12.69)</f>
        <v>-12.69</v>
      </c>
      <c r="O345" s="1">
        <f ca="1">IFERROR(__xludf.DUMMYFUNCTION("""COMPUTED_VALUE"""),325)</f>
        <v>325</v>
      </c>
      <c r="P345" s="1">
        <f ca="1">IFERROR(__xludf.DUMMYFUNCTION("""COMPUTED_VALUE"""),94.4)</f>
        <v>94.4</v>
      </c>
      <c r="Q345" s="1">
        <f ca="1">IFERROR(__xludf.DUMMYFUNCTION("""COMPUTED_VALUE"""),317)</f>
        <v>317</v>
      </c>
      <c r="R345" s="1">
        <f ca="1">IFERROR(__xludf.DUMMYFUNCTION("""COMPUTED_VALUE"""),107.1)</f>
        <v>107.1</v>
      </c>
      <c r="S345" s="1">
        <f ca="1">IFERROR(__xludf.DUMMYFUNCTION("""COMPUTED_VALUE"""),314)</f>
        <v>314</v>
      </c>
      <c r="T345" s="1">
        <f ca="1">IFERROR(__xludf.DUMMYFUNCTION("""COMPUTED_VALUE"""),-0.69)</f>
        <v>-0.69</v>
      </c>
      <c r="U345" s="1">
        <f ca="1">IFERROR(__xludf.DUMMYFUNCTION("""COMPUTED_VALUE"""),179)</f>
        <v>179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IFERROR(__xludf.DUMMYFUNCTION("""COMPUTED_VALUE"""),"Longwood")</f>
        <v>Longwood</v>
      </c>
      <c r="C346" s="1" t="str">
        <f ca="1">IFERROR(__xludf.DUMMYFUNCTION("""COMPUTED_VALUE"""),"ind")</f>
        <v>ind</v>
      </c>
      <c r="D346" s="2">
        <f ca="1">IFERROR(__xludf.DUMMYFUNCTION("""COMPUTED_VALUE"""),44591)</f>
        <v>44591</v>
      </c>
      <c r="E346" s="1">
        <f ca="1">IFERROR(__xludf.DUMMYFUNCTION("""COMPUTED_VALUE"""),-27.87)</f>
        <v>-27.87</v>
      </c>
      <c r="F346" s="1">
        <f ca="1">IFERROR(__xludf.DUMMYFUNCTION("""COMPUTED_VALUE"""),84.2)</f>
        <v>84.2</v>
      </c>
      <c r="G346" s="1">
        <f ca="1">IFERROR(__xludf.DUMMYFUNCTION("""COMPUTED_VALUE"""),324)</f>
        <v>324</v>
      </c>
      <c r="H346" s="1">
        <f ca="1">IFERROR(__xludf.DUMMYFUNCTION("""COMPUTED_VALUE"""),112.1)</f>
        <v>112.1</v>
      </c>
      <c r="I346" s="1">
        <f ca="1">IFERROR(__xludf.DUMMYFUNCTION("""COMPUTED_VALUE"""),310)</f>
        <v>310</v>
      </c>
      <c r="J346" s="1">
        <f ca="1">IFERROR(__xludf.DUMMYFUNCTION("""COMPUTED_VALUE"""),71)</f>
        <v>71</v>
      </c>
      <c r="K346" s="1">
        <f ca="1">IFERROR(__xludf.DUMMYFUNCTION("""COMPUTED_VALUE"""),23)</f>
        <v>23</v>
      </c>
      <c r="L346" s="1">
        <f ca="1">IFERROR(__xludf.DUMMYFUNCTION("""COMPUTED_VALUE"""),-0.024)</f>
        <v>-2.4E-2</v>
      </c>
      <c r="M346" s="1">
        <f ca="1">IFERROR(__xludf.DUMMYFUNCTION("""COMPUTED_VALUE"""),226)</f>
        <v>226</v>
      </c>
      <c r="N346" s="1">
        <f ca="1">IFERROR(__xludf.DUMMYFUNCTION("""COMPUTED_VALUE"""),-7.06)</f>
        <v>-7.06</v>
      </c>
      <c r="O346" s="1">
        <f ca="1">IFERROR(__xludf.DUMMYFUNCTION("""COMPUTED_VALUE"""),281)</f>
        <v>281</v>
      </c>
      <c r="P346" s="1">
        <f ca="1">IFERROR(__xludf.DUMMYFUNCTION("""COMPUTED_VALUE"""),100.2)</f>
        <v>100.2</v>
      </c>
      <c r="Q346" s="1">
        <f ca="1">IFERROR(__xludf.DUMMYFUNCTION("""COMPUTED_VALUE"""),245)</f>
        <v>245</v>
      </c>
      <c r="R346" s="1">
        <f ca="1">IFERROR(__xludf.DUMMYFUNCTION("""COMPUTED_VALUE"""),107.3)</f>
        <v>107.3</v>
      </c>
      <c r="S346" s="1">
        <f ca="1">IFERROR(__xludf.DUMMYFUNCTION("""COMPUTED_VALUE"""),318)</f>
        <v>318</v>
      </c>
      <c r="T346" s="1">
        <f ca="1">IFERROR(__xludf.DUMMYFUNCTION("""COMPUTED_VALUE"""),-5.87)</f>
        <v>-5.87</v>
      </c>
      <c r="U346" s="1">
        <f ca="1">IFERROR(__xludf.DUMMYFUNCTION("""COMPUTED_VALUE"""),293)</f>
        <v>293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IFERROR(__xludf.DUMMYFUNCTION("""COMPUTED_VALUE"""),"Savannah St.")</f>
        <v>Savannah St.</v>
      </c>
      <c r="C347" s="1" t="str">
        <f ca="1">IFERROR(__xludf.DUMMYFUNCTION("""COMPUTED_VALUE"""),"ind")</f>
        <v>ind</v>
      </c>
      <c r="D347" s="1" t="str">
        <f ca="1">IFERROR(__xludf.DUMMYFUNCTION("""COMPUTED_VALUE"""),"0-28")</f>
        <v>0-28</v>
      </c>
      <c r="E347" s="1">
        <f ca="1">IFERROR(__xludf.DUMMYFUNCTION("""COMPUTED_VALUE"""),-37.19)</f>
        <v>-37.19</v>
      </c>
      <c r="F347" s="1">
        <f ca="1">IFERROR(__xludf.DUMMYFUNCTION("""COMPUTED_VALUE"""),78.6)</f>
        <v>78.599999999999994</v>
      </c>
      <c r="G347" s="1">
        <f ca="1">IFERROR(__xludf.DUMMYFUNCTION("""COMPUTED_VALUE"""),330)</f>
        <v>330</v>
      </c>
      <c r="H347" s="1">
        <f ca="1">IFERROR(__xludf.DUMMYFUNCTION("""COMPUTED_VALUE"""),115.8)</f>
        <v>115.8</v>
      </c>
      <c r="I347" s="1">
        <f ca="1">IFERROR(__xludf.DUMMYFUNCTION("""COMPUTED_VALUE"""),329)</f>
        <v>329</v>
      </c>
      <c r="J347" s="1">
        <f ca="1">IFERROR(__xludf.DUMMYFUNCTION("""COMPUTED_VALUE"""),70.6)</f>
        <v>70.599999999999994</v>
      </c>
      <c r="K347" s="1">
        <f ca="1">IFERROR(__xludf.DUMMYFUNCTION("""COMPUTED_VALUE"""),30)</f>
        <v>30</v>
      </c>
      <c r="L347" s="1">
        <f ca="1">IFERROR(__xludf.DUMMYFUNCTION("""COMPUTED_VALUE"""),-0.019)</f>
        <v>-1.9E-2</v>
      </c>
      <c r="M347" s="1">
        <f ca="1">IFERROR(__xludf.DUMMYFUNCTION("""COMPUTED_VALUE"""),213)</f>
        <v>213</v>
      </c>
      <c r="N347" s="1">
        <f ca="1">IFERROR(__xludf.DUMMYFUNCTION("""COMPUTED_VALUE"""),-8.36)</f>
        <v>-8.36</v>
      </c>
      <c r="O347" s="1">
        <f ca="1">IFERROR(__xludf.DUMMYFUNCTION("""COMPUTED_VALUE"""),300)</f>
        <v>300</v>
      </c>
      <c r="P347" s="1">
        <f ca="1">IFERROR(__xludf.DUMMYFUNCTION("""COMPUTED_VALUE"""),97.3)</f>
        <v>97.3</v>
      </c>
      <c r="Q347" s="1">
        <f ca="1">IFERROR(__xludf.DUMMYFUNCTION("""COMPUTED_VALUE"""),307)</f>
        <v>307</v>
      </c>
      <c r="R347" s="1">
        <f ca="1">IFERROR(__xludf.DUMMYFUNCTION("""COMPUTED_VALUE"""),105.7)</f>
        <v>105.7</v>
      </c>
      <c r="S347" s="1">
        <f ca="1">IFERROR(__xludf.DUMMYFUNCTION("""COMPUTED_VALUE"""),271)</f>
        <v>271</v>
      </c>
      <c r="T347" s="1">
        <f ca="1">IFERROR(__xludf.DUMMYFUNCTION("""COMPUTED_VALUE"""),-8.7)</f>
        <v>-8.6999999999999993</v>
      </c>
      <c r="U347" s="1">
        <f ca="1">IFERROR(__xludf.DUMMYFUNCTION("""COMPUTED_VALUE"""),313)</f>
        <v>313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IFERROR(__xludf.DUMMYFUNCTION("""COMPUTED_VALUE"""),"Maryland Eastern Shore")</f>
        <v>Maryland Eastern Shore</v>
      </c>
      <c r="C348" s="1" t="str">
        <f ca="1">IFERROR(__xludf.DUMMYFUNCTION("""COMPUTED_VALUE"""),"MEAC")</f>
        <v>MEAC</v>
      </c>
      <c r="D348" s="2">
        <f ca="1">IFERROR(__xludf.DUMMYFUNCTION("""COMPUTED_VALUE"""),44618)</f>
        <v>44618</v>
      </c>
      <c r="E348" s="1">
        <f ca="1">IFERROR(__xludf.DUMMYFUNCTION("""COMPUTED_VALUE"""),-37.94)</f>
        <v>-37.94</v>
      </c>
      <c r="F348" s="1">
        <f ca="1">IFERROR(__xludf.DUMMYFUNCTION("""COMPUTED_VALUE"""),78.9)</f>
        <v>78.900000000000006</v>
      </c>
      <c r="G348" s="1">
        <f ca="1">IFERROR(__xludf.DUMMYFUNCTION("""COMPUTED_VALUE"""),329)</f>
        <v>329</v>
      </c>
      <c r="H348" s="1">
        <f ca="1">IFERROR(__xludf.DUMMYFUNCTION("""COMPUTED_VALUE"""),116.8)</f>
        <v>116.8</v>
      </c>
      <c r="I348" s="1">
        <f ca="1">IFERROR(__xludf.DUMMYFUNCTION("""COMPUTED_VALUE"""),330)</f>
        <v>330</v>
      </c>
      <c r="J348" s="1">
        <f ca="1">IFERROR(__xludf.DUMMYFUNCTION("""COMPUTED_VALUE"""),70.2)</f>
        <v>70.2</v>
      </c>
      <c r="K348" s="1">
        <f ca="1">IFERROR(__xludf.DUMMYFUNCTION("""COMPUTED_VALUE"""),36)</f>
        <v>36</v>
      </c>
      <c r="L348" s="1" t="str">
        <f ca="1">IFERROR(__xludf.DUMMYFUNCTION("""COMPUTED_VALUE"""),"+.008")</f>
        <v>+.008</v>
      </c>
      <c r="M348" s="1">
        <f ca="1">IFERROR(__xludf.DUMMYFUNCTION("""COMPUTED_VALUE"""),143)</f>
        <v>143</v>
      </c>
      <c r="N348" s="1">
        <f ca="1">IFERROR(__xludf.DUMMYFUNCTION("""COMPUTED_VALUE"""),-11.43)</f>
        <v>-11.43</v>
      </c>
      <c r="O348" s="1">
        <f ca="1">IFERROR(__xludf.DUMMYFUNCTION("""COMPUTED_VALUE"""),317)</f>
        <v>317</v>
      </c>
      <c r="P348" s="1">
        <f ca="1">IFERROR(__xludf.DUMMYFUNCTION("""COMPUTED_VALUE"""),95.1)</f>
        <v>95.1</v>
      </c>
      <c r="Q348" s="1">
        <f ca="1">IFERROR(__xludf.DUMMYFUNCTION("""COMPUTED_VALUE"""),313)</f>
        <v>313</v>
      </c>
      <c r="R348" s="1">
        <f ca="1">IFERROR(__xludf.DUMMYFUNCTION("""COMPUTED_VALUE"""),106.6)</f>
        <v>106.6</v>
      </c>
      <c r="S348" s="1">
        <f ca="1">IFERROR(__xludf.DUMMYFUNCTION("""COMPUTED_VALUE"""),299)</f>
        <v>299</v>
      </c>
      <c r="T348" s="1">
        <f ca="1">IFERROR(__xludf.DUMMYFUNCTION("""COMPUTED_VALUE"""),-5.01)</f>
        <v>-5.01</v>
      </c>
      <c r="U348" s="1">
        <f ca="1">IFERROR(__xludf.DUMMYFUNCTION("""COMPUTED_VALUE"""),283)</f>
        <v>283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352"/>
  <sheetViews>
    <sheetView workbookViewId="0"/>
  </sheetViews>
  <sheetFormatPr baseColWidth="10" defaultColWidth="12.6640625" defaultRowHeight="15.75" customHeight="1" x14ac:dyDescent="0.15"/>
  <sheetData>
    <row r="1" spans="1:21" ht="13" x14ac:dyDescent="0.15">
      <c r="A1" s="3" t="str">
        <f ca="1">IFERROR(__xludf.DUMMYFUNCTION("IMPORThtML(""https://kenpom.com/index.php?y=2006"",""table"",1)"),"")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2</v>
      </c>
      <c r="H2" s="1" t="str">
        <f ca="1">IFERROR(__xludf.DUMMYFUNCTION("""COMPUTED_VALUE"""),"AdjD")</f>
        <v>AdjD</v>
      </c>
      <c r="I2" s="1" t="s">
        <v>3</v>
      </c>
      <c r="J2" s="1" t="str">
        <f ca="1">IFERROR(__xludf.DUMMYFUNCTION("""COMPUTED_VALUE"""),"AdjT")</f>
        <v>AdjT</v>
      </c>
      <c r="K2" s="1" t="s">
        <v>4</v>
      </c>
      <c r="L2" s="1" t="str">
        <f ca="1">IFERROR(__xludf.DUMMYFUNCTION("""COMPUTED_VALUE"""),"Luck")</f>
        <v>Luck</v>
      </c>
      <c r="M2" s="1" t="s">
        <v>5</v>
      </c>
      <c r="N2" s="1" t="s">
        <v>0</v>
      </c>
      <c r="O2" s="1" t="s">
        <v>6</v>
      </c>
      <c r="P2" s="1" t="str">
        <f ca="1">IFERROR(__xludf.DUMMYFUNCTION("""COMPUTED_VALUE"""),"OppO")</f>
        <v>OppO</v>
      </c>
      <c r="Q2" s="1" t="s">
        <v>7</v>
      </c>
      <c r="R2" s="1" t="str">
        <f ca="1">IFERROR(__xludf.DUMMYFUNCTION("""COMPUTED_VALUE"""),"OppD")</f>
        <v>OppD</v>
      </c>
      <c r="S2" s="1" t="s">
        <v>8</v>
      </c>
      <c r="T2" s="1" t="s">
        <v>1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IFERROR(__xludf.DUMMYFUNCTION("""COMPUTED_VALUE"""),"Florida3")</f>
        <v>Florida3</v>
      </c>
      <c r="C3" s="1" t="str">
        <f ca="1">IFERROR(__xludf.DUMMYFUNCTION("""COMPUTED_VALUE"""),"SEC")</f>
        <v>SEC</v>
      </c>
      <c r="D3" s="1" t="str">
        <f ca="1">IFERROR(__xludf.DUMMYFUNCTION("""COMPUTED_VALUE"""),"33-6")</f>
        <v>33-6</v>
      </c>
      <c r="E3" s="1" t="str">
        <f ca="1">IFERROR(__xludf.DUMMYFUNCTION("""COMPUTED_VALUE"""),"+28.28")</f>
        <v>+28.28</v>
      </c>
      <c r="F3" s="1">
        <f ca="1">IFERROR(__xludf.DUMMYFUNCTION("""COMPUTED_VALUE"""),117.9)</f>
        <v>117.9</v>
      </c>
      <c r="G3" s="1">
        <f ca="1">IFERROR(__xludf.DUMMYFUNCTION("""COMPUTED_VALUE"""),3)</f>
        <v>3</v>
      </c>
      <c r="H3" s="1">
        <f ca="1">IFERROR(__xludf.DUMMYFUNCTION("""COMPUTED_VALUE"""),89.7)</f>
        <v>89.7</v>
      </c>
      <c r="I3" s="1">
        <f ca="1">IFERROR(__xludf.DUMMYFUNCTION("""COMPUTED_VALUE"""),7)</f>
        <v>7</v>
      </c>
      <c r="J3" s="1">
        <f ca="1">IFERROR(__xludf.DUMMYFUNCTION("""COMPUTED_VALUE"""),66.9)</f>
        <v>66.900000000000006</v>
      </c>
      <c r="K3" s="1">
        <f ca="1">IFERROR(__xludf.DUMMYFUNCTION("""COMPUTED_VALUE"""),102)</f>
        <v>102</v>
      </c>
      <c r="L3" s="1">
        <f ca="1">IFERROR(__xludf.DUMMYFUNCTION("""COMPUTED_VALUE"""),-0.011)</f>
        <v>-1.0999999999999999E-2</v>
      </c>
      <c r="M3" s="1">
        <f ca="1">IFERROR(__xludf.DUMMYFUNCTION("""COMPUTED_VALUE"""),194)</f>
        <v>194</v>
      </c>
      <c r="N3" s="1" t="str">
        <f ca="1">IFERROR(__xludf.DUMMYFUNCTION("""COMPUTED_VALUE"""),"+8.35")</f>
        <v>+8.35</v>
      </c>
      <c r="O3" s="1">
        <f ca="1">IFERROR(__xludf.DUMMYFUNCTION("""COMPUTED_VALUE"""),24)</f>
        <v>24</v>
      </c>
      <c r="P3" s="1">
        <f ca="1">IFERROR(__xludf.DUMMYFUNCTION("""COMPUTED_VALUE"""),107.7)</f>
        <v>107.7</v>
      </c>
      <c r="Q3" s="1">
        <f ca="1">IFERROR(__xludf.DUMMYFUNCTION("""COMPUTED_VALUE"""),24)</f>
        <v>24</v>
      </c>
      <c r="R3" s="1">
        <f ca="1">IFERROR(__xludf.DUMMYFUNCTION("""COMPUTED_VALUE"""),99.3)</f>
        <v>99.3</v>
      </c>
      <c r="S3" s="1">
        <f ca="1">IFERROR(__xludf.DUMMYFUNCTION("""COMPUTED_VALUE"""),47)</f>
        <v>47</v>
      </c>
      <c r="T3" s="1">
        <f ca="1">IFERROR(__xludf.DUMMYFUNCTION("""COMPUTED_VALUE"""),-8.46)</f>
        <v>-8.4600000000000009</v>
      </c>
      <c r="U3" s="1">
        <f ca="1">IFERROR(__xludf.DUMMYFUNCTION("""COMPUTED_VALUE"""),320)</f>
        <v>320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IFERROR(__xludf.DUMMYFUNCTION("""COMPUTED_VALUE"""),"Duke1")</f>
        <v>Duke1</v>
      </c>
      <c r="C4" s="1" t="str">
        <f ca="1">IFERROR(__xludf.DUMMYFUNCTION("""COMPUTED_VALUE"""),"ACC")</f>
        <v>ACC</v>
      </c>
      <c r="D4" s="1" t="str">
        <f ca="1">IFERROR(__xludf.DUMMYFUNCTION("""COMPUTED_VALUE"""),"32-4")</f>
        <v>32-4</v>
      </c>
      <c r="E4" s="1" t="str">
        <f ca="1">IFERROR(__xludf.DUMMYFUNCTION("""COMPUTED_VALUE"""),"+27.54")</f>
        <v>+27.54</v>
      </c>
      <c r="F4" s="1">
        <f ca="1">IFERROR(__xludf.DUMMYFUNCTION("""COMPUTED_VALUE"""),119.4)</f>
        <v>119.4</v>
      </c>
      <c r="G4" s="1">
        <f ca="1">IFERROR(__xludf.DUMMYFUNCTION("""COMPUTED_VALUE"""),1)</f>
        <v>1</v>
      </c>
      <c r="H4" s="1">
        <f ca="1">IFERROR(__xludf.DUMMYFUNCTION("""COMPUTED_VALUE"""),91.8)</f>
        <v>91.8</v>
      </c>
      <c r="I4" s="1">
        <f ca="1">IFERROR(__xludf.DUMMYFUNCTION("""COMPUTED_VALUE"""),16)</f>
        <v>16</v>
      </c>
      <c r="J4" s="1">
        <f ca="1">IFERROR(__xludf.DUMMYFUNCTION("""COMPUTED_VALUE"""),69.8)</f>
        <v>69.8</v>
      </c>
      <c r="K4" s="1">
        <f ca="1">IFERROR(__xludf.DUMMYFUNCTION("""COMPUTED_VALUE"""),29)</f>
        <v>29</v>
      </c>
      <c r="L4" s="1" t="str">
        <f ca="1">IFERROR(__xludf.DUMMYFUNCTION("""COMPUTED_VALUE"""),"+.047")</f>
        <v>+.047</v>
      </c>
      <c r="M4" s="1">
        <f ca="1">IFERROR(__xludf.DUMMYFUNCTION("""COMPUTED_VALUE"""),56)</f>
        <v>56</v>
      </c>
      <c r="N4" s="1" t="str">
        <f ca="1">IFERROR(__xludf.DUMMYFUNCTION("""COMPUTED_VALUE"""),"+10.51")</f>
        <v>+10.51</v>
      </c>
      <c r="O4" s="1">
        <f ca="1">IFERROR(__xludf.DUMMYFUNCTION("""COMPUTED_VALUE"""),5)</f>
        <v>5</v>
      </c>
      <c r="P4" s="1">
        <f ca="1">IFERROR(__xludf.DUMMYFUNCTION("""COMPUTED_VALUE"""),108.1)</f>
        <v>108.1</v>
      </c>
      <c r="Q4" s="1">
        <f ca="1">IFERROR(__xludf.DUMMYFUNCTION("""COMPUTED_VALUE"""),16)</f>
        <v>16</v>
      </c>
      <c r="R4" s="1">
        <f ca="1">IFERROR(__xludf.DUMMYFUNCTION("""COMPUTED_VALUE"""),97.6)</f>
        <v>97.6</v>
      </c>
      <c r="S4" s="1">
        <f ca="1">IFERROR(__xludf.DUMMYFUNCTION("""COMPUTED_VALUE"""),4)</f>
        <v>4</v>
      </c>
      <c r="T4" s="1" t="str">
        <f ca="1">IFERROR(__xludf.DUMMYFUNCTION("""COMPUTED_VALUE"""),"+6.81")</f>
        <v>+6.81</v>
      </c>
      <c r="U4" s="1">
        <f ca="1">IFERROR(__xludf.DUMMYFUNCTION("""COMPUTED_VALUE"""),37)</f>
        <v>37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IFERROR(__xludf.DUMMYFUNCTION("""COMPUTED_VALUE"""),"Texas2")</f>
        <v>Texas2</v>
      </c>
      <c r="C5" s="1" t="str">
        <f ca="1">IFERROR(__xludf.DUMMYFUNCTION("""COMPUTED_VALUE"""),"B12")</f>
        <v>B12</v>
      </c>
      <c r="D5" s="1" t="str">
        <f ca="1">IFERROR(__xludf.DUMMYFUNCTION("""COMPUTED_VALUE"""),"30-7")</f>
        <v>30-7</v>
      </c>
      <c r="E5" s="1" t="str">
        <f ca="1">IFERROR(__xludf.DUMMYFUNCTION("""COMPUTED_VALUE"""),"+25.79")</f>
        <v>+25.79</v>
      </c>
      <c r="F5" s="1">
        <f ca="1">IFERROR(__xludf.DUMMYFUNCTION("""COMPUTED_VALUE"""),117.5)</f>
        <v>117.5</v>
      </c>
      <c r="G5" s="1">
        <f ca="1">IFERROR(__xludf.DUMMYFUNCTION("""COMPUTED_VALUE"""),6)</f>
        <v>6</v>
      </c>
      <c r="H5" s="1">
        <f ca="1">IFERROR(__xludf.DUMMYFUNCTION("""COMPUTED_VALUE"""),91.7)</f>
        <v>91.7</v>
      </c>
      <c r="I5" s="1">
        <f ca="1">IFERROR(__xludf.DUMMYFUNCTION("""COMPUTED_VALUE"""),15)</f>
        <v>15</v>
      </c>
      <c r="J5" s="1">
        <f ca="1">IFERROR(__xludf.DUMMYFUNCTION("""COMPUTED_VALUE"""),63.9)</f>
        <v>63.9</v>
      </c>
      <c r="K5" s="1">
        <f ca="1">IFERROR(__xludf.DUMMYFUNCTION("""COMPUTED_VALUE"""),233)</f>
        <v>233</v>
      </c>
      <c r="L5" s="1" t="str">
        <f ca="1">IFERROR(__xludf.DUMMYFUNCTION("""COMPUTED_VALUE"""),"+.039")</f>
        <v>+.039</v>
      </c>
      <c r="M5" s="1">
        <f ca="1">IFERROR(__xludf.DUMMYFUNCTION("""COMPUTED_VALUE"""),73)</f>
        <v>73</v>
      </c>
      <c r="N5" s="1" t="str">
        <f ca="1">IFERROR(__xludf.DUMMYFUNCTION("""COMPUTED_VALUE"""),"+7.79")</f>
        <v>+7.79</v>
      </c>
      <c r="O5" s="1">
        <f ca="1">IFERROR(__xludf.DUMMYFUNCTION("""COMPUTED_VALUE"""),35)</f>
        <v>35</v>
      </c>
      <c r="P5" s="1">
        <f ca="1">IFERROR(__xludf.DUMMYFUNCTION("""COMPUTED_VALUE"""),106.1)</f>
        <v>106.1</v>
      </c>
      <c r="Q5" s="1">
        <f ca="1">IFERROR(__xludf.DUMMYFUNCTION("""COMPUTED_VALUE"""),55)</f>
        <v>55</v>
      </c>
      <c r="R5" s="1">
        <f ca="1">IFERROR(__xludf.DUMMYFUNCTION("""COMPUTED_VALUE"""),98.3)</f>
        <v>98.3</v>
      </c>
      <c r="S5" s="1">
        <f ca="1">IFERROR(__xludf.DUMMYFUNCTION("""COMPUTED_VALUE"""),14)</f>
        <v>14</v>
      </c>
      <c r="T5" s="1">
        <f ca="1">IFERROR(__xludf.DUMMYFUNCTION("""COMPUTED_VALUE"""),-0.02)</f>
        <v>-0.02</v>
      </c>
      <c r="U5" s="1">
        <f ca="1">IFERROR(__xludf.DUMMYFUNCTION("""COMPUTED_VALUE"""),158)</f>
        <v>158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IFERROR(__xludf.DUMMYFUNCTION("""COMPUTED_VALUE"""),"Connecticut1")</f>
        <v>Connecticut1</v>
      </c>
      <c r="C6" s="1" t="str">
        <f ca="1">IFERROR(__xludf.DUMMYFUNCTION("""COMPUTED_VALUE"""),"BE")</f>
        <v>BE</v>
      </c>
      <c r="D6" s="1" t="str">
        <f ca="1">IFERROR(__xludf.DUMMYFUNCTION("""COMPUTED_VALUE"""),"30-4")</f>
        <v>30-4</v>
      </c>
      <c r="E6" s="1" t="str">
        <f ca="1">IFERROR(__xludf.DUMMYFUNCTION("""COMPUTED_VALUE"""),"+25.44")</f>
        <v>+25.44</v>
      </c>
      <c r="F6" s="1">
        <f ca="1">IFERROR(__xludf.DUMMYFUNCTION("""COMPUTED_VALUE"""),117.8)</f>
        <v>117.8</v>
      </c>
      <c r="G6" s="1">
        <f ca="1">IFERROR(__xludf.DUMMYFUNCTION("""COMPUTED_VALUE"""),5)</f>
        <v>5</v>
      </c>
      <c r="H6" s="1">
        <f ca="1">IFERROR(__xludf.DUMMYFUNCTION("""COMPUTED_VALUE"""),92.3)</f>
        <v>92.3</v>
      </c>
      <c r="I6" s="1">
        <f ca="1">IFERROR(__xludf.DUMMYFUNCTION("""COMPUTED_VALUE"""),18)</f>
        <v>18</v>
      </c>
      <c r="J6" s="1">
        <f ca="1">IFERROR(__xludf.DUMMYFUNCTION("""COMPUTED_VALUE"""),68.7)</f>
        <v>68.7</v>
      </c>
      <c r="K6" s="1">
        <f ca="1">IFERROR(__xludf.DUMMYFUNCTION("""COMPUTED_VALUE"""),49)</f>
        <v>49</v>
      </c>
      <c r="L6" s="1" t="str">
        <f ca="1">IFERROR(__xludf.DUMMYFUNCTION("""COMPUTED_VALUE"""),"+.077")</f>
        <v>+.077</v>
      </c>
      <c r="M6" s="1">
        <f ca="1">IFERROR(__xludf.DUMMYFUNCTION("""COMPUTED_VALUE"""),26)</f>
        <v>26</v>
      </c>
      <c r="N6" s="1" t="str">
        <f ca="1">IFERROR(__xludf.DUMMYFUNCTION("""COMPUTED_VALUE"""),"+8.98")</f>
        <v>+8.98</v>
      </c>
      <c r="O6" s="1">
        <f ca="1">IFERROR(__xludf.DUMMYFUNCTION("""COMPUTED_VALUE"""),18)</f>
        <v>18</v>
      </c>
      <c r="P6" s="1">
        <f ca="1">IFERROR(__xludf.DUMMYFUNCTION("""COMPUTED_VALUE"""),107.4)</f>
        <v>107.4</v>
      </c>
      <c r="Q6" s="1">
        <f ca="1">IFERROR(__xludf.DUMMYFUNCTION("""COMPUTED_VALUE"""),29)</f>
        <v>29</v>
      </c>
      <c r="R6" s="1">
        <f ca="1">IFERROR(__xludf.DUMMYFUNCTION("""COMPUTED_VALUE"""),98.4)</f>
        <v>98.4</v>
      </c>
      <c r="S6" s="1">
        <f ca="1">IFERROR(__xludf.DUMMYFUNCTION("""COMPUTED_VALUE"""),16)</f>
        <v>16</v>
      </c>
      <c r="T6" s="1">
        <f ca="1">IFERROR(__xludf.DUMMYFUNCTION("""COMPUTED_VALUE"""),-3.8)</f>
        <v>-3.8</v>
      </c>
      <c r="U6" s="1">
        <f ca="1">IFERROR(__xludf.DUMMYFUNCTION("""COMPUTED_VALUE"""),252)</f>
        <v>252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IFERROR(__xludf.DUMMYFUNCTION("""COMPUTED_VALUE"""),"Villanova1")</f>
        <v>Villanova1</v>
      </c>
      <c r="C7" s="1" t="str">
        <f ca="1">IFERROR(__xludf.DUMMYFUNCTION("""COMPUTED_VALUE"""),"BE")</f>
        <v>BE</v>
      </c>
      <c r="D7" s="1" t="str">
        <f ca="1">IFERROR(__xludf.DUMMYFUNCTION("""COMPUTED_VALUE"""),"28-5")</f>
        <v>28-5</v>
      </c>
      <c r="E7" s="1" t="str">
        <f ca="1">IFERROR(__xludf.DUMMYFUNCTION("""COMPUTED_VALUE"""),"+24.59")</f>
        <v>+24.59</v>
      </c>
      <c r="F7" s="1">
        <f ca="1">IFERROR(__xludf.DUMMYFUNCTION("""COMPUTED_VALUE"""),116.3)</f>
        <v>116.3</v>
      </c>
      <c r="G7" s="1">
        <f ca="1">IFERROR(__xludf.DUMMYFUNCTION("""COMPUTED_VALUE"""),11)</f>
        <v>11</v>
      </c>
      <c r="H7" s="1">
        <f ca="1">IFERROR(__xludf.DUMMYFUNCTION("""COMPUTED_VALUE"""),91.7)</f>
        <v>91.7</v>
      </c>
      <c r="I7" s="1">
        <f ca="1">IFERROR(__xludf.DUMMYFUNCTION("""COMPUTED_VALUE"""),14)</f>
        <v>14</v>
      </c>
      <c r="J7" s="1">
        <f ca="1">IFERROR(__xludf.DUMMYFUNCTION("""COMPUTED_VALUE"""),65.6)</f>
        <v>65.599999999999994</v>
      </c>
      <c r="K7" s="1">
        <f ca="1">IFERROR(__xludf.DUMMYFUNCTION("""COMPUTED_VALUE"""),143)</f>
        <v>143</v>
      </c>
      <c r="L7" s="1" t="str">
        <f ca="1">IFERROR(__xludf.DUMMYFUNCTION("""COMPUTED_VALUE"""),"+.080")</f>
        <v>+.080</v>
      </c>
      <c r="M7" s="1">
        <f ca="1">IFERROR(__xludf.DUMMYFUNCTION("""COMPUTED_VALUE"""),20)</f>
        <v>20</v>
      </c>
      <c r="N7" s="1" t="str">
        <f ca="1">IFERROR(__xludf.DUMMYFUNCTION("""COMPUTED_VALUE"""),"+10.79")</f>
        <v>+10.79</v>
      </c>
      <c r="O7" s="1">
        <f ca="1">IFERROR(__xludf.DUMMYFUNCTION("""COMPUTED_VALUE"""),2)</f>
        <v>2</v>
      </c>
      <c r="P7" s="1">
        <f ca="1">IFERROR(__xludf.DUMMYFUNCTION("""COMPUTED_VALUE"""),108.4)</f>
        <v>108.4</v>
      </c>
      <c r="Q7" s="1">
        <f ca="1">IFERROR(__xludf.DUMMYFUNCTION("""COMPUTED_VALUE"""),5)</f>
        <v>5</v>
      </c>
      <c r="R7" s="1">
        <f ca="1">IFERROR(__xludf.DUMMYFUNCTION("""COMPUTED_VALUE"""),97.6)</f>
        <v>97.6</v>
      </c>
      <c r="S7" s="1">
        <f ca="1">IFERROR(__xludf.DUMMYFUNCTION("""COMPUTED_VALUE"""),5)</f>
        <v>5</v>
      </c>
      <c r="T7" s="1" t="str">
        <f ca="1">IFERROR(__xludf.DUMMYFUNCTION("""COMPUTED_VALUE"""),"+3.17")</f>
        <v>+3.17</v>
      </c>
      <c r="U7" s="1">
        <f ca="1">IFERROR(__xludf.DUMMYFUNCTION("""COMPUTED_VALUE"""),72)</f>
        <v>72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IFERROR(__xludf.DUMMYFUNCTION("""COMPUTED_VALUE"""),"Memphis1")</f>
        <v>Memphis1</v>
      </c>
      <c r="C8" s="1" t="str">
        <f ca="1">IFERROR(__xludf.DUMMYFUNCTION("""COMPUTED_VALUE"""),"CUSA")</f>
        <v>CUSA</v>
      </c>
      <c r="D8" s="1" t="str">
        <f ca="1">IFERROR(__xludf.DUMMYFUNCTION("""COMPUTED_VALUE"""),"33-4")</f>
        <v>33-4</v>
      </c>
      <c r="E8" s="1" t="str">
        <f ca="1">IFERROR(__xludf.DUMMYFUNCTION("""COMPUTED_VALUE"""),"+23.54")</f>
        <v>+23.54</v>
      </c>
      <c r="F8" s="1">
        <f ca="1">IFERROR(__xludf.DUMMYFUNCTION("""COMPUTED_VALUE"""),113.2)</f>
        <v>113.2</v>
      </c>
      <c r="G8" s="1">
        <f ca="1">IFERROR(__xludf.DUMMYFUNCTION("""COMPUTED_VALUE"""),22)</f>
        <v>22</v>
      </c>
      <c r="H8" s="1">
        <f ca="1">IFERROR(__xludf.DUMMYFUNCTION("""COMPUTED_VALUE"""),89.6)</f>
        <v>89.6</v>
      </c>
      <c r="I8" s="1">
        <f ca="1">IFERROR(__xludf.DUMMYFUNCTION("""COMPUTED_VALUE"""),6)</f>
        <v>6</v>
      </c>
      <c r="J8" s="1">
        <f ca="1">IFERROR(__xludf.DUMMYFUNCTION("""COMPUTED_VALUE"""),70.8)</f>
        <v>70.8</v>
      </c>
      <c r="K8" s="1">
        <f ca="1">IFERROR(__xludf.DUMMYFUNCTION("""COMPUTED_VALUE"""),17)</f>
        <v>17</v>
      </c>
      <c r="L8" s="1">
        <f ca="1">IFERROR(__xludf.DUMMYFUNCTION("""COMPUTED_VALUE"""),-0.007)</f>
        <v>-7.0000000000000001E-3</v>
      </c>
      <c r="M8" s="1">
        <f ca="1">IFERROR(__xludf.DUMMYFUNCTION("""COMPUTED_VALUE"""),185)</f>
        <v>185</v>
      </c>
      <c r="N8" s="1" t="str">
        <f ca="1">IFERROR(__xludf.DUMMYFUNCTION("""COMPUTED_VALUE"""),"+3.89")</f>
        <v>+3.89</v>
      </c>
      <c r="O8" s="1">
        <f ca="1">IFERROR(__xludf.DUMMYFUNCTION("""COMPUTED_VALUE"""),91)</f>
        <v>91</v>
      </c>
      <c r="P8" s="1">
        <f ca="1">IFERROR(__xludf.DUMMYFUNCTION("""COMPUTED_VALUE"""),103.9)</f>
        <v>103.9</v>
      </c>
      <c r="Q8" s="1">
        <f ca="1">IFERROR(__xludf.DUMMYFUNCTION("""COMPUTED_VALUE"""),128)</f>
        <v>128</v>
      </c>
      <c r="R8" s="1">
        <f ca="1">IFERROR(__xludf.DUMMYFUNCTION("""COMPUTED_VALUE"""),100)</f>
        <v>100</v>
      </c>
      <c r="S8" s="1">
        <f ca="1">IFERROR(__xludf.DUMMYFUNCTION("""COMPUTED_VALUE"""),68)</f>
        <v>68</v>
      </c>
      <c r="T8" s="1" t="str">
        <f ca="1">IFERROR(__xludf.DUMMYFUNCTION("""COMPUTED_VALUE"""),"+7.82")</f>
        <v>+7.82</v>
      </c>
      <c r="U8" s="1">
        <f ca="1">IFERROR(__xludf.DUMMYFUNCTION("""COMPUTED_VALUE"""),26)</f>
        <v>26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IFERROR(__xludf.DUMMYFUNCTION("""COMPUTED_VALUE"""),"UCLA2")</f>
        <v>UCLA2</v>
      </c>
      <c r="C9" s="1" t="str">
        <f ca="1">IFERROR(__xludf.DUMMYFUNCTION("""COMPUTED_VALUE"""),"P10")</f>
        <v>P10</v>
      </c>
      <c r="D9" s="1" t="str">
        <f ca="1">IFERROR(__xludf.DUMMYFUNCTION("""COMPUTED_VALUE"""),"32-7")</f>
        <v>32-7</v>
      </c>
      <c r="E9" s="1" t="str">
        <f ca="1">IFERROR(__xludf.DUMMYFUNCTION("""COMPUTED_VALUE"""),"+23.40")</f>
        <v>+23.40</v>
      </c>
      <c r="F9" s="1">
        <f ca="1">IFERROR(__xludf.DUMMYFUNCTION("""COMPUTED_VALUE"""),112.7)</f>
        <v>112.7</v>
      </c>
      <c r="G9" s="1">
        <f ca="1">IFERROR(__xludf.DUMMYFUNCTION("""COMPUTED_VALUE"""),31)</f>
        <v>31</v>
      </c>
      <c r="H9" s="1">
        <f ca="1">IFERROR(__xludf.DUMMYFUNCTION("""COMPUTED_VALUE"""),89.3)</f>
        <v>89.3</v>
      </c>
      <c r="I9" s="1">
        <f ca="1">IFERROR(__xludf.DUMMYFUNCTION("""COMPUTED_VALUE"""),4)</f>
        <v>4</v>
      </c>
      <c r="J9" s="1">
        <f ca="1">IFERROR(__xludf.DUMMYFUNCTION("""COMPUTED_VALUE"""),61.6)</f>
        <v>61.6</v>
      </c>
      <c r="K9" s="1">
        <f ca="1">IFERROR(__xludf.DUMMYFUNCTION("""COMPUTED_VALUE"""),298)</f>
        <v>298</v>
      </c>
      <c r="L9" s="1" t="str">
        <f ca="1">IFERROR(__xludf.DUMMYFUNCTION("""COMPUTED_VALUE"""),"+.020")</f>
        <v>+.020</v>
      </c>
      <c r="M9" s="1">
        <f ca="1">IFERROR(__xludf.DUMMYFUNCTION("""COMPUTED_VALUE"""),115)</f>
        <v>115</v>
      </c>
      <c r="N9" s="1" t="str">
        <f ca="1">IFERROR(__xludf.DUMMYFUNCTION("""COMPUTED_VALUE"""),"+8.30")</f>
        <v>+8.30</v>
      </c>
      <c r="O9" s="1">
        <f ca="1">IFERROR(__xludf.DUMMYFUNCTION("""COMPUTED_VALUE"""),27)</f>
        <v>27</v>
      </c>
      <c r="P9" s="1">
        <f ca="1">IFERROR(__xludf.DUMMYFUNCTION("""COMPUTED_VALUE"""),107.4)</f>
        <v>107.4</v>
      </c>
      <c r="Q9" s="1">
        <f ca="1">IFERROR(__xludf.DUMMYFUNCTION("""COMPUTED_VALUE"""),31)</f>
        <v>31</v>
      </c>
      <c r="R9" s="1">
        <f ca="1">IFERROR(__xludf.DUMMYFUNCTION("""COMPUTED_VALUE"""),99.1)</f>
        <v>99.1</v>
      </c>
      <c r="S9" s="1">
        <f ca="1">IFERROR(__xludf.DUMMYFUNCTION("""COMPUTED_VALUE"""),37)</f>
        <v>37</v>
      </c>
      <c r="T9" s="1" t="str">
        <f ca="1">IFERROR(__xludf.DUMMYFUNCTION("""COMPUTED_VALUE"""),"+1.60")</f>
        <v>+1.60</v>
      </c>
      <c r="U9" s="1">
        <f ca="1">IFERROR(__xludf.DUMMYFUNCTION("""COMPUTED_VALUE"""),116)</f>
        <v>116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IFERROR(__xludf.DUMMYFUNCTION("""COMPUTED_VALUE"""),"Kansas4")</f>
        <v>Kansas4</v>
      </c>
      <c r="C10" s="1" t="str">
        <f ca="1">IFERROR(__xludf.DUMMYFUNCTION("""COMPUTED_VALUE"""),"B12")</f>
        <v>B12</v>
      </c>
      <c r="D10" s="1" t="str">
        <f ca="1">IFERROR(__xludf.DUMMYFUNCTION("""COMPUTED_VALUE"""),"25-8")</f>
        <v>25-8</v>
      </c>
      <c r="E10" s="1" t="str">
        <f ca="1">IFERROR(__xludf.DUMMYFUNCTION("""COMPUTED_VALUE"""),"+23.22")</f>
        <v>+23.22</v>
      </c>
      <c r="F10" s="1">
        <f ca="1">IFERROR(__xludf.DUMMYFUNCTION("""COMPUTED_VALUE"""),110.4)</f>
        <v>110.4</v>
      </c>
      <c r="G10" s="1">
        <f ca="1">IFERROR(__xludf.DUMMYFUNCTION("""COMPUTED_VALUE"""),50)</f>
        <v>50</v>
      </c>
      <c r="H10" s="1">
        <f ca="1">IFERROR(__xludf.DUMMYFUNCTION("""COMPUTED_VALUE"""),87.2)</f>
        <v>87.2</v>
      </c>
      <c r="I10" s="1">
        <f ca="1">IFERROR(__xludf.DUMMYFUNCTION("""COMPUTED_VALUE"""),2)</f>
        <v>2</v>
      </c>
      <c r="J10" s="1">
        <f ca="1">IFERROR(__xludf.DUMMYFUNCTION("""COMPUTED_VALUE"""),67.7)</f>
        <v>67.7</v>
      </c>
      <c r="K10" s="1">
        <f ca="1">IFERROR(__xludf.DUMMYFUNCTION("""COMPUTED_VALUE"""),75)</f>
        <v>75</v>
      </c>
      <c r="L10" s="1">
        <f ca="1">IFERROR(__xludf.DUMMYFUNCTION("""COMPUTED_VALUE"""),-0.043)</f>
        <v>-4.2999999999999997E-2</v>
      </c>
      <c r="M10" s="1">
        <f ca="1">IFERROR(__xludf.DUMMYFUNCTION("""COMPUTED_VALUE"""),271)</f>
        <v>271</v>
      </c>
      <c r="N10" s="1" t="str">
        <f ca="1">IFERROR(__xludf.DUMMYFUNCTION("""COMPUTED_VALUE"""),"+6.03")</f>
        <v>+6.03</v>
      </c>
      <c r="O10" s="1">
        <f ca="1">IFERROR(__xludf.DUMMYFUNCTION("""COMPUTED_VALUE"""),64)</f>
        <v>64</v>
      </c>
      <c r="P10" s="1">
        <f ca="1">IFERROR(__xludf.DUMMYFUNCTION("""COMPUTED_VALUE"""),106)</f>
        <v>106</v>
      </c>
      <c r="Q10" s="1">
        <f ca="1">IFERROR(__xludf.DUMMYFUNCTION("""COMPUTED_VALUE"""),63)</f>
        <v>63</v>
      </c>
      <c r="R10" s="1">
        <f ca="1">IFERROR(__xludf.DUMMYFUNCTION("""COMPUTED_VALUE"""),99.9)</f>
        <v>99.9</v>
      </c>
      <c r="S10" s="1">
        <f ca="1">IFERROR(__xludf.DUMMYFUNCTION("""COMPUTED_VALUE"""),65)</f>
        <v>65</v>
      </c>
      <c r="T10" s="1">
        <f ca="1">IFERROR(__xludf.DUMMYFUNCTION("""COMPUTED_VALUE"""),-1.11)</f>
        <v>-1.1100000000000001</v>
      </c>
      <c r="U10" s="1">
        <f ca="1">IFERROR(__xludf.DUMMYFUNCTION("""COMPUTED_VALUE"""),182)</f>
        <v>182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IFERROR(__xludf.DUMMYFUNCTION("""COMPUTED_VALUE"""),"Illinois4")</f>
        <v>Illinois4</v>
      </c>
      <c r="C11" s="1" t="str">
        <f ca="1">IFERROR(__xludf.DUMMYFUNCTION("""COMPUTED_VALUE"""),"B10")</f>
        <v>B10</v>
      </c>
      <c r="D11" s="1" t="str">
        <f ca="1">IFERROR(__xludf.DUMMYFUNCTION("""COMPUTED_VALUE"""),"26-7")</f>
        <v>26-7</v>
      </c>
      <c r="E11" s="1" t="str">
        <f ca="1">IFERROR(__xludf.DUMMYFUNCTION("""COMPUTED_VALUE"""),"+23.20")</f>
        <v>+23.20</v>
      </c>
      <c r="F11" s="1">
        <f ca="1">IFERROR(__xludf.DUMMYFUNCTION("""COMPUTED_VALUE"""),114.5)</f>
        <v>114.5</v>
      </c>
      <c r="G11" s="1">
        <f ca="1">IFERROR(__xludf.DUMMYFUNCTION("""COMPUTED_VALUE"""),18)</f>
        <v>18</v>
      </c>
      <c r="H11" s="1">
        <f ca="1">IFERROR(__xludf.DUMMYFUNCTION("""COMPUTED_VALUE"""),91.3)</f>
        <v>91.3</v>
      </c>
      <c r="I11" s="1">
        <f ca="1">IFERROR(__xludf.DUMMYFUNCTION("""COMPUTED_VALUE"""),12)</f>
        <v>12</v>
      </c>
      <c r="J11" s="1">
        <f ca="1">IFERROR(__xludf.DUMMYFUNCTION("""COMPUTED_VALUE"""),62.1)</f>
        <v>62.1</v>
      </c>
      <c r="K11" s="1">
        <f ca="1">IFERROR(__xludf.DUMMYFUNCTION("""COMPUTED_VALUE"""),283)</f>
        <v>283</v>
      </c>
      <c r="L11" s="1">
        <f ca="1">IFERROR(__xludf.DUMMYFUNCTION("""COMPUTED_VALUE"""),-0.019)</f>
        <v>-1.9E-2</v>
      </c>
      <c r="M11" s="1">
        <f ca="1">IFERROR(__xludf.DUMMYFUNCTION("""COMPUTED_VALUE"""),212)</f>
        <v>212</v>
      </c>
      <c r="N11" s="1" t="str">
        <f ca="1">IFERROR(__xludf.DUMMYFUNCTION("""COMPUTED_VALUE"""),"+6.77")</f>
        <v>+6.77</v>
      </c>
      <c r="O11" s="1">
        <f ca="1">IFERROR(__xludf.DUMMYFUNCTION("""COMPUTED_VALUE"""),50)</f>
        <v>50</v>
      </c>
      <c r="P11" s="1">
        <f ca="1">IFERROR(__xludf.DUMMYFUNCTION("""COMPUTED_VALUE"""),106.4)</f>
        <v>106.4</v>
      </c>
      <c r="Q11" s="1">
        <f ca="1">IFERROR(__xludf.DUMMYFUNCTION("""COMPUTED_VALUE"""),49)</f>
        <v>49</v>
      </c>
      <c r="R11" s="1">
        <f ca="1">IFERROR(__xludf.DUMMYFUNCTION("""COMPUTED_VALUE"""),99.6)</f>
        <v>99.6</v>
      </c>
      <c r="S11" s="1">
        <f ca="1">IFERROR(__xludf.DUMMYFUNCTION("""COMPUTED_VALUE"""),55)</f>
        <v>55</v>
      </c>
      <c r="T11" s="1">
        <f ca="1">IFERROR(__xludf.DUMMYFUNCTION("""COMPUTED_VALUE"""),-4.52)</f>
        <v>-4.5199999999999996</v>
      </c>
      <c r="U11" s="1">
        <f ca="1">IFERROR(__xludf.DUMMYFUNCTION("""COMPUTED_VALUE"""),268)</f>
        <v>268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IFERROR(__xludf.DUMMYFUNCTION("""COMPUTED_VALUE"""),"North Carolina3")</f>
        <v>North Carolina3</v>
      </c>
      <c r="C12" s="1" t="str">
        <f ca="1">IFERROR(__xludf.DUMMYFUNCTION("""COMPUTED_VALUE"""),"ACC")</f>
        <v>ACC</v>
      </c>
      <c r="D12" s="1" t="str">
        <f ca="1">IFERROR(__xludf.DUMMYFUNCTION("""COMPUTED_VALUE"""),"23-8")</f>
        <v>23-8</v>
      </c>
      <c r="E12" s="1" t="str">
        <f ca="1">IFERROR(__xludf.DUMMYFUNCTION("""COMPUTED_VALUE"""),"+22.16")</f>
        <v>+22.16</v>
      </c>
      <c r="F12" s="1">
        <f ca="1">IFERROR(__xludf.DUMMYFUNCTION("""COMPUTED_VALUE"""),115.9)</f>
        <v>115.9</v>
      </c>
      <c r="G12" s="1">
        <f ca="1">IFERROR(__xludf.DUMMYFUNCTION("""COMPUTED_VALUE"""),13)</f>
        <v>13</v>
      </c>
      <c r="H12" s="1">
        <f ca="1">IFERROR(__xludf.DUMMYFUNCTION("""COMPUTED_VALUE"""),93.7)</f>
        <v>93.7</v>
      </c>
      <c r="I12" s="1">
        <f ca="1">IFERROR(__xludf.DUMMYFUNCTION("""COMPUTED_VALUE"""),28)</f>
        <v>28</v>
      </c>
      <c r="J12" s="1">
        <f ca="1">IFERROR(__xludf.DUMMYFUNCTION("""COMPUTED_VALUE"""),70.2)</f>
        <v>70.2</v>
      </c>
      <c r="K12" s="1">
        <f ca="1">IFERROR(__xludf.DUMMYFUNCTION("""COMPUTED_VALUE"""),23)</f>
        <v>23</v>
      </c>
      <c r="L12" s="1">
        <f ca="1">IFERROR(__xludf.DUMMYFUNCTION("""COMPUTED_VALUE"""),-0.01)</f>
        <v>-0.01</v>
      </c>
      <c r="M12" s="1">
        <f ca="1">IFERROR(__xludf.DUMMYFUNCTION("""COMPUTED_VALUE"""),191)</f>
        <v>191</v>
      </c>
      <c r="N12" s="1" t="str">
        <f ca="1">IFERROR(__xludf.DUMMYFUNCTION("""COMPUTED_VALUE"""),"+9.10")</f>
        <v>+9.10</v>
      </c>
      <c r="O12" s="1">
        <f ca="1">IFERROR(__xludf.DUMMYFUNCTION("""COMPUTED_VALUE"""),16)</f>
        <v>16</v>
      </c>
      <c r="P12" s="1">
        <f ca="1">IFERROR(__xludf.DUMMYFUNCTION("""COMPUTED_VALUE"""),107.6)</f>
        <v>107.6</v>
      </c>
      <c r="Q12" s="1">
        <f ca="1">IFERROR(__xludf.DUMMYFUNCTION("""COMPUTED_VALUE"""),26)</f>
        <v>26</v>
      </c>
      <c r="R12" s="1">
        <f ca="1">IFERROR(__xludf.DUMMYFUNCTION("""COMPUTED_VALUE"""),98.6)</f>
        <v>98.6</v>
      </c>
      <c r="S12" s="1">
        <f ca="1">IFERROR(__xludf.DUMMYFUNCTION("""COMPUTED_VALUE"""),23)</f>
        <v>23</v>
      </c>
      <c r="T12" s="1">
        <f ca="1">IFERROR(__xludf.DUMMYFUNCTION("""COMPUTED_VALUE"""),-0.83)</f>
        <v>-0.83</v>
      </c>
      <c r="U12" s="1">
        <f ca="1">IFERROR(__xludf.DUMMYFUNCTION("""COMPUTED_VALUE"""),176)</f>
        <v>176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IFERROR(__xludf.DUMMYFUNCTION("""COMPUTED_VALUE"""),"LSU4")</f>
        <v>LSU4</v>
      </c>
      <c r="C13" s="1" t="str">
        <f ca="1">IFERROR(__xludf.DUMMYFUNCTION("""COMPUTED_VALUE"""),"SEC")</f>
        <v>SEC</v>
      </c>
      <c r="D13" s="1" t="str">
        <f ca="1">IFERROR(__xludf.DUMMYFUNCTION("""COMPUTED_VALUE"""),"27-9")</f>
        <v>27-9</v>
      </c>
      <c r="E13" s="1" t="str">
        <f ca="1">IFERROR(__xludf.DUMMYFUNCTION("""COMPUTED_VALUE"""),"+22.00")</f>
        <v>+22.00</v>
      </c>
      <c r="F13" s="1">
        <f ca="1">IFERROR(__xludf.DUMMYFUNCTION("""COMPUTED_VALUE"""),109.8)</f>
        <v>109.8</v>
      </c>
      <c r="G13" s="1">
        <f ca="1">IFERROR(__xludf.DUMMYFUNCTION("""COMPUTED_VALUE"""),62)</f>
        <v>62</v>
      </c>
      <c r="H13" s="1">
        <f ca="1">IFERROR(__xludf.DUMMYFUNCTION("""COMPUTED_VALUE"""),87.8)</f>
        <v>87.8</v>
      </c>
      <c r="I13" s="1">
        <f ca="1">IFERROR(__xludf.DUMMYFUNCTION("""COMPUTED_VALUE"""),3)</f>
        <v>3</v>
      </c>
      <c r="J13" s="1">
        <f ca="1">IFERROR(__xludf.DUMMYFUNCTION("""COMPUTED_VALUE"""),67.5)</f>
        <v>67.5</v>
      </c>
      <c r="K13" s="1">
        <f ca="1">IFERROR(__xludf.DUMMYFUNCTION("""COMPUTED_VALUE"""),90)</f>
        <v>90</v>
      </c>
      <c r="L13" s="1" t="str">
        <f ca="1">IFERROR(__xludf.DUMMYFUNCTION("""COMPUTED_VALUE"""),"+.008")</f>
        <v>+.008</v>
      </c>
      <c r="M13" s="1">
        <f ca="1">IFERROR(__xludf.DUMMYFUNCTION("""COMPUTED_VALUE"""),146)</f>
        <v>146</v>
      </c>
      <c r="N13" s="1" t="str">
        <f ca="1">IFERROR(__xludf.DUMMYFUNCTION("""COMPUTED_VALUE"""),"+10.68")</f>
        <v>+10.68</v>
      </c>
      <c r="O13" s="1">
        <f ca="1">IFERROR(__xludf.DUMMYFUNCTION("""COMPUTED_VALUE"""),3)</f>
        <v>3</v>
      </c>
      <c r="P13" s="1">
        <f ca="1">IFERROR(__xludf.DUMMYFUNCTION("""COMPUTED_VALUE"""),108.3)</f>
        <v>108.3</v>
      </c>
      <c r="Q13" s="1">
        <f ca="1">IFERROR(__xludf.DUMMYFUNCTION("""COMPUTED_VALUE"""),10)</f>
        <v>10</v>
      </c>
      <c r="R13" s="1">
        <f ca="1">IFERROR(__xludf.DUMMYFUNCTION("""COMPUTED_VALUE"""),97.6)</f>
        <v>97.6</v>
      </c>
      <c r="S13" s="1">
        <f ca="1">IFERROR(__xludf.DUMMYFUNCTION("""COMPUTED_VALUE"""),6)</f>
        <v>6</v>
      </c>
      <c r="T13" s="1" t="str">
        <f ca="1">IFERROR(__xludf.DUMMYFUNCTION("""COMPUTED_VALUE"""),"+1.75")</f>
        <v>+1.75</v>
      </c>
      <c r="U13" s="1">
        <f ca="1">IFERROR(__xludf.DUMMYFUNCTION("""COMPUTED_VALUE"""),109)</f>
        <v>109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IFERROR(__xludf.DUMMYFUNCTION("""COMPUTED_VALUE"""),"Pittsburgh5")</f>
        <v>Pittsburgh5</v>
      </c>
      <c r="C14" s="1" t="str">
        <f ca="1">IFERROR(__xludf.DUMMYFUNCTION("""COMPUTED_VALUE"""),"BE")</f>
        <v>BE</v>
      </c>
      <c r="D14" s="1" t="str">
        <f ca="1">IFERROR(__xludf.DUMMYFUNCTION("""COMPUTED_VALUE"""),"25-8")</f>
        <v>25-8</v>
      </c>
      <c r="E14" s="1" t="str">
        <f ca="1">IFERROR(__xludf.DUMMYFUNCTION("""COMPUTED_VALUE"""),"+21.72")</f>
        <v>+21.72</v>
      </c>
      <c r="F14" s="1">
        <f ca="1">IFERROR(__xludf.DUMMYFUNCTION("""COMPUTED_VALUE"""),112.4)</f>
        <v>112.4</v>
      </c>
      <c r="G14" s="1">
        <f ca="1">IFERROR(__xludf.DUMMYFUNCTION("""COMPUTED_VALUE"""),33)</f>
        <v>33</v>
      </c>
      <c r="H14" s="1">
        <f ca="1">IFERROR(__xludf.DUMMYFUNCTION("""COMPUTED_VALUE"""),90.6)</f>
        <v>90.6</v>
      </c>
      <c r="I14" s="1">
        <f ca="1">IFERROR(__xludf.DUMMYFUNCTION("""COMPUTED_VALUE"""),9)</f>
        <v>9</v>
      </c>
      <c r="J14" s="1">
        <f ca="1">IFERROR(__xludf.DUMMYFUNCTION("""COMPUTED_VALUE"""),64.6)</f>
        <v>64.599999999999994</v>
      </c>
      <c r="K14" s="1">
        <f ca="1">IFERROR(__xludf.DUMMYFUNCTION("""COMPUTED_VALUE"""),203)</f>
        <v>203</v>
      </c>
      <c r="L14" s="1">
        <f ca="1">IFERROR(__xludf.DUMMYFUNCTION("""COMPUTED_VALUE"""),-0.031)</f>
        <v>-3.1E-2</v>
      </c>
      <c r="M14" s="1">
        <f ca="1">IFERROR(__xludf.DUMMYFUNCTION("""COMPUTED_VALUE"""),244)</f>
        <v>244</v>
      </c>
      <c r="N14" s="1" t="str">
        <f ca="1">IFERROR(__xludf.DUMMYFUNCTION("""COMPUTED_VALUE"""),"+7.81")</f>
        <v>+7.81</v>
      </c>
      <c r="O14" s="1">
        <f ca="1">IFERROR(__xludf.DUMMYFUNCTION("""COMPUTED_VALUE"""),34)</f>
        <v>34</v>
      </c>
      <c r="P14" s="1">
        <f ca="1">IFERROR(__xludf.DUMMYFUNCTION("""COMPUTED_VALUE"""),108)</f>
        <v>108</v>
      </c>
      <c r="Q14" s="1">
        <f ca="1">IFERROR(__xludf.DUMMYFUNCTION("""COMPUTED_VALUE"""),21)</f>
        <v>21</v>
      </c>
      <c r="R14" s="1">
        <f ca="1">IFERROR(__xludf.DUMMYFUNCTION("""COMPUTED_VALUE"""),100.1)</f>
        <v>100.1</v>
      </c>
      <c r="S14" s="1">
        <f ca="1">IFERROR(__xludf.DUMMYFUNCTION("""COMPUTED_VALUE"""),72)</f>
        <v>72</v>
      </c>
      <c r="T14" s="1">
        <f ca="1">IFERROR(__xludf.DUMMYFUNCTION("""COMPUTED_VALUE"""),-6.92)</f>
        <v>-6.92</v>
      </c>
      <c r="U14" s="1">
        <f ca="1">IFERROR(__xludf.DUMMYFUNCTION("""COMPUTED_VALUE"""),304)</f>
        <v>304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IFERROR(__xludf.DUMMYFUNCTION("""COMPUTED_VALUE"""),"Georgetown7")</f>
        <v>Georgetown7</v>
      </c>
      <c r="C15" s="1" t="str">
        <f ca="1">IFERROR(__xludf.DUMMYFUNCTION("""COMPUTED_VALUE"""),"BE")</f>
        <v>BE</v>
      </c>
      <c r="D15" s="1" t="str">
        <f ca="1">IFERROR(__xludf.DUMMYFUNCTION("""COMPUTED_VALUE"""),"23-10")</f>
        <v>23-10</v>
      </c>
      <c r="E15" s="1" t="str">
        <f ca="1">IFERROR(__xludf.DUMMYFUNCTION("""COMPUTED_VALUE"""),"+21.29")</f>
        <v>+21.29</v>
      </c>
      <c r="F15" s="1">
        <f ca="1">IFERROR(__xludf.DUMMYFUNCTION("""COMPUTED_VALUE"""),116.5)</f>
        <v>116.5</v>
      </c>
      <c r="G15" s="1">
        <f ca="1">IFERROR(__xludf.DUMMYFUNCTION("""COMPUTED_VALUE"""),9)</f>
        <v>9</v>
      </c>
      <c r="H15" s="1">
        <f ca="1">IFERROR(__xludf.DUMMYFUNCTION("""COMPUTED_VALUE"""),95.2)</f>
        <v>95.2</v>
      </c>
      <c r="I15" s="1">
        <f ca="1">IFERROR(__xludf.DUMMYFUNCTION("""COMPUTED_VALUE"""),46)</f>
        <v>46</v>
      </c>
      <c r="J15" s="1">
        <f ca="1">IFERROR(__xludf.DUMMYFUNCTION("""COMPUTED_VALUE"""),57.8)</f>
        <v>57.8</v>
      </c>
      <c r="K15" s="1">
        <f ca="1">IFERROR(__xludf.DUMMYFUNCTION("""COMPUTED_VALUE"""),329)</f>
        <v>329</v>
      </c>
      <c r="L15" s="1">
        <f ca="1">IFERROR(__xludf.DUMMYFUNCTION("""COMPUTED_VALUE"""),-0.026)</f>
        <v>-2.5999999999999999E-2</v>
      </c>
      <c r="M15" s="1">
        <f ca="1">IFERROR(__xludf.DUMMYFUNCTION("""COMPUTED_VALUE"""),226)</f>
        <v>226</v>
      </c>
      <c r="N15" s="1" t="str">
        <f ca="1">IFERROR(__xludf.DUMMYFUNCTION("""COMPUTED_VALUE"""),"+9.58")</f>
        <v>+9.58</v>
      </c>
      <c r="O15" s="1">
        <f ca="1">IFERROR(__xludf.DUMMYFUNCTION("""COMPUTED_VALUE"""),11)</f>
        <v>11</v>
      </c>
      <c r="P15" s="1">
        <f ca="1">IFERROR(__xludf.DUMMYFUNCTION("""COMPUTED_VALUE"""),108.1)</f>
        <v>108.1</v>
      </c>
      <c r="Q15" s="1">
        <f ca="1">IFERROR(__xludf.DUMMYFUNCTION("""COMPUTED_VALUE"""),14)</f>
        <v>14</v>
      </c>
      <c r="R15" s="1">
        <f ca="1">IFERROR(__xludf.DUMMYFUNCTION("""COMPUTED_VALUE"""),98.5)</f>
        <v>98.5</v>
      </c>
      <c r="S15" s="1">
        <f ca="1">IFERROR(__xludf.DUMMYFUNCTION("""COMPUTED_VALUE"""),22)</f>
        <v>22</v>
      </c>
      <c r="T15" s="1">
        <f ca="1">IFERROR(__xludf.DUMMYFUNCTION("""COMPUTED_VALUE"""),-1.83)</f>
        <v>-1.83</v>
      </c>
      <c r="U15" s="1">
        <f ca="1">IFERROR(__xludf.DUMMYFUNCTION("""COMPUTED_VALUE"""),208)</f>
        <v>208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IFERROR(__xludf.DUMMYFUNCTION("""COMPUTED_VALUE"""),"Ohio St.2")</f>
        <v>Ohio St.2</v>
      </c>
      <c r="C16" s="1" t="str">
        <f ca="1">IFERROR(__xludf.DUMMYFUNCTION("""COMPUTED_VALUE"""),"B10")</f>
        <v>B10</v>
      </c>
      <c r="D16" s="1" t="str">
        <f ca="1">IFERROR(__xludf.DUMMYFUNCTION("""COMPUTED_VALUE"""),"26-6")</f>
        <v>26-6</v>
      </c>
      <c r="E16" s="1" t="str">
        <f ca="1">IFERROR(__xludf.DUMMYFUNCTION("""COMPUTED_VALUE"""),"+20.68")</f>
        <v>+20.68</v>
      </c>
      <c r="F16" s="1">
        <f ca="1">IFERROR(__xludf.DUMMYFUNCTION("""COMPUTED_VALUE"""),113)</f>
        <v>113</v>
      </c>
      <c r="G16" s="1">
        <f ca="1">IFERROR(__xludf.DUMMYFUNCTION("""COMPUTED_VALUE"""),25)</f>
        <v>25</v>
      </c>
      <c r="H16" s="1">
        <f ca="1">IFERROR(__xludf.DUMMYFUNCTION("""COMPUTED_VALUE"""),92.3)</f>
        <v>92.3</v>
      </c>
      <c r="I16" s="1">
        <f ca="1">IFERROR(__xludf.DUMMYFUNCTION("""COMPUTED_VALUE"""),19)</f>
        <v>19</v>
      </c>
      <c r="J16" s="1">
        <f ca="1">IFERROR(__xludf.DUMMYFUNCTION("""COMPUTED_VALUE"""),65.2)</f>
        <v>65.2</v>
      </c>
      <c r="K16" s="1">
        <f ca="1">IFERROR(__xludf.DUMMYFUNCTION("""COMPUTED_VALUE"""),169)</f>
        <v>169</v>
      </c>
      <c r="L16" s="1" t="str">
        <f ca="1">IFERROR(__xludf.DUMMYFUNCTION("""COMPUTED_VALUE"""),"+.028")</f>
        <v>+.028</v>
      </c>
      <c r="M16" s="1">
        <f ca="1">IFERROR(__xludf.DUMMYFUNCTION("""COMPUTED_VALUE"""),97)</f>
        <v>97</v>
      </c>
      <c r="N16" s="1" t="str">
        <f ca="1">IFERROR(__xludf.DUMMYFUNCTION("""COMPUTED_VALUE"""),"+6.74")</f>
        <v>+6.74</v>
      </c>
      <c r="O16" s="1">
        <f ca="1">IFERROR(__xludf.DUMMYFUNCTION("""COMPUTED_VALUE"""),53)</f>
        <v>53</v>
      </c>
      <c r="P16" s="1">
        <f ca="1">IFERROR(__xludf.DUMMYFUNCTION("""COMPUTED_VALUE"""),107)</f>
        <v>107</v>
      </c>
      <c r="Q16" s="1">
        <f ca="1">IFERROR(__xludf.DUMMYFUNCTION("""COMPUTED_VALUE"""),37)</f>
        <v>37</v>
      </c>
      <c r="R16" s="1">
        <f ca="1">IFERROR(__xludf.DUMMYFUNCTION("""COMPUTED_VALUE"""),100.3)</f>
        <v>100.3</v>
      </c>
      <c r="S16" s="1">
        <f ca="1">IFERROR(__xludf.DUMMYFUNCTION("""COMPUTED_VALUE"""),76)</f>
        <v>76</v>
      </c>
      <c r="T16" s="1">
        <f ca="1">IFERROR(__xludf.DUMMYFUNCTION("""COMPUTED_VALUE"""),-3.33)</f>
        <v>-3.33</v>
      </c>
      <c r="U16" s="1">
        <f ca="1">IFERROR(__xludf.DUMMYFUNCTION("""COMPUTED_VALUE"""),241)</f>
        <v>241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IFERROR(__xludf.DUMMYFUNCTION("""COMPUTED_VALUE"""),"Washington5")</f>
        <v>Washington5</v>
      </c>
      <c r="C17" s="1" t="str">
        <f ca="1">IFERROR(__xludf.DUMMYFUNCTION("""COMPUTED_VALUE"""),"P10")</f>
        <v>P10</v>
      </c>
      <c r="D17" s="1" t="str">
        <f ca="1">IFERROR(__xludf.DUMMYFUNCTION("""COMPUTED_VALUE"""),"26-7")</f>
        <v>26-7</v>
      </c>
      <c r="E17" s="1" t="str">
        <f ca="1">IFERROR(__xludf.DUMMYFUNCTION("""COMPUTED_VALUE"""),"+20.09")</f>
        <v>+20.09</v>
      </c>
      <c r="F17" s="1">
        <f ca="1">IFERROR(__xludf.DUMMYFUNCTION("""COMPUTED_VALUE"""),114.8)</f>
        <v>114.8</v>
      </c>
      <c r="G17" s="1">
        <f ca="1">IFERROR(__xludf.DUMMYFUNCTION("""COMPUTED_VALUE"""),16)</f>
        <v>16</v>
      </c>
      <c r="H17" s="1">
        <f ca="1">IFERROR(__xludf.DUMMYFUNCTION("""COMPUTED_VALUE"""),94.7)</f>
        <v>94.7</v>
      </c>
      <c r="I17" s="1">
        <f ca="1">IFERROR(__xludf.DUMMYFUNCTION("""COMPUTED_VALUE"""),38)</f>
        <v>38</v>
      </c>
      <c r="J17" s="1">
        <f ca="1">IFERROR(__xludf.DUMMYFUNCTION("""COMPUTED_VALUE"""),71.6)</f>
        <v>71.599999999999994</v>
      </c>
      <c r="K17" s="1">
        <f ca="1">IFERROR(__xludf.DUMMYFUNCTION("""COMPUTED_VALUE"""),10)</f>
        <v>10</v>
      </c>
      <c r="L17" s="1" t="str">
        <f ca="1">IFERROR(__xludf.DUMMYFUNCTION("""COMPUTED_VALUE"""),"+.007")</f>
        <v>+.007</v>
      </c>
      <c r="M17" s="1">
        <f ca="1">IFERROR(__xludf.DUMMYFUNCTION("""COMPUTED_VALUE"""),151)</f>
        <v>151</v>
      </c>
      <c r="N17" s="1" t="str">
        <f ca="1">IFERROR(__xludf.DUMMYFUNCTION("""COMPUTED_VALUE"""),"+5.21")</f>
        <v>+5.21</v>
      </c>
      <c r="O17" s="1">
        <f ca="1">IFERROR(__xludf.DUMMYFUNCTION("""COMPUTED_VALUE"""),78)</f>
        <v>78</v>
      </c>
      <c r="P17" s="1">
        <f ca="1">IFERROR(__xludf.DUMMYFUNCTION("""COMPUTED_VALUE"""),105.5)</f>
        <v>105.5</v>
      </c>
      <c r="Q17" s="1">
        <f ca="1">IFERROR(__xludf.DUMMYFUNCTION("""COMPUTED_VALUE"""),71)</f>
        <v>71</v>
      </c>
      <c r="R17" s="1">
        <f ca="1">IFERROR(__xludf.DUMMYFUNCTION("""COMPUTED_VALUE"""),100.3)</f>
        <v>100.3</v>
      </c>
      <c r="S17" s="1">
        <f ca="1">IFERROR(__xludf.DUMMYFUNCTION("""COMPUTED_VALUE"""),75)</f>
        <v>75</v>
      </c>
      <c r="T17" s="1">
        <f ca="1">IFERROR(__xludf.DUMMYFUNCTION("""COMPUTED_VALUE"""),-7.56)</f>
        <v>-7.56</v>
      </c>
      <c r="U17" s="1">
        <f ca="1">IFERROR(__xludf.DUMMYFUNCTION("""COMPUTED_VALUE"""),313)</f>
        <v>313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IFERROR(__xludf.DUMMYFUNCTION("""COMPUTED_VALUE"""),"West Virginia6")</f>
        <v>West Virginia6</v>
      </c>
      <c r="C18" s="1" t="str">
        <f ca="1">IFERROR(__xludf.DUMMYFUNCTION("""COMPUTED_VALUE"""),"BE")</f>
        <v>BE</v>
      </c>
      <c r="D18" s="1" t="str">
        <f ca="1">IFERROR(__xludf.DUMMYFUNCTION("""COMPUTED_VALUE"""),"22-11")</f>
        <v>22-11</v>
      </c>
      <c r="E18" s="1" t="str">
        <f ca="1">IFERROR(__xludf.DUMMYFUNCTION("""COMPUTED_VALUE"""),"+19.49")</f>
        <v>+19.49</v>
      </c>
      <c r="F18" s="1">
        <f ca="1">IFERROR(__xludf.DUMMYFUNCTION("""COMPUTED_VALUE"""),116.1)</f>
        <v>116.1</v>
      </c>
      <c r="G18" s="1">
        <f ca="1">IFERROR(__xludf.DUMMYFUNCTION("""COMPUTED_VALUE"""),12)</f>
        <v>12</v>
      </c>
      <c r="H18" s="1">
        <f ca="1">IFERROR(__xludf.DUMMYFUNCTION("""COMPUTED_VALUE"""),96.6)</f>
        <v>96.6</v>
      </c>
      <c r="I18" s="1">
        <f ca="1">IFERROR(__xludf.DUMMYFUNCTION("""COMPUTED_VALUE"""),62)</f>
        <v>62</v>
      </c>
      <c r="J18" s="1">
        <f ca="1">IFERROR(__xludf.DUMMYFUNCTION("""COMPUTED_VALUE"""),62.5)</f>
        <v>62.5</v>
      </c>
      <c r="K18" s="1">
        <f ca="1">IFERROR(__xludf.DUMMYFUNCTION("""COMPUTED_VALUE"""),276)</f>
        <v>276</v>
      </c>
      <c r="L18" s="1">
        <f ca="1">IFERROR(__xludf.DUMMYFUNCTION("""COMPUTED_VALUE"""),-0.046)</f>
        <v>-4.5999999999999999E-2</v>
      </c>
      <c r="M18" s="1">
        <f ca="1">IFERROR(__xludf.DUMMYFUNCTION("""COMPUTED_VALUE"""),278)</f>
        <v>278</v>
      </c>
      <c r="N18" s="1" t="str">
        <f ca="1">IFERROR(__xludf.DUMMYFUNCTION("""COMPUTED_VALUE"""),"+10.37")</f>
        <v>+10.37</v>
      </c>
      <c r="O18" s="1">
        <f ca="1">IFERROR(__xludf.DUMMYFUNCTION("""COMPUTED_VALUE"""),7)</f>
        <v>7</v>
      </c>
      <c r="P18" s="1">
        <f ca="1">IFERROR(__xludf.DUMMYFUNCTION("""COMPUTED_VALUE"""),108.4)</f>
        <v>108.4</v>
      </c>
      <c r="Q18" s="1">
        <f ca="1">IFERROR(__xludf.DUMMYFUNCTION("""COMPUTED_VALUE"""),7)</f>
        <v>7</v>
      </c>
      <c r="R18" s="1">
        <f ca="1">IFERROR(__xludf.DUMMYFUNCTION("""COMPUTED_VALUE"""),98)</f>
        <v>98</v>
      </c>
      <c r="S18" s="1">
        <f ca="1">IFERROR(__xludf.DUMMYFUNCTION("""COMPUTED_VALUE"""),9)</f>
        <v>9</v>
      </c>
      <c r="T18" s="1">
        <f ca="1">IFERROR(__xludf.DUMMYFUNCTION("""COMPUTED_VALUE"""),-0.49)</f>
        <v>-0.49</v>
      </c>
      <c r="U18" s="1">
        <f ca="1">IFERROR(__xludf.DUMMYFUNCTION("""COMPUTED_VALUE"""),164)</f>
        <v>164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IFERROR(__xludf.DUMMYFUNCTION("""COMPUTED_VALUE"""),"Tennessee2")</f>
        <v>Tennessee2</v>
      </c>
      <c r="C19" s="1" t="str">
        <f ca="1">IFERROR(__xludf.DUMMYFUNCTION("""COMPUTED_VALUE"""),"SEC")</f>
        <v>SEC</v>
      </c>
      <c r="D19" s="1" t="str">
        <f ca="1">IFERROR(__xludf.DUMMYFUNCTION("""COMPUTED_VALUE"""),"22-8")</f>
        <v>22-8</v>
      </c>
      <c r="E19" s="1" t="str">
        <f ca="1">IFERROR(__xludf.DUMMYFUNCTION("""COMPUTED_VALUE"""),"+19.44")</f>
        <v>+19.44</v>
      </c>
      <c r="F19" s="1">
        <f ca="1">IFERROR(__xludf.DUMMYFUNCTION("""COMPUTED_VALUE"""),116.6)</f>
        <v>116.6</v>
      </c>
      <c r="G19" s="1">
        <f ca="1">IFERROR(__xludf.DUMMYFUNCTION("""COMPUTED_VALUE"""),8)</f>
        <v>8</v>
      </c>
      <c r="H19" s="1">
        <f ca="1">IFERROR(__xludf.DUMMYFUNCTION("""COMPUTED_VALUE"""),97.2)</f>
        <v>97.2</v>
      </c>
      <c r="I19" s="1">
        <f ca="1">IFERROR(__xludf.DUMMYFUNCTION("""COMPUTED_VALUE"""),72)</f>
        <v>72</v>
      </c>
      <c r="J19" s="1">
        <f ca="1">IFERROR(__xludf.DUMMYFUNCTION("""COMPUTED_VALUE"""),71.1)</f>
        <v>71.099999999999994</v>
      </c>
      <c r="K19" s="1">
        <f ca="1">IFERROR(__xludf.DUMMYFUNCTION("""COMPUTED_VALUE"""),13)</f>
        <v>13</v>
      </c>
      <c r="L19" s="1" t="str">
        <f ca="1">IFERROR(__xludf.DUMMYFUNCTION("""COMPUTED_VALUE"""),"+.012")</f>
        <v>+.012</v>
      </c>
      <c r="M19" s="1">
        <f ca="1">IFERROR(__xludf.DUMMYFUNCTION("""COMPUTED_VALUE"""),140)</f>
        <v>140</v>
      </c>
      <c r="N19" s="1" t="str">
        <f ca="1">IFERROR(__xludf.DUMMYFUNCTION("""COMPUTED_VALUE"""),"+9.44")</f>
        <v>+9.44</v>
      </c>
      <c r="O19" s="1">
        <f ca="1">IFERROR(__xludf.DUMMYFUNCTION("""COMPUTED_VALUE"""),13)</f>
        <v>13</v>
      </c>
      <c r="P19" s="1">
        <f ca="1">IFERROR(__xludf.DUMMYFUNCTION("""COMPUTED_VALUE"""),108)</f>
        <v>108</v>
      </c>
      <c r="Q19" s="1">
        <f ca="1">IFERROR(__xludf.DUMMYFUNCTION("""COMPUTED_VALUE"""),20)</f>
        <v>20</v>
      </c>
      <c r="R19" s="1">
        <f ca="1">IFERROR(__xludf.DUMMYFUNCTION("""COMPUTED_VALUE"""),98.5)</f>
        <v>98.5</v>
      </c>
      <c r="S19" s="1">
        <f ca="1">IFERROR(__xludf.DUMMYFUNCTION("""COMPUTED_VALUE"""),20)</f>
        <v>20</v>
      </c>
      <c r="T19" s="1">
        <f ca="1">IFERROR(__xludf.DUMMYFUNCTION("""COMPUTED_VALUE"""),-0.74)</f>
        <v>-0.74</v>
      </c>
      <c r="U19" s="1">
        <f ca="1">IFERROR(__xludf.DUMMYFUNCTION("""COMPUTED_VALUE"""),171)</f>
        <v>171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IFERROR(__xludf.DUMMYFUNCTION("""COMPUTED_VALUE"""),"Boston College4")</f>
        <v>Boston College4</v>
      </c>
      <c r="C20" s="1" t="str">
        <f ca="1">IFERROR(__xludf.DUMMYFUNCTION("""COMPUTED_VALUE"""),"ACC")</f>
        <v>ACC</v>
      </c>
      <c r="D20" s="1" t="str">
        <f ca="1">IFERROR(__xludf.DUMMYFUNCTION("""COMPUTED_VALUE"""),"28-8")</f>
        <v>28-8</v>
      </c>
      <c r="E20" s="1" t="str">
        <f ca="1">IFERROR(__xludf.DUMMYFUNCTION("""COMPUTED_VALUE"""),"+18.65")</f>
        <v>+18.65</v>
      </c>
      <c r="F20" s="1">
        <f ca="1">IFERROR(__xludf.DUMMYFUNCTION("""COMPUTED_VALUE"""),117.8)</f>
        <v>117.8</v>
      </c>
      <c r="G20" s="1">
        <f ca="1">IFERROR(__xludf.DUMMYFUNCTION("""COMPUTED_VALUE"""),4)</f>
        <v>4</v>
      </c>
      <c r="H20" s="1">
        <f ca="1">IFERROR(__xludf.DUMMYFUNCTION("""COMPUTED_VALUE"""),99.2)</f>
        <v>99.2</v>
      </c>
      <c r="I20" s="1">
        <f ca="1">IFERROR(__xludf.DUMMYFUNCTION("""COMPUTED_VALUE"""),99)</f>
        <v>99</v>
      </c>
      <c r="J20" s="1">
        <f ca="1">IFERROR(__xludf.DUMMYFUNCTION("""COMPUTED_VALUE"""),61.5)</f>
        <v>61.5</v>
      </c>
      <c r="K20" s="1">
        <f ca="1">IFERROR(__xludf.DUMMYFUNCTION("""COMPUTED_VALUE"""),301)</f>
        <v>301</v>
      </c>
      <c r="L20" s="1" t="str">
        <f ca="1">IFERROR(__xludf.DUMMYFUNCTION("""COMPUTED_VALUE"""),"+.024")</f>
        <v>+.024</v>
      </c>
      <c r="M20" s="1">
        <f ca="1">IFERROR(__xludf.DUMMYFUNCTION("""COMPUTED_VALUE"""),106)</f>
        <v>106</v>
      </c>
      <c r="N20" s="1" t="str">
        <f ca="1">IFERROR(__xludf.DUMMYFUNCTION("""COMPUTED_VALUE"""),"+7.43")</f>
        <v>+7.43</v>
      </c>
      <c r="O20" s="1">
        <f ca="1">IFERROR(__xludf.DUMMYFUNCTION("""COMPUTED_VALUE"""),41)</f>
        <v>41</v>
      </c>
      <c r="P20" s="1">
        <f ca="1">IFERROR(__xludf.DUMMYFUNCTION("""COMPUTED_VALUE"""),107.1)</f>
        <v>107.1</v>
      </c>
      <c r="Q20" s="1">
        <f ca="1">IFERROR(__xludf.DUMMYFUNCTION("""COMPUTED_VALUE"""),34)</f>
        <v>34</v>
      </c>
      <c r="R20" s="1">
        <f ca="1">IFERROR(__xludf.DUMMYFUNCTION("""COMPUTED_VALUE"""),99.7)</f>
        <v>99.7</v>
      </c>
      <c r="S20" s="1">
        <f ca="1">IFERROR(__xludf.DUMMYFUNCTION("""COMPUTED_VALUE"""),60)</f>
        <v>60</v>
      </c>
      <c r="T20" s="1">
        <f ca="1">IFERROR(__xludf.DUMMYFUNCTION("""COMPUTED_VALUE"""),-5.69)</f>
        <v>-5.69</v>
      </c>
      <c r="U20" s="1">
        <f ca="1">IFERROR(__xludf.DUMMYFUNCTION("""COMPUTED_VALUE"""),287)</f>
        <v>287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IFERROR(__xludf.DUMMYFUNCTION("""COMPUTED_VALUE"""),"South Carolina3")</f>
        <v>South Carolina3</v>
      </c>
      <c r="C21" s="1" t="str">
        <f ca="1">IFERROR(__xludf.DUMMYFUNCTION("""COMPUTED_VALUE"""),"SEC")</f>
        <v>SEC</v>
      </c>
      <c r="D21" s="1" t="str">
        <f ca="1">IFERROR(__xludf.DUMMYFUNCTION("""COMPUTED_VALUE"""),"23-15")</f>
        <v>23-15</v>
      </c>
      <c r="E21" s="1" t="str">
        <f ca="1">IFERROR(__xludf.DUMMYFUNCTION("""COMPUTED_VALUE"""),"+18.54")</f>
        <v>+18.54</v>
      </c>
      <c r="F21" s="1">
        <f ca="1">IFERROR(__xludf.DUMMYFUNCTION("""COMPUTED_VALUE"""),114.9)</f>
        <v>114.9</v>
      </c>
      <c r="G21" s="1">
        <f ca="1">IFERROR(__xludf.DUMMYFUNCTION("""COMPUTED_VALUE"""),14)</f>
        <v>14</v>
      </c>
      <c r="H21" s="1">
        <f ca="1">IFERROR(__xludf.DUMMYFUNCTION("""COMPUTED_VALUE"""),96.4)</f>
        <v>96.4</v>
      </c>
      <c r="I21" s="1">
        <f ca="1">IFERROR(__xludf.DUMMYFUNCTION("""COMPUTED_VALUE"""),55)</f>
        <v>55</v>
      </c>
      <c r="J21" s="1">
        <f ca="1">IFERROR(__xludf.DUMMYFUNCTION("""COMPUTED_VALUE"""),59.2)</f>
        <v>59.2</v>
      </c>
      <c r="K21" s="1">
        <f ca="1">IFERROR(__xludf.DUMMYFUNCTION("""COMPUTED_VALUE"""),324)</f>
        <v>324</v>
      </c>
      <c r="L21" s="1">
        <f ca="1">IFERROR(__xludf.DUMMYFUNCTION("""COMPUTED_VALUE"""),-0.057)</f>
        <v>-5.7000000000000002E-2</v>
      </c>
      <c r="M21" s="1">
        <f ca="1">IFERROR(__xludf.DUMMYFUNCTION("""COMPUTED_VALUE"""),288)</f>
        <v>288</v>
      </c>
      <c r="N21" s="1" t="str">
        <f ca="1">IFERROR(__xludf.DUMMYFUNCTION("""COMPUTED_VALUE"""),"+10.30")</f>
        <v>+10.30</v>
      </c>
      <c r="O21" s="1">
        <f ca="1">IFERROR(__xludf.DUMMYFUNCTION("""COMPUTED_VALUE"""),8)</f>
        <v>8</v>
      </c>
      <c r="P21" s="1">
        <f ca="1">IFERROR(__xludf.DUMMYFUNCTION("""COMPUTED_VALUE"""),108.4)</f>
        <v>108.4</v>
      </c>
      <c r="Q21" s="1">
        <f ca="1">IFERROR(__xludf.DUMMYFUNCTION("""COMPUTED_VALUE"""),6)</f>
        <v>6</v>
      </c>
      <c r="R21" s="1">
        <f ca="1">IFERROR(__xludf.DUMMYFUNCTION("""COMPUTED_VALUE"""),98.1)</f>
        <v>98.1</v>
      </c>
      <c r="S21" s="1">
        <f ca="1">IFERROR(__xludf.DUMMYFUNCTION("""COMPUTED_VALUE"""),11)</f>
        <v>11</v>
      </c>
      <c r="T21" s="1" t="str">
        <f ca="1">IFERROR(__xludf.DUMMYFUNCTION("""COMPUTED_VALUE"""),"+0.22")</f>
        <v>+0.22</v>
      </c>
      <c r="U21" s="1">
        <f ca="1">IFERROR(__xludf.DUMMYFUNCTION("""COMPUTED_VALUE"""),149)</f>
        <v>149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IFERROR(__xludf.DUMMYFUNCTION("""COMPUTED_VALUE"""),"Arkansas8")</f>
        <v>Arkansas8</v>
      </c>
      <c r="C22" s="1" t="str">
        <f ca="1">IFERROR(__xludf.DUMMYFUNCTION("""COMPUTED_VALUE"""),"SEC")</f>
        <v>SEC</v>
      </c>
      <c r="D22" s="1" t="str">
        <f ca="1">IFERROR(__xludf.DUMMYFUNCTION("""COMPUTED_VALUE"""),"22-10")</f>
        <v>22-10</v>
      </c>
      <c r="E22" s="1" t="str">
        <f ca="1">IFERROR(__xludf.DUMMYFUNCTION("""COMPUTED_VALUE"""),"+18.47")</f>
        <v>+18.47</v>
      </c>
      <c r="F22" s="1">
        <f ca="1">IFERROR(__xludf.DUMMYFUNCTION("""COMPUTED_VALUE"""),112.2)</f>
        <v>112.2</v>
      </c>
      <c r="G22" s="1">
        <f ca="1">IFERROR(__xludf.DUMMYFUNCTION("""COMPUTED_VALUE"""),34)</f>
        <v>34</v>
      </c>
      <c r="H22" s="1">
        <f ca="1">IFERROR(__xludf.DUMMYFUNCTION("""COMPUTED_VALUE"""),93.8)</f>
        <v>93.8</v>
      </c>
      <c r="I22" s="1">
        <f ca="1">IFERROR(__xludf.DUMMYFUNCTION("""COMPUTED_VALUE"""),29)</f>
        <v>29</v>
      </c>
      <c r="J22" s="1">
        <f ca="1">IFERROR(__xludf.DUMMYFUNCTION("""COMPUTED_VALUE"""),66)</f>
        <v>66</v>
      </c>
      <c r="K22" s="1">
        <f ca="1">IFERROR(__xludf.DUMMYFUNCTION("""COMPUTED_VALUE"""),133)</f>
        <v>133</v>
      </c>
      <c r="L22" s="1">
        <f ca="1">IFERROR(__xludf.DUMMYFUNCTION("""COMPUTED_VALUE"""),-0.062)</f>
        <v>-6.2E-2</v>
      </c>
      <c r="M22" s="1">
        <f ca="1">IFERROR(__xludf.DUMMYFUNCTION("""COMPUTED_VALUE"""),293)</f>
        <v>293</v>
      </c>
      <c r="N22" s="1" t="str">
        <f ca="1">IFERROR(__xludf.DUMMYFUNCTION("""COMPUTED_VALUE"""),"+6.35")</f>
        <v>+6.35</v>
      </c>
      <c r="O22" s="1">
        <f ca="1">IFERROR(__xludf.DUMMYFUNCTION("""COMPUTED_VALUE"""),58)</f>
        <v>58</v>
      </c>
      <c r="P22" s="1">
        <f ca="1">IFERROR(__xludf.DUMMYFUNCTION("""COMPUTED_VALUE"""),106)</f>
        <v>106</v>
      </c>
      <c r="Q22" s="1">
        <f ca="1">IFERROR(__xludf.DUMMYFUNCTION("""COMPUTED_VALUE"""),62)</f>
        <v>62</v>
      </c>
      <c r="R22" s="1">
        <f ca="1">IFERROR(__xludf.DUMMYFUNCTION("""COMPUTED_VALUE"""),99.6)</f>
        <v>99.6</v>
      </c>
      <c r="S22" s="1">
        <f ca="1">IFERROR(__xludf.DUMMYFUNCTION("""COMPUTED_VALUE"""),57)</f>
        <v>57</v>
      </c>
      <c r="T22" s="1">
        <f ca="1">IFERROR(__xludf.DUMMYFUNCTION("""COMPUTED_VALUE"""),-4.78)</f>
        <v>-4.78</v>
      </c>
      <c r="U22" s="1">
        <f ca="1">IFERROR(__xludf.DUMMYFUNCTION("""COMPUTED_VALUE"""),274)</f>
        <v>274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IFERROR(__xludf.DUMMYFUNCTION("""COMPUTED_VALUE"""),"Iowa3")</f>
        <v>Iowa3</v>
      </c>
      <c r="C23" s="1" t="str">
        <f ca="1">IFERROR(__xludf.DUMMYFUNCTION("""COMPUTED_VALUE"""),"B10")</f>
        <v>B10</v>
      </c>
      <c r="D23" s="1" t="str">
        <f ca="1">IFERROR(__xludf.DUMMYFUNCTION("""COMPUTED_VALUE"""),"25-9")</f>
        <v>25-9</v>
      </c>
      <c r="E23" s="1" t="str">
        <f ca="1">IFERROR(__xludf.DUMMYFUNCTION("""COMPUTED_VALUE"""),"+18.22")</f>
        <v>+18.22</v>
      </c>
      <c r="F23" s="1">
        <f ca="1">IFERROR(__xludf.DUMMYFUNCTION("""COMPUTED_VALUE"""),103.8)</f>
        <v>103.8</v>
      </c>
      <c r="G23" s="1">
        <f ca="1">IFERROR(__xludf.DUMMYFUNCTION("""COMPUTED_VALUE"""),154)</f>
        <v>154</v>
      </c>
      <c r="H23" s="1">
        <f ca="1">IFERROR(__xludf.DUMMYFUNCTION("""COMPUTED_VALUE"""),85.6)</f>
        <v>85.6</v>
      </c>
      <c r="I23" s="1">
        <f ca="1">IFERROR(__xludf.DUMMYFUNCTION("""COMPUTED_VALUE"""),1)</f>
        <v>1</v>
      </c>
      <c r="J23" s="1">
        <f ca="1">IFERROR(__xludf.DUMMYFUNCTION("""COMPUTED_VALUE"""),64.7)</f>
        <v>64.7</v>
      </c>
      <c r="K23" s="1">
        <f ca="1">IFERROR(__xludf.DUMMYFUNCTION("""COMPUTED_VALUE"""),194)</f>
        <v>194</v>
      </c>
      <c r="L23" s="1" t="str">
        <f ca="1">IFERROR(__xludf.DUMMYFUNCTION("""COMPUTED_VALUE"""),"+.046")</f>
        <v>+.046</v>
      </c>
      <c r="M23" s="1">
        <f ca="1">IFERROR(__xludf.DUMMYFUNCTION("""COMPUTED_VALUE"""),59)</f>
        <v>59</v>
      </c>
      <c r="N23" s="1" t="str">
        <f ca="1">IFERROR(__xludf.DUMMYFUNCTION("""COMPUTED_VALUE"""),"+7.86")</f>
        <v>+7.86</v>
      </c>
      <c r="O23" s="1">
        <f ca="1">IFERROR(__xludf.DUMMYFUNCTION("""COMPUTED_VALUE"""),33)</f>
        <v>33</v>
      </c>
      <c r="P23" s="1">
        <f ca="1">IFERROR(__xludf.DUMMYFUNCTION("""COMPUTED_VALUE"""),107.7)</f>
        <v>107.7</v>
      </c>
      <c r="Q23" s="1">
        <f ca="1">IFERROR(__xludf.DUMMYFUNCTION("""COMPUTED_VALUE"""),23)</f>
        <v>23</v>
      </c>
      <c r="R23" s="1">
        <f ca="1">IFERROR(__xludf.DUMMYFUNCTION("""COMPUTED_VALUE"""),99.9)</f>
        <v>99.9</v>
      </c>
      <c r="S23" s="1">
        <f ca="1">IFERROR(__xludf.DUMMYFUNCTION("""COMPUTED_VALUE"""),64)</f>
        <v>64</v>
      </c>
      <c r="T23" s="1">
        <f ca="1">IFERROR(__xludf.DUMMYFUNCTION("""COMPUTED_VALUE"""),-0.77)</f>
        <v>-0.77</v>
      </c>
      <c r="U23" s="1">
        <f ca="1">IFERROR(__xludf.DUMMYFUNCTION("""COMPUTED_VALUE"""),173)</f>
        <v>173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IFERROR(__xludf.DUMMYFUNCTION("""COMPUTED_VALUE"""),"George Mason11")</f>
        <v>George Mason11</v>
      </c>
      <c r="C24" s="1" t="str">
        <f ca="1">IFERROR(__xludf.DUMMYFUNCTION("""COMPUTED_VALUE"""),"CAA")</f>
        <v>CAA</v>
      </c>
      <c r="D24" s="1" t="str">
        <f ca="1">IFERROR(__xludf.DUMMYFUNCTION("""COMPUTED_VALUE"""),"27-8")</f>
        <v>27-8</v>
      </c>
      <c r="E24" s="1" t="str">
        <f ca="1">IFERROR(__xludf.DUMMYFUNCTION("""COMPUTED_VALUE"""),"+18.16")</f>
        <v>+18.16</v>
      </c>
      <c r="F24" s="1">
        <f ca="1">IFERROR(__xludf.DUMMYFUNCTION("""COMPUTED_VALUE"""),109.7)</f>
        <v>109.7</v>
      </c>
      <c r="G24" s="1">
        <f ca="1">IFERROR(__xludf.DUMMYFUNCTION("""COMPUTED_VALUE"""),66)</f>
        <v>66</v>
      </c>
      <c r="H24" s="1">
        <f ca="1">IFERROR(__xludf.DUMMYFUNCTION("""COMPUTED_VALUE"""),91.5)</f>
        <v>91.5</v>
      </c>
      <c r="I24" s="1">
        <f ca="1">IFERROR(__xludf.DUMMYFUNCTION("""COMPUTED_VALUE"""),13)</f>
        <v>13</v>
      </c>
      <c r="J24" s="1">
        <f ca="1">IFERROR(__xludf.DUMMYFUNCTION("""COMPUTED_VALUE"""),62.6)</f>
        <v>62.6</v>
      </c>
      <c r="K24" s="1">
        <f ca="1">IFERROR(__xludf.DUMMYFUNCTION("""COMPUTED_VALUE"""),269)</f>
        <v>269</v>
      </c>
      <c r="L24" s="1" t="str">
        <f ca="1">IFERROR(__xludf.DUMMYFUNCTION("""COMPUTED_VALUE"""),"+.017")</f>
        <v>+.017</v>
      </c>
      <c r="M24" s="1">
        <f ca="1">IFERROR(__xludf.DUMMYFUNCTION("""COMPUTED_VALUE"""),121)</f>
        <v>121</v>
      </c>
      <c r="N24" s="1" t="str">
        <f ca="1">IFERROR(__xludf.DUMMYFUNCTION("""COMPUTED_VALUE"""),"+4.11")</f>
        <v>+4.11</v>
      </c>
      <c r="O24" s="1">
        <f ca="1">IFERROR(__xludf.DUMMYFUNCTION("""COMPUTED_VALUE"""),88)</f>
        <v>88</v>
      </c>
      <c r="P24" s="1">
        <f ca="1">IFERROR(__xludf.DUMMYFUNCTION("""COMPUTED_VALUE"""),105.3)</f>
        <v>105.3</v>
      </c>
      <c r="Q24" s="1">
        <f ca="1">IFERROR(__xludf.DUMMYFUNCTION("""COMPUTED_VALUE"""),77)</f>
        <v>77</v>
      </c>
      <c r="R24" s="1">
        <f ca="1">IFERROR(__xludf.DUMMYFUNCTION("""COMPUTED_VALUE"""),101.2)</f>
        <v>101.2</v>
      </c>
      <c r="S24" s="1">
        <f ca="1">IFERROR(__xludf.DUMMYFUNCTION("""COMPUTED_VALUE"""),101)</f>
        <v>101</v>
      </c>
      <c r="T24" s="1" t="str">
        <f ca="1">IFERROR(__xludf.DUMMYFUNCTION("""COMPUTED_VALUE"""),"+2.16")</f>
        <v>+2.16</v>
      </c>
      <c r="U24" s="1">
        <f ca="1">IFERROR(__xludf.DUMMYFUNCTION("""COMPUTED_VALUE"""),92)</f>
        <v>92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IFERROR(__xludf.DUMMYFUNCTION("""COMPUTED_VALUE"""),"Arizona8")</f>
        <v>Arizona8</v>
      </c>
      <c r="C25" s="1" t="str">
        <f ca="1">IFERROR(__xludf.DUMMYFUNCTION("""COMPUTED_VALUE"""),"P10")</f>
        <v>P10</v>
      </c>
      <c r="D25" s="1" t="str">
        <f ca="1">IFERROR(__xludf.DUMMYFUNCTION("""COMPUTED_VALUE"""),"20-13")</f>
        <v>20-13</v>
      </c>
      <c r="E25" s="1" t="str">
        <f ca="1">IFERROR(__xludf.DUMMYFUNCTION("""COMPUTED_VALUE"""),"+17.23")</f>
        <v>+17.23</v>
      </c>
      <c r="F25" s="1">
        <f ca="1">IFERROR(__xludf.DUMMYFUNCTION("""COMPUTED_VALUE"""),112.2)</f>
        <v>112.2</v>
      </c>
      <c r="G25" s="1">
        <f ca="1">IFERROR(__xludf.DUMMYFUNCTION("""COMPUTED_VALUE"""),35)</f>
        <v>35</v>
      </c>
      <c r="H25" s="1">
        <f ca="1">IFERROR(__xludf.DUMMYFUNCTION("""COMPUTED_VALUE"""),95)</f>
        <v>95</v>
      </c>
      <c r="I25" s="1">
        <f ca="1">IFERROR(__xludf.DUMMYFUNCTION("""COMPUTED_VALUE"""),40)</f>
        <v>40</v>
      </c>
      <c r="J25" s="1">
        <f ca="1">IFERROR(__xludf.DUMMYFUNCTION("""COMPUTED_VALUE"""),67.7)</f>
        <v>67.7</v>
      </c>
      <c r="K25" s="1">
        <f ca="1">IFERROR(__xludf.DUMMYFUNCTION("""COMPUTED_VALUE"""),78)</f>
        <v>78</v>
      </c>
      <c r="L25" s="1">
        <f ca="1">IFERROR(__xludf.DUMMYFUNCTION("""COMPUTED_VALUE"""),-0.037)</f>
        <v>-3.6999999999999998E-2</v>
      </c>
      <c r="M25" s="1">
        <f ca="1">IFERROR(__xludf.DUMMYFUNCTION("""COMPUTED_VALUE"""),256)</f>
        <v>256</v>
      </c>
      <c r="N25" s="1" t="str">
        <f ca="1">IFERROR(__xludf.DUMMYFUNCTION("""COMPUTED_VALUE"""),"+10.53")</f>
        <v>+10.53</v>
      </c>
      <c r="O25" s="1">
        <f ca="1">IFERROR(__xludf.DUMMYFUNCTION("""COMPUTED_VALUE"""),4)</f>
        <v>4</v>
      </c>
      <c r="P25" s="1">
        <f ca="1">IFERROR(__xludf.DUMMYFUNCTION("""COMPUTED_VALUE"""),108)</f>
        <v>108</v>
      </c>
      <c r="Q25" s="1">
        <f ca="1">IFERROR(__xludf.DUMMYFUNCTION("""COMPUTED_VALUE"""),18)</f>
        <v>18</v>
      </c>
      <c r="R25" s="1">
        <f ca="1">IFERROR(__xludf.DUMMYFUNCTION("""COMPUTED_VALUE"""),97.5)</f>
        <v>97.5</v>
      </c>
      <c r="S25" s="1">
        <f ca="1">IFERROR(__xludf.DUMMYFUNCTION("""COMPUTED_VALUE"""),2)</f>
        <v>2</v>
      </c>
      <c r="T25" s="1" t="str">
        <f ca="1">IFERROR(__xludf.DUMMYFUNCTION("""COMPUTED_VALUE"""),"+9.27")</f>
        <v>+9.27</v>
      </c>
      <c r="U25" s="1">
        <f ca="1">IFERROR(__xludf.DUMMYFUNCTION("""COMPUTED_VALUE"""),16)</f>
        <v>16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IFERROR(__xludf.DUMMYFUNCTION("""COMPUTED_VALUE"""),"Kentucky8")</f>
        <v>Kentucky8</v>
      </c>
      <c r="C26" s="1" t="str">
        <f ca="1">IFERROR(__xludf.DUMMYFUNCTION("""COMPUTED_VALUE"""),"SEC")</f>
        <v>SEC</v>
      </c>
      <c r="D26" s="1" t="str">
        <f ca="1">IFERROR(__xludf.DUMMYFUNCTION("""COMPUTED_VALUE"""),"22-13")</f>
        <v>22-13</v>
      </c>
      <c r="E26" s="1" t="str">
        <f ca="1">IFERROR(__xludf.DUMMYFUNCTION("""COMPUTED_VALUE"""),"+17.13")</f>
        <v>+17.13</v>
      </c>
      <c r="F26" s="1">
        <f ca="1">IFERROR(__xludf.DUMMYFUNCTION("""COMPUTED_VALUE"""),114.4)</f>
        <v>114.4</v>
      </c>
      <c r="G26" s="1">
        <f ca="1">IFERROR(__xludf.DUMMYFUNCTION("""COMPUTED_VALUE"""),19)</f>
        <v>19</v>
      </c>
      <c r="H26" s="1">
        <f ca="1">IFERROR(__xludf.DUMMYFUNCTION("""COMPUTED_VALUE"""),97.3)</f>
        <v>97.3</v>
      </c>
      <c r="I26" s="1">
        <f ca="1">IFERROR(__xludf.DUMMYFUNCTION("""COMPUTED_VALUE"""),75)</f>
        <v>75</v>
      </c>
      <c r="J26" s="1">
        <f ca="1">IFERROR(__xludf.DUMMYFUNCTION("""COMPUTED_VALUE"""),64.1)</f>
        <v>64.099999999999994</v>
      </c>
      <c r="K26" s="1">
        <f ca="1">IFERROR(__xludf.DUMMYFUNCTION("""COMPUTED_VALUE"""),228)</f>
        <v>228</v>
      </c>
      <c r="L26" s="1">
        <f ca="1">IFERROR(__xludf.DUMMYFUNCTION("""COMPUTED_VALUE"""),-0.001)</f>
        <v>-1E-3</v>
      </c>
      <c r="M26" s="1">
        <f ca="1">IFERROR(__xludf.DUMMYFUNCTION("""COMPUTED_VALUE"""),173)</f>
        <v>173</v>
      </c>
      <c r="N26" s="1" t="str">
        <f ca="1">IFERROR(__xludf.DUMMYFUNCTION("""COMPUTED_VALUE"""),"+10.02")</f>
        <v>+10.02</v>
      </c>
      <c r="O26" s="1">
        <f ca="1">IFERROR(__xludf.DUMMYFUNCTION("""COMPUTED_VALUE"""),9)</f>
        <v>9</v>
      </c>
      <c r="P26" s="1">
        <f ca="1">IFERROR(__xludf.DUMMYFUNCTION("""COMPUTED_VALUE"""),108.2)</f>
        <v>108.2</v>
      </c>
      <c r="Q26" s="1">
        <f ca="1">IFERROR(__xludf.DUMMYFUNCTION("""COMPUTED_VALUE"""),12)</f>
        <v>12</v>
      </c>
      <c r="R26" s="1">
        <f ca="1">IFERROR(__xludf.DUMMYFUNCTION("""COMPUTED_VALUE"""),98.2)</f>
        <v>98.2</v>
      </c>
      <c r="S26" s="1">
        <f ca="1">IFERROR(__xludf.DUMMYFUNCTION("""COMPUTED_VALUE"""),12)</f>
        <v>12</v>
      </c>
      <c r="T26" s="1" t="str">
        <f ca="1">IFERROR(__xludf.DUMMYFUNCTION("""COMPUTED_VALUE"""),"+3.02")</f>
        <v>+3.02</v>
      </c>
      <c r="U26" s="1">
        <f ca="1">IFERROR(__xludf.DUMMYFUNCTION("""COMPUTED_VALUE"""),74)</f>
        <v>74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IFERROR(__xludf.DUMMYFUNCTION("""COMPUTED_VALUE"""),"Bradley13")</f>
        <v>Bradley13</v>
      </c>
      <c r="C27" s="1" t="str">
        <f ca="1">IFERROR(__xludf.DUMMYFUNCTION("""COMPUTED_VALUE"""),"MVC")</f>
        <v>MVC</v>
      </c>
      <c r="D27" s="1" t="str">
        <f ca="1">IFERROR(__xludf.DUMMYFUNCTION("""COMPUTED_VALUE"""),"22-11")</f>
        <v>22-11</v>
      </c>
      <c r="E27" s="1" t="str">
        <f ca="1">IFERROR(__xludf.DUMMYFUNCTION("""COMPUTED_VALUE"""),"+16.50")</f>
        <v>+16.50</v>
      </c>
      <c r="F27" s="1">
        <f ca="1">IFERROR(__xludf.DUMMYFUNCTION("""COMPUTED_VALUE"""),107.5)</f>
        <v>107.5</v>
      </c>
      <c r="G27" s="1">
        <f ca="1">IFERROR(__xludf.DUMMYFUNCTION("""COMPUTED_VALUE"""),86)</f>
        <v>86</v>
      </c>
      <c r="H27" s="1">
        <f ca="1">IFERROR(__xludf.DUMMYFUNCTION("""COMPUTED_VALUE"""),91)</f>
        <v>91</v>
      </c>
      <c r="I27" s="1">
        <f ca="1">IFERROR(__xludf.DUMMYFUNCTION("""COMPUTED_VALUE"""),11)</f>
        <v>11</v>
      </c>
      <c r="J27" s="1">
        <f ca="1">IFERROR(__xludf.DUMMYFUNCTION("""COMPUTED_VALUE"""),69.3)</f>
        <v>69.3</v>
      </c>
      <c r="K27" s="1">
        <f ca="1">IFERROR(__xludf.DUMMYFUNCTION("""COMPUTED_VALUE"""),37)</f>
        <v>37</v>
      </c>
      <c r="L27" s="1">
        <f ca="1">IFERROR(__xludf.DUMMYFUNCTION("""COMPUTED_VALUE"""),-0.019)</f>
        <v>-1.9E-2</v>
      </c>
      <c r="M27" s="1">
        <f ca="1">IFERROR(__xludf.DUMMYFUNCTION("""COMPUTED_VALUE"""),213)</f>
        <v>213</v>
      </c>
      <c r="N27" s="1" t="str">
        <f ca="1">IFERROR(__xludf.DUMMYFUNCTION("""COMPUTED_VALUE"""),"+6.94")</f>
        <v>+6.94</v>
      </c>
      <c r="O27" s="1">
        <f ca="1">IFERROR(__xludf.DUMMYFUNCTION("""COMPUTED_VALUE"""),46)</f>
        <v>46</v>
      </c>
      <c r="P27" s="1">
        <f ca="1">IFERROR(__xludf.DUMMYFUNCTION("""COMPUTED_VALUE"""),105.4)</f>
        <v>105.4</v>
      </c>
      <c r="Q27" s="1">
        <f ca="1">IFERROR(__xludf.DUMMYFUNCTION("""COMPUTED_VALUE"""),74)</f>
        <v>74</v>
      </c>
      <c r="R27" s="1">
        <f ca="1">IFERROR(__xludf.DUMMYFUNCTION("""COMPUTED_VALUE"""),98.5)</f>
        <v>98.5</v>
      </c>
      <c r="S27" s="1">
        <f ca="1">IFERROR(__xludf.DUMMYFUNCTION("""COMPUTED_VALUE"""),19)</f>
        <v>19</v>
      </c>
      <c r="T27" s="1">
        <f ca="1">IFERROR(__xludf.DUMMYFUNCTION("""COMPUTED_VALUE"""),-2.22)</f>
        <v>-2.2200000000000002</v>
      </c>
      <c r="U27" s="1">
        <f ca="1">IFERROR(__xludf.DUMMYFUNCTION("""COMPUTED_VALUE"""),217)</f>
        <v>217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IFERROR(__xludf.DUMMYFUNCTION("""COMPUTED_VALUE"""),"Wichita St.7")</f>
        <v>Wichita St.7</v>
      </c>
      <c r="C28" s="1" t="str">
        <f ca="1">IFERROR(__xludf.DUMMYFUNCTION("""COMPUTED_VALUE"""),"MVC")</f>
        <v>MVC</v>
      </c>
      <c r="D28" s="1" t="str">
        <f ca="1">IFERROR(__xludf.DUMMYFUNCTION("""COMPUTED_VALUE"""),"26-9")</f>
        <v>26-9</v>
      </c>
      <c r="E28" s="1" t="str">
        <f ca="1">IFERROR(__xludf.DUMMYFUNCTION("""COMPUTED_VALUE"""),"+16.06")</f>
        <v>+16.06</v>
      </c>
      <c r="F28" s="1">
        <f ca="1">IFERROR(__xludf.DUMMYFUNCTION("""COMPUTED_VALUE"""),111.8)</f>
        <v>111.8</v>
      </c>
      <c r="G28" s="1">
        <f ca="1">IFERROR(__xludf.DUMMYFUNCTION("""COMPUTED_VALUE"""),38)</f>
        <v>38</v>
      </c>
      <c r="H28" s="1">
        <f ca="1">IFERROR(__xludf.DUMMYFUNCTION("""COMPUTED_VALUE"""),95.7)</f>
        <v>95.7</v>
      </c>
      <c r="I28" s="1">
        <f ca="1">IFERROR(__xludf.DUMMYFUNCTION("""COMPUTED_VALUE"""),49)</f>
        <v>49</v>
      </c>
      <c r="J28" s="1">
        <f ca="1">IFERROR(__xludf.DUMMYFUNCTION("""COMPUTED_VALUE"""),62.6)</f>
        <v>62.6</v>
      </c>
      <c r="K28" s="1">
        <f ca="1">IFERROR(__xludf.DUMMYFUNCTION("""COMPUTED_VALUE"""),267)</f>
        <v>267</v>
      </c>
      <c r="L28" s="1" t="str">
        <f ca="1">IFERROR(__xludf.DUMMYFUNCTION("""COMPUTED_VALUE"""),"+.032")</f>
        <v>+.032</v>
      </c>
      <c r="M28" s="1">
        <f ca="1">IFERROR(__xludf.DUMMYFUNCTION("""COMPUTED_VALUE"""),89)</f>
        <v>89</v>
      </c>
      <c r="N28" s="1" t="str">
        <f ca="1">IFERROR(__xludf.DUMMYFUNCTION("""COMPUTED_VALUE"""),"+6.03")</f>
        <v>+6.03</v>
      </c>
      <c r="O28" s="1">
        <f ca="1">IFERROR(__xludf.DUMMYFUNCTION("""COMPUTED_VALUE"""),65)</f>
        <v>65</v>
      </c>
      <c r="P28" s="1">
        <f ca="1">IFERROR(__xludf.DUMMYFUNCTION("""COMPUTED_VALUE"""),104.7)</f>
        <v>104.7</v>
      </c>
      <c r="Q28" s="1">
        <f ca="1">IFERROR(__xludf.DUMMYFUNCTION("""COMPUTED_VALUE"""),96)</f>
        <v>96</v>
      </c>
      <c r="R28" s="1">
        <f ca="1">IFERROR(__xludf.DUMMYFUNCTION("""COMPUTED_VALUE"""),98.7)</f>
        <v>98.7</v>
      </c>
      <c r="S28" s="1">
        <f ca="1">IFERROR(__xludf.DUMMYFUNCTION("""COMPUTED_VALUE"""),26)</f>
        <v>26</v>
      </c>
      <c r="T28" s="1" t="str">
        <f ca="1">IFERROR(__xludf.DUMMYFUNCTION("""COMPUTED_VALUE"""),"+0.35")</f>
        <v>+0.35</v>
      </c>
      <c r="U28" s="1">
        <f ca="1">IFERROR(__xludf.DUMMYFUNCTION("""COMPUTED_VALUE"""),146)</f>
        <v>146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IFERROR(__xludf.DUMMYFUNCTION("""COMPUTED_VALUE"""),"Michigan St.6")</f>
        <v>Michigan St.6</v>
      </c>
      <c r="C29" s="1" t="str">
        <f ca="1">IFERROR(__xludf.DUMMYFUNCTION("""COMPUTED_VALUE"""),"B10")</f>
        <v>B10</v>
      </c>
      <c r="D29" s="1" t="str">
        <f ca="1">IFERROR(__xludf.DUMMYFUNCTION("""COMPUTED_VALUE"""),"22-12")</f>
        <v>22-12</v>
      </c>
      <c r="E29" s="1" t="str">
        <f ca="1">IFERROR(__xludf.DUMMYFUNCTION("""COMPUTED_VALUE"""),"+16.02")</f>
        <v>+16.02</v>
      </c>
      <c r="F29" s="1">
        <f ca="1">IFERROR(__xludf.DUMMYFUNCTION("""COMPUTED_VALUE"""),116.3)</f>
        <v>116.3</v>
      </c>
      <c r="G29" s="1">
        <f ca="1">IFERROR(__xludf.DUMMYFUNCTION("""COMPUTED_VALUE"""),10)</f>
        <v>10</v>
      </c>
      <c r="H29" s="1">
        <f ca="1">IFERROR(__xludf.DUMMYFUNCTION("""COMPUTED_VALUE"""),100.3)</f>
        <v>100.3</v>
      </c>
      <c r="I29" s="1">
        <f ca="1">IFERROR(__xludf.DUMMYFUNCTION("""COMPUTED_VALUE"""),119)</f>
        <v>119</v>
      </c>
      <c r="J29" s="1">
        <f ca="1">IFERROR(__xludf.DUMMYFUNCTION("""COMPUTED_VALUE"""),64.2)</f>
        <v>64.2</v>
      </c>
      <c r="K29" s="1">
        <f ca="1">IFERROR(__xludf.DUMMYFUNCTION("""COMPUTED_VALUE"""),223)</f>
        <v>223</v>
      </c>
      <c r="L29" s="1" t="str">
        <f ca="1">IFERROR(__xludf.DUMMYFUNCTION("""COMPUTED_VALUE"""),"+.004")</f>
        <v>+.004</v>
      </c>
      <c r="M29" s="1">
        <f ca="1">IFERROR(__xludf.DUMMYFUNCTION("""COMPUTED_VALUE"""),161)</f>
        <v>161</v>
      </c>
      <c r="N29" s="1" t="str">
        <f ca="1">IFERROR(__xludf.DUMMYFUNCTION("""COMPUTED_VALUE"""),"+8.89")</f>
        <v>+8.89</v>
      </c>
      <c r="O29" s="1">
        <f ca="1">IFERROR(__xludf.DUMMYFUNCTION("""COMPUTED_VALUE"""),19)</f>
        <v>19</v>
      </c>
      <c r="P29" s="1">
        <f ca="1">IFERROR(__xludf.DUMMYFUNCTION("""COMPUTED_VALUE"""),106.4)</f>
        <v>106.4</v>
      </c>
      <c r="Q29" s="1">
        <f ca="1">IFERROR(__xludf.DUMMYFUNCTION("""COMPUTED_VALUE"""),48)</f>
        <v>48</v>
      </c>
      <c r="R29" s="1">
        <f ca="1">IFERROR(__xludf.DUMMYFUNCTION("""COMPUTED_VALUE"""),97.5)</f>
        <v>97.5</v>
      </c>
      <c r="S29" s="1">
        <f ca="1">IFERROR(__xludf.DUMMYFUNCTION("""COMPUTED_VALUE"""),3)</f>
        <v>3</v>
      </c>
      <c r="T29" s="1">
        <f ca="1">IFERROR(__xludf.DUMMYFUNCTION("""COMPUTED_VALUE"""),-1.03)</f>
        <v>-1.03</v>
      </c>
      <c r="U29" s="1">
        <f ca="1">IFERROR(__xludf.DUMMYFUNCTION("""COMPUTED_VALUE"""),179)</f>
        <v>179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IFERROR(__xludf.DUMMYFUNCTION("""COMPUTED_VALUE"""),"Michigan1")</f>
        <v>Michigan1</v>
      </c>
      <c r="C30" s="1" t="str">
        <f ca="1">IFERROR(__xludf.DUMMYFUNCTION("""COMPUTED_VALUE"""),"B10")</f>
        <v>B10</v>
      </c>
      <c r="D30" s="1" t="str">
        <f ca="1">IFERROR(__xludf.DUMMYFUNCTION("""COMPUTED_VALUE"""),"22-11")</f>
        <v>22-11</v>
      </c>
      <c r="E30" s="1" t="str">
        <f ca="1">IFERROR(__xludf.DUMMYFUNCTION("""COMPUTED_VALUE"""),"+15.98")</f>
        <v>+15.98</v>
      </c>
      <c r="F30" s="1">
        <f ca="1">IFERROR(__xludf.DUMMYFUNCTION("""COMPUTED_VALUE"""),113.1)</f>
        <v>113.1</v>
      </c>
      <c r="G30" s="1">
        <f ca="1">IFERROR(__xludf.DUMMYFUNCTION("""COMPUTED_VALUE"""),23)</f>
        <v>23</v>
      </c>
      <c r="H30" s="1">
        <f ca="1">IFERROR(__xludf.DUMMYFUNCTION("""COMPUTED_VALUE"""),97.2)</f>
        <v>97.2</v>
      </c>
      <c r="I30" s="1">
        <f ca="1">IFERROR(__xludf.DUMMYFUNCTION("""COMPUTED_VALUE"""),71)</f>
        <v>71</v>
      </c>
      <c r="J30" s="1">
        <f ca="1">IFERROR(__xludf.DUMMYFUNCTION("""COMPUTED_VALUE"""),67)</f>
        <v>67</v>
      </c>
      <c r="K30" s="1">
        <f ca="1">IFERROR(__xludf.DUMMYFUNCTION("""COMPUTED_VALUE"""),101)</f>
        <v>101</v>
      </c>
      <c r="L30" s="1" t="str">
        <f ca="1">IFERROR(__xludf.DUMMYFUNCTION("""COMPUTED_VALUE"""),"+.012")</f>
        <v>+.012</v>
      </c>
      <c r="M30" s="1">
        <f ca="1">IFERROR(__xludf.DUMMYFUNCTION("""COMPUTED_VALUE"""),139)</f>
        <v>139</v>
      </c>
      <c r="N30" s="1" t="str">
        <f ca="1">IFERROR(__xludf.DUMMYFUNCTION("""COMPUTED_VALUE"""),"+7.94")</f>
        <v>+7.94</v>
      </c>
      <c r="O30" s="1">
        <f ca="1">IFERROR(__xludf.DUMMYFUNCTION("""COMPUTED_VALUE"""),32)</f>
        <v>32</v>
      </c>
      <c r="P30" s="1">
        <f ca="1">IFERROR(__xludf.DUMMYFUNCTION("""COMPUTED_VALUE"""),106.7)</f>
        <v>106.7</v>
      </c>
      <c r="Q30" s="1">
        <f ca="1">IFERROR(__xludf.DUMMYFUNCTION("""COMPUTED_VALUE"""),44)</f>
        <v>44</v>
      </c>
      <c r="R30" s="1">
        <f ca="1">IFERROR(__xludf.DUMMYFUNCTION("""COMPUTED_VALUE"""),98.8)</f>
        <v>98.8</v>
      </c>
      <c r="S30" s="1">
        <f ca="1">IFERROR(__xludf.DUMMYFUNCTION("""COMPUTED_VALUE"""),28)</f>
        <v>28</v>
      </c>
      <c r="T30" s="1">
        <f ca="1">IFERROR(__xludf.DUMMYFUNCTION("""COMPUTED_VALUE"""),-0.97)</f>
        <v>-0.97</v>
      </c>
      <c r="U30" s="1">
        <f ca="1">IFERROR(__xludf.DUMMYFUNCTION("""COMPUTED_VALUE"""),177)</f>
        <v>177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IFERROR(__xludf.DUMMYFUNCTION("""COMPUTED_VALUE"""),"Notre Dame5")</f>
        <v>Notre Dame5</v>
      </c>
      <c r="C31" s="1" t="str">
        <f ca="1">IFERROR(__xludf.DUMMYFUNCTION("""COMPUTED_VALUE"""),"BE")</f>
        <v>BE</v>
      </c>
      <c r="D31" s="1" t="str">
        <f ca="1">IFERROR(__xludf.DUMMYFUNCTION("""COMPUTED_VALUE"""),"16-14")</f>
        <v>16-14</v>
      </c>
      <c r="E31" s="1" t="str">
        <f ca="1">IFERROR(__xludf.DUMMYFUNCTION("""COMPUTED_VALUE"""),"+15.97")</f>
        <v>+15.97</v>
      </c>
      <c r="F31" s="1">
        <f ca="1">IFERROR(__xludf.DUMMYFUNCTION("""COMPUTED_VALUE"""),117.3)</f>
        <v>117.3</v>
      </c>
      <c r="G31" s="1">
        <f ca="1">IFERROR(__xludf.DUMMYFUNCTION("""COMPUTED_VALUE"""),7)</f>
        <v>7</v>
      </c>
      <c r="H31" s="1">
        <f ca="1">IFERROR(__xludf.DUMMYFUNCTION("""COMPUTED_VALUE"""),101.4)</f>
        <v>101.4</v>
      </c>
      <c r="I31" s="1">
        <f ca="1">IFERROR(__xludf.DUMMYFUNCTION("""COMPUTED_VALUE"""),136)</f>
        <v>136</v>
      </c>
      <c r="J31" s="1">
        <f ca="1">IFERROR(__xludf.DUMMYFUNCTION("""COMPUTED_VALUE"""),64.2)</f>
        <v>64.2</v>
      </c>
      <c r="K31" s="1">
        <f ca="1">IFERROR(__xludf.DUMMYFUNCTION("""COMPUTED_VALUE"""),222)</f>
        <v>222</v>
      </c>
      <c r="L31" s="1">
        <f ca="1">IFERROR(__xludf.DUMMYFUNCTION("""COMPUTED_VALUE"""),-0.145)</f>
        <v>-0.14499999999999999</v>
      </c>
      <c r="M31" s="1">
        <f ca="1">IFERROR(__xludf.DUMMYFUNCTION("""COMPUTED_VALUE"""),333)</f>
        <v>333</v>
      </c>
      <c r="N31" s="1" t="str">
        <f ca="1">IFERROR(__xludf.DUMMYFUNCTION("""COMPUTED_VALUE"""),"+7.75")</f>
        <v>+7.75</v>
      </c>
      <c r="O31" s="1">
        <f ca="1">IFERROR(__xludf.DUMMYFUNCTION("""COMPUTED_VALUE"""),36)</f>
        <v>36</v>
      </c>
      <c r="P31" s="1">
        <f ca="1">IFERROR(__xludf.DUMMYFUNCTION("""COMPUTED_VALUE"""),108.3)</f>
        <v>108.3</v>
      </c>
      <c r="Q31" s="1">
        <f ca="1">IFERROR(__xludf.DUMMYFUNCTION("""COMPUTED_VALUE"""),9)</f>
        <v>9</v>
      </c>
      <c r="R31" s="1">
        <f ca="1">IFERROR(__xludf.DUMMYFUNCTION("""COMPUTED_VALUE"""),100.5)</f>
        <v>100.5</v>
      </c>
      <c r="S31" s="1">
        <f ca="1">IFERROR(__xludf.DUMMYFUNCTION("""COMPUTED_VALUE"""),84)</f>
        <v>84</v>
      </c>
      <c r="T31" s="1">
        <f ca="1">IFERROR(__xludf.DUMMYFUNCTION("""COMPUTED_VALUE"""),-4.54)</f>
        <v>-4.54</v>
      </c>
      <c r="U31" s="1">
        <f ca="1">IFERROR(__xludf.DUMMYFUNCTION("""COMPUTED_VALUE"""),269)</f>
        <v>269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IFERROR(__xludf.DUMMYFUNCTION("""COMPUTED_VALUE"""),"N.C. State10")</f>
        <v>N.C. State10</v>
      </c>
      <c r="C32" s="1" t="str">
        <f ca="1">IFERROR(__xludf.DUMMYFUNCTION("""COMPUTED_VALUE"""),"ACC")</f>
        <v>ACC</v>
      </c>
      <c r="D32" s="1" t="str">
        <f ca="1">IFERROR(__xludf.DUMMYFUNCTION("""COMPUTED_VALUE"""),"22-10")</f>
        <v>22-10</v>
      </c>
      <c r="E32" s="1" t="str">
        <f ca="1">IFERROR(__xludf.DUMMYFUNCTION("""COMPUTED_VALUE"""),"+15.92")</f>
        <v>+15.92</v>
      </c>
      <c r="F32" s="1">
        <f ca="1">IFERROR(__xludf.DUMMYFUNCTION("""COMPUTED_VALUE"""),112.5)</f>
        <v>112.5</v>
      </c>
      <c r="G32" s="1">
        <f ca="1">IFERROR(__xludf.DUMMYFUNCTION("""COMPUTED_VALUE"""),32)</f>
        <v>32</v>
      </c>
      <c r="H32" s="1">
        <f ca="1">IFERROR(__xludf.DUMMYFUNCTION("""COMPUTED_VALUE"""),96.6)</f>
        <v>96.6</v>
      </c>
      <c r="I32" s="1">
        <f ca="1">IFERROR(__xludf.DUMMYFUNCTION("""COMPUTED_VALUE"""),60)</f>
        <v>60</v>
      </c>
      <c r="J32" s="1">
        <f ca="1">IFERROR(__xludf.DUMMYFUNCTION("""COMPUTED_VALUE"""),64.4)</f>
        <v>64.400000000000006</v>
      </c>
      <c r="K32" s="1">
        <f ca="1">IFERROR(__xludf.DUMMYFUNCTION("""COMPUTED_VALUE"""),216)</f>
        <v>216</v>
      </c>
      <c r="L32" s="1" t="str">
        <f ca="1">IFERROR(__xludf.DUMMYFUNCTION("""COMPUTED_VALUE"""),"+.013")</f>
        <v>+.013</v>
      </c>
      <c r="M32" s="1">
        <f ca="1">IFERROR(__xludf.DUMMYFUNCTION("""COMPUTED_VALUE"""),135)</f>
        <v>135</v>
      </c>
      <c r="N32" s="1" t="str">
        <f ca="1">IFERROR(__xludf.DUMMYFUNCTION("""COMPUTED_VALUE"""),"+6.74")</f>
        <v>+6.74</v>
      </c>
      <c r="O32" s="1">
        <f ca="1">IFERROR(__xludf.DUMMYFUNCTION("""COMPUTED_VALUE"""),52)</f>
        <v>52</v>
      </c>
      <c r="P32" s="1">
        <f ca="1">IFERROR(__xludf.DUMMYFUNCTION("""COMPUTED_VALUE"""),107.1)</f>
        <v>107.1</v>
      </c>
      <c r="Q32" s="1">
        <f ca="1">IFERROR(__xludf.DUMMYFUNCTION("""COMPUTED_VALUE"""),36)</f>
        <v>36</v>
      </c>
      <c r="R32" s="1">
        <f ca="1">IFERROR(__xludf.DUMMYFUNCTION("""COMPUTED_VALUE"""),100.3)</f>
        <v>100.3</v>
      </c>
      <c r="S32" s="1">
        <f ca="1">IFERROR(__xludf.DUMMYFUNCTION("""COMPUTED_VALUE"""),78)</f>
        <v>78</v>
      </c>
      <c r="T32" s="1">
        <f ca="1">IFERROR(__xludf.DUMMYFUNCTION("""COMPUTED_VALUE"""),-7.99)</f>
        <v>-7.99</v>
      </c>
      <c r="U32" s="1">
        <f ca="1">IFERROR(__xludf.DUMMYFUNCTION("""COMPUTED_VALUE"""),316)</f>
        <v>316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IFERROR(__xludf.DUMMYFUNCTION("""COMPUTED_VALUE"""),"Texas A&amp;M12")</f>
        <v>Texas A&amp;M12</v>
      </c>
      <c r="C33" s="1" t="str">
        <f ca="1">IFERROR(__xludf.DUMMYFUNCTION("""COMPUTED_VALUE"""),"B12")</f>
        <v>B12</v>
      </c>
      <c r="D33" s="1" t="str">
        <f ca="1">IFERROR(__xludf.DUMMYFUNCTION("""COMPUTED_VALUE"""),"22-9")</f>
        <v>22-9</v>
      </c>
      <c r="E33" s="1" t="str">
        <f ca="1">IFERROR(__xludf.DUMMYFUNCTION("""COMPUTED_VALUE"""),"+15.90")</f>
        <v>+15.90</v>
      </c>
      <c r="F33" s="1">
        <f ca="1">IFERROR(__xludf.DUMMYFUNCTION("""COMPUTED_VALUE"""),106.7)</f>
        <v>106.7</v>
      </c>
      <c r="G33" s="1">
        <f ca="1">IFERROR(__xludf.DUMMYFUNCTION("""COMPUTED_VALUE"""),103)</f>
        <v>103</v>
      </c>
      <c r="H33" s="1">
        <f ca="1">IFERROR(__xludf.DUMMYFUNCTION("""COMPUTED_VALUE"""),90.8)</f>
        <v>90.8</v>
      </c>
      <c r="I33" s="1">
        <f ca="1">IFERROR(__xludf.DUMMYFUNCTION("""COMPUTED_VALUE"""),10)</f>
        <v>10</v>
      </c>
      <c r="J33" s="1">
        <f ca="1">IFERROR(__xludf.DUMMYFUNCTION("""COMPUTED_VALUE"""),63)</f>
        <v>63</v>
      </c>
      <c r="K33" s="1">
        <f ca="1">IFERROR(__xludf.DUMMYFUNCTION("""COMPUTED_VALUE"""),260)</f>
        <v>260</v>
      </c>
      <c r="L33" s="1">
        <f ca="1">IFERROR(__xludf.DUMMYFUNCTION("""COMPUTED_VALUE"""),-0.008)</f>
        <v>-8.0000000000000002E-3</v>
      </c>
      <c r="M33" s="1">
        <f ca="1">IFERROR(__xludf.DUMMYFUNCTION("""COMPUTED_VALUE"""),188)</f>
        <v>188</v>
      </c>
      <c r="N33" s="1" t="str">
        <f ca="1">IFERROR(__xludf.DUMMYFUNCTION("""COMPUTED_VALUE"""),"+4.22")</f>
        <v>+4.22</v>
      </c>
      <c r="O33" s="1">
        <f ca="1">IFERROR(__xludf.DUMMYFUNCTION("""COMPUTED_VALUE"""),86)</f>
        <v>86</v>
      </c>
      <c r="P33" s="1">
        <f ca="1">IFERROR(__xludf.DUMMYFUNCTION("""COMPUTED_VALUE"""),104.8)</f>
        <v>104.8</v>
      </c>
      <c r="Q33" s="1">
        <f ca="1">IFERROR(__xludf.DUMMYFUNCTION("""COMPUTED_VALUE"""),94)</f>
        <v>94</v>
      </c>
      <c r="R33" s="1">
        <f ca="1">IFERROR(__xludf.DUMMYFUNCTION("""COMPUTED_VALUE"""),100.6)</f>
        <v>100.6</v>
      </c>
      <c r="S33" s="1">
        <f ca="1">IFERROR(__xludf.DUMMYFUNCTION("""COMPUTED_VALUE"""),85)</f>
        <v>85</v>
      </c>
      <c r="T33" s="1">
        <f ca="1">IFERROR(__xludf.DUMMYFUNCTION("""COMPUTED_VALUE"""),-12.2)</f>
        <v>-12.2</v>
      </c>
      <c r="U33" s="1">
        <f ca="1">IFERROR(__xludf.DUMMYFUNCTION("""COMPUTED_VALUE"""),331)</f>
        <v>331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IFERROR(__xludf.DUMMYFUNCTION("""COMPUTED_VALUE"""),"Northern Iowa10")</f>
        <v>Northern Iowa10</v>
      </c>
      <c r="C34" s="1" t="str">
        <f ca="1">IFERROR(__xludf.DUMMYFUNCTION("""COMPUTED_VALUE"""),"MVC")</f>
        <v>MVC</v>
      </c>
      <c r="D34" s="1" t="str">
        <f ca="1">IFERROR(__xludf.DUMMYFUNCTION("""COMPUTED_VALUE"""),"23-10")</f>
        <v>23-10</v>
      </c>
      <c r="E34" s="1" t="str">
        <f ca="1">IFERROR(__xludf.DUMMYFUNCTION("""COMPUTED_VALUE"""),"+15.84")</f>
        <v>+15.84</v>
      </c>
      <c r="F34" s="1">
        <f ca="1">IFERROR(__xludf.DUMMYFUNCTION("""COMPUTED_VALUE"""),109)</f>
        <v>109</v>
      </c>
      <c r="G34" s="1">
        <f ca="1">IFERROR(__xludf.DUMMYFUNCTION("""COMPUTED_VALUE"""),75)</f>
        <v>75</v>
      </c>
      <c r="H34" s="1">
        <f ca="1">IFERROR(__xludf.DUMMYFUNCTION("""COMPUTED_VALUE"""),93.1)</f>
        <v>93.1</v>
      </c>
      <c r="I34" s="1">
        <f ca="1">IFERROR(__xludf.DUMMYFUNCTION("""COMPUTED_VALUE"""),21)</f>
        <v>21</v>
      </c>
      <c r="J34" s="1">
        <f ca="1">IFERROR(__xludf.DUMMYFUNCTION("""COMPUTED_VALUE"""),59.6)</f>
        <v>59.6</v>
      </c>
      <c r="K34" s="1">
        <f ca="1">IFERROR(__xludf.DUMMYFUNCTION("""COMPUTED_VALUE"""),321)</f>
        <v>321</v>
      </c>
      <c r="L34" s="1">
        <f ca="1">IFERROR(__xludf.DUMMYFUNCTION("""COMPUTED_VALUE"""),-0.025)</f>
        <v>-2.5000000000000001E-2</v>
      </c>
      <c r="M34" s="1">
        <f ca="1">IFERROR(__xludf.DUMMYFUNCTION("""COMPUTED_VALUE"""),222)</f>
        <v>222</v>
      </c>
      <c r="N34" s="1" t="str">
        <f ca="1">IFERROR(__xludf.DUMMYFUNCTION("""COMPUTED_VALUE"""),"+6.18")</f>
        <v>+6.18</v>
      </c>
      <c r="O34" s="1">
        <f ca="1">IFERROR(__xludf.DUMMYFUNCTION("""COMPUTED_VALUE"""),59)</f>
        <v>59</v>
      </c>
      <c r="P34" s="1">
        <f ca="1">IFERROR(__xludf.DUMMYFUNCTION("""COMPUTED_VALUE"""),104.4)</f>
        <v>104.4</v>
      </c>
      <c r="Q34" s="1">
        <f ca="1">IFERROR(__xludf.DUMMYFUNCTION("""COMPUTED_VALUE"""),103)</f>
        <v>103</v>
      </c>
      <c r="R34" s="1">
        <f ca="1">IFERROR(__xludf.DUMMYFUNCTION("""COMPUTED_VALUE"""),98.2)</f>
        <v>98.2</v>
      </c>
      <c r="S34" s="1">
        <f ca="1">IFERROR(__xludf.DUMMYFUNCTION("""COMPUTED_VALUE"""),13)</f>
        <v>13</v>
      </c>
      <c r="T34" s="1" t="str">
        <f ca="1">IFERROR(__xludf.DUMMYFUNCTION("""COMPUTED_VALUE"""),"+0.24")</f>
        <v>+0.24</v>
      </c>
      <c r="U34" s="1">
        <f ca="1">IFERROR(__xludf.DUMMYFUNCTION("""COMPUTED_VALUE"""),148)</f>
        <v>148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IFERROR(__xludf.DUMMYFUNCTION("""COMPUTED_VALUE"""),"Gonzaga3")</f>
        <v>Gonzaga3</v>
      </c>
      <c r="C35" s="1" t="str">
        <f ca="1">IFERROR(__xludf.DUMMYFUNCTION("""COMPUTED_VALUE"""),"WCC")</f>
        <v>WCC</v>
      </c>
      <c r="D35" s="1" t="str">
        <f ca="1">IFERROR(__xludf.DUMMYFUNCTION("""COMPUTED_VALUE"""),"29-4")</f>
        <v>29-4</v>
      </c>
      <c r="E35" s="1" t="str">
        <f ca="1">IFERROR(__xludf.DUMMYFUNCTION("""COMPUTED_VALUE"""),"+15.64")</f>
        <v>+15.64</v>
      </c>
      <c r="F35" s="1">
        <f ca="1">IFERROR(__xludf.DUMMYFUNCTION("""COMPUTED_VALUE"""),119.1)</f>
        <v>119.1</v>
      </c>
      <c r="G35" s="1">
        <f ca="1">IFERROR(__xludf.DUMMYFUNCTION("""COMPUTED_VALUE"""),2)</f>
        <v>2</v>
      </c>
      <c r="H35" s="1">
        <f ca="1">IFERROR(__xludf.DUMMYFUNCTION("""COMPUTED_VALUE"""),103.5)</f>
        <v>103.5</v>
      </c>
      <c r="I35" s="1">
        <f ca="1">IFERROR(__xludf.DUMMYFUNCTION("""COMPUTED_VALUE"""),174)</f>
        <v>174</v>
      </c>
      <c r="J35" s="1">
        <f ca="1">IFERROR(__xludf.DUMMYFUNCTION("""COMPUTED_VALUE"""),66.3)</f>
        <v>66.3</v>
      </c>
      <c r="K35" s="1">
        <f ca="1">IFERROR(__xludf.DUMMYFUNCTION("""COMPUTED_VALUE"""),121)</f>
        <v>121</v>
      </c>
      <c r="L35" s="1" t="str">
        <f ca="1">IFERROR(__xludf.DUMMYFUNCTION("""COMPUTED_VALUE"""),"+.036")</f>
        <v>+.036</v>
      </c>
      <c r="M35" s="1">
        <f ca="1">IFERROR(__xludf.DUMMYFUNCTION("""COMPUTED_VALUE"""),79)</f>
        <v>79</v>
      </c>
      <c r="N35" s="1" t="str">
        <f ca="1">IFERROR(__xludf.DUMMYFUNCTION("""COMPUTED_VALUE"""),"+4.38")</f>
        <v>+4.38</v>
      </c>
      <c r="O35" s="1">
        <f ca="1">IFERROR(__xludf.DUMMYFUNCTION("""COMPUTED_VALUE"""),84)</f>
        <v>84</v>
      </c>
      <c r="P35" s="1">
        <f ca="1">IFERROR(__xludf.DUMMYFUNCTION("""COMPUTED_VALUE"""),104.4)</f>
        <v>104.4</v>
      </c>
      <c r="Q35" s="1">
        <f ca="1">IFERROR(__xludf.DUMMYFUNCTION("""COMPUTED_VALUE"""),104)</f>
        <v>104</v>
      </c>
      <c r="R35" s="1">
        <f ca="1">IFERROR(__xludf.DUMMYFUNCTION("""COMPUTED_VALUE"""),100)</f>
        <v>100</v>
      </c>
      <c r="S35" s="1">
        <f ca="1">IFERROR(__xludf.DUMMYFUNCTION("""COMPUTED_VALUE"""),69)</f>
        <v>69</v>
      </c>
      <c r="T35" s="1" t="str">
        <f ca="1">IFERROR(__xludf.DUMMYFUNCTION("""COMPUTED_VALUE"""),"+7.98")</f>
        <v>+7.98</v>
      </c>
      <c r="U35" s="1">
        <f ca="1">IFERROR(__xludf.DUMMYFUNCTION("""COMPUTED_VALUE"""),25)</f>
        <v>25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IFERROR(__xludf.DUMMYFUNCTION("""COMPUTED_VALUE"""),"Indiana6")</f>
        <v>Indiana6</v>
      </c>
      <c r="C36" s="1" t="str">
        <f ca="1">IFERROR(__xludf.DUMMYFUNCTION("""COMPUTED_VALUE"""),"B10")</f>
        <v>B10</v>
      </c>
      <c r="D36" s="1" t="str">
        <f ca="1">IFERROR(__xludf.DUMMYFUNCTION("""COMPUTED_VALUE"""),"19-12")</f>
        <v>19-12</v>
      </c>
      <c r="E36" s="1" t="str">
        <f ca="1">IFERROR(__xludf.DUMMYFUNCTION("""COMPUTED_VALUE"""),"+15.53")</f>
        <v>+15.53</v>
      </c>
      <c r="F36" s="1">
        <f ca="1">IFERROR(__xludf.DUMMYFUNCTION("""COMPUTED_VALUE"""),110)</f>
        <v>110</v>
      </c>
      <c r="G36" s="1">
        <f ca="1">IFERROR(__xludf.DUMMYFUNCTION("""COMPUTED_VALUE"""),58)</f>
        <v>58</v>
      </c>
      <c r="H36" s="1">
        <f ca="1">IFERROR(__xludf.DUMMYFUNCTION("""COMPUTED_VALUE"""),94.4)</f>
        <v>94.4</v>
      </c>
      <c r="I36" s="1">
        <f ca="1">IFERROR(__xludf.DUMMYFUNCTION("""COMPUTED_VALUE"""),33)</f>
        <v>33</v>
      </c>
      <c r="J36" s="1">
        <f ca="1">IFERROR(__xludf.DUMMYFUNCTION("""COMPUTED_VALUE"""),66.5)</f>
        <v>66.5</v>
      </c>
      <c r="K36" s="1">
        <f ca="1">IFERROR(__xludf.DUMMYFUNCTION("""COMPUTED_VALUE"""),118)</f>
        <v>118</v>
      </c>
      <c r="L36" s="1">
        <f ca="1">IFERROR(__xludf.DUMMYFUNCTION("""COMPUTED_VALUE"""),-0.012)</f>
        <v>-1.2E-2</v>
      </c>
      <c r="M36" s="1">
        <f ca="1">IFERROR(__xludf.DUMMYFUNCTION("""COMPUTED_VALUE"""),197)</f>
        <v>197</v>
      </c>
      <c r="N36" s="1" t="str">
        <f ca="1">IFERROR(__xludf.DUMMYFUNCTION("""COMPUTED_VALUE"""),"+9.77")</f>
        <v>+9.77</v>
      </c>
      <c r="O36" s="1">
        <f ca="1">IFERROR(__xludf.DUMMYFUNCTION("""COMPUTED_VALUE"""),10)</f>
        <v>10</v>
      </c>
      <c r="P36" s="1">
        <f ca="1">IFERROR(__xludf.DUMMYFUNCTION("""COMPUTED_VALUE"""),108.8)</f>
        <v>108.8</v>
      </c>
      <c r="Q36" s="1">
        <f ca="1">IFERROR(__xludf.DUMMYFUNCTION("""COMPUTED_VALUE"""),1)</f>
        <v>1</v>
      </c>
      <c r="R36" s="1">
        <f ca="1">IFERROR(__xludf.DUMMYFUNCTION("""COMPUTED_VALUE"""),99)</f>
        <v>99</v>
      </c>
      <c r="S36" s="1">
        <f ca="1">IFERROR(__xludf.DUMMYFUNCTION("""COMPUTED_VALUE"""),32)</f>
        <v>32</v>
      </c>
      <c r="T36" s="1" t="str">
        <f ca="1">IFERROR(__xludf.DUMMYFUNCTION("""COMPUTED_VALUE"""),"+2.17")</f>
        <v>+2.17</v>
      </c>
      <c r="U36" s="1">
        <f ca="1">IFERROR(__xludf.DUMMYFUNCTION("""COMPUTED_VALUE"""),91)</f>
        <v>91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IFERROR(__xludf.DUMMYFUNCTION("""COMPUTED_VALUE"""),"Missouri St.2")</f>
        <v>Missouri St.2</v>
      </c>
      <c r="C37" s="1" t="str">
        <f ca="1">IFERROR(__xludf.DUMMYFUNCTION("""COMPUTED_VALUE"""),"MVC")</f>
        <v>MVC</v>
      </c>
      <c r="D37" s="1" t="str">
        <f ca="1">IFERROR(__xludf.DUMMYFUNCTION("""COMPUTED_VALUE"""),"22-9")</f>
        <v>22-9</v>
      </c>
      <c r="E37" s="1" t="str">
        <f ca="1">IFERROR(__xludf.DUMMYFUNCTION("""COMPUTED_VALUE"""),"+15.52")</f>
        <v>+15.52</v>
      </c>
      <c r="F37" s="1">
        <f ca="1">IFERROR(__xludf.DUMMYFUNCTION("""COMPUTED_VALUE"""),111)</f>
        <v>111</v>
      </c>
      <c r="G37" s="1">
        <f ca="1">IFERROR(__xludf.DUMMYFUNCTION("""COMPUTED_VALUE"""),46)</f>
        <v>46</v>
      </c>
      <c r="H37" s="1">
        <f ca="1">IFERROR(__xludf.DUMMYFUNCTION("""COMPUTED_VALUE"""),95.5)</f>
        <v>95.5</v>
      </c>
      <c r="I37" s="1">
        <f ca="1">IFERROR(__xludf.DUMMYFUNCTION("""COMPUTED_VALUE"""),47)</f>
        <v>47</v>
      </c>
      <c r="J37" s="1">
        <f ca="1">IFERROR(__xludf.DUMMYFUNCTION("""COMPUTED_VALUE"""),68.6)</f>
        <v>68.599999999999994</v>
      </c>
      <c r="K37" s="1">
        <f ca="1">IFERROR(__xludf.DUMMYFUNCTION("""COMPUTED_VALUE"""),51)</f>
        <v>51</v>
      </c>
      <c r="L37" s="1" t="str">
        <f ca="1">IFERROR(__xludf.DUMMYFUNCTION("""COMPUTED_VALUE"""),"+.039")</f>
        <v>+.039</v>
      </c>
      <c r="M37" s="1">
        <f ca="1">IFERROR(__xludf.DUMMYFUNCTION("""COMPUTED_VALUE"""),72)</f>
        <v>72</v>
      </c>
      <c r="N37" s="1" t="str">
        <f ca="1">IFERROR(__xludf.DUMMYFUNCTION("""COMPUTED_VALUE"""),"+6.14")</f>
        <v>+6.14</v>
      </c>
      <c r="O37" s="1">
        <f ca="1">IFERROR(__xludf.DUMMYFUNCTION("""COMPUTED_VALUE"""),61)</f>
        <v>61</v>
      </c>
      <c r="P37" s="1">
        <f ca="1">IFERROR(__xludf.DUMMYFUNCTION("""COMPUTED_VALUE"""),104.8)</f>
        <v>104.8</v>
      </c>
      <c r="Q37" s="1">
        <f ca="1">IFERROR(__xludf.DUMMYFUNCTION("""COMPUTED_VALUE"""),93)</f>
        <v>93</v>
      </c>
      <c r="R37" s="1">
        <f ca="1">IFERROR(__xludf.DUMMYFUNCTION("""COMPUTED_VALUE"""),98.7)</f>
        <v>98.7</v>
      </c>
      <c r="S37" s="1">
        <f ca="1">IFERROR(__xludf.DUMMYFUNCTION("""COMPUTED_VALUE"""),25)</f>
        <v>25</v>
      </c>
      <c r="T37" s="1" t="str">
        <f ca="1">IFERROR(__xludf.DUMMYFUNCTION("""COMPUTED_VALUE"""),"+1.80")</f>
        <v>+1.80</v>
      </c>
      <c r="U37" s="1">
        <f ca="1">IFERROR(__xludf.DUMMYFUNCTION("""COMPUTED_VALUE"""),106)</f>
        <v>106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IFERROR(__xludf.DUMMYFUNCTION("""COMPUTED_VALUE"""),"Marquette7")</f>
        <v>Marquette7</v>
      </c>
      <c r="C38" s="1" t="str">
        <f ca="1">IFERROR(__xludf.DUMMYFUNCTION("""COMPUTED_VALUE"""),"BE")</f>
        <v>BE</v>
      </c>
      <c r="D38" s="1" t="str">
        <f ca="1">IFERROR(__xludf.DUMMYFUNCTION("""COMPUTED_VALUE"""),"20-11")</f>
        <v>20-11</v>
      </c>
      <c r="E38" s="1" t="str">
        <f ca="1">IFERROR(__xludf.DUMMYFUNCTION("""COMPUTED_VALUE"""),"+15.36")</f>
        <v>+15.36</v>
      </c>
      <c r="F38" s="1">
        <f ca="1">IFERROR(__xludf.DUMMYFUNCTION("""COMPUTED_VALUE"""),112.8)</f>
        <v>112.8</v>
      </c>
      <c r="G38" s="1">
        <f ca="1">IFERROR(__xludf.DUMMYFUNCTION("""COMPUTED_VALUE"""),27)</f>
        <v>27</v>
      </c>
      <c r="H38" s="1">
        <f ca="1">IFERROR(__xludf.DUMMYFUNCTION("""COMPUTED_VALUE"""),97.4)</f>
        <v>97.4</v>
      </c>
      <c r="I38" s="1">
        <f ca="1">IFERROR(__xludf.DUMMYFUNCTION("""COMPUTED_VALUE"""),78)</f>
        <v>78</v>
      </c>
      <c r="J38" s="1">
        <f ca="1">IFERROR(__xludf.DUMMYFUNCTION("""COMPUTED_VALUE"""),68.1)</f>
        <v>68.099999999999994</v>
      </c>
      <c r="K38" s="1">
        <f ca="1">IFERROR(__xludf.DUMMYFUNCTION("""COMPUTED_VALUE"""),67)</f>
        <v>67</v>
      </c>
      <c r="L38" s="1">
        <f ca="1">IFERROR(__xludf.DUMMYFUNCTION("""COMPUTED_VALUE"""),-0.012)</f>
        <v>-1.2E-2</v>
      </c>
      <c r="M38" s="1">
        <f ca="1">IFERROR(__xludf.DUMMYFUNCTION("""COMPUTED_VALUE"""),196)</f>
        <v>196</v>
      </c>
      <c r="N38" s="1" t="str">
        <f ca="1">IFERROR(__xludf.DUMMYFUNCTION("""COMPUTED_VALUE"""),"+8.82")</f>
        <v>+8.82</v>
      </c>
      <c r="O38" s="1">
        <f ca="1">IFERROR(__xludf.DUMMYFUNCTION("""COMPUTED_VALUE"""),20)</f>
        <v>20</v>
      </c>
      <c r="P38" s="1">
        <f ca="1">IFERROR(__xludf.DUMMYFUNCTION("""COMPUTED_VALUE"""),108.6)</f>
        <v>108.6</v>
      </c>
      <c r="Q38" s="1">
        <f ca="1">IFERROR(__xludf.DUMMYFUNCTION("""COMPUTED_VALUE"""),3)</f>
        <v>3</v>
      </c>
      <c r="R38" s="1">
        <f ca="1">IFERROR(__xludf.DUMMYFUNCTION("""COMPUTED_VALUE"""),99.8)</f>
        <v>99.8</v>
      </c>
      <c r="S38" s="1">
        <f ca="1">IFERROR(__xludf.DUMMYFUNCTION("""COMPUTED_VALUE"""),61)</f>
        <v>61</v>
      </c>
      <c r="T38" s="1">
        <f ca="1">IFERROR(__xludf.DUMMYFUNCTION("""COMPUTED_VALUE"""),-1.71)</f>
        <v>-1.71</v>
      </c>
      <c r="U38" s="1">
        <f ca="1">IFERROR(__xludf.DUMMYFUNCTION("""COMPUTED_VALUE"""),202)</f>
        <v>202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IFERROR(__xludf.DUMMYFUNCTION("""COMPUTED_VALUE"""),"Nevada5")</f>
        <v>Nevada5</v>
      </c>
      <c r="C39" s="1" t="str">
        <f ca="1">IFERROR(__xludf.DUMMYFUNCTION("""COMPUTED_VALUE"""),"WAC")</f>
        <v>WAC</v>
      </c>
      <c r="D39" s="1" t="str">
        <f ca="1">IFERROR(__xludf.DUMMYFUNCTION("""COMPUTED_VALUE"""),"27-6")</f>
        <v>27-6</v>
      </c>
      <c r="E39" s="1" t="str">
        <f ca="1">IFERROR(__xludf.DUMMYFUNCTION("""COMPUTED_VALUE"""),"+15.22")</f>
        <v>+15.22</v>
      </c>
      <c r="F39" s="1">
        <f ca="1">IFERROR(__xludf.DUMMYFUNCTION("""COMPUTED_VALUE"""),110)</f>
        <v>110</v>
      </c>
      <c r="G39" s="1">
        <f ca="1">IFERROR(__xludf.DUMMYFUNCTION("""COMPUTED_VALUE"""),57)</f>
        <v>57</v>
      </c>
      <c r="H39" s="1">
        <f ca="1">IFERROR(__xludf.DUMMYFUNCTION("""COMPUTED_VALUE"""),94.8)</f>
        <v>94.8</v>
      </c>
      <c r="I39" s="1">
        <f ca="1">IFERROR(__xludf.DUMMYFUNCTION("""COMPUTED_VALUE"""),39)</f>
        <v>39</v>
      </c>
      <c r="J39" s="1">
        <f ca="1">IFERROR(__xludf.DUMMYFUNCTION("""COMPUTED_VALUE"""),65.8)</f>
        <v>65.8</v>
      </c>
      <c r="K39" s="1">
        <f ca="1">IFERROR(__xludf.DUMMYFUNCTION("""COMPUTED_VALUE"""),137)</f>
        <v>137</v>
      </c>
      <c r="L39" s="1" t="str">
        <f ca="1">IFERROR(__xludf.DUMMYFUNCTION("""COMPUTED_VALUE"""),"+.024")</f>
        <v>+.024</v>
      </c>
      <c r="M39" s="1">
        <f ca="1">IFERROR(__xludf.DUMMYFUNCTION("""COMPUTED_VALUE"""),107)</f>
        <v>107</v>
      </c>
      <c r="N39" s="1" t="str">
        <f ca="1">IFERROR(__xludf.DUMMYFUNCTION("""COMPUTED_VALUE"""),"+1.90")</f>
        <v>+1.90</v>
      </c>
      <c r="O39" s="1">
        <f ca="1">IFERROR(__xludf.DUMMYFUNCTION("""COMPUTED_VALUE"""),119)</f>
        <v>119</v>
      </c>
      <c r="P39" s="1">
        <f ca="1">IFERROR(__xludf.DUMMYFUNCTION("""COMPUTED_VALUE"""),103.6)</f>
        <v>103.6</v>
      </c>
      <c r="Q39" s="1">
        <f ca="1">IFERROR(__xludf.DUMMYFUNCTION("""COMPUTED_VALUE"""),143)</f>
        <v>143</v>
      </c>
      <c r="R39" s="1">
        <f ca="1">IFERROR(__xludf.DUMMYFUNCTION("""COMPUTED_VALUE"""),101.7)</f>
        <v>101.7</v>
      </c>
      <c r="S39" s="1">
        <f ca="1">IFERROR(__xludf.DUMMYFUNCTION("""COMPUTED_VALUE"""),122)</f>
        <v>122</v>
      </c>
      <c r="T39" s="1" t="str">
        <f ca="1">IFERROR(__xludf.DUMMYFUNCTION("""COMPUTED_VALUE"""),"+3.89")</f>
        <v>+3.89</v>
      </c>
      <c r="U39" s="1">
        <f ca="1">IFERROR(__xludf.DUMMYFUNCTION("""COMPUTED_VALUE"""),60)</f>
        <v>60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IFERROR(__xludf.DUMMYFUNCTION("""COMPUTED_VALUE"""),"Florida St.2")</f>
        <v>Florida St.2</v>
      </c>
      <c r="C40" s="1" t="str">
        <f ca="1">IFERROR(__xludf.DUMMYFUNCTION("""COMPUTED_VALUE"""),"ACC")</f>
        <v>ACC</v>
      </c>
      <c r="D40" s="1" t="str">
        <f ca="1">IFERROR(__xludf.DUMMYFUNCTION("""COMPUTED_VALUE"""),"20-10")</f>
        <v>20-10</v>
      </c>
      <c r="E40" s="1" t="str">
        <f ca="1">IFERROR(__xludf.DUMMYFUNCTION("""COMPUTED_VALUE"""),"+15.01")</f>
        <v>+15.01</v>
      </c>
      <c r="F40" s="1">
        <f ca="1">IFERROR(__xludf.DUMMYFUNCTION("""COMPUTED_VALUE"""),110.1)</f>
        <v>110.1</v>
      </c>
      <c r="G40" s="1">
        <f ca="1">IFERROR(__xludf.DUMMYFUNCTION("""COMPUTED_VALUE"""),54)</f>
        <v>54</v>
      </c>
      <c r="H40" s="1">
        <f ca="1">IFERROR(__xludf.DUMMYFUNCTION("""COMPUTED_VALUE"""),95.1)</f>
        <v>95.1</v>
      </c>
      <c r="I40" s="1">
        <f ca="1">IFERROR(__xludf.DUMMYFUNCTION("""COMPUTED_VALUE"""),44)</f>
        <v>44</v>
      </c>
      <c r="J40" s="1">
        <f ca="1">IFERROR(__xludf.DUMMYFUNCTION("""COMPUTED_VALUE"""),68.3)</f>
        <v>68.3</v>
      </c>
      <c r="K40" s="1">
        <f ca="1">IFERROR(__xludf.DUMMYFUNCTION("""COMPUTED_VALUE"""),62)</f>
        <v>62</v>
      </c>
      <c r="L40" s="1">
        <f ca="1">IFERROR(__xludf.DUMMYFUNCTION("""COMPUTED_VALUE"""),-0.033)</f>
        <v>-3.3000000000000002E-2</v>
      </c>
      <c r="M40" s="1">
        <f ca="1">IFERROR(__xludf.DUMMYFUNCTION("""COMPUTED_VALUE"""),250)</f>
        <v>250</v>
      </c>
      <c r="N40" s="1" t="str">
        <f ca="1">IFERROR(__xludf.DUMMYFUNCTION("""COMPUTED_VALUE"""),"+5.43")</f>
        <v>+5.43</v>
      </c>
      <c r="O40" s="1">
        <f ca="1">IFERROR(__xludf.DUMMYFUNCTION("""COMPUTED_VALUE"""),74)</f>
        <v>74</v>
      </c>
      <c r="P40" s="1">
        <f ca="1">IFERROR(__xludf.DUMMYFUNCTION("""COMPUTED_VALUE"""),106)</f>
        <v>106</v>
      </c>
      <c r="Q40" s="1">
        <f ca="1">IFERROR(__xludf.DUMMYFUNCTION("""COMPUTED_VALUE"""),60)</f>
        <v>60</v>
      </c>
      <c r="R40" s="1">
        <f ca="1">IFERROR(__xludf.DUMMYFUNCTION("""COMPUTED_VALUE"""),100.6)</f>
        <v>100.6</v>
      </c>
      <c r="S40" s="1">
        <f ca="1">IFERROR(__xludf.DUMMYFUNCTION("""COMPUTED_VALUE"""),86)</f>
        <v>86</v>
      </c>
      <c r="T40" s="1">
        <f ca="1">IFERROR(__xludf.DUMMYFUNCTION("""COMPUTED_VALUE"""),-11.7)</f>
        <v>-11.7</v>
      </c>
      <c r="U40" s="1">
        <f ca="1">IFERROR(__xludf.DUMMYFUNCTION("""COMPUTED_VALUE"""),330)</f>
        <v>330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IFERROR(__xludf.DUMMYFUNCTION("""COMPUTED_VALUE"""),"Wisconsin9")</f>
        <v>Wisconsin9</v>
      </c>
      <c r="C41" s="1" t="str">
        <f ca="1">IFERROR(__xludf.DUMMYFUNCTION("""COMPUTED_VALUE"""),"B10")</f>
        <v>B10</v>
      </c>
      <c r="D41" s="1" t="str">
        <f ca="1">IFERROR(__xludf.DUMMYFUNCTION("""COMPUTED_VALUE"""),"19-12")</f>
        <v>19-12</v>
      </c>
      <c r="E41" s="1" t="str">
        <f ca="1">IFERROR(__xludf.DUMMYFUNCTION("""COMPUTED_VALUE"""),"+14.94")</f>
        <v>+14.94</v>
      </c>
      <c r="F41" s="1">
        <f ca="1">IFERROR(__xludf.DUMMYFUNCTION("""COMPUTED_VALUE"""),111.5)</f>
        <v>111.5</v>
      </c>
      <c r="G41" s="1">
        <f ca="1">IFERROR(__xludf.DUMMYFUNCTION("""COMPUTED_VALUE"""),40)</f>
        <v>40</v>
      </c>
      <c r="H41" s="1">
        <f ca="1">IFERROR(__xludf.DUMMYFUNCTION("""COMPUTED_VALUE"""),96.6)</f>
        <v>96.6</v>
      </c>
      <c r="I41" s="1">
        <f ca="1">IFERROR(__xludf.DUMMYFUNCTION("""COMPUTED_VALUE"""),61)</f>
        <v>61</v>
      </c>
      <c r="J41" s="1">
        <f ca="1">IFERROR(__xludf.DUMMYFUNCTION("""COMPUTED_VALUE"""),65.2)</f>
        <v>65.2</v>
      </c>
      <c r="K41" s="1">
        <f ca="1">IFERROR(__xludf.DUMMYFUNCTION("""COMPUTED_VALUE"""),171)</f>
        <v>171</v>
      </c>
      <c r="L41" s="1">
        <f ca="1">IFERROR(__xludf.DUMMYFUNCTION("""COMPUTED_VALUE"""),-0.024)</f>
        <v>-2.4E-2</v>
      </c>
      <c r="M41" s="1">
        <f ca="1">IFERROR(__xludf.DUMMYFUNCTION("""COMPUTED_VALUE"""),219)</f>
        <v>219</v>
      </c>
      <c r="N41" s="1" t="str">
        <f ca="1">IFERROR(__xludf.DUMMYFUNCTION("""COMPUTED_VALUE"""),"+7.96")</f>
        <v>+7.96</v>
      </c>
      <c r="O41" s="1">
        <f ca="1">IFERROR(__xludf.DUMMYFUNCTION("""COMPUTED_VALUE"""),31)</f>
        <v>31</v>
      </c>
      <c r="P41" s="1">
        <f ca="1">IFERROR(__xludf.DUMMYFUNCTION("""COMPUTED_VALUE"""),106.6)</f>
        <v>106.6</v>
      </c>
      <c r="Q41" s="1">
        <f ca="1">IFERROR(__xludf.DUMMYFUNCTION("""COMPUTED_VALUE"""),46)</f>
        <v>46</v>
      </c>
      <c r="R41" s="1">
        <f ca="1">IFERROR(__xludf.DUMMYFUNCTION("""COMPUTED_VALUE"""),98.6)</f>
        <v>98.6</v>
      </c>
      <c r="S41" s="1">
        <f ca="1">IFERROR(__xludf.DUMMYFUNCTION("""COMPUTED_VALUE"""),24)</f>
        <v>24</v>
      </c>
      <c r="T41" s="1" t="str">
        <f ca="1">IFERROR(__xludf.DUMMYFUNCTION("""COMPUTED_VALUE"""),"+0.91")</f>
        <v>+0.91</v>
      </c>
      <c r="U41" s="1">
        <f ca="1">IFERROR(__xludf.DUMMYFUNCTION("""COMPUTED_VALUE"""),130)</f>
        <v>130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IFERROR(__xludf.DUMMYFUNCTION("""COMPUTED_VALUE"""),"Air Force13")</f>
        <v>Air Force13</v>
      </c>
      <c r="C42" s="1" t="str">
        <f ca="1">IFERROR(__xludf.DUMMYFUNCTION("""COMPUTED_VALUE"""),"MWC")</f>
        <v>MWC</v>
      </c>
      <c r="D42" s="1" t="str">
        <f ca="1">IFERROR(__xludf.DUMMYFUNCTION("""COMPUTED_VALUE"""),"24-7")</f>
        <v>24-7</v>
      </c>
      <c r="E42" s="1" t="str">
        <f ca="1">IFERROR(__xludf.DUMMYFUNCTION("""COMPUTED_VALUE"""),"+14.87")</f>
        <v>+14.87</v>
      </c>
      <c r="F42" s="1">
        <f ca="1">IFERROR(__xludf.DUMMYFUNCTION("""COMPUTED_VALUE"""),113.2)</f>
        <v>113.2</v>
      </c>
      <c r="G42" s="1">
        <f ca="1">IFERROR(__xludf.DUMMYFUNCTION("""COMPUTED_VALUE"""),21)</f>
        <v>21</v>
      </c>
      <c r="H42" s="1">
        <f ca="1">IFERROR(__xludf.DUMMYFUNCTION("""COMPUTED_VALUE"""),98.3)</f>
        <v>98.3</v>
      </c>
      <c r="I42" s="1">
        <f ca="1">IFERROR(__xludf.DUMMYFUNCTION("""COMPUTED_VALUE"""),89)</f>
        <v>89</v>
      </c>
      <c r="J42" s="1">
        <f ca="1">IFERROR(__xludf.DUMMYFUNCTION("""COMPUTED_VALUE"""),54.7)</f>
        <v>54.7</v>
      </c>
      <c r="K42" s="1">
        <f ca="1">IFERROR(__xludf.DUMMYFUNCTION("""COMPUTED_VALUE"""),332)</f>
        <v>332</v>
      </c>
      <c r="L42" s="1">
        <f ca="1">IFERROR(__xludf.DUMMYFUNCTION("""COMPUTED_VALUE"""),-0.001)</f>
        <v>-1E-3</v>
      </c>
      <c r="M42" s="1">
        <f ca="1">IFERROR(__xludf.DUMMYFUNCTION("""COMPUTED_VALUE"""),172)</f>
        <v>172</v>
      </c>
      <c r="N42" s="1" t="str">
        <f ca="1">IFERROR(__xludf.DUMMYFUNCTION("""COMPUTED_VALUE"""),"+0.57")</f>
        <v>+0.57</v>
      </c>
      <c r="O42" s="1">
        <f ca="1">IFERROR(__xludf.DUMMYFUNCTION("""COMPUTED_VALUE"""),147)</f>
        <v>147</v>
      </c>
      <c r="P42" s="1">
        <f ca="1">IFERROR(__xludf.DUMMYFUNCTION("""COMPUTED_VALUE"""),102.8)</f>
        <v>102.8</v>
      </c>
      <c r="Q42" s="1">
        <f ca="1">IFERROR(__xludf.DUMMYFUNCTION("""COMPUTED_VALUE"""),176)</f>
        <v>176</v>
      </c>
      <c r="R42" s="1">
        <f ca="1">IFERROR(__xludf.DUMMYFUNCTION("""COMPUTED_VALUE"""),102.2)</f>
        <v>102.2</v>
      </c>
      <c r="S42" s="1">
        <f ca="1">IFERROR(__xludf.DUMMYFUNCTION("""COMPUTED_VALUE"""),137)</f>
        <v>137</v>
      </c>
      <c r="T42" s="1">
        <f ca="1">IFERROR(__xludf.DUMMYFUNCTION("""COMPUTED_VALUE"""),-6.63)</f>
        <v>-6.63</v>
      </c>
      <c r="U42" s="1">
        <f ca="1">IFERROR(__xludf.DUMMYFUNCTION("""COMPUTED_VALUE"""),300)</f>
        <v>300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IFERROR(__xludf.DUMMYFUNCTION("""COMPUTED_VALUE"""),"Saint Joseph's2")</f>
        <v>Saint Joseph's2</v>
      </c>
      <c r="C45" s="1" t="str">
        <f ca="1">IFERROR(__xludf.DUMMYFUNCTION("""COMPUTED_VALUE"""),"A10")</f>
        <v>A10</v>
      </c>
      <c r="D45" s="1" t="str">
        <f ca="1">IFERROR(__xludf.DUMMYFUNCTION("""COMPUTED_VALUE"""),"19-14")</f>
        <v>19-14</v>
      </c>
      <c r="E45" s="1" t="str">
        <f ca="1">IFERROR(__xludf.DUMMYFUNCTION("""COMPUTED_VALUE"""),"+14.84")</f>
        <v>+14.84</v>
      </c>
      <c r="F45" s="1">
        <f ca="1">IFERROR(__xludf.DUMMYFUNCTION("""COMPUTED_VALUE"""),109.8)</f>
        <v>109.8</v>
      </c>
      <c r="G45" s="1">
        <f ca="1">IFERROR(__xludf.DUMMYFUNCTION("""COMPUTED_VALUE"""),64)</f>
        <v>64</v>
      </c>
      <c r="H45" s="1">
        <f ca="1">IFERROR(__xludf.DUMMYFUNCTION("""COMPUTED_VALUE"""),95)</f>
        <v>95</v>
      </c>
      <c r="I45" s="1">
        <f ca="1">IFERROR(__xludf.DUMMYFUNCTION("""COMPUTED_VALUE"""),42)</f>
        <v>42</v>
      </c>
      <c r="J45" s="1">
        <f ca="1">IFERROR(__xludf.DUMMYFUNCTION("""COMPUTED_VALUE"""),61.9)</f>
        <v>61.9</v>
      </c>
      <c r="K45" s="1">
        <f ca="1">IFERROR(__xludf.DUMMYFUNCTION("""COMPUTED_VALUE"""),290)</f>
        <v>290</v>
      </c>
      <c r="L45" s="1">
        <f ca="1">IFERROR(__xludf.DUMMYFUNCTION("""COMPUTED_VALUE"""),-0.064)</f>
        <v>-6.4000000000000001E-2</v>
      </c>
      <c r="M45" s="1">
        <f ca="1">IFERROR(__xludf.DUMMYFUNCTION("""COMPUTED_VALUE"""),295)</f>
        <v>295</v>
      </c>
      <c r="N45" s="1" t="str">
        <f ca="1">IFERROR(__xludf.DUMMYFUNCTION("""COMPUTED_VALUE"""),"+7.64")</f>
        <v>+7.64</v>
      </c>
      <c r="O45" s="1">
        <f ca="1">IFERROR(__xludf.DUMMYFUNCTION("""COMPUTED_VALUE"""),39)</f>
        <v>39</v>
      </c>
      <c r="P45" s="1">
        <f ca="1">IFERROR(__xludf.DUMMYFUNCTION("""COMPUTED_VALUE"""),106.7)</f>
        <v>106.7</v>
      </c>
      <c r="Q45" s="1">
        <f ca="1">IFERROR(__xludf.DUMMYFUNCTION("""COMPUTED_VALUE"""),43)</f>
        <v>43</v>
      </c>
      <c r="R45" s="1">
        <f ca="1">IFERROR(__xludf.DUMMYFUNCTION("""COMPUTED_VALUE"""),99.1)</f>
        <v>99.1</v>
      </c>
      <c r="S45" s="1">
        <f ca="1">IFERROR(__xludf.DUMMYFUNCTION("""COMPUTED_VALUE"""),36)</f>
        <v>36</v>
      </c>
      <c r="T45" s="1" t="str">
        <f ca="1">IFERROR(__xludf.DUMMYFUNCTION("""COMPUTED_VALUE"""),"+12.40")</f>
        <v>+12.40</v>
      </c>
      <c r="U45" s="1">
        <f ca="1">IFERROR(__xludf.DUMMYFUNCTION("""COMPUTED_VALUE"""),6)</f>
        <v>6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IFERROR(__xludf.DUMMYFUNCTION("""COMPUTED_VALUE"""),"UNC Wilmington9")</f>
        <v>UNC Wilmington9</v>
      </c>
      <c r="C46" s="1" t="str">
        <f ca="1">IFERROR(__xludf.DUMMYFUNCTION("""COMPUTED_VALUE"""),"CAA")</f>
        <v>CAA</v>
      </c>
      <c r="D46" s="1" t="str">
        <f ca="1">IFERROR(__xludf.DUMMYFUNCTION("""COMPUTED_VALUE"""),"25-8")</f>
        <v>25-8</v>
      </c>
      <c r="E46" s="1" t="str">
        <f ca="1">IFERROR(__xludf.DUMMYFUNCTION("""COMPUTED_VALUE"""),"+14.77")</f>
        <v>+14.77</v>
      </c>
      <c r="F46" s="1">
        <f ca="1">IFERROR(__xludf.DUMMYFUNCTION("""COMPUTED_VALUE"""),107.2)</f>
        <v>107.2</v>
      </c>
      <c r="G46" s="1">
        <f ca="1">IFERROR(__xludf.DUMMYFUNCTION("""COMPUTED_VALUE"""),93)</f>
        <v>93</v>
      </c>
      <c r="H46" s="1">
        <f ca="1">IFERROR(__xludf.DUMMYFUNCTION("""COMPUTED_VALUE"""),92.4)</f>
        <v>92.4</v>
      </c>
      <c r="I46" s="1">
        <f ca="1">IFERROR(__xludf.DUMMYFUNCTION("""COMPUTED_VALUE"""),20)</f>
        <v>20</v>
      </c>
      <c r="J46" s="1">
        <f ca="1">IFERROR(__xludf.DUMMYFUNCTION("""COMPUTED_VALUE"""),62.6)</f>
        <v>62.6</v>
      </c>
      <c r="K46" s="1">
        <f ca="1">IFERROR(__xludf.DUMMYFUNCTION("""COMPUTED_VALUE"""),270)</f>
        <v>270</v>
      </c>
      <c r="L46" s="1">
        <f ca="1">IFERROR(__xludf.DUMMYFUNCTION("""COMPUTED_VALUE"""),-0.006)</f>
        <v>-6.0000000000000001E-3</v>
      </c>
      <c r="M46" s="1">
        <f ca="1">IFERROR(__xludf.DUMMYFUNCTION("""COMPUTED_VALUE"""),183)</f>
        <v>183</v>
      </c>
      <c r="N46" s="1" t="str">
        <f ca="1">IFERROR(__xludf.DUMMYFUNCTION("""COMPUTED_VALUE"""),"+1.59")</f>
        <v>+1.59</v>
      </c>
      <c r="O46" s="1">
        <f ca="1">IFERROR(__xludf.DUMMYFUNCTION("""COMPUTED_VALUE"""),126)</f>
        <v>126</v>
      </c>
      <c r="P46" s="1">
        <f ca="1">IFERROR(__xludf.DUMMYFUNCTION("""COMPUTED_VALUE"""),103.6)</f>
        <v>103.6</v>
      </c>
      <c r="Q46" s="1">
        <f ca="1">IFERROR(__xludf.DUMMYFUNCTION("""COMPUTED_VALUE"""),145)</f>
        <v>145</v>
      </c>
      <c r="R46" s="1">
        <f ca="1">IFERROR(__xludf.DUMMYFUNCTION("""COMPUTED_VALUE"""),102)</f>
        <v>102</v>
      </c>
      <c r="S46" s="1">
        <f ca="1">IFERROR(__xludf.DUMMYFUNCTION("""COMPUTED_VALUE"""),131)</f>
        <v>131</v>
      </c>
      <c r="T46" s="1" t="str">
        <f ca="1">IFERROR(__xludf.DUMMYFUNCTION("""COMPUTED_VALUE"""),"+0.11")</f>
        <v>+0.11</v>
      </c>
      <c r="U46" s="1">
        <f ca="1">IFERROR(__xludf.DUMMYFUNCTION("""COMPUTED_VALUE"""),153)</f>
        <v>153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IFERROR(__xludf.DUMMYFUNCTION("""COMPUTED_VALUE"""),"George Washington8")</f>
        <v>George Washington8</v>
      </c>
      <c r="C47" s="1" t="str">
        <f ca="1">IFERROR(__xludf.DUMMYFUNCTION("""COMPUTED_VALUE"""),"A10")</f>
        <v>A10</v>
      </c>
      <c r="D47" s="1" t="str">
        <f ca="1">IFERROR(__xludf.DUMMYFUNCTION("""COMPUTED_VALUE"""),"27-3")</f>
        <v>27-3</v>
      </c>
      <c r="E47" s="1" t="str">
        <f ca="1">IFERROR(__xludf.DUMMYFUNCTION("""COMPUTED_VALUE"""),"+14.67")</f>
        <v>+14.67</v>
      </c>
      <c r="F47" s="1">
        <f ca="1">IFERROR(__xludf.DUMMYFUNCTION("""COMPUTED_VALUE"""),110.3)</f>
        <v>110.3</v>
      </c>
      <c r="G47" s="1">
        <f ca="1">IFERROR(__xludf.DUMMYFUNCTION("""COMPUTED_VALUE"""),52)</f>
        <v>52</v>
      </c>
      <c r="H47" s="1">
        <f ca="1">IFERROR(__xludf.DUMMYFUNCTION("""COMPUTED_VALUE"""),95.6)</f>
        <v>95.6</v>
      </c>
      <c r="I47" s="1">
        <f ca="1">IFERROR(__xludf.DUMMYFUNCTION("""COMPUTED_VALUE"""),48)</f>
        <v>48</v>
      </c>
      <c r="J47" s="1">
        <f ca="1">IFERROR(__xludf.DUMMYFUNCTION("""COMPUTED_VALUE"""),71.2)</f>
        <v>71.2</v>
      </c>
      <c r="K47" s="1">
        <f ca="1">IFERROR(__xludf.DUMMYFUNCTION("""COMPUTED_VALUE"""),12)</f>
        <v>12</v>
      </c>
      <c r="L47" s="1" t="str">
        <f ca="1">IFERROR(__xludf.DUMMYFUNCTION("""COMPUTED_VALUE"""),"+.106")</f>
        <v>+.106</v>
      </c>
      <c r="M47" s="1">
        <f ca="1">IFERROR(__xludf.DUMMYFUNCTION("""COMPUTED_VALUE"""),7)</f>
        <v>7</v>
      </c>
      <c r="N47" s="1">
        <f ca="1">IFERROR(__xludf.DUMMYFUNCTION("""COMPUTED_VALUE"""),-1.23)</f>
        <v>-1.23</v>
      </c>
      <c r="O47" s="1">
        <f ca="1">IFERROR(__xludf.DUMMYFUNCTION("""COMPUTED_VALUE"""),184)</f>
        <v>184</v>
      </c>
      <c r="P47" s="1">
        <f ca="1">IFERROR(__xludf.DUMMYFUNCTION("""COMPUTED_VALUE"""),101.1)</f>
        <v>101.1</v>
      </c>
      <c r="Q47" s="1">
        <f ca="1">IFERROR(__xludf.DUMMYFUNCTION("""COMPUTED_VALUE"""),237)</f>
        <v>237</v>
      </c>
      <c r="R47" s="1">
        <f ca="1">IFERROR(__xludf.DUMMYFUNCTION("""COMPUTED_VALUE"""),102.4)</f>
        <v>102.4</v>
      </c>
      <c r="S47" s="1">
        <f ca="1">IFERROR(__xludf.DUMMYFUNCTION("""COMPUTED_VALUE"""),139)</f>
        <v>139</v>
      </c>
      <c r="T47" s="1">
        <f ca="1">IFERROR(__xludf.DUMMYFUNCTION("""COMPUTED_VALUE"""),-15.01)</f>
        <v>-15.01</v>
      </c>
      <c r="U47" s="1">
        <f ca="1">IFERROR(__xludf.DUMMYFUNCTION("""COMPUTED_VALUE"""),333)</f>
        <v>333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IFERROR(__xludf.DUMMYFUNCTION("""COMPUTED_VALUE"""),"Cincinnati1")</f>
        <v>Cincinnati1</v>
      </c>
      <c r="C48" s="1" t="str">
        <f ca="1">IFERROR(__xludf.DUMMYFUNCTION("""COMPUTED_VALUE"""),"BE")</f>
        <v>BE</v>
      </c>
      <c r="D48" s="1" t="str">
        <f ca="1">IFERROR(__xludf.DUMMYFUNCTION("""COMPUTED_VALUE"""),"21-13")</f>
        <v>21-13</v>
      </c>
      <c r="E48" s="1" t="str">
        <f ca="1">IFERROR(__xludf.DUMMYFUNCTION("""COMPUTED_VALUE"""),"+14.27")</f>
        <v>+14.27</v>
      </c>
      <c r="F48" s="1">
        <f ca="1">IFERROR(__xludf.DUMMYFUNCTION("""COMPUTED_VALUE"""),110.9)</f>
        <v>110.9</v>
      </c>
      <c r="G48" s="1">
        <f ca="1">IFERROR(__xludf.DUMMYFUNCTION("""COMPUTED_VALUE"""),47)</f>
        <v>47</v>
      </c>
      <c r="H48" s="1">
        <f ca="1">IFERROR(__xludf.DUMMYFUNCTION("""COMPUTED_VALUE"""),96.6)</f>
        <v>96.6</v>
      </c>
      <c r="I48" s="1">
        <f ca="1">IFERROR(__xludf.DUMMYFUNCTION("""COMPUTED_VALUE"""),63)</f>
        <v>63</v>
      </c>
      <c r="J48" s="1">
        <f ca="1">IFERROR(__xludf.DUMMYFUNCTION("""COMPUTED_VALUE"""),68.5)</f>
        <v>68.5</v>
      </c>
      <c r="K48" s="1">
        <f ca="1">IFERROR(__xludf.DUMMYFUNCTION("""COMPUTED_VALUE"""),57)</f>
        <v>57</v>
      </c>
      <c r="L48" s="1">
        <f ca="1">IFERROR(__xludf.DUMMYFUNCTION("""COMPUTED_VALUE"""),-0.001)</f>
        <v>-1E-3</v>
      </c>
      <c r="M48" s="1">
        <f ca="1">IFERROR(__xludf.DUMMYFUNCTION("""COMPUTED_VALUE"""),171)</f>
        <v>171</v>
      </c>
      <c r="N48" s="1" t="str">
        <f ca="1">IFERROR(__xludf.DUMMYFUNCTION("""COMPUTED_VALUE"""),"+8.99")</f>
        <v>+8.99</v>
      </c>
      <c r="O48" s="1">
        <f ca="1">IFERROR(__xludf.DUMMYFUNCTION("""COMPUTED_VALUE"""),17)</f>
        <v>17</v>
      </c>
      <c r="P48" s="1">
        <f ca="1">IFERROR(__xludf.DUMMYFUNCTION("""COMPUTED_VALUE"""),107)</f>
        <v>107</v>
      </c>
      <c r="Q48" s="1">
        <f ca="1">IFERROR(__xludf.DUMMYFUNCTION("""COMPUTED_VALUE"""),38)</f>
        <v>38</v>
      </c>
      <c r="R48" s="1">
        <f ca="1">IFERROR(__xludf.DUMMYFUNCTION("""COMPUTED_VALUE"""),98)</f>
        <v>98</v>
      </c>
      <c r="S48" s="1">
        <f ca="1">IFERROR(__xludf.DUMMYFUNCTION("""COMPUTED_VALUE"""),10)</f>
        <v>10</v>
      </c>
      <c r="T48" s="1" t="str">
        <f ca="1">IFERROR(__xludf.DUMMYFUNCTION("""COMPUTED_VALUE"""),"+2.61")</f>
        <v>+2.61</v>
      </c>
      <c r="U48" s="1">
        <f ca="1">IFERROR(__xludf.DUMMYFUNCTION("""COMPUTED_VALUE"""),83)</f>
        <v>83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IFERROR(__xludf.DUMMYFUNCTION("""COMPUTED_VALUE"""),"Oklahoma6")</f>
        <v>Oklahoma6</v>
      </c>
      <c r="C49" s="1" t="str">
        <f ca="1">IFERROR(__xludf.DUMMYFUNCTION("""COMPUTED_VALUE"""),"B12")</f>
        <v>B12</v>
      </c>
      <c r="D49" s="1" t="str">
        <f ca="1">IFERROR(__xludf.DUMMYFUNCTION("""COMPUTED_VALUE"""),"20-9")</f>
        <v>20-9</v>
      </c>
      <c r="E49" s="1" t="str">
        <f ca="1">IFERROR(__xludf.DUMMYFUNCTION("""COMPUTED_VALUE"""),"+13.99")</f>
        <v>+13.99</v>
      </c>
      <c r="F49" s="1">
        <f ca="1">IFERROR(__xludf.DUMMYFUNCTION("""COMPUTED_VALUE"""),113)</f>
        <v>113</v>
      </c>
      <c r="G49" s="1">
        <f ca="1">IFERROR(__xludf.DUMMYFUNCTION("""COMPUTED_VALUE"""),26)</f>
        <v>26</v>
      </c>
      <c r="H49" s="1">
        <f ca="1">IFERROR(__xludf.DUMMYFUNCTION("""COMPUTED_VALUE"""),99)</f>
        <v>99</v>
      </c>
      <c r="I49" s="1">
        <f ca="1">IFERROR(__xludf.DUMMYFUNCTION("""COMPUTED_VALUE"""),95)</f>
        <v>95</v>
      </c>
      <c r="J49" s="1">
        <f ca="1">IFERROR(__xludf.DUMMYFUNCTION("""COMPUTED_VALUE"""),62.4)</f>
        <v>62.4</v>
      </c>
      <c r="K49" s="1">
        <f ca="1">IFERROR(__xludf.DUMMYFUNCTION("""COMPUTED_VALUE"""),278)</f>
        <v>278</v>
      </c>
      <c r="L49" s="1" t="str">
        <f ca="1">IFERROR(__xludf.DUMMYFUNCTION("""COMPUTED_VALUE"""),"+.049")</f>
        <v>+.049</v>
      </c>
      <c r="M49" s="1">
        <f ca="1">IFERROR(__xludf.DUMMYFUNCTION("""COMPUTED_VALUE"""),52)</f>
        <v>52</v>
      </c>
      <c r="N49" s="1" t="str">
        <f ca="1">IFERROR(__xludf.DUMMYFUNCTION("""COMPUTED_VALUE"""),"+6.16")</f>
        <v>+6.16</v>
      </c>
      <c r="O49" s="1">
        <f ca="1">IFERROR(__xludf.DUMMYFUNCTION("""COMPUTED_VALUE"""),60)</f>
        <v>60</v>
      </c>
      <c r="P49" s="1">
        <f ca="1">IFERROR(__xludf.DUMMYFUNCTION("""COMPUTED_VALUE"""),105.5)</f>
        <v>105.5</v>
      </c>
      <c r="Q49" s="1">
        <f ca="1">IFERROR(__xludf.DUMMYFUNCTION("""COMPUTED_VALUE"""),69)</f>
        <v>69</v>
      </c>
      <c r="R49" s="1">
        <f ca="1">IFERROR(__xludf.DUMMYFUNCTION("""COMPUTED_VALUE"""),99.3)</f>
        <v>99.3</v>
      </c>
      <c r="S49" s="1">
        <f ca="1">IFERROR(__xludf.DUMMYFUNCTION("""COMPUTED_VALUE"""),46)</f>
        <v>46</v>
      </c>
      <c r="T49" s="1">
        <f ca="1">IFERROR(__xludf.DUMMYFUNCTION("""COMPUTED_VALUE"""),-0.61)</f>
        <v>-0.61</v>
      </c>
      <c r="U49" s="1">
        <f ca="1">IFERROR(__xludf.DUMMYFUNCTION("""COMPUTED_VALUE"""),166)</f>
        <v>166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IFERROR(__xludf.DUMMYFUNCTION("""COMPUTED_VALUE"""),"Louisville1")</f>
        <v>Louisville1</v>
      </c>
      <c r="C50" s="1" t="str">
        <f ca="1">IFERROR(__xludf.DUMMYFUNCTION("""COMPUTED_VALUE"""),"BE")</f>
        <v>BE</v>
      </c>
      <c r="D50" s="1" t="str">
        <f ca="1">IFERROR(__xludf.DUMMYFUNCTION("""COMPUTED_VALUE"""),"21-13")</f>
        <v>21-13</v>
      </c>
      <c r="E50" s="1" t="str">
        <f ca="1">IFERROR(__xludf.DUMMYFUNCTION("""COMPUTED_VALUE"""),"+13.98")</f>
        <v>+13.98</v>
      </c>
      <c r="F50" s="1">
        <f ca="1">IFERROR(__xludf.DUMMYFUNCTION("""COMPUTED_VALUE"""),108.2)</f>
        <v>108.2</v>
      </c>
      <c r="G50" s="1">
        <f ca="1">IFERROR(__xludf.DUMMYFUNCTION("""COMPUTED_VALUE"""),78)</f>
        <v>78</v>
      </c>
      <c r="H50" s="1">
        <f ca="1">IFERROR(__xludf.DUMMYFUNCTION("""COMPUTED_VALUE"""),94.2)</f>
        <v>94.2</v>
      </c>
      <c r="I50" s="1">
        <f ca="1">IFERROR(__xludf.DUMMYFUNCTION("""COMPUTED_VALUE"""),32)</f>
        <v>32</v>
      </c>
      <c r="J50" s="1">
        <f ca="1">IFERROR(__xludf.DUMMYFUNCTION("""COMPUTED_VALUE"""),64.8)</f>
        <v>64.8</v>
      </c>
      <c r="K50" s="1">
        <f ca="1">IFERROR(__xludf.DUMMYFUNCTION("""COMPUTED_VALUE"""),191)</f>
        <v>191</v>
      </c>
      <c r="L50" s="1">
        <f ca="1">IFERROR(__xludf.DUMMYFUNCTION("""COMPUTED_VALUE"""),-0.041)</f>
        <v>-4.1000000000000002E-2</v>
      </c>
      <c r="M50" s="1">
        <f ca="1">IFERROR(__xludf.DUMMYFUNCTION("""COMPUTED_VALUE"""),266)</f>
        <v>266</v>
      </c>
      <c r="N50" s="1" t="str">
        <f ca="1">IFERROR(__xludf.DUMMYFUNCTION("""COMPUTED_VALUE"""),"+6.11")</f>
        <v>+6.11</v>
      </c>
      <c r="O50" s="1">
        <f ca="1">IFERROR(__xludf.DUMMYFUNCTION("""COMPUTED_VALUE"""),62)</f>
        <v>62</v>
      </c>
      <c r="P50" s="1">
        <f ca="1">IFERROR(__xludf.DUMMYFUNCTION("""COMPUTED_VALUE"""),106.8)</f>
        <v>106.8</v>
      </c>
      <c r="Q50" s="1">
        <f ca="1">IFERROR(__xludf.DUMMYFUNCTION("""COMPUTED_VALUE"""),42)</f>
        <v>42</v>
      </c>
      <c r="R50" s="1">
        <f ca="1">IFERROR(__xludf.DUMMYFUNCTION("""COMPUTED_VALUE"""),100.7)</f>
        <v>100.7</v>
      </c>
      <c r="S50" s="1">
        <f ca="1">IFERROR(__xludf.DUMMYFUNCTION("""COMPUTED_VALUE"""),91)</f>
        <v>91</v>
      </c>
      <c r="T50" s="1">
        <f ca="1">IFERROR(__xludf.DUMMYFUNCTION("""COMPUTED_VALUE"""),-8.19)</f>
        <v>-8.19</v>
      </c>
      <c r="U50" s="1">
        <f ca="1">IFERROR(__xludf.DUMMYFUNCTION("""COMPUTED_VALUE"""),317)</f>
        <v>317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IFERROR(__xludf.DUMMYFUNCTION("""COMPUTED_VALUE"""),"California7")</f>
        <v>California7</v>
      </c>
      <c r="C51" s="1" t="str">
        <f ca="1">IFERROR(__xludf.DUMMYFUNCTION("""COMPUTED_VALUE"""),"P10")</f>
        <v>P10</v>
      </c>
      <c r="D51" s="1" t="str">
        <f ca="1">IFERROR(__xludf.DUMMYFUNCTION("""COMPUTED_VALUE"""),"20-11")</f>
        <v>20-11</v>
      </c>
      <c r="E51" s="1" t="str">
        <f ca="1">IFERROR(__xludf.DUMMYFUNCTION("""COMPUTED_VALUE"""),"+13.68")</f>
        <v>+13.68</v>
      </c>
      <c r="F51" s="1">
        <f ca="1">IFERROR(__xludf.DUMMYFUNCTION("""COMPUTED_VALUE"""),110.5)</f>
        <v>110.5</v>
      </c>
      <c r="G51" s="1">
        <f ca="1">IFERROR(__xludf.DUMMYFUNCTION("""COMPUTED_VALUE"""),49)</f>
        <v>49</v>
      </c>
      <c r="H51" s="1">
        <f ca="1">IFERROR(__xludf.DUMMYFUNCTION("""COMPUTED_VALUE"""),96.8)</f>
        <v>96.8</v>
      </c>
      <c r="I51" s="1">
        <f ca="1">IFERROR(__xludf.DUMMYFUNCTION("""COMPUTED_VALUE"""),68)</f>
        <v>68</v>
      </c>
      <c r="J51" s="1">
        <f ca="1">IFERROR(__xludf.DUMMYFUNCTION("""COMPUTED_VALUE"""),61.9)</f>
        <v>61.9</v>
      </c>
      <c r="K51" s="1">
        <f ca="1">IFERROR(__xludf.DUMMYFUNCTION("""COMPUTED_VALUE"""),293)</f>
        <v>293</v>
      </c>
      <c r="L51" s="1" t="str">
        <f ca="1">IFERROR(__xludf.DUMMYFUNCTION("""COMPUTED_VALUE"""),"+.021")</f>
        <v>+.021</v>
      </c>
      <c r="M51" s="1">
        <f ca="1">IFERROR(__xludf.DUMMYFUNCTION("""COMPUTED_VALUE"""),110)</f>
        <v>110</v>
      </c>
      <c r="N51" s="1" t="str">
        <f ca="1">IFERROR(__xludf.DUMMYFUNCTION("""COMPUTED_VALUE"""),"+7.59")</f>
        <v>+7.59</v>
      </c>
      <c r="O51" s="1">
        <f ca="1">IFERROR(__xludf.DUMMYFUNCTION("""COMPUTED_VALUE"""),40)</f>
        <v>40</v>
      </c>
      <c r="P51" s="1">
        <f ca="1">IFERROR(__xludf.DUMMYFUNCTION("""COMPUTED_VALUE"""),106.8)</f>
        <v>106.8</v>
      </c>
      <c r="Q51" s="1">
        <f ca="1">IFERROR(__xludf.DUMMYFUNCTION("""COMPUTED_VALUE"""),41)</f>
        <v>41</v>
      </c>
      <c r="R51" s="1">
        <f ca="1">IFERROR(__xludf.DUMMYFUNCTION("""COMPUTED_VALUE"""),99.3)</f>
        <v>99.3</v>
      </c>
      <c r="S51" s="1">
        <f ca="1">IFERROR(__xludf.DUMMYFUNCTION("""COMPUTED_VALUE"""),44)</f>
        <v>44</v>
      </c>
      <c r="T51" s="1">
        <f ca="1">IFERROR(__xludf.DUMMYFUNCTION("""COMPUTED_VALUE"""),-0.77)</f>
        <v>-0.77</v>
      </c>
      <c r="U51" s="1">
        <f ca="1">IFERROR(__xludf.DUMMYFUNCTION("""COMPUTED_VALUE"""),172)</f>
        <v>172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IFERROR(__xludf.DUMMYFUNCTION("""COMPUTED_VALUE"""),"Southern Illinois11")</f>
        <v>Southern Illinois11</v>
      </c>
      <c r="C52" s="1" t="str">
        <f ca="1">IFERROR(__xludf.DUMMYFUNCTION("""COMPUTED_VALUE"""),"MVC")</f>
        <v>MVC</v>
      </c>
      <c r="D52" s="1" t="str">
        <f ca="1">IFERROR(__xludf.DUMMYFUNCTION("""COMPUTED_VALUE"""),"22-11")</f>
        <v>22-11</v>
      </c>
      <c r="E52" s="1" t="str">
        <f ca="1">IFERROR(__xludf.DUMMYFUNCTION("""COMPUTED_VALUE"""),"+13.60")</f>
        <v>+13.60</v>
      </c>
      <c r="F52" s="1">
        <f ca="1">IFERROR(__xludf.DUMMYFUNCTION("""COMPUTED_VALUE"""),102.9)</f>
        <v>102.9</v>
      </c>
      <c r="G52" s="1">
        <f ca="1">IFERROR(__xludf.DUMMYFUNCTION("""COMPUTED_VALUE"""),166)</f>
        <v>166</v>
      </c>
      <c r="H52" s="1">
        <f ca="1">IFERROR(__xludf.DUMMYFUNCTION("""COMPUTED_VALUE"""),89.3)</f>
        <v>89.3</v>
      </c>
      <c r="I52" s="1">
        <f ca="1">IFERROR(__xludf.DUMMYFUNCTION("""COMPUTED_VALUE"""),5)</f>
        <v>5</v>
      </c>
      <c r="J52" s="1">
        <f ca="1">IFERROR(__xludf.DUMMYFUNCTION("""COMPUTED_VALUE"""),60.7)</f>
        <v>60.7</v>
      </c>
      <c r="K52" s="1">
        <f ca="1">IFERROR(__xludf.DUMMYFUNCTION("""COMPUTED_VALUE"""),311)</f>
        <v>311</v>
      </c>
      <c r="L52" s="1" t="str">
        <f ca="1">IFERROR(__xludf.DUMMYFUNCTION("""COMPUTED_VALUE"""),"+.032")</f>
        <v>+.032</v>
      </c>
      <c r="M52" s="1">
        <f ca="1">IFERROR(__xludf.DUMMYFUNCTION("""COMPUTED_VALUE"""),88)</f>
        <v>88</v>
      </c>
      <c r="N52" s="1" t="str">
        <f ca="1">IFERROR(__xludf.DUMMYFUNCTION("""COMPUTED_VALUE"""),"+5.81")</f>
        <v>+5.81</v>
      </c>
      <c r="O52" s="1">
        <f ca="1">IFERROR(__xludf.DUMMYFUNCTION("""COMPUTED_VALUE"""),69)</f>
        <v>69</v>
      </c>
      <c r="P52" s="1">
        <f ca="1">IFERROR(__xludf.DUMMYFUNCTION("""COMPUTED_VALUE"""),103.6)</f>
        <v>103.6</v>
      </c>
      <c r="Q52" s="1">
        <f ca="1">IFERROR(__xludf.DUMMYFUNCTION("""COMPUTED_VALUE"""),144)</f>
        <v>144</v>
      </c>
      <c r="R52" s="1">
        <f ca="1">IFERROR(__xludf.DUMMYFUNCTION("""COMPUTED_VALUE"""),97.8)</f>
        <v>97.8</v>
      </c>
      <c r="S52" s="1">
        <f ca="1">IFERROR(__xludf.DUMMYFUNCTION("""COMPUTED_VALUE"""),7)</f>
        <v>7</v>
      </c>
      <c r="T52" s="1" t="str">
        <f ca="1">IFERROR(__xludf.DUMMYFUNCTION("""COMPUTED_VALUE"""),"+0.44")</f>
        <v>+0.44</v>
      </c>
      <c r="U52" s="1">
        <f ca="1">IFERROR(__xludf.DUMMYFUNCTION("""COMPUTED_VALUE"""),143)</f>
        <v>143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IFERROR(__xludf.DUMMYFUNCTION("""COMPUTED_VALUE"""),"Vanderbilt4")</f>
        <v>Vanderbilt4</v>
      </c>
      <c r="C53" s="1" t="str">
        <f ca="1">IFERROR(__xludf.DUMMYFUNCTION("""COMPUTED_VALUE"""),"SEC")</f>
        <v>SEC</v>
      </c>
      <c r="D53" s="1" t="str">
        <f ca="1">IFERROR(__xludf.DUMMYFUNCTION("""COMPUTED_VALUE"""),"17-13")</f>
        <v>17-13</v>
      </c>
      <c r="E53" s="1" t="str">
        <f ca="1">IFERROR(__xludf.DUMMYFUNCTION("""COMPUTED_VALUE"""),"+13.58")</f>
        <v>+13.58</v>
      </c>
      <c r="F53" s="1">
        <f ca="1">IFERROR(__xludf.DUMMYFUNCTION("""COMPUTED_VALUE"""),114.7)</f>
        <v>114.7</v>
      </c>
      <c r="G53" s="1">
        <f ca="1">IFERROR(__xludf.DUMMYFUNCTION("""COMPUTED_VALUE"""),17)</f>
        <v>17</v>
      </c>
      <c r="H53" s="1">
        <f ca="1">IFERROR(__xludf.DUMMYFUNCTION("""COMPUTED_VALUE"""),101.2)</f>
        <v>101.2</v>
      </c>
      <c r="I53" s="1">
        <f ca="1">IFERROR(__xludf.DUMMYFUNCTION("""COMPUTED_VALUE"""),131)</f>
        <v>131</v>
      </c>
      <c r="J53" s="1">
        <f ca="1">IFERROR(__xludf.DUMMYFUNCTION("""COMPUTED_VALUE"""),61.9)</f>
        <v>61.9</v>
      </c>
      <c r="K53" s="1">
        <f ca="1">IFERROR(__xludf.DUMMYFUNCTION("""COMPUTED_VALUE"""),291)</f>
        <v>291</v>
      </c>
      <c r="L53" s="1">
        <f ca="1">IFERROR(__xludf.DUMMYFUNCTION("""COMPUTED_VALUE"""),-0.03)</f>
        <v>-0.03</v>
      </c>
      <c r="M53" s="1">
        <f ca="1">IFERROR(__xludf.DUMMYFUNCTION("""COMPUTED_VALUE"""),239)</f>
        <v>239</v>
      </c>
      <c r="N53" s="1" t="str">
        <f ca="1">IFERROR(__xludf.DUMMYFUNCTION("""COMPUTED_VALUE"""),"+8.56")</f>
        <v>+8.56</v>
      </c>
      <c r="O53" s="1">
        <f ca="1">IFERROR(__xludf.DUMMYFUNCTION("""COMPUTED_VALUE"""),23)</f>
        <v>23</v>
      </c>
      <c r="P53" s="1">
        <f ca="1">IFERROR(__xludf.DUMMYFUNCTION("""COMPUTED_VALUE"""),108.1)</f>
        <v>108.1</v>
      </c>
      <c r="Q53" s="1">
        <f ca="1">IFERROR(__xludf.DUMMYFUNCTION("""COMPUTED_VALUE"""),15)</f>
        <v>15</v>
      </c>
      <c r="R53" s="1">
        <f ca="1">IFERROR(__xludf.DUMMYFUNCTION("""COMPUTED_VALUE"""),99.5)</f>
        <v>99.5</v>
      </c>
      <c r="S53" s="1">
        <f ca="1">IFERROR(__xludf.DUMMYFUNCTION("""COMPUTED_VALUE"""),53)</f>
        <v>53</v>
      </c>
      <c r="T53" s="1">
        <f ca="1">IFERROR(__xludf.DUMMYFUNCTION("""COMPUTED_VALUE"""),-2.76)</f>
        <v>-2.76</v>
      </c>
      <c r="U53" s="1">
        <f ca="1">IFERROR(__xludf.DUMMYFUNCTION("""COMPUTED_VALUE"""),226)</f>
        <v>226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IFERROR(__xludf.DUMMYFUNCTION("""COMPUTED_VALUE"""),"Syracuse5")</f>
        <v>Syracuse5</v>
      </c>
      <c r="C54" s="1" t="str">
        <f ca="1">IFERROR(__xludf.DUMMYFUNCTION("""COMPUTED_VALUE"""),"BE")</f>
        <v>BE</v>
      </c>
      <c r="D54" s="1" t="str">
        <f ca="1">IFERROR(__xludf.DUMMYFUNCTION("""COMPUTED_VALUE"""),"23-12")</f>
        <v>23-12</v>
      </c>
      <c r="E54" s="1" t="str">
        <f ca="1">IFERROR(__xludf.DUMMYFUNCTION("""COMPUTED_VALUE"""),"+13.15")</f>
        <v>+13.15</v>
      </c>
      <c r="F54" s="1">
        <f ca="1">IFERROR(__xludf.DUMMYFUNCTION("""COMPUTED_VALUE"""),110)</f>
        <v>110</v>
      </c>
      <c r="G54" s="1">
        <f ca="1">IFERROR(__xludf.DUMMYFUNCTION("""COMPUTED_VALUE"""),60)</f>
        <v>60</v>
      </c>
      <c r="H54" s="1">
        <f ca="1">IFERROR(__xludf.DUMMYFUNCTION("""COMPUTED_VALUE"""),96.8)</f>
        <v>96.8</v>
      </c>
      <c r="I54" s="1">
        <f ca="1">IFERROR(__xludf.DUMMYFUNCTION("""COMPUTED_VALUE"""),67)</f>
        <v>67</v>
      </c>
      <c r="J54" s="1">
        <f ca="1">IFERROR(__xludf.DUMMYFUNCTION("""COMPUTED_VALUE"""),68.3)</f>
        <v>68.3</v>
      </c>
      <c r="K54" s="1">
        <f ca="1">IFERROR(__xludf.DUMMYFUNCTION("""COMPUTED_VALUE"""),63)</f>
        <v>63</v>
      </c>
      <c r="L54" s="1" t="str">
        <f ca="1">IFERROR(__xludf.DUMMYFUNCTION("""COMPUTED_VALUE"""),"+.077")</f>
        <v>+.077</v>
      </c>
      <c r="M54" s="1">
        <f ca="1">IFERROR(__xludf.DUMMYFUNCTION("""COMPUTED_VALUE"""),24)</f>
        <v>24</v>
      </c>
      <c r="N54" s="1" t="str">
        <f ca="1">IFERROR(__xludf.DUMMYFUNCTION("""COMPUTED_VALUE"""),"+8.71")</f>
        <v>+8.71</v>
      </c>
      <c r="O54" s="1">
        <f ca="1">IFERROR(__xludf.DUMMYFUNCTION("""COMPUTED_VALUE"""),22)</f>
        <v>22</v>
      </c>
      <c r="P54" s="1">
        <f ca="1">IFERROR(__xludf.DUMMYFUNCTION("""COMPUTED_VALUE"""),107.5)</f>
        <v>107.5</v>
      </c>
      <c r="Q54" s="1">
        <f ca="1">IFERROR(__xludf.DUMMYFUNCTION("""COMPUTED_VALUE"""),28)</f>
        <v>28</v>
      </c>
      <c r="R54" s="1">
        <f ca="1">IFERROR(__xludf.DUMMYFUNCTION("""COMPUTED_VALUE"""),98.8)</f>
        <v>98.8</v>
      </c>
      <c r="S54" s="1">
        <f ca="1">IFERROR(__xludf.DUMMYFUNCTION("""COMPUTED_VALUE"""),29)</f>
        <v>29</v>
      </c>
      <c r="T54" s="1">
        <f ca="1">IFERROR(__xludf.DUMMYFUNCTION("""COMPUTED_VALUE"""),-3.79)</f>
        <v>-3.79</v>
      </c>
      <c r="U54" s="1">
        <f ca="1">IFERROR(__xludf.DUMMYFUNCTION("""COMPUTED_VALUE"""),251)</f>
        <v>251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IFERROR(__xludf.DUMMYFUNCTION("""COMPUTED_VALUE"""),"Creighton2")</f>
        <v>Creighton2</v>
      </c>
      <c r="C55" s="1" t="str">
        <f ca="1">IFERROR(__xludf.DUMMYFUNCTION("""COMPUTED_VALUE"""),"MVC")</f>
        <v>MVC</v>
      </c>
      <c r="D55" s="1" t="str">
        <f ca="1">IFERROR(__xludf.DUMMYFUNCTION("""COMPUTED_VALUE"""),"20-10")</f>
        <v>20-10</v>
      </c>
      <c r="E55" s="1" t="str">
        <f ca="1">IFERROR(__xludf.DUMMYFUNCTION("""COMPUTED_VALUE"""),"+13.11")</f>
        <v>+13.11</v>
      </c>
      <c r="F55" s="1">
        <f ca="1">IFERROR(__xludf.DUMMYFUNCTION("""COMPUTED_VALUE"""),107.2)</f>
        <v>107.2</v>
      </c>
      <c r="G55" s="1">
        <f ca="1">IFERROR(__xludf.DUMMYFUNCTION("""COMPUTED_VALUE"""),91)</f>
        <v>91</v>
      </c>
      <c r="H55" s="1">
        <f ca="1">IFERROR(__xludf.DUMMYFUNCTION("""COMPUTED_VALUE"""),94.1)</f>
        <v>94.1</v>
      </c>
      <c r="I55" s="1">
        <f ca="1">IFERROR(__xludf.DUMMYFUNCTION("""COMPUTED_VALUE"""),30)</f>
        <v>30</v>
      </c>
      <c r="J55" s="1">
        <f ca="1">IFERROR(__xludf.DUMMYFUNCTION("""COMPUTED_VALUE"""),62.7)</f>
        <v>62.7</v>
      </c>
      <c r="K55" s="1">
        <f ca="1">IFERROR(__xludf.DUMMYFUNCTION("""COMPUTED_VALUE"""),264)</f>
        <v>264</v>
      </c>
      <c r="L55" s="1" t="str">
        <f ca="1">IFERROR(__xludf.DUMMYFUNCTION("""COMPUTED_VALUE"""),"+.000")</f>
        <v>+.000</v>
      </c>
      <c r="M55" s="1">
        <f ca="1">IFERROR(__xludf.DUMMYFUNCTION("""COMPUTED_VALUE"""),168)</f>
        <v>168</v>
      </c>
      <c r="N55" s="1" t="str">
        <f ca="1">IFERROR(__xludf.DUMMYFUNCTION("""COMPUTED_VALUE"""),"+5.24")</f>
        <v>+5.24</v>
      </c>
      <c r="O55" s="1">
        <f ca="1">IFERROR(__xludf.DUMMYFUNCTION("""COMPUTED_VALUE"""),77)</f>
        <v>77</v>
      </c>
      <c r="P55" s="1">
        <f ca="1">IFERROR(__xludf.DUMMYFUNCTION("""COMPUTED_VALUE"""),103.7)</f>
        <v>103.7</v>
      </c>
      <c r="Q55" s="1">
        <f ca="1">IFERROR(__xludf.DUMMYFUNCTION("""COMPUTED_VALUE"""),139)</f>
        <v>139</v>
      </c>
      <c r="R55" s="1">
        <f ca="1">IFERROR(__xludf.DUMMYFUNCTION("""COMPUTED_VALUE"""),98.5)</f>
        <v>98.5</v>
      </c>
      <c r="S55" s="1">
        <f ca="1">IFERROR(__xludf.DUMMYFUNCTION("""COMPUTED_VALUE"""),18)</f>
        <v>18</v>
      </c>
      <c r="T55" s="1">
        <f ca="1">IFERROR(__xludf.DUMMYFUNCTION("""COMPUTED_VALUE"""),-1.08)</f>
        <v>-1.08</v>
      </c>
      <c r="U55" s="1">
        <f ca="1">IFERROR(__xludf.DUMMYFUNCTION("""COMPUTED_VALUE"""),181)</f>
        <v>181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IFERROR(__xludf.DUMMYFUNCTION("""COMPUTED_VALUE"""),"San Diego St.11")</f>
        <v>San Diego St.11</v>
      </c>
      <c r="C56" s="1" t="str">
        <f ca="1">IFERROR(__xludf.DUMMYFUNCTION("""COMPUTED_VALUE"""),"MWC")</f>
        <v>MWC</v>
      </c>
      <c r="D56" s="1" t="str">
        <f ca="1">IFERROR(__xludf.DUMMYFUNCTION("""COMPUTED_VALUE"""),"24-9")</f>
        <v>24-9</v>
      </c>
      <c r="E56" s="1" t="str">
        <f ca="1">IFERROR(__xludf.DUMMYFUNCTION("""COMPUTED_VALUE"""),"+12.78")</f>
        <v>+12.78</v>
      </c>
      <c r="F56" s="1">
        <f ca="1">IFERROR(__xludf.DUMMYFUNCTION("""COMPUTED_VALUE"""),112.8)</f>
        <v>112.8</v>
      </c>
      <c r="G56" s="1">
        <f ca="1">IFERROR(__xludf.DUMMYFUNCTION("""COMPUTED_VALUE"""),29)</f>
        <v>29</v>
      </c>
      <c r="H56" s="1">
        <f ca="1">IFERROR(__xludf.DUMMYFUNCTION("""COMPUTED_VALUE"""),100)</f>
        <v>100</v>
      </c>
      <c r="I56" s="1">
        <f ca="1">IFERROR(__xludf.DUMMYFUNCTION("""COMPUTED_VALUE"""),114)</f>
        <v>114</v>
      </c>
      <c r="J56" s="1">
        <f ca="1">IFERROR(__xludf.DUMMYFUNCTION("""COMPUTED_VALUE"""),66.1)</f>
        <v>66.099999999999994</v>
      </c>
      <c r="K56" s="1">
        <f ca="1">IFERROR(__xludf.DUMMYFUNCTION("""COMPUTED_VALUE"""),130)</f>
        <v>130</v>
      </c>
      <c r="L56" s="1">
        <f ca="1">IFERROR(__xludf.DUMMYFUNCTION("""COMPUTED_VALUE"""),-0.001)</f>
        <v>-1E-3</v>
      </c>
      <c r="M56" s="1">
        <f ca="1">IFERROR(__xludf.DUMMYFUNCTION("""COMPUTED_VALUE"""),170)</f>
        <v>170</v>
      </c>
      <c r="N56" s="1" t="str">
        <f ca="1">IFERROR(__xludf.DUMMYFUNCTION("""COMPUTED_VALUE"""),"+2.27")</f>
        <v>+2.27</v>
      </c>
      <c r="O56" s="1">
        <f ca="1">IFERROR(__xludf.DUMMYFUNCTION("""COMPUTED_VALUE"""),109)</f>
        <v>109</v>
      </c>
      <c r="P56" s="1">
        <f ca="1">IFERROR(__xludf.DUMMYFUNCTION("""COMPUTED_VALUE"""),103.7)</f>
        <v>103.7</v>
      </c>
      <c r="Q56" s="1">
        <f ca="1">IFERROR(__xludf.DUMMYFUNCTION("""COMPUTED_VALUE"""),136)</f>
        <v>136</v>
      </c>
      <c r="R56" s="1">
        <f ca="1">IFERROR(__xludf.DUMMYFUNCTION("""COMPUTED_VALUE"""),101.5)</f>
        <v>101.5</v>
      </c>
      <c r="S56" s="1">
        <f ca="1">IFERROR(__xludf.DUMMYFUNCTION("""COMPUTED_VALUE"""),112)</f>
        <v>112</v>
      </c>
      <c r="T56" s="1">
        <f ca="1">IFERROR(__xludf.DUMMYFUNCTION("""COMPUTED_VALUE"""),-2.2)</f>
        <v>-2.2000000000000002</v>
      </c>
      <c r="U56" s="1">
        <f ca="1">IFERROR(__xludf.DUMMYFUNCTION("""COMPUTED_VALUE"""),216)</f>
        <v>216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IFERROR(__xludf.DUMMYFUNCTION("""COMPUTED_VALUE"""),"Oklahoma St.6")</f>
        <v>Oklahoma St.6</v>
      </c>
      <c r="C57" s="1" t="str">
        <f ca="1">IFERROR(__xludf.DUMMYFUNCTION("""COMPUTED_VALUE"""),"B12")</f>
        <v>B12</v>
      </c>
      <c r="D57" s="1" t="str">
        <f ca="1">IFERROR(__xludf.DUMMYFUNCTION("""COMPUTED_VALUE"""),"17-16")</f>
        <v>17-16</v>
      </c>
      <c r="E57" s="1" t="str">
        <f ca="1">IFERROR(__xludf.DUMMYFUNCTION("""COMPUTED_VALUE"""),"+12.76")</f>
        <v>+12.76</v>
      </c>
      <c r="F57" s="1">
        <f ca="1">IFERROR(__xludf.DUMMYFUNCTION("""COMPUTED_VALUE"""),107.9)</f>
        <v>107.9</v>
      </c>
      <c r="G57" s="1">
        <f ca="1">IFERROR(__xludf.DUMMYFUNCTION("""COMPUTED_VALUE"""),80)</f>
        <v>80</v>
      </c>
      <c r="H57" s="1">
        <f ca="1">IFERROR(__xludf.DUMMYFUNCTION("""COMPUTED_VALUE"""),95.2)</f>
        <v>95.2</v>
      </c>
      <c r="I57" s="1">
        <f ca="1">IFERROR(__xludf.DUMMYFUNCTION("""COMPUTED_VALUE"""),45)</f>
        <v>45</v>
      </c>
      <c r="J57" s="1">
        <f ca="1">IFERROR(__xludf.DUMMYFUNCTION("""COMPUTED_VALUE"""),64.7)</f>
        <v>64.7</v>
      </c>
      <c r="K57" s="1">
        <f ca="1">IFERROR(__xludf.DUMMYFUNCTION("""COMPUTED_VALUE"""),193)</f>
        <v>193</v>
      </c>
      <c r="L57" s="1">
        <f ca="1">IFERROR(__xludf.DUMMYFUNCTION("""COMPUTED_VALUE"""),-0.096)</f>
        <v>-9.6000000000000002E-2</v>
      </c>
      <c r="M57" s="1">
        <f ca="1">IFERROR(__xludf.DUMMYFUNCTION("""COMPUTED_VALUE"""),319)</f>
        <v>319</v>
      </c>
      <c r="N57" s="1" t="str">
        <f ca="1">IFERROR(__xludf.DUMMYFUNCTION("""COMPUTED_VALUE"""),"+6.50")</f>
        <v>+6.50</v>
      </c>
      <c r="O57" s="1">
        <f ca="1">IFERROR(__xludf.DUMMYFUNCTION("""COMPUTED_VALUE"""),55)</f>
        <v>55</v>
      </c>
      <c r="P57" s="1">
        <f ca="1">IFERROR(__xludf.DUMMYFUNCTION("""COMPUTED_VALUE"""),106.6)</f>
        <v>106.6</v>
      </c>
      <c r="Q57" s="1">
        <f ca="1">IFERROR(__xludf.DUMMYFUNCTION("""COMPUTED_VALUE"""),45)</f>
        <v>45</v>
      </c>
      <c r="R57" s="1">
        <f ca="1">IFERROR(__xludf.DUMMYFUNCTION("""COMPUTED_VALUE"""),100.1)</f>
        <v>100.1</v>
      </c>
      <c r="S57" s="1">
        <f ca="1">IFERROR(__xludf.DUMMYFUNCTION("""COMPUTED_VALUE"""),70)</f>
        <v>70</v>
      </c>
      <c r="T57" s="1">
        <f ca="1">IFERROR(__xludf.DUMMYFUNCTION("""COMPUTED_VALUE"""),-1.32)</f>
        <v>-1.32</v>
      </c>
      <c r="U57" s="1">
        <f ca="1">IFERROR(__xludf.DUMMYFUNCTION("""COMPUTED_VALUE"""),192)</f>
        <v>192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IFERROR(__xludf.DUMMYFUNCTION("""COMPUTED_VALUE"""),"Xavier14")</f>
        <v>Xavier14</v>
      </c>
      <c r="C58" s="1" t="str">
        <f ca="1">IFERROR(__xludf.DUMMYFUNCTION("""COMPUTED_VALUE"""),"A10")</f>
        <v>A10</v>
      </c>
      <c r="D58" s="1" t="str">
        <f ca="1">IFERROR(__xludf.DUMMYFUNCTION("""COMPUTED_VALUE"""),"21-11")</f>
        <v>21-11</v>
      </c>
      <c r="E58" s="1" t="str">
        <f ca="1">IFERROR(__xludf.DUMMYFUNCTION("""COMPUTED_VALUE"""),"+12.73")</f>
        <v>+12.73</v>
      </c>
      <c r="F58" s="1">
        <f ca="1">IFERROR(__xludf.DUMMYFUNCTION("""COMPUTED_VALUE"""),110.9)</f>
        <v>110.9</v>
      </c>
      <c r="G58" s="1">
        <f ca="1">IFERROR(__xludf.DUMMYFUNCTION("""COMPUTED_VALUE"""),48)</f>
        <v>48</v>
      </c>
      <c r="H58" s="1">
        <f ca="1">IFERROR(__xludf.DUMMYFUNCTION("""COMPUTED_VALUE"""),98.2)</f>
        <v>98.2</v>
      </c>
      <c r="I58" s="1">
        <f ca="1">IFERROR(__xludf.DUMMYFUNCTION("""COMPUTED_VALUE"""),86)</f>
        <v>86</v>
      </c>
      <c r="J58" s="1">
        <f ca="1">IFERROR(__xludf.DUMMYFUNCTION("""COMPUTED_VALUE"""),65.3)</f>
        <v>65.3</v>
      </c>
      <c r="K58" s="1">
        <f ca="1">IFERROR(__xludf.DUMMYFUNCTION("""COMPUTED_VALUE"""),163)</f>
        <v>163</v>
      </c>
      <c r="L58" s="1">
        <f ca="1">IFERROR(__xludf.DUMMYFUNCTION("""COMPUTED_VALUE"""),-0.065)</f>
        <v>-6.5000000000000002E-2</v>
      </c>
      <c r="M58" s="1">
        <f ca="1">IFERROR(__xludf.DUMMYFUNCTION("""COMPUTED_VALUE"""),298)</f>
        <v>298</v>
      </c>
      <c r="N58" s="1" t="str">
        <f ca="1">IFERROR(__xludf.DUMMYFUNCTION("""COMPUTED_VALUE"""),"+1.91")</f>
        <v>+1.91</v>
      </c>
      <c r="O58" s="1">
        <f ca="1">IFERROR(__xludf.DUMMYFUNCTION("""COMPUTED_VALUE"""),117)</f>
        <v>117</v>
      </c>
      <c r="P58" s="1">
        <f ca="1">IFERROR(__xludf.DUMMYFUNCTION("""COMPUTED_VALUE"""),103.6)</f>
        <v>103.6</v>
      </c>
      <c r="Q58" s="1">
        <f ca="1">IFERROR(__xludf.DUMMYFUNCTION("""COMPUTED_VALUE"""),148)</f>
        <v>148</v>
      </c>
      <c r="R58" s="1">
        <f ca="1">IFERROR(__xludf.DUMMYFUNCTION("""COMPUTED_VALUE"""),101.6)</f>
        <v>101.6</v>
      </c>
      <c r="S58" s="1">
        <f ca="1">IFERROR(__xludf.DUMMYFUNCTION("""COMPUTED_VALUE"""),117)</f>
        <v>117</v>
      </c>
      <c r="T58" s="1">
        <f ca="1">IFERROR(__xludf.DUMMYFUNCTION("""COMPUTED_VALUE"""),-3.38)</f>
        <v>-3.38</v>
      </c>
      <c r="U58" s="1">
        <f ca="1">IFERROR(__xludf.DUMMYFUNCTION("""COMPUTED_VALUE"""),244)</f>
        <v>244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IFERROR(__xludf.DUMMYFUNCTION("""COMPUTED_VALUE"""),"Miami FL3")</f>
        <v>Miami FL3</v>
      </c>
      <c r="C59" s="1" t="str">
        <f ca="1">IFERROR(__xludf.DUMMYFUNCTION("""COMPUTED_VALUE"""),"ACC")</f>
        <v>ACC</v>
      </c>
      <c r="D59" s="1" t="str">
        <f ca="1">IFERROR(__xludf.DUMMYFUNCTION("""COMPUTED_VALUE"""),"18-16")</f>
        <v>18-16</v>
      </c>
      <c r="E59" s="1" t="str">
        <f ca="1">IFERROR(__xludf.DUMMYFUNCTION("""COMPUTED_VALUE"""),"+12.71")</f>
        <v>+12.71</v>
      </c>
      <c r="F59" s="1">
        <f ca="1">IFERROR(__xludf.DUMMYFUNCTION("""COMPUTED_VALUE"""),111.2)</f>
        <v>111.2</v>
      </c>
      <c r="G59" s="1">
        <f ca="1">IFERROR(__xludf.DUMMYFUNCTION("""COMPUTED_VALUE"""),43)</f>
        <v>43</v>
      </c>
      <c r="H59" s="1">
        <f ca="1">IFERROR(__xludf.DUMMYFUNCTION("""COMPUTED_VALUE"""),98.5)</f>
        <v>98.5</v>
      </c>
      <c r="I59" s="1">
        <f ca="1">IFERROR(__xludf.DUMMYFUNCTION("""COMPUTED_VALUE"""),91)</f>
        <v>91</v>
      </c>
      <c r="J59" s="1">
        <f ca="1">IFERROR(__xludf.DUMMYFUNCTION("""COMPUTED_VALUE"""),61)</f>
        <v>61</v>
      </c>
      <c r="K59" s="1">
        <f ca="1">IFERROR(__xludf.DUMMYFUNCTION("""COMPUTED_VALUE"""),305)</f>
        <v>305</v>
      </c>
      <c r="L59" s="1">
        <f ca="1">IFERROR(__xludf.DUMMYFUNCTION("""COMPUTED_VALUE"""),-0.039)</f>
        <v>-3.9E-2</v>
      </c>
      <c r="M59" s="1">
        <f ca="1">IFERROR(__xludf.DUMMYFUNCTION("""COMPUTED_VALUE"""),260)</f>
        <v>260</v>
      </c>
      <c r="N59" s="1" t="str">
        <f ca="1">IFERROR(__xludf.DUMMYFUNCTION("""COMPUTED_VALUE"""),"+9.46")</f>
        <v>+9.46</v>
      </c>
      <c r="O59" s="1">
        <f ca="1">IFERROR(__xludf.DUMMYFUNCTION("""COMPUTED_VALUE"""),12)</f>
        <v>12</v>
      </c>
      <c r="P59" s="1">
        <f ca="1">IFERROR(__xludf.DUMMYFUNCTION("""COMPUTED_VALUE"""),108)</f>
        <v>108</v>
      </c>
      <c r="Q59" s="1">
        <f ca="1">IFERROR(__xludf.DUMMYFUNCTION("""COMPUTED_VALUE"""),17)</f>
        <v>17</v>
      </c>
      <c r="R59" s="1">
        <f ca="1">IFERROR(__xludf.DUMMYFUNCTION("""COMPUTED_VALUE"""),98.5)</f>
        <v>98.5</v>
      </c>
      <c r="S59" s="1">
        <f ca="1">IFERROR(__xludf.DUMMYFUNCTION("""COMPUTED_VALUE"""),21)</f>
        <v>21</v>
      </c>
      <c r="T59" s="1">
        <f ca="1">IFERROR(__xludf.DUMMYFUNCTION("""COMPUTED_VALUE"""),-3.68)</f>
        <v>-3.68</v>
      </c>
      <c r="U59" s="1">
        <f ca="1">IFERROR(__xludf.DUMMYFUNCTION("""COMPUTED_VALUE"""),249)</f>
        <v>249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IFERROR(__xludf.DUMMYFUNCTION("""COMPUTED_VALUE"""),"UAB9")</f>
        <v>UAB9</v>
      </c>
      <c r="C60" s="1" t="str">
        <f ca="1">IFERROR(__xludf.DUMMYFUNCTION("""COMPUTED_VALUE"""),"CUSA")</f>
        <v>CUSA</v>
      </c>
      <c r="D60" s="1" t="str">
        <f ca="1">IFERROR(__xludf.DUMMYFUNCTION("""COMPUTED_VALUE"""),"24-7")</f>
        <v>24-7</v>
      </c>
      <c r="E60" s="1" t="str">
        <f ca="1">IFERROR(__xludf.DUMMYFUNCTION("""COMPUTED_VALUE"""),"+12.65")</f>
        <v>+12.65</v>
      </c>
      <c r="F60" s="1">
        <f ca="1">IFERROR(__xludf.DUMMYFUNCTION("""COMPUTED_VALUE"""),109.1)</f>
        <v>109.1</v>
      </c>
      <c r="G60" s="1">
        <f ca="1">IFERROR(__xludf.DUMMYFUNCTION("""COMPUTED_VALUE"""),71)</f>
        <v>71</v>
      </c>
      <c r="H60" s="1">
        <f ca="1">IFERROR(__xludf.DUMMYFUNCTION("""COMPUTED_VALUE"""),96.5)</f>
        <v>96.5</v>
      </c>
      <c r="I60" s="1">
        <f ca="1">IFERROR(__xludf.DUMMYFUNCTION("""COMPUTED_VALUE"""),59)</f>
        <v>59</v>
      </c>
      <c r="J60" s="1">
        <f ca="1">IFERROR(__xludf.DUMMYFUNCTION("""COMPUTED_VALUE"""),68.5)</f>
        <v>68.5</v>
      </c>
      <c r="K60" s="1">
        <f ca="1">IFERROR(__xludf.DUMMYFUNCTION("""COMPUTED_VALUE"""),53)</f>
        <v>53</v>
      </c>
      <c r="L60" s="1" t="str">
        <f ca="1">IFERROR(__xludf.DUMMYFUNCTION("""COMPUTED_VALUE"""),"+.058")</f>
        <v>+.058</v>
      </c>
      <c r="M60" s="1">
        <f ca="1">IFERROR(__xludf.DUMMYFUNCTION("""COMPUTED_VALUE"""),45)</f>
        <v>45</v>
      </c>
      <c r="N60" s="1" t="str">
        <f ca="1">IFERROR(__xludf.DUMMYFUNCTION("""COMPUTED_VALUE"""),"+1.51")</f>
        <v>+1.51</v>
      </c>
      <c r="O60" s="1">
        <f ca="1">IFERROR(__xludf.DUMMYFUNCTION("""COMPUTED_VALUE"""),129)</f>
        <v>129</v>
      </c>
      <c r="P60" s="1">
        <f ca="1">IFERROR(__xludf.DUMMYFUNCTION("""COMPUTED_VALUE"""),101.8)</f>
        <v>101.8</v>
      </c>
      <c r="Q60" s="1">
        <f ca="1">IFERROR(__xludf.DUMMYFUNCTION("""COMPUTED_VALUE"""),215)</f>
        <v>215</v>
      </c>
      <c r="R60" s="1">
        <f ca="1">IFERROR(__xludf.DUMMYFUNCTION("""COMPUTED_VALUE"""),100.3)</f>
        <v>100.3</v>
      </c>
      <c r="S60" s="1">
        <f ca="1">IFERROR(__xludf.DUMMYFUNCTION("""COMPUTED_VALUE"""),77)</f>
        <v>77</v>
      </c>
      <c r="T60" s="1" t="str">
        <f ca="1">IFERROR(__xludf.DUMMYFUNCTION("""COMPUTED_VALUE"""),"+0.98")</f>
        <v>+0.98</v>
      </c>
      <c r="U60" s="1">
        <f ca="1">IFERROR(__xludf.DUMMYFUNCTION("""COMPUTED_VALUE"""),127)</f>
        <v>127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IFERROR(__xludf.DUMMYFUNCTION("""COMPUTED_VALUE"""),"Maryland1")</f>
        <v>Maryland1</v>
      </c>
      <c r="C61" s="1" t="str">
        <f ca="1">IFERROR(__xludf.DUMMYFUNCTION("""COMPUTED_VALUE"""),"ACC")</f>
        <v>ACC</v>
      </c>
      <c r="D61" s="1" t="str">
        <f ca="1">IFERROR(__xludf.DUMMYFUNCTION("""COMPUTED_VALUE"""),"19-13")</f>
        <v>19-13</v>
      </c>
      <c r="E61" s="1" t="str">
        <f ca="1">IFERROR(__xludf.DUMMYFUNCTION("""COMPUTED_VALUE"""),"+12.63")</f>
        <v>+12.63</v>
      </c>
      <c r="F61" s="1">
        <f ca="1">IFERROR(__xludf.DUMMYFUNCTION("""COMPUTED_VALUE"""),107.6)</f>
        <v>107.6</v>
      </c>
      <c r="G61" s="1">
        <f ca="1">IFERROR(__xludf.DUMMYFUNCTION("""COMPUTED_VALUE"""),85)</f>
        <v>85</v>
      </c>
      <c r="H61" s="1">
        <f ca="1">IFERROR(__xludf.DUMMYFUNCTION("""COMPUTED_VALUE"""),95)</f>
        <v>95</v>
      </c>
      <c r="I61" s="1">
        <f ca="1">IFERROR(__xludf.DUMMYFUNCTION("""COMPUTED_VALUE"""),41)</f>
        <v>41</v>
      </c>
      <c r="J61" s="1">
        <f ca="1">IFERROR(__xludf.DUMMYFUNCTION("""COMPUTED_VALUE"""),72.4)</f>
        <v>72.400000000000006</v>
      </c>
      <c r="K61" s="1">
        <f ca="1">IFERROR(__xludf.DUMMYFUNCTION("""COMPUTED_VALUE"""),5)</f>
        <v>5</v>
      </c>
      <c r="L61" s="1">
        <f ca="1">IFERROR(__xludf.DUMMYFUNCTION("""COMPUTED_VALUE"""),-0.022)</f>
        <v>-2.1999999999999999E-2</v>
      </c>
      <c r="M61" s="1">
        <f ca="1">IFERROR(__xludf.DUMMYFUNCTION("""COMPUTED_VALUE"""),217)</f>
        <v>217</v>
      </c>
      <c r="N61" s="1" t="str">
        <f ca="1">IFERROR(__xludf.DUMMYFUNCTION("""COMPUTED_VALUE"""),"+8.02")</f>
        <v>+8.02</v>
      </c>
      <c r="O61" s="1">
        <f ca="1">IFERROR(__xludf.DUMMYFUNCTION("""COMPUTED_VALUE"""),30)</f>
        <v>30</v>
      </c>
      <c r="P61" s="1">
        <f ca="1">IFERROR(__xludf.DUMMYFUNCTION("""COMPUTED_VALUE"""),107.8)</f>
        <v>107.8</v>
      </c>
      <c r="Q61" s="1">
        <f ca="1">IFERROR(__xludf.DUMMYFUNCTION("""COMPUTED_VALUE"""),22)</f>
        <v>22</v>
      </c>
      <c r="R61" s="1">
        <f ca="1">IFERROR(__xludf.DUMMYFUNCTION("""COMPUTED_VALUE"""),99.8)</f>
        <v>99.8</v>
      </c>
      <c r="S61" s="1">
        <f ca="1">IFERROR(__xludf.DUMMYFUNCTION("""COMPUTED_VALUE"""),62)</f>
        <v>62</v>
      </c>
      <c r="T61" s="1">
        <f ca="1">IFERROR(__xludf.DUMMYFUNCTION("""COMPUTED_VALUE"""),-2.26)</f>
        <v>-2.2599999999999998</v>
      </c>
      <c r="U61" s="1">
        <f ca="1">IFERROR(__xludf.DUMMYFUNCTION("""COMPUTED_VALUE"""),219)</f>
        <v>219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IFERROR(__xludf.DUMMYFUNCTION("""COMPUTED_VALUE"""),"Bucknell9")</f>
        <v>Bucknell9</v>
      </c>
      <c r="C62" s="1" t="str">
        <f ca="1">IFERROR(__xludf.DUMMYFUNCTION("""COMPUTED_VALUE"""),"Pat")</f>
        <v>Pat</v>
      </c>
      <c r="D62" s="1" t="str">
        <f ca="1">IFERROR(__xludf.DUMMYFUNCTION("""COMPUTED_VALUE"""),"27-5")</f>
        <v>27-5</v>
      </c>
      <c r="E62" s="1" t="str">
        <f ca="1">IFERROR(__xludf.DUMMYFUNCTION("""COMPUTED_VALUE"""),"+12.56")</f>
        <v>+12.56</v>
      </c>
      <c r="F62" s="1">
        <f ca="1">IFERROR(__xludf.DUMMYFUNCTION("""COMPUTED_VALUE"""),105.7)</f>
        <v>105.7</v>
      </c>
      <c r="G62" s="1">
        <f ca="1">IFERROR(__xludf.DUMMYFUNCTION("""COMPUTED_VALUE"""),119)</f>
        <v>119</v>
      </c>
      <c r="H62" s="1">
        <f ca="1">IFERROR(__xludf.DUMMYFUNCTION("""COMPUTED_VALUE"""),93.1)</f>
        <v>93.1</v>
      </c>
      <c r="I62" s="1">
        <f ca="1">IFERROR(__xludf.DUMMYFUNCTION("""COMPUTED_VALUE"""),22)</f>
        <v>22</v>
      </c>
      <c r="J62" s="1">
        <f ca="1">IFERROR(__xludf.DUMMYFUNCTION("""COMPUTED_VALUE"""),61.8)</f>
        <v>61.8</v>
      </c>
      <c r="K62" s="1">
        <f ca="1">IFERROR(__xludf.DUMMYFUNCTION("""COMPUTED_VALUE"""),294)</f>
        <v>294</v>
      </c>
      <c r="L62" s="1" t="str">
        <f ca="1">IFERROR(__xludf.DUMMYFUNCTION("""COMPUTED_VALUE"""),"+.092")</f>
        <v>+.092</v>
      </c>
      <c r="M62" s="1">
        <f ca="1">IFERROR(__xludf.DUMMYFUNCTION("""COMPUTED_VALUE"""),13)</f>
        <v>13</v>
      </c>
      <c r="N62" s="1">
        <f ca="1">IFERROR(__xludf.DUMMYFUNCTION("""COMPUTED_VALUE"""),-3.17)</f>
        <v>-3.17</v>
      </c>
      <c r="O62" s="1">
        <f ca="1">IFERROR(__xludf.DUMMYFUNCTION("""COMPUTED_VALUE"""),214)</f>
        <v>214</v>
      </c>
      <c r="P62" s="1">
        <f ca="1">IFERROR(__xludf.DUMMYFUNCTION("""COMPUTED_VALUE"""),100.2)</f>
        <v>100.2</v>
      </c>
      <c r="Q62" s="1">
        <f ca="1">IFERROR(__xludf.DUMMYFUNCTION("""COMPUTED_VALUE"""),265)</f>
        <v>265</v>
      </c>
      <c r="R62" s="1">
        <f ca="1">IFERROR(__xludf.DUMMYFUNCTION("""COMPUTED_VALUE"""),103.4)</f>
        <v>103.4</v>
      </c>
      <c r="S62" s="1">
        <f ca="1">IFERROR(__xludf.DUMMYFUNCTION("""COMPUTED_VALUE"""),167)</f>
        <v>167</v>
      </c>
      <c r="T62" s="1" t="str">
        <f ca="1">IFERROR(__xludf.DUMMYFUNCTION("""COMPUTED_VALUE"""),"+7.18")</f>
        <v>+7.18</v>
      </c>
      <c r="U62" s="1">
        <f ca="1">IFERROR(__xludf.DUMMYFUNCTION("""COMPUTED_VALUE"""),32)</f>
        <v>32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IFERROR(__xludf.DUMMYFUNCTION("""COMPUTED_VALUE"""),"Clemson4")</f>
        <v>Clemson4</v>
      </c>
      <c r="C63" s="1" t="str">
        <f ca="1">IFERROR(__xludf.DUMMYFUNCTION("""COMPUTED_VALUE"""),"ACC")</f>
        <v>ACC</v>
      </c>
      <c r="D63" s="1" t="str">
        <f ca="1">IFERROR(__xludf.DUMMYFUNCTION("""COMPUTED_VALUE"""),"19-13")</f>
        <v>19-13</v>
      </c>
      <c r="E63" s="1" t="str">
        <f ca="1">IFERROR(__xludf.DUMMYFUNCTION("""COMPUTED_VALUE"""),"+12.51")</f>
        <v>+12.51</v>
      </c>
      <c r="F63" s="1">
        <f ca="1">IFERROR(__xludf.DUMMYFUNCTION("""COMPUTED_VALUE"""),105.9)</f>
        <v>105.9</v>
      </c>
      <c r="G63" s="1">
        <f ca="1">IFERROR(__xludf.DUMMYFUNCTION("""COMPUTED_VALUE"""),116)</f>
        <v>116</v>
      </c>
      <c r="H63" s="1">
        <f ca="1">IFERROR(__xludf.DUMMYFUNCTION("""COMPUTED_VALUE"""),93.4)</f>
        <v>93.4</v>
      </c>
      <c r="I63" s="1">
        <f ca="1">IFERROR(__xludf.DUMMYFUNCTION("""COMPUTED_VALUE"""),25)</f>
        <v>25</v>
      </c>
      <c r="J63" s="1">
        <f ca="1">IFERROR(__xludf.DUMMYFUNCTION("""COMPUTED_VALUE"""),68.6)</f>
        <v>68.599999999999994</v>
      </c>
      <c r="K63" s="1">
        <f ca="1">IFERROR(__xludf.DUMMYFUNCTION("""COMPUTED_VALUE"""),52)</f>
        <v>52</v>
      </c>
      <c r="L63" s="1">
        <f ca="1">IFERROR(__xludf.DUMMYFUNCTION("""COMPUTED_VALUE"""),-0.049)</f>
        <v>-4.9000000000000002E-2</v>
      </c>
      <c r="M63" s="1">
        <f ca="1">IFERROR(__xludf.DUMMYFUNCTION("""COMPUTED_VALUE"""),281)</f>
        <v>281</v>
      </c>
      <c r="N63" s="1" t="str">
        <f ca="1">IFERROR(__xludf.DUMMYFUNCTION("""COMPUTED_VALUE"""),"+6.35")</f>
        <v>+6.35</v>
      </c>
      <c r="O63" s="1">
        <f ca="1">IFERROR(__xludf.DUMMYFUNCTION("""COMPUTED_VALUE"""),57)</f>
        <v>57</v>
      </c>
      <c r="P63" s="1">
        <f ca="1">IFERROR(__xludf.DUMMYFUNCTION("""COMPUTED_VALUE"""),106.2)</f>
        <v>106.2</v>
      </c>
      <c r="Q63" s="1">
        <f ca="1">IFERROR(__xludf.DUMMYFUNCTION("""COMPUTED_VALUE"""),52)</f>
        <v>52</v>
      </c>
      <c r="R63" s="1">
        <f ca="1">IFERROR(__xludf.DUMMYFUNCTION("""COMPUTED_VALUE"""),99.8)</f>
        <v>99.8</v>
      </c>
      <c r="S63" s="1">
        <f ca="1">IFERROR(__xludf.DUMMYFUNCTION("""COMPUTED_VALUE"""),63)</f>
        <v>63</v>
      </c>
      <c r="T63" s="1">
        <f ca="1">IFERROR(__xludf.DUMMYFUNCTION("""COMPUTED_VALUE"""),-4.81)</f>
        <v>-4.8099999999999996</v>
      </c>
      <c r="U63" s="1">
        <f ca="1">IFERROR(__xludf.DUMMYFUNCTION("""COMPUTED_VALUE"""),275)</f>
        <v>275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IFERROR(__xludf.DUMMYFUNCTION("""COMPUTED_VALUE"""),"Alabama10")</f>
        <v>Alabama10</v>
      </c>
      <c r="C64" s="1" t="str">
        <f ca="1">IFERROR(__xludf.DUMMYFUNCTION("""COMPUTED_VALUE"""),"SEC")</f>
        <v>SEC</v>
      </c>
      <c r="D64" s="1" t="str">
        <f ca="1">IFERROR(__xludf.DUMMYFUNCTION("""COMPUTED_VALUE"""),"18-13")</f>
        <v>18-13</v>
      </c>
      <c r="E64" s="1" t="str">
        <f ca="1">IFERROR(__xludf.DUMMYFUNCTION("""COMPUTED_VALUE"""),"+12.48")</f>
        <v>+12.48</v>
      </c>
      <c r="F64" s="1">
        <f ca="1">IFERROR(__xludf.DUMMYFUNCTION("""COMPUTED_VALUE"""),112.8)</f>
        <v>112.8</v>
      </c>
      <c r="G64" s="1">
        <f ca="1">IFERROR(__xludf.DUMMYFUNCTION("""COMPUTED_VALUE"""),28)</f>
        <v>28</v>
      </c>
      <c r="H64" s="1">
        <f ca="1">IFERROR(__xludf.DUMMYFUNCTION("""COMPUTED_VALUE"""),100.3)</f>
        <v>100.3</v>
      </c>
      <c r="I64" s="1">
        <f ca="1">IFERROR(__xludf.DUMMYFUNCTION("""COMPUTED_VALUE"""),118)</f>
        <v>118</v>
      </c>
      <c r="J64" s="1">
        <f ca="1">IFERROR(__xludf.DUMMYFUNCTION("""COMPUTED_VALUE"""),63.4)</f>
        <v>63.4</v>
      </c>
      <c r="K64" s="1">
        <f ca="1">IFERROR(__xludf.DUMMYFUNCTION("""COMPUTED_VALUE"""),249)</f>
        <v>249</v>
      </c>
      <c r="L64" s="1" t="str">
        <f ca="1">IFERROR(__xludf.DUMMYFUNCTION("""COMPUTED_VALUE"""),"+.005")</f>
        <v>+.005</v>
      </c>
      <c r="M64" s="1">
        <f ca="1">IFERROR(__xludf.DUMMYFUNCTION("""COMPUTED_VALUE"""),153)</f>
        <v>153</v>
      </c>
      <c r="N64" s="1" t="str">
        <f ca="1">IFERROR(__xludf.DUMMYFUNCTION("""COMPUTED_VALUE"""),"+9.21")</f>
        <v>+9.21</v>
      </c>
      <c r="O64" s="1">
        <f ca="1">IFERROR(__xludf.DUMMYFUNCTION("""COMPUTED_VALUE"""),14)</f>
        <v>14</v>
      </c>
      <c r="P64" s="1">
        <f ca="1">IFERROR(__xludf.DUMMYFUNCTION("""COMPUTED_VALUE"""),107.7)</f>
        <v>107.7</v>
      </c>
      <c r="Q64" s="1">
        <f ca="1">IFERROR(__xludf.DUMMYFUNCTION("""COMPUTED_VALUE"""),25)</f>
        <v>25</v>
      </c>
      <c r="R64" s="1">
        <f ca="1">IFERROR(__xludf.DUMMYFUNCTION("""COMPUTED_VALUE"""),98.4)</f>
        <v>98.4</v>
      </c>
      <c r="S64" s="1">
        <f ca="1">IFERROR(__xludf.DUMMYFUNCTION("""COMPUTED_VALUE"""),17)</f>
        <v>17</v>
      </c>
      <c r="T64" s="1" t="str">
        <f ca="1">IFERROR(__xludf.DUMMYFUNCTION("""COMPUTED_VALUE"""),"+1.60")</f>
        <v>+1.60</v>
      </c>
      <c r="U64" s="1">
        <f ca="1">IFERROR(__xludf.DUMMYFUNCTION("""COMPUTED_VALUE"""),115)</f>
        <v>115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IFERROR(__xludf.DUMMYFUNCTION("""COMPUTED_VALUE"""),"Butler8")</f>
        <v>Butler8</v>
      </c>
      <c r="C65" s="1" t="str">
        <f ca="1">IFERROR(__xludf.DUMMYFUNCTION("""COMPUTED_VALUE"""),"Horz")</f>
        <v>Horz</v>
      </c>
      <c r="D65" s="1" t="str">
        <f ca="1">IFERROR(__xludf.DUMMYFUNCTION("""COMPUTED_VALUE"""),"20-13")</f>
        <v>20-13</v>
      </c>
      <c r="E65" s="1" t="str">
        <f ca="1">IFERROR(__xludf.DUMMYFUNCTION("""COMPUTED_VALUE"""),"+12.00")</f>
        <v>+12.00</v>
      </c>
      <c r="F65" s="1">
        <f ca="1">IFERROR(__xludf.DUMMYFUNCTION("""COMPUTED_VALUE"""),114.9)</f>
        <v>114.9</v>
      </c>
      <c r="G65" s="1">
        <f ca="1">IFERROR(__xludf.DUMMYFUNCTION("""COMPUTED_VALUE"""),15)</f>
        <v>15</v>
      </c>
      <c r="H65" s="1">
        <f ca="1">IFERROR(__xludf.DUMMYFUNCTION("""COMPUTED_VALUE"""),102.9)</f>
        <v>102.9</v>
      </c>
      <c r="I65" s="1">
        <f ca="1">IFERROR(__xludf.DUMMYFUNCTION("""COMPUTED_VALUE"""),166)</f>
        <v>166</v>
      </c>
      <c r="J65" s="1">
        <f ca="1">IFERROR(__xludf.DUMMYFUNCTION("""COMPUTED_VALUE"""),58.3)</f>
        <v>58.3</v>
      </c>
      <c r="K65" s="1">
        <f ca="1">IFERROR(__xludf.DUMMYFUNCTION("""COMPUTED_VALUE"""),326)</f>
        <v>326</v>
      </c>
      <c r="L65" s="1">
        <f ca="1">IFERROR(__xludf.DUMMYFUNCTION("""COMPUTED_VALUE"""),-0.072)</f>
        <v>-7.1999999999999995E-2</v>
      </c>
      <c r="M65" s="1">
        <f ca="1">IFERROR(__xludf.DUMMYFUNCTION("""COMPUTED_VALUE"""),308)</f>
        <v>308</v>
      </c>
      <c r="N65" s="1" t="str">
        <f ca="1">IFERROR(__xludf.DUMMYFUNCTION("""COMPUTED_VALUE"""),"+1.16")</f>
        <v>+1.16</v>
      </c>
      <c r="O65" s="1">
        <f ca="1">IFERROR(__xludf.DUMMYFUNCTION("""COMPUTED_VALUE"""),133)</f>
        <v>133</v>
      </c>
      <c r="P65" s="1">
        <f ca="1">IFERROR(__xludf.DUMMYFUNCTION("""COMPUTED_VALUE"""),103)</f>
        <v>103</v>
      </c>
      <c r="Q65" s="1">
        <f ca="1">IFERROR(__xludf.DUMMYFUNCTION("""COMPUTED_VALUE"""),166)</f>
        <v>166</v>
      </c>
      <c r="R65" s="1">
        <f ca="1">IFERROR(__xludf.DUMMYFUNCTION("""COMPUTED_VALUE"""),101.9)</f>
        <v>101.9</v>
      </c>
      <c r="S65" s="1">
        <f ca="1">IFERROR(__xludf.DUMMYFUNCTION("""COMPUTED_VALUE"""),128)</f>
        <v>128</v>
      </c>
      <c r="T65" s="1" t="str">
        <f ca="1">IFERROR(__xludf.DUMMYFUNCTION("""COMPUTED_VALUE"""),"+3.14")</f>
        <v>+3.14</v>
      </c>
      <c r="U65" s="1">
        <f ca="1">IFERROR(__xludf.DUMMYFUNCTION("""COMPUTED_VALUE"""),73)</f>
        <v>73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IFERROR(__xludf.DUMMYFUNCTION("""COMPUTED_VALUE"""),"Milwaukee11")</f>
        <v>Milwaukee11</v>
      </c>
      <c r="C66" s="1" t="str">
        <f ca="1">IFERROR(__xludf.DUMMYFUNCTION("""COMPUTED_VALUE"""),"Horz")</f>
        <v>Horz</v>
      </c>
      <c r="D66" s="1" t="str">
        <f ca="1">IFERROR(__xludf.DUMMYFUNCTION("""COMPUTED_VALUE"""),"22-9")</f>
        <v>22-9</v>
      </c>
      <c r="E66" s="1" t="str">
        <f ca="1">IFERROR(__xludf.DUMMYFUNCTION("""COMPUTED_VALUE"""),"+11.86")</f>
        <v>+11.86</v>
      </c>
      <c r="F66" s="1">
        <f ca="1">IFERROR(__xludf.DUMMYFUNCTION("""COMPUTED_VALUE"""),108.3)</f>
        <v>108.3</v>
      </c>
      <c r="G66" s="1">
        <f ca="1">IFERROR(__xludf.DUMMYFUNCTION("""COMPUTED_VALUE"""),76)</f>
        <v>76</v>
      </c>
      <c r="H66" s="1">
        <f ca="1">IFERROR(__xludf.DUMMYFUNCTION("""COMPUTED_VALUE"""),96.5)</f>
        <v>96.5</v>
      </c>
      <c r="I66" s="1">
        <f ca="1">IFERROR(__xludf.DUMMYFUNCTION("""COMPUTED_VALUE"""),58)</f>
        <v>58</v>
      </c>
      <c r="J66" s="1">
        <f ca="1">IFERROR(__xludf.DUMMYFUNCTION("""COMPUTED_VALUE"""),67.7)</f>
        <v>67.7</v>
      </c>
      <c r="K66" s="1">
        <f ca="1">IFERROR(__xludf.DUMMYFUNCTION("""COMPUTED_VALUE"""),77)</f>
        <v>77</v>
      </c>
      <c r="L66" s="1" t="str">
        <f ca="1">IFERROR(__xludf.DUMMYFUNCTION("""COMPUTED_VALUE"""),"+.017")</f>
        <v>+.017</v>
      </c>
      <c r="M66" s="1">
        <f ca="1">IFERROR(__xludf.DUMMYFUNCTION("""COMPUTED_VALUE"""),124)</f>
        <v>124</v>
      </c>
      <c r="N66" s="1" t="str">
        <f ca="1">IFERROR(__xludf.DUMMYFUNCTION("""COMPUTED_VALUE"""),"+1.54")</f>
        <v>+1.54</v>
      </c>
      <c r="O66" s="1">
        <f ca="1">IFERROR(__xludf.DUMMYFUNCTION("""COMPUTED_VALUE"""),128)</f>
        <v>128</v>
      </c>
      <c r="P66" s="1">
        <f ca="1">IFERROR(__xludf.DUMMYFUNCTION("""COMPUTED_VALUE"""),104.9)</f>
        <v>104.9</v>
      </c>
      <c r="Q66" s="1">
        <f ca="1">IFERROR(__xludf.DUMMYFUNCTION("""COMPUTED_VALUE"""),90)</f>
        <v>90</v>
      </c>
      <c r="R66" s="1">
        <f ca="1">IFERROR(__xludf.DUMMYFUNCTION("""COMPUTED_VALUE"""),103.4)</f>
        <v>103.4</v>
      </c>
      <c r="S66" s="1">
        <f ca="1">IFERROR(__xludf.DUMMYFUNCTION("""COMPUTED_VALUE"""),164)</f>
        <v>164</v>
      </c>
      <c r="T66" s="1" t="str">
        <f ca="1">IFERROR(__xludf.DUMMYFUNCTION("""COMPUTED_VALUE"""),"+4.95")</f>
        <v>+4.95</v>
      </c>
      <c r="U66" s="1">
        <f ca="1">IFERROR(__xludf.DUMMYFUNCTION("""COMPUTED_VALUE"""),51)</f>
        <v>51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IFERROR(__xludf.DUMMYFUNCTION("""COMPUTED_VALUE"""),"Hofstra3")</f>
        <v>Hofstra3</v>
      </c>
      <c r="C67" s="1" t="str">
        <f ca="1">IFERROR(__xludf.DUMMYFUNCTION("""COMPUTED_VALUE"""),"CAA")</f>
        <v>CAA</v>
      </c>
      <c r="D67" s="1" t="str">
        <f ca="1">IFERROR(__xludf.DUMMYFUNCTION("""COMPUTED_VALUE"""),"26-7")</f>
        <v>26-7</v>
      </c>
      <c r="E67" s="1" t="str">
        <f ca="1">IFERROR(__xludf.DUMMYFUNCTION("""COMPUTED_VALUE"""),"+11.72")</f>
        <v>+11.72</v>
      </c>
      <c r="F67" s="1">
        <f ca="1">IFERROR(__xludf.DUMMYFUNCTION("""COMPUTED_VALUE"""),111.3)</f>
        <v>111.3</v>
      </c>
      <c r="G67" s="1">
        <f ca="1">IFERROR(__xludf.DUMMYFUNCTION("""COMPUTED_VALUE"""),41)</f>
        <v>41</v>
      </c>
      <c r="H67" s="1">
        <f ca="1">IFERROR(__xludf.DUMMYFUNCTION("""COMPUTED_VALUE"""),99.6)</f>
        <v>99.6</v>
      </c>
      <c r="I67" s="1">
        <f ca="1">IFERROR(__xludf.DUMMYFUNCTION("""COMPUTED_VALUE"""),108)</f>
        <v>108</v>
      </c>
      <c r="J67" s="1">
        <f ca="1">IFERROR(__xludf.DUMMYFUNCTION("""COMPUTED_VALUE"""),66.2)</f>
        <v>66.2</v>
      </c>
      <c r="K67" s="1">
        <f ca="1">IFERROR(__xludf.DUMMYFUNCTION("""COMPUTED_VALUE"""),124)</f>
        <v>124</v>
      </c>
      <c r="L67" s="1" t="str">
        <f ca="1">IFERROR(__xludf.DUMMYFUNCTION("""COMPUTED_VALUE"""),"+.097")</f>
        <v>+.097</v>
      </c>
      <c r="M67" s="1">
        <f ca="1">IFERROR(__xludf.DUMMYFUNCTION("""COMPUTED_VALUE"""),12)</f>
        <v>12</v>
      </c>
      <c r="N67" s="1" t="str">
        <f ca="1">IFERROR(__xludf.DUMMYFUNCTION("""COMPUTED_VALUE"""),"+2.10")</f>
        <v>+2.10</v>
      </c>
      <c r="O67" s="1">
        <f ca="1">IFERROR(__xludf.DUMMYFUNCTION("""COMPUTED_VALUE"""),115)</f>
        <v>115</v>
      </c>
      <c r="P67" s="1">
        <f ca="1">IFERROR(__xludf.DUMMYFUNCTION("""COMPUTED_VALUE"""),102.7)</f>
        <v>102.7</v>
      </c>
      <c r="Q67" s="1">
        <f ca="1">IFERROR(__xludf.DUMMYFUNCTION("""COMPUTED_VALUE"""),179)</f>
        <v>179</v>
      </c>
      <c r="R67" s="1">
        <f ca="1">IFERROR(__xludf.DUMMYFUNCTION("""COMPUTED_VALUE"""),100.6)</f>
        <v>100.6</v>
      </c>
      <c r="S67" s="1">
        <f ca="1">IFERROR(__xludf.DUMMYFUNCTION("""COMPUTED_VALUE"""),89)</f>
        <v>89</v>
      </c>
      <c r="T67" s="1">
        <f ca="1">IFERROR(__xludf.DUMMYFUNCTION("""COMPUTED_VALUE"""),-3.98)</f>
        <v>-3.98</v>
      </c>
      <c r="U67" s="1">
        <f ca="1">IFERROR(__xludf.DUMMYFUNCTION("""COMPUTED_VALUE"""),256)</f>
        <v>256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IFERROR(__xludf.DUMMYFUNCTION("""COMPUTED_VALUE"""),"Temple7")</f>
        <v>Temple7</v>
      </c>
      <c r="C68" s="1" t="str">
        <f ca="1">IFERROR(__xludf.DUMMYFUNCTION("""COMPUTED_VALUE"""),"A10")</f>
        <v>A10</v>
      </c>
      <c r="D68" s="1" t="str">
        <f ca="1">IFERROR(__xludf.DUMMYFUNCTION("""COMPUTED_VALUE"""),"17-15")</f>
        <v>17-15</v>
      </c>
      <c r="E68" s="1" t="str">
        <f ca="1">IFERROR(__xludf.DUMMYFUNCTION("""COMPUTED_VALUE"""),"+11.38")</f>
        <v>+11.38</v>
      </c>
      <c r="F68" s="1">
        <f ca="1">IFERROR(__xludf.DUMMYFUNCTION("""COMPUTED_VALUE"""),109.1)</f>
        <v>109.1</v>
      </c>
      <c r="G68" s="1">
        <f ca="1">IFERROR(__xludf.DUMMYFUNCTION("""COMPUTED_VALUE"""),73)</f>
        <v>73</v>
      </c>
      <c r="H68" s="1">
        <f ca="1">IFERROR(__xludf.DUMMYFUNCTION("""COMPUTED_VALUE"""),97.7)</f>
        <v>97.7</v>
      </c>
      <c r="I68" s="1">
        <f ca="1">IFERROR(__xludf.DUMMYFUNCTION("""COMPUTED_VALUE"""),81)</f>
        <v>81</v>
      </c>
      <c r="J68" s="1">
        <f ca="1">IFERROR(__xludf.DUMMYFUNCTION("""COMPUTED_VALUE"""),59.9)</f>
        <v>59.9</v>
      </c>
      <c r="K68" s="1">
        <f ca="1">IFERROR(__xludf.DUMMYFUNCTION("""COMPUTED_VALUE"""),320)</f>
        <v>320</v>
      </c>
      <c r="L68" s="1">
        <f ca="1">IFERROR(__xludf.DUMMYFUNCTION("""COMPUTED_VALUE"""),-0.051)</f>
        <v>-5.0999999999999997E-2</v>
      </c>
      <c r="M68" s="1">
        <f ca="1">IFERROR(__xludf.DUMMYFUNCTION("""COMPUTED_VALUE"""),284)</f>
        <v>284</v>
      </c>
      <c r="N68" s="1" t="str">
        <f ca="1">IFERROR(__xludf.DUMMYFUNCTION("""COMPUTED_VALUE"""),"+6.84")</f>
        <v>+6.84</v>
      </c>
      <c r="O68" s="1">
        <f ca="1">IFERROR(__xludf.DUMMYFUNCTION("""COMPUTED_VALUE"""),48)</f>
        <v>48</v>
      </c>
      <c r="P68" s="1">
        <f ca="1">IFERROR(__xludf.DUMMYFUNCTION("""COMPUTED_VALUE"""),106.2)</f>
        <v>106.2</v>
      </c>
      <c r="Q68" s="1">
        <f ca="1">IFERROR(__xludf.DUMMYFUNCTION("""COMPUTED_VALUE"""),53)</f>
        <v>53</v>
      </c>
      <c r="R68" s="1">
        <f ca="1">IFERROR(__xludf.DUMMYFUNCTION("""COMPUTED_VALUE"""),99.3)</f>
        <v>99.3</v>
      </c>
      <c r="S68" s="1">
        <f ca="1">IFERROR(__xludf.DUMMYFUNCTION("""COMPUTED_VALUE"""),49)</f>
        <v>49</v>
      </c>
      <c r="T68" s="1" t="str">
        <f ca="1">IFERROR(__xludf.DUMMYFUNCTION("""COMPUTED_VALUE"""),"+9.95")</f>
        <v>+9.95</v>
      </c>
      <c r="U68" s="1">
        <f ca="1">IFERROR(__xludf.DUMMYFUNCTION("""COMPUTED_VALUE"""),13)</f>
        <v>13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IFERROR(__xludf.DUMMYFUNCTION("""COMPUTED_VALUE"""),"Iona13")</f>
        <v>Iona13</v>
      </c>
      <c r="C69" s="1" t="str">
        <f ca="1">IFERROR(__xludf.DUMMYFUNCTION("""COMPUTED_VALUE"""),"MAAC")</f>
        <v>MAAC</v>
      </c>
      <c r="D69" s="1" t="str">
        <f ca="1">IFERROR(__xludf.DUMMYFUNCTION("""COMPUTED_VALUE"""),"23-8")</f>
        <v>23-8</v>
      </c>
      <c r="E69" s="1" t="str">
        <f ca="1">IFERROR(__xludf.DUMMYFUNCTION("""COMPUTED_VALUE"""),"+11.33")</f>
        <v>+11.33</v>
      </c>
      <c r="F69" s="1">
        <f ca="1">IFERROR(__xludf.DUMMYFUNCTION("""COMPUTED_VALUE"""),109.7)</f>
        <v>109.7</v>
      </c>
      <c r="G69" s="1">
        <f ca="1">IFERROR(__xludf.DUMMYFUNCTION("""COMPUTED_VALUE"""),65)</f>
        <v>65</v>
      </c>
      <c r="H69" s="1">
        <f ca="1">IFERROR(__xludf.DUMMYFUNCTION("""COMPUTED_VALUE"""),98.4)</f>
        <v>98.4</v>
      </c>
      <c r="I69" s="1">
        <f ca="1">IFERROR(__xludf.DUMMYFUNCTION("""COMPUTED_VALUE"""),90)</f>
        <v>90</v>
      </c>
      <c r="J69" s="1">
        <f ca="1">IFERROR(__xludf.DUMMYFUNCTION("""COMPUTED_VALUE"""),69.6)</f>
        <v>69.599999999999994</v>
      </c>
      <c r="K69" s="1">
        <f ca="1">IFERROR(__xludf.DUMMYFUNCTION("""COMPUTED_VALUE"""),34)</f>
        <v>34</v>
      </c>
      <c r="L69" s="1" t="str">
        <f ca="1">IFERROR(__xludf.DUMMYFUNCTION("""COMPUTED_VALUE"""),"+.024")</f>
        <v>+.024</v>
      </c>
      <c r="M69" s="1">
        <f ca="1">IFERROR(__xludf.DUMMYFUNCTION("""COMPUTED_VALUE"""),105)</f>
        <v>105</v>
      </c>
      <c r="N69" s="1" t="str">
        <f ca="1">IFERROR(__xludf.DUMMYFUNCTION("""COMPUTED_VALUE"""),"+0.66")</f>
        <v>+0.66</v>
      </c>
      <c r="O69" s="1">
        <f ca="1">IFERROR(__xludf.DUMMYFUNCTION("""COMPUTED_VALUE"""),145)</f>
        <v>145</v>
      </c>
      <c r="P69" s="1">
        <f ca="1">IFERROR(__xludf.DUMMYFUNCTION("""COMPUTED_VALUE"""),106)</f>
        <v>106</v>
      </c>
      <c r="Q69" s="1">
        <f ca="1">IFERROR(__xludf.DUMMYFUNCTION("""COMPUTED_VALUE"""),61)</f>
        <v>61</v>
      </c>
      <c r="R69" s="1">
        <f ca="1">IFERROR(__xludf.DUMMYFUNCTION("""COMPUTED_VALUE"""),105.3)</f>
        <v>105.3</v>
      </c>
      <c r="S69" s="1">
        <f ca="1">IFERROR(__xludf.DUMMYFUNCTION("""COMPUTED_VALUE"""),247)</f>
        <v>247</v>
      </c>
      <c r="T69" s="1" t="str">
        <f ca="1">IFERROR(__xludf.DUMMYFUNCTION("""COMPUTED_VALUE"""),"+3.83")</f>
        <v>+3.83</v>
      </c>
      <c r="U69" s="1">
        <f ca="1">IFERROR(__xludf.DUMMYFUNCTION("""COMPUTED_VALUE"""),61)</f>
        <v>61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IFERROR(__xludf.DUMMYFUNCTION("""COMPUTED_VALUE"""),"Oregon")</f>
        <v>Oregon</v>
      </c>
      <c r="C70" s="1" t="str">
        <f ca="1">IFERROR(__xludf.DUMMYFUNCTION("""COMPUTED_VALUE"""),"P10")</f>
        <v>P10</v>
      </c>
      <c r="D70" s="1" t="str">
        <f ca="1">IFERROR(__xludf.DUMMYFUNCTION("""COMPUTED_VALUE"""),"15-18")</f>
        <v>15-18</v>
      </c>
      <c r="E70" s="1" t="str">
        <f ca="1">IFERROR(__xludf.DUMMYFUNCTION("""COMPUTED_VALUE"""),"+11.31")</f>
        <v>+11.31</v>
      </c>
      <c r="F70" s="1">
        <f ca="1">IFERROR(__xludf.DUMMYFUNCTION("""COMPUTED_VALUE"""),111.9)</f>
        <v>111.9</v>
      </c>
      <c r="G70" s="1">
        <f ca="1">IFERROR(__xludf.DUMMYFUNCTION("""COMPUTED_VALUE"""),37)</f>
        <v>37</v>
      </c>
      <c r="H70" s="1">
        <f ca="1">IFERROR(__xludf.DUMMYFUNCTION("""COMPUTED_VALUE"""),100.6)</f>
        <v>100.6</v>
      </c>
      <c r="I70" s="1">
        <f ca="1">IFERROR(__xludf.DUMMYFUNCTION("""COMPUTED_VALUE"""),124)</f>
        <v>124</v>
      </c>
      <c r="J70" s="1">
        <f ca="1">IFERROR(__xludf.DUMMYFUNCTION("""COMPUTED_VALUE"""),63.6)</f>
        <v>63.6</v>
      </c>
      <c r="K70" s="1">
        <f ca="1">IFERROR(__xludf.DUMMYFUNCTION("""COMPUTED_VALUE"""),244)</f>
        <v>244</v>
      </c>
      <c r="L70" s="1">
        <f ca="1">IFERROR(__xludf.DUMMYFUNCTION("""COMPUTED_VALUE"""),-0.144)</f>
        <v>-0.14399999999999999</v>
      </c>
      <c r="M70" s="1">
        <f ca="1">IFERROR(__xludf.DUMMYFUNCTION("""COMPUTED_VALUE"""),332)</f>
        <v>332</v>
      </c>
      <c r="N70" s="1" t="str">
        <f ca="1">IFERROR(__xludf.DUMMYFUNCTION("""COMPUTED_VALUE"""),"+7.33")</f>
        <v>+7.33</v>
      </c>
      <c r="O70" s="1">
        <f ca="1">IFERROR(__xludf.DUMMYFUNCTION("""COMPUTED_VALUE"""),44)</f>
        <v>44</v>
      </c>
      <c r="P70" s="1">
        <f ca="1">IFERROR(__xludf.DUMMYFUNCTION("""COMPUTED_VALUE"""),106.1)</f>
        <v>106.1</v>
      </c>
      <c r="Q70" s="1">
        <f ca="1">IFERROR(__xludf.DUMMYFUNCTION("""COMPUTED_VALUE"""),57)</f>
        <v>57</v>
      </c>
      <c r="R70" s="1">
        <f ca="1">IFERROR(__xludf.DUMMYFUNCTION("""COMPUTED_VALUE"""),98.7)</f>
        <v>98.7</v>
      </c>
      <c r="S70" s="1">
        <f ca="1">IFERROR(__xludf.DUMMYFUNCTION("""COMPUTED_VALUE"""),27)</f>
        <v>27</v>
      </c>
      <c r="T70" s="1">
        <f ca="1">IFERROR(__xludf.DUMMYFUNCTION("""COMPUTED_VALUE"""),-1.3)</f>
        <v>-1.3</v>
      </c>
      <c r="U70" s="1">
        <f ca="1">IFERROR(__xludf.DUMMYFUNCTION("""COMPUTED_VALUE"""),190)</f>
        <v>190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IFERROR(__xludf.DUMMYFUNCTION("""COMPUTED_VALUE"""),"Old Dominion5")</f>
        <v>Old Dominion5</v>
      </c>
      <c r="C71" s="1" t="str">
        <f ca="1">IFERROR(__xludf.DUMMYFUNCTION("""COMPUTED_VALUE"""),"CAA")</f>
        <v>CAA</v>
      </c>
      <c r="D71" s="1" t="str">
        <f ca="1">IFERROR(__xludf.DUMMYFUNCTION("""COMPUTED_VALUE"""),"24-10")</f>
        <v>24-10</v>
      </c>
      <c r="E71" s="1" t="str">
        <f ca="1">IFERROR(__xludf.DUMMYFUNCTION("""COMPUTED_VALUE"""),"+11.15")</f>
        <v>+11.15</v>
      </c>
      <c r="F71" s="1">
        <f ca="1">IFERROR(__xludf.DUMMYFUNCTION("""COMPUTED_VALUE"""),106.9)</f>
        <v>106.9</v>
      </c>
      <c r="G71" s="1">
        <f ca="1">IFERROR(__xludf.DUMMYFUNCTION("""COMPUTED_VALUE"""),99)</f>
        <v>99</v>
      </c>
      <c r="H71" s="1">
        <f ca="1">IFERROR(__xludf.DUMMYFUNCTION("""COMPUTED_VALUE"""),95.7)</f>
        <v>95.7</v>
      </c>
      <c r="I71" s="1">
        <f ca="1">IFERROR(__xludf.DUMMYFUNCTION("""COMPUTED_VALUE"""),50)</f>
        <v>50</v>
      </c>
      <c r="J71" s="1">
        <f ca="1">IFERROR(__xludf.DUMMYFUNCTION("""COMPUTED_VALUE"""),65)</f>
        <v>65</v>
      </c>
      <c r="K71" s="1">
        <f ca="1">IFERROR(__xludf.DUMMYFUNCTION("""COMPUTED_VALUE"""),177)</f>
        <v>177</v>
      </c>
      <c r="L71" s="1" t="str">
        <f ca="1">IFERROR(__xludf.DUMMYFUNCTION("""COMPUTED_VALUE"""),"+.056")</f>
        <v>+.056</v>
      </c>
      <c r="M71" s="1">
        <f ca="1">IFERROR(__xludf.DUMMYFUNCTION("""COMPUTED_VALUE"""),49)</f>
        <v>49</v>
      </c>
      <c r="N71" s="1" t="str">
        <f ca="1">IFERROR(__xludf.DUMMYFUNCTION("""COMPUTED_VALUE"""),"+2.16")</f>
        <v>+2.16</v>
      </c>
      <c r="O71" s="1">
        <f ca="1">IFERROR(__xludf.DUMMYFUNCTION("""COMPUTED_VALUE"""),113)</f>
        <v>113</v>
      </c>
      <c r="P71" s="1">
        <f ca="1">IFERROR(__xludf.DUMMYFUNCTION("""COMPUTED_VALUE"""),104.2)</f>
        <v>104.2</v>
      </c>
      <c r="Q71" s="1">
        <f ca="1">IFERROR(__xludf.DUMMYFUNCTION("""COMPUTED_VALUE"""),114)</f>
        <v>114</v>
      </c>
      <c r="R71" s="1">
        <f ca="1">IFERROR(__xludf.DUMMYFUNCTION("""COMPUTED_VALUE"""),102.1)</f>
        <v>102.1</v>
      </c>
      <c r="S71" s="1">
        <f ca="1">IFERROR(__xludf.DUMMYFUNCTION("""COMPUTED_VALUE"""),133)</f>
        <v>133</v>
      </c>
      <c r="T71" s="1">
        <f ca="1">IFERROR(__xludf.DUMMYFUNCTION("""COMPUTED_VALUE"""),-0.03)</f>
        <v>-0.03</v>
      </c>
      <c r="U71" s="1">
        <f ca="1">IFERROR(__xludf.DUMMYFUNCTION("""COMPUTED_VALUE"""),159)</f>
        <v>159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IFERROR(__xludf.DUMMYFUNCTION("""COMPUTED_VALUE"""),"Pacific13")</f>
        <v>Pacific13</v>
      </c>
      <c r="C72" s="1" t="str">
        <f ca="1">IFERROR(__xludf.DUMMYFUNCTION("""COMPUTED_VALUE"""),"BW")</f>
        <v>BW</v>
      </c>
      <c r="D72" s="1" t="str">
        <f ca="1">IFERROR(__xludf.DUMMYFUNCTION("""COMPUTED_VALUE"""),"24-8")</f>
        <v>24-8</v>
      </c>
      <c r="E72" s="1" t="str">
        <f ca="1">IFERROR(__xludf.DUMMYFUNCTION("""COMPUTED_VALUE"""),"+10.87")</f>
        <v>+10.87</v>
      </c>
      <c r="F72" s="1">
        <f ca="1">IFERROR(__xludf.DUMMYFUNCTION("""COMPUTED_VALUE"""),109.8)</f>
        <v>109.8</v>
      </c>
      <c r="G72" s="1">
        <f ca="1">IFERROR(__xludf.DUMMYFUNCTION("""COMPUTED_VALUE"""),63)</f>
        <v>63</v>
      </c>
      <c r="H72" s="1">
        <f ca="1">IFERROR(__xludf.DUMMYFUNCTION("""COMPUTED_VALUE"""),99)</f>
        <v>99</v>
      </c>
      <c r="I72" s="1">
        <f ca="1">IFERROR(__xludf.DUMMYFUNCTION("""COMPUTED_VALUE"""),94)</f>
        <v>94</v>
      </c>
      <c r="J72" s="1">
        <f ca="1">IFERROR(__xludf.DUMMYFUNCTION("""COMPUTED_VALUE"""),62.8)</f>
        <v>62.8</v>
      </c>
      <c r="K72" s="1">
        <f ca="1">IFERROR(__xludf.DUMMYFUNCTION("""COMPUTED_VALUE"""),262)</f>
        <v>262</v>
      </c>
      <c r="L72" s="1" t="str">
        <f ca="1">IFERROR(__xludf.DUMMYFUNCTION("""COMPUTED_VALUE"""),"+.010")</f>
        <v>+.010</v>
      </c>
      <c r="M72" s="1">
        <f ca="1">IFERROR(__xludf.DUMMYFUNCTION("""COMPUTED_VALUE"""),142)</f>
        <v>142</v>
      </c>
      <c r="N72" s="1">
        <f ca="1">IFERROR(__xludf.DUMMYFUNCTION("""COMPUTED_VALUE"""),-1.99)</f>
        <v>-1.99</v>
      </c>
      <c r="O72" s="1">
        <f ca="1">IFERROR(__xludf.DUMMYFUNCTION("""COMPUTED_VALUE"""),199)</f>
        <v>199</v>
      </c>
      <c r="P72" s="1">
        <f ca="1">IFERROR(__xludf.DUMMYFUNCTION("""COMPUTED_VALUE"""),102.7)</f>
        <v>102.7</v>
      </c>
      <c r="Q72" s="1">
        <f ca="1">IFERROR(__xludf.DUMMYFUNCTION("""COMPUTED_VALUE"""),180)</f>
        <v>180</v>
      </c>
      <c r="R72" s="1">
        <f ca="1">IFERROR(__xludf.DUMMYFUNCTION("""COMPUTED_VALUE"""),104.7)</f>
        <v>104.7</v>
      </c>
      <c r="S72" s="1">
        <f ca="1">IFERROR(__xludf.DUMMYFUNCTION("""COMPUTED_VALUE"""),211)</f>
        <v>211</v>
      </c>
      <c r="T72" s="1" t="str">
        <f ca="1">IFERROR(__xludf.DUMMYFUNCTION("""COMPUTED_VALUE"""),"+0.54")</f>
        <v>+0.54</v>
      </c>
      <c r="U72" s="1">
        <f ca="1">IFERROR(__xludf.DUMMYFUNCTION("""COMPUTED_VALUE"""),139)</f>
        <v>139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IFERROR(__xludf.DUMMYFUNCTION("""COMPUTED_VALUE"""),"Utah St.12")</f>
        <v>Utah St.12</v>
      </c>
      <c r="C73" s="1" t="str">
        <f ca="1">IFERROR(__xludf.DUMMYFUNCTION("""COMPUTED_VALUE"""),"WAC")</f>
        <v>WAC</v>
      </c>
      <c r="D73" s="1" t="str">
        <f ca="1">IFERROR(__xludf.DUMMYFUNCTION("""COMPUTED_VALUE"""),"23-9")</f>
        <v>23-9</v>
      </c>
      <c r="E73" s="1" t="str">
        <f ca="1">IFERROR(__xludf.DUMMYFUNCTION("""COMPUTED_VALUE"""),"+10.86")</f>
        <v>+10.86</v>
      </c>
      <c r="F73" s="1">
        <f ca="1">IFERROR(__xludf.DUMMYFUNCTION("""COMPUTED_VALUE"""),113.4)</f>
        <v>113.4</v>
      </c>
      <c r="G73" s="1">
        <f ca="1">IFERROR(__xludf.DUMMYFUNCTION("""COMPUTED_VALUE"""),20)</f>
        <v>20</v>
      </c>
      <c r="H73" s="1">
        <f ca="1">IFERROR(__xludf.DUMMYFUNCTION("""COMPUTED_VALUE"""),102.6)</f>
        <v>102.6</v>
      </c>
      <c r="I73" s="1">
        <f ca="1">IFERROR(__xludf.DUMMYFUNCTION("""COMPUTED_VALUE"""),155)</f>
        <v>155</v>
      </c>
      <c r="J73" s="1">
        <f ca="1">IFERROR(__xludf.DUMMYFUNCTION("""COMPUTED_VALUE"""),60.9)</f>
        <v>60.9</v>
      </c>
      <c r="K73" s="1">
        <f ca="1">IFERROR(__xludf.DUMMYFUNCTION("""COMPUTED_VALUE"""),309)</f>
        <v>309</v>
      </c>
      <c r="L73" s="1" t="str">
        <f ca="1">IFERROR(__xludf.DUMMYFUNCTION("""COMPUTED_VALUE"""),"+.026")</f>
        <v>+.026</v>
      </c>
      <c r="M73" s="1">
        <f ca="1">IFERROR(__xludf.DUMMYFUNCTION("""COMPUTED_VALUE"""),101)</f>
        <v>101</v>
      </c>
      <c r="N73" s="1" t="str">
        <f ca="1">IFERROR(__xludf.DUMMYFUNCTION("""COMPUTED_VALUE"""),"+1.59")</f>
        <v>+1.59</v>
      </c>
      <c r="O73" s="1">
        <f ca="1">IFERROR(__xludf.DUMMYFUNCTION("""COMPUTED_VALUE"""),127)</f>
        <v>127</v>
      </c>
      <c r="P73" s="1">
        <f ca="1">IFERROR(__xludf.DUMMYFUNCTION("""COMPUTED_VALUE"""),102.8)</f>
        <v>102.8</v>
      </c>
      <c r="Q73" s="1">
        <f ca="1">IFERROR(__xludf.DUMMYFUNCTION("""COMPUTED_VALUE"""),177)</f>
        <v>177</v>
      </c>
      <c r="R73" s="1">
        <f ca="1">IFERROR(__xludf.DUMMYFUNCTION("""COMPUTED_VALUE"""),101.2)</f>
        <v>101.2</v>
      </c>
      <c r="S73" s="1">
        <f ca="1">IFERROR(__xludf.DUMMYFUNCTION("""COMPUTED_VALUE"""),99)</f>
        <v>99</v>
      </c>
      <c r="T73" s="1">
        <f ca="1">IFERROR(__xludf.DUMMYFUNCTION("""COMPUTED_VALUE"""),-2.41)</f>
        <v>-2.41</v>
      </c>
      <c r="U73" s="1">
        <f ca="1">IFERROR(__xludf.DUMMYFUNCTION("""COMPUTED_VALUE"""),222)</f>
        <v>222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IFERROR(__xludf.DUMMYFUNCTION("""COMPUTED_VALUE"""),"Kent St.12")</f>
        <v>Kent St.12</v>
      </c>
      <c r="C74" s="1" t="str">
        <f ca="1">IFERROR(__xludf.DUMMYFUNCTION("""COMPUTED_VALUE"""),"MAC")</f>
        <v>MAC</v>
      </c>
      <c r="D74" s="1" t="str">
        <f ca="1">IFERROR(__xludf.DUMMYFUNCTION("""COMPUTED_VALUE"""),"25-9")</f>
        <v>25-9</v>
      </c>
      <c r="E74" s="1" t="str">
        <f ca="1">IFERROR(__xludf.DUMMYFUNCTION("""COMPUTED_VALUE"""),"+10.54")</f>
        <v>+10.54</v>
      </c>
      <c r="F74" s="1">
        <f ca="1">IFERROR(__xludf.DUMMYFUNCTION("""COMPUTED_VALUE"""),108.3)</f>
        <v>108.3</v>
      </c>
      <c r="G74" s="1">
        <f ca="1">IFERROR(__xludf.DUMMYFUNCTION("""COMPUTED_VALUE"""),77)</f>
        <v>77</v>
      </c>
      <c r="H74" s="1">
        <f ca="1">IFERROR(__xludf.DUMMYFUNCTION("""COMPUTED_VALUE"""),97.8)</f>
        <v>97.8</v>
      </c>
      <c r="I74" s="1">
        <f ca="1">IFERROR(__xludf.DUMMYFUNCTION("""COMPUTED_VALUE"""),82)</f>
        <v>82</v>
      </c>
      <c r="J74" s="1">
        <f ca="1">IFERROR(__xludf.DUMMYFUNCTION("""COMPUTED_VALUE"""),65.7)</f>
        <v>65.7</v>
      </c>
      <c r="K74" s="1">
        <f ca="1">IFERROR(__xludf.DUMMYFUNCTION("""COMPUTED_VALUE"""),142)</f>
        <v>142</v>
      </c>
      <c r="L74" s="1" t="str">
        <f ca="1">IFERROR(__xludf.DUMMYFUNCTION("""COMPUTED_VALUE"""),"+.017")</f>
        <v>+.017</v>
      </c>
      <c r="M74" s="1">
        <f ca="1">IFERROR(__xludf.DUMMYFUNCTION("""COMPUTED_VALUE"""),123)</f>
        <v>123</v>
      </c>
      <c r="N74" s="1" t="str">
        <f ca="1">IFERROR(__xludf.DUMMYFUNCTION("""COMPUTED_VALUE"""),"+0.67")</f>
        <v>+0.67</v>
      </c>
      <c r="O74" s="1">
        <f ca="1">IFERROR(__xludf.DUMMYFUNCTION("""COMPUTED_VALUE"""),144)</f>
        <v>144</v>
      </c>
      <c r="P74" s="1">
        <f ca="1">IFERROR(__xludf.DUMMYFUNCTION("""COMPUTED_VALUE"""),103.2)</f>
        <v>103.2</v>
      </c>
      <c r="Q74" s="1">
        <f ca="1">IFERROR(__xludf.DUMMYFUNCTION("""COMPUTED_VALUE"""),165)</f>
        <v>165</v>
      </c>
      <c r="R74" s="1">
        <f ca="1">IFERROR(__xludf.DUMMYFUNCTION("""COMPUTED_VALUE"""),102.5)</f>
        <v>102.5</v>
      </c>
      <c r="S74" s="1">
        <f ca="1">IFERROR(__xludf.DUMMYFUNCTION("""COMPUTED_VALUE"""),142)</f>
        <v>142</v>
      </c>
      <c r="T74" s="1">
        <f ca="1">IFERROR(__xludf.DUMMYFUNCTION("""COMPUTED_VALUE"""),-1.52)</f>
        <v>-1.52</v>
      </c>
      <c r="U74" s="1">
        <f ca="1">IFERROR(__xludf.DUMMYFUNCTION("""COMPUTED_VALUE"""),198)</f>
        <v>198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IFERROR(__xludf.DUMMYFUNCTION("""COMPUTED_VALUE"""),"Rutgers8")</f>
        <v>Rutgers8</v>
      </c>
      <c r="C75" s="1" t="str">
        <f ca="1">IFERROR(__xludf.DUMMYFUNCTION("""COMPUTED_VALUE"""),"BE")</f>
        <v>BE</v>
      </c>
      <c r="D75" s="1" t="str">
        <f ca="1">IFERROR(__xludf.DUMMYFUNCTION("""COMPUTED_VALUE"""),"19-14")</f>
        <v>19-14</v>
      </c>
      <c r="E75" s="1" t="str">
        <f ca="1">IFERROR(__xludf.DUMMYFUNCTION("""COMPUTED_VALUE"""),"+10.41")</f>
        <v>+10.41</v>
      </c>
      <c r="F75" s="1">
        <f ca="1">IFERROR(__xludf.DUMMYFUNCTION("""COMPUTED_VALUE"""),109.5)</f>
        <v>109.5</v>
      </c>
      <c r="G75" s="1">
        <f ca="1">IFERROR(__xludf.DUMMYFUNCTION("""COMPUTED_VALUE"""),68)</f>
        <v>68</v>
      </c>
      <c r="H75" s="1">
        <f ca="1">IFERROR(__xludf.DUMMYFUNCTION("""COMPUTED_VALUE"""),99.1)</f>
        <v>99.1</v>
      </c>
      <c r="I75" s="1">
        <f ca="1">IFERROR(__xludf.DUMMYFUNCTION("""COMPUTED_VALUE"""),97)</f>
        <v>97</v>
      </c>
      <c r="J75" s="1">
        <f ca="1">IFERROR(__xludf.DUMMYFUNCTION("""COMPUTED_VALUE"""),64)</f>
        <v>64</v>
      </c>
      <c r="K75" s="1">
        <f ca="1">IFERROR(__xludf.DUMMYFUNCTION("""COMPUTED_VALUE"""),230)</f>
        <v>230</v>
      </c>
      <c r="L75" s="1">
        <f ca="1">IFERROR(__xludf.DUMMYFUNCTION("""COMPUTED_VALUE"""),-0.002)</f>
        <v>-2E-3</v>
      </c>
      <c r="M75" s="1">
        <f ca="1">IFERROR(__xludf.DUMMYFUNCTION("""COMPUTED_VALUE"""),174)</f>
        <v>174</v>
      </c>
      <c r="N75" s="1" t="str">
        <f ca="1">IFERROR(__xludf.DUMMYFUNCTION("""COMPUTED_VALUE"""),"+6.82")</f>
        <v>+6.82</v>
      </c>
      <c r="O75" s="1">
        <f ca="1">IFERROR(__xludf.DUMMYFUNCTION("""COMPUTED_VALUE"""),49)</f>
        <v>49</v>
      </c>
      <c r="P75" s="1">
        <f ca="1">IFERROR(__xludf.DUMMYFUNCTION("""COMPUTED_VALUE"""),106)</f>
        <v>106</v>
      </c>
      <c r="Q75" s="1">
        <f ca="1">IFERROR(__xludf.DUMMYFUNCTION("""COMPUTED_VALUE"""),59)</f>
        <v>59</v>
      </c>
      <c r="R75" s="1">
        <f ca="1">IFERROR(__xludf.DUMMYFUNCTION("""COMPUTED_VALUE"""),99.2)</f>
        <v>99.2</v>
      </c>
      <c r="S75" s="1">
        <f ca="1">IFERROR(__xludf.DUMMYFUNCTION("""COMPUTED_VALUE"""),41)</f>
        <v>41</v>
      </c>
      <c r="T75" s="1">
        <f ca="1">IFERROR(__xludf.DUMMYFUNCTION("""COMPUTED_VALUE"""),-3.96)</f>
        <v>-3.96</v>
      </c>
      <c r="U75" s="1">
        <f ca="1">IFERROR(__xludf.DUMMYFUNCTION("""COMPUTED_VALUE"""),255)</f>
        <v>255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IFERROR(__xludf.DUMMYFUNCTION("""COMPUTED_VALUE"""),"Colorado4")</f>
        <v>Colorado4</v>
      </c>
      <c r="C76" s="1" t="str">
        <f ca="1">IFERROR(__xludf.DUMMYFUNCTION("""COMPUTED_VALUE"""),"B12")</f>
        <v>B12</v>
      </c>
      <c r="D76" s="1" t="str">
        <f ca="1">IFERROR(__xludf.DUMMYFUNCTION("""COMPUTED_VALUE"""),"20-10")</f>
        <v>20-10</v>
      </c>
      <c r="E76" s="1" t="str">
        <f ca="1">IFERROR(__xludf.DUMMYFUNCTION("""COMPUTED_VALUE"""),"+10.27")</f>
        <v>+10.27</v>
      </c>
      <c r="F76" s="1">
        <f ca="1">IFERROR(__xludf.DUMMYFUNCTION("""COMPUTED_VALUE"""),109.2)</f>
        <v>109.2</v>
      </c>
      <c r="G76" s="1">
        <f ca="1">IFERROR(__xludf.DUMMYFUNCTION("""COMPUTED_VALUE"""),70)</f>
        <v>70</v>
      </c>
      <c r="H76" s="1">
        <f ca="1">IFERROR(__xludf.DUMMYFUNCTION("""COMPUTED_VALUE"""),99)</f>
        <v>99</v>
      </c>
      <c r="I76" s="1">
        <f ca="1">IFERROR(__xludf.DUMMYFUNCTION("""COMPUTED_VALUE"""),93)</f>
        <v>93</v>
      </c>
      <c r="J76" s="1">
        <f ca="1">IFERROR(__xludf.DUMMYFUNCTION("""COMPUTED_VALUE"""),69.9)</f>
        <v>69.900000000000006</v>
      </c>
      <c r="K76" s="1">
        <f ca="1">IFERROR(__xludf.DUMMYFUNCTION("""COMPUTED_VALUE"""),27)</f>
        <v>27</v>
      </c>
      <c r="L76" s="1" t="str">
        <f ca="1">IFERROR(__xludf.DUMMYFUNCTION("""COMPUTED_VALUE"""),"+.049")</f>
        <v>+.049</v>
      </c>
      <c r="M76" s="1">
        <f ca="1">IFERROR(__xludf.DUMMYFUNCTION("""COMPUTED_VALUE"""),53)</f>
        <v>53</v>
      </c>
      <c r="N76" s="1" t="str">
        <f ca="1">IFERROR(__xludf.DUMMYFUNCTION("""COMPUTED_VALUE"""),"+4.24")</f>
        <v>+4.24</v>
      </c>
      <c r="O76" s="1">
        <f ca="1">IFERROR(__xludf.DUMMYFUNCTION("""COMPUTED_VALUE"""),85)</f>
        <v>85</v>
      </c>
      <c r="P76" s="1">
        <f ca="1">IFERROR(__xludf.DUMMYFUNCTION("""COMPUTED_VALUE"""),104.4)</f>
        <v>104.4</v>
      </c>
      <c r="Q76" s="1">
        <f ca="1">IFERROR(__xludf.DUMMYFUNCTION("""COMPUTED_VALUE"""),101)</f>
        <v>101</v>
      </c>
      <c r="R76" s="1">
        <f ca="1">IFERROR(__xludf.DUMMYFUNCTION("""COMPUTED_VALUE"""),100.2)</f>
        <v>100.2</v>
      </c>
      <c r="S76" s="1">
        <f ca="1">IFERROR(__xludf.DUMMYFUNCTION("""COMPUTED_VALUE"""),73)</f>
        <v>73</v>
      </c>
      <c r="T76" s="1">
        <f ca="1">IFERROR(__xludf.DUMMYFUNCTION("""COMPUTED_VALUE"""),-5.98)</f>
        <v>-5.98</v>
      </c>
      <c r="U76" s="1">
        <f ca="1">IFERROR(__xludf.DUMMYFUNCTION("""COMPUTED_VALUE"""),293)</f>
        <v>293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IFERROR(__xludf.DUMMYFUNCTION("""COMPUTED_VALUE"""),"Winthrop15")</f>
        <v>Winthrop15</v>
      </c>
      <c r="C77" s="1" t="str">
        <f ca="1">IFERROR(__xludf.DUMMYFUNCTION("""COMPUTED_VALUE"""),"BSth")</f>
        <v>BSth</v>
      </c>
      <c r="D77" s="1" t="str">
        <f ca="1">IFERROR(__xludf.DUMMYFUNCTION("""COMPUTED_VALUE"""),"23-8")</f>
        <v>23-8</v>
      </c>
      <c r="E77" s="1" t="str">
        <f ca="1">IFERROR(__xludf.DUMMYFUNCTION("""COMPUTED_VALUE"""),"+10.27")</f>
        <v>+10.27</v>
      </c>
      <c r="F77" s="1">
        <f ca="1">IFERROR(__xludf.DUMMYFUNCTION("""COMPUTED_VALUE"""),104.4)</f>
        <v>104.4</v>
      </c>
      <c r="G77" s="1">
        <f ca="1">IFERROR(__xludf.DUMMYFUNCTION("""COMPUTED_VALUE"""),141)</f>
        <v>141</v>
      </c>
      <c r="H77" s="1">
        <f ca="1">IFERROR(__xludf.DUMMYFUNCTION("""COMPUTED_VALUE"""),94.2)</f>
        <v>94.2</v>
      </c>
      <c r="I77" s="1">
        <f ca="1">IFERROR(__xludf.DUMMYFUNCTION("""COMPUTED_VALUE"""),31)</f>
        <v>31</v>
      </c>
      <c r="J77" s="1">
        <f ca="1">IFERROR(__xludf.DUMMYFUNCTION("""COMPUTED_VALUE"""),64)</f>
        <v>64</v>
      </c>
      <c r="K77" s="1">
        <f ca="1">IFERROR(__xludf.DUMMYFUNCTION("""COMPUTED_VALUE"""),232)</f>
        <v>232</v>
      </c>
      <c r="L77" s="1">
        <f ca="1">IFERROR(__xludf.DUMMYFUNCTION("""COMPUTED_VALUE"""),-0.027)</f>
        <v>-2.7E-2</v>
      </c>
      <c r="M77" s="1">
        <f ca="1">IFERROR(__xludf.DUMMYFUNCTION("""COMPUTED_VALUE"""),231)</f>
        <v>231</v>
      </c>
      <c r="N77" s="1">
        <f ca="1">IFERROR(__xludf.DUMMYFUNCTION("""COMPUTED_VALUE"""),-5.29)</f>
        <v>-5.29</v>
      </c>
      <c r="O77" s="1">
        <f ca="1">IFERROR(__xludf.DUMMYFUNCTION("""COMPUTED_VALUE"""),258)</f>
        <v>258</v>
      </c>
      <c r="P77" s="1">
        <f ca="1">IFERROR(__xludf.DUMMYFUNCTION("""COMPUTED_VALUE"""),102.1)</f>
        <v>102.1</v>
      </c>
      <c r="Q77" s="1">
        <f ca="1">IFERROR(__xludf.DUMMYFUNCTION("""COMPUTED_VALUE"""),203)</f>
        <v>203</v>
      </c>
      <c r="R77" s="1">
        <f ca="1">IFERROR(__xludf.DUMMYFUNCTION("""COMPUTED_VALUE"""),107.4)</f>
        <v>107.4</v>
      </c>
      <c r="S77" s="1">
        <f ca="1">IFERROR(__xludf.DUMMYFUNCTION("""COMPUTED_VALUE"""),317)</f>
        <v>317</v>
      </c>
      <c r="T77" s="1" t="str">
        <f ca="1">IFERROR(__xludf.DUMMYFUNCTION("""COMPUTED_VALUE"""),"+8.15")</f>
        <v>+8.15</v>
      </c>
      <c r="U77" s="1">
        <f ca="1">IFERROR(__xludf.DUMMYFUNCTION("""COMPUTED_VALUE"""),23)</f>
        <v>23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IFERROR(__xludf.DUMMYFUNCTION("""COMPUTED_VALUE"""),"Virginia Tech")</f>
        <v>Virginia Tech</v>
      </c>
      <c r="C78" s="1" t="str">
        <f ca="1">IFERROR(__xludf.DUMMYFUNCTION("""COMPUTED_VALUE"""),"ACC")</f>
        <v>ACC</v>
      </c>
      <c r="D78" s="1" t="str">
        <f ca="1">IFERROR(__xludf.DUMMYFUNCTION("""COMPUTED_VALUE"""),"14-16")</f>
        <v>14-16</v>
      </c>
      <c r="E78" s="1" t="str">
        <f ca="1">IFERROR(__xludf.DUMMYFUNCTION("""COMPUTED_VALUE"""),"+10.25")</f>
        <v>+10.25</v>
      </c>
      <c r="F78" s="1">
        <f ca="1">IFERROR(__xludf.DUMMYFUNCTION("""COMPUTED_VALUE"""),108.2)</f>
        <v>108.2</v>
      </c>
      <c r="G78" s="1">
        <f ca="1">IFERROR(__xludf.DUMMYFUNCTION("""COMPUTED_VALUE"""),79)</f>
        <v>79</v>
      </c>
      <c r="H78" s="1">
        <f ca="1">IFERROR(__xludf.DUMMYFUNCTION("""COMPUTED_VALUE"""),97.9)</f>
        <v>97.9</v>
      </c>
      <c r="I78" s="1">
        <f ca="1">IFERROR(__xludf.DUMMYFUNCTION("""COMPUTED_VALUE"""),83)</f>
        <v>83</v>
      </c>
      <c r="J78" s="1">
        <f ca="1">IFERROR(__xludf.DUMMYFUNCTION("""COMPUTED_VALUE"""),63.3)</f>
        <v>63.3</v>
      </c>
      <c r="K78" s="1">
        <f ca="1">IFERROR(__xludf.DUMMYFUNCTION("""COMPUTED_VALUE"""),251)</f>
        <v>251</v>
      </c>
      <c r="L78" s="1">
        <f ca="1">IFERROR(__xludf.DUMMYFUNCTION("""COMPUTED_VALUE"""),-0.149)</f>
        <v>-0.14899999999999999</v>
      </c>
      <c r="M78" s="1">
        <f ca="1">IFERROR(__xludf.DUMMYFUNCTION("""COMPUTED_VALUE"""),334)</f>
        <v>334</v>
      </c>
      <c r="N78" s="1" t="str">
        <f ca="1">IFERROR(__xludf.DUMMYFUNCTION("""COMPUTED_VALUE"""),"+5.61")</f>
        <v>+5.61</v>
      </c>
      <c r="O78" s="1">
        <f ca="1">IFERROR(__xludf.DUMMYFUNCTION("""COMPUTED_VALUE"""),72)</f>
        <v>72</v>
      </c>
      <c r="P78" s="1">
        <f ca="1">IFERROR(__xludf.DUMMYFUNCTION("""COMPUTED_VALUE"""),105.3)</f>
        <v>105.3</v>
      </c>
      <c r="Q78" s="1">
        <f ca="1">IFERROR(__xludf.DUMMYFUNCTION("""COMPUTED_VALUE"""),78)</f>
        <v>78</v>
      </c>
      <c r="R78" s="1">
        <f ca="1">IFERROR(__xludf.DUMMYFUNCTION("""COMPUTED_VALUE"""),99.7)</f>
        <v>99.7</v>
      </c>
      <c r="S78" s="1">
        <f ca="1">IFERROR(__xludf.DUMMYFUNCTION("""COMPUTED_VALUE"""),59)</f>
        <v>59</v>
      </c>
      <c r="T78" s="1">
        <f ca="1">IFERROR(__xludf.DUMMYFUNCTION("""COMPUTED_VALUE"""),-9.6)</f>
        <v>-9.6</v>
      </c>
      <c r="U78" s="1">
        <f ca="1">IFERROR(__xludf.DUMMYFUNCTION("""COMPUTED_VALUE"""),323)</f>
        <v>323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IFERROR(__xludf.DUMMYFUNCTION("""COMPUTED_VALUE"""),"Houston3")</f>
        <v>Houston3</v>
      </c>
      <c r="C79" s="1" t="str">
        <f ca="1">IFERROR(__xludf.DUMMYFUNCTION("""COMPUTED_VALUE"""),"CUSA")</f>
        <v>CUSA</v>
      </c>
      <c r="D79" s="1" t="str">
        <f ca="1">IFERROR(__xludf.DUMMYFUNCTION("""COMPUTED_VALUE"""),"21-10")</f>
        <v>21-10</v>
      </c>
      <c r="E79" s="1" t="str">
        <f ca="1">IFERROR(__xludf.DUMMYFUNCTION("""COMPUTED_VALUE"""),"+10.21")</f>
        <v>+10.21</v>
      </c>
      <c r="F79" s="1">
        <f ca="1">IFERROR(__xludf.DUMMYFUNCTION("""COMPUTED_VALUE"""),103.5)</f>
        <v>103.5</v>
      </c>
      <c r="G79" s="1">
        <f ca="1">IFERROR(__xludf.DUMMYFUNCTION("""COMPUTED_VALUE"""),160)</f>
        <v>160</v>
      </c>
      <c r="H79" s="1">
        <f ca="1">IFERROR(__xludf.DUMMYFUNCTION("""COMPUTED_VALUE"""),93.3)</f>
        <v>93.3</v>
      </c>
      <c r="I79" s="1">
        <f ca="1">IFERROR(__xludf.DUMMYFUNCTION("""COMPUTED_VALUE"""),23)</f>
        <v>23</v>
      </c>
      <c r="J79" s="1">
        <f ca="1">IFERROR(__xludf.DUMMYFUNCTION("""COMPUTED_VALUE"""),67.5)</f>
        <v>67.5</v>
      </c>
      <c r="K79" s="1">
        <f ca="1">IFERROR(__xludf.DUMMYFUNCTION("""COMPUTED_VALUE"""),87)</f>
        <v>87</v>
      </c>
      <c r="L79" s="1">
        <f ca="1">IFERROR(__xludf.DUMMYFUNCTION("""COMPUTED_VALUE"""),-0.014)</f>
        <v>-1.4E-2</v>
      </c>
      <c r="M79" s="1">
        <f ca="1">IFERROR(__xludf.DUMMYFUNCTION("""COMPUTED_VALUE"""),201)</f>
        <v>201</v>
      </c>
      <c r="N79" s="1" t="str">
        <f ca="1">IFERROR(__xludf.DUMMYFUNCTION("""COMPUTED_VALUE"""),"+1.61")</f>
        <v>+1.61</v>
      </c>
      <c r="O79" s="1">
        <f ca="1">IFERROR(__xludf.DUMMYFUNCTION("""COMPUTED_VALUE"""),125)</f>
        <v>125</v>
      </c>
      <c r="P79" s="1">
        <f ca="1">IFERROR(__xludf.DUMMYFUNCTION("""COMPUTED_VALUE"""),102.6)</f>
        <v>102.6</v>
      </c>
      <c r="Q79" s="1">
        <f ca="1">IFERROR(__xludf.DUMMYFUNCTION("""COMPUTED_VALUE"""),181)</f>
        <v>181</v>
      </c>
      <c r="R79" s="1">
        <f ca="1">IFERROR(__xludf.DUMMYFUNCTION("""COMPUTED_VALUE"""),101)</f>
        <v>101</v>
      </c>
      <c r="S79" s="1">
        <f ca="1">IFERROR(__xludf.DUMMYFUNCTION("""COMPUTED_VALUE"""),94)</f>
        <v>94</v>
      </c>
      <c r="T79" s="1" t="str">
        <f ca="1">IFERROR(__xludf.DUMMYFUNCTION("""COMPUTED_VALUE"""),"+2.22")</f>
        <v>+2.22</v>
      </c>
      <c r="U79" s="1">
        <f ca="1">IFERROR(__xludf.DUMMYFUNCTION("""COMPUTED_VALUE"""),90)</f>
        <v>90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IFERROR(__xludf.DUMMYFUNCTION("""COMPUTED_VALUE"""),"Iowa St.")</f>
        <v>Iowa St.</v>
      </c>
      <c r="C80" s="1" t="str">
        <f ca="1">IFERROR(__xludf.DUMMYFUNCTION("""COMPUTED_VALUE"""),"B12")</f>
        <v>B12</v>
      </c>
      <c r="D80" s="1" t="str">
        <f ca="1">IFERROR(__xludf.DUMMYFUNCTION("""COMPUTED_VALUE"""),"16-14")</f>
        <v>16-14</v>
      </c>
      <c r="E80" s="1" t="str">
        <f ca="1">IFERROR(__xludf.DUMMYFUNCTION("""COMPUTED_VALUE"""),"+10.03")</f>
        <v>+10.03</v>
      </c>
      <c r="F80" s="1">
        <f ca="1">IFERROR(__xludf.DUMMYFUNCTION("""COMPUTED_VALUE"""),111.2)</f>
        <v>111.2</v>
      </c>
      <c r="G80" s="1">
        <f ca="1">IFERROR(__xludf.DUMMYFUNCTION("""COMPUTED_VALUE"""),44)</f>
        <v>44</v>
      </c>
      <c r="H80" s="1">
        <f ca="1">IFERROR(__xludf.DUMMYFUNCTION("""COMPUTED_VALUE"""),101.2)</f>
        <v>101.2</v>
      </c>
      <c r="I80" s="1">
        <f ca="1">IFERROR(__xludf.DUMMYFUNCTION("""COMPUTED_VALUE"""),132)</f>
        <v>132</v>
      </c>
      <c r="J80" s="1">
        <f ca="1">IFERROR(__xludf.DUMMYFUNCTION("""COMPUTED_VALUE"""),69.8)</f>
        <v>69.8</v>
      </c>
      <c r="K80" s="1">
        <f ca="1">IFERROR(__xludf.DUMMYFUNCTION("""COMPUTED_VALUE"""),30)</f>
        <v>30</v>
      </c>
      <c r="L80" s="1">
        <f ca="1">IFERROR(__xludf.DUMMYFUNCTION("""COMPUTED_VALUE"""),-0.052)</f>
        <v>-5.1999999999999998E-2</v>
      </c>
      <c r="M80" s="1">
        <f ca="1">IFERROR(__xludf.DUMMYFUNCTION("""COMPUTED_VALUE"""),285)</f>
        <v>285</v>
      </c>
      <c r="N80" s="1" t="str">
        <f ca="1">IFERROR(__xludf.DUMMYFUNCTION("""COMPUTED_VALUE"""),"+6.75")</f>
        <v>+6.75</v>
      </c>
      <c r="O80" s="1">
        <f ca="1">IFERROR(__xludf.DUMMYFUNCTION("""COMPUTED_VALUE"""),51)</f>
        <v>51</v>
      </c>
      <c r="P80" s="1">
        <f ca="1">IFERROR(__xludf.DUMMYFUNCTION("""COMPUTED_VALUE"""),105.6)</f>
        <v>105.6</v>
      </c>
      <c r="Q80" s="1">
        <f ca="1">IFERROR(__xludf.DUMMYFUNCTION("""COMPUTED_VALUE"""),66)</f>
        <v>66</v>
      </c>
      <c r="R80" s="1">
        <f ca="1">IFERROR(__xludf.DUMMYFUNCTION("""COMPUTED_VALUE"""),98.8)</f>
        <v>98.8</v>
      </c>
      <c r="S80" s="1">
        <f ca="1">IFERROR(__xludf.DUMMYFUNCTION("""COMPUTED_VALUE"""),30)</f>
        <v>30</v>
      </c>
      <c r="T80" s="1" t="str">
        <f ca="1">IFERROR(__xludf.DUMMYFUNCTION("""COMPUTED_VALUE"""),"+1.77")</f>
        <v>+1.77</v>
      </c>
      <c r="U80" s="1">
        <f ca="1">IFERROR(__xludf.DUMMYFUNCTION("""COMPUTED_VALUE"""),108)</f>
        <v>108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IFERROR(__xludf.DUMMYFUNCTION("""COMPUTED_VALUE"""),"Kansas St.")</f>
        <v>Kansas St.</v>
      </c>
      <c r="C81" s="1" t="str">
        <f ca="1">IFERROR(__xludf.DUMMYFUNCTION("""COMPUTED_VALUE"""),"B12")</f>
        <v>B12</v>
      </c>
      <c r="D81" s="1" t="str">
        <f ca="1">IFERROR(__xludf.DUMMYFUNCTION("""COMPUTED_VALUE"""),"15-13")</f>
        <v>15-13</v>
      </c>
      <c r="E81" s="1" t="str">
        <f ca="1">IFERROR(__xludf.DUMMYFUNCTION("""COMPUTED_VALUE"""),"+9.59")</f>
        <v>+9.59</v>
      </c>
      <c r="F81" s="1">
        <f ca="1">IFERROR(__xludf.DUMMYFUNCTION("""COMPUTED_VALUE"""),105.9)</f>
        <v>105.9</v>
      </c>
      <c r="G81" s="1">
        <f ca="1">IFERROR(__xludf.DUMMYFUNCTION("""COMPUTED_VALUE"""),117)</f>
        <v>117</v>
      </c>
      <c r="H81" s="1">
        <f ca="1">IFERROR(__xludf.DUMMYFUNCTION("""COMPUTED_VALUE"""),96.3)</f>
        <v>96.3</v>
      </c>
      <c r="I81" s="1">
        <f ca="1">IFERROR(__xludf.DUMMYFUNCTION("""COMPUTED_VALUE"""),54)</f>
        <v>54</v>
      </c>
      <c r="J81" s="1">
        <f ca="1">IFERROR(__xludf.DUMMYFUNCTION("""COMPUTED_VALUE"""),63.1)</f>
        <v>63.1</v>
      </c>
      <c r="K81" s="1">
        <f ca="1">IFERROR(__xludf.DUMMYFUNCTION("""COMPUTED_VALUE"""),258)</f>
        <v>258</v>
      </c>
      <c r="L81" s="1">
        <f ca="1">IFERROR(__xludf.DUMMYFUNCTION("""COMPUTED_VALUE"""),-0.097)</f>
        <v>-9.7000000000000003E-2</v>
      </c>
      <c r="M81" s="1">
        <f ca="1">IFERROR(__xludf.DUMMYFUNCTION("""COMPUTED_VALUE"""),320)</f>
        <v>320</v>
      </c>
      <c r="N81" s="1" t="str">
        <f ca="1">IFERROR(__xludf.DUMMYFUNCTION("""COMPUTED_VALUE"""),"+3.77")</f>
        <v>+3.77</v>
      </c>
      <c r="O81" s="1">
        <f ca="1">IFERROR(__xludf.DUMMYFUNCTION("""COMPUTED_VALUE"""),94)</f>
        <v>94</v>
      </c>
      <c r="P81" s="1">
        <f ca="1">IFERROR(__xludf.DUMMYFUNCTION("""COMPUTED_VALUE"""),105.2)</f>
        <v>105.2</v>
      </c>
      <c r="Q81" s="1">
        <f ca="1">IFERROR(__xludf.DUMMYFUNCTION("""COMPUTED_VALUE"""),81)</f>
        <v>81</v>
      </c>
      <c r="R81" s="1">
        <f ca="1">IFERROR(__xludf.DUMMYFUNCTION("""COMPUTED_VALUE"""),101.4)</f>
        <v>101.4</v>
      </c>
      <c r="S81" s="1">
        <f ca="1">IFERROR(__xludf.DUMMYFUNCTION("""COMPUTED_VALUE"""),108)</f>
        <v>108</v>
      </c>
      <c r="T81" s="1">
        <f ca="1">IFERROR(__xludf.DUMMYFUNCTION("""COMPUTED_VALUE"""),-6.05)</f>
        <v>-6.05</v>
      </c>
      <c r="U81" s="1">
        <f ca="1">IFERROR(__xludf.DUMMYFUNCTION("""COMPUTED_VALUE"""),294)</f>
        <v>294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IFERROR(__xludf.DUMMYFUNCTION("""COMPUTED_VALUE"""),"Stanford7")</f>
        <v>Stanford7</v>
      </c>
      <c r="C82" s="1" t="str">
        <f ca="1">IFERROR(__xludf.DUMMYFUNCTION("""COMPUTED_VALUE"""),"P10")</f>
        <v>P10</v>
      </c>
      <c r="D82" s="1" t="str">
        <f ca="1">IFERROR(__xludf.DUMMYFUNCTION("""COMPUTED_VALUE"""),"16-14")</f>
        <v>16-14</v>
      </c>
      <c r="E82" s="1" t="str">
        <f ca="1">IFERROR(__xludf.DUMMYFUNCTION("""COMPUTED_VALUE"""),"+9.56")</f>
        <v>+9.56</v>
      </c>
      <c r="F82" s="1">
        <f ca="1">IFERROR(__xludf.DUMMYFUNCTION("""COMPUTED_VALUE"""),105.9)</f>
        <v>105.9</v>
      </c>
      <c r="G82" s="1">
        <f ca="1">IFERROR(__xludf.DUMMYFUNCTION("""COMPUTED_VALUE"""),115)</f>
        <v>115</v>
      </c>
      <c r="H82" s="1">
        <f ca="1">IFERROR(__xludf.DUMMYFUNCTION("""COMPUTED_VALUE"""),96.4)</f>
        <v>96.4</v>
      </c>
      <c r="I82" s="1">
        <f ca="1">IFERROR(__xludf.DUMMYFUNCTION("""COMPUTED_VALUE"""),56)</f>
        <v>56</v>
      </c>
      <c r="J82" s="1">
        <f ca="1">IFERROR(__xludf.DUMMYFUNCTION("""COMPUTED_VALUE"""),64.3)</f>
        <v>64.3</v>
      </c>
      <c r="K82" s="1">
        <f ca="1">IFERROR(__xludf.DUMMYFUNCTION("""COMPUTED_VALUE"""),218)</f>
        <v>218</v>
      </c>
      <c r="L82" s="1" t="str">
        <f ca="1">IFERROR(__xludf.DUMMYFUNCTION("""COMPUTED_VALUE"""),"+.006")</f>
        <v>+.006</v>
      </c>
      <c r="M82" s="1">
        <f ca="1">IFERROR(__xludf.DUMMYFUNCTION("""COMPUTED_VALUE"""),152)</f>
        <v>152</v>
      </c>
      <c r="N82" s="1" t="str">
        <f ca="1">IFERROR(__xludf.DUMMYFUNCTION("""COMPUTED_VALUE"""),"+7.73")</f>
        <v>+7.73</v>
      </c>
      <c r="O82" s="1">
        <f ca="1">IFERROR(__xludf.DUMMYFUNCTION("""COMPUTED_VALUE"""),38)</f>
        <v>38</v>
      </c>
      <c r="P82" s="1">
        <f ca="1">IFERROR(__xludf.DUMMYFUNCTION("""COMPUTED_VALUE"""),107.1)</f>
        <v>107.1</v>
      </c>
      <c r="Q82" s="1">
        <f ca="1">IFERROR(__xludf.DUMMYFUNCTION("""COMPUTED_VALUE"""),35)</f>
        <v>35</v>
      </c>
      <c r="R82" s="1">
        <f ca="1">IFERROR(__xludf.DUMMYFUNCTION("""COMPUTED_VALUE"""),99.4)</f>
        <v>99.4</v>
      </c>
      <c r="S82" s="1">
        <f ca="1">IFERROR(__xludf.DUMMYFUNCTION("""COMPUTED_VALUE"""),50)</f>
        <v>50</v>
      </c>
      <c r="T82" s="1">
        <f ca="1">IFERROR(__xludf.DUMMYFUNCTION("""COMPUTED_VALUE"""),-1.23)</f>
        <v>-1.23</v>
      </c>
      <c r="U82" s="1">
        <f ca="1">IFERROR(__xludf.DUMMYFUNCTION("""COMPUTED_VALUE"""),184)</f>
        <v>184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IFERROR(__xludf.DUMMYFUNCTION("""COMPUTED_VALUE"""),"Providence")</f>
        <v>Providence</v>
      </c>
      <c r="C83" s="1" t="str">
        <f ca="1">IFERROR(__xludf.DUMMYFUNCTION("""COMPUTED_VALUE"""),"BE")</f>
        <v>BE</v>
      </c>
      <c r="D83" s="2">
        <f ca="1">IFERROR(__xludf.DUMMYFUNCTION("""COMPUTED_VALUE"""),44910)</f>
        <v>44910</v>
      </c>
      <c r="E83" s="1" t="str">
        <f ca="1">IFERROR(__xludf.DUMMYFUNCTION("""COMPUTED_VALUE"""),"+9.47")</f>
        <v>+9.47</v>
      </c>
      <c r="F83" s="1">
        <f ca="1">IFERROR(__xludf.DUMMYFUNCTION("""COMPUTED_VALUE"""),112.2)</f>
        <v>112.2</v>
      </c>
      <c r="G83" s="1">
        <f ca="1">IFERROR(__xludf.DUMMYFUNCTION("""COMPUTED_VALUE"""),36)</f>
        <v>36</v>
      </c>
      <c r="H83" s="1">
        <f ca="1">IFERROR(__xludf.DUMMYFUNCTION("""COMPUTED_VALUE"""),102.7)</f>
        <v>102.7</v>
      </c>
      <c r="I83" s="1">
        <f ca="1">IFERROR(__xludf.DUMMYFUNCTION("""COMPUTED_VALUE"""),162)</f>
        <v>162</v>
      </c>
      <c r="J83" s="1">
        <f ca="1">IFERROR(__xludf.DUMMYFUNCTION("""COMPUTED_VALUE"""),68.7)</f>
        <v>68.7</v>
      </c>
      <c r="K83" s="1">
        <f ca="1">IFERROR(__xludf.DUMMYFUNCTION("""COMPUTED_VALUE"""),50)</f>
        <v>50</v>
      </c>
      <c r="L83" s="1">
        <f ca="1">IFERROR(__xludf.DUMMYFUNCTION("""COMPUTED_VALUE"""),-0.058)</f>
        <v>-5.8000000000000003E-2</v>
      </c>
      <c r="M83" s="1">
        <f ca="1">IFERROR(__xludf.DUMMYFUNCTION("""COMPUTED_VALUE"""),290)</f>
        <v>290</v>
      </c>
      <c r="N83" s="1" t="str">
        <f ca="1">IFERROR(__xludf.DUMMYFUNCTION("""COMPUTED_VALUE"""),"+9.18")</f>
        <v>+9.18</v>
      </c>
      <c r="O83" s="1">
        <f ca="1">IFERROR(__xludf.DUMMYFUNCTION("""COMPUTED_VALUE"""),15)</f>
        <v>15</v>
      </c>
      <c r="P83" s="1">
        <f ca="1">IFERROR(__xludf.DUMMYFUNCTION("""COMPUTED_VALUE"""),108.4)</f>
        <v>108.4</v>
      </c>
      <c r="Q83" s="1">
        <f ca="1">IFERROR(__xludf.DUMMYFUNCTION("""COMPUTED_VALUE"""),4)</f>
        <v>4</v>
      </c>
      <c r="R83" s="1">
        <f ca="1">IFERROR(__xludf.DUMMYFUNCTION("""COMPUTED_VALUE"""),99.2)</f>
        <v>99.2</v>
      </c>
      <c r="S83" s="1">
        <f ca="1">IFERROR(__xludf.DUMMYFUNCTION("""COMPUTED_VALUE"""),43)</f>
        <v>43</v>
      </c>
      <c r="T83" s="1" t="str">
        <f ca="1">IFERROR(__xludf.DUMMYFUNCTION("""COMPUTED_VALUE"""),"+1.71")</f>
        <v>+1.71</v>
      </c>
      <c r="U83" s="1">
        <f ca="1">IFERROR(__xludf.DUMMYFUNCTION("""COMPUTED_VALUE"""),111)</f>
        <v>111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IFERROR(__xludf.DUMMYFUNCTION("""COMPUTED_VALUE"""),"Wake Forest5")</f>
        <v>Wake Forest5</v>
      </c>
      <c r="C84" s="1" t="str">
        <f ca="1">IFERROR(__xludf.DUMMYFUNCTION("""COMPUTED_VALUE"""),"ACC")</f>
        <v>ACC</v>
      </c>
      <c r="D84" s="1" t="str">
        <f ca="1">IFERROR(__xludf.DUMMYFUNCTION("""COMPUTED_VALUE"""),"17-17")</f>
        <v>17-17</v>
      </c>
      <c r="E84" s="1" t="str">
        <f ca="1">IFERROR(__xludf.DUMMYFUNCTION("""COMPUTED_VALUE"""),"+9.46")</f>
        <v>+9.46</v>
      </c>
      <c r="F84" s="1">
        <f ca="1">IFERROR(__xludf.DUMMYFUNCTION("""COMPUTED_VALUE"""),110.4)</f>
        <v>110.4</v>
      </c>
      <c r="G84" s="1">
        <f ca="1">IFERROR(__xludf.DUMMYFUNCTION("""COMPUTED_VALUE"""),51)</f>
        <v>51</v>
      </c>
      <c r="H84" s="1">
        <f ca="1">IFERROR(__xludf.DUMMYFUNCTION("""COMPUTED_VALUE"""),100.9)</f>
        <v>100.9</v>
      </c>
      <c r="I84" s="1">
        <f ca="1">IFERROR(__xludf.DUMMYFUNCTION("""COMPUTED_VALUE"""),126)</f>
        <v>126</v>
      </c>
      <c r="J84" s="1">
        <f ca="1">IFERROR(__xludf.DUMMYFUNCTION("""COMPUTED_VALUE"""),66.9)</f>
        <v>66.900000000000006</v>
      </c>
      <c r="K84" s="1">
        <f ca="1">IFERROR(__xludf.DUMMYFUNCTION("""COMPUTED_VALUE"""),106)</f>
        <v>106</v>
      </c>
      <c r="L84" s="1">
        <f ca="1">IFERROR(__xludf.DUMMYFUNCTION("""COMPUTED_VALUE"""),-0.033)</f>
        <v>-3.3000000000000002E-2</v>
      </c>
      <c r="M84" s="1">
        <f ca="1">IFERROR(__xludf.DUMMYFUNCTION("""COMPUTED_VALUE"""),249)</f>
        <v>249</v>
      </c>
      <c r="N84" s="1" t="str">
        <f ca="1">IFERROR(__xludf.DUMMYFUNCTION("""COMPUTED_VALUE"""),"+8.32")</f>
        <v>+8.32</v>
      </c>
      <c r="O84" s="1">
        <f ca="1">IFERROR(__xludf.DUMMYFUNCTION("""COMPUTED_VALUE"""),26)</f>
        <v>26</v>
      </c>
      <c r="P84" s="1">
        <f ca="1">IFERROR(__xludf.DUMMYFUNCTION("""COMPUTED_VALUE"""),107.4)</f>
        <v>107.4</v>
      </c>
      <c r="Q84" s="1">
        <f ca="1">IFERROR(__xludf.DUMMYFUNCTION("""COMPUTED_VALUE"""),30)</f>
        <v>30</v>
      </c>
      <c r="R84" s="1">
        <f ca="1">IFERROR(__xludf.DUMMYFUNCTION("""COMPUTED_VALUE"""),99.1)</f>
        <v>99.1</v>
      </c>
      <c r="S84" s="1">
        <f ca="1">IFERROR(__xludf.DUMMYFUNCTION("""COMPUTED_VALUE"""),38)</f>
        <v>38</v>
      </c>
      <c r="T84" s="1">
        <f ca="1">IFERROR(__xludf.DUMMYFUNCTION("""COMPUTED_VALUE"""),-4.51)</f>
        <v>-4.51</v>
      </c>
      <c r="U84" s="1">
        <f ca="1">IFERROR(__xludf.DUMMYFUNCTION("""COMPUTED_VALUE"""),267)</f>
        <v>267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IFERROR(__xludf.DUMMYFUNCTION("""COMPUTED_VALUE"""),"Virginia8")</f>
        <v>Virginia8</v>
      </c>
      <c r="C87" s="1" t="str">
        <f ca="1">IFERROR(__xludf.DUMMYFUNCTION("""COMPUTED_VALUE"""),"ACC")</f>
        <v>ACC</v>
      </c>
      <c r="D87" s="1" t="str">
        <f ca="1">IFERROR(__xludf.DUMMYFUNCTION("""COMPUTED_VALUE"""),"15-15")</f>
        <v>15-15</v>
      </c>
      <c r="E87" s="1" t="str">
        <f ca="1">IFERROR(__xludf.DUMMYFUNCTION("""COMPUTED_VALUE"""),"+9.41")</f>
        <v>+9.41</v>
      </c>
      <c r="F87" s="1">
        <f ca="1">IFERROR(__xludf.DUMMYFUNCTION("""COMPUTED_VALUE"""),106.1)</f>
        <v>106.1</v>
      </c>
      <c r="G87" s="1">
        <f ca="1">IFERROR(__xludf.DUMMYFUNCTION("""COMPUTED_VALUE"""),113)</f>
        <v>113</v>
      </c>
      <c r="H87" s="1">
        <f ca="1">IFERROR(__xludf.DUMMYFUNCTION("""COMPUTED_VALUE"""),96.7)</f>
        <v>96.7</v>
      </c>
      <c r="I87" s="1">
        <f ca="1">IFERROR(__xludf.DUMMYFUNCTION("""COMPUTED_VALUE"""),65)</f>
        <v>65</v>
      </c>
      <c r="J87" s="1">
        <f ca="1">IFERROR(__xludf.DUMMYFUNCTION("""COMPUTED_VALUE"""),63.8)</f>
        <v>63.8</v>
      </c>
      <c r="K87" s="1">
        <f ca="1">IFERROR(__xludf.DUMMYFUNCTION("""COMPUTED_VALUE"""),237)</f>
        <v>237</v>
      </c>
      <c r="L87" s="1">
        <f ca="1">IFERROR(__xludf.DUMMYFUNCTION("""COMPUTED_VALUE"""),-0.015)</f>
        <v>-1.4999999999999999E-2</v>
      </c>
      <c r="M87" s="1">
        <f ca="1">IFERROR(__xludf.DUMMYFUNCTION("""COMPUTED_VALUE"""),202)</f>
        <v>202</v>
      </c>
      <c r="N87" s="1" t="str">
        <f ca="1">IFERROR(__xludf.DUMMYFUNCTION("""COMPUTED_VALUE"""),"+8.79")</f>
        <v>+8.79</v>
      </c>
      <c r="O87" s="1">
        <f ca="1">IFERROR(__xludf.DUMMYFUNCTION("""COMPUTED_VALUE"""),21)</f>
        <v>21</v>
      </c>
      <c r="P87" s="1">
        <f ca="1">IFERROR(__xludf.DUMMYFUNCTION("""COMPUTED_VALUE"""),108.2)</f>
        <v>108.2</v>
      </c>
      <c r="Q87" s="1">
        <f ca="1">IFERROR(__xludf.DUMMYFUNCTION("""COMPUTED_VALUE"""),13)</f>
        <v>13</v>
      </c>
      <c r="R87" s="1">
        <f ca="1">IFERROR(__xludf.DUMMYFUNCTION("""COMPUTED_VALUE"""),99.4)</f>
        <v>99.4</v>
      </c>
      <c r="S87" s="1">
        <f ca="1">IFERROR(__xludf.DUMMYFUNCTION("""COMPUTED_VALUE"""),51)</f>
        <v>51</v>
      </c>
      <c r="T87" s="1">
        <f ca="1">IFERROR(__xludf.DUMMYFUNCTION("""COMPUTED_VALUE"""),-4.05)</f>
        <v>-4.05</v>
      </c>
      <c r="U87" s="1">
        <f ca="1">IFERROR(__xludf.DUMMYFUNCTION("""COMPUTED_VALUE"""),257)</f>
        <v>257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IFERROR(__xludf.DUMMYFUNCTION("""COMPUTED_VALUE"""),"Minnesota4")</f>
        <v>Minnesota4</v>
      </c>
      <c r="C88" s="1" t="str">
        <f ca="1">IFERROR(__xludf.DUMMYFUNCTION("""COMPUTED_VALUE"""),"B10")</f>
        <v>B10</v>
      </c>
      <c r="D88" s="1" t="str">
        <f ca="1">IFERROR(__xludf.DUMMYFUNCTION("""COMPUTED_VALUE"""),"16-15")</f>
        <v>16-15</v>
      </c>
      <c r="E88" s="1" t="str">
        <f ca="1">IFERROR(__xludf.DUMMYFUNCTION("""COMPUTED_VALUE"""),"+9.34")</f>
        <v>+9.34</v>
      </c>
      <c r="F88" s="1">
        <f ca="1">IFERROR(__xludf.DUMMYFUNCTION("""COMPUTED_VALUE"""),104.4)</f>
        <v>104.4</v>
      </c>
      <c r="G88" s="1">
        <f ca="1">IFERROR(__xludf.DUMMYFUNCTION("""COMPUTED_VALUE"""),142)</f>
        <v>142</v>
      </c>
      <c r="H88" s="1">
        <f ca="1">IFERROR(__xludf.DUMMYFUNCTION("""COMPUTED_VALUE"""),95.1)</f>
        <v>95.1</v>
      </c>
      <c r="I88" s="1">
        <f ca="1">IFERROR(__xludf.DUMMYFUNCTION("""COMPUTED_VALUE"""),43)</f>
        <v>43</v>
      </c>
      <c r="J88" s="1">
        <f ca="1">IFERROR(__xludf.DUMMYFUNCTION("""COMPUTED_VALUE"""),64.2)</f>
        <v>64.2</v>
      </c>
      <c r="K88" s="1">
        <f ca="1">IFERROR(__xludf.DUMMYFUNCTION("""COMPUTED_VALUE"""),224)</f>
        <v>224</v>
      </c>
      <c r="L88" s="1">
        <f ca="1">IFERROR(__xludf.DUMMYFUNCTION("""COMPUTED_VALUE"""),-0.016)</f>
        <v>-1.6E-2</v>
      </c>
      <c r="M88" s="1">
        <f ca="1">IFERROR(__xludf.DUMMYFUNCTION("""COMPUTED_VALUE"""),206)</f>
        <v>206</v>
      </c>
      <c r="N88" s="1" t="str">
        <f ca="1">IFERROR(__xludf.DUMMYFUNCTION("""COMPUTED_VALUE"""),"+7.00")</f>
        <v>+7.00</v>
      </c>
      <c r="O88" s="1">
        <f ca="1">IFERROR(__xludf.DUMMYFUNCTION("""COMPUTED_VALUE"""),45)</f>
        <v>45</v>
      </c>
      <c r="P88" s="1">
        <f ca="1">IFERROR(__xludf.DUMMYFUNCTION("""COMPUTED_VALUE"""),106.1)</f>
        <v>106.1</v>
      </c>
      <c r="Q88" s="1">
        <f ca="1">IFERROR(__xludf.DUMMYFUNCTION("""COMPUTED_VALUE"""),56)</f>
        <v>56</v>
      </c>
      <c r="R88" s="1">
        <f ca="1">IFERROR(__xludf.DUMMYFUNCTION("""COMPUTED_VALUE"""),99.1)</f>
        <v>99.1</v>
      </c>
      <c r="S88" s="1">
        <f ca="1">IFERROR(__xludf.DUMMYFUNCTION("""COMPUTED_VALUE"""),35)</f>
        <v>35</v>
      </c>
      <c r="T88" s="1">
        <f ca="1">IFERROR(__xludf.DUMMYFUNCTION("""COMPUTED_VALUE"""),-5.16)</f>
        <v>-5.16</v>
      </c>
      <c r="U88" s="1">
        <f ca="1">IFERROR(__xludf.DUMMYFUNCTION("""COMPUTED_VALUE"""),279)</f>
        <v>279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IFERROR(__xludf.DUMMYFUNCTION("""COMPUTED_VALUE"""),"Akron8")</f>
        <v>Akron8</v>
      </c>
      <c r="C89" s="1" t="str">
        <f ca="1">IFERROR(__xludf.DUMMYFUNCTION("""COMPUTED_VALUE"""),"MAC")</f>
        <v>MAC</v>
      </c>
      <c r="D89" s="1" t="str">
        <f ca="1">IFERROR(__xludf.DUMMYFUNCTION("""COMPUTED_VALUE"""),"23-10")</f>
        <v>23-10</v>
      </c>
      <c r="E89" s="1" t="str">
        <f ca="1">IFERROR(__xludf.DUMMYFUNCTION("""COMPUTED_VALUE"""),"+9.28")</f>
        <v>+9.28</v>
      </c>
      <c r="F89" s="1">
        <f ca="1">IFERROR(__xludf.DUMMYFUNCTION("""COMPUTED_VALUE"""),111.1)</f>
        <v>111.1</v>
      </c>
      <c r="G89" s="1">
        <f ca="1">IFERROR(__xludf.DUMMYFUNCTION("""COMPUTED_VALUE"""),45)</f>
        <v>45</v>
      </c>
      <c r="H89" s="1">
        <f ca="1">IFERROR(__xludf.DUMMYFUNCTION("""COMPUTED_VALUE"""),101.8)</f>
        <v>101.8</v>
      </c>
      <c r="I89" s="1">
        <f ca="1">IFERROR(__xludf.DUMMYFUNCTION("""COMPUTED_VALUE"""),146)</f>
        <v>146</v>
      </c>
      <c r="J89" s="1">
        <f ca="1">IFERROR(__xludf.DUMMYFUNCTION("""COMPUTED_VALUE"""),64.1)</f>
        <v>64.099999999999994</v>
      </c>
      <c r="K89" s="1">
        <f ca="1">IFERROR(__xludf.DUMMYFUNCTION("""COMPUTED_VALUE"""),227)</f>
        <v>227</v>
      </c>
      <c r="L89" s="1" t="str">
        <f ca="1">IFERROR(__xludf.DUMMYFUNCTION("""COMPUTED_VALUE"""),"+.037")</f>
        <v>+.037</v>
      </c>
      <c r="M89" s="1">
        <f ca="1">IFERROR(__xludf.DUMMYFUNCTION("""COMPUTED_VALUE"""),78)</f>
        <v>78</v>
      </c>
      <c r="N89" s="1" t="str">
        <f ca="1">IFERROR(__xludf.DUMMYFUNCTION("""COMPUTED_VALUE"""),"+0.82")</f>
        <v>+0.82</v>
      </c>
      <c r="O89" s="1">
        <f ca="1">IFERROR(__xludf.DUMMYFUNCTION("""COMPUTED_VALUE"""),140)</f>
        <v>140</v>
      </c>
      <c r="P89" s="1">
        <f ca="1">IFERROR(__xludf.DUMMYFUNCTION("""COMPUTED_VALUE"""),102.5)</f>
        <v>102.5</v>
      </c>
      <c r="Q89" s="1">
        <f ca="1">IFERROR(__xludf.DUMMYFUNCTION("""COMPUTED_VALUE"""),187)</f>
        <v>187</v>
      </c>
      <c r="R89" s="1">
        <f ca="1">IFERROR(__xludf.DUMMYFUNCTION("""COMPUTED_VALUE"""),101.7)</f>
        <v>101.7</v>
      </c>
      <c r="S89" s="1">
        <f ca="1">IFERROR(__xludf.DUMMYFUNCTION("""COMPUTED_VALUE"""),121)</f>
        <v>121</v>
      </c>
      <c r="T89" s="1" t="str">
        <f ca="1">IFERROR(__xludf.DUMMYFUNCTION("""COMPUTED_VALUE"""),"+1.96")</f>
        <v>+1.96</v>
      </c>
      <c r="U89" s="1">
        <f ca="1">IFERROR(__xludf.DUMMYFUNCTION("""COMPUTED_VALUE"""),100)</f>
        <v>100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IFERROR(__xludf.DUMMYFUNCTION("""COMPUTED_VALUE"""),"South Alabama14")</f>
        <v>South Alabama14</v>
      </c>
      <c r="C90" s="1" t="str">
        <f ca="1">IFERROR(__xludf.DUMMYFUNCTION("""COMPUTED_VALUE"""),"SB")</f>
        <v>SB</v>
      </c>
      <c r="D90" s="1" t="str">
        <f ca="1">IFERROR(__xludf.DUMMYFUNCTION("""COMPUTED_VALUE"""),"24-7")</f>
        <v>24-7</v>
      </c>
      <c r="E90" s="1" t="str">
        <f ca="1">IFERROR(__xludf.DUMMYFUNCTION("""COMPUTED_VALUE"""),"+9.28")</f>
        <v>+9.28</v>
      </c>
      <c r="F90" s="1">
        <f ca="1">IFERROR(__xludf.DUMMYFUNCTION("""COMPUTED_VALUE"""),109.1)</f>
        <v>109.1</v>
      </c>
      <c r="G90" s="1">
        <f ca="1">IFERROR(__xludf.DUMMYFUNCTION("""COMPUTED_VALUE"""),72)</f>
        <v>72</v>
      </c>
      <c r="H90" s="1">
        <f ca="1">IFERROR(__xludf.DUMMYFUNCTION("""COMPUTED_VALUE"""),99.9)</f>
        <v>99.9</v>
      </c>
      <c r="I90" s="1">
        <f ca="1">IFERROR(__xludf.DUMMYFUNCTION("""COMPUTED_VALUE"""),113)</f>
        <v>113</v>
      </c>
      <c r="J90" s="1">
        <f ca="1">IFERROR(__xludf.DUMMYFUNCTION("""COMPUTED_VALUE"""),65.7)</f>
        <v>65.7</v>
      </c>
      <c r="K90" s="1">
        <f ca="1">IFERROR(__xludf.DUMMYFUNCTION("""COMPUTED_VALUE"""),140)</f>
        <v>140</v>
      </c>
      <c r="L90" s="1" t="str">
        <f ca="1">IFERROR(__xludf.DUMMYFUNCTION("""COMPUTED_VALUE"""),"+.056")</f>
        <v>+.056</v>
      </c>
      <c r="M90" s="1">
        <f ca="1">IFERROR(__xludf.DUMMYFUNCTION("""COMPUTED_VALUE"""),47)</f>
        <v>47</v>
      </c>
      <c r="N90" s="1">
        <f ca="1">IFERROR(__xludf.DUMMYFUNCTION("""COMPUTED_VALUE"""),-2.51)</f>
        <v>-2.5099999999999998</v>
      </c>
      <c r="O90" s="1">
        <f ca="1">IFERROR(__xludf.DUMMYFUNCTION("""COMPUTED_VALUE"""),207)</f>
        <v>207</v>
      </c>
      <c r="P90" s="1">
        <f ca="1">IFERROR(__xludf.DUMMYFUNCTION("""COMPUTED_VALUE"""),100.8)</f>
        <v>100.8</v>
      </c>
      <c r="Q90" s="1">
        <f ca="1">IFERROR(__xludf.DUMMYFUNCTION("""COMPUTED_VALUE"""),243)</f>
        <v>243</v>
      </c>
      <c r="R90" s="1">
        <f ca="1">IFERROR(__xludf.DUMMYFUNCTION("""COMPUTED_VALUE"""),103.3)</f>
        <v>103.3</v>
      </c>
      <c r="S90" s="1">
        <f ca="1">IFERROR(__xludf.DUMMYFUNCTION("""COMPUTED_VALUE"""),162)</f>
        <v>162</v>
      </c>
      <c r="T90" s="1">
        <f ca="1">IFERROR(__xludf.DUMMYFUNCTION("""COMPUTED_VALUE"""),-3.47)</f>
        <v>-3.47</v>
      </c>
      <c r="U90" s="1">
        <f ca="1">IFERROR(__xludf.DUMMYFUNCTION("""COMPUTED_VALUE"""),246)</f>
        <v>246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IFERROR(__xludf.DUMMYFUNCTION("""COMPUTED_VALUE"""),"UTEP9")</f>
        <v>UTEP9</v>
      </c>
      <c r="C91" s="1" t="str">
        <f ca="1">IFERROR(__xludf.DUMMYFUNCTION("""COMPUTED_VALUE"""),"CUSA")</f>
        <v>CUSA</v>
      </c>
      <c r="D91" s="1" t="str">
        <f ca="1">IFERROR(__xludf.DUMMYFUNCTION("""COMPUTED_VALUE"""),"21-10")</f>
        <v>21-10</v>
      </c>
      <c r="E91" s="1" t="str">
        <f ca="1">IFERROR(__xludf.DUMMYFUNCTION("""COMPUTED_VALUE"""),"+9.13")</f>
        <v>+9.13</v>
      </c>
      <c r="F91" s="1">
        <f ca="1">IFERROR(__xludf.DUMMYFUNCTION("""COMPUTED_VALUE"""),103.7)</f>
        <v>103.7</v>
      </c>
      <c r="G91" s="1">
        <f ca="1">IFERROR(__xludf.DUMMYFUNCTION("""COMPUTED_VALUE"""),156)</f>
        <v>156</v>
      </c>
      <c r="H91" s="1">
        <f ca="1">IFERROR(__xludf.DUMMYFUNCTION("""COMPUTED_VALUE"""),94.6)</f>
        <v>94.6</v>
      </c>
      <c r="I91" s="1">
        <f ca="1">IFERROR(__xludf.DUMMYFUNCTION("""COMPUTED_VALUE"""),35)</f>
        <v>35</v>
      </c>
      <c r="J91" s="1">
        <f ca="1">IFERROR(__xludf.DUMMYFUNCTION("""COMPUTED_VALUE"""),62.1)</f>
        <v>62.1</v>
      </c>
      <c r="K91" s="1">
        <f ca="1">IFERROR(__xludf.DUMMYFUNCTION("""COMPUTED_VALUE"""),284)</f>
        <v>284</v>
      </c>
      <c r="L91" s="1">
        <f ca="1">IFERROR(__xludf.DUMMYFUNCTION("""COMPUTED_VALUE"""),-0.024)</f>
        <v>-2.4E-2</v>
      </c>
      <c r="M91" s="1">
        <f ca="1">IFERROR(__xludf.DUMMYFUNCTION("""COMPUTED_VALUE"""),221)</f>
        <v>221</v>
      </c>
      <c r="N91" s="1">
        <f ca="1">IFERROR(__xludf.DUMMYFUNCTION("""COMPUTED_VALUE"""),-0.23)</f>
        <v>-0.23</v>
      </c>
      <c r="O91" s="1">
        <f ca="1">IFERROR(__xludf.DUMMYFUNCTION("""COMPUTED_VALUE"""),165)</f>
        <v>165</v>
      </c>
      <c r="P91" s="1">
        <f ca="1">IFERROR(__xludf.DUMMYFUNCTION("""COMPUTED_VALUE"""),101.4)</f>
        <v>101.4</v>
      </c>
      <c r="Q91" s="1">
        <f ca="1">IFERROR(__xludf.DUMMYFUNCTION("""COMPUTED_VALUE"""),226)</f>
        <v>226</v>
      </c>
      <c r="R91" s="1">
        <f ca="1">IFERROR(__xludf.DUMMYFUNCTION("""COMPUTED_VALUE"""),101.6)</f>
        <v>101.6</v>
      </c>
      <c r="S91" s="1">
        <f ca="1">IFERROR(__xludf.DUMMYFUNCTION("""COMPUTED_VALUE"""),116)</f>
        <v>116</v>
      </c>
      <c r="T91" s="1">
        <f ca="1">IFERROR(__xludf.DUMMYFUNCTION("""COMPUTED_VALUE"""),-0.41)</f>
        <v>-0.41</v>
      </c>
      <c r="U91" s="1">
        <f ca="1">IFERROR(__xludf.DUMMYFUNCTION("""COMPUTED_VALUE"""),162)</f>
        <v>162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IFERROR(__xludf.DUMMYFUNCTION("""COMPUTED_VALUE"""),"Seton Hall10")</f>
        <v>Seton Hall10</v>
      </c>
      <c r="C92" s="1" t="str">
        <f ca="1">IFERROR(__xludf.DUMMYFUNCTION("""COMPUTED_VALUE"""),"BE")</f>
        <v>BE</v>
      </c>
      <c r="D92" s="1" t="str">
        <f ca="1">IFERROR(__xludf.DUMMYFUNCTION("""COMPUTED_VALUE"""),"18-12")</f>
        <v>18-12</v>
      </c>
      <c r="E92" s="1" t="str">
        <f ca="1">IFERROR(__xludf.DUMMYFUNCTION("""COMPUTED_VALUE"""),"+9.06")</f>
        <v>+9.06</v>
      </c>
      <c r="F92" s="1">
        <f ca="1">IFERROR(__xludf.DUMMYFUNCTION("""COMPUTED_VALUE"""),106.5)</f>
        <v>106.5</v>
      </c>
      <c r="G92" s="1">
        <f ca="1">IFERROR(__xludf.DUMMYFUNCTION("""COMPUTED_VALUE"""),107)</f>
        <v>107</v>
      </c>
      <c r="H92" s="1">
        <f ca="1">IFERROR(__xludf.DUMMYFUNCTION("""COMPUTED_VALUE"""),97.4)</f>
        <v>97.4</v>
      </c>
      <c r="I92" s="1">
        <f ca="1">IFERROR(__xludf.DUMMYFUNCTION("""COMPUTED_VALUE"""),77)</f>
        <v>77</v>
      </c>
      <c r="J92" s="1">
        <f ca="1">IFERROR(__xludf.DUMMYFUNCTION("""COMPUTED_VALUE"""),65.7)</f>
        <v>65.7</v>
      </c>
      <c r="K92" s="1">
        <f ca="1">IFERROR(__xludf.DUMMYFUNCTION("""COMPUTED_VALUE"""),138)</f>
        <v>138</v>
      </c>
      <c r="L92" s="1" t="str">
        <f ca="1">IFERROR(__xludf.DUMMYFUNCTION("""COMPUTED_VALUE"""),"+.086")</f>
        <v>+.086</v>
      </c>
      <c r="M92" s="1">
        <f ca="1">IFERROR(__xludf.DUMMYFUNCTION("""COMPUTED_VALUE"""),17)</f>
        <v>17</v>
      </c>
      <c r="N92" s="1" t="str">
        <f ca="1">IFERROR(__xludf.DUMMYFUNCTION("""COMPUTED_VALUE"""),"+6.93")</f>
        <v>+6.93</v>
      </c>
      <c r="O92" s="1">
        <f ca="1">IFERROR(__xludf.DUMMYFUNCTION("""COMPUTED_VALUE"""),47)</f>
        <v>47</v>
      </c>
      <c r="P92" s="1">
        <f ca="1">IFERROR(__xludf.DUMMYFUNCTION("""COMPUTED_VALUE"""),106)</f>
        <v>106</v>
      </c>
      <c r="Q92" s="1">
        <f ca="1">IFERROR(__xludf.DUMMYFUNCTION("""COMPUTED_VALUE"""),58)</f>
        <v>58</v>
      </c>
      <c r="R92" s="1">
        <f ca="1">IFERROR(__xludf.DUMMYFUNCTION("""COMPUTED_VALUE"""),99.1)</f>
        <v>99.1</v>
      </c>
      <c r="S92" s="1">
        <f ca="1">IFERROR(__xludf.DUMMYFUNCTION("""COMPUTED_VALUE"""),40)</f>
        <v>40</v>
      </c>
      <c r="T92" s="1">
        <f ca="1">IFERROR(__xludf.DUMMYFUNCTION("""COMPUTED_VALUE"""),-1.81)</f>
        <v>-1.81</v>
      </c>
      <c r="U92" s="1">
        <f ca="1">IFERROR(__xludf.DUMMYFUNCTION("""COMPUTED_VALUE"""),206)</f>
        <v>206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IFERROR(__xludf.DUMMYFUNCTION("""COMPUTED_VALUE"""),"Montana12")</f>
        <v>Montana12</v>
      </c>
      <c r="C93" s="1" t="str">
        <f ca="1">IFERROR(__xludf.DUMMYFUNCTION("""COMPUTED_VALUE"""),"BSky")</f>
        <v>BSky</v>
      </c>
      <c r="D93" s="1" t="str">
        <f ca="1">IFERROR(__xludf.DUMMYFUNCTION("""COMPUTED_VALUE"""),"24-7")</f>
        <v>24-7</v>
      </c>
      <c r="E93" s="1" t="str">
        <f ca="1">IFERROR(__xludf.DUMMYFUNCTION("""COMPUTED_VALUE"""),"+8.95")</f>
        <v>+8.95</v>
      </c>
      <c r="F93" s="1">
        <f ca="1">IFERROR(__xludf.DUMMYFUNCTION("""COMPUTED_VALUE"""),111.6)</f>
        <v>111.6</v>
      </c>
      <c r="G93" s="1">
        <f ca="1">IFERROR(__xludf.DUMMYFUNCTION("""COMPUTED_VALUE"""),39)</f>
        <v>39</v>
      </c>
      <c r="H93" s="1">
        <f ca="1">IFERROR(__xludf.DUMMYFUNCTION("""COMPUTED_VALUE"""),102.7)</f>
        <v>102.7</v>
      </c>
      <c r="I93" s="1">
        <f ca="1">IFERROR(__xludf.DUMMYFUNCTION("""COMPUTED_VALUE"""),161)</f>
        <v>161</v>
      </c>
      <c r="J93" s="1">
        <f ca="1">IFERROR(__xludf.DUMMYFUNCTION("""COMPUTED_VALUE"""),66.2)</f>
        <v>66.2</v>
      </c>
      <c r="K93" s="1">
        <f ca="1">IFERROR(__xludf.DUMMYFUNCTION("""COMPUTED_VALUE"""),127)</f>
        <v>127</v>
      </c>
      <c r="L93" s="1" t="str">
        <f ca="1">IFERROR(__xludf.DUMMYFUNCTION("""COMPUTED_VALUE"""),"+.056")</f>
        <v>+.056</v>
      </c>
      <c r="M93" s="1">
        <f ca="1">IFERROR(__xludf.DUMMYFUNCTION("""COMPUTED_VALUE"""),50)</f>
        <v>50</v>
      </c>
      <c r="N93" s="1">
        <f ca="1">IFERROR(__xludf.DUMMYFUNCTION("""COMPUTED_VALUE"""),-0.62)</f>
        <v>-0.62</v>
      </c>
      <c r="O93" s="1">
        <f ca="1">IFERROR(__xludf.DUMMYFUNCTION("""COMPUTED_VALUE"""),173)</f>
        <v>173</v>
      </c>
      <c r="P93" s="1">
        <f ca="1">IFERROR(__xludf.DUMMYFUNCTION("""COMPUTED_VALUE"""),103.6)</f>
        <v>103.6</v>
      </c>
      <c r="Q93" s="1">
        <f ca="1">IFERROR(__xludf.DUMMYFUNCTION("""COMPUTED_VALUE"""),146)</f>
        <v>146</v>
      </c>
      <c r="R93" s="1">
        <f ca="1">IFERROR(__xludf.DUMMYFUNCTION("""COMPUTED_VALUE"""),104.2)</f>
        <v>104.2</v>
      </c>
      <c r="S93" s="1">
        <f ca="1">IFERROR(__xludf.DUMMYFUNCTION("""COMPUTED_VALUE"""),193)</f>
        <v>193</v>
      </c>
      <c r="T93" s="1">
        <f ca="1">IFERROR(__xludf.DUMMYFUNCTION("""COMPUTED_VALUE"""),-0.71)</f>
        <v>-0.71</v>
      </c>
      <c r="U93" s="1">
        <f ca="1">IFERROR(__xludf.DUMMYFUNCTION("""COMPUTED_VALUE"""),170)</f>
        <v>170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IFERROR(__xludf.DUMMYFUNCTION("""COMPUTED_VALUE"""),"UNLV")</f>
        <v>UNLV</v>
      </c>
      <c r="C94" s="1" t="str">
        <f ca="1">IFERROR(__xludf.DUMMYFUNCTION("""COMPUTED_VALUE"""),"MWC")</f>
        <v>MWC</v>
      </c>
      <c r="D94" s="1" t="str">
        <f ca="1">IFERROR(__xludf.DUMMYFUNCTION("""COMPUTED_VALUE"""),"17-13")</f>
        <v>17-13</v>
      </c>
      <c r="E94" s="1" t="str">
        <f ca="1">IFERROR(__xludf.DUMMYFUNCTION("""COMPUTED_VALUE"""),"+8.57")</f>
        <v>+8.57</v>
      </c>
      <c r="F94" s="1">
        <f ca="1">IFERROR(__xludf.DUMMYFUNCTION("""COMPUTED_VALUE"""),105.3)</f>
        <v>105.3</v>
      </c>
      <c r="G94" s="1">
        <f ca="1">IFERROR(__xludf.DUMMYFUNCTION("""COMPUTED_VALUE"""),127)</f>
        <v>127</v>
      </c>
      <c r="H94" s="1">
        <f ca="1">IFERROR(__xludf.DUMMYFUNCTION("""COMPUTED_VALUE"""),96.8)</f>
        <v>96.8</v>
      </c>
      <c r="I94" s="1">
        <f ca="1">IFERROR(__xludf.DUMMYFUNCTION("""COMPUTED_VALUE"""),66)</f>
        <v>66</v>
      </c>
      <c r="J94" s="1">
        <f ca="1">IFERROR(__xludf.DUMMYFUNCTION("""COMPUTED_VALUE"""),66.5)</f>
        <v>66.5</v>
      </c>
      <c r="K94" s="1">
        <f ca="1">IFERROR(__xludf.DUMMYFUNCTION("""COMPUTED_VALUE"""),116)</f>
        <v>116</v>
      </c>
      <c r="L94" s="1">
        <f ca="1">IFERROR(__xludf.DUMMYFUNCTION("""COMPUTED_VALUE"""),-0.031)</f>
        <v>-3.1E-2</v>
      </c>
      <c r="M94" s="1">
        <f ca="1">IFERROR(__xludf.DUMMYFUNCTION("""COMPUTED_VALUE"""),243)</f>
        <v>243</v>
      </c>
      <c r="N94" s="1" t="str">
        <f ca="1">IFERROR(__xludf.DUMMYFUNCTION("""COMPUTED_VALUE"""),"+3.83")</f>
        <v>+3.83</v>
      </c>
      <c r="O94" s="1">
        <f ca="1">IFERROR(__xludf.DUMMYFUNCTION("""COMPUTED_VALUE"""),93)</f>
        <v>93</v>
      </c>
      <c r="P94" s="1">
        <f ca="1">IFERROR(__xludf.DUMMYFUNCTION("""COMPUTED_VALUE"""),104.9)</f>
        <v>104.9</v>
      </c>
      <c r="Q94" s="1">
        <f ca="1">IFERROR(__xludf.DUMMYFUNCTION("""COMPUTED_VALUE"""),89)</f>
        <v>89</v>
      </c>
      <c r="R94" s="1">
        <f ca="1">IFERROR(__xludf.DUMMYFUNCTION("""COMPUTED_VALUE"""),101.1)</f>
        <v>101.1</v>
      </c>
      <c r="S94" s="1">
        <f ca="1">IFERROR(__xludf.DUMMYFUNCTION("""COMPUTED_VALUE"""),97)</f>
        <v>97</v>
      </c>
      <c r="T94" s="1" t="str">
        <f ca="1">IFERROR(__xludf.DUMMYFUNCTION("""COMPUTED_VALUE"""),"+2.31")</f>
        <v>+2.31</v>
      </c>
      <c r="U94" s="1">
        <f ca="1">IFERROR(__xludf.DUMMYFUNCTION("""COMPUTED_VALUE"""),89)</f>
        <v>89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IFERROR(__xludf.DUMMYFUNCTION("""COMPUTED_VALUE"""),"Murray St.14")</f>
        <v>Murray St.14</v>
      </c>
      <c r="C95" s="1" t="str">
        <f ca="1">IFERROR(__xludf.DUMMYFUNCTION("""COMPUTED_VALUE"""),"OVC")</f>
        <v>OVC</v>
      </c>
      <c r="D95" s="1" t="str">
        <f ca="1">IFERROR(__xludf.DUMMYFUNCTION("""COMPUTED_VALUE"""),"24-7")</f>
        <v>24-7</v>
      </c>
      <c r="E95" s="1" t="str">
        <f ca="1">IFERROR(__xludf.DUMMYFUNCTION("""COMPUTED_VALUE"""),"+8.56")</f>
        <v>+8.56</v>
      </c>
      <c r="F95" s="1">
        <f ca="1">IFERROR(__xludf.DUMMYFUNCTION("""COMPUTED_VALUE"""),104.5)</f>
        <v>104.5</v>
      </c>
      <c r="G95" s="1">
        <f ca="1">IFERROR(__xludf.DUMMYFUNCTION("""COMPUTED_VALUE"""),140)</f>
        <v>140</v>
      </c>
      <c r="H95" s="1">
        <f ca="1">IFERROR(__xludf.DUMMYFUNCTION("""COMPUTED_VALUE"""),96)</f>
        <v>96</v>
      </c>
      <c r="I95" s="1">
        <f ca="1">IFERROR(__xludf.DUMMYFUNCTION("""COMPUTED_VALUE"""),51)</f>
        <v>51</v>
      </c>
      <c r="J95" s="1">
        <f ca="1">IFERROR(__xludf.DUMMYFUNCTION("""COMPUTED_VALUE"""),63.2)</f>
        <v>63.2</v>
      </c>
      <c r="K95" s="1">
        <f ca="1">IFERROR(__xludf.DUMMYFUNCTION("""COMPUTED_VALUE"""),256)</f>
        <v>256</v>
      </c>
      <c r="L95" s="1" t="str">
        <f ca="1">IFERROR(__xludf.DUMMYFUNCTION("""COMPUTED_VALUE"""),"+.010")</f>
        <v>+.010</v>
      </c>
      <c r="M95" s="1">
        <f ca="1">IFERROR(__xludf.DUMMYFUNCTION("""COMPUTED_VALUE"""),143)</f>
        <v>143</v>
      </c>
      <c r="N95" s="1">
        <f ca="1">IFERROR(__xludf.DUMMYFUNCTION("""COMPUTED_VALUE"""),-5.31)</f>
        <v>-5.31</v>
      </c>
      <c r="O95" s="1">
        <f ca="1">IFERROR(__xludf.DUMMYFUNCTION("""COMPUTED_VALUE"""),259)</f>
        <v>259</v>
      </c>
      <c r="P95" s="1">
        <f ca="1">IFERROR(__xludf.DUMMYFUNCTION("""COMPUTED_VALUE"""),102.3)</f>
        <v>102.3</v>
      </c>
      <c r="Q95" s="1">
        <f ca="1">IFERROR(__xludf.DUMMYFUNCTION("""COMPUTED_VALUE"""),196)</f>
        <v>196</v>
      </c>
      <c r="R95" s="1">
        <f ca="1">IFERROR(__xludf.DUMMYFUNCTION("""COMPUTED_VALUE"""),107.6)</f>
        <v>107.6</v>
      </c>
      <c r="S95" s="1">
        <f ca="1">IFERROR(__xludf.DUMMYFUNCTION("""COMPUTED_VALUE"""),320)</f>
        <v>320</v>
      </c>
      <c r="T95" s="1" t="str">
        <f ca="1">IFERROR(__xludf.DUMMYFUNCTION("""COMPUTED_VALUE"""),"+4.32")</f>
        <v>+4.32</v>
      </c>
      <c r="U95" s="1">
        <f ca="1">IFERROR(__xludf.DUMMYFUNCTION("""COMPUTED_VALUE"""),55)</f>
        <v>55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IFERROR(__xludf.DUMMYFUNCTION("""COMPUTED_VALUE"""),"DePaul")</f>
        <v>DePaul</v>
      </c>
      <c r="C96" s="1" t="str">
        <f ca="1">IFERROR(__xludf.DUMMYFUNCTION("""COMPUTED_VALUE"""),"BE")</f>
        <v>BE</v>
      </c>
      <c r="D96" s="2">
        <f ca="1">IFERROR(__xludf.DUMMYFUNCTION("""COMPUTED_VALUE"""),44910)</f>
        <v>44910</v>
      </c>
      <c r="E96" s="1" t="str">
        <f ca="1">IFERROR(__xludf.DUMMYFUNCTION("""COMPUTED_VALUE"""),"+8.42")</f>
        <v>+8.42</v>
      </c>
      <c r="F96" s="1">
        <f ca="1">IFERROR(__xludf.DUMMYFUNCTION("""COMPUTED_VALUE"""),110.2)</f>
        <v>110.2</v>
      </c>
      <c r="G96" s="1">
        <f ca="1">IFERROR(__xludf.DUMMYFUNCTION("""COMPUTED_VALUE"""),53)</f>
        <v>53</v>
      </c>
      <c r="H96" s="1">
        <f ca="1">IFERROR(__xludf.DUMMYFUNCTION("""COMPUTED_VALUE"""),101.8)</f>
        <v>101.8</v>
      </c>
      <c r="I96" s="1">
        <f ca="1">IFERROR(__xludf.DUMMYFUNCTION("""COMPUTED_VALUE"""),145)</f>
        <v>145</v>
      </c>
      <c r="J96" s="1">
        <f ca="1">IFERROR(__xludf.DUMMYFUNCTION("""COMPUTED_VALUE"""),61.4)</f>
        <v>61.4</v>
      </c>
      <c r="K96" s="1">
        <f ca="1">IFERROR(__xludf.DUMMYFUNCTION("""COMPUTED_VALUE"""),302)</f>
        <v>302</v>
      </c>
      <c r="L96" s="1" t="str">
        <f ca="1">IFERROR(__xludf.DUMMYFUNCTION("""COMPUTED_VALUE"""),"+.004")</f>
        <v>+.004</v>
      </c>
      <c r="M96" s="1">
        <f ca="1">IFERROR(__xludf.DUMMYFUNCTION("""COMPUTED_VALUE"""),157)</f>
        <v>157</v>
      </c>
      <c r="N96" s="1" t="str">
        <f ca="1">IFERROR(__xludf.DUMMYFUNCTION("""COMPUTED_VALUE"""),"+10.47")</f>
        <v>+10.47</v>
      </c>
      <c r="O96" s="1">
        <f ca="1">IFERROR(__xludf.DUMMYFUNCTION("""COMPUTED_VALUE"""),6)</f>
        <v>6</v>
      </c>
      <c r="P96" s="1">
        <f ca="1">IFERROR(__xludf.DUMMYFUNCTION("""COMPUTED_VALUE"""),108.3)</f>
        <v>108.3</v>
      </c>
      <c r="Q96" s="1">
        <f ca="1">IFERROR(__xludf.DUMMYFUNCTION("""COMPUTED_VALUE"""),11)</f>
        <v>11</v>
      </c>
      <c r="R96" s="1">
        <f ca="1">IFERROR(__xludf.DUMMYFUNCTION("""COMPUTED_VALUE"""),97.8)</f>
        <v>97.8</v>
      </c>
      <c r="S96" s="1">
        <f ca="1">IFERROR(__xludf.DUMMYFUNCTION("""COMPUTED_VALUE"""),8)</f>
        <v>8</v>
      </c>
      <c r="T96" s="1" t="str">
        <f ca="1">IFERROR(__xludf.DUMMYFUNCTION("""COMPUTED_VALUE"""),"+7.26")</f>
        <v>+7.26</v>
      </c>
      <c r="U96" s="1">
        <f ca="1">IFERROR(__xludf.DUMMYFUNCTION("""COMPUTED_VALUE"""),30)</f>
        <v>30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IFERROR(__xludf.DUMMYFUNCTION("""COMPUTED_VALUE"""),"BYU6")</f>
        <v>BYU6</v>
      </c>
      <c r="C97" s="1" t="str">
        <f ca="1">IFERROR(__xludf.DUMMYFUNCTION("""COMPUTED_VALUE"""),"MWC")</f>
        <v>MWC</v>
      </c>
      <c r="D97" s="1" t="str">
        <f ca="1">IFERROR(__xludf.DUMMYFUNCTION("""COMPUTED_VALUE"""),"20-9")</f>
        <v>20-9</v>
      </c>
      <c r="E97" s="1" t="str">
        <f ca="1">IFERROR(__xludf.DUMMYFUNCTION("""COMPUTED_VALUE"""),"+7.87")</f>
        <v>+7.87</v>
      </c>
      <c r="F97" s="1">
        <f ca="1">IFERROR(__xludf.DUMMYFUNCTION("""COMPUTED_VALUE"""),110.1)</f>
        <v>110.1</v>
      </c>
      <c r="G97" s="1">
        <f ca="1">IFERROR(__xludf.DUMMYFUNCTION("""COMPUTED_VALUE"""),55)</f>
        <v>55</v>
      </c>
      <c r="H97" s="1">
        <f ca="1">IFERROR(__xludf.DUMMYFUNCTION("""COMPUTED_VALUE"""),102.2)</f>
        <v>102.2</v>
      </c>
      <c r="I97" s="1">
        <f ca="1">IFERROR(__xludf.DUMMYFUNCTION("""COMPUTED_VALUE"""),150)</f>
        <v>150</v>
      </c>
      <c r="J97" s="1">
        <f ca="1">IFERROR(__xludf.DUMMYFUNCTION("""COMPUTED_VALUE"""),70.7)</f>
        <v>70.7</v>
      </c>
      <c r="K97" s="1">
        <f ca="1">IFERROR(__xludf.DUMMYFUNCTION("""COMPUTED_VALUE"""),18)</f>
        <v>18</v>
      </c>
      <c r="L97" s="1" t="str">
        <f ca="1">IFERROR(__xludf.DUMMYFUNCTION("""COMPUTED_VALUE"""),"+.074")</f>
        <v>+.074</v>
      </c>
      <c r="M97" s="1">
        <f ca="1">IFERROR(__xludf.DUMMYFUNCTION("""COMPUTED_VALUE"""),30)</f>
        <v>30</v>
      </c>
      <c r="N97" s="1" t="str">
        <f ca="1">IFERROR(__xludf.DUMMYFUNCTION("""COMPUTED_VALUE"""),"+2.21")</f>
        <v>+2.21</v>
      </c>
      <c r="O97" s="1">
        <f ca="1">IFERROR(__xludf.DUMMYFUNCTION("""COMPUTED_VALUE"""),111)</f>
        <v>111</v>
      </c>
      <c r="P97" s="1">
        <f ca="1">IFERROR(__xludf.DUMMYFUNCTION("""COMPUTED_VALUE"""),103.5)</f>
        <v>103.5</v>
      </c>
      <c r="Q97" s="1">
        <f ca="1">IFERROR(__xludf.DUMMYFUNCTION("""COMPUTED_VALUE"""),152)</f>
        <v>152</v>
      </c>
      <c r="R97" s="1">
        <f ca="1">IFERROR(__xludf.DUMMYFUNCTION("""COMPUTED_VALUE"""),101.3)</f>
        <v>101.3</v>
      </c>
      <c r="S97" s="1">
        <f ca="1">IFERROR(__xludf.DUMMYFUNCTION("""COMPUTED_VALUE"""),104)</f>
        <v>104</v>
      </c>
      <c r="T97" s="1">
        <f ca="1">IFERROR(__xludf.DUMMYFUNCTION("""COMPUTED_VALUE"""),-2.84)</f>
        <v>-2.84</v>
      </c>
      <c r="U97" s="1">
        <f ca="1">IFERROR(__xludf.DUMMYFUNCTION("""COMPUTED_VALUE"""),228)</f>
        <v>228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IFERROR(__xludf.DUMMYFUNCTION("""COMPUTED_VALUE"""),"Western Kentucky6")</f>
        <v>Western Kentucky6</v>
      </c>
      <c r="C98" s="1" t="str">
        <f ca="1">IFERROR(__xludf.DUMMYFUNCTION("""COMPUTED_VALUE"""),"SB")</f>
        <v>SB</v>
      </c>
      <c r="D98" s="1" t="str">
        <f ca="1">IFERROR(__xludf.DUMMYFUNCTION("""COMPUTED_VALUE"""),"23-8")</f>
        <v>23-8</v>
      </c>
      <c r="E98" s="1" t="str">
        <f ca="1">IFERROR(__xludf.DUMMYFUNCTION("""COMPUTED_VALUE"""),"+7.78")</f>
        <v>+7.78</v>
      </c>
      <c r="F98" s="1">
        <f ca="1">IFERROR(__xludf.DUMMYFUNCTION("""COMPUTED_VALUE"""),111.3)</f>
        <v>111.3</v>
      </c>
      <c r="G98" s="1">
        <f ca="1">IFERROR(__xludf.DUMMYFUNCTION("""COMPUTED_VALUE"""),42)</f>
        <v>42</v>
      </c>
      <c r="H98" s="1">
        <f ca="1">IFERROR(__xludf.DUMMYFUNCTION("""COMPUTED_VALUE"""),103.5)</f>
        <v>103.5</v>
      </c>
      <c r="I98" s="1">
        <f ca="1">IFERROR(__xludf.DUMMYFUNCTION("""COMPUTED_VALUE"""),175)</f>
        <v>175</v>
      </c>
      <c r="J98" s="1">
        <f ca="1">IFERROR(__xludf.DUMMYFUNCTION("""COMPUTED_VALUE"""),68.5)</f>
        <v>68.5</v>
      </c>
      <c r="K98" s="1">
        <f ca="1">IFERROR(__xludf.DUMMYFUNCTION("""COMPUTED_VALUE"""),54)</f>
        <v>54</v>
      </c>
      <c r="L98" s="1" t="str">
        <f ca="1">IFERROR(__xludf.DUMMYFUNCTION("""COMPUTED_VALUE"""),"+.080")</f>
        <v>+.080</v>
      </c>
      <c r="M98" s="1">
        <f ca="1">IFERROR(__xludf.DUMMYFUNCTION("""COMPUTED_VALUE"""),21)</f>
        <v>21</v>
      </c>
      <c r="N98" s="1">
        <f ca="1">IFERROR(__xludf.DUMMYFUNCTION("""COMPUTED_VALUE"""),-0.72)</f>
        <v>-0.72</v>
      </c>
      <c r="O98" s="1">
        <f ca="1">IFERROR(__xludf.DUMMYFUNCTION("""COMPUTED_VALUE"""),176)</f>
        <v>176</v>
      </c>
      <c r="P98" s="1">
        <f ca="1">IFERROR(__xludf.DUMMYFUNCTION("""COMPUTED_VALUE"""),102.2)</f>
        <v>102.2</v>
      </c>
      <c r="Q98" s="1">
        <f ca="1">IFERROR(__xludf.DUMMYFUNCTION("""COMPUTED_VALUE"""),199)</f>
        <v>199</v>
      </c>
      <c r="R98" s="1">
        <f ca="1">IFERROR(__xludf.DUMMYFUNCTION("""COMPUTED_VALUE"""),103)</f>
        <v>103</v>
      </c>
      <c r="S98" s="1">
        <f ca="1">IFERROR(__xludf.DUMMYFUNCTION("""COMPUTED_VALUE"""),156)</f>
        <v>156</v>
      </c>
      <c r="T98" s="1" t="str">
        <f ca="1">IFERROR(__xludf.DUMMYFUNCTION("""COMPUTED_VALUE"""),"+1.81")</f>
        <v>+1.81</v>
      </c>
      <c r="U98" s="1">
        <f ca="1">IFERROR(__xludf.DUMMYFUNCTION("""COMPUTED_VALUE"""),104)</f>
        <v>104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IFERROR(__xludf.DUMMYFUNCTION("""COMPUTED_VALUE"""),"Northwestern St.14")</f>
        <v>Northwestern St.14</v>
      </c>
      <c r="C99" s="1" t="str">
        <f ca="1">IFERROR(__xludf.DUMMYFUNCTION("""COMPUTED_VALUE"""),"Slnd")</f>
        <v>Slnd</v>
      </c>
      <c r="D99" s="1" t="str">
        <f ca="1">IFERROR(__xludf.DUMMYFUNCTION("""COMPUTED_VALUE"""),"26-8")</f>
        <v>26-8</v>
      </c>
      <c r="E99" s="1" t="str">
        <f ca="1">IFERROR(__xludf.DUMMYFUNCTION("""COMPUTED_VALUE"""),"+7.51")</f>
        <v>+7.51</v>
      </c>
      <c r="F99" s="1">
        <f ca="1">IFERROR(__xludf.DUMMYFUNCTION("""COMPUTED_VALUE"""),106.6)</f>
        <v>106.6</v>
      </c>
      <c r="G99" s="1">
        <f ca="1">IFERROR(__xludf.DUMMYFUNCTION("""COMPUTED_VALUE"""),105)</f>
        <v>105</v>
      </c>
      <c r="H99" s="1">
        <f ca="1">IFERROR(__xludf.DUMMYFUNCTION("""COMPUTED_VALUE"""),99.1)</f>
        <v>99.1</v>
      </c>
      <c r="I99" s="1">
        <f ca="1">IFERROR(__xludf.DUMMYFUNCTION("""COMPUTED_VALUE"""),98)</f>
        <v>98</v>
      </c>
      <c r="J99" s="1">
        <f ca="1">IFERROR(__xludf.DUMMYFUNCTION("""COMPUTED_VALUE"""),67.6)</f>
        <v>67.599999999999994</v>
      </c>
      <c r="K99" s="1">
        <f ca="1">IFERROR(__xludf.DUMMYFUNCTION("""COMPUTED_VALUE"""),79)</f>
        <v>79</v>
      </c>
      <c r="L99" s="1" t="str">
        <f ca="1">IFERROR(__xludf.DUMMYFUNCTION("""COMPUTED_VALUE"""),"+.016")</f>
        <v>+.016</v>
      </c>
      <c r="M99" s="1">
        <f ca="1">IFERROR(__xludf.DUMMYFUNCTION("""COMPUTED_VALUE"""),128)</f>
        <v>128</v>
      </c>
      <c r="N99" s="1">
        <f ca="1">IFERROR(__xludf.DUMMYFUNCTION("""COMPUTED_VALUE"""),-1.45)</f>
        <v>-1.45</v>
      </c>
      <c r="O99" s="1">
        <f ca="1">IFERROR(__xludf.DUMMYFUNCTION("""COMPUTED_VALUE"""),190)</f>
        <v>190</v>
      </c>
      <c r="P99" s="1">
        <f ca="1">IFERROR(__xludf.DUMMYFUNCTION("""COMPUTED_VALUE"""),102.2)</f>
        <v>102.2</v>
      </c>
      <c r="Q99" s="1">
        <f ca="1">IFERROR(__xludf.DUMMYFUNCTION("""COMPUTED_VALUE"""),201)</f>
        <v>201</v>
      </c>
      <c r="R99" s="1">
        <f ca="1">IFERROR(__xludf.DUMMYFUNCTION("""COMPUTED_VALUE"""),103.6)</f>
        <v>103.6</v>
      </c>
      <c r="S99" s="1">
        <f ca="1">IFERROR(__xludf.DUMMYFUNCTION("""COMPUTED_VALUE"""),173)</f>
        <v>173</v>
      </c>
      <c r="T99" s="1" t="str">
        <f ca="1">IFERROR(__xludf.DUMMYFUNCTION("""COMPUTED_VALUE"""),"+10.25")</f>
        <v>+10.25</v>
      </c>
      <c r="U99" s="1">
        <f ca="1">IFERROR(__xludf.DUMMYFUNCTION("""COMPUTED_VALUE"""),9)</f>
        <v>9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IFERROR(__xludf.DUMMYFUNCTION("""COMPUTED_VALUE"""),"Charlotte9")</f>
        <v>Charlotte9</v>
      </c>
      <c r="C100" s="1" t="str">
        <f ca="1">IFERROR(__xludf.DUMMYFUNCTION("""COMPUTED_VALUE"""),"A10")</f>
        <v>A10</v>
      </c>
      <c r="D100" s="1" t="str">
        <f ca="1">IFERROR(__xludf.DUMMYFUNCTION("""COMPUTED_VALUE"""),"19-13")</f>
        <v>19-13</v>
      </c>
      <c r="E100" s="1" t="str">
        <f ca="1">IFERROR(__xludf.DUMMYFUNCTION("""COMPUTED_VALUE"""),"+7.45")</f>
        <v>+7.45</v>
      </c>
      <c r="F100" s="1">
        <f ca="1">IFERROR(__xludf.DUMMYFUNCTION("""COMPUTED_VALUE"""),107.5)</f>
        <v>107.5</v>
      </c>
      <c r="G100" s="1">
        <f ca="1">IFERROR(__xludf.DUMMYFUNCTION("""COMPUTED_VALUE"""),87)</f>
        <v>87</v>
      </c>
      <c r="H100" s="1">
        <f ca="1">IFERROR(__xludf.DUMMYFUNCTION("""COMPUTED_VALUE"""),100)</f>
        <v>100</v>
      </c>
      <c r="I100" s="1">
        <f ca="1">IFERROR(__xludf.DUMMYFUNCTION("""COMPUTED_VALUE"""),116)</f>
        <v>116</v>
      </c>
      <c r="J100" s="1">
        <f ca="1">IFERROR(__xludf.DUMMYFUNCTION("""COMPUTED_VALUE"""),65.5)</f>
        <v>65.5</v>
      </c>
      <c r="K100" s="1">
        <f ca="1">IFERROR(__xludf.DUMMYFUNCTION("""COMPUTED_VALUE"""),154)</f>
        <v>154</v>
      </c>
      <c r="L100" s="1">
        <f ca="1">IFERROR(__xludf.DUMMYFUNCTION("""COMPUTED_VALUE"""),-0.004)</f>
        <v>-4.0000000000000001E-3</v>
      </c>
      <c r="M100" s="1">
        <f ca="1">IFERROR(__xludf.DUMMYFUNCTION("""COMPUTED_VALUE"""),179)</f>
        <v>179</v>
      </c>
      <c r="N100" s="1" t="str">
        <f ca="1">IFERROR(__xludf.DUMMYFUNCTION("""COMPUTED_VALUE"""),"+2.69")</f>
        <v>+2.69</v>
      </c>
      <c r="O100" s="1">
        <f ca="1">IFERROR(__xludf.DUMMYFUNCTION("""COMPUTED_VALUE"""),101)</f>
        <v>101</v>
      </c>
      <c r="P100" s="1">
        <f ca="1">IFERROR(__xludf.DUMMYFUNCTION("""COMPUTED_VALUE"""),103.9)</f>
        <v>103.9</v>
      </c>
      <c r="Q100" s="1">
        <f ca="1">IFERROR(__xludf.DUMMYFUNCTION("""COMPUTED_VALUE"""),127)</f>
        <v>127</v>
      </c>
      <c r="R100" s="1">
        <f ca="1">IFERROR(__xludf.DUMMYFUNCTION("""COMPUTED_VALUE"""),101.2)</f>
        <v>101.2</v>
      </c>
      <c r="S100" s="1">
        <f ca="1">IFERROR(__xludf.DUMMYFUNCTION("""COMPUTED_VALUE"""),100)</f>
        <v>100</v>
      </c>
      <c r="T100" s="1" t="str">
        <f ca="1">IFERROR(__xludf.DUMMYFUNCTION("""COMPUTED_VALUE"""),"+0.09")</f>
        <v>+0.09</v>
      </c>
      <c r="U100" s="1">
        <f ca="1">IFERROR(__xludf.DUMMYFUNCTION("""COMPUTED_VALUE"""),154)</f>
        <v>154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IFERROR(__xludf.DUMMYFUNCTION("""COMPUTED_VALUE"""),"La Salle")</f>
        <v>La Salle</v>
      </c>
      <c r="C101" s="1" t="str">
        <f ca="1">IFERROR(__xludf.DUMMYFUNCTION("""COMPUTED_VALUE"""),"A10")</f>
        <v>A10</v>
      </c>
      <c r="D101" s="1" t="str">
        <f ca="1">IFERROR(__xludf.DUMMYFUNCTION("""COMPUTED_VALUE"""),"18-10")</f>
        <v>18-10</v>
      </c>
      <c r="E101" s="1" t="str">
        <f ca="1">IFERROR(__xludf.DUMMYFUNCTION("""COMPUTED_VALUE"""),"+7.44")</f>
        <v>+7.44</v>
      </c>
      <c r="F101" s="1">
        <f ca="1">IFERROR(__xludf.DUMMYFUNCTION("""COMPUTED_VALUE"""),107.3)</f>
        <v>107.3</v>
      </c>
      <c r="G101" s="1">
        <f ca="1">IFERROR(__xludf.DUMMYFUNCTION("""COMPUTED_VALUE"""),90)</f>
        <v>90</v>
      </c>
      <c r="H101" s="1">
        <f ca="1">IFERROR(__xludf.DUMMYFUNCTION("""COMPUTED_VALUE"""),99.8)</f>
        <v>99.8</v>
      </c>
      <c r="I101" s="1">
        <f ca="1">IFERROR(__xludf.DUMMYFUNCTION("""COMPUTED_VALUE"""),112)</f>
        <v>112</v>
      </c>
      <c r="J101" s="1">
        <f ca="1">IFERROR(__xludf.DUMMYFUNCTION("""COMPUTED_VALUE"""),64.3)</f>
        <v>64.3</v>
      </c>
      <c r="K101" s="1">
        <f ca="1">IFERROR(__xludf.DUMMYFUNCTION("""COMPUTED_VALUE"""),217)</f>
        <v>217</v>
      </c>
      <c r="L101" s="1" t="str">
        <f ca="1">IFERROR(__xludf.DUMMYFUNCTION("""COMPUTED_VALUE"""),"+.036")</f>
        <v>+.036</v>
      </c>
      <c r="M101" s="1">
        <f ca="1">IFERROR(__xludf.DUMMYFUNCTION("""COMPUTED_VALUE"""),80)</f>
        <v>80</v>
      </c>
      <c r="N101" s="1" t="str">
        <f ca="1">IFERROR(__xludf.DUMMYFUNCTION("""COMPUTED_VALUE"""),"+0.34")</f>
        <v>+0.34</v>
      </c>
      <c r="O101" s="1">
        <f ca="1">IFERROR(__xludf.DUMMYFUNCTION("""COMPUTED_VALUE"""),151)</f>
        <v>151</v>
      </c>
      <c r="P101" s="1">
        <f ca="1">IFERROR(__xludf.DUMMYFUNCTION("""COMPUTED_VALUE"""),102.8)</f>
        <v>102.8</v>
      </c>
      <c r="Q101" s="1">
        <f ca="1">IFERROR(__xludf.DUMMYFUNCTION("""COMPUTED_VALUE"""),170)</f>
        <v>170</v>
      </c>
      <c r="R101" s="1">
        <f ca="1">IFERROR(__xludf.DUMMYFUNCTION("""COMPUTED_VALUE"""),102.5)</f>
        <v>102.5</v>
      </c>
      <c r="S101" s="1">
        <f ca="1">IFERROR(__xludf.DUMMYFUNCTION("""COMPUTED_VALUE"""),144)</f>
        <v>144</v>
      </c>
      <c r="T101" s="1">
        <f ca="1">IFERROR(__xludf.DUMMYFUNCTION("""COMPUTED_VALUE"""),-3.57)</f>
        <v>-3.57</v>
      </c>
      <c r="U101" s="1">
        <f ca="1">IFERROR(__xludf.DUMMYFUNCTION("""COMPUTED_VALUE"""),248)</f>
        <v>248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IFERROR(__xludf.DUMMYFUNCTION("""COMPUTED_VALUE"""),"Louisiana Tech5")</f>
        <v>Louisiana Tech5</v>
      </c>
      <c r="C102" s="1" t="str">
        <f ca="1">IFERROR(__xludf.DUMMYFUNCTION("""COMPUTED_VALUE"""),"WAC")</f>
        <v>WAC</v>
      </c>
      <c r="D102" s="1" t="str">
        <f ca="1">IFERROR(__xludf.DUMMYFUNCTION("""COMPUTED_VALUE"""),"20-13")</f>
        <v>20-13</v>
      </c>
      <c r="E102" s="1" t="str">
        <f ca="1">IFERROR(__xludf.DUMMYFUNCTION("""COMPUTED_VALUE"""),"+7.43")</f>
        <v>+7.43</v>
      </c>
      <c r="F102" s="1">
        <f ca="1">IFERROR(__xludf.DUMMYFUNCTION("""COMPUTED_VALUE"""),101.1)</f>
        <v>101.1</v>
      </c>
      <c r="G102" s="1">
        <f ca="1">IFERROR(__xludf.DUMMYFUNCTION("""COMPUTED_VALUE"""),200)</f>
        <v>200</v>
      </c>
      <c r="H102" s="1">
        <f ca="1">IFERROR(__xludf.DUMMYFUNCTION("""COMPUTED_VALUE"""),93.6)</f>
        <v>93.6</v>
      </c>
      <c r="I102" s="1">
        <f ca="1">IFERROR(__xludf.DUMMYFUNCTION("""COMPUTED_VALUE"""),26)</f>
        <v>26</v>
      </c>
      <c r="J102" s="1">
        <f ca="1">IFERROR(__xludf.DUMMYFUNCTION("""COMPUTED_VALUE"""),64.8)</f>
        <v>64.8</v>
      </c>
      <c r="K102" s="1">
        <f ca="1">IFERROR(__xludf.DUMMYFUNCTION("""COMPUTED_VALUE"""),187)</f>
        <v>187</v>
      </c>
      <c r="L102" s="1" t="str">
        <f ca="1">IFERROR(__xludf.DUMMYFUNCTION("""COMPUTED_VALUE"""),"+.029")</f>
        <v>+.029</v>
      </c>
      <c r="M102" s="1">
        <f ca="1">IFERROR(__xludf.DUMMYFUNCTION("""COMPUTED_VALUE"""),94)</f>
        <v>94</v>
      </c>
      <c r="N102" s="1" t="str">
        <f ca="1">IFERROR(__xludf.DUMMYFUNCTION("""COMPUTED_VALUE"""),"+3.38")</f>
        <v>+3.38</v>
      </c>
      <c r="O102" s="1">
        <f ca="1">IFERROR(__xludf.DUMMYFUNCTION("""COMPUTED_VALUE"""),95)</f>
        <v>95</v>
      </c>
      <c r="P102" s="1">
        <f ca="1">IFERROR(__xludf.DUMMYFUNCTION("""COMPUTED_VALUE"""),104)</f>
        <v>104</v>
      </c>
      <c r="Q102" s="1">
        <f ca="1">IFERROR(__xludf.DUMMYFUNCTION("""COMPUTED_VALUE"""),126)</f>
        <v>126</v>
      </c>
      <c r="R102" s="1">
        <f ca="1">IFERROR(__xludf.DUMMYFUNCTION("""COMPUTED_VALUE"""),100.6)</f>
        <v>100.6</v>
      </c>
      <c r="S102" s="1">
        <f ca="1">IFERROR(__xludf.DUMMYFUNCTION("""COMPUTED_VALUE"""),88)</f>
        <v>88</v>
      </c>
      <c r="T102" s="1" t="str">
        <f ca="1">IFERROR(__xludf.DUMMYFUNCTION("""COMPUTED_VALUE"""),"+2.94")</f>
        <v>+2.94</v>
      </c>
      <c r="U102" s="1">
        <f ca="1">IFERROR(__xludf.DUMMYFUNCTION("""COMPUTED_VALUE"""),78)</f>
        <v>78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IFERROR(__xludf.DUMMYFUNCTION("""COMPUTED_VALUE"""),"Penn15")</f>
        <v>Penn15</v>
      </c>
      <c r="C103" s="1" t="str">
        <f ca="1">IFERROR(__xludf.DUMMYFUNCTION("""COMPUTED_VALUE"""),"Ivy")</f>
        <v>Ivy</v>
      </c>
      <c r="D103" s="1" t="str">
        <f ca="1">IFERROR(__xludf.DUMMYFUNCTION("""COMPUTED_VALUE"""),"20-9")</f>
        <v>20-9</v>
      </c>
      <c r="E103" s="1" t="str">
        <f ca="1">IFERROR(__xludf.DUMMYFUNCTION("""COMPUTED_VALUE"""),"+7.30")</f>
        <v>+7.30</v>
      </c>
      <c r="F103" s="1">
        <f ca="1">IFERROR(__xludf.DUMMYFUNCTION("""COMPUTED_VALUE"""),101.8)</f>
        <v>101.8</v>
      </c>
      <c r="G103" s="1">
        <f ca="1">IFERROR(__xludf.DUMMYFUNCTION("""COMPUTED_VALUE"""),188)</f>
        <v>188</v>
      </c>
      <c r="H103" s="1">
        <f ca="1">IFERROR(__xludf.DUMMYFUNCTION("""COMPUTED_VALUE"""),94.5)</f>
        <v>94.5</v>
      </c>
      <c r="I103" s="1">
        <f ca="1">IFERROR(__xludf.DUMMYFUNCTION("""COMPUTED_VALUE"""),34)</f>
        <v>34</v>
      </c>
      <c r="J103" s="1">
        <f ca="1">IFERROR(__xludf.DUMMYFUNCTION("""COMPUTED_VALUE"""),64.3)</f>
        <v>64.3</v>
      </c>
      <c r="K103" s="1">
        <f ca="1">IFERROR(__xludf.DUMMYFUNCTION("""COMPUTED_VALUE"""),220)</f>
        <v>220</v>
      </c>
      <c r="L103" s="1">
        <f ca="1">IFERROR(__xludf.DUMMYFUNCTION("""COMPUTED_VALUE"""),-0.03)</f>
        <v>-0.03</v>
      </c>
      <c r="M103" s="1">
        <f ca="1">IFERROR(__xludf.DUMMYFUNCTION("""COMPUTED_VALUE"""),238)</f>
        <v>238</v>
      </c>
      <c r="N103" s="1">
        <f ca="1">IFERROR(__xludf.DUMMYFUNCTION("""COMPUTED_VALUE"""),-5.06)</f>
        <v>-5.0599999999999996</v>
      </c>
      <c r="O103" s="1">
        <f ca="1">IFERROR(__xludf.DUMMYFUNCTION("""COMPUTED_VALUE"""),254)</f>
        <v>254</v>
      </c>
      <c r="P103" s="1">
        <f ca="1">IFERROR(__xludf.DUMMYFUNCTION("""COMPUTED_VALUE"""),100)</f>
        <v>100</v>
      </c>
      <c r="Q103" s="1">
        <f ca="1">IFERROR(__xludf.DUMMYFUNCTION("""COMPUTED_VALUE"""),272)</f>
        <v>272</v>
      </c>
      <c r="R103" s="1">
        <f ca="1">IFERROR(__xludf.DUMMYFUNCTION("""COMPUTED_VALUE"""),105)</f>
        <v>105</v>
      </c>
      <c r="S103" s="1">
        <f ca="1">IFERROR(__xludf.DUMMYFUNCTION("""COMPUTED_VALUE"""),227)</f>
        <v>227</v>
      </c>
      <c r="T103" s="1" t="str">
        <f ca="1">IFERROR(__xludf.DUMMYFUNCTION("""COMPUTED_VALUE"""),"+1.85")</f>
        <v>+1.85</v>
      </c>
      <c r="U103" s="1">
        <f ca="1">IFERROR(__xludf.DUMMYFUNCTION("""COMPUTED_VALUE"""),102)</f>
        <v>102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IFERROR(__xludf.DUMMYFUNCTION("""COMPUTED_VALUE"""),"Hawaii")</f>
        <v>Hawaii</v>
      </c>
      <c r="C104" s="1" t="str">
        <f ca="1">IFERROR(__xludf.DUMMYFUNCTION("""COMPUTED_VALUE"""),"WAC")</f>
        <v>WAC</v>
      </c>
      <c r="D104" s="1" t="str">
        <f ca="1">IFERROR(__xludf.DUMMYFUNCTION("""COMPUTED_VALUE"""),"17-11")</f>
        <v>17-11</v>
      </c>
      <c r="E104" s="1" t="str">
        <f ca="1">IFERROR(__xludf.DUMMYFUNCTION("""COMPUTED_VALUE"""),"+7.10")</f>
        <v>+7.10</v>
      </c>
      <c r="F104" s="1">
        <f ca="1">IFERROR(__xludf.DUMMYFUNCTION("""COMPUTED_VALUE"""),106.9)</f>
        <v>106.9</v>
      </c>
      <c r="G104" s="1">
        <f ca="1">IFERROR(__xludf.DUMMYFUNCTION("""COMPUTED_VALUE"""),98)</f>
        <v>98</v>
      </c>
      <c r="H104" s="1">
        <f ca="1">IFERROR(__xludf.DUMMYFUNCTION("""COMPUTED_VALUE"""),99.8)</f>
        <v>99.8</v>
      </c>
      <c r="I104" s="1">
        <f ca="1">IFERROR(__xludf.DUMMYFUNCTION("""COMPUTED_VALUE"""),111)</f>
        <v>111</v>
      </c>
      <c r="J104" s="1">
        <f ca="1">IFERROR(__xludf.DUMMYFUNCTION("""COMPUTED_VALUE"""),62.4)</f>
        <v>62.4</v>
      </c>
      <c r="K104" s="1">
        <f ca="1">IFERROR(__xludf.DUMMYFUNCTION("""COMPUTED_VALUE"""),277)</f>
        <v>277</v>
      </c>
      <c r="L104" s="1">
        <f ca="1">IFERROR(__xludf.DUMMYFUNCTION("""COMPUTED_VALUE"""),-0.024)</f>
        <v>-2.4E-2</v>
      </c>
      <c r="M104" s="1">
        <f ca="1">IFERROR(__xludf.DUMMYFUNCTION("""COMPUTED_VALUE"""),220)</f>
        <v>220</v>
      </c>
      <c r="N104" s="1" t="str">
        <f ca="1">IFERROR(__xludf.DUMMYFUNCTION("""COMPUTED_VALUE"""),"+1.78")</f>
        <v>+1.78</v>
      </c>
      <c r="O104" s="1">
        <f ca="1">IFERROR(__xludf.DUMMYFUNCTION("""COMPUTED_VALUE"""),121)</f>
        <v>121</v>
      </c>
      <c r="P104" s="1">
        <f ca="1">IFERROR(__xludf.DUMMYFUNCTION("""COMPUTED_VALUE"""),102.8)</f>
        <v>102.8</v>
      </c>
      <c r="Q104" s="1">
        <f ca="1">IFERROR(__xludf.DUMMYFUNCTION("""COMPUTED_VALUE"""),172)</f>
        <v>172</v>
      </c>
      <c r="R104" s="1">
        <f ca="1">IFERROR(__xludf.DUMMYFUNCTION("""COMPUTED_VALUE"""),101)</f>
        <v>101</v>
      </c>
      <c r="S104" s="1">
        <f ca="1">IFERROR(__xludf.DUMMYFUNCTION("""COMPUTED_VALUE"""),95)</f>
        <v>95</v>
      </c>
      <c r="T104" s="1" t="str">
        <f ca="1">IFERROR(__xludf.DUMMYFUNCTION("""COMPUTED_VALUE"""),"+0.46")</f>
        <v>+0.46</v>
      </c>
      <c r="U104" s="1">
        <f ca="1">IFERROR(__xludf.DUMMYFUNCTION("""COMPUTED_VALUE"""),142)</f>
        <v>142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IFERROR(__xludf.DUMMYFUNCTION("""COMPUTED_VALUE"""),"Washington St.")</f>
        <v>Washington St.</v>
      </c>
      <c r="C105" s="1" t="str">
        <f ca="1">IFERROR(__xludf.DUMMYFUNCTION("""COMPUTED_VALUE"""),"P10")</f>
        <v>P10</v>
      </c>
      <c r="D105" s="2">
        <f ca="1">IFERROR(__xludf.DUMMYFUNCTION("""COMPUTED_VALUE"""),44882)</f>
        <v>44882</v>
      </c>
      <c r="E105" s="1" t="str">
        <f ca="1">IFERROR(__xludf.DUMMYFUNCTION("""COMPUTED_VALUE"""),"+7.10")</f>
        <v>+7.10</v>
      </c>
      <c r="F105" s="1">
        <f ca="1">IFERROR(__xludf.DUMMYFUNCTION("""COMPUTED_VALUE"""),97.4)</f>
        <v>97.4</v>
      </c>
      <c r="G105" s="1">
        <f ca="1">IFERROR(__xludf.DUMMYFUNCTION("""COMPUTED_VALUE"""),255)</f>
        <v>255</v>
      </c>
      <c r="H105" s="1">
        <f ca="1">IFERROR(__xludf.DUMMYFUNCTION("""COMPUTED_VALUE"""),90.3)</f>
        <v>90.3</v>
      </c>
      <c r="I105" s="1">
        <f ca="1">IFERROR(__xludf.DUMMYFUNCTION("""COMPUTED_VALUE"""),8)</f>
        <v>8</v>
      </c>
      <c r="J105" s="1">
        <f ca="1">IFERROR(__xludf.DUMMYFUNCTION("""COMPUTED_VALUE"""),60.1)</f>
        <v>60.1</v>
      </c>
      <c r="K105" s="1">
        <f ca="1">IFERROR(__xludf.DUMMYFUNCTION("""COMPUTED_VALUE"""),316)</f>
        <v>316</v>
      </c>
      <c r="L105" s="1">
        <f ca="1">IFERROR(__xludf.DUMMYFUNCTION("""COMPUTED_VALUE"""),-0.11)</f>
        <v>-0.11</v>
      </c>
      <c r="M105" s="1">
        <f ca="1">IFERROR(__xludf.DUMMYFUNCTION("""COMPUTED_VALUE"""),327)</f>
        <v>327</v>
      </c>
      <c r="N105" s="1" t="str">
        <f ca="1">IFERROR(__xludf.DUMMYFUNCTION("""COMPUTED_VALUE"""),"+7.35")</f>
        <v>+7.35</v>
      </c>
      <c r="O105" s="1">
        <f ca="1">IFERROR(__xludf.DUMMYFUNCTION("""COMPUTED_VALUE"""),42)</f>
        <v>42</v>
      </c>
      <c r="P105" s="1">
        <f ca="1">IFERROR(__xludf.DUMMYFUNCTION("""COMPUTED_VALUE"""),107.3)</f>
        <v>107.3</v>
      </c>
      <c r="Q105" s="1">
        <f ca="1">IFERROR(__xludf.DUMMYFUNCTION("""COMPUTED_VALUE"""),32)</f>
        <v>32</v>
      </c>
      <c r="R105" s="1">
        <f ca="1">IFERROR(__xludf.DUMMYFUNCTION("""COMPUTED_VALUE"""),100)</f>
        <v>100</v>
      </c>
      <c r="S105" s="1">
        <f ca="1">IFERROR(__xludf.DUMMYFUNCTION("""COMPUTED_VALUE"""),67)</f>
        <v>67</v>
      </c>
      <c r="T105" s="1">
        <f ca="1">IFERROR(__xludf.DUMMYFUNCTION("""COMPUTED_VALUE"""),-1.88)</f>
        <v>-1.88</v>
      </c>
      <c r="U105" s="1">
        <f ca="1">IFERROR(__xludf.DUMMYFUNCTION("""COMPUTED_VALUE"""),211)</f>
        <v>211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IFERROR(__xludf.DUMMYFUNCTION("""COMPUTED_VALUE"""),"Drexel")</f>
        <v>Drexel</v>
      </c>
      <c r="C106" s="1" t="str">
        <f ca="1">IFERROR(__xludf.DUMMYFUNCTION("""COMPUTED_VALUE"""),"CAA")</f>
        <v>CAA</v>
      </c>
      <c r="D106" s="1" t="str">
        <f ca="1">IFERROR(__xludf.DUMMYFUNCTION("""COMPUTED_VALUE"""),"15-16")</f>
        <v>15-16</v>
      </c>
      <c r="E106" s="1" t="str">
        <f ca="1">IFERROR(__xludf.DUMMYFUNCTION("""COMPUTED_VALUE"""),"+6.95")</f>
        <v>+6.95</v>
      </c>
      <c r="F106" s="1">
        <f ca="1">IFERROR(__xludf.DUMMYFUNCTION("""COMPUTED_VALUE"""),100.3)</f>
        <v>100.3</v>
      </c>
      <c r="G106" s="1">
        <f ca="1">IFERROR(__xludf.DUMMYFUNCTION("""COMPUTED_VALUE"""),213)</f>
        <v>213</v>
      </c>
      <c r="H106" s="1">
        <f ca="1">IFERROR(__xludf.DUMMYFUNCTION("""COMPUTED_VALUE"""),93.4)</f>
        <v>93.4</v>
      </c>
      <c r="I106" s="1">
        <f ca="1">IFERROR(__xludf.DUMMYFUNCTION("""COMPUTED_VALUE"""),24)</f>
        <v>24</v>
      </c>
      <c r="J106" s="1">
        <f ca="1">IFERROR(__xludf.DUMMYFUNCTION("""COMPUTED_VALUE"""),62.5)</f>
        <v>62.5</v>
      </c>
      <c r="K106" s="1">
        <f ca="1">IFERROR(__xludf.DUMMYFUNCTION("""COMPUTED_VALUE"""),273)</f>
        <v>273</v>
      </c>
      <c r="L106" s="1">
        <f ca="1">IFERROR(__xludf.DUMMYFUNCTION("""COMPUTED_VALUE"""),-0.112)</f>
        <v>-0.112</v>
      </c>
      <c r="M106" s="1">
        <f ca="1">IFERROR(__xludf.DUMMYFUNCTION("""COMPUTED_VALUE"""),328)</f>
        <v>328</v>
      </c>
      <c r="N106" s="1" t="str">
        <f ca="1">IFERROR(__xludf.DUMMYFUNCTION("""COMPUTED_VALUE"""),"+1.99")</f>
        <v>+1.99</v>
      </c>
      <c r="O106" s="1">
        <f ca="1">IFERROR(__xludf.DUMMYFUNCTION("""COMPUTED_VALUE"""),116)</f>
        <v>116</v>
      </c>
      <c r="P106" s="1">
        <f ca="1">IFERROR(__xludf.DUMMYFUNCTION("""COMPUTED_VALUE"""),103.3)</f>
        <v>103.3</v>
      </c>
      <c r="Q106" s="1">
        <f ca="1">IFERROR(__xludf.DUMMYFUNCTION("""COMPUTED_VALUE"""),155)</f>
        <v>155</v>
      </c>
      <c r="R106" s="1">
        <f ca="1">IFERROR(__xludf.DUMMYFUNCTION("""COMPUTED_VALUE"""),101.4)</f>
        <v>101.4</v>
      </c>
      <c r="S106" s="1">
        <f ca="1">IFERROR(__xludf.DUMMYFUNCTION("""COMPUTED_VALUE"""),106)</f>
        <v>106</v>
      </c>
      <c r="T106" s="1" t="str">
        <f ca="1">IFERROR(__xludf.DUMMYFUNCTION("""COMPUTED_VALUE"""),"+2.99")</f>
        <v>+2.99</v>
      </c>
      <c r="U106" s="1">
        <f ca="1">IFERROR(__xludf.DUMMYFUNCTION("""COMPUTED_VALUE"""),75)</f>
        <v>75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IFERROR(__xludf.DUMMYFUNCTION("""COMPUTED_VALUE"""),"Miami OH7")</f>
        <v>Miami OH7</v>
      </c>
      <c r="C107" s="1" t="str">
        <f ca="1">IFERROR(__xludf.DUMMYFUNCTION("""COMPUTED_VALUE"""),"MAC")</f>
        <v>MAC</v>
      </c>
      <c r="D107" s="1" t="str">
        <f ca="1">IFERROR(__xludf.DUMMYFUNCTION("""COMPUTED_VALUE"""),"18-11")</f>
        <v>18-11</v>
      </c>
      <c r="E107" s="1" t="str">
        <f ca="1">IFERROR(__xludf.DUMMYFUNCTION("""COMPUTED_VALUE"""),"+6.89")</f>
        <v>+6.89</v>
      </c>
      <c r="F107" s="1">
        <f ca="1">IFERROR(__xludf.DUMMYFUNCTION("""COMPUTED_VALUE"""),104.3)</f>
        <v>104.3</v>
      </c>
      <c r="G107" s="1">
        <f ca="1">IFERROR(__xludf.DUMMYFUNCTION("""COMPUTED_VALUE"""),144)</f>
        <v>144</v>
      </c>
      <c r="H107" s="1">
        <f ca="1">IFERROR(__xludf.DUMMYFUNCTION("""COMPUTED_VALUE"""),97.5)</f>
        <v>97.5</v>
      </c>
      <c r="I107" s="1">
        <f ca="1">IFERROR(__xludf.DUMMYFUNCTION("""COMPUTED_VALUE"""),79)</f>
        <v>79</v>
      </c>
      <c r="J107" s="1">
        <f ca="1">IFERROR(__xludf.DUMMYFUNCTION("""COMPUTED_VALUE"""),60)</f>
        <v>60</v>
      </c>
      <c r="K107" s="1">
        <f ca="1">IFERROR(__xludf.DUMMYFUNCTION("""COMPUTED_VALUE"""),318)</f>
        <v>318</v>
      </c>
      <c r="L107" s="1" t="str">
        <f ca="1">IFERROR(__xludf.DUMMYFUNCTION("""COMPUTED_VALUE"""),"+.019")</f>
        <v>+.019</v>
      </c>
      <c r="M107" s="1">
        <f ca="1">IFERROR(__xludf.DUMMYFUNCTION("""COMPUTED_VALUE"""),119)</f>
        <v>119</v>
      </c>
      <c r="N107" s="1" t="str">
        <f ca="1">IFERROR(__xludf.DUMMYFUNCTION("""COMPUTED_VALUE"""),"+2.21")</f>
        <v>+2.21</v>
      </c>
      <c r="O107" s="1">
        <f ca="1">IFERROR(__xludf.DUMMYFUNCTION("""COMPUTED_VALUE"""),110)</f>
        <v>110</v>
      </c>
      <c r="P107" s="1">
        <f ca="1">IFERROR(__xludf.DUMMYFUNCTION("""COMPUTED_VALUE"""),104.2)</f>
        <v>104.2</v>
      </c>
      <c r="Q107" s="1">
        <f ca="1">IFERROR(__xludf.DUMMYFUNCTION("""COMPUTED_VALUE"""),118)</f>
        <v>118</v>
      </c>
      <c r="R107" s="1">
        <f ca="1">IFERROR(__xludf.DUMMYFUNCTION("""COMPUTED_VALUE"""),102)</f>
        <v>102</v>
      </c>
      <c r="S107" s="1">
        <f ca="1">IFERROR(__xludf.DUMMYFUNCTION("""COMPUTED_VALUE"""),129)</f>
        <v>129</v>
      </c>
      <c r="T107" s="1" t="str">
        <f ca="1">IFERROR(__xludf.DUMMYFUNCTION("""COMPUTED_VALUE"""),"+6.80")</f>
        <v>+6.80</v>
      </c>
      <c r="U107" s="1">
        <f ca="1">IFERROR(__xludf.DUMMYFUNCTION("""COMPUTED_VALUE"""),38)</f>
        <v>38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IFERROR(__xludf.DUMMYFUNCTION("""COMPUTED_VALUE"""),"USC")</f>
        <v>USC</v>
      </c>
      <c r="C108" s="1" t="str">
        <f ca="1">IFERROR(__xludf.DUMMYFUNCTION("""COMPUTED_VALUE"""),"P10")</f>
        <v>P10</v>
      </c>
      <c r="D108" s="1" t="str">
        <f ca="1">IFERROR(__xludf.DUMMYFUNCTION("""COMPUTED_VALUE"""),"17-13")</f>
        <v>17-13</v>
      </c>
      <c r="E108" s="1" t="str">
        <f ca="1">IFERROR(__xludf.DUMMYFUNCTION("""COMPUTED_VALUE"""),"+6.74")</f>
        <v>+6.74</v>
      </c>
      <c r="F108" s="1">
        <f ca="1">IFERROR(__xludf.DUMMYFUNCTION("""COMPUTED_VALUE"""),105)</f>
        <v>105</v>
      </c>
      <c r="G108" s="1">
        <f ca="1">IFERROR(__xludf.DUMMYFUNCTION("""COMPUTED_VALUE"""),132)</f>
        <v>132</v>
      </c>
      <c r="H108" s="1">
        <f ca="1">IFERROR(__xludf.DUMMYFUNCTION("""COMPUTED_VALUE"""),98.3)</f>
        <v>98.3</v>
      </c>
      <c r="I108" s="1">
        <f ca="1">IFERROR(__xludf.DUMMYFUNCTION("""COMPUTED_VALUE"""),88)</f>
        <v>88</v>
      </c>
      <c r="J108" s="1">
        <f ca="1">IFERROR(__xludf.DUMMYFUNCTION("""COMPUTED_VALUE"""),66.6)</f>
        <v>66.599999999999994</v>
      </c>
      <c r="K108" s="1">
        <f ca="1">IFERROR(__xludf.DUMMYFUNCTION("""COMPUTED_VALUE"""),114)</f>
        <v>114</v>
      </c>
      <c r="L108" s="1" t="str">
        <f ca="1">IFERROR(__xludf.DUMMYFUNCTION("""COMPUTED_VALUE"""),"+.020")</f>
        <v>+.020</v>
      </c>
      <c r="M108" s="1">
        <f ca="1">IFERROR(__xludf.DUMMYFUNCTION("""COMPUTED_VALUE"""),114)</f>
        <v>114</v>
      </c>
      <c r="N108" s="1" t="str">
        <f ca="1">IFERROR(__xludf.DUMMYFUNCTION("""COMPUTED_VALUE"""),"+5.63")</f>
        <v>+5.63</v>
      </c>
      <c r="O108" s="1">
        <f ca="1">IFERROR(__xludf.DUMMYFUNCTION("""COMPUTED_VALUE"""),70)</f>
        <v>70</v>
      </c>
      <c r="P108" s="1">
        <f ca="1">IFERROR(__xludf.DUMMYFUNCTION("""COMPUTED_VALUE"""),105.1)</f>
        <v>105.1</v>
      </c>
      <c r="Q108" s="1">
        <f ca="1">IFERROR(__xludf.DUMMYFUNCTION("""COMPUTED_VALUE"""),85)</f>
        <v>85</v>
      </c>
      <c r="R108" s="1">
        <f ca="1">IFERROR(__xludf.DUMMYFUNCTION("""COMPUTED_VALUE"""),99.4)</f>
        <v>99.4</v>
      </c>
      <c r="S108" s="1">
        <f ca="1">IFERROR(__xludf.DUMMYFUNCTION("""COMPUTED_VALUE"""),52)</f>
        <v>52</v>
      </c>
      <c r="T108" s="1">
        <f ca="1">IFERROR(__xludf.DUMMYFUNCTION("""COMPUTED_VALUE"""),-6.85)</f>
        <v>-6.85</v>
      </c>
      <c r="U108" s="1">
        <f ca="1">IFERROR(__xludf.DUMMYFUNCTION("""COMPUTED_VALUE"""),302)</f>
        <v>302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IFERROR(__xludf.DUMMYFUNCTION("""COMPUTED_VALUE"""),"Georgia Tech")</f>
        <v>Georgia Tech</v>
      </c>
      <c r="C109" s="1" t="str">
        <f ca="1">IFERROR(__xludf.DUMMYFUNCTION("""COMPUTED_VALUE"""),"ACC")</f>
        <v>ACC</v>
      </c>
      <c r="D109" s="2">
        <f ca="1">IFERROR(__xludf.DUMMYFUNCTION("""COMPUTED_VALUE"""),44882)</f>
        <v>44882</v>
      </c>
      <c r="E109" s="1" t="str">
        <f ca="1">IFERROR(__xludf.DUMMYFUNCTION("""COMPUTED_VALUE"""),"+6.66")</f>
        <v>+6.66</v>
      </c>
      <c r="F109" s="1">
        <f ca="1">IFERROR(__xludf.DUMMYFUNCTION("""COMPUTED_VALUE"""),104.8)</f>
        <v>104.8</v>
      </c>
      <c r="G109" s="1">
        <f ca="1">IFERROR(__xludf.DUMMYFUNCTION("""COMPUTED_VALUE"""),136)</f>
        <v>136</v>
      </c>
      <c r="H109" s="1">
        <f ca="1">IFERROR(__xludf.DUMMYFUNCTION("""COMPUTED_VALUE"""),98.1)</f>
        <v>98.1</v>
      </c>
      <c r="I109" s="1">
        <f ca="1">IFERROR(__xludf.DUMMYFUNCTION("""COMPUTED_VALUE"""),85)</f>
        <v>85</v>
      </c>
      <c r="J109" s="1">
        <f ca="1">IFERROR(__xludf.DUMMYFUNCTION("""COMPUTED_VALUE"""),68.4)</f>
        <v>68.400000000000006</v>
      </c>
      <c r="K109" s="1">
        <f ca="1">IFERROR(__xludf.DUMMYFUNCTION("""COMPUTED_VALUE"""),61)</f>
        <v>61</v>
      </c>
      <c r="L109" s="1">
        <f ca="1">IFERROR(__xludf.DUMMYFUNCTION("""COMPUTED_VALUE"""),-0.097)</f>
        <v>-9.7000000000000003E-2</v>
      </c>
      <c r="M109" s="1">
        <f ca="1">IFERROR(__xludf.DUMMYFUNCTION("""COMPUTED_VALUE"""),321)</f>
        <v>321</v>
      </c>
      <c r="N109" s="1" t="str">
        <f ca="1">IFERROR(__xludf.DUMMYFUNCTION("""COMPUTED_VALUE"""),"+7.75")</f>
        <v>+7.75</v>
      </c>
      <c r="O109" s="1">
        <f ca="1">IFERROR(__xludf.DUMMYFUNCTION("""COMPUTED_VALUE"""),37)</f>
        <v>37</v>
      </c>
      <c r="P109" s="1">
        <f ca="1">IFERROR(__xludf.DUMMYFUNCTION("""COMPUTED_VALUE"""),108)</f>
        <v>108</v>
      </c>
      <c r="Q109" s="1">
        <f ca="1">IFERROR(__xludf.DUMMYFUNCTION("""COMPUTED_VALUE"""),19)</f>
        <v>19</v>
      </c>
      <c r="R109" s="1">
        <f ca="1">IFERROR(__xludf.DUMMYFUNCTION("""COMPUTED_VALUE"""),100.2)</f>
        <v>100.2</v>
      </c>
      <c r="S109" s="1">
        <f ca="1">IFERROR(__xludf.DUMMYFUNCTION("""COMPUTED_VALUE"""),74)</f>
        <v>74</v>
      </c>
      <c r="T109" s="1">
        <f ca="1">IFERROR(__xludf.DUMMYFUNCTION("""COMPUTED_VALUE"""),-6.34)</f>
        <v>-6.34</v>
      </c>
      <c r="U109" s="1">
        <f ca="1">IFERROR(__xludf.DUMMYFUNCTION("""COMPUTED_VALUE"""),296)</f>
        <v>296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IFERROR(__xludf.DUMMYFUNCTION("""COMPUTED_VALUE"""),"VCU")</f>
        <v>VCU</v>
      </c>
      <c r="C110" s="1" t="str">
        <f ca="1">IFERROR(__xludf.DUMMYFUNCTION("""COMPUTED_VALUE"""),"CAA")</f>
        <v>CAA</v>
      </c>
      <c r="D110" s="1" t="str">
        <f ca="1">IFERROR(__xludf.DUMMYFUNCTION("""COMPUTED_VALUE"""),"19-10")</f>
        <v>19-10</v>
      </c>
      <c r="E110" s="1" t="str">
        <f ca="1">IFERROR(__xludf.DUMMYFUNCTION("""COMPUTED_VALUE"""),"+6.63")</f>
        <v>+6.63</v>
      </c>
      <c r="F110" s="1">
        <f ca="1">IFERROR(__xludf.DUMMYFUNCTION("""COMPUTED_VALUE"""),107.2)</f>
        <v>107.2</v>
      </c>
      <c r="G110" s="1">
        <f ca="1">IFERROR(__xludf.DUMMYFUNCTION("""COMPUTED_VALUE"""),92)</f>
        <v>92</v>
      </c>
      <c r="H110" s="1">
        <f ca="1">IFERROR(__xludf.DUMMYFUNCTION("""COMPUTED_VALUE"""),100.5)</f>
        <v>100.5</v>
      </c>
      <c r="I110" s="1">
        <f ca="1">IFERROR(__xludf.DUMMYFUNCTION("""COMPUTED_VALUE"""),122)</f>
        <v>122</v>
      </c>
      <c r="J110" s="1">
        <f ca="1">IFERROR(__xludf.DUMMYFUNCTION("""COMPUTED_VALUE"""),62.1)</f>
        <v>62.1</v>
      </c>
      <c r="K110" s="1">
        <f ca="1">IFERROR(__xludf.DUMMYFUNCTION("""COMPUTED_VALUE"""),286)</f>
        <v>286</v>
      </c>
      <c r="L110" s="1" t="str">
        <f ca="1">IFERROR(__xludf.DUMMYFUNCTION("""COMPUTED_VALUE"""),"+.005")</f>
        <v>+.005</v>
      </c>
      <c r="M110" s="1">
        <f ca="1">IFERROR(__xludf.DUMMYFUNCTION("""COMPUTED_VALUE"""),154)</f>
        <v>154</v>
      </c>
      <c r="N110" s="1">
        <f ca="1">IFERROR(__xludf.DUMMYFUNCTION("""COMPUTED_VALUE"""),-1.21)</f>
        <v>-1.21</v>
      </c>
      <c r="O110" s="1">
        <f ca="1">IFERROR(__xludf.DUMMYFUNCTION("""COMPUTED_VALUE"""),183)</f>
        <v>183</v>
      </c>
      <c r="P110" s="1">
        <f ca="1">IFERROR(__xludf.DUMMYFUNCTION("""COMPUTED_VALUE"""),101.8)</f>
        <v>101.8</v>
      </c>
      <c r="Q110" s="1">
        <f ca="1">IFERROR(__xludf.DUMMYFUNCTION("""COMPUTED_VALUE"""),217)</f>
        <v>217</v>
      </c>
      <c r="R110" s="1">
        <f ca="1">IFERROR(__xludf.DUMMYFUNCTION("""COMPUTED_VALUE"""),103)</f>
        <v>103</v>
      </c>
      <c r="S110" s="1">
        <f ca="1">IFERROR(__xludf.DUMMYFUNCTION("""COMPUTED_VALUE"""),157)</f>
        <v>157</v>
      </c>
      <c r="T110" s="1">
        <f ca="1">IFERROR(__xludf.DUMMYFUNCTION("""COMPUTED_VALUE"""),-4.72)</f>
        <v>-4.72</v>
      </c>
      <c r="U110" s="1">
        <f ca="1">IFERROR(__xludf.DUMMYFUNCTION("""COMPUTED_VALUE"""),272)</f>
        <v>272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IFERROR(__xludf.DUMMYFUNCTION("""COMPUTED_VALUE"""),"Massachusetts")</f>
        <v>Massachusetts</v>
      </c>
      <c r="C111" s="1" t="str">
        <f ca="1">IFERROR(__xludf.DUMMYFUNCTION("""COMPUTED_VALUE"""),"A10")</f>
        <v>A10</v>
      </c>
      <c r="D111" s="1" t="str">
        <f ca="1">IFERROR(__xludf.DUMMYFUNCTION("""COMPUTED_VALUE"""),"13-15")</f>
        <v>13-15</v>
      </c>
      <c r="E111" s="1" t="str">
        <f ca="1">IFERROR(__xludf.DUMMYFUNCTION("""COMPUTED_VALUE"""),"+6.48")</f>
        <v>+6.48</v>
      </c>
      <c r="F111" s="1">
        <f ca="1">IFERROR(__xludf.DUMMYFUNCTION("""COMPUTED_VALUE"""),101.1)</f>
        <v>101.1</v>
      </c>
      <c r="G111" s="1">
        <f ca="1">IFERROR(__xludf.DUMMYFUNCTION("""COMPUTED_VALUE"""),199)</f>
        <v>199</v>
      </c>
      <c r="H111" s="1">
        <f ca="1">IFERROR(__xludf.DUMMYFUNCTION("""COMPUTED_VALUE"""),94.6)</f>
        <v>94.6</v>
      </c>
      <c r="I111" s="1">
        <f ca="1">IFERROR(__xludf.DUMMYFUNCTION("""COMPUTED_VALUE"""),36)</f>
        <v>36</v>
      </c>
      <c r="J111" s="1">
        <f ca="1">IFERROR(__xludf.DUMMYFUNCTION("""COMPUTED_VALUE"""),65.5)</f>
        <v>65.5</v>
      </c>
      <c r="K111" s="1">
        <f ca="1">IFERROR(__xludf.DUMMYFUNCTION("""COMPUTED_VALUE"""),155)</f>
        <v>155</v>
      </c>
      <c r="L111" s="1">
        <f ca="1">IFERROR(__xludf.DUMMYFUNCTION("""COMPUTED_VALUE"""),-0.069)</f>
        <v>-6.9000000000000006E-2</v>
      </c>
      <c r="M111" s="1">
        <f ca="1">IFERROR(__xludf.DUMMYFUNCTION("""COMPUTED_VALUE"""),305)</f>
        <v>305</v>
      </c>
      <c r="N111" s="1" t="str">
        <f ca="1">IFERROR(__xludf.DUMMYFUNCTION("""COMPUTED_VALUE"""),"+4.44")</f>
        <v>+4.44</v>
      </c>
      <c r="O111" s="1">
        <f ca="1">IFERROR(__xludf.DUMMYFUNCTION("""COMPUTED_VALUE"""),83)</f>
        <v>83</v>
      </c>
      <c r="P111" s="1">
        <f ca="1">IFERROR(__xludf.DUMMYFUNCTION("""COMPUTED_VALUE"""),105.4)</f>
        <v>105.4</v>
      </c>
      <c r="Q111" s="1">
        <f ca="1">IFERROR(__xludf.DUMMYFUNCTION("""COMPUTED_VALUE"""),76)</f>
        <v>76</v>
      </c>
      <c r="R111" s="1">
        <f ca="1">IFERROR(__xludf.DUMMYFUNCTION("""COMPUTED_VALUE"""),100.9)</f>
        <v>100.9</v>
      </c>
      <c r="S111" s="1">
        <f ca="1">IFERROR(__xludf.DUMMYFUNCTION("""COMPUTED_VALUE"""),92)</f>
        <v>92</v>
      </c>
      <c r="T111" s="1" t="str">
        <f ca="1">IFERROR(__xludf.DUMMYFUNCTION("""COMPUTED_VALUE"""),"+4.85")</f>
        <v>+4.85</v>
      </c>
      <c r="U111" s="1">
        <f ca="1">IFERROR(__xludf.DUMMYFUNCTION("""COMPUTED_VALUE"""),52)</f>
        <v>52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IFERROR(__xludf.DUMMYFUNCTION("""COMPUTED_VALUE"""),"Saint Mary's")</f>
        <v>Saint Mary's</v>
      </c>
      <c r="C112" s="1" t="str">
        <f ca="1">IFERROR(__xludf.DUMMYFUNCTION("""COMPUTED_VALUE"""),"WCC")</f>
        <v>WCC</v>
      </c>
      <c r="D112" s="1" t="str">
        <f ca="1">IFERROR(__xludf.DUMMYFUNCTION("""COMPUTED_VALUE"""),"17-12")</f>
        <v>17-12</v>
      </c>
      <c r="E112" s="1" t="str">
        <f ca="1">IFERROR(__xludf.DUMMYFUNCTION("""COMPUTED_VALUE"""),"+6.46")</f>
        <v>+6.46</v>
      </c>
      <c r="F112" s="1">
        <f ca="1">IFERROR(__xludf.DUMMYFUNCTION("""COMPUTED_VALUE"""),105.8)</f>
        <v>105.8</v>
      </c>
      <c r="G112" s="1">
        <f ca="1">IFERROR(__xludf.DUMMYFUNCTION("""COMPUTED_VALUE"""),118)</f>
        <v>118</v>
      </c>
      <c r="H112" s="1">
        <f ca="1">IFERROR(__xludf.DUMMYFUNCTION("""COMPUTED_VALUE"""),99.3)</f>
        <v>99.3</v>
      </c>
      <c r="I112" s="1">
        <f ca="1">IFERROR(__xludf.DUMMYFUNCTION("""COMPUTED_VALUE"""),101)</f>
        <v>101</v>
      </c>
      <c r="J112" s="1">
        <f ca="1">IFERROR(__xludf.DUMMYFUNCTION("""COMPUTED_VALUE"""),64.2)</f>
        <v>64.2</v>
      </c>
      <c r="K112" s="1">
        <f ca="1">IFERROR(__xludf.DUMMYFUNCTION("""COMPUTED_VALUE"""),221)</f>
        <v>221</v>
      </c>
      <c r="L112" s="1">
        <f ca="1">IFERROR(__xludf.DUMMYFUNCTION("""COMPUTED_VALUE"""),-0.032)</f>
        <v>-3.2000000000000001E-2</v>
      </c>
      <c r="M112" s="1">
        <f ca="1">IFERROR(__xludf.DUMMYFUNCTION("""COMPUTED_VALUE"""),247)</f>
        <v>247</v>
      </c>
      <c r="N112" s="1" t="str">
        <f ca="1">IFERROR(__xludf.DUMMYFUNCTION("""COMPUTED_VALUE"""),"+1.65")</f>
        <v>+1.65</v>
      </c>
      <c r="O112" s="1">
        <f ca="1">IFERROR(__xludf.DUMMYFUNCTION("""COMPUTED_VALUE"""),124)</f>
        <v>124</v>
      </c>
      <c r="P112" s="1">
        <f ca="1">IFERROR(__xludf.DUMMYFUNCTION("""COMPUTED_VALUE"""),103.8)</f>
        <v>103.8</v>
      </c>
      <c r="Q112" s="1">
        <f ca="1">IFERROR(__xludf.DUMMYFUNCTION("""COMPUTED_VALUE"""),133)</f>
        <v>133</v>
      </c>
      <c r="R112" s="1">
        <f ca="1">IFERROR(__xludf.DUMMYFUNCTION("""COMPUTED_VALUE"""),102.2)</f>
        <v>102.2</v>
      </c>
      <c r="S112" s="1">
        <f ca="1">IFERROR(__xludf.DUMMYFUNCTION("""COMPUTED_VALUE"""),134)</f>
        <v>134</v>
      </c>
      <c r="T112" s="1" t="str">
        <f ca="1">IFERROR(__xludf.DUMMYFUNCTION("""COMPUTED_VALUE"""),"+2.54")</f>
        <v>+2.54</v>
      </c>
      <c r="U112" s="1">
        <f ca="1">IFERROR(__xludf.DUMMYFUNCTION("""COMPUTED_VALUE"""),85)</f>
        <v>85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IFERROR(__xludf.DUMMYFUNCTION("""COMPUTED_VALUE"""),"Georgia")</f>
        <v>Georgia</v>
      </c>
      <c r="C113" s="1" t="str">
        <f ca="1">IFERROR(__xludf.DUMMYFUNCTION("""COMPUTED_VALUE"""),"SEC")</f>
        <v>SEC</v>
      </c>
      <c r="D113" s="1" t="str">
        <f ca="1">IFERROR(__xludf.DUMMYFUNCTION("""COMPUTED_VALUE"""),"15-15")</f>
        <v>15-15</v>
      </c>
      <c r="E113" s="1" t="str">
        <f ca="1">IFERROR(__xludf.DUMMYFUNCTION("""COMPUTED_VALUE"""),"+6.33")</f>
        <v>+6.33</v>
      </c>
      <c r="F113" s="1">
        <f ca="1">IFERROR(__xludf.DUMMYFUNCTION("""COMPUTED_VALUE"""),103.4)</f>
        <v>103.4</v>
      </c>
      <c r="G113" s="1">
        <f ca="1">IFERROR(__xludf.DUMMYFUNCTION("""COMPUTED_VALUE"""),163)</f>
        <v>163</v>
      </c>
      <c r="H113" s="1">
        <f ca="1">IFERROR(__xludf.DUMMYFUNCTION("""COMPUTED_VALUE"""),97)</f>
        <v>97</v>
      </c>
      <c r="I113" s="1">
        <f ca="1">IFERROR(__xludf.DUMMYFUNCTION("""COMPUTED_VALUE"""),69)</f>
        <v>69</v>
      </c>
      <c r="J113" s="1">
        <f ca="1">IFERROR(__xludf.DUMMYFUNCTION("""COMPUTED_VALUE"""),68.5)</f>
        <v>68.5</v>
      </c>
      <c r="K113" s="1">
        <f ca="1">IFERROR(__xludf.DUMMYFUNCTION("""COMPUTED_VALUE"""),56)</f>
        <v>56</v>
      </c>
      <c r="L113" s="1" t="str">
        <f ca="1">IFERROR(__xludf.DUMMYFUNCTION("""COMPUTED_VALUE"""),"+.025")</f>
        <v>+.025</v>
      </c>
      <c r="M113" s="1">
        <f ca="1">IFERROR(__xludf.DUMMYFUNCTION("""COMPUTED_VALUE"""),104)</f>
        <v>104</v>
      </c>
      <c r="N113" s="1" t="str">
        <f ca="1">IFERROR(__xludf.DUMMYFUNCTION("""COMPUTED_VALUE"""),"+8.34")</f>
        <v>+8.34</v>
      </c>
      <c r="O113" s="1">
        <f ca="1">IFERROR(__xludf.DUMMYFUNCTION("""COMPUTED_VALUE"""),25)</f>
        <v>25</v>
      </c>
      <c r="P113" s="1">
        <f ca="1">IFERROR(__xludf.DUMMYFUNCTION("""COMPUTED_VALUE"""),108.3)</f>
        <v>108.3</v>
      </c>
      <c r="Q113" s="1">
        <f ca="1">IFERROR(__xludf.DUMMYFUNCTION("""COMPUTED_VALUE"""),8)</f>
        <v>8</v>
      </c>
      <c r="R113" s="1">
        <f ca="1">IFERROR(__xludf.DUMMYFUNCTION("""COMPUTED_VALUE"""),100)</f>
        <v>100</v>
      </c>
      <c r="S113" s="1">
        <f ca="1">IFERROR(__xludf.DUMMYFUNCTION("""COMPUTED_VALUE"""),66)</f>
        <v>66</v>
      </c>
      <c r="T113" s="1">
        <f ca="1">IFERROR(__xludf.DUMMYFUNCTION("""COMPUTED_VALUE"""),-3.35)</f>
        <v>-3.35</v>
      </c>
      <c r="U113" s="1">
        <f ca="1">IFERROR(__xludf.DUMMYFUNCTION("""COMPUTED_VALUE"""),242)</f>
        <v>242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IFERROR(__xludf.DUMMYFUNCTION("""COMPUTED_VALUE"""),"Marist")</f>
        <v>Marist</v>
      </c>
      <c r="C114" s="1" t="str">
        <f ca="1">IFERROR(__xludf.DUMMYFUNCTION("""COMPUTED_VALUE"""),"MAAC")</f>
        <v>MAAC</v>
      </c>
      <c r="D114" s="1" t="str">
        <f ca="1">IFERROR(__xludf.DUMMYFUNCTION("""COMPUTED_VALUE"""),"19-10")</f>
        <v>19-10</v>
      </c>
      <c r="E114" s="1" t="str">
        <f ca="1">IFERROR(__xludf.DUMMYFUNCTION("""COMPUTED_VALUE"""),"+6.08")</f>
        <v>+6.08</v>
      </c>
      <c r="F114" s="1">
        <f ca="1">IFERROR(__xludf.DUMMYFUNCTION("""COMPUTED_VALUE"""),113.1)</f>
        <v>113.1</v>
      </c>
      <c r="G114" s="1">
        <f ca="1">IFERROR(__xludf.DUMMYFUNCTION("""COMPUTED_VALUE"""),24)</f>
        <v>24</v>
      </c>
      <c r="H114" s="1">
        <f ca="1">IFERROR(__xludf.DUMMYFUNCTION("""COMPUTED_VALUE"""),107)</f>
        <v>107</v>
      </c>
      <c r="I114" s="1">
        <f ca="1">IFERROR(__xludf.DUMMYFUNCTION("""COMPUTED_VALUE"""),239)</f>
        <v>239</v>
      </c>
      <c r="J114" s="1">
        <f ca="1">IFERROR(__xludf.DUMMYFUNCTION("""COMPUTED_VALUE"""),64.9)</f>
        <v>64.900000000000006</v>
      </c>
      <c r="K114" s="1">
        <f ca="1">IFERROR(__xludf.DUMMYFUNCTION("""COMPUTED_VALUE"""),183)</f>
        <v>183</v>
      </c>
      <c r="L114" s="1">
        <f ca="1">IFERROR(__xludf.DUMMYFUNCTION("""COMPUTED_VALUE"""),-0.015)</f>
        <v>-1.4999999999999999E-2</v>
      </c>
      <c r="M114" s="1">
        <f ca="1">IFERROR(__xludf.DUMMYFUNCTION("""COMPUTED_VALUE"""),203)</f>
        <v>203</v>
      </c>
      <c r="N114" s="1">
        <f ca="1">IFERROR(__xludf.DUMMYFUNCTION("""COMPUTED_VALUE"""),-1.06)</f>
        <v>-1.06</v>
      </c>
      <c r="O114" s="1">
        <f ca="1">IFERROR(__xludf.DUMMYFUNCTION("""COMPUTED_VALUE"""),182)</f>
        <v>182</v>
      </c>
      <c r="P114" s="1">
        <f ca="1">IFERROR(__xludf.DUMMYFUNCTION("""COMPUTED_VALUE"""),104.1)</f>
        <v>104.1</v>
      </c>
      <c r="Q114" s="1">
        <f ca="1">IFERROR(__xludf.DUMMYFUNCTION("""COMPUTED_VALUE"""),122)</f>
        <v>122</v>
      </c>
      <c r="R114" s="1">
        <f ca="1">IFERROR(__xludf.DUMMYFUNCTION("""COMPUTED_VALUE"""),105.2)</f>
        <v>105.2</v>
      </c>
      <c r="S114" s="1">
        <f ca="1">IFERROR(__xludf.DUMMYFUNCTION("""COMPUTED_VALUE"""),240)</f>
        <v>240</v>
      </c>
      <c r="T114" s="1">
        <f ca="1">IFERROR(__xludf.DUMMYFUNCTION("""COMPUTED_VALUE"""),-1.86)</f>
        <v>-1.86</v>
      </c>
      <c r="U114" s="1">
        <f ca="1">IFERROR(__xludf.DUMMYFUNCTION("""COMPUTED_VALUE"""),210)</f>
        <v>210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IFERROR(__xludf.DUMMYFUNCTION("""COMPUTED_VALUE"""),"Ohio")</f>
        <v>Ohio</v>
      </c>
      <c r="C115" s="1" t="str">
        <f ca="1">IFERROR(__xludf.DUMMYFUNCTION("""COMPUTED_VALUE"""),"MAC")</f>
        <v>MAC</v>
      </c>
      <c r="D115" s="1" t="str">
        <f ca="1">IFERROR(__xludf.DUMMYFUNCTION("""COMPUTED_VALUE"""),"19-11")</f>
        <v>19-11</v>
      </c>
      <c r="E115" s="1" t="str">
        <f ca="1">IFERROR(__xludf.DUMMYFUNCTION("""COMPUTED_VALUE"""),"+6.01")</f>
        <v>+6.01</v>
      </c>
      <c r="F115" s="1">
        <f ca="1">IFERROR(__xludf.DUMMYFUNCTION("""COMPUTED_VALUE"""),106.4)</f>
        <v>106.4</v>
      </c>
      <c r="G115" s="1">
        <f ca="1">IFERROR(__xludf.DUMMYFUNCTION("""COMPUTED_VALUE"""),108)</f>
        <v>108</v>
      </c>
      <c r="H115" s="1">
        <f ca="1">IFERROR(__xludf.DUMMYFUNCTION("""COMPUTED_VALUE"""),100.4)</f>
        <v>100.4</v>
      </c>
      <c r="I115" s="1">
        <f ca="1">IFERROR(__xludf.DUMMYFUNCTION("""COMPUTED_VALUE"""),120)</f>
        <v>120</v>
      </c>
      <c r="J115" s="1">
        <f ca="1">IFERROR(__xludf.DUMMYFUNCTION("""COMPUTED_VALUE"""),64.3)</f>
        <v>64.3</v>
      </c>
      <c r="K115" s="1">
        <f ca="1">IFERROR(__xludf.DUMMYFUNCTION("""COMPUTED_VALUE"""),219)</f>
        <v>219</v>
      </c>
      <c r="L115" s="1" t="str">
        <f ca="1">IFERROR(__xludf.DUMMYFUNCTION("""COMPUTED_VALUE"""),"+.020")</f>
        <v>+.020</v>
      </c>
      <c r="M115" s="1">
        <f ca="1">IFERROR(__xludf.DUMMYFUNCTION("""COMPUTED_VALUE"""),113)</f>
        <v>113</v>
      </c>
      <c r="N115" s="1" t="str">
        <f ca="1">IFERROR(__xludf.DUMMYFUNCTION("""COMPUTED_VALUE"""),"+0.19")</f>
        <v>+0.19</v>
      </c>
      <c r="O115" s="1">
        <f ca="1">IFERROR(__xludf.DUMMYFUNCTION("""COMPUTED_VALUE"""),156)</f>
        <v>156</v>
      </c>
      <c r="P115" s="1">
        <f ca="1">IFERROR(__xludf.DUMMYFUNCTION("""COMPUTED_VALUE"""),103.6)</f>
        <v>103.6</v>
      </c>
      <c r="Q115" s="1">
        <f ca="1">IFERROR(__xludf.DUMMYFUNCTION("""COMPUTED_VALUE"""),147)</f>
        <v>147</v>
      </c>
      <c r="R115" s="1">
        <f ca="1">IFERROR(__xludf.DUMMYFUNCTION("""COMPUTED_VALUE"""),103.4)</f>
        <v>103.4</v>
      </c>
      <c r="S115" s="1">
        <f ca="1">IFERROR(__xludf.DUMMYFUNCTION("""COMPUTED_VALUE"""),165)</f>
        <v>165</v>
      </c>
      <c r="T115" s="1" t="str">
        <f ca="1">IFERROR(__xludf.DUMMYFUNCTION("""COMPUTED_VALUE"""),"+0.81")</f>
        <v>+0.81</v>
      </c>
      <c r="U115" s="1">
        <f ca="1">IFERROR(__xludf.DUMMYFUNCTION("""COMPUTED_VALUE"""),136)</f>
        <v>136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IFERROR(__xludf.DUMMYFUNCTION("""COMPUTED_VALUE"""),"Northeastern")</f>
        <v>Northeastern</v>
      </c>
      <c r="C116" s="1" t="str">
        <f ca="1">IFERROR(__xludf.DUMMYFUNCTION("""COMPUTED_VALUE"""),"CAA")</f>
        <v>CAA</v>
      </c>
      <c r="D116" s="1" t="str">
        <f ca="1">IFERROR(__xludf.DUMMYFUNCTION("""COMPUTED_VALUE"""),"19-11")</f>
        <v>19-11</v>
      </c>
      <c r="E116" s="1" t="str">
        <f ca="1">IFERROR(__xludf.DUMMYFUNCTION("""COMPUTED_VALUE"""),"+5.90")</f>
        <v>+5.90</v>
      </c>
      <c r="F116" s="1">
        <f ca="1">IFERROR(__xludf.DUMMYFUNCTION("""COMPUTED_VALUE"""),107)</f>
        <v>107</v>
      </c>
      <c r="G116" s="1">
        <f ca="1">IFERROR(__xludf.DUMMYFUNCTION("""COMPUTED_VALUE"""),97)</f>
        <v>97</v>
      </c>
      <c r="H116" s="1">
        <f ca="1">IFERROR(__xludf.DUMMYFUNCTION("""COMPUTED_VALUE"""),101.1)</f>
        <v>101.1</v>
      </c>
      <c r="I116" s="1">
        <f ca="1">IFERROR(__xludf.DUMMYFUNCTION("""COMPUTED_VALUE"""),129)</f>
        <v>129</v>
      </c>
      <c r="J116" s="1">
        <f ca="1">IFERROR(__xludf.DUMMYFUNCTION("""COMPUTED_VALUE"""),69.1)</f>
        <v>69.099999999999994</v>
      </c>
      <c r="K116" s="1">
        <f ca="1">IFERROR(__xludf.DUMMYFUNCTION("""COMPUTED_VALUE"""),44)</f>
        <v>44</v>
      </c>
      <c r="L116" s="1" t="str">
        <f ca="1">IFERROR(__xludf.DUMMYFUNCTION("""COMPUTED_VALUE"""),"+.039")</f>
        <v>+.039</v>
      </c>
      <c r="M116" s="1">
        <f ca="1">IFERROR(__xludf.DUMMYFUNCTION("""COMPUTED_VALUE"""),74)</f>
        <v>74</v>
      </c>
      <c r="N116" s="1" t="str">
        <f ca="1">IFERROR(__xludf.DUMMYFUNCTION("""COMPUTED_VALUE"""),"+0.53")</f>
        <v>+0.53</v>
      </c>
      <c r="O116" s="1">
        <f ca="1">IFERROR(__xludf.DUMMYFUNCTION("""COMPUTED_VALUE"""),148)</f>
        <v>148</v>
      </c>
      <c r="P116" s="1">
        <f ca="1">IFERROR(__xludf.DUMMYFUNCTION("""COMPUTED_VALUE"""),103)</f>
        <v>103</v>
      </c>
      <c r="Q116" s="1">
        <f ca="1">IFERROR(__xludf.DUMMYFUNCTION("""COMPUTED_VALUE"""),168)</f>
        <v>168</v>
      </c>
      <c r="R116" s="1">
        <f ca="1">IFERROR(__xludf.DUMMYFUNCTION("""COMPUTED_VALUE"""),102.4)</f>
        <v>102.4</v>
      </c>
      <c r="S116" s="1">
        <f ca="1">IFERROR(__xludf.DUMMYFUNCTION("""COMPUTED_VALUE"""),140)</f>
        <v>140</v>
      </c>
      <c r="T116" s="1">
        <f ca="1">IFERROR(__xludf.DUMMYFUNCTION("""COMPUTED_VALUE"""),-0.25)</f>
        <v>-0.25</v>
      </c>
      <c r="U116" s="1">
        <f ca="1">IFERROR(__xludf.DUMMYFUNCTION("""COMPUTED_VALUE"""),161)</f>
        <v>161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IFERROR(__xludf.DUMMYFUNCTION("""COMPUTED_VALUE"""),"Nebraska6")</f>
        <v>Nebraska6</v>
      </c>
      <c r="C117" s="1" t="str">
        <f ca="1">IFERROR(__xludf.DUMMYFUNCTION("""COMPUTED_VALUE"""),"B12")</f>
        <v>B12</v>
      </c>
      <c r="D117" s="1" t="str">
        <f ca="1">IFERROR(__xludf.DUMMYFUNCTION("""COMPUTED_VALUE"""),"19-14")</f>
        <v>19-14</v>
      </c>
      <c r="E117" s="1" t="str">
        <f ca="1">IFERROR(__xludf.DUMMYFUNCTION("""COMPUTED_VALUE"""),"+5.84")</f>
        <v>+5.84</v>
      </c>
      <c r="F117" s="1">
        <f ca="1">IFERROR(__xludf.DUMMYFUNCTION("""COMPUTED_VALUE"""),102.9)</f>
        <v>102.9</v>
      </c>
      <c r="G117" s="1">
        <f ca="1">IFERROR(__xludf.DUMMYFUNCTION("""COMPUTED_VALUE"""),167)</f>
        <v>167</v>
      </c>
      <c r="H117" s="1">
        <f ca="1">IFERROR(__xludf.DUMMYFUNCTION("""COMPUTED_VALUE"""),97.1)</f>
        <v>97.1</v>
      </c>
      <c r="I117" s="1">
        <f ca="1">IFERROR(__xludf.DUMMYFUNCTION("""COMPUTED_VALUE"""),70)</f>
        <v>70</v>
      </c>
      <c r="J117" s="1">
        <f ca="1">IFERROR(__xludf.DUMMYFUNCTION("""COMPUTED_VALUE"""),64.6)</f>
        <v>64.599999999999994</v>
      </c>
      <c r="K117" s="1">
        <f ca="1">IFERROR(__xludf.DUMMYFUNCTION("""COMPUTED_VALUE"""),209)</f>
        <v>209</v>
      </c>
      <c r="L117" s="1" t="str">
        <f ca="1">IFERROR(__xludf.DUMMYFUNCTION("""COMPUTED_VALUE"""),"+.057")</f>
        <v>+.057</v>
      </c>
      <c r="M117" s="1">
        <f ca="1">IFERROR(__xludf.DUMMYFUNCTION("""COMPUTED_VALUE"""),46)</f>
        <v>46</v>
      </c>
      <c r="N117" s="1" t="str">
        <f ca="1">IFERROR(__xludf.DUMMYFUNCTION("""COMPUTED_VALUE"""),"+3.98")</f>
        <v>+3.98</v>
      </c>
      <c r="O117" s="1">
        <f ca="1">IFERROR(__xludf.DUMMYFUNCTION("""COMPUTED_VALUE"""),90)</f>
        <v>90</v>
      </c>
      <c r="P117" s="1">
        <f ca="1">IFERROR(__xludf.DUMMYFUNCTION("""COMPUTED_VALUE"""),104.5)</f>
        <v>104.5</v>
      </c>
      <c r="Q117" s="1">
        <f ca="1">IFERROR(__xludf.DUMMYFUNCTION("""COMPUTED_VALUE"""),100)</f>
        <v>100</v>
      </c>
      <c r="R117" s="1">
        <f ca="1">IFERROR(__xludf.DUMMYFUNCTION("""COMPUTED_VALUE"""),100.5)</f>
        <v>100.5</v>
      </c>
      <c r="S117" s="1">
        <f ca="1">IFERROR(__xludf.DUMMYFUNCTION("""COMPUTED_VALUE"""),82)</f>
        <v>82</v>
      </c>
      <c r="T117" s="1">
        <f ca="1">IFERROR(__xludf.DUMMYFUNCTION("""COMPUTED_VALUE"""),-9.69)</f>
        <v>-9.69</v>
      </c>
      <c r="U117" s="1">
        <f ca="1">IFERROR(__xludf.DUMMYFUNCTION("""COMPUTED_VALUE"""),324)</f>
        <v>324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IFERROR(__xludf.DUMMYFUNCTION("""COMPUTED_VALUE"""),"Oral Roberts16")</f>
        <v>Oral Roberts16</v>
      </c>
      <c r="C118" s="1" t="str">
        <f ca="1">IFERROR(__xludf.DUMMYFUNCTION("""COMPUTED_VALUE"""),"MCon")</f>
        <v>MCon</v>
      </c>
      <c r="D118" s="1" t="str">
        <f ca="1">IFERROR(__xludf.DUMMYFUNCTION("""COMPUTED_VALUE"""),"21-12")</f>
        <v>21-12</v>
      </c>
      <c r="E118" s="1" t="str">
        <f ca="1">IFERROR(__xludf.DUMMYFUNCTION("""COMPUTED_VALUE"""),"+5.70")</f>
        <v>+5.70</v>
      </c>
      <c r="F118" s="1">
        <f ca="1">IFERROR(__xludf.DUMMYFUNCTION("""COMPUTED_VALUE"""),107.1)</f>
        <v>107.1</v>
      </c>
      <c r="G118" s="1">
        <f ca="1">IFERROR(__xludf.DUMMYFUNCTION("""COMPUTED_VALUE"""),95)</f>
        <v>95</v>
      </c>
      <c r="H118" s="1">
        <f ca="1">IFERROR(__xludf.DUMMYFUNCTION("""COMPUTED_VALUE"""),101.4)</f>
        <v>101.4</v>
      </c>
      <c r="I118" s="1">
        <f ca="1">IFERROR(__xludf.DUMMYFUNCTION("""COMPUTED_VALUE"""),134)</f>
        <v>134</v>
      </c>
      <c r="J118" s="1">
        <f ca="1">IFERROR(__xludf.DUMMYFUNCTION("""COMPUTED_VALUE"""),66.9)</f>
        <v>66.900000000000006</v>
      </c>
      <c r="K118" s="1">
        <f ca="1">IFERROR(__xludf.DUMMYFUNCTION("""COMPUTED_VALUE"""),105)</f>
        <v>105</v>
      </c>
      <c r="L118" s="1">
        <f ca="1">IFERROR(__xludf.DUMMYFUNCTION("""COMPUTED_VALUE"""),-0.035)</f>
        <v>-3.5000000000000003E-2</v>
      </c>
      <c r="M118" s="1">
        <f ca="1">IFERROR(__xludf.DUMMYFUNCTION("""COMPUTED_VALUE"""),252)</f>
        <v>252</v>
      </c>
      <c r="N118" s="1">
        <f ca="1">IFERROR(__xludf.DUMMYFUNCTION("""COMPUTED_VALUE"""),-3.45)</f>
        <v>-3.45</v>
      </c>
      <c r="O118" s="1">
        <f ca="1">IFERROR(__xludf.DUMMYFUNCTION("""COMPUTED_VALUE"""),219)</f>
        <v>219</v>
      </c>
      <c r="P118" s="1">
        <f ca="1">IFERROR(__xludf.DUMMYFUNCTION("""COMPUTED_VALUE"""),102.8)</f>
        <v>102.8</v>
      </c>
      <c r="Q118" s="1">
        <f ca="1">IFERROR(__xludf.DUMMYFUNCTION("""COMPUTED_VALUE"""),174)</f>
        <v>174</v>
      </c>
      <c r="R118" s="1">
        <f ca="1">IFERROR(__xludf.DUMMYFUNCTION("""COMPUTED_VALUE"""),106.2)</f>
        <v>106.2</v>
      </c>
      <c r="S118" s="1">
        <f ca="1">IFERROR(__xludf.DUMMYFUNCTION("""COMPUTED_VALUE"""),289)</f>
        <v>289</v>
      </c>
      <c r="T118" s="1" t="str">
        <f ca="1">IFERROR(__xludf.DUMMYFUNCTION("""COMPUTED_VALUE"""),"+6.88")</f>
        <v>+6.88</v>
      </c>
      <c r="U118" s="1">
        <f ca="1">IFERROR(__xludf.DUMMYFUNCTION("""COMPUTED_VALUE"""),36)</f>
        <v>36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IFERROR(__xludf.DUMMYFUNCTION("""COMPUTED_VALUE"""),"Auburn")</f>
        <v>Auburn</v>
      </c>
      <c r="C119" s="1" t="str">
        <f ca="1">IFERROR(__xludf.DUMMYFUNCTION("""COMPUTED_VALUE"""),"SEC")</f>
        <v>SEC</v>
      </c>
      <c r="D119" s="2">
        <f ca="1">IFERROR(__xludf.DUMMYFUNCTION("""COMPUTED_VALUE"""),44911)</f>
        <v>44911</v>
      </c>
      <c r="E119" s="1" t="str">
        <f ca="1">IFERROR(__xludf.DUMMYFUNCTION("""COMPUTED_VALUE"""),"+5.58")</f>
        <v>+5.58</v>
      </c>
      <c r="F119" s="1">
        <f ca="1">IFERROR(__xludf.DUMMYFUNCTION("""COMPUTED_VALUE"""),104.2)</f>
        <v>104.2</v>
      </c>
      <c r="G119" s="1">
        <f ca="1">IFERROR(__xludf.DUMMYFUNCTION("""COMPUTED_VALUE"""),146)</f>
        <v>146</v>
      </c>
      <c r="H119" s="1">
        <f ca="1">IFERROR(__xludf.DUMMYFUNCTION("""COMPUTED_VALUE"""),98.6)</f>
        <v>98.6</v>
      </c>
      <c r="I119" s="1">
        <f ca="1">IFERROR(__xludf.DUMMYFUNCTION("""COMPUTED_VALUE"""),92)</f>
        <v>92</v>
      </c>
      <c r="J119" s="1">
        <f ca="1">IFERROR(__xludf.DUMMYFUNCTION("""COMPUTED_VALUE"""),65.2)</f>
        <v>65.2</v>
      </c>
      <c r="K119" s="1">
        <f ca="1">IFERROR(__xludf.DUMMYFUNCTION("""COMPUTED_VALUE"""),168)</f>
        <v>168</v>
      </c>
      <c r="L119" s="1">
        <f ca="1">IFERROR(__xludf.DUMMYFUNCTION("""COMPUTED_VALUE"""),-0.018)</f>
        <v>-1.7999999999999999E-2</v>
      </c>
      <c r="M119" s="1">
        <f ca="1">IFERROR(__xludf.DUMMYFUNCTION("""COMPUTED_VALUE"""),211)</f>
        <v>211</v>
      </c>
      <c r="N119" s="1" t="str">
        <f ca="1">IFERROR(__xludf.DUMMYFUNCTION("""COMPUTED_VALUE"""),"+8.07")</f>
        <v>+8.07</v>
      </c>
      <c r="O119" s="1">
        <f ca="1">IFERROR(__xludf.DUMMYFUNCTION("""COMPUTED_VALUE"""),29)</f>
        <v>29</v>
      </c>
      <c r="P119" s="1">
        <f ca="1">IFERROR(__xludf.DUMMYFUNCTION("""COMPUTED_VALUE"""),107.3)</f>
        <v>107.3</v>
      </c>
      <c r="Q119" s="1">
        <f ca="1">IFERROR(__xludf.DUMMYFUNCTION("""COMPUTED_VALUE"""),33)</f>
        <v>33</v>
      </c>
      <c r="R119" s="1">
        <f ca="1">IFERROR(__xludf.DUMMYFUNCTION("""COMPUTED_VALUE"""),99.2)</f>
        <v>99.2</v>
      </c>
      <c r="S119" s="1">
        <f ca="1">IFERROR(__xludf.DUMMYFUNCTION("""COMPUTED_VALUE"""),42)</f>
        <v>42</v>
      </c>
      <c r="T119" s="1">
        <f ca="1">IFERROR(__xludf.DUMMYFUNCTION("""COMPUTED_VALUE"""),-1.86)</f>
        <v>-1.86</v>
      </c>
      <c r="U119" s="1">
        <f ca="1">IFERROR(__xludf.DUMMYFUNCTION("""COMPUTED_VALUE"""),209)</f>
        <v>209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IFERROR(__xludf.DUMMYFUNCTION("""COMPUTED_VALUE"""),"Mississippi St.")</f>
        <v>Mississippi St.</v>
      </c>
      <c r="C120" s="1" t="str">
        <f ca="1">IFERROR(__xludf.DUMMYFUNCTION("""COMPUTED_VALUE"""),"SEC")</f>
        <v>SEC</v>
      </c>
      <c r="D120" s="1" t="str">
        <f ca="1">IFERROR(__xludf.DUMMYFUNCTION("""COMPUTED_VALUE"""),"15-15")</f>
        <v>15-15</v>
      </c>
      <c r="E120" s="1" t="str">
        <f ca="1">IFERROR(__xludf.DUMMYFUNCTION("""COMPUTED_VALUE"""),"+5.53")</f>
        <v>+5.53</v>
      </c>
      <c r="F120" s="1">
        <f ca="1">IFERROR(__xludf.DUMMYFUNCTION("""COMPUTED_VALUE"""),102.9)</f>
        <v>102.9</v>
      </c>
      <c r="G120" s="1">
        <f ca="1">IFERROR(__xludf.DUMMYFUNCTION("""COMPUTED_VALUE"""),168)</f>
        <v>168</v>
      </c>
      <c r="H120" s="1">
        <f ca="1">IFERROR(__xludf.DUMMYFUNCTION("""COMPUTED_VALUE"""),97.3)</f>
        <v>97.3</v>
      </c>
      <c r="I120" s="1">
        <f ca="1">IFERROR(__xludf.DUMMYFUNCTION("""COMPUTED_VALUE"""),76)</f>
        <v>76</v>
      </c>
      <c r="J120" s="1">
        <f ca="1">IFERROR(__xludf.DUMMYFUNCTION("""COMPUTED_VALUE"""),66.7)</f>
        <v>66.7</v>
      </c>
      <c r="K120" s="1">
        <f ca="1">IFERROR(__xludf.DUMMYFUNCTION("""COMPUTED_VALUE"""),113)</f>
        <v>113</v>
      </c>
      <c r="L120" s="1" t="str">
        <f ca="1">IFERROR(__xludf.DUMMYFUNCTION("""COMPUTED_VALUE"""),"+.027")</f>
        <v>+.027</v>
      </c>
      <c r="M120" s="1">
        <f ca="1">IFERROR(__xludf.DUMMYFUNCTION("""COMPUTED_VALUE"""),98)</f>
        <v>98</v>
      </c>
      <c r="N120" s="1" t="str">
        <f ca="1">IFERROR(__xludf.DUMMYFUNCTION("""COMPUTED_VALUE"""),"+5.84")</f>
        <v>+5.84</v>
      </c>
      <c r="O120" s="1">
        <f ca="1">IFERROR(__xludf.DUMMYFUNCTION("""COMPUTED_VALUE"""),67)</f>
        <v>67</v>
      </c>
      <c r="P120" s="1">
        <f ca="1">IFERROR(__xludf.DUMMYFUNCTION("""COMPUTED_VALUE"""),106.4)</f>
        <v>106.4</v>
      </c>
      <c r="Q120" s="1">
        <f ca="1">IFERROR(__xludf.DUMMYFUNCTION("""COMPUTED_VALUE"""),47)</f>
        <v>47</v>
      </c>
      <c r="R120" s="1">
        <f ca="1">IFERROR(__xludf.DUMMYFUNCTION("""COMPUTED_VALUE"""),100.6)</f>
        <v>100.6</v>
      </c>
      <c r="S120" s="1">
        <f ca="1">IFERROR(__xludf.DUMMYFUNCTION("""COMPUTED_VALUE"""),87)</f>
        <v>87</v>
      </c>
      <c r="T120" s="1">
        <f ca="1">IFERROR(__xludf.DUMMYFUNCTION("""COMPUTED_VALUE"""),-4.37)</f>
        <v>-4.37</v>
      </c>
      <c r="U120" s="1">
        <f ca="1">IFERROR(__xludf.DUMMYFUNCTION("""COMPUTED_VALUE"""),265)</f>
        <v>265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IFERROR(__xludf.DUMMYFUNCTION("""COMPUTED_VALUE"""),"New Mexico")</f>
        <v>New Mexico</v>
      </c>
      <c r="C121" s="1" t="str">
        <f ca="1">IFERROR(__xludf.DUMMYFUNCTION("""COMPUTED_VALUE"""),"MWC")</f>
        <v>MWC</v>
      </c>
      <c r="D121" s="1" t="str">
        <f ca="1">IFERROR(__xludf.DUMMYFUNCTION("""COMPUTED_VALUE"""),"17-13")</f>
        <v>17-13</v>
      </c>
      <c r="E121" s="1" t="str">
        <f ca="1">IFERROR(__xludf.DUMMYFUNCTION("""COMPUTED_VALUE"""),"+5.30")</f>
        <v>+5.30</v>
      </c>
      <c r="F121" s="1">
        <f ca="1">IFERROR(__xludf.DUMMYFUNCTION("""COMPUTED_VALUE"""),105.4)</f>
        <v>105.4</v>
      </c>
      <c r="G121" s="1">
        <f ca="1">IFERROR(__xludf.DUMMYFUNCTION("""COMPUTED_VALUE"""),123)</f>
        <v>123</v>
      </c>
      <c r="H121" s="1">
        <f ca="1">IFERROR(__xludf.DUMMYFUNCTION("""COMPUTED_VALUE"""),100.1)</f>
        <v>100.1</v>
      </c>
      <c r="I121" s="1">
        <f ca="1">IFERROR(__xludf.DUMMYFUNCTION("""COMPUTED_VALUE"""),117)</f>
        <v>117</v>
      </c>
      <c r="J121" s="1">
        <f ca="1">IFERROR(__xludf.DUMMYFUNCTION("""COMPUTED_VALUE"""),60.2)</f>
        <v>60.2</v>
      </c>
      <c r="K121" s="1">
        <f ca="1">IFERROR(__xludf.DUMMYFUNCTION("""COMPUTED_VALUE"""),314)</f>
        <v>314</v>
      </c>
      <c r="L121" s="1">
        <f ca="1">IFERROR(__xludf.DUMMYFUNCTION("""COMPUTED_VALUE"""),-0.003)</f>
        <v>-3.0000000000000001E-3</v>
      </c>
      <c r="M121" s="1">
        <f ca="1">IFERROR(__xludf.DUMMYFUNCTION("""COMPUTED_VALUE"""),175)</f>
        <v>175</v>
      </c>
      <c r="N121" s="1" t="str">
        <f ca="1">IFERROR(__xludf.DUMMYFUNCTION("""COMPUTED_VALUE"""),"+1.91")</f>
        <v>+1.91</v>
      </c>
      <c r="O121" s="1">
        <f ca="1">IFERROR(__xludf.DUMMYFUNCTION("""COMPUTED_VALUE"""),118)</f>
        <v>118</v>
      </c>
      <c r="P121" s="1">
        <f ca="1">IFERROR(__xludf.DUMMYFUNCTION("""COMPUTED_VALUE"""),103.9)</f>
        <v>103.9</v>
      </c>
      <c r="Q121" s="1">
        <f ca="1">IFERROR(__xludf.DUMMYFUNCTION("""COMPUTED_VALUE"""),129)</f>
        <v>129</v>
      </c>
      <c r="R121" s="1">
        <f ca="1">IFERROR(__xludf.DUMMYFUNCTION("""COMPUTED_VALUE"""),102)</f>
        <v>102</v>
      </c>
      <c r="S121" s="1">
        <f ca="1">IFERROR(__xludf.DUMMYFUNCTION("""COMPUTED_VALUE"""),130)</f>
        <v>130</v>
      </c>
      <c r="T121" s="1">
        <f ca="1">IFERROR(__xludf.DUMMYFUNCTION("""COMPUTED_VALUE"""),-2.75)</f>
        <v>-2.75</v>
      </c>
      <c r="U121" s="1">
        <f ca="1">IFERROR(__xludf.DUMMYFUNCTION("""COMPUTED_VALUE"""),225)</f>
        <v>225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IFERROR(__xludf.DUMMYFUNCTION("""COMPUTED_VALUE"""),"Penn St.7")</f>
        <v>Penn St.7</v>
      </c>
      <c r="C122" s="1" t="str">
        <f ca="1">IFERROR(__xludf.DUMMYFUNCTION("""COMPUTED_VALUE"""),"B10")</f>
        <v>B10</v>
      </c>
      <c r="D122" s="1" t="str">
        <f ca="1">IFERROR(__xludf.DUMMYFUNCTION("""COMPUTED_VALUE"""),"15-15")</f>
        <v>15-15</v>
      </c>
      <c r="E122" s="1" t="str">
        <f ca="1">IFERROR(__xludf.DUMMYFUNCTION("""COMPUTED_VALUE"""),"+5.27")</f>
        <v>+5.27</v>
      </c>
      <c r="F122" s="1">
        <f ca="1">IFERROR(__xludf.DUMMYFUNCTION("""COMPUTED_VALUE"""),109.5)</f>
        <v>109.5</v>
      </c>
      <c r="G122" s="1">
        <f ca="1">IFERROR(__xludf.DUMMYFUNCTION("""COMPUTED_VALUE"""),69)</f>
        <v>69</v>
      </c>
      <c r="H122" s="1">
        <f ca="1">IFERROR(__xludf.DUMMYFUNCTION("""COMPUTED_VALUE"""),104.2)</f>
        <v>104.2</v>
      </c>
      <c r="I122" s="1">
        <f ca="1">IFERROR(__xludf.DUMMYFUNCTION("""COMPUTED_VALUE"""),192)</f>
        <v>192</v>
      </c>
      <c r="J122" s="1">
        <f ca="1">IFERROR(__xludf.DUMMYFUNCTION("""COMPUTED_VALUE"""),63.8)</f>
        <v>63.8</v>
      </c>
      <c r="K122" s="1">
        <f ca="1">IFERROR(__xludf.DUMMYFUNCTION("""COMPUTED_VALUE"""),240)</f>
        <v>240</v>
      </c>
      <c r="L122" s="1" t="str">
        <f ca="1">IFERROR(__xludf.DUMMYFUNCTION("""COMPUTED_VALUE"""),"+.015")</f>
        <v>+.015</v>
      </c>
      <c r="M122" s="1">
        <f ca="1">IFERROR(__xludf.DUMMYFUNCTION("""COMPUTED_VALUE"""),130)</f>
        <v>130</v>
      </c>
      <c r="N122" s="1" t="str">
        <f ca="1">IFERROR(__xludf.DUMMYFUNCTION("""COMPUTED_VALUE"""),"+5.25")</f>
        <v>+5.25</v>
      </c>
      <c r="O122" s="1">
        <f ca="1">IFERROR(__xludf.DUMMYFUNCTION("""COMPUTED_VALUE"""),76)</f>
        <v>76</v>
      </c>
      <c r="P122" s="1">
        <f ca="1">IFERROR(__xludf.DUMMYFUNCTION("""COMPUTED_VALUE"""),104.8)</f>
        <v>104.8</v>
      </c>
      <c r="Q122" s="1">
        <f ca="1">IFERROR(__xludf.DUMMYFUNCTION("""COMPUTED_VALUE"""),92)</f>
        <v>92</v>
      </c>
      <c r="R122" s="1">
        <f ca="1">IFERROR(__xludf.DUMMYFUNCTION("""COMPUTED_VALUE"""),99.6)</f>
        <v>99.6</v>
      </c>
      <c r="S122" s="1">
        <f ca="1">IFERROR(__xludf.DUMMYFUNCTION("""COMPUTED_VALUE"""),56)</f>
        <v>56</v>
      </c>
      <c r="T122" s="1">
        <f ca="1">IFERROR(__xludf.DUMMYFUNCTION("""COMPUTED_VALUE"""),-11.27)</f>
        <v>-11.27</v>
      </c>
      <c r="U122" s="1">
        <f ca="1">IFERROR(__xludf.DUMMYFUNCTION("""COMPUTED_VALUE"""),329)</f>
        <v>329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IFERROR(__xludf.DUMMYFUNCTION("""COMPUTED_VALUE"""),"St. John's")</f>
        <v>St. John's</v>
      </c>
      <c r="C123" s="1" t="str">
        <f ca="1">IFERROR(__xludf.DUMMYFUNCTION("""COMPUTED_VALUE"""),"BE")</f>
        <v>BE</v>
      </c>
      <c r="D123" s="2">
        <f ca="1">IFERROR(__xludf.DUMMYFUNCTION("""COMPUTED_VALUE"""),44910)</f>
        <v>44910</v>
      </c>
      <c r="E123" s="1" t="str">
        <f ca="1">IFERROR(__xludf.DUMMYFUNCTION("""COMPUTED_VALUE"""),"+5.27")</f>
        <v>+5.27</v>
      </c>
      <c r="F123" s="1">
        <f ca="1">IFERROR(__xludf.DUMMYFUNCTION("""COMPUTED_VALUE"""),97.6)</f>
        <v>97.6</v>
      </c>
      <c r="G123" s="1">
        <f ca="1">IFERROR(__xludf.DUMMYFUNCTION("""COMPUTED_VALUE"""),252)</f>
        <v>252</v>
      </c>
      <c r="H123" s="1">
        <f ca="1">IFERROR(__xludf.DUMMYFUNCTION("""COMPUTED_VALUE"""),92.3)</f>
        <v>92.3</v>
      </c>
      <c r="I123" s="1">
        <f ca="1">IFERROR(__xludf.DUMMYFUNCTION("""COMPUTED_VALUE"""),17)</f>
        <v>17</v>
      </c>
      <c r="J123" s="1">
        <f ca="1">IFERROR(__xludf.DUMMYFUNCTION("""COMPUTED_VALUE"""),62.5)</f>
        <v>62.5</v>
      </c>
      <c r="K123" s="1">
        <f ca="1">IFERROR(__xludf.DUMMYFUNCTION("""COMPUTED_VALUE"""),274)</f>
        <v>274</v>
      </c>
      <c r="L123" s="1">
        <f ca="1">IFERROR(__xludf.DUMMYFUNCTION("""COMPUTED_VALUE"""),-0.038)</f>
        <v>-3.7999999999999999E-2</v>
      </c>
      <c r="M123" s="1">
        <f ca="1">IFERROR(__xludf.DUMMYFUNCTION("""COMPUTED_VALUE"""),257)</f>
        <v>257</v>
      </c>
      <c r="N123" s="1" t="str">
        <f ca="1">IFERROR(__xludf.DUMMYFUNCTION("""COMPUTED_VALUE"""),"+6.47")</f>
        <v>+6.47</v>
      </c>
      <c r="O123" s="1">
        <f ca="1">IFERROR(__xludf.DUMMYFUNCTION("""COMPUTED_VALUE"""),56)</f>
        <v>56</v>
      </c>
      <c r="P123" s="1">
        <f ca="1">IFERROR(__xludf.DUMMYFUNCTION("""COMPUTED_VALUE"""),106.9)</f>
        <v>106.9</v>
      </c>
      <c r="Q123" s="1">
        <f ca="1">IFERROR(__xludf.DUMMYFUNCTION("""COMPUTED_VALUE"""),40)</f>
        <v>40</v>
      </c>
      <c r="R123" s="1">
        <f ca="1">IFERROR(__xludf.DUMMYFUNCTION("""COMPUTED_VALUE"""),100.5)</f>
        <v>100.5</v>
      </c>
      <c r="S123" s="1">
        <f ca="1">IFERROR(__xludf.DUMMYFUNCTION("""COMPUTED_VALUE"""),79)</f>
        <v>79</v>
      </c>
      <c r="T123" s="1">
        <f ca="1">IFERROR(__xludf.DUMMYFUNCTION("""COMPUTED_VALUE"""),-7.08)</f>
        <v>-7.08</v>
      </c>
      <c r="U123" s="1">
        <f ca="1">IFERROR(__xludf.DUMMYFUNCTION("""COMPUTED_VALUE"""),308)</f>
        <v>308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IFERROR(__xludf.DUMMYFUNCTION("""COMPUTED_VALUE"""),"Toledo")</f>
        <v>Toledo</v>
      </c>
      <c r="C124" s="1" t="str">
        <f ca="1">IFERROR(__xludf.DUMMYFUNCTION("""COMPUTED_VALUE"""),"MAC")</f>
        <v>MAC</v>
      </c>
      <c r="D124" s="1" t="str">
        <f ca="1">IFERROR(__xludf.DUMMYFUNCTION("""COMPUTED_VALUE"""),"20-11")</f>
        <v>20-11</v>
      </c>
      <c r="E124" s="1" t="str">
        <f ca="1">IFERROR(__xludf.DUMMYFUNCTION("""COMPUTED_VALUE"""),"+5.17")</f>
        <v>+5.17</v>
      </c>
      <c r="F124" s="1">
        <f ca="1">IFERROR(__xludf.DUMMYFUNCTION("""COMPUTED_VALUE"""),101.4)</f>
        <v>101.4</v>
      </c>
      <c r="G124" s="1">
        <f ca="1">IFERROR(__xludf.DUMMYFUNCTION("""COMPUTED_VALUE"""),194)</f>
        <v>194</v>
      </c>
      <c r="H124" s="1">
        <f ca="1">IFERROR(__xludf.DUMMYFUNCTION("""COMPUTED_VALUE"""),96.2)</f>
        <v>96.2</v>
      </c>
      <c r="I124" s="1">
        <f ca="1">IFERROR(__xludf.DUMMYFUNCTION("""COMPUTED_VALUE"""),52)</f>
        <v>52</v>
      </c>
      <c r="J124" s="1">
        <f ca="1">IFERROR(__xludf.DUMMYFUNCTION("""COMPUTED_VALUE"""),67.5)</f>
        <v>67.5</v>
      </c>
      <c r="K124" s="1">
        <f ca="1">IFERROR(__xludf.DUMMYFUNCTION("""COMPUTED_VALUE"""),89)</f>
        <v>89</v>
      </c>
      <c r="L124" s="1">
        <f ca="1">IFERROR(__xludf.DUMMYFUNCTION("""COMPUTED_VALUE"""),-0.023)</f>
        <v>-2.3E-2</v>
      </c>
      <c r="M124" s="1">
        <f ca="1">IFERROR(__xludf.DUMMYFUNCTION("""COMPUTED_VALUE"""),218)</f>
        <v>218</v>
      </c>
      <c r="N124" s="1">
        <f ca="1">IFERROR(__xludf.DUMMYFUNCTION("""COMPUTED_VALUE"""),-3.01)</f>
        <v>-3.01</v>
      </c>
      <c r="O124" s="1">
        <f ca="1">IFERROR(__xludf.DUMMYFUNCTION("""COMPUTED_VALUE"""),213)</f>
        <v>213</v>
      </c>
      <c r="P124" s="1">
        <f ca="1">IFERROR(__xludf.DUMMYFUNCTION("""COMPUTED_VALUE"""),101.8)</f>
        <v>101.8</v>
      </c>
      <c r="Q124" s="1">
        <f ca="1">IFERROR(__xludf.DUMMYFUNCTION("""COMPUTED_VALUE"""),214)</f>
        <v>214</v>
      </c>
      <c r="R124" s="1">
        <f ca="1">IFERROR(__xludf.DUMMYFUNCTION("""COMPUTED_VALUE"""),104.8)</f>
        <v>104.8</v>
      </c>
      <c r="S124" s="1">
        <f ca="1">IFERROR(__xludf.DUMMYFUNCTION("""COMPUTED_VALUE"""),220)</f>
        <v>220</v>
      </c>
      <c r="T124" s="1">
        <f ca="1">IFERROR(__xludf.DUMMYFUNCTION("""COMPUTED_VALUE"""),-6.87)</f>
        <v>-6.87</v>
      </c>
      <c r="U124" s="1">
        <f ca="1">IFERROR(__xludf.DUMMYFUNCTION("""COMPUTED_VALUE"""),303)</f>
        <v>303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IFERROR(__xludf.DUMMYFUNCTION("""COMPUTED_VALUE"""),"San Diego")</f>
        <v>San Diego</v>
      </c>
      <c r="C125" s="1" t="str">
        <f ca="1">IFERROR(__xludf.DUMMYFUNCTION("""COMPUTED_VALUE"""),"WCC")</f>
        <v>WCC</v>
      </c>
      <c r="D125" s="1" t="str">
        <f ca="1">IFERROR(__xludf.DUMMYFUNCTION("""COMPUTED_VALUE"""),"18-12")</f>
        <v>18-12</v>
      </c>
      <c r="E125" s="1" t="str">
        <f ca="1">IFERROR(__xludf.DUMMYFUNCTION("""COMPUTED_VALUE"""),"+5.14")</f>
        <v>+5.14</v>
      </c>
      <c r="F125" s="1">
        <f ca="1">IFERROR(__xludf.DUMMYFUNCTION("""COMPUTED_VALUE"""),106.9)</f>
        <v>106.9</v>
      </c>
      <c r="G125" s="1">
        <f ca="1">IFERROR(__xludf.DUMMYFUNCTION("""COMPUTED_VALUE"""),100)</f>
        <v>100</v>
      </c>
      <c r="H125" s="1">
        <f ca="1">IFERROR(__xludf.DUMMYFUNCTION("""COMPUTED_VALUE"""),101.7)</f>
        <v>101.7</v>
      </c>
      <c r="I125" s="1">
        <f ca="1">IFERROR(__xludf.DUMMYFUNCTION("""COMPUTED_VALUE"""),144)</f>
        <v>144</v>
      </c>
      <c r="J125" s="1">
        <f ca="1">IFERROR(__xludf.DUMMYFUNCTION("""COMPUTED_VALUE"""),69.6)</f>
        <v>69.599999999999994</v>
      </c>
      <c r="K125" s="1">
        <f ca="1">IFERROR(__xludf.DUMMYFUNCTION("""COMPUTED_VALUE"""),35)</f>
        <v>35</v>
      </c>
      <c r="L125" s="1">
        <f ca="1">IFERROR(__xludf.DUMMYFUNCTION("""COMPUTED_VALUE"""),-0.034)</f>
        <v>-3.4000000000000002E-2</v>
      </c>
      <c r="M125" s="1">
        <f ca="1">IFERROR(__xludf.DUMMYFUNCTION("""COMPUTED_VALUE"""),251)</f>
        <v>251</v>
      </c>
      <c r="N125" s="1">
        <f ca="1">IFERROR(__xludf.DUMMYFUNCTION("""COMPUTED_VALUE"""),-0.41)</f>
        <v>-0.41</v>
      </c>
      <c r="O125" s="1">
        <f ca="1">IFERROR(__xludf.DUMMYFUNCTION("""COMPUTED_VALUE"""),169)</f>
        <v>169</v>
      </c>
      <c r="P125" s="1">
        <f ca="1">IFERROR(__xludf.DUMMYFUNCTION("""COMPUTED_VALUE"""),103.2)</f>
        <v>103.2</v>
      </c>
      <c r="Q125" s="1">
        <f ca="1">IFERROR(__xludf.DUMMYFUNCTION("""COMPUTED_VALUE"""),161)</f>
        <v>161</v>
      </c>
      <c r="R125" s="1">
        <f ca="1">IFERROR(__xludf.DUMMYFUNCTION("""COMPUTED_VALUE"""),103.6)</f>
        <v>103.6</v>
      </c>
      <c r="S125" s="1">
        <f ca="1">IFERROR(__xludf.DUMMYFUNCTION("""COMPUTED_VALUE"""),171)</f>
        <v>171</v>
      </c>
      <c r="T125" s="1">
        <f ca="1">IFERROR(__xludf.DUMMYFUNCTION("""COMPUTED_VALUE"""),-3.39)</f>
        <v>-3.39</v>
      </c>
      <c r="U125" s="1">
        <f ca="1">IFERROR(__xludf.DUMMYFUNCTION("""COMPUTED_VALUE"""),245)</f>
        <v>245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IFERROR(__xludf.DUMMYFUNCTION("""COMPUTED_VALUE"""),"Northern Illinois")</f>
        <v>Northern Illinois</v>
      </c>
      <c r="C126" s="1" t="str">
        <f ca="1">IFERROR(__xludf.DUMMYFUNCTION("""COMPUTED_VALUE"""),"MAC")</f>
        <v>MAC</v>
      </c>
      <c r="D126" s="1" t="str">
        <f ca="1">IFERROR(__xludf.DUMMYFUNCTION("""COMPUTED_VALUE"""),"17-11")</f>
        <v>17-11</v>
      </c>
      <c r="E126" s="1" t="str">
        <f ca="1">IFERROR(__xludf.DUMMYFUNCTION("""COMPUTED_VALUE"""),"+5.10")</f>
        <v>+5.10</v>
      </c>
      <c r="F126" s="1">
        <f ca="1">IFERROR(__xludf.DUMMYFUNCTION("""COMPUTED_VALUE"""),112.7)</f>
        <v>112.7</v>
      </c>
      <c r="G126" s="1">
        <f ca="1">IFERROR(__xludf.DUMMYFUNCTION("""COMPUTED_VALUE"""),30)</f>
        <v>30</v>
      </c>
      <c r="H126" s="1">
        <f ca="1">IFERROR(__xludf.DUMMYFUNCTION("""COMPUTED_VALUE"""),107.7)</f>
        <v>107.7</v>
      </c>
      <c r="I126" s="1">
        <f ca="1">IFERROR(__xludf.DUMMYFUNCTION("""COMPUTED_VALUE"""),252)</f>
        <v>252</v>
      </c>
      <c r="J126" s="1">
        <f ca="1">IFERROR(__xludf.DUMMYFUNCTION("""COMPUTED_VALUE"""),61.9)</f>
        <v>61.9</v>
      </c>
      <c r="K126" s="1">
        <f ca="1">IFERROR(__xludf.DUMMYFUNCTION("""COMPUTED_VALUE"""),292)</f>
        <v>292</v>
      </c>
      <c r="L126" s="1" t="str">
        <f ca="1">IFERROR(__xludf.DUMMYFUNCTION("""COMPUTED_VALUE"""),"+.012")</f>
        <v>+.012</v>
      </c>
      <c r="M126" s="1">
        <f ca="1">IFERROR(__xludf.DUMMYFUNCTION("""COMPUTED_VALUE"""),138)</f>
        <v>138</v>
      </c>
      <c r="N126" s="1" t="str">
        <f ca="1">IFERROR(__xludf.DUMMYFUNCTION("""COMPUTED_VALUE"""),"+0.13")</f>
        <v>+0.13</v>
      </c>
      <c r="O126" s="1">
        <f ca="1">IFERROR(__xludf.DUMMYFUNCTION("""COMPUTED_VALUE"""),157)</f>
        <v>157</v>
      </c>
      <c r="P126" s="1">
        <f ca="1">IFERROR(__xludf.DUMMYFUNCTION("""COMPUTED_VALUE"""),101.8)</f>
        <v>101.8</v>
      </c>
      <c r="Q126" s="1">
        <f ca="1">IFERROR(__xludf.DUMMYFUNCTION("""COMPUTED_VALUE"""),216)</f>
        <v>216</v>
      </c>
      <c r="R126" s="1">
        <f ca="1">IFERROR(__xludf.DUMMYFUNCTION("""COMPUTED_VALUE"""),101.7)</f>
        <v>101.7</v>
      </c>
      <c r="S126" s="1">
        <f ca="1">IFERROR(__xludf.DUMMYFUNCTION("""COMPUTED_VALUE"""),119)</f>
        <v>119</v>
      </c>
      <c r="T126" s="1" t="str">
        <f ca="1">IFERROR(__xludf.DUMMYFUNCTION("""COMPUTED_VALUE"""),"+3.56")</f>
        <v>+3.56</v>
      </c>
      <c r="U126" s="1">
        <f ca="1">IFERROR(__xludf.DUMMYFUNCTION("""COMPUTED_VALUE"""),63)</f>
        <v>63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IFERROR(__xludf.DUMMYFUNCTION("""COMPUTED_VALUE"""),"Texas Tech")</f>
        <v>Texas Tech</v>
      </c>
      <c r="C129" s="1" t="str">
        <f ca="1">IFERROR(__xludf.DUMMYFUNCTION("""COMPUTED_VALUE"""),"B12")</f>
        <v>B12</v>
      </c>
      <c r="D129" s="1" t="str">
        <f ca="1">IFERROR(__xludf.DUMMYFUNCTION("""COMPUTED_VALUE"""),"15-17")</f>
        <v>15-17</v>
      </c>
      <c r="E129" s="1" t="str">
        <f ca="1">IFERROR(__xludf.DUMMYFUNCTION("""COMPUTED_VALUE"""),"+5.03")</f>
        <v>+5.03</v>
      </c>
      <c r="F129" s="1">
        <f ca="1">IFERROR(__xludf.DUMMYFUNCTION("""COMPUTED_VALUE"""),105.6)</f>
        <v>105.6</v>
      </c>
      <c r="G129" s="1">
        <f ca="1">IFERROR(__xludf.DUMMYFUNCTION("""COMPUTED_VALUE"""),122)</f>
        <v>122</v>
      </c>
      <c r="H129" s="1">
        <f ca="1">IFERROR(__xludf.DUMMYFUNCTION("""COMPUTED_VALUE"""),100.6)</f>
        <v>100.6</v>
      </c>
      <c r="I129" s="1">
        <f ca="1">IFERROR(__xludf.DUMMYFUNCTION("""COMPUTED_VALUE"""),123)</f>
        <v>123</v>
      </c>
      <c r="J129" s="1">
        <f ca="1">IFERROR(__xludf.DUMMYFUNCTION("""COMPUTED_VALUE"""),65.9)</f>
        <v>65.900000000000006</v>
      </c>
      <c r="K129" s="1">
        <f ca="1">IFERROR(__xludf.DUMMYFUNCTION("""COMPUTED_VALUE"""),134)</f>
        <v>134</v>
      </c>
      <c r="L129" s="1">
        <f ca="1">IFERROR(__xludf.DUMMYFUNCTION("""COMPUTED_VALUE"""),-0.012)</f>
        <v>-1.2E-2</v>
      </c>
      <c r="M129" s="1">
        <f ca="1">IFERROR(__xludf.DUMMYFUNCTION("""COMPUTED_VALUE"""),198)</f>
        <v>198</v>
      </c>
      <c r="N129" s="1" t="str">
        <f ca="1">IFERROR(__xludf.DUMMYFUNCTION("""COMPUTED_VALUE"""),"+6.54")</f>
        <v>+6.54</v>
      </c>
      <c r="O129" s="1">
        <f ca="1">IFERROR(__xludf.DUMMYFUNCTION("""COMPUTED_VALUE"""),54)</f>
        <v>54</v>
      </c>
      <c r="P129" s="1">
        <f ca="1">IFERROR(__xludf.DUMMYFUNCTION("""COMPUTED_VALUE"""),105.4)</f>
        <v>105.4</v>
      </c>
      <c r="Q129" s="1">
        <f ca="1">IFERROR(__xludf.DUMMYFUNCTION("""COMPUTED_VALUE"""),73)</f>
        <v>73</v>
      </c>
      <c r="R129" s="1">
        <f ca="1">IFERROR(__xludf.DUMMYFUNCTION("""COMPUTED_VALUE"""),98.9)</f>
        <v>98.9</v>
      </c>
      <c r="S129" s="1">
        <f ca="1">IFERROR(__xludf.DUMMYFUNCTION("""COMPUTED_VALUE"""),31)</f>
        <v>31</v>
      </c>
      <c r="T129" s="1">
        <f ca="1">IFERROR(__xludf.DUMMYFUNCTION("""COMPUTED_VALUE"""),-1.28)</f>
        <v>-1.28</v>
      </c>
      <c r="U129" s="1">
        <f ca="1">IFERROR(__xludf.DUMMYFUNCTION("""COMPUTED_VALUE"""),188)</f>
        <v>188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IFERROR(__xludf.DUMMYFUNCTION("""COMPUTED_VALUE"""),"Davidson15")</f>
        <v>Davidson15</v>
      </c>
      <c r="C130" s="1" t="str">
        <f ca="1">IFERROR(__xludf.DUMMYFUNCTION("""COMPUTED_VALUE"""),"SC")</f>
        <v>SC</v>
      </c>
      <c r="D130" s="1" t="str">
        <f ca="1">IFERROR(__xludf.DUMMYFUNCTION("""COMPUTED_VALUE"""),"20-11")</f>
        <v>20-11</v>
      </c>
      <c r="E130" s="1" t="str">
        <f ca="1">IFERROR(__xludf.DUMMYFUNCTION("""COMPUTED_VALUE"""),"+4.86")</f>
        <v>+4.86</v>
      </c>
      <c r="F130" s="1">
        <f ca="1">IFERROR(__xludf.DUMMYFUNCTION("""COMPUTED_VALUE"""),109.9)</f>
        <v>109.9</v>
      </c>
      <c r="G130" s="1">
        <f ca="1">IFERROR(__xludf.DUMMYFUNCTION("""COMPUTED_VALUE"""),61)</f>
        <v>61</v>
      </c>
      <c r="H130" s="1">
        <f ca="1">IFERROR(__xludf.DUMMYFUNCTION("""COMPUTED_VALUE"""),105)</f>
        <v>105</v>
      </c>
      <c r="I130" s="1">
        <f ca="1">IFERROR(__xludf.DUMMYFUNCTION("""COMPUTED_VALUE"""),199)</f>
        <v>199</v>
      </c>
      <c r="J130" s="1">
        <f ca="1">IFERROR(__xludf.DUMMYFUNCTION("""COMPUTED_VALUE"""),66)</f>
        <v>66</v>
      </c>
      <c r="K130" s="1">
        <f ca="1">IFERROR(__xludf.DUMMYFUNCTION("""COMPUTED_VALUE"""),132)</f>
        <v>132</v>
      </c>
      <c r="L130" s="1">
        <f ca="1">IFERROR(__xludf.DUMMYFUNCTION("""COMPUTED_VALUE"""),-0.025)</f>
        <v>-2.5000000000000001E-2</v>
      </c>
      <c r="M130" s="1">
        <f ca="1">IFERROR(__xludf.DUMMYFUNCTION("""COMPUTED_VALUE"""),223)</f>
        <v>223</v>
      </c>
      <c r="N130" s="1">
        <f ca="1">IFERROR(__xludf.DUMMYFUNCTION("""COMPUTED_VALUE"""),-3.3)</f>
        <v>-3.3</v>
      </c>
      <c r="O130" s="1">
        <f ca="1">IFERROR(__xludf.DUMMYFUNCTION("""COMPUTED_VALUE"""),217)</f>
        <v>217</v>
      </c>
      <c r="P130" s="1">
        <f ca="1">IFERROR(__xludf.DUMMYFUNCTION("""COMPUTED_VALUE"""),101.4)</f>
        <v>101.4</v>
      </c>
      <c r="Q130" s="1">
        <f ca="1">IFERROR(__xludf.DUMMYFUNCTION("""COMPUTED_VALUE"""),227)</f>
        <v>227</v>
      </c>
      <c r="R130" s="1">
        <f ca="1">IFERROR(__xludf.DUMMYFUNCTION("""COMPUTED_VALUE"""),104.7)</f>
        <v>104.7</v>
      </c>
      <c r="S130" s="1">
        <f ca="1">IFERROR(__xludf.DUMMYFUNCTION("""COMPUTED_VALUE"""),213)</f>
        <v>213</v>
      </c>
      <c r="T130" s="1" t="str">
        <f ca="1">IFERROR(__xludf.DUMMYFUNCTION("""COMPUTED_VALUE"""),"+9.24")</f>
        <v>+9.24</v>
      </c>
      <c r="U130" s="1">
        <f ca="1">IFERROR(__xludf.DUMMYFUNCTION("""COMPUTED_VALUE"""),17)</f>
        <v>17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IFERROR(__xludf.DUMMYFUNCTION("""COMPUTED_VALUE"""),"Northwestern")</f>
        <v>Northwestern</v>
      </c>
      <c r="C131" s="1" t="str">
        <f ca="1">IFERROR(__xludf.DUMMYFUNCTION("""COMPUTED_VALUE"""),"B10")</f>
        <v>B10</v>
      </c>
      <c r="D131" s="1" t="str">
        <f ca="1">IFERROR(__xludf.DUMMYFUNCTION("""COMPUTED_VALUE"""),"14-15")</f>
        <v>14-15</v>
      </c>
      <c r="E131" s="1" t="str">
        <f ca="1">IFERROR(__xludf.DUMMYFUNCTION("""COMPUTED_VALUE"""),"+4.86")</f>
        <v>+4.86</v>
      </c>
      <c r="F131" s="1">
        <f ca="1">IFERROR(__xludf.DUMMYFUNCTION("""COMPUTED_VALUE"""),102.8)</f>
        <v>102.8</v>
      </c>
      <c r="G131" s="1">
        <f ca="1">IFERROR(__xludf.DUMMYFUNCTION("""COMPUTED_VALUE"""),169)</f>
        <v>169</v>
      </c>
      <c r="H131" s="1">
        <f ca="1">IFERROR(__xludf.DUMMYFUNCTION("""COMPUTED_VALUE"""),97.9)</f>
        <v>97.9</v>
      </c>
      <c r="I131" s="1">
        <f ca="1">IFERROR(__xludf.DUMMYFUNCTION("""COMPUTED_VALUE"""),84)</f>
        <v>84</v>
      </c>
      <c r="J131" s="1">
        <f ca="1">IFERROR(__xludf.DUMMYFUNCTION("""COMPUTED_VALUE"""),58.2)</f>
        <v>58.2</v>
      </c>
      <c r="K131" s="1">
        <f ca="1">IFERROR(__xludf.DUMMYFUNCTION("""COMPUTED_VALUE"""),328)</f>
        <v>328</v>
      </c>
      <c r="L131" s="1" t="str">
        <f ca="1">IFERROR(__xludf.DUMMYFUNCTION("""COMPUTED_VALUE"""),"+.005")</f>
        <v>+.005</v>
      </c>
      <c r="M131" s="1">
        <f ca="1">IFERROR(__xludf.DUMMYFUNCTION("""COMPUTED_VALUE"""),156)</f>
        <v>156</v>
      </c>
      <c r="N131" s="1" t="str">
        <f ca="1">IFERROR(__xludf.DUMMYFUNCTION("""COMPUTED_VALUE"""),"+7.35")</f>
        <v>+7.35</v>
      </c>
      <c r="O131" s="1">
        <f ca="1">IFERROR(__xludf.DUMMYFUNCTION("""COMPUTED_VALUE"""),43)</f>
        <v>43</v>
      </c>
      <c r="P131" s="1">
        <f ca="1">IFERROR(__xludf.DUMMYFUNCTION("""COMPUTED_VALUE"""),107)</f>
        <v>107</v>
      </c>
      <c r="Q131" s="1">
        <f ca="1">IFERROR(__xludf.DUMMYFUNCTION("""COMPUTED_VALUE"""),39)</f>
        <v>39</v>
      </c>
      <c r="R131" s="1">
        <f ca="1">IFERROR(__xludf.DUMMYFUNCTION("""COMPUTED_VALUE"""),99.6)</f>
        <v>99.6</v>
      </c>
      <c r="S131" s="1">
        <f ca="1">IFERROR(__xludf.DUMMYFUNCTION("""COMPUTED_VALUE"""),58)</f>
        <v>58</v>
      </c>
      <c r="T131" s="1">
        <f ca="1">IFERROR(__xludf.DUMMYFUNCTION("""COMPUTED_VALUE"""),-1.24)</f>
        <v>-1.24</v>
      </c>
      <c r="U131" s="1">
        <f ca="1">IFERROR(__xludf.DUMMYFUNCTION("""COMPUTED_VALUE"""),185)</f>
        <v>185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IFERROR(__xludf.DUMMYFUNCTION("""COMPUTED_VALUE"""),"Texas A&amp;M Corpus Chris")</f>
        <v>Texas A&amp;M Corpus Chris</v>
      </c>
      <c r="C132" s="1" t="str">
        <f ca="1">IFERROR(__xludf.DUMMYFUNCTION("""COMPUTED_VALUE"""),"ind")</f>
        <v>ind</v>
      </c>
      <c r="D132" s="1" t="str">
        <f ca="1">IFERROR(__xludf.DUMMYFUNCTION("""COMPUTED_VALUE"""),"20-8")</f>
        <v>20-8</v>
      </c>
      <c r="E132" s="1" t="str">
        <f ca="1">IFERROR(__xludf.DUMMYFUNCTION("""COMPUTED_VALUE"""),"+4.83")</f>
        <v>+4.83</v>
      </c>
      <c r="F132" s="1">
        <f ca="1">IFERROR(__xludf.DUMMYFUNCTION("""COMPUTED_VALUE"""),104.6)</f>
        <v>104.6</v>
      </c>
      <c r="G132" s="1">
        <f ca="1">IFERROR(__xludf.DUMMYFUNCTION("""COMPUTED_VALUE"""),139)</f>
        <v>139</v>
      </c>
      <c r="H132" s="1">
        <f ca="1">IFERROR(__xludf.DUMMYFUNCTION("""COMPUTED_VALUE"""),99.8)</f>
        <v>99.8</v>
      </c>
      <c r="I132" s="1">
        <f ca="1">IFERROR(__xludf.DUMMYFUNCTION("""COMPUTED_VALUE"""),109)</f>
        <v>109</v>
      </c>
      <c r="J132" s="1">
        <f ca="1">IFERROR(__xludf.DUMMYFUNCTION("""COMPUTED_VALUE"""),69.3)</f>
        <v>69.3</v>
      </c>
      <c r="K132" s="1">
        <f ca="1">IFERROR(__xludf.DUMMYFUNCTION("""COMPUTED_VALUE"""),36)</f>
        <v>36</v>
      </c>
      <c r="L132" s="1">
        <f ca="1">IFERROR(__xludf.DUMMYFUNCTION("""COMPUTED_VALUE"""),-0.055)</f>
        <v>-5.5E-2</v>
      </c>
      <c r="M132" s="1">
        <f ca="1">IFERROR(__xludf.DUMMYFUNCTION("""COMPUTED_VALUE"""),287)</f>
        <v>287</v>
      </c>
      <c r="N132" s="1">
        <f ca="1">IFERROR(__xludf.DUMMYFUNCTION("""COMPUTED_VALUE"""),-8.09)</f>
        <v>-8.09</v>
      </c>
      <c r="O132" s="1">
        <f ca="1">IFERROR(__xludf.DUMMYFUNCTION("""COMPUTED_VALUE"""),306)</f>
        <v>306</v>
      </c>
      <c r="P132" s="1">
        <f ca="1">IFERROR(__xludf.DUMMYFUNCTION("""COMPUTED_VALUE"""),98.1)</f>
        <v>98.1</v>
      </c>
      <c r="Q132" s="1">
        <f ca="1">IFERROR(__xludf.DUMMYFUNCTION("""COMPUTED_VALUE"""),308)</f>
        <v>308</v>
      </c>
      <c r="R132" s="1">
        <f ca="1">IFERROR(__xludf.DUMMYFUNCTION("""COMPUTED_VALUE"""),106.1)</f>
        <v>106.1</v>
      </c>
      <c r="S132" s="1">
        <f ca="1">IFERROR(__xludf.DUMMYFUNCTION("""COMPUTED_VALUE"""),281)</f>
        <v>281</v>
      </c>
      <c r="T132" s="1" t="str">
        <f ca="1">IFERROR(__xludf.DUMMYFUNCTION("""COMPUTED_VALUE"""),"+0.93")</f>
        <v>+0.93</v>
      </c>
      <c r="U132" s="1">
        <f ca="1">IFERROR(__xludf.DUMMYFUNCTION("""COMPUTED_VALUE"""),129)</f>
        <v>129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IFERROR(__xludf.DUMMYFUNCTION("""COMPUTED_VALUE"""),"Saint Louis")</f>
        <v>Saint Louis</v>
      </c>
      <c r="C133" s="1" t="str">
        <f ca="1">IFERROR(__xludf.DUMMYFUNCTION("""COMPUTED_VALUE"""),"A10")</f>
        <v>A10</v>
      </c>
      <c r="D133" s="1" t="str">
        <f ca="1">IFERROR(__xludf.DUMMYFUNCTION("""COMPUTED_VALUE"""),"16-13")</f>
        <v>16-13</v>
      </c>
      <c r="E133" s="1" t="str">
        <f ca="1">IFERROR(__xludf.DUMMYFUNCTION("""COMPUTED_VALUE"""),"+4.56")</f>
        <v>+4.56</v>
      </c>
      <c r="F133" s="1">
        <f ca="1">IFERROR(__xludf.DUMMYFUNCTION("""COMPUTED_VALUE"""),99.2)</f>
        <v>99.2</v>
      </c>
      <c r="G133" s="1">
        <f ca="1">IFERROR(__xludf.DUMMYFUNCTION("""COMPUTED_VALUE"""),229)</f>
        <v>229</v>
      </c>
      <c r="H133" s="1">
        <f ca="1">IFERROR(__xludf.DUMMYFUNCTION("""COMPUTED_VALUE"""),94.6)</f>
        <v>94.6</v>
      </c>
      <c r="I133" s="1">
        <f ca="1">IFERROR(__xludf.DUMMYFUNCTION("""COMPUTED_VALUE"""),37)</f>
        <v>37</v>
      </c>
      <c r="J133" s="1">
        <f ca="1">IFERROR(__xludf.DUMMYFUNCTION("""COMPUTED_VALUE"""),61)</f>
        <v>61</v>
      </c>
      <c r="K133" s="1">
        <f ca="1">IFERROR(__xludf.DUMMYFUNCTION("""COMPUTED_VALUE"""),306)</f>
        <v>306</v>
      </c>
      <c r="L133" s="1" t="str">
        <f ca="1">IFERROR(__xludf.DUMMYFUNCTION("""COMPUTED_VALUE"""),"+.029")</f>
        <v>+.029</v>
      </c>
      <c r="M133" s="1">
        <f ca="1">IFERROR(__xludf.DUMMYFUNCTION("""COMPUTED_VALUE"""),95)</f>
        <v>95</v>
      </c>
      <c r="N133" s="1" t="str">
        <f ca="1">IFERROR(__xludf.DUMMYFUNCTION("""COMPUTED_VALUE"""),"+3.05")</f>
        <v>+3.05</v>
      </c>
      <c r="O133" s="1">
        <f ca="1">IFERROR(__xludf.DUMMYFUNCTION("""COMPUTED_VALUE"""),98)</f>
        <v>98</v>
      </c>
      <c r="P133" s="1">
        <f ca="1">IFERROR(__xludf.DUMMYFUNCTION("""COMPUTED_VALUE"""),104.5)</f>
        <v>104.5</v>
      </c>
      <c r="Q133" s="1">
        <f ca="1">IFERROR(__xludf.DUMMYFUNCTION("""COMPUTED_VALUE"""),98)</f>
        <v>98</v>
      </c>
      <c r="R133" s="1">
        <f ca="1">IFERROR(__xludf.DUMMYFUNCTION("""COMPUTED_VALUE"""),101.5)</f>
        <v>101.5</v>
      </c>
      <c r="S133" s="1">
        <f ca="1">IFERROR(__xludf.DUMMYFUNCTION("""COMPUTED_VALUE"""),113)</f>
        <v>113</v>
      </c>
      <c r="T133" s="1" t="str">
        <f ca="1">IFERROR(__xludf.DUMMYFUNCTION("""COMPUTED_VALUE"""),"+0.97")</f>
        <v>+0.97</v>
      </c>
      <c r="U133" s="1">
        <f ca="1">IFERROR(__xludf.DUMMYFUNCTION("""COMPUTED_VALUE"""),128)</f>
        <v>128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IFERROR(__xludf.DUMMYFUNCTION("""COMPUTED_VALUE"""),"New Mexico St.")</f>
        <v>New Mexico St.</v>
      </c>
      <c r="C134" s="1" t="str">
        <f ca="1">IFERROR(__xludf.DUMMYFUNCTION("""COMPUTED_VALUE"""),"WAC")</f>
        <v>WAC</v>
      </c>
      <c r="D134" s="1" t="str">
        <f ca="1">IFERROR(__xludf.DUMMYFUNCTION("""COMPUTED_VALUE"""),"16-14")</f>
        <v>16-14</v>
      </c>
      <c r="E134" s="1" t="str">
        <f ca="1">IFERROR(__xludf.DUMMYFUNCTION("""COMPUTED_VALUE"""),"+4.23")</f>
        <v>+4.23</v>
      </c>
      <c r="F134" s="1">
        <f ca="1">IFERROR(__xludf.DUMMYFUNCTION("""COMPUTED_VALUE"""),105.6)</f>
        <v>105.6</v>
      </c>
      <c r="G134" s="1">
        <f ca="1">IFERROR(__xludf.DUMMYFUNCTION("""COMPUTED_VALUE"""),121)</f>
        <v>121</v>
      </c>
      <c r="H134" s="1">
        <f ca="1">IFERROR(__xludf.DUMMYFUNCTION("""COMPUTED_VALUE"""),101.4)</f>
        <v>101.4</v>
      </c>
      <c r="I134" s="1">
        <f ca="1">IFERROR(__xludf.DUMMYFUNCTION("""COMPUTED_VALUE"""),135)</f>
        <v>135</v>
      </c>
      <c r="J134" s="1">
        <f ca="1">IFERROR(__xludf.DUMMYFUNCTION("""COMPUTED_VALUE"""),66.9)</f>
        <v>66.900000000000006</v>
      </c>
      <c r="K134" s="1">
        <f ca="1">IFERROR(__xludf.DUMMYFUNCTION("""COMPUTED_VALUE"""),103)</f>
        <v>103</v>
      </c>
      <c r="L134" s="1" t="str">
        <f ca="1">IFERROR(__xludf.DUMMYFUNCTION("""COMPUTED_VALUE"""),"+.044")</f>
        <v>+.044</v>
      </c>
      <c r="M134" s="1">
        <f ca="1">IFERROR(__xludf.DUMMYFUNCTION("""COMPUTED_VALUE"""),63)</f>
        <v>63</v>
      </c>
      <c r="N134" s="1" t="str">
        <f ca="1">IFERROR(__xludf.DUMMYFUNCTION("""COMPUTED_VALUE"""),"+3.88")</f>
        <v>+3.88</v>
      </c>
      <c r="O134" s="1">
        <f ca="1">IFERROR(__xludf.DUMMYFUNCTION("""COMPUTED_VALUE"""),92)</f>
        <v>92</v>
      </c>
      <c r="P134" s="1">
        <f ca="1">IFERROR(__xludf.DUMMYFUNCTION("""COMPUTED_VALUE"""),104.3)</f>
        <v>104.3</v>
      </c>
      <c r="Q134" s="1">
        <f ca="1">IFERROR(__xludf.DUMMYFUNCTION("""COMPUTED_VALUE"""),108)</f>
        <v>108</v>
      </c>
      <c r="R134" s="1">
        <f ca="1">IFERROR(__xludf.DUMMYFUNCTION("""COMPUTED_VALUE"""),100.5)</f>
        <v>100.5</v>
      </c>
      <c r="S134" s="1">
        <f ca="1">IFERROR(__xludf.DUMMYFUNCTION("""COMPUTED_VALUE"""),80)</f>
        <v>80</v>
      </c>
      <c r="T134" s="1" t="str">
        <f ca="1">IFERROR(__xludf.DUMMYFUNCTION("""COMPUTED_VALUE"""),"+3.50")</f>
        <v>+3.50</v>
      </c>
      <c r="U134" s="1">
        <f ca="1">IFERROR(__xludf.DUMMYFUNCTION("""COMPUTED_VALUE"""),65)</f>
        <v>65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IFERROR(__xludf.DUMMYFUNCTION("""COMPUTED_VALUE"""),"Fordham")</f>
        <v>Fordham</v>
      </c>
      <c r="C135" s="1" t="str">
        <f ca="1">IFERROR(__xludf.DUMMYFUNCTION("""COMPUTED_VALUE"""),"A10")</f>
        <v>A10</v>
      </c>
      <c r="D135" s="1" t="str">
        <f ca="1">IFERROR(__xludf.DUMMYFUNCTION("""COMPUTED_VALUE"""),"16-16")</f>
        <v>16-16</v>
      </c>
      <c r="E135" s="1" t="str">
        <f ca="1">IFERROR(__xludf.DUMMYFUNCTION("""COMPUTED_VALUE"""),"+4.12")</f>
        <v>+4.12</v>
      </c>
      <c r="F135" s="1">
        <f ca="1">IFERROR(__xludf.DUMMYFUNCTION("""COMPUTED_VALUE"""),107.6)</f>
        <v>107.6</v>
      </c>
      <c r="G135" s="1">
        <f ca="1">IFERROR(__xludf.DUMMYFUNCTION("""COMPUTED_VALUE"""),84)</f>
        <v>84</v>
      </c>
      <c r="H135" s="1">
        <f ca="1">IFERROR(__xludf.DUMMYFUNCTION("""COMPUTED_VALUE"""),103.5)</f>
        <v>103.5</v>
      </c>
      <c r="I135" s="1">
        <f ca="1">IFERROR(__xludf.DUMMYFUNCTION("""COMPUTED_VALUE"""),178)</f>
        <v>178</v>
      </c>
      <c r="J135" s="1">
        <f ca="1">IFERROR(__xludf.DUMMYFUNCTION("""COMPUTED_VALUE"""),62.7)</f>
        <v>62.7</v>
      </c>
      <c r="K135" s="1">
        <f ca="1">IFERROR(__xludf.DUMMYFUNCTION("""COMPUTED_VALUE"""),266)</f>
        <v>266</v>
      </c>
      <c r="L135" s="1">
        <f ca="1">IFERROR(__xludf.DUMMYFUNCTION("""COMPUTED_VALUE"""),-0.014)</f>
        <v>-1.4E-2</v>
      </c>
      <c r="M135" s="1">
        <f ca="1">IFERROR(__xludf.DUMMYFUNCTION("""COMPUTED_VALUE"""),200)</f>
        <v>200</v>
      </c>
      <c r="N135" s="1" t="str">
        <f ca="1">IFERROR(__xludf.DUMMYFUNCTION("""COMPUTED_VALUE"""),"+2.41")</f>
        <v>+2.41</v>
      </c>
      <c r="O135" s="1">
        <f ca="1">IFERROR(__xludf.DUMMYFUNCTION("""COMPUTED_VALUE"""),106)</f>
        <v>106</v>
      </c>
      <c r="P135" s="1">
        <f ca="1">IFERROR(__xludf.DUMMYFUNCTION("""COMPUTED_VALUE"""),103.8)</f>
        <v>103.8</v>
      </c>
      <c r="Q135" s="1">
        <f ca="1">IFERROR(__xludf.DUMMYFUNCTION("""COMPUTED_VALUE"""),132)</f>
        <v>132</v>
      </c>
      <c r="R135" s="1">
        <f ca="1">IFERROR(__xludf.DUMMYFUNCTION("""COMPUTED_VALUE"""),101.4)</f>
        <v>101.4</v>
      </c>
      <c r="S135" s="1">
        <f ca="1">IFERROR(__xludf.DUMMYFUNCTION("""COMPUTED_VALUE"""),109)</f>
        <v>109</v>
      </c>
      <c r="T135" s="1" t="str">
        <f ca="1">IFERROR(__xludf.DUMMYFUNCTION("""COMPUTED_VALUE"""),"+2.91")</f>
        <v>+2.91</v>
      </c>
      <c r="U135" s="1">
        <f ca="1">IFERROR(__xludf.DUMMYFUNCTION("""COMPUTED_VALUE"""),79)</f>
        <v>79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IFERROR(__xludf.DUMMYFUNCTION("""COMPUTED_VALUE"""),"Colorado St.")</f>
        <v>Colorado St.</v>
      </c>
      <c r="C136" s="1" t="str">
        <f ca="1">IFERROR(__xludf.DUMMYFUNCTION("""COMPUTED_VALUE"""),"MWC")</f>
        <v>MWC</v>
      </c>
      <c r="D136" s="1" t="str">
        <f ca="1">IFERROR(__xludf.DUMMYFUNCTION("""COMPUTED_VALUE"""),"16-15")</f>
        <v>16-15</v>
      </c>
      <c r="E136" s="1" t="str">
        <f ca="1">IFERROR(__xludf.DUMMYFUNCTION("""COMPUTED_VALUE"""),"+4.09")</f>
        <v>+4.09</v>
      </c>
      <c r="F136" s="1">
        <f ca="1">IFERROR(__xludf.DUMMYFUNCTION("""COMPUTED_VALUE"""),107.7)</f>
        <v>107.7</v>
      </c>
      <c r="G136" s="1">
        <f ca="1">IFERROR(__xludf.DUMMYFUNCTION("""COMPUTED_VALUE"""),82)</f>
        <v>82</v>
      </c>
      <c r="H136" s="1">
        <f ca="1">IFERROR(__xludf.DUMMYFUNCTION("""COMPUTED_VALUE"""),103.6)</f>
        <v>103.6</v>
      </c>
      <c r="I136" s="1">
        <f ca="1">IFERROR(__xludf.DUMMYFUNCTION("""COMPUTED_VALUE"""),179)</f>
        <v>179</v>
      </c>
      <c r="J136" s="1">
        <f ca="1">IFERROR(__xludf.DUMMYFUNCTION("""COMPUTED_VALUE"""),68.2)</f>
        <v>68.2</v>
      </c>
      <c r="K136" s="1">
        <f ca="1">IFERROR(__xludf.DUMMYFUNCTION("""COMPUTED_VALUE"""),65)</f>
        <v>65</v>
      </c>
      <c r="L136" s="1">
        <f ca="1">IFERROR(__xludf.DUMMYFUNCTION("""COMPUTED_VALUE"""),-0.042)</f>
        <v>-4.2000000000000003E-2</v>
      </c>
      <c r="M136" s="1">
        <f ca="1">IFERROR(__xludf.DUMMYFUNCTION("""COMPUTED_VALUE"""),269)</f>
        <v>269</v>
      </c>
      <c r="N136" s="1" t="str">
        <f ca="1">IFERROR(__xludf.DUMMYFUNCTION("""COMPUTED_VALUE"""),"+2.83")</f>
        <v>+2.83</v>
      </c>
      <c r="O136" s="1">
        <f ca="1">IFERROR(__xludf.DUMMYFUNCTION("""COMPUTED_VALUE"""),100)</f>
        <v>100</v>
      </c>
      <c r="P136" s="1">
        <f ca="1">IFERROR(__xludf.DUMMYFUNCTION("""COMPUTED_VALUE"""),104.2)</f>
        <v>104.2</v>
      </c>
      <c r="Q136" s="1">
        <f ca="1">IFERROR(__xludf.DUMMYFUNCTION("""COMPUTED_VALUE"""),113)</f>
        <v>113</v>
      </c>
      <c r="R136" s="1">
        <f ca="1">IFERROR(__xludf.DUMMYFUNCTION("""COMPUTED_VALUE"""),101.4)</f>
        <v>101.4</v>
      </c>
      <c r="S136" s="1">
        <f ca="1">IFERROR(__xludf.DUMMYFUNCTION("""COMPUTED_VALUE"""),110)</f>
        <v>110</v>
      </c>
      <c r="T136" s="1">
        <f ca="1">IFERROR(__xludf.DUMMYFUNCTION("""COMPUTED_VALUE"""),-0.14)</f>
        <v>-0.14000000000000001</v>
      </c>
      <c r="U136" s="1">
        <f ca="1">IFERROR(__xludf.DUMMYFUNCTION("""COMPUTED_VALUE"""),160)</f>
        <v>160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IFERROR(__xludf.DUMMYFUNCTION("""COMPUTED_VALUE"""),"Holy Cross")</f>
        <v>Holy Cross</v>
      </c>
      <c r="C137" s="1" t="str">
        <f ca="1">IFERROR(__xludf.DUMMYFUNCTION("""COMPUTED_VALUE"""),"Pat")</f>
        <v>Pat</v>
      </c>
      <c r="D137" s="1" t="str">
        <f ca="1">IFERROR(__xludf.DUMMYFUNCTION("""COMPUTED_VALUE"""),"20-12")</f>
        <v>20-12</v>
      </c>
      <c r="E137" s="1" t="str">
        <f ca="1">IFERROR(__xludf.DUMMYFUNCTION("""COMPUTED_VALUE"""),"+4.06")</f>
        <v>+4.06</v>
      </c>
      <c r="F137" s="1">
        <f ca="1">IFERROR(__xludf.DUMMYFUNCTION("""COMPUTED_VALUE"""),100.3)</f>
        <v>100.3</v>
      </c>
      <c r="G137" s="1">
        <f ca="1">IFERROR(__xludf.DUMMYFUNCTION("""COMPUTED_VALUE"""),211)</f>
        <v>211</v>
      </c>
      <c r="H137" s="1">
        <f ca="1">IFERROR(__xludf.DUMMYFUNCTION("""COMPUTED_VALUE"""),96.3)</f>
        <v>96.3</v>
      </c>
      <c r="I137" s="1">
        <f ca="1">IFERROR(__xludf.DUMMYFUNCTION("""COMPUTED_VALUE"""),53)</f>
        <v>53</v>
      </c>
      <c r="J137" s="1">
        <f ca="1">IFERROR(__xludf.DUMMYFUNCTION("""COMPUTED_VALUE"""),64.7)</f>
        <v>64.7</v>
      </c>
      <c r="K137" s="1">
        <f ca="1">IFERROR(__xludf.DUMMYFUNCTION("""COMPUTED_VALUE"""),198)</f>
        <v>198</v>
      </c>
      <c r="L137" s="1" t="str">
        <f ca="1">IFERROR(__xludf.DUMMYFUNCTION("""COMPUTED_VALUE"""),"+.002")</f>
        <v>+.002</v>
      </c>
      <c r="M137" s="1">
        <f ca="1">IFERROR(__xludf.DUMMYFUNCTION("""COMPUTED_VALUE"""),165)</f>
        <v>165</v>
      </c>
      <c r="N137" s="1">
        <f ca="1">IFERROR(__xludf.DUMMYFUNCTION("""COMPUTED_VALUE"""),-4.47)</f>
        <v>-4.47</v>
      </c>
      <c r="O137" s="1">
        <f ca="1">IFERROR(__xludf.DUMMYFUNCTION("""COMPUTED_VALUE"""),246)</f>
        <v>246</v>
      </c>
      <c r="P137" s="1">
        <f ca="1">IFERROR(__xludf.DUMMYFUNCTION("""COMPUTED_VALUE"""),99.2)</f>
        <v>99.2</v>
      </c>
      <c r="Q137" s="1">
        <f ca="1">IFERROR(__xludf.DUMMYFUNCTION("""COMPUTED_VALUE"""),286)</f>
        <v>286</v>
      </c>
      <c r="R137" s="1">
        <f ca="1">IFERROR(__xludf.DUMMYFUNCTION("""COMPUTED_VALUE"""),103.7)</f>
        <v>103.7</v>
      </c>
      <c r="S137" s="1">
        <f ca="1">IFERROR(__xludf.DUMMYFUNCTION("""COMPUTED_VALUE"""),175)</f>
        <v>175</v>
      </c>
      <c r="T137" s="1" t="str">
        <f ca="1">IFERROR(__xludf.DUMMYFUNCTION("""COMPUTED_VALUE"""),"+1.79")</f>
        <v>+1.79</v>
      </c>
      <c r="U137" s="1">
        <f ca="1">IFERROR(__xludf.DUMMYFUNCTION("""COMPUTED_VALUE"""),107)</f>
        <v>107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IFERROR(__xludf.DUMMYFUNCTION("""COMPUTED_VALUE"""),"UC Irvine")</f>
        <v>UC Irvine</v>
      </c>
      <c r="C138" s="1" t="str">
        <f ca="1">IFERROR(__xludf.DUMMYFUNCTION("""COMPUTED_VALUE"""),"BW")</f>
        <v>BW</v>
      </c>
      <c r="D138" s="1" t="str">
        <f ca="1">IFERROR(__xludf.DUMMYFUNCTION("""COMPUTED_VALUE"""),"16-13")</f>
        <v>16-13</v>
      </c>
      <c r="E138" s="1" t="str">
        <f ca="1">IFERROR(__xludf.DUMMYFUNCTION("""COMPUTED_VALUE"""),"+3.38")</f>
        <v>+3.38</v>
      </c>
      <c r="F138" s="1">
        <f ca="1">IFERROR(__xludf.DUMMYFUNCTION("""COMPUTED_VALUE"""),110)</f>
        <v>110</v>
      </c>
      <c r="G138" s="1">
        <f ca="1">IFERROR(__xludf.DUMMYFUNCTION("""COMPUTED_VALUE"""),59)</f>
        <v>59</v>
      </c>
      <c r="H138" s="1">
        <f ca="1">IFERROR(__xludf.DUMMYFUNCTION("""COMPUTED_VALUE"""),106.6)</f>
        <v>106.6</v>
      </c>
      <c r="I138" s="1">
        <f ca="1">IFERROR(__xludf.DUMMYFUNCTION("""COMPUTED_VALUE"""),233)</f>
        <v>233</v>
      </c>
      <c r="J138" s="1">
        <f ca="1">IFERROR(__xludf.DUMMYFUNCTION("""COMPUTED_VALUE"""),61.7)</f>
        <v>61.7</v>
      </c>
      <c r="K138" s="1">
        <f ca="1">IFERROR(__xludf.DUMMYFUNCTION("""COMPUTED_VALUE"""),295)</f>
        <v>295</v>
      </c>
      <c r="L138" s="1">
        <f ca="1">IFERROR(__xludf.DUMMYFUNCTION("""COMPUTED_VALUE"""),-0.025)</f>
        <v>-2.5000000000000001E-2</v>
      </c>
      <c r="M138" s="1">
        <f ca="1">IFERROR(__xludf.DUMMYFUNCTION("""COMPUTED_VALUE"""),225)</f>
        <v>225</v>
      </c>
      <c r="N138" s="1">
        <f ca="1">IFERROR(__xludf.DUMMYFUNCTION("""COMPUTED_VALUE"""),-2.98)</f>
        <v>-2.98</v>
      </c>
      <c r="O138" s="1">
        <f ca="1">IFERROR(__xludf.DUMMYFUNCTION("""COMPUTED_VALUE"""),212)</f>
        <v>212</v>
      </c>
      <c r="P138" s="1">
        <f ca="1">IFERROR(__xludf.DUMMYFUNCTION("""COMPUTED_VALUE"""),101.9)</f>
        <v>101.9</v>
      </c>
      <c r="Q138" s="1">
        <f ca="1">IFERROR(__xludf.DUMMYFUNCTION("""COMPUTED_VALUE"""),211)</f>
        <v>211</v>
      </c>
      <c r="R138" s="1">
        <f ca="1">IFERROR(__xludf.DUMMYFUNCTION("""COMPUTED_VALUE"""),104.9)</f>
        <v>104.9</v>
      </c>
      <c r="S138" s="1">
        <f ca="1">IFERROR(__xludf.DUMMYFUNCTION("""COMPUTED_VALUE"""),221)</f>
        <v>221</v>
      </c>
      <c r="T138" s="1">
        <f ca="1">IFERROR(__xludf.DUMMYFUNCTION("""COMPUTED_VALUE"""),-2.01)</f>
        <v>-2.0099999999999998</v>
      </c>
      <c r="U138" s="1">
        <f ca="1">IFERROR(__xludf.DUMMYFUNCTION("""COMPUTED_VALUE"""),212)</f>
        <v>212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IFERROR(__xludf.DUMMYFUNCTION("""COMPUTED_VALUE"""),"Dayton")</f>
        <v>Dayton</v>
      </c>
      <c r="C139" s="1" t="str">
        <f ca="1">IFERROR(__xludf.DUMMYFUNCTION("""COMPUTED_VALUE"""),"A10")</f>
        <v>A10</v>
      </c>
      <c r="D139" s="1" t="str">
        <f ca="1">IFERROR(__xludf.DUMMYFUNCTION("""COMPUTED_VALUE"""),"14-17")</f>
        <v>14-17</v>
      </c>
      <c r="E139" s="1" t="str">
        <f ca="1">IFERROR(__xludf.DUMMYFUNCTION("""COMPUTED_VALUE"""),"+3.15")</f>
        <v>+3.15</v>
      </c>
      <c r="F139" s="1">
        <f ca="1">IFERROR(__xludf.DUMMYFUNCTION("""COMPUTED_VALUE"""),102.7)</f>
        <v>102.7</v>
      </c>
      <c r="G139" s="1">
        <f ca="1">IFERROR(__xludf.DUMMYFUNCTION("""COMPUTED_VALUE"""),173)</f>
        <v>173</v>
      </c>
      <c r="H139" s="1">
        <f ca="1">IFERROR(__xludf.DUMMYFUNCTION("""COMPUTED_VALUE"""),99.5)</f>
        <v>99.5</v>
      </c>
      <c r="I139" s="1">
        <f ca="1">IFERROR(__xludf.DUMMYFUNCTION("""COMPUTED_VALUE"""),104)</f>
        <v>104</v>
      </c>
      <c r="J139" s="1">
        <f ca="1">IFERROR(__xludf.DUMMYFUNCTION("""COMPUTED_VALUE"""),62.3)</f>
        <v>62.3</v>
      </c>
      <c r="K139" s="1">
        <f ca="1">IFERROR(__xludf.DUMMYFUNCTION("""COMPUTED_VALUE"""),279)</f>
        <v>279</v>
      </c>
      <c r="L139" s="1">
        <f ca="1">IFERROR(__xludf.DUMMYFUNCTION("""COMPUTED_VALUE"""),-0.092)</f>
        <v>-9.1999999999999998E-2</v>
      </c>
      <c r="M139" s="1">
        <f ca="1">IFERROR(__xludf.DUMMYFUNCTION("""COMPUTED_VALUE"""),314)</f>
        <v>314</v>
      </c>
      <c r="N139" s="1" t="str">
        <f ca="1">IFERROR(__xludf.DUMMYFUNCTION("""COMPUTED_VALUE"""),"+2.52")</f>
        <v>+2.52</v>
      </c>
      <c r="O139" s="1">
        <f ca="1">IFERROR(__xludf.DUMMYFUNCTION("""COMPUTED_VALUE"""),104)</f>
        <v>104</v>
      </c>
      <c r="P139" s="1">
        <f ca="1">IFERROR(__xludf.DUMMYFUNCTION("""COMPUTED_VALUE"""),103.6)</f>
        <v>103.6</v>
      </c>
      <c r="Q139" s="1">
        <f ca="1">IFERROR(__xludf.DUMMYFUNCTION("""COMPUTED_VALUE"""),142)</f>
        <v>142</v>
      </c>
      <c r="R139" s="1">
        <f ca="1">IFERROR(__xludf.DUMMYFUNCTION("""COMPUTED_VALUE"""),101.1)</f>
        <v>101.1</v>
      </c>
      <c r="S139" s="1">
        <f ca="1">IFERROR(__xludf.DUMMYFUNCTION("""COMPUTED_VALUE"""),98)</f>
        <v>98</v>
      </c>
      <c r="T139" s="1">
        <f ca="1">IFERROR(__xludf.DUMMYFUNCTION("""COMPUTED_VALUE"""),-2.06)</f>
        <v>-2.06</v>
      </c>
      <c r="U139" s="1">
        <f ca="1">IFERROR(__xludf.DUMMYFUNCTION("""COMPUTED_VALUE"""),213)</f>
        <v>213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IFERROR(__xludf.DUMMYFUNCTION("""COMPUTED_VALUE"""),"Siena")</f>
        <v>Siena</v>
      </c>
      <c r="C140" s="1" t="str">
        <f ca="1">IFERROR(__xludf.DUMMYFUNCTION("""COMPUTED_VALUE"""),"MAAC")</f>
        <v>MAAC</v>
      </c>
      <c r="D140" s="1" t="str">
        <f ca="1">IFERROR(__xludf.DUMMYFUNCTION("""COMPUTED_VALUE"""),"15-13")</f>
        <v>15-13</v>
      </c>
      <c r="E140" s="1" t="str">
        <f ca="1">IFERROR(__xludf.DUMMYFUNCTION("""COMPUTED_VALUE"""),"+3.11")</f>
        <v>+3.11</v>
      </c>
      <c r="F140" s="1">
        <f ca="1">IFERROR(__xludf.DUMMYFUNCTION("""COMPUTED_VALUE"""),105)</f>
        <v>105</v>
      </c>
      <c r="G140" s="1">
        <f ca="1">IFERROR(__xludf.DUMMYFUNCTION("""COMPUTED_VALUE"""),133)</f>
        <v>133</v>
      </c>
      <c r="H140" s="1">
        <f ca="1">IFERROR(__xludf.DUMMYFUNCTION("""COMPUTED_VALUE"""),101.9)</f>
        <v>101.9</v>
      </c>
      <c r="I140" s="1">
        <f ca="1">IFERROR(__xludf.DUMMYFUNCTION("""COMPUTED_VALUE"""),148)</f>
        <v>148</v>
      </c>
      <c r="J140" s="1">
        <f ca="1">IFERROR(__xludf.DUMMYFUNCTION("""COMPUTED_VALUE"""),67)</f>
        <v>67</v>
      </c>
      <c r="K140" s="1">
        <f ca="1">IFERROR(__xludf.DUMMYFUNCTION("""COMPUTED_VALUE"""),99)</f>
        <v>99</v>
      </c>
      <c r="L140" s="1">
        <f ca="1">IFERROR(__xludf.DUMMYFUNCTION("""COMPUTED_VALUE"""),-0.008)</f>
        <v>-8.0000000000000002E-3</v>
      </c>
      <c r="M140" s="1">
        <f ca="1">IFERROR(__xludf.DUMMYFUNCTION("""COMPUTED_VALUE"""),187)</f>
        <v>187</v>
      </c>
      <c r="N140" s="1" t="str">
        <f ca="1">IFERROR(__xludf.DUMMYFUNCTION("""COMPUTED_VALUE"""),"+0.51")</f>
        <v>+0.51</v>
      </c>
      <c r="O140" s="1">
        <f ca="1">IFERROR(__xludf.DUMMYFUNCTION("""COMPUTED_VALUE"""),149)</f>
        <v>149</v>
      </c>
      <c r="P140" s="1">
        <f ca="1">IFERROR(__xludf.DUMMYFUNCTION("""COMPUTED_VALUE"""),105.6)</f>
        <v>105.6</v>
      </c>
      <c r="Q140" s="1">
        <f ca="1">IFERROR(__xludf.DUMMYFUNCTION("""COMPUTED_VALUE"""),67)</f>
        <v>67</v>
      </c>
      <c r="R140" s="1">
        <f ca="1">IFERROR(__xludf.DUMMYFUNCTION("""COMPUTED_VALUE"""),105)</f>
        <v>105</v>
      </c>
      <c r="S140" s="1">
        <f ca="1">IFERROR(__xludf.DUMMYFUNCTION("""COMPUTED_VALUE"""),230)</f>
        <v>230</v>
      </c>
      <c r="T140" s="1" t="str">
        <f ca="1">IFERROR(__xludf.DUMMYFUNCTION("""COMPUTED_VALUE"""),"+4.24")</f>
        <v>+4.24</v>
      </c>
      <c r="U140" s="1">
        <f ca="1">IFERROR(__xludf.DUMMYFUNCTION("""COMPUTED_VALUE"""),56)</f>
        <v>56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IFERROR(__xludf.DUMMYFUNCTION("""COMPUTED_VALUE"""),"Samford")</f>
        <v>Samford</v>
      </c>
      <c r="C141" s="1" t="str">
        <f ca="1">IFERROR(__xludf.DUMMYFUNCTION("""COMPUTED_VALUE"""),"OVC")</f>
        <v>OVC</v>
      </c>
      <c r="D141" s="1" t="str">
        <f ca="1">IFERROR(__xludf.DUMMYFUNCTION("""COMPUTED_VALUE"""),"20-11")</f>
        <v>20-11</v>
      </c>
      <c r="E141" s="1" t="str">
        <f ca="1">IFERROR(__xludf.DUMMYFUNCTION("""COMPUTED_VALUE"""),"+3.05")</f>
        <v>+3.05</v>
      </c>
      <c r="F141" s="1">
        <f ca="1">IFERROR(__xludf.DUMMYFUNCTION("""COMPUTED_VALUE"""),110)</f>
        <v>110</v>
      </c>
      <c r="G141" s="1">
        <f ca="1">IFERROR(__xludf.DUMMYFUNCTION("""COMPUTED_VALUE"""),56)</f>
        <v>56</v>
      </c>
      <c r="H141" s="1">
        <f ca="1">IFERROR(__xludf.DUMMYFUNCTION("""COMPUTED_VALUE"""),107)</f>
        <v>107</v>
      </c>
      <c r="I141" s="1">
        <f ca="1">IFERROR(__xludf.DUMMYFUNCTION("""COMPUTED_VALUE"""),238)</f>
        <v>238</v>
      </c>
      <c r="J141" s="1">
        <f ca="1">IFERROR(__xludf.DUMMYFUNCTION("""COMPUTED_VALUE"""),55.8)</f>
        <v>55.8</v>
      </c>
      <c r="K141" s="1">
        <f ca="1">IFERROR(__xludf.DUMMYFUNCTION("""COMPUTED_VALUE"""),330)</f>
        <v>330</v>
      </c>
      <c r="L141" s="1" t="str">
        <f ca="1">IFERROR(__xludf.DUMMYFUNCTION("""COMPUTED_VALUE"""),"+.043")</f>
        <v>+.043</v>
      </c>
      <c r="M141" s="1">
        <f ca="1">IFERROR(__xludf.DUMMYFUNCTION("""COMPUTED_VALUE"""),64)</f>
        <v>64</v>
      </c>
      <c r="N141" s="1">
        <f ca="1">IFERROR(__xludf.DUMMYFUNCTION("""COMPUTED_VALUE"""),-3.94)</f>
        <v>-3.94</v>
      </c>
      <c r="O141" s="1">
        <f ca="1">IFERROR(__xludf.DUMMYFUNCTION("""COMPUTED_VALUE"""),233)</f>
        <v>233</v>
      </c>
      <c r="P141" s="1">
        <f ca="1">IFERROR(__xludf.DUMMYFUNCTION("""COMPUTED_VALUE"""),102.2)</f>
        <v>102.2</v>
      </c>
      <c r="Q141" s="1">
        <f ca="1">IFERROR(__xludf.DUMMYFUNCTION("""COMPUTED_VALUE"""),200)</f>
        <v>200</v>
      </c>
      <c r="R141" s="1">
        <f ca="1">IFERROR(__xludf.DUMMYFUNCTION("""COMPUTED_VALUE"""),106.2)</f>
        <v>106.2</v>
      </c>
      <c r="S141" s="1">
        <f ca="1">IFERROR(__xludf.DUMMYFUNCTION("""COMPUTED_VALUE"""),284)</f>
        <v>284</v>
      </c>
      <c r="T141" s="1" t="str">
        <f ca="1">IFERROR(__xludf.DUMMYFUNCTION("""COMPUTED_VALUE"""),"+12.34")</f>
        <v>+12.34</v>
      </c>
      <c r="U141" s="1">
        <f ca="1">IFERROR(__xludf.DUMMYFUNCTION("""COMPUTED_VALUE"""),7)</f>
        <v>7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IFERROR(__xludf.DUMMYFUNCTION("""COMPUTED_VALUE"""),"Manhattan9")</f>
        <v>Manhattan9</v>
      </c>
      <c r="C142" s="1" t="str">
        <f ca="1">IFERROR(__xludf.DUMMYFUNCTION("""COMPUTED_VALUE"""),"MAAC")</f>
        <v>MAAC</v>
      </c>
      <c r="D142" s="1" t="str">
        <f ca="1">IFERROR(__xludf.DUMMYFUNCTION("""COMPUTED_VALUE"""),"20-11")</f>
        <v>20-11</v>
      </c>
      <c r="E142" s="1" t="str">
        <f ca="1">IFERROR(__xludf.DUMMYFUNCTION("""COMPUTED_VALUE"""),"+3.00")</f>
        <v>+3.00</v>
      </c>
      <c r="F142" s="1">
        <f ca="1">IFERROR(__xludf.DUMMYFUNCTION("""COMPUTED_VALUE"""),107.8)</f>
        <v>107.8</v>
      </c>
      <c r="G142" s="1">
        <f ca="1">IFERROR(__xludf.DUMMYFUNCTION("""COMPUTED_VALUE"""),81)</f>
        <v>81</v>
      </c>
      <c r="H142" s="1">
        <f ca="1">IFERROR(__xludf.DUMMYFUNCTION("""COMPUTED_VALUE"""),104.8)</f>
        <v>104.8</v>
      </c>
      <c r="I142" s="1">
        <f ca="1">IFERROR(__xludf.DUMMYFUNCTION("""COMPUTED_VALUE"""),197)</f>
        <v>197</v>
      </c>
      <c r="J142" s="1">
        <f ca="1">IFERROR(__xludf.DUMMYFUNCTION("""COMPUTED_VALUE"""),67.5)</f>
        <v>67.5</v>
      </c>
      <c r="K142" s="1">
        <f ca="1">IFERROR(__xludf.DUMMYFUNCTION("""COMPUTED_VALUE"""),86)</f>
        <v>86</v>
      </c>
      <c r="L142" s="1" t="str">
        <f ca="1">IFERROR(__xludf.DUMMYFUNCTION("""COMPUTED_VALUE"""),"+.104")</f>
        <v>+.104</v>
      </c>
      <c r="M142" s="1">
        <f ca="1">IFERROR(__xludf.DUMMYFUNCTION("""COMPUTED_VALUE"""),9)</f>
        <v>9</v>
      </c>
      <c r="N142" s="1" t="str">
        <f ca="1">IFERROR(__xludf.DUMMYFUNCTION("""COMPUTED_VALUE"""),"+0.87")</f>
        <v>+0.87</v>
      </c>
      <c r="O142" s="1">
        <f ca="1">IFERROR(__xludf.DUMMYFUNCTION("""COMPUTED_VALUE"""),139)</f>
        <v>139</v>
      </c>
      <c r="P142" s="1">
        <f ca="1">IFERROR(__xludf.DUMMYFUNCTION("""COMPUTED_VALUE"""),105.2)</f>
        <v>105.2</v>
      </c>
      <c r="Q142" s="1">
        <f ca="1">IFERROR(__xludf.DUMMYFUNCTION("""COMPUTED_VALUE"""),80)</f>
        <v>80</v>
      </c>
      <c r="R142" s="1">
        <f ca="1">IFERROR(__xludf.DUMMYFUNCTION("""COMPUTED_VALUE"""),104.4)</f>
        <v>104.4</v>
      </c>
      <c r="S142" s="1">
        <f ca="1">IFERROR(__xludf.DUMMYFUNCTION("""COMPUTED_VALUE"""),201)</f>
        <v>201</v>
      </c>
      <c r="T142" s="1" t="str">
        <f ca="1">IFERROR(__xludf.DUMMYFUNCTION("""COMPUTED_VALUE"""),"+1.99")</f>
        <v>+1.99</v>
      </c>
      <c r="U142" s="1">
        <f ca="1">IFERROR(__xludf.DUMMYFUNCTION("""COMPUTED_VALUE"""),98)</f>
        <v>98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IFERROR(__xludf.DUMMYFUNCTION("""COMPUTED_VALUE"""),"Loyola Marymount")</f>
        <v>Loyola Marymount</v>
      </c>
      <c r="C143" s="1" t="str">
        <f ca="1">IFERROR(__xludf.DUMMYFUNCTION("""COMPUTED_VALUE"""),"WCC")</f>
        <v>WCC</v>
      </c>
      <c r="D143" s="2">
        <f ca="1">IFERROR(__xludf.DUMMYFUNCTION("""COMPUTED_VALUE"""),44913)</f>
        <v>44913</v>
      </c>
      <c r="E143" s="1" t="str">
        <f ca="1">IFERROR(__xludf.DUMMYFUNCTION("""COMPUTED_VALUE"""),"+2.95")</f>
        <v>+2.95</v>
      </c>
      <c r="F143" s="1">
        <f ca="1">IFERROR(__xludf.DUMMYFUNCTION("""COMPUTED_VALUE"""),100.2)</f>
        <v>100.2</v>
      </c>
      <c r="G143" s="1">
        <f ca="1">IFERROR(__xludf.DUMMYFUNCTION("""COMPUTED_VALUE"""),215)</f>
        <v>215</v>
      </c>
      <c r="H143" s="1">
        <f ca="1">IFERROR(__xludf.DUMMYFUNCTION("""COMPUTED_VALUE"""),97.3)</f>
        <v>97.3</v>
      </c>
      <c r="I143" s="1">
        <f ca="1">IFERROR(__xludf.DUMMYFUNCTION("""COMPUTED_VALUE"""),73)</f>
        <v>73</v>
      </c>
      <c r="J143" s="1">
        <f ca="1">IFERROR(__xludf.DUMMYFUNCTION("""COMPUTED_VALUE"""),70.7)</f>
        <v>70.7</v>
      </c>
      <c r="K143" s="1">
        <f ca="1">IFERROR(__xludf.DUMMYFUNCTION("""COMPUTED_VALUE"""),19)</f>
        <v>19</v>
      </c>
      <c r="L143" s="1">
        <f ca="1">IFERROR(__xludf.DUMMYFUNCTION("""COMPUTED_VALUE"""),-0.044)</f>
        <v>-4.3999999999999997E-2</v>
      </c>
      <c r="M143" s="1">
        <f ca="1">IFERROR(__xludf.DUMMYFUNCTION("""COMPUTED_VALUE"""),274)</f>
        <v>274</v>
      </c>
      <c r="N143" s="1" t="str">
        <f ca="1">IFERROR(__xludf.DUMMYFUNCTION("""COMPUTED_VALUE"""),"+4.05")</f>
        <v>+4.05</v>
      </c>
      <c r="O143" s="1">
        <f ca="1">IFERROR(__xludf.DUMMYFUNCTION("""COMPUTED_VALUE"""),89)</f>
        <v>89</v>
      </c>
      <c r="P143" s="1">
        <f ca="1">IFERROR(__xludf.DUMMYFUNCTION("""COMPUTED_VALUE"""),106.2)</f>
        <v>106.2</v>
      </c>
      <c r="Q143" s="1">
        <f ca="1">IFERROR(__xludf.DUMMYFUNCTION("""COMPUTED_VALUE"""),51)</f>
        <v>51</v>
      </c>
      <c r="R143" s="1">
        <f ca="1">IFERROR(__xludf.DUMMYFUNCTION("""COMPUTED_VALUE"""),102.2)</f>
        <v>102.2</v>
      </c>
      <c r="S143" s="1">
        <f ca="1">IFERROR(__xludf.DUMMYFUNCTION("""COMPUTED_VALUE"""),135)</f>
        <v>135</v>
      </c>
      <c r="T143" s="1" t="str">
        <f ca="1">IFERROR(__xludf.DUMMYFUNCTION("""COMPUTED_VALUE"""),"+5.29")</f>
        <v>+5.29</v>
      </c>
      <c r="U143" s="1">
        <f ca="1">IFERROR(__xludf.DUMMYFUNCTION("""COMPUTED_VALUE"""),44)</f>
        <v>44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IFERROR(__xludf.DUMMYFUNCTION("""COMPUTED_VALUE"""),"Drake")</f>
        <v>Drake</v>
      </c>
      <c r="C144" s="1" t="str">
        <f ca="1">IFERROR(__xludf.DUMMYFUNCTION("""COMPUTED_VALUE"""),"MVC")</f>
        <v>MVC</v>
      </c>
      <c r="D144" s="2">
        <f ca="1">IFERROR(__xludf.DUMMYFUNCTION("""COMPUTED_VALUE"""),44914)</f>
        <v>44914</v>
      </c>
      <c r="E144" s="1" t="str">
        <f ca="1">IFERROR(__xludf.DUMMYFUNCTION("""COMPUTED_VALUE"""),"+2.87")</f>
        <v>+2.87</v>
      </c>
      <c r="F144" s="1">
        <f ca="1">IFERROR(__xludf.DUMMYFUNCTION("""COMPUTED_VALUE"""),107)</f>
        <v>107</v>
      </c>
      <c r="G144" s="1">
        <f ca="1">IFERROR(__xludf.DUMMYFUNCTION("""COMPUTED_VALUE"""),96)</f>
        <v>96</v>
      </c>
      <c r="H144" s="1">
        <f ca="1">IFERROR(__xludf.DUMMYFUNCTION("""COMPUTED_VALUE"""),104.2)</f>
        <v>104.2</v>
      </c>
      <c r="I144" s="1">
        <f ca="1">IFERROR(__xludf.DUMMYFUNCTION("""COMPUTED_VALUE"""),191)</f>
        <v>191</v>
      </c>
      <c r="J144" s="1">
        <f ca="1">IFERROR(__xludf.DUMMYFUNCTION("""COMPUTED_VALUE"""),64.4)</f>
        <v>64.400000000000006</v>
      </c>
      <c r="K144" s="1">
        <f ca="1">IFERROR(__xludf.DUMMYFUNCTION("""COMPUTED_VALUE"""),213)</f>
        <v>213</v>
      </c>
      <c r="L144" s="1">
        <f ca="1">IFERROR(__xludf.DUMMYFUNCTION("""COMPUTED_VALUE"""),-0.062)</f>
        <v>-6.2E-2</v>
      </c>
      <c r="M144" s="1">
        <f ca="1">IFERROR(__xludf.DUMMYFUNCTION("""COMPUTED_VALUE"""),294)</f>
        <v>294</v>
      </c>
      <c r="N144" s="1" t="str">
        <f ca="1">IFERROR(__xludf.DUMMYFUNCTION("""COMPUTED_VALUE"""),"+5.96")</f>
        <v>+5.96</v>
      </c>
      <c r="O144" s="1">
        <f ca="1">IFERROR(__xludf.DUMMYFUNCTION("""COMPUTED_VALUE"""),66)</f>
        <v>66</v>
      </c>
      <c r="P144" s="1">
        <f ca="1">IFERROR(__xludf.DUMMYFUNCTION("""COMPUTED_VALUE"""),104.4)</f>
        <v>104.4</v>
      </c>
      <c r="Q144" s="1">
        <f ca="1">IFERROR(__xludf.DUMMYFUNCTION("""COMPUTED_VALUE"""),106)</f>
        <v>106</v>
      </c>
      <c r="R144" s="1">
        <f ca="1">IFERROR(__xludf.DUMMYFUNCTION("""COMPUTED_VALUE"""),98.4)</f>
        <v>98.4</v>
      </c>
      <c r="S144" s="1">
        <f ca="1">IFERROR(__xludf.DUMMYFUNCTION("""COMPUTED_VALUE"""),15)</f>
        <v>15</v>
      </c>
      <c r="T144" s="1" t="str">
        <f ca="1">IFERROR(__xludf.DUMMYFUNCTION("""COMPUTED_VALUE"""),"+1.53")</f>
        <v>+1.53</v>
      </c>
      <c r="U144" s="1">
        <f ca="1">IFERROR(__xludf.DUMMYFUNCTION("""COMPUTED_VALUE"""),118)</f>
        <v>118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IFERROR(__xludf.DUMMYFUNCTION("""COMPUTED_VALUE"""),"Fresno St.")</f>
        <v>Fresno St.</v>
      </c>
      <c r="C145" s="1" t="str">
        <f ca="1">IFERROR(__xludf.DUMMYFUNCTION("""COMPUTED_VALUE"""),"WAC")</f>
        <v>WAC</v>
      </c>
      <c r="D145" s="1" t="str">
        <f ca="1">IFERROR(__xludf.DUMMYFUNCTION("""COMPUTED_VALUE"""),"15-13")</f>
        <v>15-13</v>
      </c>
      <c r="E145" s="1" t="str">
        <f ca="1">IFERROR(__xludf.DUMMYFUNCTION("""COMPUTED_VALUE"""),"+2.78")</f>
        <v>+2.78</v>
      </c>
      <c r="F145" s="1">
        <f ca="1">IFERROR(__xludf.DUMMYFUNCTION("""COMPUTED_VALUE"""),105.6)</f>
        <v>105.6</v>
      </c>
      <c r="G145" s="1">
        <f ca="1">IFERROR(__xludf.DUMMYFUNCTION("""COMPUTED_VALUE"""),120)</f>
        <v>120</v>
      </c>
      <c r="H145" s="1">
        <f ca="1">IFERROR(__xludf.DUMMYFUNCTION("""COMPUTED_VALUE"""),102.8)</f>
        <v>102.8</v>
      </c>
      <c r="I145" s="1">
        <f ca="1">IFERROR(__xludf.DUMMYFUNCTION("""COMPUTED_VALUE"""),163)</f>
        <v>163</v>
      </c>
      <c r="J145" s="1">
        <f ca="1">IFERROR(__xludf.DUMMYFUNCTION("""COMPUTED_VALUE"""),69.2)</f>
        <v>69.2</v>
      </c>
      <c r="K145" s="1">
        <f ca="1">IFERROR(__xludf.DUMMYFUNCTION("""COMPUTED_VALUE"""),39)</f>
        <v>39</v>
      </c>
      <c r="L145" s="1" t="str">
        <f ca="1">IFERROR(__xludf.DUMMYFUNCTION("""COMPUTED_VALUE"""),"+.039")</f>
        <v>+.039</v>
      </c>
      <c r="M145" s="1">
        <f ca="1">IFERROR(__xludf.DUMMYFUNCTION("""COMPUTED_VALUE"""),71)</f>
        <v>71</v>
      </c>
      <c r="N145" s="1" t="str">
        <f ca="1">IFERROR(__xludf.DUMMYFUNCTION("""COMPUTED_VALUE"""),"+2.30")</f>
        <v>+2.30</v>
      </c>
      <c r="O145" s="1">
        <f ca="1">IFERROR(__xludf.DUMMYFUNCTION("""COMPUTED_VALUE"""),108)</f>
        <v>108</v>
      </c>
      <c r="P145" s="1">
        <f ca="1">IFERROR(__xludf.DUMMYFUNCTION("""COMPUTED_VALUE"""),103.8)</f>
        <v>103.8</v>
      </c>
      <c r="Q145" s="1">
        <f ca="1">IFERROR(__xludf.DUMMYFUNCTION("""COMPUTED_VALUE"""),135)</f>
        <v>135</v>
      </c>
      <c r="R145" s="1">
        <f ca="1">IFERROR(__xludf.DUMMYFUNCTION("""COMPUTED_VALUE"""),101.5)</f>
        <v>101.5</v>
      </c>
      <c r="S145" s="1">
        <f ca="1">IFERROR(__xludf.DUMMYFUNCTION("""COMPUTED_VALUE"""),111)</f>
        <v>111</v>
      </c>
      <c r="T145" s="1" t="str">
        <f ca="1">IFERROR(__xludf.DUMMYFUNCTION("""COMPUTED_VALUE"""),"+1.09")</f>
        <v>+1.09</v>
      </c>
      <c r="U145" s="1">
        <f ca="1">IFERROR(__xludf.DUMMYFUNCTION("""COMPUTED_VALUE"""),125)</f>
        <v>125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IFERROR(__xludf.DUMMYFUNCTION("""COMPUTED_VALUE"""),"Albany16")</f>
        <v>Albany16</v>
      </c>
      <c r="C146" s="1" t="str">
        <f ca="1">IFERROR(__xludf.DUMMYFUNCTION("""COMPUTED_VALUE"""),"AE")</f>
        <v>AE</v>
      </c>
      <c r="D146" s="1" t="str">
        <f ca="1">IFERROR(__xludf.DUMMYFUNCTION("""COMPUTED_VALUE"""),"21-11")</f>
        <v>21-11</v>
      </c>
      <c r="E146" s="1" t="str">
        <f ca="1">IFERROR(__xludf.DUMMYFUNCTION("""COMPUTED_VALUE"""),"+2.63")</f>
        <v>+2.63</v>
      </c>
      <c r="F146" s="1">
        <f ca="1">IFERROR(__xludf.DUMMYFUNCTION("""COMPUTED_VALUE"""),106.2)</f>
        <v>106.2</v>
      </c>
      <c r="G146" s="1">
        <f ca="1">IFERROR(__xludf.DUMMYFUNCTION("""COMPUTED_VALUE"""),112)</f>
        <v>112</v>
      </c>
      <c r="H146" s="1">
        <f ca="1">IFERROR(__xludf.DUMMYFUNCTION("""COMPUTED_VALUE"""),103.6)</f>
        <v>103.6</v>
      </c>
      <c r="I146" s="1">
        <f ca="1">IFERROR(__xludf.DUMMYFUNCTION("""COMPUTED_VALUE"""),180)</f>
        <v>180</v>
      </c>
      <c r="J146" s="1">
        <f ca="1">IFERROR(__xludf.DUMMYFUNCTION("""COMPUTED_VALUE"""),63.8)</f>
        <v>63.8</v>
      </c>
      <c r="K146" s="1">
        <f ca="1">IFERROR(__xludf.DUMMYFUNCTION("""COMPUTED_VALUE"""),236)</f>
        <v>236</v>
      </c>
      <c r="L146" s="1" t="str">
        <f ca="1">IFERROR(__xludf.DUMMYFUNCTION("""COMPUTED_VALUE"""),"+.027")</f>
        <v>+.027</v>
      </c>
      <c r="M146" s="1">
        <f ca="1">IFERROR(__xludf.DUMMYFUNCTION("""COMPUTED_VALUE"""),99)</f>
        <v>99</v>
      </c>
      <c r="N146" s="1">
        <f ca="1">IFERROR(__xludf.DUMMYFUNCTION("""COMPUTED_VALUE"""),-5.65)</f>
        <v>-5.65</v>
      </c>
      <c r="O146" s="1">
        <f ca="1">IFERROR(__xludf.DUMMYFUNCTION("""COMPUTED_VALUE"""),265)</f>
        <v>265</v>
      </c>
      <c r="P146" s="1">
        <f ca="1">IFERROR(__xludf.DUMMYFUNCTION("""COMPUTED_VALUE"""),99.6)</f>
        <v>99.6</v>
      </c>
      <c r="Q146" s="1">
        <f ca="1">IFERROR(__xludf.DUMMYFUNCTION("""COMPUTED_VALUE"""),277)</f>
        <v>277</v>
      </c>
      <c r="R146" s="1">
        <f ca="1">IFERROR(__xludf.DUMMYFUNCTION("""COMPUTED_VALUE"""),105.3)</f>
        <v>105.3</v>
      </c>
      <c r="S146" s="1">
        <f ca="1">IFERROR(__xludf.DUMMYFUNCTION("""COMPUTED_VALUE"""),245)</f>
        <v>245</v>
      </c>
      <c r="T146" s="1" t="str">
        <f ca="1">IFERROR(__xludf.DUMMYFUNCTION("""COMPUTED_VALUE"""),"+0.12")</f>
        <v>+0.12</v>
      </c>
      <c r="U146" s="1">
        <f ca="1">IFERROR(__xludf.DUMMYFUNCTION("""COMPUTED_VALUE"""),151)</f>
        <v>151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IFERROR(__xludf.DUMMYFUNCTION("""COMPUTED_VALUE"""),"Buffalo")</f>
        <v>Buffalo</v>
      </c>
      <c r="C147" s="1" t="str">
        <f ca="1">IFERROR(__xludf.DUMMYFUNCTION("""COMPUTED_VALUE"""),"MAC")</f>
        <v>MAC</v>
      </c>
      <c r="D147" s="1" t="str">
        <f ca="1">IFERROR(__xludf.DUMMYFUNCTION("""COMPUTED_VALUE"""),"19-13")</f>
        <v>19-13</v>
      </c>
      <c r="E147" s="1" t="str">
        <f ca="1">IFERROR(__xludf.DUMMYFUNCTION("""COMPUTED_VALUE"""),"+2.56")</f>
        <v>+2.56</v>
      </c>
      <c r="F147" s="1">
        <f ca="1">IFERROR(__xludf.DUMMYFUNCTION("""COMPUTED_VALUE"""),106)</f>
        <v>106</v>
      </c>
      <c r="G147" s="1">
        <f ca="1">IFERROR(__xludf.DUMMYFUNCTION("""COMPUTED_VALUE"""),114)</f>
        <v>114</v>
      </c>
      <c r="H147" s="1">
        <f ca="1">IFERROR(__xludf.DUMMYFUNCTION("""COMPUTED_VALUE"""),103.4)</f>
        <v>103.4</v>
      </c>
      <c r="I147" s="1">
        <f ca="1">IFERROR(__xludf.DUMMYFUNCTION("""COMPUTED_VALUE"""),173)</f>
        <v>173</v>
      </c>
      <c r="J147" s="1">
        <f ca="1">IFERROR(__xludf.DUMMYFUNCTION("""COMPUTED_VALUE"""),67.3)</f>
        <v>67.3</v>
      </c>
      <c r="K147" s="1">
        <f ca="1">IFERROR(__xludf.DUMMYFUNCTION("""COMPUTED_VALUE"""),93)</f>
        <v>93</v>
      </c>
      <c r="L147" s="1" t="str">
        <f ca="1">IFERROR(__xludf.DUMMYFUNCTION("""COMPUTED_VALUE"""),"+.030")</f>
        <v>+.030</v>
      </c>
      <c r="M147" s="1">
        <f ca="1">IFERROR(__xludf.DUMMYFUNCTION("""COMPUTED_VALUE"""),92)</f>
        <v>92</v>
      </c>
      <c r="N147" s="1">
        <f ca="1">IFERROR(__xludf.DUMMYFUNCTION("""COMPUTED_VALUE"""),-0.68)</f>
        <v>-0.68</v>
      </c>
      <c r="O147" s="1">
        <f ca="1">IFERROR(__xludf.DUMMYFUNCTION("""COMPUTED_VALUE"""),174)</f>
        <v>174</v>
      </c>
      <c r="P147" s="1">
        <f ca="1">IFERROR(__xludf.DUMMYFUNCTION("""COMPUTED_VALUE"""),102.5)</f>
        <v>102.5</v>
      </c>
      <c r="Q147" s="1">
        <f ca="1">IFERROR(__xludf.DUMMYFUNCTION("""COMPUTED_VALUE"""),186)</f>
        <v>186</v>
      </c>
      <c r="R147" s="1">
        <f ca="1">IFERROR(__xludf.DUMMYFUNCTION("""COMPUTED_VALUE"""),103.2)</f>
        <v>103.2</v>
      </c>
      <c r="S147" s="1">
        <f ca="1">IFERROR(__xludf.DUMMYFUNCTION("""COMPUTED_VALUE"""),161)</f>
        <v>161</v>
      </c>
      <c r="T147" s="1">
        <f ca="1">IFERROR(__xludf.DUMMYFUNCTION("""COMPUTED_VALUE"""),-1.31)</f>
        <v>-1.31</v>
      </c>
      <c r="U147" s="1">
        <f ca="1">IFERROR(__xludf.DUMMYFUNCTION("""COMPUTED_VALUE"""),191)</f>
        <v>191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IFERROR(__xludf.DUMMYFUNCTION("""COMPUTED_VALUE"""),"Utah")</f>
        <v>Utah</v>
      </c>
      <c r="C148" s="1" t="str">
        <f ca="1">IFERROR(__xludf.DUMMYFUNCTION("""COMPUTED_VALUE"""),"MWC")</f>
        <v>MWC</v>
      </c>
      <c r="D148" s="1" t="str">
        <f ca="1">IFERROR(__xludf.DUMMYFUNCTION("""COMPUTED_VALUE"""),"14-15")</f>
        <v>14-15</v>
      </c>
      <c r="E148" s="1" t="str">
        <f ca="1">IFERROR(__xludf.DUMMYFUNCTION("""COMPUTED_VALUE"""),"+2.47")</f>
        <v>+2.47</v>
      </c>
      <c r="F148" s="1">
        <f ca="1">IFERROR(__xludf.DUMMYFUNCTION("""COMPUTED_VALUE"""),104.8)</f>
        <v>104.8</v>
      </c>
      <c r="G148" s="1">
        <f ca="1">IFERROR(__xludf.DUMMYFUNCTION("""COMPUTED_VALUE"""),134)</f>
        <v>134</v>
      </c>
      <c r="H148" s="1">
        <f ca="1">IFERROR(__xludf.DUMMYFUNCTION("""COMPUTED_VALUE"""),102.4)</f>
        <v>102.4</v>
      </c>
      <c r="I148" s="1">
        <f ca="1">IFERROR(__xludf.DUMMYFUNCTION("""COMPUTED_VALUE"""),152)</f>
        <v>152</v>
      </c>
      <c r="J148" s="1">
        <f ca="1">IFERROR(__xludf.DUMMYFUNCTION("""COMPUTED_VALUE"""),60.2)</f>
        <v>60.2</v>
      </c>
      <c r="K148" s="1">
        <f ca="1">IFERROR(__xludf.DUMMYFUNCTION("""COMPUTED_VALUE"""),315)</f>
        <v>315</v>
      </c>
      <c r="L148" s="1">
        <f ca="1">IFERROR(__xludf.DUMMYFUNCTION("""COMPUTED_VALUE"""),-0.026)</f>
        <v>-2.5999999999999999E-2</v>
      </c>
      <c r="M148" s="1">
        <f ca="1">IFERROR(__xludf.DUMMYFUNCTION("""COMPUTED_VALUE"""),227)</f>
        <v>227</v>
      </c>
      <c r="N148" s="1" t="str">
        <f ca="1">IFERROR(__xludf.DUMMYFUNCTION("""COMPUTED_VALUE"""),"+2.65")</f>
        <v>+2.65</v>
      </c>
      <c r="O148" s="1">
        <f ca="1">IFERROR(__xludf.DUMMYFUNCTION("""COMPUTED_VALUE"""),102)</f>
        <v>102</v>
      </c>
      <c r="P148" s="1">
        <f ca="1">IFERROR(__xludf.DUMMYFUNCTION("""COMPUTED_VALUE"""),104.3)</f>
        <v>104.3</v>
      </c>
      <c r="Q148" s="1">
        <f ca="1">IFERROR(__xludf.DUMMYFUNCTION("""COMPUTED_VALUE"""),109)</f>
        <v>109</v>
      </c>
      <c r="R148" s="1">
        <f ca="1">IFERROR(__xludf.DUMMYFUNCTION("""COMPUTED_VALUE"""),101.7)</f>
        <v>101.7</v>
      </c>
      <c r="S148" s="1">
        <f ca="1">IFERROR(__xludf.DUMMYFUNCTION("""COMPUTED_VALUE"""),120)</f>
        <v>120</v>
      </c>
      <c r="T148" s="1">
        <f ca="1">IFERROR(__xludf.DUMMYFUNCTION("""COMPUTED_VALUE"""),-2.09)</f>
        <v>-2.09</v>
      </c>
      <c r="U148" s="1">
        <f ca="1">IFERROR(__xludf.DUMMYFUNCTION("""COMPUTED_VALUE"""),214)</f>
        <v>214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IFERROR(__xludf.DUMMYFUNCTION("""COMPUTED_VALUE"""),"Arizona St.")</f>
        <v>Arizona St.</v>
      </c>
      <c r="C149" s="1" t="str">
        <f ca="1">IFERROR(__xludf.DUMMYFUNCTION("""COMPUTED_VALUE"""),"P10")</f>
        <v>P10</v>
      </c>
      <c r="D149" s="2">
        <f ca="1">IFERROR(__xludf.DUMMYFUNCTION("""COMPUTED_VALUE"""),44882)</f>
        <v>44882</v>
      </c>
      <c r="E149" s="1" t="str">
        <f ca="1">IFERROR(__xludf.DUMMYFUNCTION("""COMPUTED_VALUE"""),"+2.26")</f>
        <v>+2.26</v>
      </c>
      <c r="F149" s="1">
        <f ca="1">IFERROR(__xludf.DUMMYFUNCTION("""COMPUTED_VALUE"""),104.8)</f>
        <v>104.8</v>
      </c>
      <c r="G149" s="1">
        <f ca="1">IFERROR(__xludf.DUMMYFUNCTION("""COMPUTED_VALUE"""),135)</f>
        <v>135</v>
      </c>
      <c r="H149" s="1">
        <f ca="1">IFERROR(__xludf.DUMMYFUNCTION("""COMPUTED_VALUE"""),102.6)</f>
        <v>102.6</v>
      </c>
      <c r="I149" s="1">
        <f ca="1">IFERROR(__xludf.DUMMYFUNCTION("""COMPUTED_VALUE"""),157)</f>
        <v>157</v>
      </c>
      <c r="J149" s="1">
        <f ca="1">IFERROR(__xludf.DUMMYFUNCTION("""COMPUTED_VALUE"""),64.8)</f>
        <v>64.8</v>
      </c>
      <c r="K149" s="1">
        <f ca="1">IFERROR(__xludf.DUMMYFUNCTION("""COMPUTED_VALUE"""),189)</f>
        <v>189</v>
      </c>
      <c r="L149" s="1">
        <f ca="1">IFERROR(__xludf.DUMMYFUNCTION("""COMPUTED_VALUE"""),-0.027)</f>
        <v>-2.7E-2</v>
      </c>
      <c r="M149" s="1">
        <f ca="1">IFERROR(__xludf.DUMMYFUNCTION("""COMPUTED_VALUE"""),229)</f>
        <v>229</v>
      </c>
      <c r="N149" s="1" t="str">
        <f ca="1">IFERROR(__xludf.DUMMYFUNCTION("""COMPUTED_VALUE"""),"+5.53")</f>
        <v>+5.53</v>
      </c>
      <c r="O149" s="1">
        <f ca="1">IFERROR(__xludf.DUMMYFUNCTION("""COMPUTED_VALUE"""),73)</f>
        <v>73</v>
      </c>
      <c r="P149" s="1">
        <f ca="1">IFERROR(__xludf.DUMMYFUNCTION("""COMPUTED_VALUE"""),105.1)</f>
        <v>105.1</v>
      </c>
      <c r="Q149" s="1">
        <f ca="1">IFERROR(__xludf.DUMMYFUNCTION("""COMPUTED_VALUE"""),86)</f>
        <v>86</v>
      </c>
      <c r="R149" s="1">
        <f ca="1">IFERROR(__xludf.DUMMYFUNCTION("""COMPUTED_VALUE"""),99.6)</f>
        <v>99.6</v>
      </c>
      <c r="S149" s="1">
        <f ca="1">IFERROR(__xludf.DUMMYFUNCTION("""COMPUTED_VALUE"""),54)</f>
        <v>54</v>
      </c>
      <c r="T149" s="1">
        <f ca="1">IFERROR(__xludf.DUMMYFUNCTION("""COMPUTED_VALUE"""),-6.99)</f>
        <v>-6.99</v>
      </c>
      <c r="U149" s="1">
        <f ca="1">IFERROR(__xludf.DUMMYFUNCTION("""COMPUTED_VALUE"""),306)</f>
        <v>306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IFERROR(__xludf.DUMMYFUNCTION("""COMPUTED_VALUE"""),"Wyoming")</f>
        <v>Wyoming</v>
      </c>
      <c r="C150" s="1" t="str">
        <f ca="1">IFERROR(__xludf.DUMMYFUNCTION("""COMPUTED_VALUE"""),"MWC")</f>
        <v>MWC</v>
      </c>
      <c r="D150" s="1" t="str">
        <f ca="1">IFERROR(__xludf.DUMMYFUNCTION("""COMPUTED_VALUE"""),"14-18")</f>
        <v>14-18</v>
      </c>
      <c r="E150" s="1" t="str">
        <f ca="1">IFERROR(__xludf.DUMMYFUNCTION("""COMPUTED_VALUE"""),"+1.85")</f>
        <v>+1.85</v>
      </c>
      <c r="F150" s="1">
        <f ca="1">IFERROR(__xludf.DUMMYFUNCTION("""COMPUTED_VALUE"""),99.1)</f>
        <v>99.1</v>
      </c>
      <c r="G150" s="1">
        <f ca="1">IFERROR(__xludf.DUMMYFUNCTION("""COMPUTED_VALUE"""),230)</f>
        <v>230</v>
      </c>
      <c r="H150" s="1">
        <f ca="1">IFERROR(__xludf.DUMMYFUNCTION("""COMPUTED_VALUE"""),97.3)</f>
        <v>97.3</v>
      </c>
      <c r="I150" s="1">
        <f ca="1">IFERROR(__xludf.DUMMYFUNCTION("""COMPUTED_VALUE"""),74)</f>
        <v>74</v>
      </c>
      <c r="J150" s="1">
        <f ca="1">IFERROR(__xludf.DUMMYFUNCTION("""COMPUTED_VALUE"""),68.3)</f>
        <v>68.3</v>
      </c>
      <c r="K150" s="1">
        <f ca="1">IFERROR(__xludf.DUMMYFUNCTION("""COMPUTED_VALUE"""),64)</f>
        <v>64</v>
      </c>
      <c r="L150" s="1">
        <f ca="1">IFERROR(__xludf.DUMMYFUNCTION("""COMPUTED_VALUE"""),-0.03)</f>
        <v>-0.03</v>
      </c>
      <c r="M150" s="1">
        <f ca="1">IFERROR(__xludf.DUMMYFUNCTION("""COMPUTED_VALUE"""),237)</f>
        <v>237</v>
      </c>
      <c r="N150" s="1" t="str">
        <f ca="1">IFERROR(__xludf.DUMMYFUNCTION("""COMPUTED_VALUE"""),"+2.64")</f>
        <v>+2.64</v>
      </c>
      <c r="O150" s="1">
        <f ca="1">IFERROR(__xludf.DUMMYFUNCTION("""COMPUTED_VALUE"""),103)</f>
        <v>103</v>
      </c>
      <c r="P150" s="1">
        <f ca="1">IFERROR(__xludf.DUMMYFUNCTION("""COMPUTED_VALUE"""),104.2)</f>
        <v>104.2</v>
      </c>
      <c r="Q150" s="1">
        <f ca="1">IFERROR(__xludf.DUMMYFUNCTION("""COMPUTED_VALUE"""),115)</f>
        <v>115</v>
      </c>
      <c r="R150" s="1">
        <f ca="1">IFERROR(__xludf.DUMMYFUNCTION("""COMPUTED_VALUE"""),101.6)</f>
        <v>101.6</v>
      </c>
      <c r="S150" s="1">
        <f ca="1">IFERROR(__xludf.DUMMYFUNCTION("""COMPUTED_VALUE"""),115)</f>
        <v>115</v>
      </c>
      <c r="T150" s="1">
        <f ca="1">IFERROR(__xludf.DUMMYFUNCTION("""COMPUTED_VALUE"""),-3.09)</f>
        <v>-3.09</v>
      </c>
      <c r="U150" s="1">
        <f ca="1">IFERROR(__xludf.DUMMYFUNCTION("""COMPUTED_VALUE"""),235)</f>
        <v>235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IFERROR(__xludf.DUMMYFUNCTION("""COMPUTED_VALUE"""),"Boise St.")</f>
        <v>Boise St.</v>
      </c>
      <c r="C151" s="1" t="str">
        <f ca="1">IFERROR(__xludf.DUMMYFUNCTION("""COMPUTED_VALUE"""),"WAC")</f>
        <v>WAC</v>
      </c>
      <c r="D151" s="1" t="str">
        <f ca="1">IFERROR(__xludf.DUMMYFUNCTION("""COMPUTED_VALUE"""),"14-15")</f>
        <v>14-15</v>
      </c>
      <c r="E151" s="1" t="str">
        <f ca="1">IFERROR(__xludf.DUMMYFUNCTION("""COMPUTED_VALUE"""),"+1.78")</f>
        <v>+1.78</v>
      </c>
      <c r="F151" s="1">
        <f ca="1">IFERROR(__xludf.DUMMYFUNCTION("""COMPUTED_VALUE"""),101.8)</f>
        <v>101.8</v>
      </c>
      <c r="G151" s="1">
        <f ca="1">IFERROR(__xludf.DUMMYFUNCTION("""COMPUTED_VALUE"""),189)</f>
        <v>189</v>
      </c>
      <c r="H151" s="1">
        <f ca="1">IFERROR(__xludf.DUMMYFUNCTION("""COMPUTED_VALUE"""),100)</f>
        <v>100</v>
      </c>
      <c r="I151" s="1">
        <f ca="1">IFERROR(__xludf.DUMMYFUNCTION("""COMPUTED_VALUE"""),115)</f>
        <v>115</v>
      </c>
      <c r="J151" s="1">
        <f ca="1">IFERROR(__xludf.DUMMYFUNCTION("""COMPUTED_VALUE"""),69.8)</f>
        <v>69.8</v>
      </c>
      <c r="K151" s="1">
        <f ca="1">IFERROR(__xludf.DUMMYFUNCTION("""COMPUTED_VALUE"""),31)</f>
        <v>31</v>
      </c>
      <c r="L151" s="1">
        <f ca="1">IFERROR(__xludf.DUMMYFUNCTION("""COMPUTED_VALUE"""),-0.049)</f>
        <v>-4.9000000000000002E-2</v>
      </c>
      <c r="M151" s="1">
        <f ca="1">IFERROR(__xludf.DUMMYFUNCTION("""COMPUTED_VALUE"""),282)</f>
        <v>282</v>
      </c>
      <c r="N151" s="1" t="str">
        <f ca="1">IFERROR(__xludf.DUMMYFUNCTION("""COMPUTED_VALUE"""),"+0.89")</f>
        <v>+0.89</v>
      </c>
      <c r="O151" s="1">
        <f ca="1">IFERROR(__xludf.DUMMYFUNCTION("""COMPUTED_VALUE"""),137)</f>
        <v>137</v>
      </c>
      <c r="P151" s="1">
        <f ca="1">IFERROR(__xludf.DUMMYFUNCTION("""COMPUTED_VALUE"""),103.7)</f>
        <v>103.7</v>
      </c>
      <c r="Q151" s="1">
        <f ca="1">IFERROR(__xludf.DUMMYFUNCTION("""COMPUTED_VALUE"""),137)</f>
        <v>137</v>
      </c>
      <c r="R151" s="1">
        <f ca="1">IFERROR(__xludf.DUMMYFUNCTION("""COMPUTED_VALUE"""),102.8)</f>
        <v>102.8</v>
      </c>
      <c r="S151" s="1">
        <f ca="1">IFERROR(__xludf.DUMMYFUNCTION("""COMPUTED_VALUE"""),153)</f>
        <v>153</v>
      </c>
      <c r="T151" s="1">
        <f ca="1">IFERROR(__xludf.DUMMYFUNCTION("""COMPUTED_VALUE"""),-3.08)</f>
        <v>-3.08</v>
      </c>
      <c r="U151" s="1">
        <f ca="1">IFERROR(__xludf.DUMMYFUNCTION("""COMPUTED_VALUE"""),233)</f>
        <v>233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IFERROR(__xludf.DUMMYFUNCTION("""COMPUTED_VALUE"""),"Loyola Chicago")</f>
        <v>Loyola Chicago</v>
      </c>
      <c r="C152" s="1" t="str">
        <f ca="1">IFERROR(__xludf.DUMMYFUNCTION("""COMPUTED_VALUE"""),"Horz")</f>
        <v>Horz</v>
      </c>
      <c r="D152" s="1" t="str">
        <f ca="1">IFERROR(__xludf.DUMMYFUNCTION("""COMPUTED_VALUE"""),"19-11")</f>
        <v>19-11</v>
      </c>
      <c r="E152" s="1" t="str">
        <f ca="1">IFERROR(__xludf.DUMMYFUNCTION("""COMPUTED_VALUE"""),"+1.63")</f>
        <v>+1.63</v>
      </c>
      <c r="F152" s="1">
        <f ca="1">IFERROR(__xludf.DUMMYFUNCTION("""COMPUTED_VALUE"""),107.5)</f>
        <v>107.5</v>
      </c>
      <c r="G152" s="1">
        <f ca="1">IFERROR(__xludf.DUMMYFUNCTION("""COMPUTED_VALUE"""),88)</f>
        <v>88</v>
      </c>
      <c r="H152" s="1">
        <f ca="1">IFERROR(__xludf.DUMMYFUNCTION("""COMPUTED_VALUE"""),105.8)</f>
        <v>105.8</v>
      </c>
      <c r="I152" s="1">
        <f ca="1">IFERROR(__xludf.DUMMYFUNCTION("""COMPUTED_VALUE"""),215)</f>
        <v>215</v>
      </c>
      <c r="J152" s="1">
        <f ca="1">IFERROR(__xludf.DUMMYFUNCTION("""COMPUTED_VALUE"""),65.9)</f>
        <v>65.900000000000006</v>
      </c>
      <c r="K152" s="1">
        <f ca="1">IFERROR(__xludf.DUMMYFUNCTION("""COMPUTED_VALUE"""),136)</f>
        <v>136</v>
      </c>
      <c r="L152" s="1" t="str">
        <f ca="1">IFERROR(__xludf.DUMMYFUNCTION("""COMPUTED_VALUE"""),"+.078")</f>
        <v>+.078</v>
      </c>
      <c r="M152" s="1">
        <f ca="1">IFERROR(__xludf.DUMMYFUNCTION("""COMPUTED_VALUE"""),23)</f>
        <v>23</v>
      </c>
      <c r="N152" s="1">
        <f ca="1">IFERROR(__xludf.DUMMYFUNCTION("""COMPUTED_VALUE"""),-0.77)</f>
        <v>-0.77</v>
      </c>
      <c r="O152" s="1">
        <f ca="1">IFERROR(__xludf.DUMMYFUNCTION("""COMPUTED_VALUE"""),177)</f>
        <v>177</v>
      </c>
      <c r="P152" s="1">
        <f ca="1">IFERROR(__xludf.DUMMYFUNCTION("""COMPUTED_VALUE"""),103.6)</f>
        <v>103.6</v>
      </c>
      <c r="Q152" s="1">
        <f ca="1">IFERROR(__xludf.DUMMYFUNCTION("""COMPUTED_VALUE"""),149)</f>
        <v>149</v>
      </c>
      <c r="R152" s="1">
        <f ca="1">IFERROR(__xludf.DUMMYFUNCTION("""COMPUTED_VALUE"""),104.3)</f>
        <v>104.3</v>
      </c>
      <c r="S152" s="1">
        <f ca="1">IFERROR(__xludf.DUMMYFUNCTION("""COMPUTED_VALUE"""),199)</f>
        <v>199</v>
      </c>
      <c r="T152" s="1">
        <f ca="1">IFERROR(__xludf.DUMMYFUNCTION("""COMPUTED_VALUE"""),-0.71)</f>
        <v>-0.71</v>
      </c>
      <c r="U152" s="1">
        <f ca="1">IFERROR(__xludf.DUMMYFUNCTION("""COMPUTED_VALUE"""),169)</f>
        <v>169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IFERROR(__xludf.DUMMYFUNCTION("""COMPUTED_VALUE"""),"Long Beach St.")</f>
        <v>Long Beach St.</v>
      </c>
      <c r="C153" s="1" t="str">
        <f ca="1">IFERROR(__xludf.DUMMYFUNCTION("""COMPUTED_VALUE"""),"BW")</f>
        <v>BW</v>
      </c>
      <c r="D153" s="1" t="str">
        <f ca="1">IFERROR(__xludf.DUMMYFUNCTION("""COMPUTED_VALUE"""),"18-12")</f>
        <v>18-12</v>
      </c>
      <c r="E153" s="1" t="str">
        <f ca="1">IFERROR(__xludf.DUMMYFUNCTION("""COMPUTED_VALUE"""),"+1.54")</f>
        <v>+1.54</v>
      </c>
      <c r="F153" s="1">
        <f ca="1">IFERROR(__xludf.DUMMYFUNCTION("""COMPUTED_VALUE"""),107.6)</f>
        <v>107.6</v>
      </c>
      <c r="G153" s="1">
        <f ca="1">IFERROR(__xludf.DUMMYFUNCTION("""COMPUTED_VALUE"""),83)</f>
        <v>83</v>
      </c>
      <c r="H153" s="1">
        <f ca="1">IFERROR(__xludf.DUMMYFUNCTION("""COMPUTED_VALUE"""),106.1)</f>
        <v>106.1</v>
      </c>
      <c r="I153" s="1">
        <f ca="1">IFERROR(__xludf.DUMMYFUNCTION("""COMPUTED_VALUE"""),224)</f>
        <v>224</v>
      </c>
      <c r="J153" s="1">
        <f ca="1">IFERROR(__xludf.DUMMYFUNCTION("""COMPUTED_VALUE"""),74.1)</f>
        <v>74.099999999999994</v>
      </c>
      <c r="K153" s="1">
        <f ca="1">IFERROR(__xludf.DUMMYFUNCTION("""COMPUTED_VALUE"""),2)</f>
        <v>2</v>
      </c>
      <c r="L153" s="1" t="str">
        <f ca="1">IFERROR(__xludf.DUMMYFUNCTION("""COMPUTED_VALUE"""),"+.027")</f>
        <v>+.027</v>
      </c>
      <c r="M153" s="1">
        <f ca="1">IFERROR(__xludf.DUMMYFUNCTION("""COMPUTED_VALUE"""),100)</f>
        <v>100</v>
      </c>
      <c r="N153" s="1">
        <f ca="1">IFERROR(__xludf.DUMMYFUNCTION("""COMPUTED_VALUE"""),-2.38)</f>
        <v>-2.38</v>
      </c>
      <c r="O153" s="1">
        <f ca="1">IFERROR(__xludf.DUMMYFUNCTION("""COMPUTED_VALUE"""),202)</f>
        <v>202</v>
      </c>
      <c r="P153" s="1">
        <f ca="1">IFERROR(__xludf.DUMMYFUNCTION("""COMPUTED_VALUE"""),102.6)</f>
        <v>102.6</v>
      </c>
      <c r="Q153" s="1">
        <f ca="1">IFERROR(__xludf.DUMMYFUNCTION("""COMPUTED_VALUE"""),184)</f>
        <v>184</v>
      </c>
      <c r="R153" s="1">
        <f ca="1">IFERROR(__xludf.DUMMYFUNCTION("""COMPUTED_VALUE"""),105)</f>
        <v>105</v>
      </c>
      <c r="S153" s="1">
        <f ca="1">IFERROR(__xludf.DUMMYFUNCTION("""COMPUTED_VALUE"""),223)</f>
        <v>223</v>
      </c>
      <c r="T153" s="1">
        <f ca="1">IFERROR(__xludf.DUMMYFUNCTION("""COMPUTED_VALUE"""),-2.24)</f>
        <v>-2.2400000000000002</v>
      </c>
      <c r="U153" s="1">
        <f ca="1">IFERROR(__xludf.DUMMYFUNCTION("""COMPUTED_VALUE"""),218)</f>
        <v>218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IFERROR(__xludf.DUMMYFUNCTION("""COMPUTED_VALUE"""),"Saint Peter's")</f>
        <v>Saint Peter's</v>
      </c>
      <c r="C154" s="1" t="str">
        <f ca="1">IFERROR(__xludf.DUMMYFUNCTION("""COMPUTED_VALUE"""),"MAAC")</f>
        <v>MAAC</v>
      </c>
      <c r="D154" s="1" t="str">
        <f ca="1">IFERROR(__xludf.DUMMYFUNCTION("""COMPUTED_VALUE"""),"17-15")</f>
        <v>17-15</v>
      </c>
      <c r="E154" s="1" t="str">
        <f ca="1">IFERROR(__xludf.DUMMYFUNCTION("""COMPUTED_VALUE"""),"+1.00")</f>
        <v>+1.00</v>
      </c>
      <c r="F154" s="1">
        <f ca="1">IFERROR(__xludf.DUMMYFUNCTION("""COMPUTED_VALUE"""),106.2)</f>
        <v>106.2</v>
      </c>
      <c r="G154" s="1">
        <f ca="1">IFERROR(__xludf.DUMMYFUNCTION("""COMPUTED_VALUE"""),111)</f>
        <v>111</v>
      </c>
      <c r="H154" s="1">
        <f ca="1">IFERROR(__xludf.DUMMYFUNCTION("""COMPUTED_VALUE"""),105.2)</f>
        <v>105.2</v>
      </c>
      <c r="I154" s="1">
        <f ca="1">IFERROR(__xludf.DUMMYFUNCTION("""COMPUTED_VALUE"""),202)</f>
        <v>202</v>
      </c>
      <c r="J154" s="1">
        <f ca="1">IFERROR(__xludf.DUMMYFUNCTION("""COMPUTED_VALUE"""),66.6)</f>
        <v>66.599999999999994</v>
      </c>
      <c r="K154" s="1">
        <f ca="1">IFERROR(__xludf.DUMMYFUNCTION("""COMPUTED_VALUE"""),115)</f>
        <v>115</v>
      </c>
      <c r="L154" s="1" t="str">
        <f ca="1">IFERROR(__xludf.DUMMYFUNCTION("""COMPUTED_VALUE"""),"+.041")</f>
        <v>+.041</v>
      </c>
      <c r="M154" s="1">
        <f ca="1">IFERROR(__xludf.DUMMYFUNCTION("""COMPUTED_VALUE"""),70)</f>
        <v>70</v>
      </c>
      <c r="N154" s="1">
        <f ca="1">IFERROR(__xludf.DUMMYFUNCTION("""COMPUTED_VALUE"""),-0.05)</f>
        <v>-0.05</v>
      </c>
      <c r="O154" s="1">
        <f ca="1">IFERROR(__xludf.DUMMYFUNCTION("""COMPUTED_VALUE"""),163)</f>
        <v>163</v>
      </c>
      <c r="P154" s="1">
        <f ca="1">IFERROR(__xludf.DUMMYFUNCTION("""COMPUTED_VALUE"""),105)</f>
        <v>105</v>
      </c>
      <c r="Q154" s="1">
        <f ca="1">IFERROR(__xludf.DUMMYFUNCTION("""COMPUTED_VALUE"""),87)</f>
        <v>87</v>
      </c>
      <c r="R154" s="1">
        <f ca="1">IFERROR(__xludf.DUMMYFUNCTION("""COMPUTED_VALUE"""),105.1)</f>
        <v>105.1</v>
      </c>
      <c r="S154" s="1">
        <f ca="1">IFERROR(__xludf.DUMMYFUNCTION("""COMPUTED_VALUE"""),231)</f>
        <v>231</v>
      </c>
      <c r="T154" s="1">
        <f ca="1">IFERROR(__xludf.DUMMYFUNCTION("""COMPUTED_VALUE"""),-0.79)</f>
        <v>-0.79</v>
      </c>
      <c r="U154" s="1">
        <f ca="1">IFERROR(__xludf.DUMMYFUNCTION("""COMPUTED_VALUE"""),174)</f>
        <v>174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IFERROR(__xludf.DUMMYFUNCTION("""COMPUTED_VALUE"""),"Mississippi")</f>
        <v>Mississippi</v>
      </c>
      <c r="C155" s="1" t="str">
        <f ca="1">IFERROR(__xludf.DUMMYFUNCTION("""COMPUTED_VALUE"""),"SEC")</f>
        <v>SEC</v>
      </c>
      <c r="D155" s="1" t="str">
        <f ca="1">IFERROR(__xludf.DUMMYFUNCTION("""COMPUTED_VALUE"""),"14-16")</f>
        <v>14-16</v>
      </c>
      <c r="E155" s="1" t="str">
        <f ca="1">IFERROR(__xludf.DUMMYFUNCTION("""COMPUTED_VALUE"""),"+0.93")</f>
        <v>+0.93</v>
      </c>
      <c r="F155" s="1">
        <f ca="1">IFERROR(__xludf.DUMMYFUNCTION("""COMPUTED_VALUE"""),102.5)</f>
        <v>102.5</v>
      </c>
      <c r="G155" s="1">
        <f ca="1">IFERROR(__xludf.DUMMYFUNCTION("""COMPUTED_VALUE"""),177)</f>
        <v>177</v>
      </c>
      <c r="H155" s="1">
        <f ca="1">IFERROR(__xludf.DUMMYFUNCTION("""COMPUTED_VALUE"""),101.6)</f>
        <v>101.6</v>
      </c>
      <c r="I155" s="1">
        <f ca="1">IFERROR(__xludf.DUMMYFUNCTION("""COMPUTED_VALUE"""),140)</f>
        <v>140</v>
      </c>
      <c r="J155" s="1">
        <f ca="1">IFERROR(__xludf.DUMMYFUNCTION("""COMPUTED_VALUE"""),63.8)</f>
        <v>63.8</v>
      </c>
      <c r="K155" s="1">
        <f ca="1">IFERROR(__xludf.DUMMYFUNCTION("""COMPUTED_VALUE"""),239)</f>
        <v>239</v>
      </c>
      <c r="L155" s="1" t="str">
        <f ca="1">IFERROR(__xludf.DUMMYFUNCTION("""COMPUTED_VALUE"""),"+.029")</f>
        <v>+.029</v>
      </c>
      <c r="M155" s="1">
        <f ca="1">IFERROR(__xludf.DUMMYFUNCTION("""COMPUTED_VALUE"""),93)</f>
        <v>93</v>
      </c>
      <c r="N155" s="1" t="str">
        <f ca="1">IFERROR(__xludf.DUMMYFUNCTION("""COMPUTED_VALUE"""),"+4.72")</f>
        <v>+4.72</v>
      </c>
      <c r="O155" s="1">
        <f ca="1">IFERROR(__xludf.DUMMYFUNCTION("""COMPUTED_VALUE"""),80)</f>
        <v>80</v>
      </c>
      <c r="P155" s="1">
        <f ca="1">IFERROR(__xludf.DUMMYFUNCTION("""COMPUTED_VALUE"""),105.4)</f>
        <v>105.4</v>
      </c>
      <c r="Q155" s="1">
        <f ca="1">IFERROR(__xludf.DUMMYFUNCTION("""COMPUTED_VALUE"""),75)</f>
        <v>75</v>
      </c>
      <c r="R155" s="1">
        <f ca="1">IFERROR(__xludf.DUMMYFUNCTION("""COMPUTED_VALUE"""),100.7)</f>
        <v>100.7</v>
      </c>
      <c r="S155" s="1">
        <f ca="1">IFERROR(__xludf.DUMMYFUNCTION("""COMPUTED_VALUE"""),90)</f>
        <v>90</v>
      </c>
      <c r="T155" s="1">
        <f ca="1">IFERROR(__xludf.DUMMYFUNCTION("""COMPUTED_VALUE"""),-9.77)</f>
        <v>-9.77</v>
      </c>
      <c r="U155" s="1">
        <f ca="1">IFERROR(__xludf.DUMMYFUNCTION("""COMPUTED_VALUE"""),325)</f>
        <v>325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IFERROR(__xludf.DUMMYFUNCTION("""COMPUTED_VALUE"""),"Eastern Washington")</f>
        <v>Eastern Washington</v>
      </c>
      <c r="C156" s="1" t="str">
        <f ca="1">IFERROR(__xludf.DUMMYFUNCTION("""COMPUTED_VALUE"""),"BSky")</f>
        <v>BSky</v>
      </c>
      <c r="D156" s="1" t="str">
        <f ca="1">IFERROR(__xludf.DUMMYFUNCTION("""COMPUTED_VALUE"""),"15-15")</f>
        <v>15-15</v>
      </c>
      <c r="E156" s="1" t="str">
        <f ca="1">IFERROR(__xludf.DUMMYFUNCTION("""COMPUTED_VALUE"""),"+0.73")</f>
        <v>+0.73</v>
      </c>
      <c r="F156" s="1">
        <f ca="1">IFERROR(__xludf.DUMMYFUNCTION("""COMPUTED_VALUE"""),106.7)</f>
        <v>106.7</v>
      </c>
      <c r="G156" s="1">
        <f ca="1">IFERROR(__xludf.DUMMYFUNCTION("""COMPUTED_VALUE"""),101)</f>
        <v>101</v>
      </c>
      <c r="H156" s="1">
        <f ca="1">IFERROR(__xludf.DUMMYFUNCTION("""COMPUTED_VALUE"""),106)</f>
        <v>106</v>
      </c>
      <c r="I156" s="1">
        <f ca="1">IFERROR(__xludf.DUMMYFUNCTION("""COMPUTED_VALUE"""),218)</f>
        <v>218</v>
      </c>
      <c r="J156" s="1">
        <f ca="1">IFERROR(__xludf.DUMMYFUNCTION("""COMPUTED_VALUE"""),65.7)</f>
        <v>65.7</v>
      </c>
      <c r="K156" s="1">
        <f ca="1">IFERROR(__xludf.DUMMYFUNCTION("""COMPUTED_VALUE"""),139)</f>
        <v>139</v>
      </c>
      <c r="L156" s="1">
        <f ca="1">IFERROR(__xludf.DUMMYFUNCTION("""COMPUTED_VALUE"""),-0.006)</f>
        <v>-6.0000000000000001E-3</v>
      </c>
      <c r="M156" s="1">
        <f ca="1">IFERROR(__xludf.DUMMYFUNCTION("""COMPUTED_VALUE"""),182)</f>
        <v>182</v>
      </c>
      <c r="N156" s="1" t="str">
        <f ca="1">IFERROR(__xludf.DUMMYFUNCTION("""COMPUTED_VALUE"""),"+0.71")</f>
        <v>+0.71</v>
      </c>
      <c r="O156" s="1">
        <f ca="1">IFERROR(__xludf.DUMMYFUNCTION("""COMPUTED_VALUE"""),142)</f>
        <v>142</v>
      </c>
      <c r="P156" s="1">
        <f ca="1">IFERROR(__xludf.DUMMYFUNCTION("""COMPUTED_VALUE"""),104.8)</f>
        <v>104.8</v>
      </c>
      <c r="Q156" s="1">
        <f ca="1">IFERROR(__xludf.DUMMYFUNCTION("""COMPUTED_VALUE"""),95)</f>
        <v>95</v>
      </c>
      <c r="R156" s="1">
        <f ca="1">IFERROR(__xludf.DUMMYFUNCTION("""COMPUTED_VALUE"""),104)</f>
        <v>104</v>
      </c>
      <c r="S156" s="1">
        <f ca="1">IFERROR(__xludf.DUMMYFUNCTION("""COMPUTED_VALUE"""),183)</f>
        <v>183</v>
      </c>
      <c r="T156" s="1" t="str">
        <f ca="1">IFERROR(__xludf.DUMMYFUNCTION("""COMPUTED_VALUE"""),"+4.19")</f>
        <v>+4.19</v>
      </c>
      <c r="U156" s="1">
        <f ca="1">IFERROR(__xludf.DUMMYFUNCTION("""COMPUTED_VALUE"""),57)</f>
        <v>57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IFERROR(__xludf.DUMMYFUNCTION("""COMPUTED_VALUE"""),"Oregon St.")</f>
        <v>Oregon St.</v>
      </c>
      <c r="C157" s="1" t="str">
        <f ca="1">IFERROR(__xludf.DUMMYFUNCTION("""COMPUTED_VALUE"""),"P10")</f>
        <v>P10</v>
      </c>
      <c r="D157" s="1" t="str">
        <f ca="1">IFERROR(__xludf.DUMMYFUNCTION("""COMPUTED_VALUE"""),"13-18")</f>
        <v>13-18</v>
      </c>
      <c r="E157" s="1" t="str">
        <f ca="1">IFERROR(__xludf.DUMMYFUNCTION("""COMPUTED_VALUE"""),"+0.58")</f>
        <v>+0.58</v>
      </c>
      <c r="F157" s="1">
        <f ca="1">IFERROR(__xludf.DUMMYFUNCTION("""COMPUTED_VALUE"""),104.4)</f>
        <v>104.4</v>
      </c>
      <c r="G157" s="1">
        <f ca="1">IFERROR(__xludf.DUMMYFUNCTION("""COMPUTED_VALUE"""),143)</f>
        <v>143</v>
      </c>
      <c r="H157" s="1">
        <f ca="1">IFERROR(__xludf.DUMMYFUNCTION("""COMPUTED_VALUE"""),103.8)</f>
        <v>103.8</v>
      </c>
      <c r="I157" s="1">
        <f ca="1">IFERROR(__xludf.DUMMYFUNCTION("""COMPUTED_VALUE"""),184)</f>
        <v>184</v>
      </c>
      <c r="J157" s="1">
        <f ca="1">IFERROR(__xludf.DUMMYFUNCTION("""COMPUTED_VALUE"""),64.5)</f>
        <v>64.5</v>
      </c>
      <c r="K157" s="1">
        <f ca="1">IFERROR(__xludf.DUMMYFUNCTION("""COMPUTED_VALUE"""),210)</f>
        <v>210</v>
      </c>
      <c r="L157" s="1" t="str">
        <f ca="1">IFERROR(__xludf.DUMMYFUNCTION("""COMPUTED_VALUE"""),"+.031")</f>
        <v>+.031</v>
      </c>
      <c r="M157" s="1">
        <f ca="1">IFERROR(__xludf.DUMMYFUNCTION("""COMPUTED_VALUE"""),90)</f>
        <v>90</v>
      </c>
      <c r="N157" s="1" t="str">
        <f ca="1">IFERROR(__xludf.DUMMYFUNCTION("""COMPUTED_VALUE"""),"+6.05")</f>
        <v>+6.05</v>
      </c>
      <c r="O157" s="1">
        <f ca="1">IFERROR(__xludf.DUMMYFUNCTION("""COMPUTED_VALUE"""),63)</f>
        <v>63</v>
      </c>
      <c r="P157" s="1">
        <f ca="1">IFERROR(__xludf.DUMMYFUNCTION("""COMPUTED_VALUE"""),105.1)</f>
        <v>105.1</v>
      </c>
      <c r="Q157" s="1">
        <f ca="1">IFERROR(__xludf.DUMMYFUNCTION("""COMPUTED_VALUE"""),83)</f>
        <v>83</v>
      </c>
      <c r="R157" s="1">
        <f ca="1">IFERROR(__xludf.DUMMYFUNCTION("""COMPUTED_VALUE"""),99.1)</f>
        <v>99.1</v>
      </c>
      <c r="S157" s="1">
        <f ca="1">IFERROR(__xludf.DUMMYFUNCTION("""COMPUTED_VALUE"""),39)</f>
        <v>39</v>
      </c>
      <c r="T157" s="1">
        <f ca="1">IFERROR(__xludf.DUMMYFUNCTION("""COMPUTED_VALUE"""),-5.28)</f>
        <v>-5.28</v>
      </c>
      <c r="U157" s="1">
        <f ca="1">IFERROR(__xludf.DUMMYFUNCTION("""COMPUTED_VALUE"""),282)</f>
        <v>282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IFERROR(__xludf.DUMMYFUNCTION("""COMPUTED_VALUE"""),"Rhode Island")</f>
        <v>Rhode Island</v>
      </c>
      <c r="C158" s="1" t="str">
        <f ca="1">IFERROR(__xludf.DUMMYFUNCTION("""COMPUTED_VALUE"""),"A10")</f>
        <v>A10</v>
      </c>
      <c r="D158" s="1" t="str">
        <f ca="1">IFERROR(__xludf.DUMMYFUNCTION("""COMPUTED_VALUE"""),"14-14")</f>
        <v>14-14</v>
      </c>
      <c r="E158" s="1" t="str">
        <f ca="1">IFERROR(__xludf.DUMMYFUNCTION("""COMPUTED_VALUE"""),"+0.55")</f>
        <v>+0.55</v>
      </c>
      <c r="F158" s="1">
        <f ca="1">IFERROR(__xludf.DUMMYFUNCTION("""COMPUTED_VALUE"""),104)</f>
        <v>104</v>
      </c>
      <c r="G158" s="1">
        <f ca="1">IFERROR(__xludf.DUMMYFUNCTION("""COMPUTED_VALUE"""),150)</f>
        <v>150</v>
      </c>
      <c r="H158" s="1">
        <f ca="1">IFERROR(__xludf.DUMMYFUNCTION("""COMPUTED_VALUE"""),103.4)</f>
        <v>103.4</v>
      </c>
      <c r="I158" s="1">
        <f ca="1">IFERROR(__xludf.DUMMYFUNCTION("""COMPUTED_VALUE"""),171)</f>
        <v>171</v>
      </c>
      <c r="J158" s="1">
        <f ca="1">IFERROR(__xludf.DUMMYFUNCTION("""COMPUTED_VALUE"""),62.3)</f>
        <v>62.3</v>
      </c>
      <c r="K158" s="1">
        <f ca="1">IFERROR(__xludf.DUMMYFUNCTION("""COMPUTED_VALUE"""),280)</f>
        <v>280</v>
      </c>
      <c r="L158" s="1" t="str">
        <f ca="1">IFERROR(__xludf.DUMMYFUNCTION("""COMPUTED_VALUE"""),"+.043")</f>
        <v>+.043</v>
      </c>
      <c r="M158" s="1">
        <f ca="1">IFERROR(__xludf.DUMMYFUNCTION("""COMPUTED_VALUE"""),66)</f>
        <v>66</v>
      </c>
      <c r="N158" s="1" t="str">
        <f ca="1">IFERROR(__xludf.DUMMYFUNCTION("""COMPUTED_VALUE"""),"+1.71")</f>
        <v>+1.71</v>
      </c>
      <c r="O158" s="1">
        <f ca="1">IFERROR(__xludf.DUMMYFUNCTION("""COMPUTED_VALUE"""),123)</f>
        <v>123</v>
      </c>
      <c r="P158" s="1">
        <f ca="1">IFERROR(__xludf.DUMMYFUNCTION("""COMPUTED_VALUE"""),103.3)</f>
        <v>103.3</v>
      </c>
      <c r="Q158" s="1">
        <f ca="1">IFERROR(__xludf.DUMMYFUNCTION("""COMPUTED_VALUE"""),158)</f>
        <v>158</v>
      </c>
      <c r="R158" s="1">
        <f ca="1">IFERROR(__xludf.DUMMYFUNCTION("""COMPUTED_VALUE"""),101.6)</f>
        <v>101.6</v>
      </c>
      <c r="S158" s="1">
        <f ca="1">IFERROR(__xludf.DUMMYFUNCTION("""COMPUTED_VALUE"""),114)</f>
        <v>114</v>
      </c>
      <c r="T158" s="1">
        <f ca="1">IFERROR(__xludf.DUMMYFUNCTION("""COMPUTED_VALUE"""),-2.94)</f>
        <v>-2.94</v>
      </c>
      <c r="U158" s="1">
        <f ca="1">IFERROR(__xludf.DUMMYFUNCTION("""COMPUTED_VALUE"""),231)</f>
        <v>231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IFERROR(__xludf.DUMMYFUNCTION("""COMPUTED_VALUE"""),"Missouri")</f>
        <v>Missouri</v>
      </c>
      <c r="C159" s="1" t="str">
        <f ca="1">IFERROR(__xludf.DUMMYFUNCTION("""COMPUTED_VALUE"""),"B12")</f>
        <v>B12</v>
      </c>
      <c r="D159" s="2">
        <f ca="1">IFERROR(__xludf.DUMMYFUNCTION("""COMPUTED_VALUE"""),44911)</f>
        <v>44911</v>
      </c>
      <c r="E159" s="1" t="str">
        <f ca="1">IFERROR(__xludf.DUMMYFUNCTION("""COMPUTED_VALUE"""),"+0.28")</f>
        <v>+0.28</v>
      </c>
      <c r="F159" s="1">
        <f ca="1">IFERROR(__xludf.DUMMYFUNCTION("""COMPUTED_VALUE"""),103.9)</f>
        <v>103.9</v>
      </c>
      <c r="G159" s="1">
        <f ca="1">IFERROR(__xludf.DUMMYFUNCTION("""COMPUTED_VALUE"""),151)</f>
        <v>151</v>
      </c>
      <c r="H159" s="1">
        <f ca="1">IFERROR(__xludf.DUMMYFUNCTION("""COMPUTED_VALUE"""),103.7)</f>
        <v>103.7</v>
      </c>
      <c r="I159" s="1">
        <f ca="1">IFERROR(__xludf.DUMMYFUNCTION("""COMPUTED_VALUE"""),182)</f>
        <v>182</v>
      </c>
      <c r="J159" s="1">
        <f ca="1">IFERROR(__xludf.DUMMYFUNCTION("""COMPUTED_VALUE"""),64.6)</f>
        <v>64.599999999999994</v>
      </c>
      <c r="K159" s="1">
        <f ca="1">IFERROR(__xludf.DUMMYFUNCTION("""COMPUTED_VALUE"""),204)</f>
        <v>204</v>
      </c>
      <c r="L159" s="1" t="str">
        <f ca="1">IFERROR(__xludf.DUMMYFUNCTION("""COMPUTED_VALUE"""),"+.034")</f>
        <v>+.034</v>
      </c>
      <c r="M159" s="1">
        <f ca="1">IFERROR(__xludf.DUMMYFUNCTION("""COMPUTED_VALUE"""),83)</f>
        <v>83</v>
      </c>
      <c r="N159" s="1" t="str">
        <f ca="1">IFERROR(__xludf.DUMMYFUNCTION("""COMPUTED_VALUE"""),"+5.62")</f>
        <v>+5.62</v>
      </c>
      <c r="O159" s="1">
        <f ca="1">IFERROR(__xludf.DUMMYFUNCTION("""COMPUTED_VALUE"""),71)</f>
        <v>71</v>
      </c>
      <c r="P159" s="1">
        <f ca="1">IFERROR(__xludf.DUMMYFUNCTION("""COMPUTED_VALUE"""),105.7)</f>
        <v>105.7</v>
      </c>
      <c r="Q159" s="1">
        <f ca="1">IFERROR(__xludf.DUMMYFUNCTION("""COMPUTED_VALUE"""),65)</f>
        <v>65</v>
      </c>
      <c r="R159" s="1">
        <f ca="1">IFERROR(__xludf.DUMMYFUNCTION("""COMPUTED_VALUE"""),100.1)</f>
        <v>100.1</v>
      </c>
      <c r="S159" s="1">
        <f ca="1">IFERROR(__xludf.DUMMYFUNCTION("""COMPUTED_VALUE"""),71)</f>
        <v>71</v>
      </c>
      <c r="T159" s="1">
        <f ca="1">IFERROR(__xludf.DUMMYFUNCTION("""COMPUTED_VALUE"""),-4.98)</f>
        <v>-4.9800000000000004</v>
      </c>
      <c r="U159" s="1">
        <f ca="1">IFERROR(__xludf.DUMMYFUNCTION("""COMPUTED_VALUE"""),278)</f>
        <v>278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IFERROR(__xludf.DUMMYFUNCTION("""COMPUTED_VALUE"""),"San Francisco")</f>
        <v>San Francisco</v>
      </c>
      <c r="C160" s="1" t="str">
        <f ca="1">IFERROR(__xludf.DUMMYFUNCTION("""COMPUTED_VALUE"""),"WCC")</f>
        <v>WCC</v>
      </c>
      <c r="D160" s="2">
        <f ca="1">IFERROR(__xludf.DUMMYFUNCTION("""COMPUTED_VALUE"""),44882)</f>
        <v>44882</v>
      </c>
      <c r="E160" s="1" t="str">
        <f ca="1">IFERROR(__xludf.DUMMYFUNCTION("""COMPUTED_VALUE"""),"+0.28")</f>
        <v>+0.28</v>
      </c>
      <c r="F160" s="1">
        <f ca="1">IFERROR(__xludf.DUMMYFUNCTION("""COMPUTED_VALUE"""),103.5)</f>
        <v>103.5</v>
      </c>
      <c r="G160" s="1">
        <f ca="1">IFERROR(__xludf.DUMMYFUNCTION("""COMPUTED_VALUE"""),161)</f>
        <v>161</v>
      </c>
      <c r="H160" s="1">
        <f ca="1">IFERROR(__xludf.DUMMYFUNCTION("""COMPUTED_VALUE"""),103.2)</f>
        <v>103.2</v>
      </c>
      <c r="I160" s="1">
        <f ca="1">IFERROR(__xludf.DUMMYFUNCTION("""COMPUTED_VALUE"""),169)</f>
        <v>169</v>
      </c>
      <c r="J160" s="1">
        <f ca="1">IFERROR(__xludf.DUMMYFUNCTION("""COMPUTED_VALUE"""),64.1)</f>
        <v>64.099999999999994</v>
      </c>
      <c r="K160" s="1">
        <f ca="1">IFERROR(__xludf.DUMMYFUNCTION("""COMPUTED_VALUE"""),225)</f>
        <v>225</v>
      </c>
      <c r="L160" s="1">
        <f ca="1">IFERROR(__xludf.DUMMYFUNCTION("""COMPUTED_VALUE"""),-0.017)</f>
        <v>-1.7000000000000001E-2</v>
      </c>
      <c r="M160" s="1">
        <f ca="1">IFERROR(__xludf.DUMMYFUNCTION("""COMPUTED_VALUE"""),210)</f>
        <v>210</v>
      </c>
      <c r="N160" s="1" t="str">
        <f ca="1">IFERROR(__xludf.DUMMYFUNCTION("""COMPUTED_VALUE"""),"+2.34")</f>
        <v>+2.34</v>
      </c>
      <c r="O160" s="1">
        <f ca="1">IFERROR(__xludf.DUMMYFUNCTION("""COMPUTED_VALUE"""),107)</f>
        <v>107</v>
      </c>
      <c r="P160" s="1">
        <f ca="1">IFERROR(__xludf.DUMMYFUNCTION("""COMPUTED_VALUE"""),104.5)</f>
        <v>104.5</v>
      </c>
      <c r="Q160" s="1">
        <f ca="1">IFERROR(__xludf.DUMMYFUNCTION("""COMPUTED_VALUE"""),97)</f>
        <v>97</v>
      </c>
      <c r="R160" s="1">
        <f ca="1">IFERROR(__xludf.DUMMYFUNCTION("""COMPUTED_VALUE"""),102.2)</f>
        <v>102.2</v>
      </c>
      <c r="S160" s="1">
        <f ca="1">IFERROR(__xludf.DUMMYFUNCTION("""COMPUTED_VALUE"""),136)</f>
        <v>136</v>
      </c>
      <c r="T160" s="1" t="str">
        <f ca="1">IFERROR(__xludf.DUMMYFUNCTION("""COMPUTED_VALUE"""),"+2.46")</f>
        <v>+2.46</v>
      </c>
      <c r="U160" s="1">
        <f ca="1">IFERROR(__xludf.DUMMYFUNCTION("""COMPUTED_VALUE"""),86)</f>
        <v>86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IFERROR(__xludf.DUMMYFUNCTION("""COMPUTED_VALUE"""),"Louisiana Lafayette")</f>
        <v>Louisiana Lafayette</v>
      </c>
      <c r="C161" s="1" t="str">
        <f ca="1">IFERROR(__xludf.DUMMYFUNCTION("""COMPUTED_VALUE"""),"SB")</f>
        <v>SB</v>
      </c>
      <c r="D161" s="1" t="str">
        <f ca="1">IFERROR(__xludf.DUMMYFUNCTION("""COMPUTED_VALUE"""),"13-16")</f>
        <v>13-16</v>
      </c>
      <c r="E161" s="1" t="str">
        <f ca="1">IFERROR(__xludf.DUMMYFUNCTION("""COMPUTED_VALUE"""),"+0.21")</f>
        <v>+0.21</v>
      </c>
      <c r="F161" s="1">
        <f ca="1">IFERROR(__xludf.DUMMYFUNCTION("""COMPUTED_VALUE"""),98.4)</f>
        <v>98.4</v>
      </c>
      <c r="G161" s="1">
        <f ca="1">IFERROR(__xludf.DUMMYFUNCTION("""COMPUTED_VALUE"""),241)</f>
        <v>241</v>
      </c>
      <c r="H161" s="1">
        <f ca="1">IFERROR(__xludf.DUMMYFUNCTION("""COMPUTED_VALUE"""),98.2)</f>
        <v>98.2</v>
      </c>
      <c r="I161" s="1">
        <f ca="1">IFERROR(__xludf.DUMMYFUNCTION("""COMPUTED_VALUE"""),87)</f>
        <v>87</v>
      </c>
      <c r="J161" s="1">
        <f ca="1">IFERROR(__xludf.DUMMYFUNCTION("""COMPUTED_VALUE"""),66.1)</f>
        <v>66.099999999999994</v>
      </c>
      <c r="K161" s="1">
        <f ca="1">IFERROR(__xludf.DUMMYFUNCTION("""COMPUTED_VALUE"""),128)</f>
        <v>128</v>
      </c>
      <c r="L161" s="1" t="str">
        <f ca="1">IFERROR(__xludf.DUMMYFUNCTION("""COMPUTED_VALUE"""),"+.020")</f>
        <v>+.020</v>
      </c>
      <c r="M161" s="1">
        <f ca="1">IFERROR(__xludf.DUMMYFUNCTION("""COMPUTED_VALUE"""),112)</f>
        <v>112</v>
      </c>
      <c r="N161" s="1" t="str">
        <f ca="1">IFERROR(__xludf.DUMMYFUNCTION("""COMPUTED_VALUE"""),"+2.14")</f>
        <v>+2.14</v>
      </c>
      <c r="O161" s="1">
        <f ca="1">IFERROR(__xludf.DUMMYFUNCTION("""COMPUTED_VALUE"""),114)</f>
        <v>114</v>
      </c>
      <c r="P161" s="1">
        <f ca="1">IFERROR(__xludf.DUMMYFUNCTION("""COMPUTED_VALUE"""),104)</f>
        <v>104</v>
      </c>
      <c r="Q161" s="1">
        <f ca="1">IFERROR(__xludf.DUMMYFUNCTION("""COMPUTED_VALUE"""),125)</f>
        <v>125</v>
      </c>
      <c r="R161" s="1">
        <f ca="1">IFERROR(__xludf.DUMMYFUNCTION("""COMPUTED_VALUE"""),101.9)</f>
        <v>101.9</v>
      </c>
      <c r="S161" s="1">
        <f ca="1">IFERROR(__xludf.DUMMYFUNCTION("""COMPUTED_VALUE"""),127)</f>
        <v>127</v>
      </c>
      <c r="T161" s="1" t="str">
        <f ca="1">IFERROR(__xludf.DUMMYFUNCTION("""COMPUTED_VALUE"""),"+7.03")</f>
        <v>+7.03</v>
      </c>
      <c r="U161" s="1">
        <f ca="1">IFERROR(__xludf.DUMMYFUNCTION("""COMPUTED_VALUE"""),34)</f>
        <v>34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IFERROR(__xludf.DUMMYFUNCTION("""COMPUTED_VALUE"""),"Baylor")</f>
        <v>Baylor</v>
      </c>
      <c r="C162" s="1" t="str">
        <f ca="1">IFERROR(__xludf.DUMMYFUNCTION("""COMPUTED_VALUE"""),"B12")</f>
        <v>B12</v>
      </c>
      <c r="D162" s="2">
        <f ca="1">IFERROR(__xludf.DUMMYFUNCTION("""COMPUTED_VALUE"""),44664)</f>
        <v>44664</v>
      </c>
      <c r="E162" s="1" t="str">
        <f ca="1">IFERROR(__xludf.DUMMYFUNCTION("""COMPUTED_VALUE"""),"+0.18")</f>
        <v>+0.18</v>
      </c>
      <c r="F162" s="1">
        <f ca="1">IFERROR(__xludf.DUMMYFUNCTION("""COMPUTED_VALUE"""),102.6)</f>
        <v>102.6</v>
      </c>
      <c r="G162" s="1">
        <f ca="1">IFERROR(__xludf.DUMMYFUNCTION("""COMPUTED_VALUE"""),176)</f>
        <v>176</v>
      </c>
      <c r="H162" s="1">
        <f ca="1">IFERROR(__xludf.DUMMYFUNCTION("""COMPUTED_VALUE"""),102.4)</f>
        <v>102.4</v>
      </c>
      <c r="I162" s="1">
        <f ca="1">IFERROR(__xludf.DUMMYFUNCTION("""COMPUTED_VALUE"""),153)</f>
        <v>153</v>
      </c>
      <c r="J162" s="1">
        <f ca="1">IFERROR(__xludf.DUMMYFUNCTION("""COMPUTED_VALUE"""),65.5)</f>
        <v>65.5</v>
      </c>
      <c r="K162" s="1">
        <f ca="1">IFERROR(__xludf.DUMMYFUNCTION("""COMPUTED_VALUE"""),157)</f>
        <v>157</v>
      </c>
      <c r="L162" s="1">
        <f ca="1">IFERROR(__xludf.DUMMYFUNCTION("""COMPUTED_VALUE"""),-0.046)</f>
        <v>-4.5999999999999999E-2</v>
      </c>
      <c r="M162" s="1">
        <f ca="1">IFERROR(__xludf.DUMMYFUNCTION("""COMPUTED_VALUE"""),277)</f>
        <v>277</v>
      </c>
      <c r="N162" s="1" t="str">
        <f ca="1">IFERROR(__xludf.DUMMYFUNCTION("""COMPUTED_VALUE"""),"+11.81")</f>
        <v>+11.81</v>
      </c>
      <c r="O162" s="1">
        <f ca="1">IFERROR(__xludf.DUMMYFUNCTION("""COMPUTED_VALUE"""),1)</f>
        <v>1</v>
      </c>
      <c r="P162" s="1">
        <f ca="1">IFERROR(__xludf.DUMMYFUNCTION("""COMPUTED_VALUE"""),108.7)</f>
        <v>108.7</v>
      </c>
      <c r="Q162" s="1">
        <f ca="1">IFERROR(__xludf.DUMMYFUNCTION("""COMPUTED_VALUE"""),2)</f>
        <v>2</v>
      </c>
      <c r="R162" s="1">
        <f ca="1">IFERROR(__xludf.DUMMYFUNCTION("""COMPUTED_VALUE"""),96.9)</f>
        <v>96.9</v>
      </c>
      <c r="S162" s="1">
        <f ca="1">IFERROR(__xludf.DUMMYFUNCTION("""COMPUTED_VALUE"""),1)</f>
        <v>1</v>
      </c>
      <c r="T162" s="1">
        <f ca="1">IFERROR(__xludf.DUMMYFUNCTION("""COMPUTED_VALUE"""),-99)</f>
        <v>-99</v>
      </c>
      <c r="U162" s="1">
        <f ca="1">IFERROR(__xludf.DUMMYFUNCTION("""COMPUTED_VALUE"""),334)</f>
        <v>334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IFERROR(__xludf.DUMMYFUNCTION("""COMPUTED_VALUE"""),"Purdue")</f>
        <v>Purdue</v>
      </c>
      <c r="C163" s="1" t="str">
        <f ca="1">IFERROR(__xludf.DUMMYFUNCTION("""COMPUTED_VALUE"""),"B10")</f>
        <v>B10</v>
      </c>
      <c r="D163" s="2">
        <f ca="1">IFERROR(__xludf.DUMMYFUNCTION("""COMPUTED_VALUE"""),44823)</f>
        <v>44823</v>
      </c>
      <c r="E163" s="1" t="str">
        <f ca="1">IFERROR(__xludf.DUMMYFUNCTION("""COMPUTED_VALUE"""),"+0.14")</f>
        <v>+0.14</v>
      </c>
      <c r="F163" s="1">
        <f ca="1">IFERROR(__xludf.DUMMYFUNCTION("""COMPUTED_VALUE"""),101.9)</f>
        <v>101.9</v>
      </c>
      <c r="G163" s="1">
        <f ca="1">IFERROR(__xludf.DUMMYFUNCTION("""COMPUTED_VALUE"""),186)</f>
        <v>186</v>
      </c>
      <c r="H163" s="1">
        <f ca="1">IFERROR(__xludf.DUMMYFUNCTION("""COMPUTED_VALUE"""),101.7)</f>
        <v>101.7</v>
      </c>
      <c r="I163" s="1">
        <f ca="1">IFERROR(__xludf.DUMMYFUNCTION("""COMPUTED_VALUE"""),143)</f>
        <v>143</v>
      </c>
      <c r="J163" s="1">
        <f ca="1">IFERROR(__xludf.DUMMYFUNCTION("""COMPUTED_VALUE"""),65.5)</f>
        <v>65.5</v>
      </c>
      <c r="K163" s="1">
        <f ca="1">IFERROR(__xludf.DUMMYFUNCTION("""COMPUTED_VALUE"""),153)</f>
        <v>153</v>
      </c>
      <c r="L163" s="1">
        <f ca="1">IFERROR(__xludf.DUMMYFUNCTION("""COMPUTED_VALUE"""),-0.009)</f>
        <v>-8.9999999999999993E-3</v>
      </c>
      <c r="M163" s="1">
        <f ca="1">IFERROR(__xludf.DUMMYFUNCTION("""COMPUTED_VALUE"""),189)</f>
        <v>189</v>
      </c>
      <c r="N163" s="1" t="str">
        <f ca="1">IFERROR(__xludf.DUMMYFUNCTION("""COMPUTED_VALUE"""),"+8.25")</f>
        <v>+8.25</v>
      </c>
      <c r="O163" s="1">
        <f ca="1">IFERROR(__xludf.DUMMYFUNCTION("""COMPUTED_VALUE"""),28)</f>
        <v>28</v>
      </c>
      <c r="P163" s="1">
        <f ca="1">IFERROR(__xludf.DUMMYFUNCTION("""COMPUTED_VALUE"""),107.5)</f>
        <v>107.5</v>
      </c>
      <c r="Q163" s="1">
        <f ca="1">IFERROR(__xludf.DUMMYFUNCTION("""COMPUTED_VALUE"""),27)</f>
        <v>27</v>
      </c>
      <c r="R163" s="1">
        <f ca="1">IFERROR(__xludf.DUMMYFUNCTION("""COMPUTED_VALUE"""),99.3)</f>
        <v>99.3</v>
      </c>
      <c r="S163" s="1">
        <f ca="1">IFERROR(__xludf.DUMMYFUNCTION("""COMPUTED_VALUE"""),45)</f>
        <v>45</v>
      </c>
      <c r="T163" s="1">
        <f ca="1">IFERROR(__xludf.DUMMYFUNCTION("""COMPUTED_VALUE"""),-0.79)</f>
        <v>-0.79</v>
      </c>
      <c r="U163" s="1">
        <f ca="1">IFERROR(__xludf.DUMMYFUNCTION("""COMPUTED_VALUE"""),175)</f>
        <v>175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IFERROR(__xludf.DUMMYFUNCTION("""COMPUTED_VALUE"""),"Sacramento St.")</f>
        <v>Sacramento St.</v>
      </c>
      <c r="C164" s="1" t="str">
        <f ca="1">IFERROR(__xludf.DUMMYFUNCTION("""COMPUTED_VALUE"""),"BSky")</f>
        <v>BSky</v>
      </c>
      <c r="D164" s="1" t="str">
        <f ca="1">IFERROR(__xludf.DUMMYFUNCTION("""COMPUTED_VALUE"""),"15-15")</f>
        <v>15-15</v>
      </c>
      <c r="E164" s="1">
        <f ca="1">IFERROR(__xludf.DUMMYFUNCTION("""COMPUTED_VALUE"""),-0.01)</f>
        <v>-0.01</v>
      </c>
      <c r="F164" s="1">
        <f ca="1">IFERROR(__xludf.DUMMYFUNCTION("""COMPUTED_VALUE"""),106.7)</f>
        <v>106.7</v>
      </c>
      <c r="G164" s="1">
        <f ca="1">IFERROR(__xludf.DUMMYFUNCTION("""COMPUTED_VALUE"""),102)</f>
        <v>102</v>
      </c>
      <c r="H164" s="1">
        <f ca="1">IFERROR(__xludf.DUMMYFUNCTION("""COMPUTED_VALUE"""),106.7)</f>
        <v>106.7</v>
      </c>
      <c r="I164" s="1">
        <f ca="1">IFERROR(__xludf.DUMMYFUNCTION("""COMPUTED_VALUE"""),235)</f>
        <v>235</v>
      </c>
      <c r="J164" s="1">
        <f ca="1">IFERROR(__xludf.DUMMYFUNCTION("""COMPUTED_VALUE"""),67.9)</f>
        <v>67.900000000000006</v>
      </c>
      <c r="K164" s="1">
        <f ca="1">IFERROR(__xludf.DUMMYFUNCTION("""COMPUTED_VALUE"""),72)</f>
        <v>72</v>
      </c>
      <c r="L164" s="1">
        <f ca="1">IFERROR(__xludf.DUMMYFUNCTION("""COMPUTED_VALUE"""),-0.031)</f>
        <v>-3.1E-2</v>
      </c>
      <c r="M164" s="1">
        <f ca="1">IFERROR(__xludf.DUMMYFUNCTION("""COMPUTED_VALUE"""),245)</f>
        <v>245</v>
      </c>
      <c r="N164" s="1">
        <f ca="1">IFERROR(__xludf.DUMMYFUNCTION("""COMPUTED_VALUE"""),-0.49)</f>
        <v>-0.49</v>
      </c>
      <c r="O164" s="1">
        <f ca="1">IFERROR(__xludf.DUMMYFUNCTION("""COMPUTED_VALUE"""),170)</f>
        <v>170</v>
      </c>
      <c r="P164" s="1">
        <f ca="1">IFERROR(__xludf.DUMMYFUNCTION("""COMPUTED_VALUE"""),104.1)</f>
        <v>104.1</v>
      </c>
      <c r="Q164" s="1">
        <f ca="1">IFERROR(__xludf.DUMMYFUNCTION("""COMPUTED_VALUE"""),123)</f>
        <v>123</v>
      </c>
      <c r="R164" s="1">
        <f ca="1">IFERROR(__xludf.DUMMYFUNCTION("""COMPUTED_VALUE"""),104.6)</f>
        <v>104.6</v>
      </c>
      <c r="S164" s="1">
        <f ca="1">IFERROR(__xludf.DUMMYFUNCTION("""COMPUTED_VALUE"""),207)</f>
        <v>207</v>
      </c>
      <c r="T164" s="1" t="str">
        <f ca="1">IFERROR(__xludf.DUMMYFUNCTION("""COMPUTED_VALUE"""),"+0.86")</f>
        <v>+0.86</v>
      </c>
      <c r="U164" s="1">
        <f ca="1">IFERROR(__xludf.DUMMYFUNCTION("""COMPUTED_VALUE"""),134)</f>
        <v>134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IFERROR(__xludf.DUMMYFUNCTION("""COMPUTED_VALUE"""),"Northern Arizona9")</f>
        <v>Northern Arizona9</v>
      </c>
      <c r="C165" s="1" t="str">
        <f ca="1">IFERROR(__xludf.DUMMYFUNCTION("""COMPUTED_VALUE"""),"BSky")</f>
        <v>BSky</v>
      </c>
      <c r="D165" s="1" t="str">
        <f ca="1">IFERROR(__xludf.DUMMYFUNCTION("""COMPUTED_VALUE"""),"21-11")</f>
        <v>21-11</v>
      </c>
      <c r="E165" s="1">
        <f ca="1">IFERROR(__xludf.DUMMYFUNCTION("""COMPUTED_VALUE"""),-0.04)</f>
        <v>-0.04</v>
      </c>
      <c r="F165" s="1">
        <f ca="1">IFERROR(__xludf.DUMMYFUNCTION("""COMPUTED_VALUE"""),103.9)</f>
        <v>103.9</v>
      </c>
      <c r="G165" s="1">
        <f ca="1">IFERROR(__xludf.DUMMYFUNCTION("""COMPUTED_VALUE"""),153)</f>
        <v>153</v>
      </c>
      <c r="H165" s="1">
        <f ca="1">IFERROR(__xludf.DUMMYFUNCTION("""COMPUTED_VALUE"""),104)</f>
        <v>104</v>
      </c>
      <c r="I165" s="1">
        <f ca="1">IFERROR(__xludf.DUMMYFUNCTION("""COMPUTED_VALUE"""),185)</f>
        <v>185</v>
      </c>
      <c r="J165" s="1">
        <f ca="1">IFERROR(__xludf.DUMMYFUNCTION("""COMPUTED_VALUE"""),69.2)</f>
        <v>69.2</v>
      </c>
      <c r="K165" s="1">
        <f ca="1">IFERROR(__xludf.DUMMYFUNCTION("""COMPUTED_VALUE"""),40)</f>
        <v>40</v>
      </c>
      <c r="L165" s="1" t="str">
        <f ca="1">IFERROR(__xludf.DUMMYFUNCTION("""COMPUTED_VALUE"""),"+.079")</f>
        <v>+.079</v>
      </c>
      <c r="M165" s="1">
        <f ca="1">IFERROR(__xludf.DUMMYFUNCTION("""COMPUTED_VALUE"""),22)</f>
        <v>22</v>
      </c>
      <c r="N165" s="1">
        <f ca="1">IFERROR(__xludf.DUMMYFUNCTION("""COMPUTED_VALUE"""),-2.6)</f>
        <v>-2.6</v>
      </c>
      <c r="O165" s="1">
        <f ca="1">IFERROR(__xludf.DUMMYFUNCTION("""COMPUTED_VALUE"""),208)</f>
        <v>208</v>
      </c>
      <c r="P165" s="1">
        <f ca="1">IFERROR(__xludf.DUMMYFUNCTION("""COMPUTED_VALUE"""),103.4)</f>
        <v>103.4</v>
      </c>
      <c r="Q165" s="1">
        <f ca="1">IFERROR(__xludf.DUMMYFUNCTION("""COMPUTED_VALUE"""),154)</f>
        <v>154</v>
      </c>
      <c r="R165" s="1">
        <f ca="1">IFERROR(__xludf.DUMMYFUNCTION("""COMPUTED_VALUE"""),106)</f>
        <v>106</v>
      </c>
      <c r="S165" s="1">
        <f ca="1">IFERROR(__xludf.DUMMYFUNCTION("""COMPUTED_VALUE"""),273)</f>
        <v>273</v>
      </c>
      <c r="T165" s="1">
        <f ca="1">IFERROR(__xludf.DUMMYFUNCTION("""COMPUTED_VALUE"""),-3.09)</f>
        <v>-3.09</v>
      </c>
      <c r="U165" s="1">
        <f ca="1">IFERROR(__xludf.DUMMYFUNCTION("""COMPUTED_VALUE"""),234)</f>
        <v>234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IFERROR(__xludf.DUMMYFUNCTION("""COMPUTED_VALUE"""),"Central Connecticut")</f>
        <v>Central Connecticut</v>
      </c>
      <c r="C166" s="1" t="str">
        <f ca="1">IFERROR(__xludf.DUMMYFUNCTION("""COMPUTED_VALUE"""),"NEC")</f>
        <v>NEC</v>
      </c>
      <c r="D166" s="1" t="str">
        <f ca="1">IFERROR(__xludf.DUMMYFUNCTION("""COMPUTED_VALUE"""),"18-11")</f>
        <v>18-11</v>
      </c>
      <c r="E166" s="1">
        <f ca="1">IFERROR(__xludf.DUMMYFUNCTION("""COMPUTED_VALUE"""),-0.07)</f>
        <v>-7.0000000000000007E-2</v>
      </c>
      <c r="F166" s="1">
        <f ca="1">IFERROR(__xludf.DUMMYFUNCTION("""COMPUTED_VALUE"""),109.6)</f>
        <v>109.6</v>
      </c>
      <c r="G166" s="1">
        <f ca="1">IFERROR(__xludf.DUMMYFUNCTION("""COMPUTED_VALUE"""),67)</f>
        <v>67</v>
      </c>
      <c r="H166" s="1">
        <f ca="1">IFERROR(__xludf.DUMMYFUNCTION("""COMPUTED_VALUE"""),109.6)</f>
        <v>109.6</v>
      </c>
      <c r="I166" s="1">
        <f ca="1">IFERROR(__xludf.DUMMYFUNCTION("""COMPUTED_VALUE"""),288)</f>
        <v>288</v>
      </c>
      <c r="J166" s="1">
        <f ca="1">IFERROR(__xludf.DUMMYFUNCTION("""COMPUTED_VALUE"""),62)</f>
        <v>62</v>
      </c>
      <c r="K166" s="1">
        <f ca="1">IFERROR(__xludf.DUMMYFUNCTION("""COMPUTED_VALUE"""),287)</f>
        <v>287</v>
      </c>
      <c r="L166" s="1">
        <f ca="1">IFERROR(__xludf.DUMMYFUNCTION("""COMPUTED_VALUE"""),-0.027)</f>
        <v>-2.7E-2</v>
      </c>
      <c r="M166" s="1">
        <f ca="1">IFERROR(__xludf.DUMMYFUNCTION("""COMPUTED_VALUE"""),230)</f>
        <v>230</v>
      </c>
      <c r="N166" s="1">
        <f ca="1">IFERROR(__xludf.DUMMYFUNCTION("""COMPUTED_VALUE"""),-7.66)</f>
        <v>-7.66</v>
      </c>
      <c r="O166" s="1">
        <f ca="1">IFERROR(__xludf.DUMMYFUNCTION("""COMPUTED_VALUE"""),300)</f>
        <v>300</v>
      </c>
      <c r="P166" s="1">
        <f ca="1">IFERROR(__xludf.DUMMYFUNCTION("""COMPUTED_VALUE"""),97.5)</f>
        <v>97.5</v>
      </c>
      <c r="Q166" s="1">
        <f ca="1">IFERROR(__xludf.DUMMYFUNCTION("""COMPUTED_VALUE"""),314)</f>
        <v>314</v>
      </c>
      <c r="R166" s="1">
        <f ca="1">IFERROR(__xludf.DUMMYFUNCTION("""COMPUTED_VALUE"""),105.2)</f>
        <v>105.2</v>
      </c>
      <c r="S166" s="1">
        <f ca="1">IFERROR(__xludf.DUMMYFUNCTION("""COMPUTED_VALUE"""),239)</f>
        <v>239</v>
      </c>
      <c r="T166" s="1">
        <f ca="1">IFERROR(__xludf.DUMMYFUNCTION("""COMPUTED_VALUE"""),-3.2)</f>
        <v>-3.2</v>
      </c>
      <c r="U166" s="1">
        <f ca="1">IFERROR(__xludf.DUMMYFUNCTION("""COMPUTED_VALUE"""),238)</f>
        <v>238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IFERROR(__xludf.DUMMYFUNCTION("""COMPUTED_VALUE"""),"Middle Tennessee")</f>
        <v>Middle Tennessee</v>
      </c>
      <c r="C167" s="1" t="str">
        <f ca="1">IFERROR(__xludf.DUMMYFUNCTION("""COMPUTED_VALUE"""),"SB")</f>
        <v>SB</v>
      </c>
      <c r="D167" s="1" t="str">
        <f ca="1">IFERROR(__xludf.DUMMYFUNCTION("""COMPUTED_VALUE"""),"16-12")</f>
        <v>16-12</v>
      </c>
      <c r="E167" s="1">
        <f ca="1">IFERROR(__xludf.DUMMYFUNCTION("""COMPUTED_VALUE"""),-0.22)</f>
        <v>-0.22</v>
      </c>
      <c r="F167" s="1">
        <f ca="1">IFERROR(__xludf.DUMMYFUNCTION("""COMPUTED_VALUE"""),105)</f>
        <v>105</v>
      </c>
      <c r="G167" s="1">
        <f ca="1">IFERROR(__xludf.DUMMYFUNCTION("""COMPUTED_VALUE"""),130)</f>
        <v>130</v>
      </c>
      <c r="H167" s="1">
        <f ca="1">IFERROR(__xludf.DUMMYFUNCTION("""COMPUTED_VALUE"""),105.3)</f>
        <v>105.3</v>
      </c>
      <c r="I167" s="1">
        <f ca="1">IFERROR(__xludf.DUMMYFUNCTION("""COMPUTED_VALUE"""),203)</f>
        <v>203</v>
      </c>
      <c r="J167" s="1">
        <f ca="1">IFERROR(__xludf.DUMMYFUNCTION("""COMPUTED_VALUE"""),64.4)</f>
        <v>64.400000000000006</v>
      </c>
      <c r="K167" s="1">
        <f ca="1">IFERROR(__xludf.DUMMYFUNCTION("""COMPUTED_VALUE"""),212)</f>
        <v>212</v>
      </c>
      <c r="L167" s="1" t="str">
        <f ca="1">IFERROR(__xludf.DUMMYFUNCTION("""COMPUTED_VALUE"""),"+.065")</f>
        <v>+.065</v>
      </c>
      <c r="M167" s="1">
        <f ca="1">IFERROR(__xludf.DUMMYFUNCTION("""COMPUTED_VALUE"""),36)</f>
        <v>36</v>
      </c>
      <c r="N167" s="1">
        <f ca="1">IFERROR(__xludf.DUMMYFUNCTION("""COMPUTED_VALUE"""),-1.26)</f>
        <v>-1.26</v>
      </c>
      <c r="O167" s="1">
        <f ca="1">IFERROR(__xludf.DUMMYFUNCTION("""COMPUTED_VALUE"""),185)</f>
        <v>185</v>
      </c>
      <c r="P167" s="1">
        <f ca="1">IFERROR(__xludf.DUMMYFUNCTION("""COMPUTED_VALUE"""),102.4)</f>
        <v>102.4</v>
      </c>
      <c r="Q167" s="1">
        <f ca="1">IFERROR(__xludf.DUMMYFUNCTION("""COMPUTED_VALUE"""),192)</f>
        <v>192</v>
      </c>
      <c r="R167" s="1">
        <f ca="1">IFERROR(__xludf.DUMMYFUNCTION("""COMPUTED_VALUE"""),103.6)</f>
        <v>103.6</v>
      </c>
      <c r="S167" s="1">
        <f ca="1">IFERROR(__xludf.DUMMYFUNCTION("""COMPUTED_VALUE"""),172)</f>
        <v>172</v>
      </c>
      <c r="T167" s="1" t="str">
        <f ca="1">IFERROR(__xludf.DUMMYFUNCTION("""COMPUTED_VALUE"""),"+1.91")</f>
        <v>+1.91</v>
      </c>
      <c r="U167" s="1">
        <f ca="1">IFERROR(__xludf.DUMMYFUNCTION("""COMPUTED_VALUE"""),101)</f>
        <v>101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IFERROR(__xludf.DUMMYFUNCTION("""COMPUTED_VALUE"""),"Santa Clara")</f>
        <v>Santa Clara</v>
      </c>
      <c r="C168" s="1" t="str">
        <f ca="1">IFERROR(__xludf.DUMMYFUNCTION("""COMPUTED_VALUE"""),"WCC")</f>
        <v>WCC</v>
      </c>
      <c r="D168" s="1" t="str">
        <f ca="1">IFERROR(__xludf.DUMMYFUNCTION("""COMPUTED_VALUE"""),"13-16")</f>
        <v>13-16</v>
      </c>
      <c r="E168" s="1">
        <f ca="1">IFERROR(__xludf.DUMMYFUNCTION("""COMPUTED_VALUE"""),-0.41)</f>
        <v>-0.41</v>
      </c>
      <c r="F168" s="1">
        <f ca="1">IFERROR(__xludf.DUMMYFUNCTION("""COMPUTED_VALUE"""),100.7)</f>
        <v>100.7</v>
      </c>
      <c r="G168" s="1">
        <f ca="1">IFERROR(__xludf.DUMMYFUNCTION("""COMPUTED_VALUE"""),206)</f>
        <v>206</v>
      </c>
      <c r="H168" s="1">
        <f ca="1">IFERROR(__xludf.DUMMYFUNCTION("""COMPUTED_VALUE"""),101.1)</f>
        <v>101.1</v>
      </c>
      <c r="I168" s="1">
        <f ca="1">IFERROR(__xludf.DUMMYFUNCTION("""COMPUTED_VALUE"""),130)</f>
        <v>130</v>
      </c>
      <c r="J168" s="1">
        <f ca="1">IFERROR(__xludf.DUMMYFUNCTION("""COMPUTED_VALUE"""),64.8)</f>
        <v>64.8</v>
      </c>
      <c r="K168" s="1">
        <f ca="1">IFERROR(__xludf.DUMMYFUNCTION("""COMPUTED_VALUE"""),188)</f>
        <v>188</v>
      </c>
      <c r="L168" s="1" t="str">
        <f ca="1">IFERROR(__xludf.DUMMYFUNCTION("""COMPUTED_VALUE"""),"+.014")</f>
        <v>+.014</v>
      </c>
      <c r="M168" s="1">
        <f ca="1">IFERROR(__xludf.DUMMYFUNCTION("""COMPUTED_VALUE"""),131)</f>
        <v>131</v>
      </c>
      <c r="N168" s="1" t="str">
        <f ca="1">IFERROR(__xludf.DUMMYFUNCTION("""COMPUTED_VALUE"""),"+3.13")</f>
        <v>+3.13</v>
      </c>
      <c r="O168" s="1">
        <f ca="1">IFERROR(__xludf.DUMMYFUNCTION("""COMPUTED_VALUE"""),97)</f>
        <v>97</v>
      </c>
      <c r="P168" s="1">
        <f ca="1">IFERROR(__xludf.DUMMYFUNCTION("""COMPUTED_VALUE"""),105)</f>
        <v>105</v>
      </c>
      <c r="Q168" s="1">
        <f ca="1">IFERROR(__xludf.DUMMYFUNCTION("""COMPUTED_VALUE"""),88)</f>
        <v>88</v>
      </c>
      <c r="R168" s="1">
        <f ca="1">IFERROR(__xludf.DUMMYFUNCTION("""COMPUTED_VALUE"""),101.9)</f>
        <v>101.9</v>
      </c>
      <c r="S168" s="1">
        <f ca="1">IFERROR(__xludf.DUMMYFUNCTION("""COMPUTED_VALUE"""),126)</f>
        <v>126</v>
      </c>
      <c r="T168" s="1" t="str">
        <f ca="1">IFERROR(__xludf.DUMMYFUNCTION("""COMPUTED_VALUE"""),"+5.26")</f>
        <v>+5.26</v>
      </c>
      <c r="U168" s="1">
        <f ca="1">IFERROR(__xludf.DUMMYFUNCTION("""COMPUTED_VALUE"""),45)</f>
        <v>45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IFERROR(__xludf.DUMMYFUNCTION("""COMPUTED_VALUE"""),"Georgia Southern10")</f>
        <v>Georgia Southern10</v>
      </c>
      <c r="C171" s="1" t="str">
        <f ca="1">IFERROR(__xludf.DUMMYFUNCTION("""COMPUTED_VALUE"""),"SC")</f>
        <v>SC</v>
      </c>
      <c r="D171" s="1" t="str">
        <f ca="1">IFERROR(__xludf.DUMMYFUNCTION("""COMPUTED_VALUE"""),"20-10")</f>
        <v>20-10</v>
      </c>
      <c r="E171" s="1">
        <f ca="1">IFERROR(__xludf.DUMMYFUNCTION("""COMPUTED_VALUE"""),-0.43)</f>
        <v>-0.43</v>
      </c>
      <c r="F171" s="1">
        <f ca="1">IFERROR(__xludf.DUMMYFUNCTION("""COMPUTED_VALUE"""),101.2)</f>
        <v>101.2</v>
      </c>
      <c r="G171" s="1">
        <f ca="1">IFERROR(__xludf.DUMMYFUNCTION("""COMPUTED_VALUE"""),196)</f>
        <v>196</v>
      </c>
      <c r="H171" s="1">
        <f ca="1">IFERROR(__xludf.DUMMYFUNCTION("""COMPUTED_VALUE"""),101.6)</f>
        <v>101.6</v>
      </c>
      <c r="I171" s="1">
        <f ca="1">IFERROR(__xludf.DUMMYFUNCTION("""COMPUTED_VALUE"""),141)</f>
        <v>141</v>
      </c>
      <c r="J171" s="1">
        <f ca="1">IFERROR(__xludf.DUMMYFUNCTION("""COMPUTED_VALUE"""),72.2)</f>
        <v>72.2</v>
      </c>
      <c r="K171" s="1">
        <f ca="1">IFERROR(__xludf.DUMMYFUNCTION("""COMPUTED_VALUE"""),6)</f>
        <v>6</v>
      </c>
      <c r="L171" s="1" t="str">
        <f ca="1">IFERROR(__xludf.DUMMYFUNCTION("""COMPUTED_VALUE"""),"+.077")</f>
        <v>+.077</v>
      </c>
      <c r="M171" s="1">
        <f ca="1">IFERROR(__xludf.DUMMYFUNCTION("""COMPUTED_VALUE"""),25)</f>
        <v>25</v>
      </c>
      <c r="N171" s="1">
        <f ca="1">IFERROR(__xludf.DUMMYFUNCTION("""COMPUTED_VALUE"""),-5.88)</f>
        <v>-5.88</v>
      </c>
      <c r="O171" s="1">
        <f ca="1">IFERROR(__xludf.DUMMYFUNCTION("""COMPUTED_VALUE"""),271)</f>
        <v>271</v>
      </c>
      <c r="P171" s="1">
        <f ca="1">IFERROR(__xludf.DUMMYFUNCTION("""COMPUTED_VALUE"""),100.5)</f>
        <v>100.5</v>
      </c>
      <c r="Q171" s="1">
        <f ca="1">IFERROR(__xludf.DUMMYFUNCTION("""COMPUTED_VALUE"""),254)</f>
        <v>254</v>
      </c>
      <c r="R171" s="1">
        <f ca="1">IFERROR(__xludf.DUMMYFUNCTION("""COMPUTED_VALUE"""),106.4)</f>
        <v>106.4</v>
      </c>
      <c r="S171" s="1">
        <f ca="1">IFERROR(__xludf.DUMMYFUNCTION("""COMPUTED_VALUE"""),294)</f>
        <v>294</v>
      </c>
      <c r="T171" s="1">
        <f ca="1">IFERROR(__xludf.DUMMYFUNCTION("""COMPUTED_VALUE"""),-3.48)</f>
        <v>-3.48</v>
      </c>
      <c r="U171" s="1">
        <f ca="1">IFERROR(__xludf.DUMMYFUNCTION("""COMPUTED_VALUE"""),247)</f>
        <v>247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IFERROR(__xludf.DUMMYFUNCTION("""COMPUTED_VALUE"""),"Portland St.")</f>
        <v>Portland St.</v>
      </c>
      <c r="C172" s="1" t="str">
        <f ca="1">IFERROR(__xludf.DUMMYFUNCTION("""COMPUTED_VALUE"""),"BSky")</f>
        <v>BSky</v>
      </c>
      <c r="D172" s="2">
        <f ca="1">IFERROR(__xludf.DUMMYFUNCTION("""COMPUTED_VALUE"""),44911)</f>
        <v>44911</v>
      </c>
      <c r="E172" s="1">
        <f ca="1">IFERROR(__xludf.DUMMYFUNCTION("""COMPUTED_VALUE"""),-0.59)</f>
        <v>-0.59</v>
      </c>
      <c r="F172" s="1">
        <f ca="1">IFERROR(__xludf.DUMMYFUNCTION("""COMPUTED_VALUE"""),102.1)</f>
        <v>102.1</v>
      </c>
      <c r="G172" s="1">
        <f ca="1">IFERROR(__xludf.DUMMYFUNCTION("""COMPUTED_VALUE"""),185)</f>
        <v>185</v>
      </c>
      <c r="H172" s="1">
        <f ca="1">IFERROR(__xludf.DUMMYFUNCTION("""COMPUTED_VALUE"""),102.6)</f>
        <v>102.6</v>
      </c>
      <c r="I172" s="1">
        <f ca="1">IFERROR(__xludf.DUMMYFUNCTION("""COMPUTED_VALUE"""),159)</f>
        <v>159</v>
      </c>
      <c r="J172" s="1">
        <f ca="1">IFERROR(__xludf.DUMMYFUNCTION("""COMPUTED_VALUE"""),65.6)</f>
        <v>65.599999999999994</v>
      </c>
      <c r="K172" s="1">
        <f ca="1">IFERROR(__xludf.DUMMYFUNCTION("""COMPUTED_VALUE"""),149)</f>
        <v>149</v>
      </c>
      <c r="L172" s="1">
        <f ca="1">IFERROR(__xludf.DUMMYFUNCTION("""COMPUTED_VALUE"""),-0.094)</f>
        <v>-9.4E-2</v>
      </c>
      <c r="M172" s="1">
        <f ca="1">IFERROR(__xludf.DUMMYFUNCTION("""COMPUTED_VALUE"""),317)</f>
        <v>317</v>
      </c>
      <c r="N172" s="1" t="str">
        <f ca="1">IFERROR(__xludf.DUMMYFUNCTION("""COMPUTED_VALUE"""),"+0.03")</f>
        <v>+0.03</v>
      </c>
      <c r="O172" s="1">
        <f ca="1">IFERROR(__xludf.DUMMYFUNCTION("""COMPUTED_VALUE"""),159)</f>
        <v>159</v>
      </c>
      <c r="P172" s="1">
        <f ca="1">IFERROR(__xludf.DUMMYFUNCTION("""COMPUTED_VALUE"""),105.5)</f>
        <v>105.5</v>
      </c>
      <c r="Q172" s="1">
        <f ca="1">IFERROR(__xludf.DUMMYFUNCTION("""COMPUTED_VALUE"""),70)</f>
        <v>70</v>
      </c>
      <c r="R172" s="1">
        <f ca="1">IFERROR(__xludf.DUMMYFUNCTION("""COMPUTED_VALUE"""),105.4)</f>
        <v>105.4</v>
      </c>
      <c r="S172" s="1">
        <f ca="1">IFERROR(__xludf.DUMMYFUNCTION("""COMPUTED_VALUE"""),254)</f>
        <v>254</v>
      </c>
      <c r="T172" s="1" t="str">
        <f ca="1">IFERROR(__xludf.DUMMYFUNCTION("""COMPUTED_VALUE"""),"+2.41")</f>
        <v>+2.41</v>
      </c>
      <c r="U172" s="1">
        <f ca="1">IFERROR(__xludf.DUMMYFUNCTION("""COMPUTED_VALUE"""),87)</f>
        <v>87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IFERROR(__xludf.DUMMYFUNCTION("""COMPUTED_VALUE"""),"North Dakota St.")</f>
        <v>North Dakota St.</v>
      </c>
      <c r="C173" s="1" t="str">
        <f ca="1">IFERROR(__xludf.DUMMYFUNCTION("""COMPUTED_VALUE"""),"ind")</f>
        <v>ind</v>
      </c>
      <c r="D173" s="1" t="str">
        <f ca="1">IFERROR(__xludf.DUMMYFUNCTION("""COMPUTED_VALUE"""),"16-12")</f>
        <v>16-12</v>
      </c>
      <c r="E173" s="1">
        <f ca="1">IFERROR(__xludf.DUMMYFUNCTION("""COMPUTED_VALUE"""),-0.65)</f>
        <v>-0.65</v>
      </c>
      <c r="F173" s="1">
        <f ca="1">IFERROR(__xludf.DUMMYFUNCTION("""COMPUTED_VALUE"""),103.8)</f>
        <v>103.8</v>
      </c>
      <c r="G173" s="1">
        <f ca="1">IFERROR(__xludf.DUMMYFUNCTION("""COMPUTED_VALUE"""),155)</f>
        <v>155</v>
      </c>
      <c r="H173" s="1">
        <f ca="1">IFERROR(__xludf.DUMMYFUNCTION("""COMPUTED_VALUE"""),104.4)</f>
        <v>104.4</v>
      </c>
      <c r="I173" s="1">
        <f ca="1">IFERROR(__xludf.DUMMYFUNCTION("""COMPUTED_VALUE"""),194)</f>
        <v>194</v>
      </c>
      <c r="J173" s="1">
        <f ca="1">IFERROR(__xludf.DUMMYFUNCTION("""COMPUTED_VALUE"""),65)</f>
        <v>65</v>
      </c>
      <c r="K173" s="1">
        <f ca="1">IFERROR(__xludf.DUMMYFUNCTION("""COMPUTED_VALUE"""),181)</f>
        <v>181</v>
      </c>
      <c r="L173" s="1">
        <f ca="1">IFERROR(__xludf.DUMMYFUNCTION("""COMPUTED_VALUE"""),-0.066)</f>
        <v>-6.6000000000000003E-2</v>
      </c>
      <c r="M173" s="1">
        <f ca="1">IFERROR(__xludf.DUMMYFUNCTION("""COMPUTED_VALUE"""),301)</f>
        <v>301</v>
      </c>
      <c r="N173" s="1">
        <f ca="1">IFERROR(__xludf.DUMMYFUNCTION("""COMPUTED_VALUE"""),-4.34)</f>
        <v>-4.34</v>
      </c>
      <c r="O173" s="1">
        <f ca="1">IFERROR(__xludf.DUMMYFUNCTION("""COMPUTED_VALUE"""),240)</f>
        <v>240</v>
      </c>
      <c r="P173" s="1">
        <f ca="1">IFERROR(__xludf.DUMMYFUNCTION("""COMPUTED_VALUE"""),102)</f>
        <v>102</v>
      </c>
      <c r="Q173" s="1">
        <f ca="1">IFERROR(__xludf.DUMMYFUNCTION("""COMPUTED_VALUE"""),207)</f>
        <v>207</v>
      </c>
      <c r="R173" s="1">
        <f ca="1">IFERROR(__xludf.DUMMYFUNCTION("""COMPUTED_VALUE"""),106.4)</f>
        <v>106.4</v>
      </c>
      <c r="S173" s="1">
        <f ca="1">IFERROR(__xludf.DUMMYFUNCTION("""COMPUTED_VALUE"""),293)</f>
        <v>293</v>
      </c>
      <c r="T173" s="1">
        <f ca="1">IFERROR(__xludf.DUMMYFUNCTION("""COMPUTED_VALUE"""),-1.65)</f>
        <v>-1.65</v>
      </c>
      <c r="U173" s="1">
        <f ca="1">IFERROR(__xludf.DUMMYFUNCTION("""COMPUTED_VALUE"""),201)</f>
        <v>201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IFERROR(__xludf.DUMMYFUNCTION("""COMPUTED_VALUE"""),"Monmouth16")</f>
        <v>Monmouth16</v>
      </c>
      <c r="C174" s="1" t="str">
        <f ca="1">IFERROR(__xludf.DUMMYFUNCTION("""COMPUTED_VALUE"""),"NEC")</f>
        <v>NEC</v>
      </c>
      <c r="D174" s="1" t="str">
        <f ca="1">IFERROR(__xludf.DUMMYFUNCTION("""COMPUTED_VALUE"""),"19-15")</f>
        <v>19-15</v>
      </c>
      <c r="E174" s="1">
        <f ca="1">IFERROR(__xludf.DUMMYFUNCTION("""COMPUTED_VALUE"""),-0.68)</f>
        <v>-0.68</v>
      </c>
      <c r="F174" s="1">
        <f ca="1">IFERROR(__xludf.DUMMYFUNCTION("""COMPUTED_VALUE"""),95.8)</f>
        <v>95.8</v>
      </c>
      <c r="G174" s="1">
        <f ca="1">IFERROR(__xludf.DUMMYFUNCTION("""COMPUTED_VALUE"""),278)</f>
        <v>278</v>
      </c>
      <c r="H174" s="1">
        <f ca="1">IFERROR(__xludf.DUMMYFUNCTION("""COMPUTED_VALUE"""),96.4)</f>
        <v>96.4</v>
      </c>
      <c r="I174" s="1">
        <f ca="1">IFERROR(__xludf.DUMMYFUNCTION("""COMPUTED_VALUE"""),57)</f>
        <v>57</v>
      </c>
      <c r="J174" s="1">
        <f ca="1">IFERROR(__xludf.DUMMYFUNCTION("""COMPUTED_VALUE"""),64.6)</f>
        <v>64.599999999999994</v>
      </c>
      <c r="K174" s="1">
        <f ca="1">IFERROR(__xludf.DUMMYFUNCTION("""COMPUTED_VALUE"""),202)</f>
        <v>202</v>
      </c>
      <c r="L174" s="1" t="str">
        <f ca="1">IFERROR(__xludf.DUMMYFUNCTION("""COMPUTED_VALUE"""),"+.018")</f>
        <v>+.018</v>
      </c>
      <c r="M174" s="1">
        <f ca="1">IFERROR(__xludf.DUMMYFUNCTION("""COMPUTED_VALUE"""),120)</f>
        <v>120</v>
      </c>
      <c r="N174" s="1">
        <f ca="1">IFERROR(__xludf.DUMMYFUNCTION("""COMPUTED_VALUE"""),-3.55)</f>
        <v>-3.55</v>
      </c>
      <c r="O174" s="1">
        <f ca="1">IFERROR(__xludf.DUMMYFUNCTION("""COMPUTED_VALUE"""),221)</f>
        <v>221</v>
      </c>
      <c r="P174" s="1">
        <f ca="1">IFERROR(__xludf.DUMMYFUNCTION("""COMPUTED_VALUE"""),101.2)</f>
        <v>101.2</v>
      </c>
      <c r="Q174" s="1">
        <f ca="1">IFERROR(__xludf.DUMMYFUNCTION("""COMPUTED_VALUE"""),235)</f>
        <v>235</v>
      </c>
      <c r="R174" s="1">
        <f ca="1">IFERROR(__xludf.DUMMYFUNCTION("""COMPUTED_VALUE"""),104.7)</f>
        <v>104.7</v>
      </c>
      <c r="S174" s="1">
        <f ca="1">IFERROR(__xludf.DUMMYFUNCTION("""COMPUTED_VALUE"""),215)</f>
        <v>215</v>
      </c>
      <c r="T174" s="1" t="str">
        <f ca="1">IFERROR(__xludf.DUMMYFUNCTION("""COMPUTED_VALUE"""),"+4.12")</f>
        <v>+4.12</v>
      </c>
      <c r="U174" s="1">
        <f ca="1">IFERROR(__xludf.DUMMYFUNCTION("""COMPUTED_VALUE"""),58)</f>
        <v>58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IFERROR(__xludf.DUMMYFUNCTION("""COMPUTED_VALUE"""),"Belmont15")</f>
        <v>Belmont15</v>
      </c>
      <c r="C175" s="1" t="str">
        <f ca="1">IFERROR(__xludf.DUMMYFUNCTION("""COMPUTED_VALUE"""),"ASun")</f>
        <v>ASun</v>
      </c>
      <c r="D175" s="1" t="str">
        <f ca="1">IFERROR(__xludf.DUMMYFUNCTION("""COMPUTED_VALUE"""),"20-11")</f>
        <v>20-11</v>
      </c>
      <c r="E175" s="1">
        <f ca="1">IFERROR(__xludf.DUMMYFUNCTION("""COMPUTED_VALUE"""),-0.73)</f>
        <v>-0.73</v>
      </c>
      <c r="F175" s="1">
        <f ca="1">IFERROR(__xludf.DUMMYFUNCTION("""COMPUTED_VALUE"""),107.1)</f>
        <v>107.1</v>
      </c>
      <c r="G175" s="1">
        <f ca="1">IFERROR(__xludf.DUMMYFUNCTION("""COMPUTED_VALUE"""),94)</f>
        <v>94</v>
      </c>
      <c r="H175" s="1">
        <f ca="1">IFERROR(__xludf.DUMMYFUNCTION("""COMPUTED_VALUE"""),107.8)</f>
        <v>107.8</v>
      </c>
      <c r="I175" s="1">
        <f ca="1">IFERROR(__xludf.DUMMYFUNCTION("""COMPUTED_VALUE"""),257)</f>
        <v>257</v>
      </c>
      <c r="J175" s="1">
        <f ca="1">IFERROR(__xludf.DUMMYFUNCTION("""COMPUTED_VALUE"""),69.1)</f>
        <v>69.099999999999994</v>
      </c>
      <c r="K175" s="1">
        <f ca="1">IFERROR(__xludf.DUMMYFUNCTION("""COMPUTED_VALUE"""),42)</f>
        <v>42</v>
      </c>
      <c r="L175" s="1" t="str">
        <f ca="1">IFERROR(__xludf.DUMMYFUNCTION("""COMPUTED_VALUE"""),"+.024")</f>
        <v>+.024</v>
      </c>
      <c r="M175" s="1">
        <f ca="1">IFERROR(__xludf.DUMMYFUNCTION("""COMPUTED_VALUE"""),108)</f>
        <v>108</v>
      </c>
      <c r="N175" s="1">
        <f ca="1">IFERROR(__xludf.DUMMYFUNCTION("""COMPUTED_VALUE"""),-8.62)</f>
        <v>-8.6199999999999992</v>
      </c>
      <c r="O175" s="1">
        <f ca="1">IFERROR(__xludf.DUMMYFUNCTION("""COMPUTED_VALUE"""),311)</f>
        <v>311</v>
      </c>
      <c r="P175" s="1">
        <f ca="1">IFERROR(__xludf.DUMMYFUNCTION("""COMPUTED_VALUE"""),99.7)</f>
        <v>99.7</v>
      </c>
      <c r="Q175" s="1">
        <f ca="1">IFERROR(__xludf.DUMMYFUNCTION("""COMPUTED_VALUE"""),275)</f>
        <v>275</v>
      </c>
      <c r="R175" s="1">
        <f ca="1">IFERROR(__xludf.DUMMYFUNCTION("""COMPUTED_VALUE"""),108.4)</f>
        <v>108.4</v>
      </c>
      <c r="S175" s="1">
        <f ca="1">IFERROR(__xludf.DUMMYFUNCTION("""COMPUTED_VALUE"""),326)</f>
        <v>326</v>
      </c>
      <c r="T175" s="1" t="str">
        <f ca="1">IFERROR(__xludf.DUMMYFUNCTION("""COMPUTED_VALUE"""),"+5.97")</f>
        <v>+5.97</v>
      </c>
      <c r="U175" s="1">
        <f ca="1">IFERROR(__xludf.DUMMYFUNCTION("""COMPUTED_VALUE"""),42)</f>
        <v>42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IFERROR(__xludf.DUMMYFUNCTION("""COMPUTED_VALUE"""),"Cal St. Fullerton")</f>
        <v>Cal St. Fullerton</v>
      </c>
      <c r="C176" s="1" t="str">
        <f ca="1">IFERROR(__xludf.DUMMYFUNCTION("""COMPUTED_VALUE"""),"BW")</f>
        <v>BW</v>
      </c>
      <c r="D176" s="1" t="str">
        <f ca="1">IFERROR(__xludf.DUMMYFUNCTION("""COMPUTED_VALUE"""),"16-13")</f>
        <v>16-13</v>
      </c>
      <c r="E176" s="1">
        <f ca="1">IFERROR(__xludf.DUMMYFUNCTION("""COMPUTED_VALUE"""),-0.77)</f>
        <v>-0.77</v>
      </c>
      <c r="F176" s="1">
        <f ca="1">IFERROR(__xludf.DUMMYFUNCTION("""COMPUTED_VALUE"""),107.3)</f>
        <v>107.3</v>
      </c>
      <c r="G176" s="1">
        <f ca="1">IFERROR(__xludf.DUMMYFUNCTION("""COMPUTED_VALUE"""),89)</f>
        <v>89</v>
      </c>
      <c r="H176" s="1">
        <f ca="1">IFERROR(__xludf.DUMMYFUNCTION("""COMPUTED_VALUE"""),108.1)</f>
        <v>108.1</v>
      </c>
      <c r="I176" s="1">
        <f ca="1">IFERROR(__xludf.DUMMYFUNCTION("""COMPUTED_VALUE"""),261)</f>
        <v>261</v>
      </c>
      <c r="J176" s="1">
        <f ca="1">IFERROR(__xludf.DUMMYFUNCTION("""COMPUTED_VALUE"""),68.2)</f>
        <v>68.2</v>
      </c>
      <c r="K176" s="1">
        <f ca="1">IFERROR(__xludf.DUMMYFUNCTION("""COMPUTED_VALUE"""),66)</f>
        <v>66</v>
      </c>
      <c r="L176" s="1">
        <f ca="1">IFERROR(__xludf.DUMMYFUNCTION("""COMPUTED_VALUE"""),-0.036)</f>
        <v>-3.5999999999999997E-2</v>
      </c>
      <c r="M176" s="1">
        <f ca="1">IFERROR(__xludf.DUMMYFUNCTION("""COMPUTED_VALUE"""),255)</f>
        <v>255</v>
      </c>
      <c r="N176" s="1">
        <f ca="1">IFERROR(__xludf.DUMMYFUNCTION("""COMPUTED_VALUE"""),-4.85)</f>
        <v>-4.8499999999999996</v>
      </c>
      <c r="O176" s="1">
        <f ca="1">IFERROR(__xludf.DUMMYFUNCTION("""COMPUTED_VALUE"""),250)</f>
        <v>250</v>
      </c>
      <c r="P176" s="1">
        <f ca="1">IFERROR(__xludf.DUMMYFUNCTION("""COMPUTED_VALUE"""),100.3)</f>
        <v>100.3</v>
      </c>
      <c r="Q176" s="1">
        <f ca="1">IFERROR(__xludf.DUMMYFUNCTION("""COMPUTED_VALUE"""),263)</f>
        <v>263</v>
      </c>
      <c r="R176" s="1">
        <f ca="1">IFERROR(__xludf.DUMMYFUNCTION("""COMPUTED_VALUE"""),105.2)</f>
        <v>105.2</v>
      </c>
      <c r="S176" s="1">
        <f ca="1">IFERROR(__xludf.DUMMYFUNCTION("""COMPUTED_VALUE"""),236)</f>
        <v>236</v>
      </c>
      <c r="T176" s="1">
        <f ca="1">IFERROR(__xludf.DUMMYFUNCTION("""COMPUTED_VALUE"""),-6.46)</f>
        <v>-6.46</v>
      </c>
      <c r="U176" s="1">
        <f ca="1">IFERROR(__xludf.DUMMYFUNCTION("""COMPUTED_VALUE"""),298)</f>
        <v>298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IFERROR(__xludf.DUMMYFUNCTION("""COMPUTED_VALUE"""),"Coastal Carolina")</f>
        <v>Coastal Carolina</v>
      </c>
      <c r="C177" s="1" t="str">
        <f ca="1">IFERROR(__xludf.DUMMYFUNCTION("""COMPUTED_VALUE"""),"BSth")</f>
        <v>BSth</v>
      </c>
      <c r="D177" s="1" t="str">
        <f ca="1">IFERROR(__xludf.DUMMYFUNCTION("""COMPUTED_VALUE"""),"20-10")</f>
        <v>20-10</v>
      </c>
      <c r="E177" s="1">
        <f ca="1">IFERROR(__xludf.DUMMYFUNCTION("""COMPUTED_VALUE"""),-0.83)</f>
        <v>-0.83</v>
      </c>
      <c r="F177" s="1">
        <f ca="1">IFERROR(__xludf.DUMMYFUNCTION("""COMPUTED_VALUE"""),106.5)</f>
        <v>106.5</v>
      </c>
      <c r="G177" s="1">
        <f ca="1">IFERROR(__xludf.DUMMYFUNCTION("""COMPUTED_VALUE"""),106)</f>
        <v>106</v>
      </c>
      <c r="H177" s="1">
        <f ca="1">IFERROR(__xludf.DUMMYFUNCTION("""COMPUTED_VALUE"""),107.3)</f>
        <v>107.3</v>
      </c>
      <c r="I177" s="1">
        <f ca="1">IFERROR(__xludf.DUMMYFUNCTION("""COMPUTED_VALUE"""),244)</f>
        <v>244</v>
      </c>
      <c r="J177" s="1">
        <f ca="1">IFERROR(__xludf.DUMMYFUNCTION("""COMPUTED_VALUE"""),61.7)</f>
        <v>61.7</v>
      </c>
      <c r="K177" s="1">
        <f ca="1">IFERROR(__xludf.DUMMYFUNCTION("""COMPUTED_VALUE"""),296)</f>
        <v>296</v>
      </c>
      <c r="L177" s="1" t="str">
        <f ca="1">IFERROR(__xludf.DUMMYFUNCTION("""COMPUTED_VALUE"""),"+.069")</f>
        <v>+.069</v>
      </c>
      <c r="M177" s="1">
        <f ca="1">IFERROR(__xludf.DUMMYFUNCTION("""COMPUTED_VALUE"""),31)</f>
        <v>31</v>
      </c>
      <c r="N177" s="1">
        <f ca="1">IFERROR(__xludf.DUMMYFUNCTION("""COMPUTED_VALUE"""),-6.48)</f>
        <v>-6.48</v>
      </c>
      <c r="O177" s="1">
        <f ca="1">IFERROR(__xludf.DUMMYFUNCTION("""COMPUTED_VALUE"""),279)</f>
        <v>279</v>
      </c>
      <c r="P177" s="1">
        <f ca="1">IFERROR(__xludf.DUMMYFUNCTION("""COMPUTED_VALUE"""),100.4)</f>
        <v>100.4</v>
      </c>
      <c r="Q177" s="1">
        <f ca="1">IFERROR(__xludf.DUMMYFUNCTION("""COMPUTED_VALUE"""),262)</f>
        <v>262</v>
      </c>
      <c r="R177" s="1">
        <f ca="1">IFERROR(__xludf.DUMMYFUNCTION("""COMPUTED_VALUE"""),106.8)</f>
        <v>106.8</v>
      </c>
      <c r="S177" s="1">
        <f ca="1">IFERROR(__xludf.DUMMYFUNCTION("""COMPUTED_VALUE"""),306)</f>
        <v>306</v>
      </c>
      <c r="T177" s="1" t="str">
        <f ca="1">IFERROR(__xludf.DUMMYFUNCTION("""COMPUTED_VALUE"""),"+1.56")</f>
        <v>+1.56</v>
      </c>
      <c r="U177" s="1">
        <f ca="1">IFERROR(__xludf.DUMMYFUNCTION("""COMPUTED_VALUE"""),117)</f>
        <v>117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IFERROR(__xludf.DUMMYFUNCTION("""COMPUTED_VALUE"""),"Troy")</f>
        <v>Troy</v>
      </c>
      <c r="C178" s="1" t="str">
        <f ca="1">IFERROR(__xludf.DUMMYFUNCTION("""COMPUTED_VALUE"""),"SB")</f>
        <v>SB</v>
      </c>
      <c r="D178" s="1" t="str">
        <f ca="1">IFERROR(__xludf.DUMMYFUNCTION("""COMPUTED_VALUE"""),"14-15")</f>
        <v>14-15</v>
      </c>
      <c r="E178" s="1">
        <f ca="1">IFERROR(__xludf.DUMMYFUNCTION("""COMPUTED_VALUE"""),-0.89)</f>
        <v>-0.89</v>
      </c>
      <c r="F178" s="1">
        <f ca="1">IFERROR(__xludf.DUMMYFUNCTION("""COMPUTED_VALUE"""),105.4)</f>
        <v>105.4</v>
      </c>
      <c r="G178" s="1">
        <f ca="1">IFERROR(__xludf.DUMMYFUNCTION("""COMPUTED_VALUE"""),126)</f>
        <v>126</v>
      </c>
      <c r="H178" s="1">
        <f ca="1">IFERROR(__xludf.DUMMYFUNCTION("""COMPUTED_VALUE"""),106.3)</f>
        <v>106.3</v>
      </c>
      <c r="I178" s="1">
        <f ca="1">IFERROR(__xludf.DUMMYFUNCTION("""COMPUTED_VALUE"""),229)</f>
        <v>229</v>
      </c>
      <c r="J178" s="1">
        <f ca="1">IFERROR(__xludf.DUMMYFUNCTION("""COMPUTED_VALUE"""),64.8)</f>
        <v>64.8</v>
      </c>
      <c r="K178" s="1">
        <f ca="1">IFERROR(__xludf.DUMMYFUNCTION("""COMPUTED_VALUE"""),190)</f>
        <v>190</v>
      </c>
      <c r="L178" s="1">
        <f ca="1">IFERROR(__xludf.DUMMYFUNCTION("""COMPUTED_VALUE"""),-0.105)</f>
        <v>-0.105</v>
      </c>
      <c r="M178" s="1">
        <f ca="1">IFERROR(__xludf.DUMMYFUNCTION("""COMPUTED_VALUE"""),325)</f>
        <v>325</v>
      </c>
      <c r="N178" s="1">
        <f ca="1">IFERROR(__xludf.DUMMYFUNCTION("""COMPUTED_VALUE"""),-3.23)</f>
        <v>-3.23</v>
      </c>
      <c r="O178" s="1">
        <f ca="1">IFERROR(__xludf.DUMMYFUNCTION("""COMPUTED_VALUE"""),215)</f>
        <v>215</v>
      </c>
      <c r="P178" s="1">
        <f ca="1">IFERROR(__xludf.DUMMYFUNCTION("""COMPUTED_VALUE"""),101.1)</f>
        <v>101.1</v>
      </c>
      <c r="Q178" s="1">
        <f ca="1">IFERROR(__xludf.DUMMYFUNCTION("""COMPUTED_VALUE"""),239)</f>
        <v>239</v>
      </c>
      <c r="R178" s="1">
        <f ca="1">IFERROR(__xludf.DUMMYFUNCTION("""COMPUTED_VALUE"""),104.3)</f>
        <v>104.3</v>
      </c>
      <c r="S178" s="1">
        <f ca="1">IFERROR(__xludf.DUMMYFUNCTION("""COMPUTED_VALUE"""),198)</f>
        <v>198</v>
      </c>
      <c r="T178" s="1">
        <f ca="1">IFERROR(__xludf.DUMMYFUNCTION("""COMPUTED_VALUE"""),-4.56)</f>
        <v>-4.5599999999999996</v>
      </c>
      <c r="U178" s="1">
        <f ca="1">IFERROR(__xludf.DUMMYFUNCTION("""COMPUTED_VALUE"""),270)</f>
        <v>270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IFERROR(__xludf.DUMMYFUNCTION("""COMPUTED_VALUE"""),"Illinois St.")</f>
        <v>Illinois St.</v>
      </c>
      <c r="C179" s="1" t="str">
        <f ca="1">IFERROR(__xludf.DUMMYFUNCTION("""COMPUTED_VALUE"""),"MVC")</f>
        <v>MVC</v>
      </c>
      <c r="D179" s="2">
        <f ca="1">IFERROR(__xludf.DUMMYFUNCTION("""COMPUTED_VALUE"""),44823)</f>
        <v>44823</v>
      </c>
      <c r="E179" s="1">
        <f ca="1">IFERROR(__xludf.DUMMYFUNCTION("""COMPUTED_VALUE"""),-0.89)</f>
        <v>-0.89</v>
      </c>
      <c r="F179" s="1">
        <f ca="1">IFERROR(__xludf.DUMMYFUNCTION("""COMPUTED_VALUE"""),92.8)</f>
        <v>92.8</v>
      </c>
      <c r="G179" s="1">
        <f ca="1">IFERROR(__xludf.DUMMYFUNCTION("""COMPUTED_VALUE"""),308)</f>
        <v>308</v>
      </c>
      <c r="H179" s="1">
        <f ca="1">IFERROR(__xludf.DUMMYFUNCTION("""COMPUTED_VALUE"""),93.6)</f>
        <v>93.6</v>
      </c>
      <c r="I179" s="1">
        <f ca="1">IFERROR(__xludf.DUMMYFUNCTION("""COMPUTED_VALUE"""),27)</f>
        <v>27</v>
      </c>
      <c r="J179" s="1">
        <f ca="1">IFERROR(__xludf.DUMMYFUNCTION("""COMPUTED_VALUE"""),61.2)</f>
        <v>61.2</v>
      </c>
      <c r="K179" s="1">
        <f ca="1">IFERROR(__xludf.DUMMYFUNCTION("""COMPUTED_VALUE"""),303)</f>
        <v>303</v>
      </c>
      <c r="L179" s="1">
        <f ca="1">IFERROR(__xludf.DUMMYFUNCTION("""COMPUTED_VALUE"""),-0.095)</f>
        <v>-9.5000000000000001E-2</v>
      </c>
      <c r="M179" s="1">
        <f ca="1">IFERROR(__xludf.DUMMYFUNCTION("""COMPUTED_VALUE"""),318)</f>
        <v>318</v>
      </c>
      <c r="N179" s="1" t="str">
        <f ca="1">IFERROR(__xludf.DUMMYFUNCTION("""COMPUTED_VALUE"""),"+4.49")</f>
        <v>+4.49</v>
      </c>
      <c r="O179" s="1">
        <f ca="1">IFERROR(__xludf.DUMMYFUNCTION("""COMPUTED_VALUE"""),82)</f>
        <v>82</v>
      </c>
      <c r="P179" s="1">
        <f ca="1">IFERROR(__xludf.DUMMYFUNCTION("""COMPUTED_VALUE"""),103.8)</f>
        <v>103.8</v>
      </c>
      <c r="Q179" s="1">
        <f ca="1">IFERROR(__xludf.DUMMYFUNCTION("""COMPUTED_VALUE"""),131)</f>
        <v>131</v>
      </c>
      <c r="R179" s="1">
        <f ca="1">IFERROR(__xludf.DUMMYFUNCTION("""COMPUTED_VALUE"""),99.3)</f>
        <v>99.3</v>
      </c>
      <c r="S179" s="1">
        <f ca="1">IFERROR(__xludf.DUMMYFUNCTION("""COMPUTED_VALUE"""),48)</f>
        <v>48</v>
      </c>
      <c r="T179" s="1">
        <f ca="1">IFERROR(__xludf.DUMMYFUNCTION("""COMPUTED_VALUE"""),-6.25)</f>
        <v>-6.25</v>
      </c>
      <c r="U179" s="1">
        <f ca="1">IFERROR(__xludf.DUMMYFUNCTION("""COMPUTED_VALUE"""),295)</f>
        <v>295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IFERROR(__xludf.DUMMYFUNCTION("""COMPUTED_VALUE"""),"Illinois Chicago")</f>
        <v>Illinois Chicago</v>
      </c>
      <c r="C180" s="1" t="str">
        <f ca="1">IFERROR(__xludf.DUMMYFUNCTION("""COMPUTED_VALUE"""),"Horz")</f>
        <v>Horz</v>
      </c>
      <c r="D180" s="1" t="str">
        <f ca="1">IFERROR(__xludf.DUMMYFUNCTION("""COMPUTED_VALUE"""),"16-15")</f>
        <v>16-15</v>
      </c>
      <c r="E180" s="1">
        <f ca="1">IFERROR(__xludf.DUMMYFUNCTION("""COMPUTED_VALUE"""),-0.95)</f>
        <v>-0.95</v>
      </c>
      <c r="F180" s="1">
        <f ca="1">IFERROR(__xludf.DUMMYFUNCTION("""COMPUTED_VALUE"""),105.4)</f>
        <v>105.4</v>
      </c>
      <c r="G180" s="1">
        <f ca="1">IFERROR(__xludf.DUMMYFUNCTION("""COMPUTED_VALUE"""),125)</f>
        <v>125</v>
      </c>
      <c r="H180" s="1">
        <f ca="1">IFERROR(__xludf.DUMMYFUNCTION("""COMPUTED_VALUE"""),106.4)</f>
        <v>106.4</v>
      </c>
      <c r="I180" s="1">
        <f ca="1">IFERROR(__xludf.DUMMYFUNCTION("""COMPUTED_VALUE"""),231)</f>
        <v>231</v>
      </c>
      <c r="J180" s="1">
        <f ca="1">IFERROR(__xludf.DUMMYFUNCTION("""COMPUTED_VALUE"""),63.9)</f>
        <v>63.9</v>
      </c>
      <c r="K180" s="1">
        <f ca="1">IFERROR(__xludf.DUMMYFUNCTION("""COMPUTED_VALUE"""),235)</f>
        <v>235</v>
      </c>
      <c r="L180" s="1" t="str">
        <f ca="1">IFERROR(__xludf.DUMMYFUNCTION("""COMPUTED_VALUE"""),"+.088")</f>
        <v>+.088</v>
      </c>
      <c r="M180" s="1">
        <f ca="1">IFERROR(__xludf.DUMMYFUNCTION("""COMPUTED_VALUE"""),16)</f>
        <v>16</v>
      </c>
      <c r="N180" s="1" t="str">
        <f ca="1">IFERROR(__xludf.DUMMYFUNCTION("""COMPUTED_VALUE"""),"+0.59")</f>
        <v>+0.59</v>
      </c>
      <c r="O180" s="1">
        <f ca="1">IFERROR(__xludf.DUMMYFUNCTION("""COMPUTED_VALUE"""),146)</f>
        <v>146</v>
      </c>
      <c r="P180" s="1">
        <f ca="1">IFERROR(__xludf.DUMMYFUNCTION("""COMPUTED_VALUE"""),104.1)</f>
        <v>104.1</v>
      </c>
      <c r="Q180" s="1">
        <f ca="1">IFERROR(__xludf.DUMMYFUNCTION("""COMPUTED_VALUE"""),121)</f>
        <v>121</v>
      </c>
      <c r="R180" s="1">
        <f ca="1">IFERROR(__xludf.DUMMYFUNCTION("""COMPUTED_VALUE"""),103.6)</f>
        <v>103.6</v>
      </c>
      <c r="S180" s="1">
        <f ca="1">IFERROR(__xludf.DUMMYFUNCTION("""COMPUTED_VALUE"""),170)</f>
        <v>170</v>
      </c>
      <c r="T180" s="1" t="str">
        <f ca="1">IFERROR(__xludf.DUMMYFUNCTION("""COMPUTED_VALUE"""),"+3.32")</f>
        <v>+3.32</v>
      </c>
      <c r="U180" s="1">
        <f ca="1">IFERROR(__xludf.DUMMYFUNCTION("""COMPUTED_VALUE"""),67)</f>
        <v>67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IFERROR(__xludf.DUMMYFUNCTION("""COMPUTED_VALUE"""),"South Florida")</f>
        <v>South Florida</v>
      </c>
      <c r="C181" s="1" t="str">
        <f ca="1">IFERROR(__xludf.DUMMYFUNCTION("""COMPUTED_VALUE"""),"BE")</f>
        <v>BE</v>
      </c>
      <c r="D181" s="2">
        <f ca="1">IFERROR(__xludf.DUMMYFUNCTION("""COMPUTED_VALUE"""),44764)</f>
        <v>44764</v>
      </c>
      <c r="E181" s="1">
        <f ca="1">IFERROR(__xludf.DUMMYFUNCTION("""COMPUTED_VALUE"""),-1.01)</f>
        <v>-1.01</v>
      </c>
      <c r="F181" s="1">
        <f ca="1">IFERROR(__xludf.DUMMYFUNCTION("""COMPUTED_VALUE"""),95.7)</f>
        <v>95.7</v>
      </c>
      <c r="G181" s="1">
        <f ca="1">IFERROR(__xludf.DUMMYFUNCTION("""COMPUTED_VALUE"""),280)</f>
        <v>280</v>
      </c>
      <c r="H181" s="1">
        <f ca="1">IFERROR(__xludf.DUMMYFUNCTION("""COMPUTED_VALUE"""),96.7)</f>
        <v>96.7</v>
      </c>
      <c r="I181" s="1">
        <f ca="1">IFERROR(__xludf.DUMMYFUNCTION("""COMPUTED_VALUE"""),64)</f>
        <v>64</v>
      </c>
      <c r="J181" s="1">
        <f ca="1">IFERROR(__xludf.DUMMYFUNCTION("""COMPUTED_VALUE"""),61.6)</f>
        <v>61.6</v>
      </c>
      <c r="K181" s="1">
        <f ca="1">IFERROR(__xludf.DUMMYFUNCTION("""COMPUTED_VALUE"""),297)</f>
        <v>297</v>
      </c>
      <c r="L181" s="1">
        <f ca="1">IFERROR(__xludf.DUMMYFUNCTION("""COMPUTED_VALUE"""),-0.104)</f>
        <v>-0.104</v>
      </c>
      <c r="M181" s="1">
        <f ca="1">IFERROR(__xludf.DUMMYFUNCTION("""COMPUTED_VALUE"""),324)</f>
        <v>324</v>
      </c>
      <c r="N181" s="1" t="str">
        <f ca="1">IFERROR(__xludf.DUMMYFUNCTION("""COMPUTED_VALUE"""),"+5.82")</f>
        <v>+5.82</v>
      </c>
      <c r="O181" s="1">
        <f ca="1">IFERROR(__xludf.DUMMYFUNCTION("""COMPUTED_VALUE"""),68)</f>
        <v>68</v>
      </c>
      <c r="P181" s="1">
        <f ca="1">IFERROR(__xludf.DUMMYFUNCTION("""COMPUTED_VALUE"""),106.3)</f>
        <v>106.3</v>
      </c>
      <c r="Q181" s="1">
        <f ca="1">IFERROR(__xludf.DUMMYFUNCTION("""COMPUTED_VALUE"""),50)</f>
        <v>50</v>
      </c>
      <c r="R181" s="1">
        <f ca="1">IFERROR(__xludf.DUMMYFUNCTION("""COMPUTED_VALUE"""),100.5)</f>
        <v>100.5</v>
      </c>
      <c r="S181" s="1">
        <f ca="1">IFERROR(__xludf.DUMMYFUNCTION("""COMPUTED_VALUE"""),81)</f>
        <v>81</v>
      </c>
      <c r="T181" s="1">
        <f ca="1">IFERROR(__xludf.DUMMYFUNCTION("""COMPUTED_VALUE"""),-4.74)</f>
        <v>-4.74</v>
      </c>
      <c r="U181" s="1">
        <f ca="1">IFERROR(__xludf.DUMMYFUNCTION("""COMPUTED_VALUE"""),273)</f>
        <v>273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IFERROR(__xludf.DUMMYFUNCTION("""COMPUTED_VALUE"""),"Denver")</f>
        <v>Denver</v>
      </c>
      <c r="C182" s="1" t="str">
        <f ca="1">IFERROR(__xludf.DUMMYFUNCTION("""COMPUTED_VALUE"""),"SB")</f>
        <v>SB</v>
      </c>
      <c r="D182" s="1" t="str">
        <f ca="1">IFERROR(__xludf.DUMMYFUNCTION("""COMPUTED_VALUE"""),"16-15")</f>
        <v>16-15</v>
      </c>
      <c r="E182" s="1">
        <f ca="1">IFERROR(__xludf.DUMMYFUNCTION("""COMPUTED_VALUE"""),-1.03)</f>
        <v>-1.03</v>
      </c>
      <c r="F182" s="1">
        <f ca="1">IFERROR(__xludf.DUMMYFUNCTION("""COMPUTED_VALUE"""),98.5)</f>
        <v>98.5</v>
      </c>
      <c r="G182" s="1">
        <f ca="1">IFERROR(__xludf.DUMMYFUNCTION("""COMPUTED_VALUE"""),238)</f>
        <v>238</v>
      </c>
      <c r="H182" s="1">
        <f ca="1">IFERROR(__xludf.DUMMYFUNCTION("""COMPUTED_VALUE"""),99.6)</f>
        <v>99.6</v>
      </c>
      <c r="I182" s="1">
        <f ca="1">IFERROR(__xludf.DUMMYFUNCTION("""COMPUTED_VALUE"""),105)</f>
        <v>105</v>
      </c>
      <c r="J182" s="1">
        <f ca="1">IFERROR(__xludf.DUMMYFUNCTION("""COMPUTED_VALUE"""),64.1)</f>
        <v>64.099999999999994</v>
      </c>
      <c r="K182" s="1">
        <f ca="1">IFERROR(__xludf.DUMMYFUNCTION("""COMPUTED_VALUE"""),226)</f>
        <v>226</v>
      </c>
      <c r="L182" s="1">
        <f ca="1">IFERROR(__xludf.DUMMYFUNCTION("""COMPUTED_VALUE"""),-0.01)</f>
        <v>-0.01</v>
      </c>
      <c r="M182" s="1">
        <f ca="1">IFERROR(__xludf.DUMMYFUNCTION("""COMPUTED_VALUE"""),190)</f>
        <v>190</v>
      </c>
      <c r="N182" s="1">
        <f ca="1">IFERROR(__xludf.DUMMYFUNCTION("""COMPUTED_VALUE"""),-2.69)</f>
        <v>-2.69</v>
      </c>
      <c r="O182" s="1">
        <f ca="1">IFERROR(__xludf.DUMMYFUNCTION("""COMPUTED_VALUE"""),209)</f>
        <v>209</v>
      </c>
      <c r="P182" s="1">
        <f ca="1">IFERROR(__xludf.DUMMYFUNCTION("""COMPUTED_VALUE"""),102.5)</f>
        <v>102.5</v>
      </c>
      <c r="Q182" s="1">
        <f ca="1">IFERROR(__xludf.DUMMYFUNCTION("""COMPUTED_VALUE"""),188)</f>
        <v>188</v>
      </c>
      <c r="R182" s="1">
        <f ca="1">IFERROR(__xludf.DUMMYFUNCTION("""COMPUTED_VALUE"""),105.2)</f>
        <v>105.2</v>
      </c>
      <c r="S182" s="1">
        <f ca="1">IFERROR(__xludf.DUMMYFUNCTION("""COMPUTED_VALUE"""),235)</f>
        <v>235</v>
      </c>
      <c r="T182" s="1">
        <f ca="1">IFERROR(__xludf.DUMMYFUNCTION("""COMPUTED_VALUE"""),-5.37)</f>
        <v>-5.37</v>
      </c>
      <c r="U182" s="1">
        <f ca="1">IFERROR(__xludf.DUMMYFUNCTION("""COMPUTED_VALUE"""),283)</f>
        <v>283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IFERROR(__xludf.DUMMYFUNCTION("""COMPUTED_VALUE"""),"Fairleigh Dickinson10")</f>
        <v>Fairleigh Dickinson10</v>
      </c>
      <c r="C183" s="1" t="str">
        <f ca="1">IFERROR(__xludf.DUMMYFUNCTION("""COMPUTED_VALUE"""),"NEC")</f>
        <v>NEC</v>
      </c>
      <c r="D183" s="1" t="str">
        <f ca="1">IFERROR(__xludf.DUMMYFUNCTION("""COMPUTED_VALUE"""),"20-12")</f>
        <v>20-12</v>
      </c>
      <c r="E183" s="1">
        <f ca="1">IFERROR(__xludf.DUMMYFUNCTION("""COMPUTED_VALUE"""),-1.05)</f>
        <v>-1.05</v>
      </c>
      <c r="F183" s="1">
        <f ca="1">IFERROR(__xludf.DUMMYFUNCTION("""COMPUTED_VALUE"""),101.5)</f>
        <v>101.5</v>
      </c>
      <c r="G183" s="1">
        <f ca="1">IFERROR(__xludf.DUMMYFUNCTION("""COMPUTED_VALUE"""),193)</f>
        <v>193</v>
      </c>
      <c r="H183" s="1">
        <f ca="1">IFERROR(__xludf.DUMMYFUNCTION("""COMPUTED_VALUE"""),102.5)</f>
        <v>102.5</v>
      </c>
      <c r="I183" s="1">
        <f ca="1">IFERROR(__xludf.DUMMYFUNCTION("""COMPUTED_VALUE"""),154)</f>
        <v>154</v>
      </c>
      <c r="J183" s="1">
        <f ca="1">IFERROR(__xludf.DUMMYFUNCTION("""COMPUTED_VALUE"""),69.1)</f>
        <v>69.099999999999994</v>
      </c>
      <c r="K183" s="1">
        <f ca="1">IFERROR(__xludf.DUMMYFUNCTION("""COMPUTED_VALUE"""),46)</f>
        <v>46</v>
      </c>
      <c r="L183" s="1" t="str">
        <f ca="1">IFERROR(__xludf.DUMMYFUNCTION("""COMPUTED_VALUE"""),"+.037")</f>
        <v>+.037</v>
      </c>
      <c r="M183" s="1">
        <f ca="1">IFERROR(__xludf.DUMMYFUNCTION("""COMPUTED_VALUE"""),77)</f>
        <v>77</v>
      </c>
      <c r="N183" s="1">
        <f ca="1">IFERROR(__xludf.DUMMYFUNCTION("""COMPUTED_VALUE"""),-5.56)</f>
        <v>-5.56</v>
      </c>
      <c r="O183" s="1">
        <f ca="1">IFERROR(__xludf.DUMMYFUNCTION("""COMPUTED_VALUE"""),264)</f>
        <v>264</v>
      </c>
      <c r="P183" s="1">
        <f ca="1">IFERROR(__xludf.DUMMYFUNCTION("""COMPUTED_VALUE"""),99.8)</f>
        <v>99.8</v>
      </c>
      <c r="Q183" s="1">
        <f ca="1">IFERROR(__xludf.DUMMYFUNCTION("""COMPUTED_VALUE"""),273)</f>
        <v>273</v>
      </c>
      <c r="R183" s="1">
        <f ca="1">IFERROR(__xludf.DUMMYFUNCTION("""COMPUTED_VALUE"""),105.3)</f>
        <v>105.3</v>
      </c>
      <c r="S183" s="1">
        <f ca="1">IFERROR(__xludf.DUMMYFUNCTION("""COMPUTED_VALUE"""),249)</f>
        <v>249</v>
      </c>
      <c r="T183" s="1" t="str">
        <f ca="1">IFERROR(__xludf.DUMMYFUNCTION("""COMPUTED_VALUE"""),"+4.12")</f>
        <v>+4.12</v>
      </c>
      <c r="U183" s="1">
        <f ca="1">IFERROR(__xludf.DUMMYFUNCTION("""COMPUTED_VALUE"""),59)</f>
        <v>59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IFERROR(__xludf.DUMMYFUNCTION("""COMPUTED_VALUE"""),"UC Santa Barbara")</f>
        <v>UC Santa Barbara</v>
      </c>
      <c r="C184" s="1" t="str">
        <f ca="1">IFERROR(__xludf.DUMMYFUNCTION("""COMPUTED_VALUE"""),"BW")</f>
        <v>BW</v>
      </c>
      <c r="D184" s="1" t="str">
        <f ca="1">IFERROR(__xludf.DUMMYFUNCTION("""COMPUTED_VALUE"""),"15-14")</f>
        <v>15-14</v>
      </c>
      <c r="E184" s="1">
        <f ca="1">IFERROR(__xludf.DUMMYFUNCTION("""COMPUTED_VALUE"""),-1.05)</f>
        <v>-1.05</v>
      </c>
      <c r="F184" s="1">
        <f ca="1">IFERROR(__xludf.DUMMYFUNCTION("""COMPUTED_VALUE"""),102.2)</f>
        <v>102.2</v>
      </c>
      <c r="G184" s="1">
        <f ca="1">IFERROR(__xludf.DUMMYFUNCTION("""COMPUTED_VALUE"""),182)</f>
        <v>182</v>
      </c>
      <c r="H184" s="1">
        <f ca="1">IFERROR(__xludf.DUMMYFUNCTION("""COMPUTED_VALUE"""),103.3)</f>
        <v>103.3</v>
      </c>
      <c r="I184" s="1">
        <f ca="1">IFERROR(__xludf.DUMMYFUNCTION("""COMPUTED_VALUE"""),170)</f>
        <v>170</v>
      </c>
      <c r="J184" s="1">
        <f ca="1">IFERROR(__xludf.DUMMYFUNCTION("""COMPUTED_VALUE"""),62)</f>
        <v>62</v>
      </c>
      <c r="K184" s="1">
        <f ca="1">IFERROR(__xludf.DUMMYFUNCTION("""COMPUTED_VALUE"""),289)</f>
        <v>289</v>
      </c>
      <c r="L184" s="1">
        <f ca="1">IFERROR(__xludf.DUMMYFUNCTION("""COMPUTED_VALUE"""),-0.016)</f>
        <v>-1.6E-2</v>
      </c>
      <c r="M184" s="1">
        <f ca="1">IFERROR(__xludf.DUMMYFUNCTION("""COMPUTED_VALUE"""),209)</f>
        <v>209</v>
      </c>
      <c r="N184" s="1">
        <f ca="1">IFERROR(__xludf.DUMMYFUNCTION("""COMPUTED_VALUE"""),-2.41)</f>
        <v>-2.41</v>
      </c>
      <c r="O184" s="1">
        <f ca="1">IFERROR(__xludf.DUMMYFUNCTION("""COMPUTED_VALUE"""),203)</f>
        <v>203</v>
      </c>
      <c r="P184" s="1">
        <f ca="1">IFERROR(__xludf.DUMMYFUNCTION("""COMPUTED_VALUE"""),102.4)</f>
        <v>102.4</v>
      </c>
      <c r="Q184" s="1">
        <f ca="1">IFERROR(__xludf.DUMMYFUNCTION("""COMPUTED_VALUE"""),191)</f>
        <v>191</v>
      </c>
      <c r="R184" s="1">
        <f ca="1">IFERROR(__xludf.DUMMYFUNCTION("""COMPUTED_VALUE"""),104.8)</f>
        <v>104.8</v>
      </c>
      <c r="S184" s="1">
        <f ca="1">IFERROR(__xludf.DUMMYFUNCTION("""COMPUTED_VALUE"""),218)</f>
        <v>218</v>
      </c>
      <c r="T184" s="1" t="str">
        <f ca="1">IFERROR(__xludf.DUMMYFUNCTION("""COMPUTED_VALUE"""),"+0.87")</f>
        <v>+0.87</v>
      </c>
      <c r="U184" s="1">
        <f ca="1">IFERROR(__xludf.DUMMYFUNCTION("""COMPUTED_VALUE"""),133)</f>
        <v>133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IFERROR(__xludf.DUMMYFUNCTION("""COMPUTED_VALUE"""),"Valparaiso")</f>
        <v>Valparaiso</v>
      </c>
      <c r="C185" s="1" t="str">
        <f ca="1">IFERROR(__xludf.DUMMYFUNCTION("""COMPUTED_VALUE"""),"MCon")</f>
        <v>MCon</v>
      </c>
      <c r="D185" s="1" t="str">
        <f ca="1">IFERROR(__xludf.DUMMYFUNCTION("""COMPUTED_VALUE"""),"17-12")</f>
        <v>17-12</v>
      </c>
      <c r="E185" s="1">
        <f ca="1">IFERROR(__xludf.DUMMYFUNCTION("""COMPUTED_VALUE"""),-1.17)</f>
        <v>-1.17</v>
      </c>
      <c r="F185" s="1">
        <f ca="1">IFERROR(__xludf.DUMMYFUNCTION("""COMPUTED_VALUE"""),105.1)</f>
        <v>105.1</v>
      </c>
      <c r="G185" s="1">
        <f ca="1">IFERROR(__xludf.DUMMYFUNCTION("""COMPUTED_VALUE"""),129)</f>
        <v>129</v>
      </c>
      <c r="H185" s="1">
        <f ca="1">IFERROR(__xludf.DUMMYFUNCTION("""COMPUTED_VALUE"""),106.2)</f>
        <v>106.2</v>
      </c>
      <c r="I185" s="1">
        <f ca="1">IFERROR(__xludf.DUMMYFUNCTION("""COMPUTED_VALUE"""),227)</f>
        <v>227</v>
      </c>
      <c r="J185" s="1">
        <f ca="1">IFERROR(__xludf.DUMMYFUNCTION("""COMPUTED_VALUE"""),69.2)</f>
        <v>69.2</v>
      </c>
      <c r="K185" s="1">
        <f ca="1">IFERROR(__xludf.DUMMYFUNCTION("""COMPUTED_VALUE"""),41)</f>
        <v>41</v>
      </c>
      <c r="L185" s="1" t="str">
        <f ca="1">IFERROR(__xludf.DUMMYFUNCTION("""COMPUTED_VALUE"""),"+.003")</f>
        <v>+.003</v>
      </c>
      <c r="M185" s="1">
        <f ca="1">IFERROR(__xludf.DUMMYFUNCTION("""COMPUTED_VALUE"""),162)</f>
        <v>162</v>
      </c>
      <c r="N185" s="1">
        <f ca="1">IFERROR(__xludf.DUMMYFUNCTION("""COMPUTED_VALUE"""),-5.77)</f>
        <v>-5.77</v>
      </c>
      <c r="O185" s="1">
        <f ca="1">IFERROR(__xludf.DUMMYFUNCTION("""COMPUTED_VALUE"""),269)</f>
        <v>269</v>
      </c>
      <c r="P185" s="1">
        <f ca="1">IFERROR(__xludf.DUMMYFUNCTION("""COMPUTED_VALUE"""),101.7)</f>
        <v>101.7</v>
      </c>
      <c r="Q185" s="1">
        <f ca="1">IFERROR(__xludf.DUMMYFUNCTION("""COMPUTED_VALUE"""),219)</f>
        <v>219</v>
      </c>
      <c r="R185" s="1">
        <f ca="1">IFERROR(__xludf.DUMMYFUNCTION("""COMPUTED_VALUE"""),107.4)</f>
        <v>107.4</v>
      </c>
      <c r="S185" s="1">
        <f ca="1">IFERROR(__xludf.DUMMYFUNCTION("""COMPUTED_VALUE"""),318)</f>
        <v>318</v>
      </c>
      <c r="T185" s="1" t="str">
        <f ca="1">IFERROR(__xludf.DUMMYFUNCTION("""COMPUTED_VALUE"""),"+0.04")</f>
        <v>+0.04</v>
      </c>
      <c r="U185" s="1">
        <f ca="1">IFERROR(__xludf.DUMMYFUNCTION("""COMPUTED_VALUE"""),155)</f>
        <v>155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IFERROR(__xludf.DUMMYFUNCTION("""COMPUTED_VALUE"""),"Detroit")</f>
        <v>Detroit</v>
      </c>
      <c r="C186" s="1" t="str">
        <f ca="1">IFERROR(__xludf.DUMMYFUNCTION("""COMPUTED_VALUE"""),"Horz")</f>
        <v>Horz</v>
      </c>
      <c r="D186" s="1" t="str">
        <f ca="1">IFERROR(__xludf.DUMMYFUNCTION("""COMPUTED_VALUE"""),"16-16")</f>
        <v>16-16</v>
      </c>
      <c r="E186" s="1">
        <f ca="1">IFERROR(__xludf.DUMMYFUNCTION("""COMPUTED_VALUE"""),-1.29)</f>
        <v>-1.29</v>
      </c>
      <c r="F186" s="1">
        <f ca="1">IFERROR(__xludf.DUMMYFUNCTION("""COMPUTED_VALUE"""),104.2)</f>
        <v>104.2</v>
      </c>
      <c r="G186" s="1">
        <f ca="1">IFERROR(__xludf.DUMMYFUNCTION("""COMPUTED_VALUE"""),145)</f>
        <v>145</v>
      </c>
      <c r="H186" s="1">
        <f ca="1">IFERROR(__xludf.DUMMYFUNCTION("""COMPUTED_VALUE"""),105.5)</f>
        <v>105.5</v>
      </c>
      <c r="I186" s="1">
        <f ca="1">IFERROR(__xludf.DUMMYFUNCTION("""COMPUTED_VALUE"""),208)</f>
        <v>208</v>
      </c>
      <c r="J186" s="1">
        <f ca="1">IFERROR(__xludf.DUMMYFUNCTION("""COMPUTED_VALUE"""),60)</f>
        <v>60</v>
      </c>
      <c r="K186" s="1">
        <f ca="1">IFERROR(__xludf.DUMMYFUNCTION("""COMPUTED_VALUE"""),317)</f>
        <v>317</v>
      </c>
      <c r="L186" s="1" t="str">
        <f ca="1">IFERROR(__xludf.DUMMYFUNCTION("""COMPUTED_VALUE"""),"+.048")</f>
        <v>+.048</v>
      </c>
      <c r="M186" s="1">
        <f ca="1">IFERROR(__xludf.DUMMYFUNCTION("""COMPUTED_VALUE"""),55)</f>
        <v>55</v>
      </c>
      <c r="N186" s="1" t="str">
        <f ca="1">IFERROR(__xludf.DUMMYFUNCTION("""COMPUTED_VALUE"""),"+1.06")</f>
        <v>+1.06</v>
      </c>
      <c r="O186" s="1">
        <f ca="1">IFERROR(__xludf.DUMMYFUNCTION("""COMPUTED_VALUE"""),134)</f>
        <v>134</v>
      </c>
      <c r="P186" s="1">
        <f ca="1">IFERROR(__xludf.DUMMYFUNCTION("""COMPUTED_VALUE"""),104.2)</f>
        <v>104.2</v>
      </c>
      <c r="Q186" s="1">
        <f ca="1">IFERROR(__xludf.DUMMYFUNCTION("""COMPUTED_VALUE"""),116)</f>
        <v>116</v>
      </c>
      <c r="R186" s="1">
        <f ca="1">IFERROR(__xludf.DUMMYFUNCTION("""COMPUTED_VALUE"""),103.1)</f>
        <v>103.1</v>
      </c>
      <c r="S186" s="1">
        <f ca="1">IFERROR(__xludf.DUMMYFUNCTION("""COMPUTED_VALUE"""),160)</f>
        <v>160</v>
      </c>
      <c r="T186" s="1" t="str">
        <f ca="1">IFERROR(__xludf.DUMMYFUNCTION("""COMPUTED_VALUE"""),"+4.96")</f>
        <v>+4.96</v>
      </c>
      <c r="U186" s="1">
        <f ca="1">IFERROR(__xludf.DUMMYFUNCTION("""COMPUTED_VALUE"""),50)</f>
        <v>50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IFERROR(__xludf.DUMMYFUNCTION("""COMPUTED_VALUE"""),"Lipscomb10")</f>
        <v>Lipscomb10</v>
      </c>
      <c r="C187" s="1" t="str">
        <f ca="1">IFERROR(__xludf.DUMMYFUNCTION("""COMPUTED_VALUE"""),"ASun")</f>
        <v>ASun</v>
      </c>
      <c r="D187" s="1" t="str">
        <f ca="1">IFERROR(__xludf.DUMMYFUNCTION("""COMPUTED_VALUE"""),"21-11")</f>
        <v>21-11</v>
      </c>
      <c r="E187" s="1">
        <f ca="1">IFERROR(__xludf.DUMMYFUNCTION("""COMPUTED_VALUE"""),-1.63)</f>
        <v>-1.63</v>
      </c>
      <c r="F187" s="1">
        <f ca="1">IFERROR(__xludf.DUMMYFUNCTION("""COMPUTED_VALUE"""),100.2)</f>
        <v>100.2</v>
      </c>
      <c r="G187" s="1">
        <f ca="1">IFERROR(__xludf.DUMMYFUNCTION("""COMPUTED_VALUE"""),217)</f>
        <v>217</v>
      </c>
      <c r="H187" s="1">
        <f ca="1">IFERROR(__xludf.DUMMYFUNCTION("""COMPUTED_VALUE"""),101.8)</f>
        <v>101.8</v>
      </c>
      <c r="I187" s="1">
        <f ca="1">IFERROR(__xludf.DUMMYFUNCTION("""COMPUTED_VALUE"""),147)</f>
        <v>147</v>
      </c>
      <c r="J187" s="1">
        <f ca="1">IFERROR(__xludf.DUMMYFUNCTION("""COMPUTED_VALUE"""),64.6)</f>
        <v>64.599999999999994</v>
      </c>
      <c r="K187" s="1">
        <f ca="1">IFERROR(__xludf.DUMMYFUNCTION("""COMPUTED_VALUE"""),201)</f>
        <v>201</v>
      </c>
      <c r="L187" s="1" t="str">
        <f ca="1">IFERROR(__xludf.DUMMYFUNCTION("""COMPUTED_VALUE"""),"+.011")</f>
        <v>+.011</v>
      </c>
      <c r="M187" s="1">
        <f ca="1">IFERROR(__xludf.DUMMYFUNCTION("""COMPUTED_VALUE"""),141)</f>
        <v>141</v>
      </c>
      <c r="N187" s="1">
        <f ca="1">IFERROR(__xludf.DUMMYFUNCTION("""COMPUTED_VALUE"""),-10.55)</f>
        <v>-10.55</v>
      </c>
      <c r="O187" s="1">
        <f ca="1">IFERROR(__xludf.DUMMYFUNCTION("""COMPUTED_VALUE"""),324)</f>
        <v>324</v>
      </c>
      <c r="P187" s="1">
        <f ca="1">IFERROR(__xludf.DUMMYFUNCTION("""COMPUTED_VALUE"""),99.6)</f>
        <v>99.6</v>
      </c>
      <c r="Q187" s="1">
        <f ca="1">IFERROR(__xludf.DUMMYFUNCTION("""COMPUTED_VALUE"""),278)</f>
        <v>278</v>
      </c>
      <c r="R187" s="1">
        <f ca="1">IFERROR(__xludf.DUMMYFUNCTION("""COMPUTED_VALUE"""),110.1)</f>
        <v>110.1</v>
      </c>
      <c r="S187" s="1">
        <f ca="1">IFERROR(__xludf.DUMMYFUNCTION("""COMPUTED_VALUE"""),333)</f>
        <v>333</v>
      </c>
      <c r="T187" s="1">
        <f ca="1">IFERROR(__xludf.DUMMYFUNCTION("""COMPUTED_VALUE"""),-4.2)</f>
        <v>-4.2</v>
      </c>
      <c r="U187" s="1">
        <f ca="1">IFERROR(__xludf.DUMMYFUNCTION("""COMPUTED_VALUE"""),263)</f>
        <v>263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IFERROR(__xludf.DUMMYFUNCTION("""COMPUTED_VALUE"""),"IUPUI")</f>
        <v>IUPUI</v>
      </c>
      <c r="C188" s="1" t="str">
        <f ca="1">IFERROR(__xludf.DUMMYFUNCTION("""COMPUTED_VALUE"""),"MCon")</f>
        <v>MCon</v>
      </c>
      <c r="D188" s="1" t="str">
        <f ca="1">IFERROR(__xludf.DUMMYFUNCTION("""COMPUTED_VALUE"""),"19-10")</f>
        <v>19-10</v>
      </c>
      <c r="E188" s="1">
        <f ca="1">IFERROR(__xludf.DUMMYFUNCTION("""COMPUTED_VALUE"""),-1.73)</f>
        <v>-1.73</v>
      </c>
      <c r="F188" s="1">
        <f ca="1">IFERROR(__xludf.DUMMYFUNCTION("""COMPUTED_VALUE"""),105.4)</f>
        <v>105.4</v>
      </c>
      <c r="G188" s="1">
        <f ca="1">IFERROR(__xludf.DUMMYFUNCTION("""COMPUTED_VALUE"""),124)</f>
        <v>124</v>
      </c>
      <c r="H188" s="1">
        <f ca="1">IFERROR(__xludf.DUMMYFUNCTION("""COMPUTED_VALUE"""),107.2)</f>
        <v>107.2</v>
      </c>
      <c r="I188" s="1">
        <f ca="1">IFERROR(__xludf.DUMMYFUNCTION("""COMPUTED_VALUE"""),242)</f>
        <v>242</v>
      </c>
      <c r="J188" s="1">
        <f ca="1">IFERROR(__xludf.DUMMYFUNCTION("""COMPUTED_VALUE"""),60.8)</f>
        <v>60.8</v>
      </c>
      <c r="K188" s="1">
        <f ca="1">IFERROR(__xludf.DUMMYFUNCTION("""COMPUTED_VALUE"""),310)</f>
        <v>310</v>
      </c>
      <c r="L188" s="1" t="str">
        <f ca="1">IFERROR(__xludf.DUMMYFUNCTION("""COMPUTED_VALUE"""),"+.064")</f>
        <v>+.064</v>
      </c>
      <c r="M188" s="1">
        <f ca="1">IFERROR(__xludf.DUMMYFUNCTION("""COMPUTED_VALUE"""),40)</f>
        <v>40</v>
      </c>
      <c r="N188" s="1">
        <f ca="1">IFERROR(__xludf.DUMMYFUNCTION("""COMPUTED_VALUE"""),-5.5)</f>
        <v>-5.5</v>
      </c>
      <c r="O188" s="1">
        <f ca="1">IFERROR(__xludf.DUMMYFUNCTION("""COMPUTED_VALUE"""),262)</f>
        <v>262</v>
      </c>
      <c r="P188" s="1">
        <f ca="1">IFERROR(__xludf.DUMMYFUNCTION("""COMPUTED_VALUE"""),101.9)</f>
        <v>101.9</v>
      </c>
      <c r="Q188" s="1">
        <f ca="1">IFERROR(__xludf.DUMMYFUNCTION("""COMPUTED_VALUE"""),210)</f>
        <v>210</v>
      </c>
      <c r="R188" s="1">
        <f ca="1">IFERROR(__xludf.DUMMYFUNCTION("""COMPUTED_VALUE"""),107.4)</f>
        <v>107.4</v>
      </c>
      <c r="S188" s="1">
        <f ca="1">IFERROR(__xludf.DUMMYFUNCTION("""COMPUTED_VALUE"""),316)</f>
        <v>316</v>
      </c>
      <c r="T188" s="1" t="str">
        <f ca="1">IFERROR(__xludf.DUMMYFUNCTION("""COMPUTED_VALUE"""),"+2.16")</f>
        <v>+2.16</v>
      </c>
      <c r="U188" s="1">
        <f ca="1">IFERROR(__xludf.DUMMYFUNCTION("""COMPUTED_VALUE"""),93)</f>
        <v>93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IFERROR(__xludf.DUMMYFUNCTION("""COMPUTED_VALUE"""),"Indiana St.")</f>
        <v>Indiana St.</v>
      </c>
      <c r="C189" s="1" t="str">
        <f ca="1">IFERROR(__xludf.DUMMYFUNCTION("""COMPUTED_VALUE"""),"MVC")</f>
        <v>MVC</v>
      </c>
      <c r="D189" s="1" t="str">
        <f ca="1">IFERROR(__xludf.DUMMYFUNCTION("""COMPUTED_VALUE"""),"13-16")</f>
        <v>13-16</v>
      </c>
      <c r="E189" s="1">
        <f ca="1">IFERROR(__xludf.DUMMYFUNCTION("""COMPUTED_VALUE"""),-1.77)</f>
        <v>-1.77</v>
      </c>
      <c r="F189" s="1">
        <f ca="1">IFERROR(__xludf.DUMMYFUNCTION("""COMPUTED_VALUE"""),101.1)</f>
        <v>101.1</v>
      </c>
      <c r="G189" s="1">
        <f ca="1">IFERROR(__xludf.DUMMYFUNCTION("""COMPUTED_VALUE"""),197)</f>
        <v>197</v>
      </c>
      <c r="H189" s="1">
        <f ca="1">IFERROR(__xludf.DUMMYFUNCTION("""COMPUTED_VALUE"""),102.9)</f>
        <v>102.9</v>
      </c>
      <c r="I189" s="1">
        <f ca="1">IFERROR(__xludf.DUMMYFUNCTION("""COMPUTED_VALUE"""),165)</f>
        <v>165</v>
      </c>
      <c r="J189" s="1">
        <f ca="1">IFERROR(__xludf.DUMMYFUNCTION("""COMPUTED_VALUE"""),64.7)</f>
        <v>64.7</v>
      </c>
      <c r="K189" s="1">
        <f ca="1">IFERROR(__xludf.DUMMYFUNCTION("""COMPUTED_VALUE"""),195)</f>
        <v>195</v>
      </c>
      <c r="L189" s="1" t="str">
        <f ca="1">IFERROR(__xludf.DUMMYFUNCTION("""COMPUTED_VALUE"""),"+.101")</f>
        <v>+.101</v>
      </c>
      <c r="M189" s="1">
        <f ca="1">IFERROR(__xludf.DUMMYFUNCTION("""COMPUTED_VALUE"""),11)</f>
        <v>11</v>
      </c>
      <c r="N189" s="1" t="str">
        <f ca="1">IFERROR(__xludf.DUMMYFUNCTION("""COMPUTED_VALUE"""),"+5.35")</f>
        <v>+5.35</v>
      </c>
      <c r="O189" s="1">
        <f ca="1">IFERROR(__xludf.DUMMYFUNCTION("""COMPUTED_VALUE"""),75)</f>
        <v>75</v>
      </c>
      <c r="P189" s="1">
        <f ca="1">IFERROR(__xludf.DUMMYFUNCTION("""COMPUTED_VALUE"""),104.4)</f>
        <v>104.4</v>
      </c>
      <c r="Q189" s="1">
        <f ca="1">IFERROR(__xludf.DUMMYFUNCTION("""COMPUTED_VALUE"""),107)</f>
        <v>107</v>
      </c>
      <c r="R189" s="1">
        <f ca="1">IFERROR(__xludf.DUMMYFUNCTION("""COMPUTED_VALUE"""),99)</f>
        <v>99</v>
      </c>
      <c r="S189" s="1">
        <f ca="1">IFERROR(__xludf.DUMMYFUNCTION("""COMPUTED_VALUE"""),33)</f>
        <v>33</v>
      </c>
      <c r="T189" s="1">
        <f ca="1">IFERROR(__xludf.DUMMYFUNCTION("""COMPUTED_VALUE"""),-5.81)</f>
        <v>-5.81</v>
      </c>
      <c r="U189" s="1">
        <f ca="1">IFERROR(__xludf.DUMMYFUNCTION("""COMPUTED_VALUE"""),289)</f>
        <v>289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IFERROR(__xludf.DUMMYFUNCTION("""COMPUTED_VALUE"""),"College of Charleston")</f>
        <v>College of Charleston</v>
      </c>
      <c r="C190" s="1" t="str">
        <f ca="1">IFERROR(__xludf.DUMMYFUNCTION("""COMPUTED_VALUE"""),"SC")</f>
        <v>SC</v>
      </c>
      <c r="D190" s="1" t="str">
        <f ca="1">IFERROR(__xludf.DUMMYFUNCTION("""COMPUTED_VALUE"""),"17-11")</f>
        <v>17-11</v>
      </c>
      <c r="E190" s="1">
        <f ca="1">IFERROR(__xludf.DUMMYFUNCTION("""COMPUTED_VALUE"""),-1.95)</f>
        <v>-1.95</v>
      </c>
      <c r="F190" s="1">
        <f ca="1">IFERROR(__xludf.DUMMYFUNCTION("""COMPUTED_VALUE"""),99.6)</f>
        <v>99.6</v>
      </c>
      <c r="G190" s="1">
        <f ca="1">IFERROR(__xludf.DUMMYFUNCTION("""COMPUTED_VALUE"""),227)</f>
        <v>227</v>
      </c>
      <c r="H190" s="1">
        <f ca="1">IFERROR(__xludf.DUMMYFUNCTION("""COMPUTED_VALUE"""),101.5)</f>
        <v>101.5</v>
      </c>
      <c r="I190" s="1">
        <f ca="1">IFERROR(__xludf.DUMMYFUNCTION("""COMPUTED_VALUE"""),139)</f>
        <v>139</v>
      </c>
      <c r="J190" s="1">
        <f ca="1">IFERROR(__xludf.DUMMYFUNCTION("""COMPUTED_VALUE"""),67.9)</f>
        <v>67.900000000000006</v>
      </c>
      <c r="K190" s="1">
        <f ca="1">IFERROR(__xludf.DUMMYFUNCTION("""COMPUTED_VALUE"""),73)</f>
        <v>73</v>
      </c>
      <c r="L190" s="1">
        <f ca="1">IFERROR(__xludf.DUMMYFUNCTION("""COMPUTED_VALUE"""),-0.044)</f>
        <v>-4.3999999999999997E-2</v>
      </c>
      <c r="M190" s="1">
        <f ca="1">IFERROR(__xludf.DUMMYFUNCTION("""COMPUTED_VALUE"""),273)</f>
        <v>273</v>
      </c>
      <c r="N190" s="1">
        <f ca="1">IFERROR(__xludf.DUMMYFUNCTION("""COMPUTED_VALUE"""),-7.76)</f>
        <v>-7.76</v>
      </c>
      <c r="O190" s="1">
        <f ca="1">IFERROR(__xludf.DUMMYFUNCTION("""COMPUTED_VALUE"""),302)</f>
        <v>302</v>
      </c>
      <c r="P190" s="1">
        <f ca="1">IFERROR(__xludf.DUMMYFUNCTION("""COMPUTED_VALUE"""),100.1)</f>
        <v>100.1</v>
      </c>
      <c r="Q190" s="1">
        <f ca="1">IFERROR(__xludf.DUMMYFUNCTION("""COMPUTED_VALUE"""),267)</f>
        <v>267</v>
      </c>
      <c r="R190" s="1">
        <f ca="1">IFERROR(__xludf.DUMMYFUNCTION("""COMPUTED_VALUE"""),107.9)</f>
        <v>107.9</v>
      </c>
      <c r="S190" s="1">
        <f ca="1">IFERROR(__xludf.DUMMYFUNCTION("""COMPUTED_VALUE"""),325)</f>
        <v>325</v>
      </c>
      <c r="T190" s="1">
        <f ca="1">IFERROR(__xludf.DUMMYFUNCTION("""COMPUTED_VALUE"""),-7.95)</f>
        <v>-7.95</v>
      </c>
      <c r="U190" s="1">
        <f ca="1">IFERROR(__xludf.DUMMYFUNCTION("""COMPUTED_VALUE"""),315)</f>
        <v>315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IFERROR(__xludf.DUMMYFUNCTION("""COMPUTED_VALUE"""),"Niagara")</f>
        <v>Niagara</v>
      </c>
      <c r="C191" s="1" t="str">
        <f ca="1">IFERROR(__xludf.DUMMYFUNCTION("""COMPUTED_VALUE"""),"MAAC")</f>
        <v>MAAC</v>
      </c>
      <c r="D191" s="2">
        <f ca="1">IFERROR(__xludf.DUMMYFUNCTION("""COMPUTED_VALUE"""),44883)</f>
        <v>44883</v>
      </c>
      <c r="E191" s="1">
        <f ca="1">IFERROR(__xludf.DUMMYFUNCTION("""COMPUTED_VALUE"""),-1.99)</f>
        <v>-1.99</v>
      </c>
      <c r="F191" s="1">
        <f ca="1">IFERROR(__xludf.DUMMYFUNCTION("""COMPUTED_VALUE"""),106.4)</f>
        <v>106.4</v>
      </c>
      <c r="G191" s="1">
        <f ca="1">IFERROR(__xludf.DUMMYFUNCTION("""COMPUTED_VALUE"""),110)</f>
        <v>110</v>
      </c>
      <c r="H191" s="1">
        <f ca="1">IFERROR(__xludf.DUMMYFUNCTION("""COMPUTED_VALUE"""),108.4)</f>
        <v>108.4</v>
      </c>
      <c r="I191" s="1">
        <f ca="1">IFERROR(__xludf.DUMMYFUNCTION("""COMPUTED_VALUE"""),266)</f>
        <v>266</v>
      </c>
      <c r="J191" s="1">
        <f ca="1">IFERROR(__xludf.DUMMYFUNCTION("""COMPUTED_VALUE"""),65.2)</f>
        <v>65.2</v>
      </c>
      <c r="K191" s="1">
        <f ca="1">IFERROR(__xludf.DUMMYFUNCTION("""COMPUTED_VALUE"""),170)</f>
        <v>170</v>
      </c>
      <c r="L191" s="1">
        <f ca="1">IFERROR(__xludf.DUMMYFUNCTION("""COMPUTED_VALUE"""),-0.038)</f>
        <v>-3.7999999999999999E-2</v>
      </c>
      <c r="M191" s="1">
        <f ca="1">IFERROR(__xludf.DUMMYFUNCTION("""COMPUTED_VALUE"""),258)</f>
        <v>258</v>
      </c>
      <c r="N191" s="1" t="str">
        <f ca="1">IFERROR(__xludf.DUMMYFUNCTION("""COMPUTED_VALUE"""),"+0.43")</f>
        <v>+0.43</v>
      </c>
      <c r="O191" s="1">
        <f ca="1">IFERROR(__xludf.DUMMYFUNCTION("""COMPUTED_VALUE"""),150)</f>
        <v>150</v>
      </c>
      <c r="P191" s="1">
        <f ca="1">IFERROR(__xludf.DUMMYFUNCTION("""COMPUTED_VALUE"""),105.5)</f>
        <v>105.5</v>
      </c>
      <c r="Q191" s="1">
        <f ca="1">IFERROR(__xludf.DUMMYFUNCTION("""COMPUTED_VALUE"""),72)</f>
        <v>72</v>
      </c>
      <c r="R191" s="1">
        <f ca="1">IFERROR(__xludf.DUMMYFUNCTION("""COMPUTED_VALUE"""),105)</f>
        <v>105</v>
      </c>
      <c r="S191" s="1">
        <f ca="1">IFERROR(__xludf.DUMMYFUNCTION("""COMPUTED_VALUE"""),228)</f>
        <v>228</v>
      </c>
      <c r="T191" s="1" t="str">
        <f ca="1">IFERROR(__xludf.DUMMYFUNCTION("""COMPUTED_VALUE"""),"+1.43")</f>
        <v>+1.43</v>
      </c>
      <c r="U191" s="1">
        <f ca="1">IFERROR(__xludf.DUMMYFUNCTION("""COMPUTED_VALUE"""),122)</f>
        <v>122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IFERROR(__xludf.DUMMYFUNCTION("""COMPUTED_VALUE"""),"Sam Houston St.")</f>
        <v>Sam Houston St.</v>
      </c>
      <c r="C192" s="1" t="str">
        <f ca="1">IFERROR(__xludf.DUMMYFUNCTION("""COMPUTED_VALUE"""),"Slnd")</f>
        <v>Slnd</v>
      </c>
      <c r="D192" s="1" t="str">
        <f ca="1">IFERROR(__xludf.DUMMYFUNCTION("""COMPUTED_VALUE"""),"22-9")</f>
        <v>22-9</v>
      </c>
      <c r="E192" s="1">
        <f ca="1">IFERROR(__xludf.DUMMYFUNCTION("""COMPUTED_VALUE"""),-2.01)</f>
        <v>-2.0099999999999998</v>
      </c>
      <c r="F192" s="1">
        <f ca="1">IFERROR(__xludf.DUMMYFUNCTION("""COMPUTED_VALUE"""),101.5)</f>
        <v>101.5</v>
      </c>
      <c r="G192" s="1">
        <f ca="1">IFERROR(__xludf.DUMMYFUNCTION("""COMPUTED_VALUE"""),192)</f>
        <v>192</v>
      </c>
      <c r="H192" s="1">
        <f ca="1">IFERROR(__xludf.DUMMYFUNCTION("""COMPUTED_VALUE"""),103.5)</f>
        <v>103.5</v>
      </c>
      <c r="I192" s="1">
        <f ca="1">IFERROR(__xludf.DUMMYFUNCTION("""COMPUTED_VALUE"""),177)</f>
        <v>177</v>
      </c>
      <c r="J192" s="1">
        <f ca="1">IFERROR(__xludf.DUMMYFUNCTION("""COMPUTED_VALUE"""),67.9)</f>
        <v>67.900000000000006</v>
      </c>
      <c r="K192" s="1">
        <f ca="1">IFERROR(__xludf.DUMMYFUNCTION("""COMPUTED_VALUE"""),69)</f>
        <v>69</v>
      </c>
      <c r="L192" s="1" t="str">
        <f ca="1">IFERROR(__xludf.DUMMYFUNCTION("""COMPUTED_VALUE"""),"+.159")</f>
        <v>+.159</v>
      </c>
      <c r="M192" s="1">
        <f ca="1">IFERROR(__xludf.DUMMYFUNCTION("""COMPUTED_VALUE"""),1)</f>
        <v>1</v>
      </c>
      <c r="N192" s="1">
        <f ca="1">IFERROR(__xludf.DUMMYFUNCTION("""COMPUTED_VALUE"""),-3.62)</f>
        <v>-3.62</v>
      </c>
      <c r="O192" s="1">
        <f ca="1">IFERROR(__xludf.DUMMYFUNCTION("""COMPUTED_VALUE"""),223)</f>
        <v>223</v>
      </c>
      <c r="P192" s="1">
        <f ca="1">IFERROR(__xludf.DUMMYFUNCTION("""COMPUTED_VALUE"""),100.8)</f>
        <v>100.8</v>
      </c>
      <c r="Q192" s="1">
        <f ca="1">IFERROR(__xludf.DUMMYFUNCTION("""COMPUTED_VALUE"""),245)</f>
        <v>245</v>
      </c>
      <c r="R192" s="1">
        <f ca="1">IFERROR(__xludf.DUMMYFUNCTION("""COMPUTED_VALUE"""),104.4)</f>
        <v>104.4</v>
      </c>
      <c r="S192" s="1">
        <f ca="1">IFERROR(__xludf.DUMMYFUNCTION("""COMPUTED_VALUE"""),200)</f>
        <v>200</v>
      </c>
      <c r="T192" s="1" t="str">
        <f ca="1">IFERROR(__xludf.DUMMYFUNCTION("""COMPUTED_VALUE"""),"+3.52")</f>
        <v>+3.52</v>
      </c>
      <c r="U192" s="1">
        <f ca="1">IFERROR(__xludf.DUMMYFUNCTION("""COMPUTED_VALUE"""),64)</f>
        <v>64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IFERROR(__xludf.DUMMYFUNCTION("""COMPUTED_VALUE"""),"Wright St.")</f>
        <v>Wright St.</v>
      </c>
      <c r="C193" s="1" t="str">
        <f ca="1">IFERROR(__xludf.DUMMYFUNCTION("""COMPUTED_VALUE"""),"Horz")</f>
        <v>Horz</v>
      </c>
      <c r="D193" s="1" t="str">
        <f ca="1">IFERROR(__xludf.DUMMYFUNCTION("""COMPUTED_VALUE"""),"13-15")</f>
        <v>13-15</v>
      </c>
      <c r="E193" s="1">
        <f ca="1">IFERROR(__xludf.DUMMYFUNCTION("""COMPUTED_VALUE"""),-2.03)</f>
        <v>-2.0299999999999998</v>
      </c>
      <c r="F193" s="1">
        <f ca="1">IFERROR(__xludf.DUMMYFUNCTION("""COMPUTED_VALUE"""),101)</f>
        <v>101</v>
      </c>
      <c r="G193" s="1">
        <f ca="1">IFERROR(__xludf.DUMMYFUNCTION("""COMPUTED_VALUE"""),203)</f>
        <v>203</v>
      </c>
      <c r="H193" s="1">
        <f ca="1">IFERROR(__xludf.DUMMYFUNCTION("""COMPUTED_VALUE"""),103)</f>
        <v>103</v>
      </c>
      <c r="I193" s="1">
        <f ca="1">IFERROR(__xludf.DUMMYFUNCTION("""COMPUTED_VALUE"""),167)</f>
        <v>167</v>
      </c>
      <c r="J193" s="1">
        <f ca="1">IFERROR(__xludf.DUMMYFUNCTION("""COMPUTED_VALUE"""),61)</f>
        <v>61</v>
      </c>
      <c r="K193" s="1">
        <f ca="1">IFERROR(__xludf.DUMMYFUNCTION("""COMPUTED_VALUE"""),308)</f>
        <v>308</v>
      </c>
      <c r="L193" s="1" t="str">
        <f ca="1">IFERROR(__xludf.DUMMYFUNCTION("""COMPUTED_VALUE"""),"+.016")</f>
        <v>+.016</v>
      </c>
      <c r="M193" s="1">
        <f ca="1">IFERROR(__xludf.DUMMYFUNCTION("""COMPUTED_VALUE"""),125)</f>
        <v>125</v>
      </c>
      <c r="N193" s="1" t="str">
        <f ca="1">IFERROR(__xludf.DUMMYFUNCTION("""COMPUTED_VALUE"""),"+0.23")</f>
        <v>+0.23</v>
      </c>
      <c r="O193" s="1">
        <f ca="1">IFERROR(__xludf.DUMMYFUNCTION("""COMPUTED_VALUE"""),154)</f>
        <v>154</v>
      </c>
      <c r="P193" s="1">
        <f ca="1">IFERROR(__xludf.DUMMYFUNCTION("""COMPUTED_VALUE"""),104.4)</f>
        <v>104.4</v>
      </c>
      <c r="Q193" s="1">
        <f ca="1">IFERROR(__xludf.DUMMYFUNCTION("""COMPUTED_VALUE"""),102)</f>
        <v>102</v>
      </c>
      <c r="R193" s="1">
        <f ca="1">IFERROR(__xludf.DUMMYFUNCTION("""COMPUTED_VALUE"""),104.2)</f>
        <v>104.2</v>
      </c>
      <c r="S193" s="1">
        <f ca="1">IFERROR(__xludf.DUMMYFUNCTION("""COMPUTED_VALUE"""),192)</f>
        <v>192</v>
      </c>
      <c r="T193" s="1" t="str">
        <f ca="1">IFERROR(__xludf.DUMMYFUNCTION("""COMPUTED_VALUE"""),"+0.81")</f>
        <v>+0.81</v>
      </c>
      <c r="U193" s="1">
        <f ca="1">IFERROR(__xludf.DUMMYFUNCTION("""COMPUTED_VALUE"""),135)</f>
        <v>135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IFERROR(__xludf.DUMMYFUNCTION("""COMPUTED_VALUE"""),"Loyola MD")</f>
        <v>Loyola MD</v>
      </c>
      <c r="C194" s="1" t="str">
        <f ca="1">IFERROR(__xludf.DUMMYFUNCTION("""COMPUTED_VALUE"""),"MAAC")</f>
        <v>MAAC</v>
      </c>
      <c r="D194" s="1" t="str">
        <f ca="1">IFERROR(__xludf.DUMMYFUNCTION("""COMPUTED_VALUE"""),"15-13")</f>
        <v>15-13</v>
      </c>
      <c r="E194" s="1">
        <f ca="1">IFERROR(__xludf.DUMMYFUNCTION("""COMPUTED_VALUE"""),-2.13)</f>
        <v>-2.13</v>
      </c>
      <c r="F194" s="1">
        <f ca="1">IFERROR(__xludf.DUMMYFUNCTION("""COMPUTED_VALUE"""),105.3)</f>
        <v>105.3</v>
      </c>
      <c r="G194" s="1">
        <f ca="1">IFERROR(__xludf.DUMMYFUNCTION("""COMPUTED_VALUE"""),128)</f>
        <v>128</v>
      </c>
      <c r="H194" s="1">
        <f ca="1">IFERROR(__xludf.DUMMYFUNCTION("""COMPUTED_VALUE"""),107.4)</f>
        <v>107.4</v>
      </c>
      <c r="I194" s="1">
        <f ca="1">IFERROR(__xludf.DUMMYFUNCTION("""COMPUTED_VALUE"""),247)</f>
        <v>247</v>
      </c>
      <c r="J194" s="1">
        <f ca="1">IFERROR(__xludf.DUMMYFUNCTION("""COMPUTED_VALUE"""),68.8)</f>
        <v>68.8</v>
      </c>
      <c r="K194" s="1">
        <f ca="1">IFERROR(__xludf.DUMMYFUNCTION("""COMPUTED_VALUE"""),48)</f>
        <v>48</v>
      </c>
      <c r="L194" s="1" t="str">
        <f ca="1">IFERROR(__xludf.DUMMYFUNCTION("""COMPUTED_VALUE"""),"+.076")</f>
        <v>+.076</v>
      </c>
      <c r="M194" s="1">
        <f ca="1">IFERROR(__xludf.DUMMYFUNCTION("""COMPUTED_VALUE"""),28)</f>
        <v>28</v>
      </c>
      <c r="N194" s="1">
        <f ca="1">IFERROR(__xludf.DUMMYFUNCTION("""COMPUTED_VALUE"""),-1.68)</f>
        <v>-1.68</v>
      </c>
      <c r="O194" s="1">
        <f ca="1">IFERROR(__xludf.DUMMYFUNCTION("""COMPUTED_VALUE"""),193)</f>
        <v>193</v>
      </c>
      <c r="P194" s="1">
        <f ca="1">IFERROR(__xludf.DUMMYFUNCTION("""COMPUTED_VALUE"""),104.5)</f>
        <v>104.5</v>
      </c>
      <c r="Q194" s="1">
        <f ca="1">IFERROR(__xludf.DUMMYFUNCTION("""COMPUTED_VALUE"""),99)</f>
        <v>99</v>
      </c>
      <c r="R194" s="1">
        <f ca="1">IFERROR(__xludf.DUMMYFUNCTION("""COMPUTED_VALUE"""),106.2)</f>
        <v>106.2</v>
      </c>
      <c r="S194" s="1">
        <f ca="1">IFERROR(__xludf.DUMMYFUNCTION("""COMPUTED_VALUE"""),288)</f>
        <v>288</v>
      </c>
      <c r="T194" s="1">
        <f ca="1">IFERROR(__xludf.DUMMYFUNCTION("""COMPUTED_VALUE"""),-4.41)</f>
        <v>-4.41</v>
      </c>
      <c r="U194" s="1">
        <f ca="1">IFERROR(__xludf.DUMMYFUNCTION("""COMPUTED_VALUE"""),266)</f>
        <v>266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IFERROR(__xludf.DUMMYFUNCTION("""COMPUTED_VALUE"""),"Stephen F. Austin")</f>
        <v>Stephen F. Austin</v>
      </c>
      <c r="C195" s="1" t="str">
        <f ca="1">IFERROR(__xludf.DUMMYFUNCTION("""COMPUTED_VALUE"""),"Slnd")</f>
        <v>Slnd</v>
      </c>
      <c r="D195" s="1" t="str">
        <f ca="1">IFERROR(__xludf.DUMMYFUNCTION("""COMPUTED_VALUE"""),"17-12")</f>
        <v>17-12</v>
      </c>
      <c r="E195" s="1">
        <f ca="1">IFERROR(__xludf.DUMMYFUNCTION("""COMPUTED_VALUE"""),-2.23)</f>
        <v>-2.23</v>
      </c>
      <c r="F195" s="1">
        <f ca="1">IFERROR(__xludf.DUMMYFUNCTION("""COMPUTED_VALUE"""),102.8)</f>
        <v>102.8</v>
      </c>
      <c r="G195" s="1">
        <f ca="1">IFERROR(__xludf.DUMMYFUNCTION("""COMPUTED_VALUE"""),172)</f>
        <v>172</v>
      </c>
      <c r="H195" s="1">
        <f ca="1">IFERROR(__xludf.DUMMYFUNCTION("""COMPUTED_VALUE"""),105)</f>
        <v>105</v>
      </c>
      <c r="I195" s="1">
        <f ca="1">IFERROR(__xludf.DUMMYFUNCTION("""COMPUTED_VALUE"""),198)</f>
        <v>198</v>
      </c>
      <c r="J195" s="1">
        <f ca="1">IFERROR(__xludf.DUMMYFUNCTION("""COMPUTED_VALUE"""),63.4)</f>
        <v>63.4</v>
      </c>
      <c r="K195" s="1">
        <f ca="1">IFERROR(__xludf.DUMMYFUNCTION("""COMPUTED_VALUE"""),248)</f>
        <v>248</v>
      </c>
      <c r="L195" s="1">
        <f ca="1">IFERROR(__xludf.DUMMYFUNCTION("""COMPUTED_VALUE"""),-0.09)</f>
        <v>-0.09</v>
      </c>
      <c r="M195" s="1">
        <f ca="1">IFERROR(__xludf.DUMMYFUNCTION("""COMPUTED_VALUE"""),313)</f>
        <v>313</v>
      </c>
      <c r="N195" s="1">
        <f ca="1">IFERROR(__xludf.DUMMYFUNCTION("""COMPUTED_VALUE"""),-7.96)</f>
        <v>-7.96</v>
      </c>
      <c r="O195" s="1">
        <f ca="1">IFERROR(__xludf.DUMMYFUNCTION("""COMPUTED_VALUE"""),305)</f>
        <v>305</v>
      </c>
      <c r="P195" s="1">
        <f ca="1">IFERROR(__xludf.DUMMYFUNCTION("""COMPUTED_VALUE"""),98.1)</f>
        <v>98.1</v>
      </c>
      <c r="Q195" s="1">
        <f ca="1">IFERROR(__xludf.DUMMYFUNCTION("""COMPUTED_VALUE"""),307)</f>
        <v>307</v>
      </c>
      <c r="R195" s="1">
        <f ca="1">IFERROR(__xludf.DUMMYFUNCTION("""COMPUTED_VALUE"""),106.1)</f>
        <v>106.1</v>
      </c>
      <c r="S195" s="1">
        <f ca="1">IFERROR(__xludf.DUMMYFUNCTION("""COMPUTED_VALUE"""),278)</f>
        <v>278</v>
      </c>
      <c r="T195" s="1">
        <f ca="1">IFERROR(__xludf.DUMMYFUNCTION("""COMPUTED_VALUE"""),-7.41)</f>
        <v>-7.41</v>
      </c>
      <c r="U195" s="1">
        <f ca="1">IFERROR(__xludf.DUMMYFUNCTION("""COMPUTED_VALUE"""),312)</f>
        <v>312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IFERROR(__xludf.DUMMYFUNCTION("""COMPUTED_VALUE"""),"Birmingham Southern")</f>
        <v>Birmingham Southern</v>
      </c>
      <c r="C196" s="1" t="str">
        <f ca="1">IFERROR(__xludf.DUMMYFUNCTION("""COMPUTED_VALUE"""),"BSth")</f>
        <v>BSth</v>
      </c>
      <c r="D196" s="1" t="str">
        <f ca="1">IFERROR(__xludf.DUMMYFUNCTION("""COMPUTED_VALUE"""),"19-9")</f>
        <v>19-9</v>
      </c>
      <c r="E196" s="1">
        <f ca="1">IFERROR(__xludf.DUMMYFUNCTION("""COMPUTED_VALUE"""),-2.26)</f>
        <v>-2.2599999999999998</v>
      </c>
      <c r="F196" s="1">
        <f ca="1">IFERROR(__xludf.DUMMYFUNCTION("""COMPUTED_VALUE"""),109)</f>
        <v>109</v>
      </c>
      <c r="G196" s="1">
        <f ca="1">IFERROR(__xludf.DUMMYFUNCTION("""COMPUTED_VALUE"""),74)</f>
        <v>74</v>
      </c>
      <c r="H196" s="1">
        <f ca="1">IFERROR(__xludf.DUMMYFUNCTION("""COMPUTED_VALUE"""),111.2)</f>
        <v>111.2</v>
      </c>
      <c r="I196" s="1">
        <f ca="1">IFERROR(__xludf.DUMMYFUNCTION("""COMPUTED_VALUE"""),303)</f>
        <v>303</v>
      </c>
      <c r="J196" s="1">
        <f ca="1">IFERROR(__xludf.DUMMYFUNCTION("""COMPUTED_VALUE"""),58.2)</f>
        <v>58.2</v>
      </c>
      <c r="K196" s="1">
        <f ca="1">IFERROR(__xludf.DUMMYFUNCTION("""COMPUTED_VALUE"""),327)</f>
        <v>327</v>
      </c>
      <c r="L196" s="1" t="str">
        <f ca="1">IFERROR(__xludf.DUMMYFUNCTION("""COMPUTED_VALUE"""),"+.088")</f>
        <v>+.088</v>
      </c>
      <c r="M196" s="1">
        <f ca="1">IFERROR(__xludf.DUMMYFUNCTION("""COMPUTED_VALUE"""),15)</f>
        <v>15</v>
      </c>
      <c r="N196" s="1">
        <f ca="1">IFERROR(__xludf.DUMMYFUNCTION("""COMPUTED_VALUE"""),-8.33)</f>
        <v>-8.33</v>
      </c>
      <c r="O196" s="1">
        <f ca="1">IFERROR(__xludf.DUMMYFUNCTION("""COMPUTED_VALUE"""),308)</f>
        <v>308</v>
      </c>
      <c r="P196" s="1">
        <f ca="1">IFERROR(__xludf.DUMMYFUNCTION("""COMPUTED_VALUE"""),99.3)</f>
        <v>99.3</v>
      </c>
      <c r="Q196" s="1">
        <f ca="1">IFERROR(__xludf.DUMMYFUNCTION("""COMPUTED_VALUE"""),285)</f>
        <v>285</v>
      </c>
      <c r="R196" s="1">
        <f ca="1">IFERROR(__xludf.DUMMYFUNCTION("""COMPUTED_VALUE"""),107.6)</f>
        <v>107.6</v>
      </c>
      <c r="S196" s="1">
        <f ca="1">IFERROR(__xludf.DUMMYFUNCTION("""COMPUTED_VALUE"""),323)</f>
        <v>323</v>
      </c>
      <c r="T196" s="1">
        <f ca="1">IFERROR(__xludf.DUMMYFUNCTION("""COMPUTED_VALUE"""),-5.8)</f>
        <v>-5.8</v>
      </c>
      <c r="U196" s="1">
        <f ca="1">IFERROR(__xludf.DUMMYFUNCTION("""COMPUTED_VALUE"""),288)</f>
        <v>288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IFERROR(__xludf.DUMMYFUNCTION("""COMPUTED_VALUE"""),"SMU")</f>
        <v>SMU</v>
      </c>
      <c r="C197" s="1" t="str">
        <f ca="1">IFERROR(__xludf.DUMMYFUNCTION("""COMPUTED_VALUE"""),"CUSA")</f>
        <v>CUSA</v>
      </c>
      <c r="D197" s="1" t="str">
        <f ca="1">IFERROR(__xludf.DUMMYFUNCTION("""COMPUTED_VALUE"""),"13-16")</f>
        <v>13-16</v>
      </c>
      <c r="E197" s="1">
        <f ca="1">IFERROR(__xludf.DUMMYFUNCTION("""COMPUTED_VALUE"""),-2.4)</f>
        <v>-2.4</v>
      </c>
      <c r="F197" s="1">
        <f ca="1">IFERROR(__xludf.DUMMYFUNCTION("""COMPUTED_VALUE"""),98.3)</f>
        <v>98.3</v>
      </c>
      <c r="G197" s="1">
        <f ca="1">IFERROR(__xludf.DUMMYFUNCTION("""COMPUTED_VALUE"""),242)</f>
        <v>242</v>
      </c>
      <c r="H197" s="1">
        <f ca="1">IFERROR(__xludf.DUMMYFUNCTION("""COMPUTED_VALUE"""),100.7)</f>
        <v>100.7</v>
      </c>
      <c r="I197" s="1">
        <f ca="1">IFERROR(__xludf.DUMMYFUNCTION("""COMPUTED_VALUE"""),125)</f>
        <v>125</v>
      </c>
      <c r="J197" s="1">
        <f ca="1">IFERROR(__xludf.DUMMYFUNCTION("""COMPUTED_VALUE"""),64.6)</f>
        <v>64.599999999999994</v>
      </c>
      <c r="K197" s="1">
        <f ca="1">IFERROR(__xludf.DUMMYFUNCTION("""COMPUTED_VALUE"""),208)</f>
        <v>208</v>
      </c>
      <c r="L197" s="1">
        <f ca="1">IFERROR(__xludf.DUMMYFUNCTION("""COMPUTED_VALUE"""),-0.113)</f>
        <v>-0.113</v>
      </c>
      <c r="M197" s="1">
        <f ca="1">IFERROR(__xludf.DUMMYFUNCTION("""COMPUTED_VALUE"""),329)</f>
        <v>329</v>
      </c>
      <c r="N197" s="1">
        <f ca="1">IFERROR(__xludf.DUMMYFUNCTION("""COMPUTED_VALUE"""),-4.3)</f>
        <v>-4.3</v>
      </c>
      <c r="O197" s="1">
        <f ca="1">IFERROR(__xludf.DUMMYFUNCTION("""COMPUTED_VALUE"""),239)</f>
        <v>239</v>
      </c>
      <c r="P197" s="1">
        <f ca="1">IFERROR(__xludf.DUMMYFUNCTION("""COMPUTED_VALUE"""),98.6)</f>
        <v>98.6</v>
      </c>
      <c r="Q197" s="1">
        <f ca="1">IFERROR(__xludf.DUMMYFUNCTION("""COMPUTED_VALUE"""),297)</f>
        <v>297</v>
      </c>
      <c r="R197" s="1">
        <f ca="1">IFERROR(__xludf.DUMMYFUNCTION("""COMPUTED_VALUE"""),102.9)</f>
        <v>102.9</v>
      </c>
      <c r="S197" s="1">
        <f ca="1">IFERROR(__xludf.DUMMYFUNCTION("""COMPUTED_VALUE"""),155)</f>
        <v>155</v>
      </c>
      <c r="T197" s="1">
        <f ca="1">IFERROR(__xludf.DUMMYFUNCTION("""COMPUTED_VALUE"""),-10.33)</f>
        <v>-10.33</v>
      </c>
      <c r="U197" s="1">
        <f ca="1">IFERROR(__xludf.DUMMYFUNCTION("""COMPUTED_VALUE"""),328)</f>
        <v>328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IFERROR(__xludf.DUMMYFUNCTION("""COMPUTED_VALUE"""),"Evansville")</f>
        <v>Evansville</v>
      </c>
      <c r="C198" s="1" t="str">
        <f ca="1">IFERROR(__xludf.DUMMYFUNCTION("""COMPUTED_VALUE"""),"MVC")</f>
        <v>MVC</v>
      </c>
      <c r="D198" s="2">
        <f ca="1">IFERROR(__xludf.DUMMYFUNCTION("""COMPUTED_VALUE"""),44853)</f>
        <v>44853</v>
      </c>
      <c r="E198" s="1">
        <f ca="1">IFERROR(__xludf.DUMMYFUNCTION("""COMPUTED_VALUE"""),-2.42)</f>
        <v>-2.42</v>
      </c>
      <c r="F198" s="1">
        <f ca="1">IFERROR(__xludf.DUMMYFUNCTION("""COMPUTED_VALUE"""),100.4)</f>
        <v>100.4</v>
      </c>
      <c r="G198" s="1">
        <f ca="1">IFERROR(__xludf.DUMMYFUNCTION("""COMPUTED_VALUE"""),208)</f>
        <v>208</v>
      </c>
      <c r="H198" s="1">
        <f ca="1">IFERROR(__xludf.DUMMYFUNCTION("""COMPUTED_VALUE"""),102.9)</f>
        <v>102.9</v>
      </c>
      <c r="I198" s="1">
        <f ca="1">IFERROR(__xludf.DUMMYFUNCTION("""COMPUTED_VALUE"""),164)</f>
        <v>164</v>
      </c>
      <c r="J198" s="1">
        <f ca="1">IFERROR(__xludf.DUMMYFUNCTION("""COMPUTED_VALUE"""),67.4)</f>
        <v>67.400000000000006</v>
      </c>
      <c r="K198" s="1">
        <f ca="1">IFERROR(__xludf.DUMMYFUNCTION("""COMPUTED_VALUE"""),91)</f>
        <v>91</v>
      </c>
      <c r="L198" s="1" t="str">
        <f ca="1">IFERROR(__xludf.DUMMYFUNCTION("""COMPUTED_VALUE"""),"+.046")</f>
        <v>+.046</v>
      </c>
      <c r="M198" s="1">
        <f ca="1">IFERROR(__xludf.DUMMYFUNCTION("""COMPUTED_VALUE"""),62)</f>
        <v>62</v>
      </c>
      <c r="N198" s="1" t="str">
        <f ca="1">IFERROR(__xludf.DUMMYFUNCTION("""COMPUTED_VALUE"""),"+4.64")</f>
        <v>+4.64</v>
      </c>
      <c r="O198" s="1">
        <f ca="1">IFERROR(__xludf.DUMMYFUNCTION("""COMPUTED_VALUE"""),81)</f>
        <v>81</v>
      </c>
      <c r="P198" s="1">
        <f ca="1">IFERROR(__xludf.DUMMYFUNCTION("""COMPUTED_VALUE"""),103.7)</f>
        <v>103.7</v>
      </c>
      <c r="Q198" s="1">
        <f ca="1">IFERROR(__xludf.DUMMYFUNCTION("""COMPUTED_VALUE"""),140)</f>
        <v>140</v>
      </c>
      <c r="R198" s="1">
        <f ca="1">IFERROR(__xludf.DUMMYFUNCTION("""COMPUTED_VALUE"""),99)</f>
        <v>99</v>
      </c>
      <c r="S198" s="1">
        <f ca="1">IFERROR(__xludf.DUMMYFUNCTION("""COMPUTED_VALUE"""),34)</f>
        <v>34</v>
      </c>
      <c r="T198" s="1">
        <f ca="1">IFERROR(__xludf.DUMMYFUNCTION("""COMPUTED_VALUE"""),-5.9)</f>
        <v>-5.9</v>
      </c>
      <c r="U198" s="1">
        <f ca="1">IFERROR(__xludf.DUMMYFUNCTION("""COMPUTED_VALUE"""),290)</f>
        <v>290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IFERROR(__xludf.DUMMYFUNCTION("""COMPUTED_VALUE"""),"Southeastern Louisiana")</f>
        <v>Southeastern Louisiana</v>
      </c>
      <c r="C199" s="1" t="str">
        <f ca="1">IFERROR(__xludf.DUMMYFUNCTION("""COMPUTED_VALUE"""),"Slnd")</f>
        <v>Slnd</v>
      </c>
      <c r="D199" s="1" t="str">
        <f ca="1">IFERROR(__xludf.DUMMYFUNCTION("""COMPUTED_VALUE"""),"16-12")</f>
        <v>16-12</v>
      </c>
      <c r="E199" s="1">
        <f ca="1">IFERROR(__xludf.DUMMYFUNCTION("""COMPUTED_VALUE"""),-2.64)</f>
        <v>-2.64</v>
      </c>
      <c r="F199" s="1">
        <f ca="1">IFERROR(__xludf.DUMMYFUNCTION("""COMPUTED_VALUE"""),101)</f>
        <v>101</v>
      </c>
      <c r="G199" s="1">
        <f ca="1">IFERROR(__xludf.DUMMYFUNCTION("""COMPUTED_VALUE"""),202)</f>
        <v>202</v>
      </c>
      <c r="H199" s="1">
        <f ca="1">IFERROR(__xludf.DUMMYFUNCTION("""COMPUTED_VALUE"""),103.6)</f>
        <v>103.6</v>
      </c>
      <c r="I199" s="1">
        <f ca="1">IFERROR(__xludf.DUMMYFUNCTION("""COMPUTED_VALUE"""),181)</f>
        <v>181</v>
      </c>
      <c r="J199" s="1">
        <f ca="1">IFERROR(__xludf.DUMMYFUNCTION("""COMPUTED_VALUE"""),61.6)</f>
        <v>61.6</v>
      </c>
      <c r="K199" s="1">
        <f ca="1">IFERROR(__xludf.DUMMYFUNCTION("""COMPUTED_VALUE"""),300)</f>
        <v>300</v>
      </c>
      <c r="L199" s="1" t="str">
        <f ca="1">IFERROR(__xludf.DUMMYFUNCTION("""COMPUTED_VALUE"""),"+.000")</f>
        <v>+.000</v>
      </c>
      <c r="M199" s="1">
        <f ca="1">IFERROR(__xludf.DUMMYFUNCTION("""COMPUTED_VALUE"""),169)</f>
        <v>169</v>
      </c>
      <c r="N199" s="1">
        <f ca="1">IFERROR(__xludf.DUMMYFUNCTION("""COMPUTED_VALUE"""),-4.97)</f>
        <v>-4.97</v>
      </c>
      <c r="O199" s="1">
        <f ca="1">IFERROR(__xludf.DUMMYFUNCTION("""COMPUTED_VALUE"""),252)</f>
        <v>252</v>
      </c>
      <c r="P199" s="1">
        <f ca="1">IFERROR(__xludf.DUMMYFUNCTION("""COMPUTED_VALUE"""),100.5)</f>
        <v>100.5</v>
      </c>
      <c r="Q199" s="1">
        <f ca="1">IFERROR(__xludf.DUMMYFUNCTION("""COMPUTED_VALUE"""),255)</f>
        <v>255</v>
      </c>
      <c r="R199" s="1">
        <f ca="1">IFERROR(__xludf.DUMMYFUNCTION("""COMPUTED_VALUE"""),105.5)</f>
        <v>105.5</v>
      </c>
      <c r="S199" s="1">
        <f ca="1">IFERROR(__xludf.DUMMYFUNCTION("""COMPUTED_VALUE"""),258)</f>
        <v>258</v>
      </c>
      <c r="T199" s="1" t="str">
        <f ca="1">IFERROR(__xludf.DUMMYFUNCTION("""COMPUTED_VALUE"""),"+1.46")</f>
        <v>+1.46</v>
      </c>
      <c r="U199" s="1">
        <f ca="1">IFERROR(__xludf.DUMMYFUNCTION("""COMPUTED_VALUE"""),121)</f>
        <v>121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IFERROR(__xludf.DUMMYFUNCTION("""COMPUTED_VALUE"""),"UCF")</f>
        <v>UCF</v>
      </c>
      <c r="C200" s="1" t="str">
        <f ca="1">IFERROR(__xludf.DUMMYFUNCTION("""COMPUTED_VALUE"""),"CUSA")</f>
        <v>CUSA</v>
      </c>
      <c r="D200" s="1" t="str">
        <f ca="1">IFERROR(__xludf.DUMMYFUNCTION("""COMPUTED_VALUE"""),"14-15")</f>
        <v>14-15</v>
      </c>
      <c r="E200" s="1">
        <f ca="1">IFERROR(__xludf.DUMMYFUNCTION("""COMPUTED_VALUE"""),-2.74)</f>
        <v>-2.74</v>
      </c>
      <c r="F200" s="1">
        <f ca="1">IFERROR(__xludf.DUMMYFUNCTION("""COMPUTED_VALUE"""),99.9)</f>
        <v>99.9</v>
      </c>
      <c r="G200" s="1">
        <f ca="1">IFERROR(__xludf.DUMMYFUNCTION("""COMPUTED_VALUE"""),219)</f>
        <v>219</v>
      </c>
      <c r="H200" s="1">
        <f ca="1">IFERROR(__xludf.DUMMYFUNCTION("""COMPUTED_VALUE"""),102.6)</f>
        <v>102.6</v>
      </c>
      <c r="I200" s="1">
        <f ca="1">IFERROR(__xludf.DUMMYFUNCTION("""COMPUTED_VALUE"""),158)</f>
        <v>158</v>
      </c>
      <c r="J200" s="1">
        <f ca="1">IFERROR(__xludf.DUMMYFUNCTION("""COMPUTED_VALUE"""),62)</f>
        <v>62</v>
      </c>
      <c r="K200" s="1">
        <f ca="1">IFERROR(__xludf.DUMMYFUNCTION("""COMPUTED_VALUE"""),288)</f>
        <v>288</v>
      </c>
      <c r="L200" s="1">
        <f ca="1">IFERROR(__xludf.DUMMYFUNCTION("""COMPUTED_VALUE"""),-0.027)</f>
        <v>-2.7E-2</v>
      </c>
      <c r="M200" s="1">
        <f ca="1">IFERROR(__xludf.DUMMYFUNCTION("""COMPUTED_VALUE"""),232)</f>
        <v>232</v>
      </c>
      <c r="N200" s="1">
        <f ca="1">IFERROR(__xludf.DUMMYFUNCTION("""COMPUTED_VALUE"""),-3.23)</f>
        <v>-3.23</v>
      </c>
      <c r="O200" s="1">
        <f ca="1">IFERROR(__xludf.DUMMYFUNCTION("""COMPUTED_VALUE"""),216)</f>
        <v>216</v>
      </c>
      <c r="P200" s="1">
        <f ca="1">IFERROR(__xludf.DUMMYFUNCTION("""COMPUTED_VALUE"""),100.1)</f>
        <v>100.1</v>
      </c>
      <c r="Q200" s="1">
        <f ca="1">IFERROR(__xludf.DUMMYFUNCTION("""COMPUTED_VALUE"""),270)</f>
        <v>270</v>
      </c>
      <c r="R200" s="1">
        <f ca="1">IFERROR(__xludf.DUMMYFUNCTION("""COMPUTED_VALUE"""),103.3)</f>
        <v>103.3</v>
      </c>
      <c r="S200" s="1">
        <f ca="1">IFERROR(__xludf.DUMMYFUNCTION("""COMPUTED_VALUE"""),163)</f>
        <v>163</v>
      </c>
      <c r="T200" s="1">
        <f ca="1">IFERROR(__xludf.DUMMYFUNCTION("""COMPUTED_VALUE"""),-7.62)</f>
        <v>-7.62</v>
      </c>
      <c r="U200" s="1">
        <f ca="1">IFERROR(__xludf.DUMMYFUNCTION("""COMPUTED_VALUE"""),314)</f>
        <v>314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IFERROR(__xludf.DUMMYFUNCTION("""COMPUTED_VALUE"""),"UT Arlington")</f>
        <v>UT Arlington</v>
      </c>
      <c r="C201" s="1" t="str">
        <f ca="1">IFERROR(__xludf.DUMMYFUNCTION("""COMPUTED_VALUE"""),"Slnd")</f>
        <v>Slnd</v>
      </c>
      <c r="D201" s="1" t="str">
        <f ca="1">IFERROR(__xludf.DUMMYFUNCTION("""COMPUTED_VALUE"""),"14-16")</f>
        <v>14-16</v>
      </c>
      <c r="E201" s="1">
        <f ca="1">IFERROR(__xludf.DUMMYFUNCTION("""COMPUTED_VALUE"""),-2.86)</f>
        <v>-2.86</v>
      </c>
      <c r="F201" s="1">
        <f ca="1">IFERROR(__xludf.DUMMYFUNCTION("""COMPUTED_VALUE"""),102.5)</f>
        <v>102.5</v>
      </c>
      <c r="G201" s="1">
        <f ca="1">IFERROR(__xludf.DUMMYFUNCTION("""COMPUTED_VALUE"""),179)</f>
        <v>179</v>
      </c>
      <c r="H201" s="1">
        <f ca="1">IFERROR(__xludf.DUMMYFUNCTION("""COMPUTED_VALUE"""),105.3)</f>
        <v>105.3</v>
      </c>
      <c r="I201" s="1">
        <f ca="1">IFERROR(__xludf.DUMMYFUNCTION("""COMPUTED_VALUE"""),205)</f>
        <v>205</v>
      </c>
      <c r="J201" s="1">
        <f ca="1">IFERROR(__xludf.DUMMYFUNCTION("""COMPUTED_VALUE"""),66.2)</f>
        <v>66.2</v>
      </c>
      <c r="K201" s="1">
        <f ca="1">IFERROR(__xludf.DUMMYFUNCTION("""COMPUTED_VALUE"""),125)</f>
        <v>125</v>
      </c>
      <c r="L201" s="1">
        <f ca="1">IFERROR(__xludf.DUMMYFUNCTION("""COMPUTED_VALUE"""),-0.07)</f>
        <v>-7.0000000000000007E-2</v>
      </c>
      <c r="M201" s="1">
        <f ca="1">IFERROR(__xludf.DUMMYFUNCTION("""COMPUTED_VALUE"""),306)</f>
        <v>306</v>
      </c>
      <c r="N201" s="1">
        <f ca="1">IFERROR(__xludf.DUMMYFUNCTION("""COMPUTED_VALUE"""),-1.85)</f>
        <v>-1.85</v>
      </c>
      <c r="O201" s="1">
        <f ca="1">IFERROR(__xludf.DUMMYFUNCTION("""COMPUTED_VALUE"""),197)</f>
        <v>197</v>
      </c>
      <c r="P201" s="1">
        <f ca="1">IFERROR(__xludf.DUMMYFUNCTION("""COMPUTED_VALUE"""),102.3)</f>
        <v>102.3</v>
      </c>
      <c r="Q201" s="1">
        <f ca="1">IFERROR(__xludf.DUMMYFUNCTION("""COMPUTED_VALUE"""),197)</f>
        <v>197</v>
      </c>
      <c r="R201" s="1">
        <f ca="1">IFERROR(__xludf.DUMMYFUNCTION("""COMPUTED_VALUE"""),104.1)</f>
        <v>104.1</v>
      </c>
      <c r="S201" s="1">
        <f ca="1">IFERROR(__xludf.DUMMYFUNCTION("""COMPUTED_VALUE"""),190)</f>
        <v>190</v>
      </c>
      <c r="T201" s="1" t="str">
        <f ca="1">IFERROR(__xludf.DUMMYFUNCTION("""COMPUTED_VALUE"""),"+5.98")</f>
        <v>+5.98</v>
      </c>
      <c r="U201" s="1">
        <f ca="1">IFERROR(__xludf.DUMMYFUNCTION("""COMPUTED_VALUE"""),41)</f>
        <v>41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IFERROR(__xludf.DUMMYFUNCTION("""COMPUTED_VALUE"""),"Lehigh")</f>
        <v>Lehigh</v>
      </c>
      <c r="C202" s="1" t="str">
        <f ca="1">IFERROR(__xludf.DUMMYFUNCTION("""COMPUTED_VALUE"""),"Pat")</f>
        <v>Pat</v>
      </c>
      <c r="D202" s="1" t="str">
        <f ca="1">IFERROR(__xludf.DUMMYFUNCTION("""COMPUTED_VALUE"""),"19-12")</f>
        <v>19-12</v>
      </c>
      <c r="E202" s="1">
        <f ca="1">IFERROR(__xludf.DUMMYFUNCTION("""COMPUTED_VALUE"""),-3.05)</f>
        <v>-3.05</v>
      </c>
      <c r="F202" s="1">
        <f ca="1">IFERROR(__xludf.DUMMYFUNCTION("""COMPUTED_VALUE"""),96.8)</f>
        <v>96.8</v>
      </c>
      <c r="G202" s="1">
        <f ca="1">IFERROR(__xludf.DUMMYFUNCTION("""COMPUTED_VALUE"""),271)</f>
        <v>271</v>
      </c>
      <c r="H202" s="1">
        <f ca="1">IFERROR(__xludf.DUMMYFUNCTION("""COMPUTED_VALUE"""),99.8)</f>
        <v>99.8</v>
      </c>
      <c r="I202" s="1">
        <f ca="1">IFERROR(__xludf.DUMMYFUNCTION("""COMPUTED_VALUE"""),110)</f>
        <v>110</v>
      </c>
      <c r="J202" s="1">
        <f ca="1">IFERROR(__xludf.DUMMYFUNCTION("""COMPUTED_VALUE"""),63.7)</f>
        <v>63.7</v>
      </c>
      <c r="K202" s="1">
        <f ca="1">IFERROR(__xludf.DUMMYFUNCTION("""COMPUTED_VALUE"""),243)</f>
        <v>243</v>
      </c>
      <c r="L202" s="1" t="str">
        <f ca="1">IFERROR(__xludf.DUMMYFUNCTION("""COMPUTED_VALUE"""),"+.065")</f>
        <v>+.065</v>
      </c>
      <c r="M202" s="1">
        <f ca="1">IFERROR(__xludf.DUMMYFUNCTION("""COMPUTED_VALUE"""),37)</f>
        <v>37</v>
      </c>
      <c r="N202" s="1">
        <f ca="1">IFERROR(__xludf.DUMMYFUNCTION("""COMPUTED_VALUE"""),-6.77)</f>
        <v>-6.77</v>
      </c>
      <c r="O202" s="1">
        <f ca="1">IFERROR(__xludf.DUMMYFUNCTION("""COMPUTED_VALUE"""),283)</f>
        <v>283</v>
      </c>
      <c r="P202" s="1">
        <f ca="1">IFERROR(__xludf.DUMMYFUNCTION("""COMPUTED_VALUE"""),98.2)</f>
        <v>98.2</v>
      </c>
      <c r="Q202" s="1">
        <f ca="1">IFERROR(__xludf.DUMMYFUNCTION("""COMPUTED_VALUE"""),305)</f>
        <v>305</v>
      </c>
      <c r="R202" s="1">
        <f ca="1">IFERROR(__xludf.DUMMYFUNCTION("""COMPUTED_VALUE"""),105)</f>
        <v>105</v>
      </c>
      <c r="S202" s="1">
        <f ca="1">IFERROR(__xludf.DUMMYFUNCTION("""COMPUTED_VALUE"""),224)</f>
        <v>224</v>
      </c>
      <c r="T202" s="1">
        <f ca="1">IFERROR(__xludf.DUMMYFUNCTION("""COMPUTED_VALUE"""),-4.09)</f>
        <v>-4.09</v>
      </c>
      <c r="U202" s="1">
        <f ca="1">IFERROR(__xludf.DUMMYFUNCTION("""COMPUTED_VALUE"""),258)</f>
        <v>258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IFERROR(__xludf.DUMMYFUNCTION("""COMPUTED_VALUE"""),"Green Bay")</f>
        <v>Green Bay</v>
      </c>
      <c r="C203" s="1" t="str">
        <f ca="1">IFERROR(__xludf.DUMMYFUNCTION("""COMPUTED_VALUE"""),"Horz")</f>
        <v>Horz</v>
      </c>
      <c r="D203" s="1" t="str">
        <f ca="1">IFERROR(__xludf.DUMMYFUNCTION("""COMPUTED_VALUE"""),"15-16")</f>
        <v>15-16</v>
      </c>
      <c r="E203" s="1">
        <f ca="1">IFERROR(__xludf.DUMMYFUNCTION("""COMPUTED_VALUE"""),-3.06)</f>
        <v>-3.06</v>
      </c>
      <c r="F203" s="1">
        <f ca="1">IFERROR(__xludf.DUMMYFUNCTION("""COMPUTED_VALUE"""),102.8)</f>
        <v>102.8</v>
      </c>
      <c r="G203" s="1">
        <f ca="1">IFERROR(__xludf.DUMMYFUNCTION("""COMPUTED_VALUE"""),170)</f>
        <v>170</v>
      </c>
      <c r="H203" s="1">
        <f ca="1">IFERROR(__xludf.DUMMYFUNCTION("""COMPUTED_VALUE"""),105.8)</f>
        <v>105.8</v>
      </c>
      <c r="I203" s="1">
        <f ca="1">IFERROR(__xludf.DUMMYFUNCTION("""COMPUTED_VALUE"""),217)</f>
        <v>217</v>
      </c>
      <c r="J203" s="1">
        <f ca="1">IFERROR(__xludf.DUMMYFUNCTION("""COMPUTED_VALUE"""),63.1)</f>
        <v>63.1</v>
      </c>
      <c r="K203" s="1">
        <f ca="1">IFERROR(__xludf.DUMMYFUNCTION("""COMPUTED_VALUE"""),257)</f>
        <v>257</v>
      </c>
      <c r="L203" s="1" t="str">
        <f ca="1">IFERROR(__xludf.DUMMYFUNCTION("""COMPUTED_VALUE"""),"+.056")</f>
        <v>+.056</v>
      </c>
      <c r="M203" s="1">
        <f ca="1">IFERROR(__xludf.DUMMYFUNCTION("""COMPUTED_VALUE"""),48)</f>
        <v>48</v>
      </c>
      <c r="N203" s="1">
        <f ca="1">IFERROR(__xludf.DUMMYFUNCTION("""COMPUTED_VALUE"""),-0.04)</f>
        <v>-0.04</v>
      </c>
      <c r="O203" s="1">
        <f ca="1">IFERROR(__xludf.DUMMYFUNCTION("""COMPUTED_VALUE"""),162)</f>
        <v>162</v>
      </c>
      <c r="P203" s="1">
        <f ca="1">IFERROR(__xludf.DUMMYFUNCTION("""COMPUTED_VALUE"""),104.2)</f>
        <v>104.2</v>
      </c>
      <c r="Q203" s="1">
        <f ca="1">IFERROR(__xludf.DUMMYFUNCTION("""COMPUTED_VALUE"""),117)</f>
        <v>117</v>
      </c>
      <c r="R203" s="1">
        <f ca="1">IFERROR(__xludf.DUMMYFUNCTION("""COMPUTED_VALUE"""),104.2)</f>
        <v>104.2</v>
      </c>
      <c r="S203" s="1">
        <f ca="1">IFERROR(__xludf.DUMMYFUNCTION("""COMPUTED_VALUE"""),194)</f>
        <v>194</v>
      </c>
      <c r="T203" s="1">
        <f ca="1">IFERROR(__xludf.DUMMYFUNCTION("""COMPUTED_VALUE"""),-0.53)</f>
        <v>-0.53</v>
      </c>
      <c r="U203" s="1">
        <f ca="1">IFERROR(__xludf.DUMMYFUNCTION("""COMPUTED_VALUE"""),165)</f>
        <v>165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IFERROR(__xludf.DUMMYFUNCTION("""COMPUTED_VALUE"""),"Binghamton")</f>
        <v>Binghamton</v>
      </c>
      <c r="C204" s="1" t="str">
        <f ca="1">IFERROR(__xludf.DUMMYFUNCTION("""COMPUTED_VALUE"""),"AE")</f>
        <v>AE</v>
      </c>
      <c r="D204" s="1" t="str">
        <f ca="1">IFERROR(__xludf.DUMMYFUNCTION("""COMPUTED_VALUE"""),"16-13")</f>
        <v>16-13</v>
      </c>
      <c r="E204" s="1">
        <f ca="1">IFERROR(__xludf.DUMMYFUNCTION("""COMPUTED_VALUE"""),-3.19)</f>
        <v>-3.19</v>
      </c>
      <c r="F204" s="1">
        <f ca="1">IFERROR(__xludf.DUMMYFUNCTION("""COMPUTED_VALUE"""),95.8)</f>
        <v>95.8</v>
      </c>
      <c r="G204" s="1">
        <f ca="1">IFERROR(__xludf.DUMMYFUNCTION("""COMPUTED_VALUE"""),276)</f>
        <v>276</v>
      </c>
      <c r="H204" s="1">
        <f ca="1">IFERROR(__xludf.DUMMYFUNCTION("""COMPUTED_VALUE"""),99)</f>
        <v>99</v>
      </c>
      <c r="I204" s="1">
        <f ca="1">IFERROR(__xludf.DUMMYFUNCTION("""COMPUTED_VALUE"""),96)</f>
        <v>96</v>
      </c>
      <c r="J204" s="1">
        <f ca="1">IFERROR(__xludf.DUMMYFUNCTION("""COMPUTED_VALUE"""),63.3)</f>
        <v>63.3</v>
      </c>
      <c r="K204" s="1">
        <f ca="1">IFERROR(__xludf.DUMMYFUNCTION("""COMPUTED_VALUE"""),253)</f>
        <v>253</v>
      </c>
      <c r="L204" s="1" t="str">
        <f ca="1">IFERROR(__xludf.DUMMYFUNCTION("""COMPUTED_VALUE"""),"+.015")</f>
        <v>+.015</v>
      </c>
      <c r="M204" s="1">
        <f ca="1">IFERROR(__xludf.DUMMYFUNCTION("""COMPUTED_VALUE"""),129)</f>
        <v>129</v>
      </c>
      <c r="N204" s="1">
        <f ca="1">IFERROR(__xludf.DUMMYFUNCTION("""COMPUTED_VALUE"""),-6.83)</f>
        <v>-6.83</v>
      </c>
      <c r="O204" s="1">
        <f ca="1">IFERROR(__xludf.DUMMYFUNCTION("""COMPUTED_VALUE"""),288)</f>
        <v>288</v>
      </c>
      <c r="P204" s="1">
        <f ca="1">IFERROR(__xludf.DUMMYFUNCTION("""COMPUTED_VALUE"""),100.1)</f>
        <v>100.1</v>
      </c>
      <c r="Q204" s="1">
        <f ca="1">IFERROR(__xludf.DUMMYFUNCTION("""COMPUTED_VALUE"""),268)</f>
        <v>268</v>
      </c>
      <c r="R204" s="1">
        <f ca="1">IFERROR(__xludf.DUMMYFUNCTION("""COMPUTED_VALUE"""),107)</f>
        <v>107</v>
      </c>
      <c r="S204" s="1">
        <f ca="1">IFERROR(__xludf.DUMMYFUNCTION("""COMPUTED_VALUE"""),310)</f>
        <v>310</v>
      </c>
      <c r="T204" s="1">
        <f ca="1">IFERROR(__xludf.DUMMYFUNCTION("""COMPUTED_VALUE"""),-1.6)</f>
        <v>-1.6</v>
      </c>
      <c r="U204" s="1">
        <f ca="1">IFERROR(__xludf.DUMMYFUNCTION("""COMPUTED_VALUE"""),200)</f>
        <v>200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IFERROR(__xludf.DUMMYFUNCTION("""COMPUTED_VALUE"""),"Austin Peay")</f>
        <v>Austin Peay</v>
      </c>
      <c r="C205" s="1" t="str">
        <f ca="1">IFERROR(__xludf.DUMMYFUNCTION("""COMPUTED_VALUE"""),"OVC")</f>
        <v>OVC</v>
      </c>
      <c r="D205" s="1" t="str">
        <f ca="1">IFERROR(__xludf.DUMMYFUNCTION("""COMPUTED_VALUE"""),"17-14")</f>
        <v>17-14</v>
      </c>
      <c r="E205" s="1">
        <f ca="1">IFERROR(__xludf.DUMMYFUNCTION("""COMPUTED_VALUE"""),-3.21)</f>
        <v>-3.21</v>
      </c>
      <c r="F205" s="1">
        <f ca="1">IFERROR(__xludf.DUMMYFUNCTION("""COMPUTED_VALUE"""),102.8)</f>
        <v>102.8</v>
      </c>
      <c r="G205" s="1">
        <f ca="1">IFERROR(__xludf.DUMMYFUNCTION("""COMPUTED_VALUE"""),171)</f>
        <v>171</v>
      </c>
      <c r="H205" s="1">
        <f ca="1">IFERROR(__xludf.DUMMYFUNCTION("""COMPUTED_VALUE"""),106)</f>
        <v>106</v>
      </c>
      <c r="I205" s="1">
        <f ca="1">IFERROR(__xludf.DUMMYFUNCTION("""COMPUTED_VALUE"""),219)</f>
        <v>219</v>
      </c>
      <c r="J205" s="1">
        <f ca="1">IFERROR(__xludf.DUMMYFUNCTION("""COMPUTED_VALUE"""),66.7)</f>
        <v>66.7</v>
      </c>
      <c r="K205" s="1">
        <f ca="1">IFERROR(__xludf.DUMMYFUNCTION("""COMPUTED_VALUE"""),110)</f>
        <v>110</v>
      </c>
      <c r="L205" s="1" t="str">
        <f ca="1">IFERROR(__xludf.DUMMYFUNCTION("""COMPUTED_VALUE"""),"+.032")</f>
        <v>+.032</v>
      </c>
      <c r="M205" s="1">
        <f ca="1">IFERROR(__xludf.DUMMYFUNCTION("""COMPUTED_VALUE"""),87)</f>
        <v>87</v>
      </c>
      <c r="N205" s="1">
        <f ca="1">IFERROR(__xludf.DUMMYFUNCTION("""COMPUTED_VALUE"""),-5.53)</f>
        <v>-5.53</v>
      </c>
      <c r="O205" s="1">
        <f ca="1">IFERROR(__xludf.DUMMYFUNCTION("""COMPUTED_VALUE"""),263)</f>
        <v>263</v>
      </c>
      <c r="P205" s="1">
        <f ca="1">IFERROR(__xludf.DUMMYFUNCTION("""COMPUTED_VALUE"""),101.6)</f>
        <v>101.6</v>
      </c>
      <c r="Q205" s="1">
        <f ca="1">IFERROR(__xludf.DUMMYFUNCTION("""COMPUTED_VALUE"""),221)</f>
        <v>221</v>
      </c>
      <c r="R205" s="1">
        <f ca="1">IFERROR(__xludf.DUMMYFUNCTION("""COMPUTED_VALUE"""),107.1)</f>
        <v>107.1</v>
      </c>
      <c r="S205" s="1">
        <f ca="1">IFERROR(__xludf.DUMMYFUNCTION("""COMPUTED_VALUE"""),312)</f>
        <v>312</v>
      </c>
      <c r="T205" s="1">
        <f ca="1">IFERROR(__xludf.DUMMYFUNCTION("""COMPUTED_VALUE"""),-1.38)</f>
        <v>-1.38</v>
      </c>
      <c r="U205" s="1">
        <f ca="1">IFERROR(__xludf.DUMMYFUNCTION("""COMPUTED_VALUE"""),195)</f>
        <v>195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IFERROR(__xludf.DUMMYFUNCTION("""COMPUTED_VALUE"""),"Vermont")</f>
        <v>Vermont</v>
      </c>
      <c r="C206" s="1" t="str">
        <f ca="1">IFERROR(__xludf.DUMMYFUNCTION("""COMPUTED_VALUE"""),"AE")</f>
        <v>AE</v>
      </c>
      <c r="D206" s="1" t="str">
        <f ca="1">IFERROR(__xludf.DUMMYFUNCTION("""COMPUTED_VALUE"""),"13-17")</f>
        <v>13-17</v>
      </c>
      <c r="E206" s="1">
        <f ca="1">IFERROR(__xludf.DUMMYFUNCTION("""COMPUTED_VALUE"""),-3.38)</f>
        <v>-3.38</v>
      </c>
      <c r="F206" s="1">
        <f ca="1">IFERROR(__xludf.DUMMYFUNCTION("""COMPUTED_VALUE"""),98.5)</f>
        <v>98.5</v>
      </c>
      <c r="G206" s="1">
        <f ca="1">IFERROR(__xludf.DUMMYFUNCTION("""COMPUTED_VALUE"""),239)</f>
        <v>239</v>
      </c>
      <c r="H206" s="1">
        <f ca="1">IFERROR(__xludf.DUMMYFUNCTION("""COMPUTED_VALUE"""),101.9)</f>
        <v>101.9</v>
      </c>
      <c r="I206" s="1">
        <f ca="1">IFERROR(__xludf.DUMMYFUNCTION("""COMPUTED_VALUE"""),149)</f>
        <v>149</v>
      </c>
      <c r="J206" s="1">
        <f ca="1">IFERROR(__xludf.DUMMYFUNCTION("""COMPUTED_VALUE"""),64.7)</f>
        <v>64.7</v>
      </c>
      <c r="K206" s="1">
        <f ca="1">IFERROR(__xludf.DUMMYFUNCTION("""COMPUTED_VALUE"""),197)</f>
        <v>197</v>
      </c>
      <c r="L206" s="1">
        <f ca="1">IFERROR(__xludf.DUMMYFUNCTION("""COMPUTED_VALUE"""),-0.067)</f>
        <v>-6.7000000000000004E-2</v>
      </c>
      <c r="M206" s="1">
        <f ca="1">IFERROR(__xludf.DUMMYFUNCTION("""COMPUTED_VALUE"""),303)</f>
        <v>303</v>
      </c>
      <c r="N206" s="1">
        <f ca="1">IFERROR(__xludf.DUMMYFUNCTION("""COMPUTED_VALUE"""),-3.85)</f>
        <v>-3.85</v>
      </c>
      <c r="O206" s="1">
        <f ca="1">IFERROR(__xludf.DUMMYFUNCTION("""COMPUTED_VALUE"""),230)</f>
        <v>230</v>
      </c>
      <c r="P206" s="1">
        <f ca="1">IFERROR(__xludf.DUMMYFUNCTION("""COMPUTED_VALUE"""),100.2)</f>
        <v>100.2</v>
      </c>
      <c r="Q206" s="1">
        <f ca="1">IFERROR(__xludf.DUMMYFUNCTION("""COMPUTED_VALUE"""),266)</f>
        <v>266</v>
      </c>
      <c r="R206" s="1">
        <f ca="1">IFERROR(__xludf.DUMMYFUNCTION("""COMPUTED_VALUE"""),104.1)</f>
        <v>104.1</v>
      </c>
      <c r="S206" s="1">
        <f ca="1">IFERROR(__xludf.DUMMYFUNCTION("""COMPUTED_VALUE"""),184)</f>
        <v>184</v>
      </c>
      <c r="T206" s="1" t="str">
        <f ca="1">IFERROR(__xludf.DUMMYFUNCTION("""COMPUTED_VALUE"""),"+2.34")</f>
        <v>+2.34</v>
      </c>
      <c r="U206" s="1">
        <f ca="1">IFERROR(__xludf.DUMMYFUNCTION("""COMPUTED_VALUE"""),88)</f>
        <v>88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IFERROR(__xludf.DUMMYFUNCTION("""COMPUTED_VALUE"""),"Southern16")</f>
        <v>Southern16</v>
      </c>
      <c r="C207" s="1" t="str">
        <f ca="1">IFERROR(__xludf.DUMMYFUNCTION("""COMPUTED_VALUE"""),"SWAC")</f>
        <v>SWAC</v>
      </c>
      <c r="D207" s="1" t="str">
        <f ca="1">IFERROR(__xludf.DUMMYFUNCTION("""COMPUTED_VALUE"""),"19-13")</f>
        <v>19-13</v>
      </c>
      <c r="E207" s="1">
        <f ca="1">IFERROR(__xludf.DUMMYFUNCTION("""COMPUTED_VALUE"""),-3.4)</f>
        <v>-3.4</v>
      </c>
      <c r="F207" s="1">
        <f ca="1">IFERROR(__xludf.DUMMYFUNCTION("""COMPUTED_VALUE"""),96.2)</f>
        <v>96.2</v>
      </c>
      <c r="G207" s="1">
        <f ca="1">IFERROR(__xludf.DUMMYFUNCTION("""COMPUTED_VALUE"""),274)</f>
        <v>274</v>
      </c>
      <c r="H207" s="1">
        <f ca="1">IFERROR(__xludf.DUMMYFUNCTION("""COMPUTED_VALUE"""),99.6)</f>
        <v>99.6</v>
      </c>
      <c r="I207" s="1">
        <f ca="1">IFERROR(__xludf.DUMMYFUNCTION("""COMPUTED_VALUE"""),106)</f>
        <v>106</v>
      </c>
      <c r="J207" s="1">
        <f ca="1">IFERROR(__xludf.DUMMYFUNCTION("""COMPUTED_VALUE"""),64.8)</f>
        <v>64.8</v>
      </c>
      <c r="K207" s="1">
        <f ca="1">IFERROR(__xludf.DUMMYFUNCTION("""COMPUTED_VALUE"""),185)</f>
        <v>185</v>
      </c>
      <c r="L207" s="1" t="str">
        <f ca="1">IFERROR(__xludf.DUMMYFUNCTION("""COMPUTED_VALUE"""),"+.081")</f>
        <v>+.081</v>
      </c>
      <c r="M207" s="1">
        <f ca="1">IFERROR(__xludf.DUMMYFUNCTION("""COMPUTED_VALUE"""),19)</f>
        <v>19</v>
      </c>
      <c r="N207" s="1">
        <f ca="1">IFERROR(__xludf.DUMMYFUNCTION("""COMPUTED_VALUE"""),-7.68)</f>
        <v>-7.68</v>
      </c>
      <c r="O207" s="1">
        <f ca="1">IFERROR(__xludf.DUMMYFUNCTION("""COMPUTED_VALUE"""),301)</f>
        <v>301</v>
      </c>
      <c r="P207" s="1">
        <f ca="1">IFERROR(__xludf.DUMMYFUNCTION("""COMPUTED_VALUE"""),96.6)</f>
        <v>96.6</v>
      </c>
      <c r="Q207" s="1">
        <f ca="1">IFERROR(__xludf.DUMMYFUNCTION("""COMPUTED_VALUE"""),323)</f>
        <v>323</v>
      </c>
      <c r="R207" s="1">
        <f ca="1">IFERROR(__xludf.DUMMYFUNCTION("""COMPUTED_VALUE"""),104.3)</f>
        <v>104.3</v>
      </c>
      <c r="S207" s="1">
        <f ca="1">IFERROR(__xludf.DUMMYFUNCTION("""COMPUTED_VALUE"""),196)</f>
        <v>196</v>
      </c>
      <c r="T207" s="1" t="str">
        <f ca="1">IFERROR(__xludf.DUMMYFUNCTION("""COMPUTED_VALUE"""),"+13.07")</f>
        <v>+13.07</v>
      </c>
      <c r="U207" s="1">
        <f ca="1">IFERROR(__xludf.DUMMYFUNCTION("""COMPUTED_VALUE"""),5)</f>
        <v>5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IFERROR(__xludf.DUMMYFUNCTION("""COMPUTED_VALUE"""),"San Jose St.")</f>
        <v>San Jose St.</v>
      </c>
      <c r="C208" s="1" t="str">
        <f ca="1">IFERROR(__xludf.DUMMYFUNCTION("""COMPUTED_VALUE"""),"WAC")</f>
        <v>WAC</v>
      </c>
      <c r="D208" s="2">
        <f ca="1">IFERROR(__xludf.DUMMYFUNCTION("""COMPUTED_VALUE"""),44737)</f>
        <v>44737</v>
      </c>
      <c r="E208" s="1">
        <f ca="1">IFERROR(__xludf.DUMMYFUNCTION("""COMPUTED_VALUE"""),-3.49)</f>
        <v>-3.49</v>
      </c>
      <c r="F208" s="1">
        <f ca="1">IFERROR(__xludf.DUMMYFUNCTION("""COMPUTED_VALUE"""),95.8)</f>
        <v>95.8</v>
      </c>
      <c r="G208" s="1">
        <f ca="1">IFERROR(__xludf.DUMMYFUNCTION("""COMPUTED_VALUE"""),277)</f>
        <v>277</v>
      </c>
      <c r="H208" s="1">
        <f ca="1">IFERROR(__xludf.DUMMYFUNCTION("""COMPUTED_VALUE"""),99.3)</f>
        <v>99.3</v>
      </c>
      <c r="I208" s="1">
        <f ca="1">IFERROR(__xludf.DUMMYFUNCTION("""COMPUTED_VALUE"""),102)</f>
        <v>102</v>
      </c>
      <c r="J208" s="1">
        <f ca="1">IFERROR(__xludf.DUMMYFUNCTION("""COMPUTED_VALUE"""),67.9)</f>
        <v>67.900000000000006</v>
      </c>
      <c r="K208" s="1">
        <f ca="1">IFERROR(__xludf.DUMMYFUNCTION("""COMPUTED_VALUE"""),70)</f>
        <v>70</v>
      </c>
      <c r="L208" s="1">
        <f ca="1">IFERROR(__xludf.DUMMYFUNCTION("""COMPUTED_VALUE"""),-0.14)</f>
        <v>-0.14000000000000001</v>
      </c>
      <c r="M208" s="1">
        <f ca="1">IFERROR(__xludf.DUMMYFUNCTION("""COMPUTED_VALUE"""),331)</f>
        <v>331</v>
      </c>
      <c r="N208" s="1" t="str">
        <f ca="1">IFERROR(__xludf.DUMMYFUNCTION("""COMPUTED_VALUE"""),"+3.15")</f>
        <v>+3.15</v>
      </c>
      <c r="O208" s="1">
        <f ca="1">IFERROR(__xludf.DUMMYFUNCTION("""COMPUTED_VALUE"""),96)</f>
        <v>96</v>
      </c>
      <c r="P208" s="1">
        <f ca="1">IFERROR(__xludf.DUMMYFUNCTION("""COMPUTED_VALUE"""),105.8)</f>
        <v>105.8</v>
      </c>
      <c r="Q208" s="1">
        <f ca="1">IFERROR(__xludf.DUMMYFUNCTION("""COMPUTED_VALUE"""),64)</f>
        <v>64</v>
      </c>
      <c r="R208" s="1">
        <f ca="1">IFERROR(__xludf.DUMMYFUNCTION("""COMPUTED_VALUE"""),102.7)</f>
        <v>102.7</v>
      </c>
      <c r="S208" s="1">
        <f ca="1">IFERROR(__xludf.DUMMYFUNCTION("""COMPUTED_VALUE"""),152)</f>
        <v>152</v>
      </c>
      <c r="T208" s="1" t="str">
        <f ca="1">IFERROR(__xludf.DUMMYFUNCTION("""COMPUTED_VALUE"""),"+1.71")</f>
        <v>+1.71</v>
      </c>
      <c r="U208" s="1">
        <f ca="1">IFERROR(__xludf.DUMMYFUNCTION("""COMPUTED_VALUE"""),112)</f>
        <v>112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IFERROR(__xludf.DUMMYFUNCTION("""COMPUTED_VALUE"""),"Ball St.")</f>
        <v>Ball St.</v>
      </c>
      <c r="C209" s="1" t="str">
        <f ca="1">IFERROR(__xludf.DUMMYFUNCTION("""COMPUTED_VALUE"""),"MAC")</f>
        <v>MAC</v>
      </c>
      <c r="D209" s="2">
        <f ca="1">IFERROR(__xludf.DUMMYFUNCTION("""COMPUTED_VALUE"""),44852)</f>
        <v>44852</v>
      </c>
      <c r="E209" s="1">
        <f ca="1">IFERROR(__xludf.DUMMYFUNCTION("""COMPUTED_VALUE"""),-3.5)</f>
        <v>-3.5</v>
      </c>
      <c r="F209" s="1">
        <f ca="1">IFERROR(__xludf.DUMMYFUNCTION("""COMPUTED_VALUE"""),98.2)</f>
        <v>98.2</v>
      </c>
      <c r="G209" s="1">
        <f ca="1">IFERROR(__xludf.DUMMYFUNCTION("""COMPUTED_VALUE"""),243)</f>
        <v>243</v>
      </c>
      <c r="H209" s="1">
        <f ca="1">IFERROR(__xludf.DUMMYFUNCTION("""COMPUTED_VALUE"""),101.7)</f>
        <v>101.7</v>
      </c>
      <c r="I209" s="1">
        <f ca="1">IFERROR(__xludf.DUMMYFUNCTION("""COMPUTED_VALUE"""),142)</f>
        <v>142</v>
      </c>
      <c r="J209" s="1">
        <f ca="1">IFERROR(__xludf.DUMMYFUNCTION("""COMPUTED_VALUE"""),63.3)</f>
        <v>63.3</v>
      </c>
      <c r="K209" s="1">
        <f ca="1">IFERROR(__xludf.DUMMYFUNCTION("""COMPUTED_VALUE"""),252)</f>
        <v>252</v>
      </c>
      <c r="L209" s="1">
        <f ca="1">IFERROR(__xludf.DUMMYFUNCTION("""COMPUTED_VALUE"""),-0.092)</f>
        <v>-9.1999999999999998E-2</v>
      </c>
      <c r="M209" s="1">
        <f ca="1">IFERROR(__xludf.DUMMYFUNCTION("""COMPUTED_VALUE"""),315)</f>
        <v>315</v>
      </c>
      <c r="N209" s="1" t="str">
        <f ca="1">IFERROR(__xludf.DUMMYFUNCTION("""COMPUTED_VALUE"""),"+0.69")</f>
        <v>+0.69</v>
      </c>
      <c r="O209" s="1">
        <f ca="1">IFERROR(__xludf.DUMMYFUNCTION("""COMPUTED_VALUE"""),143)</f>
        <v>143</v>
      </c>
      <c r="P209" s="1">
        <f ca="1">IFERROR(__xludf.DUMMYFUNCTION("""COMPUTED_VALUE"""),103.3)</f>
        <v>103.3</v>
      </c>
      <c r="Q209" s="1">
        <f ca="1">IFERROR(__xludf.DUMMYFUNCTION("""COMPUTED_VALUE"""),156)</f>
        <v>156</v>
      </c>
      <c r="R209" s="1">
        <f ca="1">IFERROR(__xludf.DUMMYFUNCTION("""COMPUTED_VALUE"""),102.6)</f>
        <v>102.6</v>
      </c>
      <c r="S209" s="1">
        <f ca="1">IFERROR(__xludf.DUMMYFUNCTION("""COMPUTED_VALUE"""),151)</f>
        <v>151</v>
      </c>
      <c r="T209" s="1" t="str">
        <f ca="1">IFERROR(__xludf.DUMMYFUNCTION("""COMPUTED_VALUE"""),"+3.78")</f>
        <v>+3.78</v>
      </c>
      <c r="U209" s="1">
        <f ca="1">IFERROR(__xludf.DUMMYFUNCTION("""COMPUTED_VALUE"""),62)</f>
        <v>62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IFERROR(__xludf.DUMMYFUNCTION("""COMPUTED_VALUE"""),"Idaho St.")</f>
        <v>Idaho St.</v>
      </c>
      <c r="C210" s="1" t="str">
        <f ca="1">IFERROR(__xludf.DUMMYFUNCTION("""COMPUTED_VALUE"""),"BSky")</f>
        <v>BSky</v>
      </c>
      <c r="D210" s="1" t="str">
        <f ca="1">IFERROR(__xludf.DUMMYFUNCTION("""COMPUTED_VALUE"""),"13-14")</f>
        <v>13-14</v>
      </c>
      <c r="E210" s="1">
        <f ca="1">IFERROR(__xludf.DUMMYFUNCTION("""COMPUTED_VALUE"""),-3.52)</f>
        <v>-3.52</v>
      </c>
      <c r="F210" s="1">
        <f ca="1">IFERROR(__xludf.DUMMYFUNCTION("""COMPUTED_VALUE"""),104.6)</f>
        <v>104.6</v>
      </c>
      <c r="G210" s="1">
        <f ca="1">IFERROR(__xludf.DUMMYFUNCTION("""COMPUTED_VALUE"""),138)</f>
        <v>138</v>
      </c>
      <c r="H210" s="1">
        <f ca="1">IFERROR(__xludf.DUMMYFUNCTION("""COMPUTED_VALUE"""),108.2)</f>
        <v>108.2</v>
      </c>
      <c r="I210" s="1">
        <f ca="1">IFERROR(__xludf.DUMMYFUNCTION("""COMPUTED_VALUE"""),263)</f>
        <v>263</v>
      </c>
      <c r="J210" s="1">
        <f ca="1">IFERROR(__xludf.DUMMYFUNCTION("""COMPUTED_VALUE"""),71)</f>
        <v>71</v>
      </c>
      <c r="K210" s="1">
        <f ca="1">IFERROR(__xludf.DUMMYFUNCTION("""COMPUTED_VALUE"""),15)</f>
        <v>15</v>
      </c>
      <c r="L210" s="1">
        <f ca="1">IFERROR(__xludf.DUMMYFUNCTION("""COMPUTED_VALUE"""),-0.015)</f>
        <v>-1.4999999999999999E-2</v>
      </c>
      <c r="M210" s="1">
        <f ca="1">IFERROR(__xludf.DUMMYFUNCTION("""COMPUTED_VALUE"""),205)</f>
        <v>205</v>
      </c>
      <c r="N210" s="1">
        <f ca="1">IFERROR(__xludf.DUMMYFUNCTION("""COMPUTED_VALUE"""),-2.73)</f>
        <v>-2.73</v>
      </c>
      <c r="O210" s="1">
        <f ca="1">IFERROR(__xludf.DUMMYFUNCTION("""COMPUTED_VALUE"""),210)</f>
        <v>210</v>
      </c>
      <c r="P210" s="1">
        <f ca="1">IFERROR(__xludf.DUMMYFUNCTION("""COMPUTED_VALUE"""),102.4)</f>
        <v>102.4</v>
      </c>
      <c r="Q210" s="1">
        <f ca="1">IFERROR(__xludf.DUMMYFUNCTION("""COMPUTED_VALUE"""),190)</f>
        <v>190</v>
      </c>
      <c r="R210" s="1">
        <f ca="1">IFERROR(__xludf.DUMMYFUNCTION("""COMPUTED_VALUE"""),105.2)</f>
        <v>105.2</v>
      </c>
      <c r="S210" s="1">
        <f ca="1">IFERROR(__xludf.DUMMYFUNCTION("""COMPUTED_VALUE"""),237)</f>
        <v>237</v>
      </c>
      <c r="T210" s="1">
        <f ca="1">IFERROR(__xludf.DUMMYFUNCTION("""COMPUTED_VALUE"""),-4.65)</f>
        <v>-4.6500000000000004</v>
      </c>
      <c r="U210" s="1">
        <f ca="1">IFERROR(__xludf.DUMMYFUNCTION("""COMPUTED_VALUE"""),271)</f>
        <v>271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IFERROR(__xludf.DUMMYFUNCTION("""COMPUTED_VALUE"""),"Delaware St.10")</f>
        <v>Delaware St.10</v>
      </c>
      <c r="C213" s="1" t="str">
        <f ca="1">IFERROR(__xludf.DUMMYFUNCTION("""COMPUTED_VALUE"""),"MEAC")</f>
        <v>MEAC</v>
      </c>
      <c r="D213" s="1" t="str">
        <f ca="1">IFERROR(__xludf.DUMMYFUNCTION("""COMPUTED_VALUE"""),"21-14")</f>
        <v>21-14</v>
      </c>
      <c r="E213" s="1">
        <f ca="1">IFERROR(__xludf.DUMMYFUNCTION("""COMPUTED_VALUE"""),-3.57)</f>
        <v>-3.57</v>
      </c>
      <c r="F213" s="1">
        <f ca="1">IFERROR(__xludf.DUMMYFUNCTION("""COMPUTED_VALUE"""),102.1)</f>
        <v>102.1</v>
      </c>
      <c r="G213" s="1">
        <f ca="1">IFERROR(__xludf.DUMMYFUNCTION("""COMPUTED_VALUE"""),184)</f>
        <v>184</v>
      </c>
      <c r="H213" s="1">
        <f ca="1">IFERROR(__xludf.DUMMYFUNCTION("""COMPUTED_VALUE"""),105.7)</f>
        <v>105.7</v>
      </c>
      <c r="I213" s="1">
        <f ca="1">IFERROR(__xludf.DUMMYFUNCTION("""COMPUTED_VALUE"""),213)</f>
        <v>213</v>
      </c>
      <c r="J213" s="1">
        <f ca="1">IFERROR(__xludf.DUMMYFUNCTION("""COMPUTED_VALUE"""),54.5)</f>
        <v>54.5</v>
      </c>
      <c r="K213" s="1">
        <f ca="1">IFERROR(__xludf.DUMMYFUNCTION("""COMPUTED_VALUE"""),333)</f>
        <v>333</v>
      </c>
      <c r="L213" s="1" t="str">
        <f ca="1">IFERROR(__xludf.DUMMYFUNCTION("""COMPUTED_VALUE"""),"+.106")</f>
        <v>+.106</v>
      </c>
      <c r="M213" s="1">
        <f ca="1">IFERROR(__xludf.DUMMYFUNCTION("""COMPUTED_VALUE"""),6)</f>
        <v>6</v>
      </c>
      <c r="N213" s="1">
        <f ca="1">IFERROR(__xludf.DUMMYFUNCTION("""COMPUTED_VALUE"""),-5.11)</f>
        <v>-5.1100000000000003</v>
      </c>
      <c r="O213" s="1">
        <f ca="1">IFERROR(__xludf.DUMMYFUNCTION("""COMPUTED_VALUE"""),255)</f>
        <v>255</v>
      </c>
      <c r="P213" s="1">
        <f ca="1">IFERROR(__xludf.DUMMYFUNCTION("""COMPUTED_VALUE"""),98.6)</f>
        <v>98.6</v>
      </c>
      <c r="Q213" s="1">
        <f ca="1">IFERROR(__xludf.DUMMYFUNCTION("""COMPUTED_VALUE"""),298)</f>
        <v>298</v>
      </c>
      <c r="R213" s="1">
        <f ca="1">IFERROR(__xludf.DUMMYFUNCTION("""COMPUTED_VALUE"""),103.7)</f>
        <v>103.7</v>
      </c>
      <c r="S213" s="1">
        <f ca="1">IFERROR(__xludf.DUMMYFUNCTION("""COMPUTED_VALUE"""),176)</f>
        <v>176</v>
      </c>
      <c r="T213" s="1" t="str">
        <f ca="1">IFERROR(__xludf.DUMMYFUNCTION("""COMPUTED_VALUE"""),"+14.07")</f>
        <v>+14.07</v>
      </c>
      <c r="U213" s="1">
        <f ca="1">IFERROR(__xludf.DUMMYFUNCTION("""COMPUTED_VALUE"""),4)</f>
        <v>4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IFERROR(__xludf.DUMMYFUNCTION("""COMPUTED_VALUE"""),"Tennessee Tech")</f>
        <v>Tennessee Tech</v>
      </c>
      <c r="C214" s="1" t="str">
        <f ca="1">IFERROR(__xludf.DUMMYFUNCTION("""COMPUTED_VALUE"""),"OVC")</f>
        <v>OVC</v>
      </c>
      <c r="D214" s="1" t="str">
        <f ca="1">IFERROR(__xludf.DUMMYFUNCTION("""COMPUTED_VALUE"""),"19-12")</f>
        <v>19-12</v>
      </c>
      <c r="E214" s="1">
        <f ca="1">IFERROR(__xludf.DUMMYFUNCTION("""COMPUTED_VALUE"""),-3.63)</f>
        <v>-3.63</v>
      </c>
      <c r="F214" s="1">
        <f ca="1">IFERROR(__xludf.DUMMYFUNCTION("""COMPUTED_VALUE"""),100.4)</f>
        <v>100.4</v>
      </c>
      <c r="G214" s="1">
        <f ca="1">IFERROR(__xludf.DUMMYFUNCTION("""COMPUTED_VALUE"""),210)</f>
        <v>210</v>
      </c>
      <c r="H214" s="1">
        <f ca="1">IFERROR(__xludf.DUMMYFUNCTION("""COMPUTED_VALUE"""),104)</f>
        <v>104</v>
      </c>
      <c r="I214" s="1">
        <f ca="1">IFERROR(__xludf.DUMMYFUNCTION("""COMPUTED_VALUE"""),187)</f>
        <v>187</v>
      </c>
      <c r="J214" s="1">
        <f ca="1">IFERROR(__xludf.DUMMYFUNCTION("""COMPUTED_VALUE"""),68.4)</f>
        <v>68.400000000000006</v>
      </c>
      <c r="K214" s="1">
        <f ca="1">IFERROR(__xludf.DUMMYFUNCTION("""COMPUTED_VALUE"""),58)</f>
        <v>58</v>
      </c>
      <c r="L214" s="1" t="str">
        <f ca="1">IFERROR(__xludf.DUMMYFUNCTION("""COMPUTED_VALUE"""),"+.104")</f>
        <v>+.104</v>
      </c>
      <c r="M214" s="1">
        <f ca="1">IFERROR(__xludf.DUMMYFUNCTION("""COMPUTED_VALUE"""),8)</f>
        <v>8</v>
      </c>
      <c r="N214" s="1">
        <f ca="1">IFERROR(__xludf.DUMMYFUNCTION("""COMPUTED_VALUE"""),-4.08)</f>
        <v>-4.08</v>
      </c>
      <c r="O214" s="1">
        <f ca="1">IFERROR(__xludf.DUMMYFUNCTION("""COMPUTED_VALUE"""),238)</f>
        <v>238</v>
      </c>
      <c r="P214" s="1">
        <f ca="1">IFERROR(__xludf.DUMMYFUNCTION("""COMPUTED_VALUE"""),102.6)</f>
        <v>102.6</v>
      </c>
      <c r="Q214" s="1">
        <f ca="1">IFERROR(__xludf.DUMMYFUNCTION("""COMPUTED_VALUE"""),185)</f>
        <v>185</v>
      </c>
      <c r="R214" s="1">
        <f ca="1">IFERROR(__xludf.DUMMYFUNCTION("""COMPUTED_VALUE"""),106.7)</f>
        <v>106.7</v>
      </c>
      <c r="S214" s="1">
        <f ca="1">IFERROR(__xludf.DUMMYFUNCTION("""COMPUTED_VALUE"""),302)</f>
        <v>302</v>
      </c>
      <c r="T214" s="1" t="str">
        <f ca="1">IFERROR(__xludf.DUMMYFUNCTION("""COMPUTED_VALUE"""),"+8.49")</f>
        <v>+8.49</v>
      </c>
      <c r="U214" s="1">
        <f ca="1">IFERROR(__xludf.DUMMYFUNCTION("""COMPUTED_VALUE"""),21)</f>
        <v>21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IFERROR(__xludf.DUMMYFUNCTION("""COMPUTED_VALUE"""),"Boston University")</f>
        <v>Boston University</v>
      </c>
      <c r="C215" s="1" t="str">
        <f ca="1">IFERROR(__xludf.DUMMYFUNCTION("""COMPUTED_VALUE"""),"AE")</f>
        <v>AE</v>
      </c>
      <c r="D215" s="2">
        <f ca="1">IFERROR(__xludf.DUMMYFUNCTION("""COMPUTED_VALUE"""),44911)</f>
        <v>44911</v>
      </c>
      <c r="E215" s="1">
        <f ca="1">IFERROR(__xludf.DUMMYFUNCTION("""COMPUTED_VALUE"""),-3.87)</f>
        <v>-3.87</v>
      </c>
      <c r="F215" s="1">
        <f ca="1">IFERROR(__xludf.DUMMYFUNCTION("""COMPUTED_VALUE"""),97.1)</f>
        <v>97.1</v>
      </c>
      <c r="G215" s="1">
        <f ca="1">IFERROR(__xludf.DUMMYFUNCTION("""COMPUTED_VALUE"""),261)</f>
        <v>261</v>
      </c>
      <c r="H215" s="1">
        <f ca="1">IFERROR(__xludf.DUMMYFUNCTION("""COMPUTED_VALUE"""),101)</f>
        <v>101</v>
      </c>
      <c r="I215" s="1">
        <f ca="1">IFERROR(__xludf.DUMMYFUNCTION("""COMPUTED_VALUE"""),128)</f>
        <v>128</v>
      </c>
      <c r="J215" s="1">
        <f ca="1">IFERROR(__xludf.DUMMYFUNCTION("""COMPUTED_VALUE"""),59.3)</f>
        <v>59.3</v>
      </c>
      <c r="K215" s="1">
        <f ca="1">IFERROR(__xludf.DUMMYFUNCTION("""COMPUTED_VALUE"""),323)</f>
        <v>323</v>
      </c>
      <c r="L215" s="1">
        <f ca="1">IFERROR(__xludf.DUMMYFUNCTION("""COMPUTED_VALUE"""),-0.042)</f>
        <v>-4.2000000000000003E-2</v>
      </c>
      <c r="M215" s="1">
        <f ca="1">IFERROR(__xludf.DUMMYFUNCTION("""COMPUTED_VALUE"""),270)</f>
        <v>270</v>
      </c>
      <c r="N215" s="1">
        <f ca="1">IFERROR(__xludf.DUMMYFUNCTION("""COMPUTED_VALUE"""),-3.53)</f>
        <v>-3.53</v>
      </c>
      <c r="O215" s="1">
        <f ca="1">IFERROR(__xludf.DUMMYFUNCTION("""COMPUTED_VALUE"""),220)</f>
        <v>220</v>
      </c>
      <c r="P215" s="1">
        <f ca="1">IFERROR(__xludf.DUMMYFUNCTION("""COMPUTED_VALUE"""),100.6)</f>
        <v>100.6</v>
      </c>
      <c r="Q215" s="1">
        <f ca="1">IFERROR(__xludf.DUMMYFUNCTION("""COMPUTED_VALUE"""),250)</f>
        <v>250</v>
      </c>
      <c r="R215" s="1">
        <f ca="1">IFERROR(__xludf.DUMMYFUNCTION("""COMPUTED_VALUE"""),104.1)</f>
        <v>104.1</v>
      </c>
      <c r="S215" s="1">
        <f ca="1">IFERROR(__xludf.DUMMYFUNCTION("""COMPUTED_VALUE"""),189)</f>
        <v>189</v>
      </c>
      <c r="T215" s="1" t="str">
        <f ca="1">IFERROR(__xludf.DUMMYFUNCTION("""COMPUTED_VALUE"""),"+5.00")</f>
        <v>+5.00</v>
      </c>
      <c r="U215" s="1">
        <f ca="1">IFERROR(__xludf.DUMMYFUNCTION("""COMPUTED_VALUE"""),48)</f>
        <v>48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IFERROR(__xludf.DUMMYFUNCTION("""COMPUTED_VALUE"""),"Pepperdine")</f>
        <v>Pepperdine</v>
      </c>
      <c r="C216" s="1" t="str">
        <f ca="1">IFERROR(__xludf.DUMMYFUNCTION("""COMPUTED_VALUE"""),"WCC")</f>
        <v>WCC</v>
      </c>
      <c r="D216" s="2">
        <f ca="1">IFERROR(__xludf.DUMMYFUNCTION("""COMPUTED_VALUE"""),44762)</f>
        <v>44762</v>
      </c>
      <c r="E216" s="1">
        <f ca="1">IFERROR(__xludf.DUMMYFUNCTION("""COMPUTED_VALUE"""),-4.31)</f>
        <v>-4.3099999999999996</v>
      </c>
      <c r="F216" s="1">
        <f ca="1">IFERROR(__xludf.DUMMYFUNCTION("""COMPUTED_VALUE"""),97.1)</f>
        <v>97.1</v>
      </c>
      <c r="G216" s="1">
        <f ca="1">IFERROR(__xludf.DUMMYFUNCTION("""COMPUTED_VALUE"""),259)</f>
        <v>259</v>
      </c>
      <c r="H216" s="1">
        <f ca="1">IFERROR(__xludf.DUMMYFUNCTION("""COMPUTED_VALUE"""),101.4)</f>
        <v>101.4</v>
      </c>
      <c r="I216" s="1">
        <f ca="1">IFERROR(__xludf.DUMMYFUNCTION("""COMPUTED_VALUE"""),137)</f>
        <v>137</v>
      </c>
      <c r="J216" s="1">
        <f ca="1">IFERROR(__xludf.DUMMYFUNCTION("""COMPUTED_VALUE"""),66.7)</f>
        <v>66.7</v>
      </c>
      <c r="K216" s="1">
        <f ca="1">IFERROR(__xludf.DUMMYFUNCTION("""COMPUTED_VALUE"""),107)</f>
        <v>107</v>
      </c>
      <c r="L216" s="1">
        <f ca="1">IFERROR(__xludf.DUMMYFUNCTION("""COMPUTED_VALUE"""),-0.016)</f>
        <v>-1.6E-2</v>
      </c>
      <c r="M216" s="1">
        <f ca="1">IFERROR(__xludf.DUMMYFUNCTION("""COMPUTED_VALUE"""),207)</f>
        <v>207</v>
      </c>
      <c r="N216" s="1" t="str">
        <f ca="1">IFERROR(__xludf.DUMMYFUNCTION("""COMPUTED_VALUE"""),"+4.77")</f>
        <v>+4.77</v>
      </c>
      <c r="O216" s="1">
        <f ca="1">IFERROR(__xludf.DUMMYFUNCTION("""COMPUTED_VALUE"""),79)</f>
        <v>79</v>
      </c>
      <c r="P216" s="1">
        <f ca="1">IFERROR(__xludf.DUMMYFUNCTION("""COMPUTED_VALUE"""),106.2)</f>
        <v>106.2</v>
      </c>
      <c r="Q216" s="1">
        <f ca="1">IFERROR(__xludf.DUMMYFUNCTION("""COMPUTED_VALUE"""),54)</f>
        <v>54</v>
      </c>
      <c r="R216" s="1">
        <f ca="1">IFERROR(__xludf.DUMMYFUNCTION("""COMPUTED_VALUE"""),101.4)</f>
        <v>101.4</v>
      </c>
      <c r="S216" s="1">
        <f ca="1">IFERROR(__xludf.DUMMYFUNCTION("""COMPUTED_VALUE"""),107)</f>
        <v>107</v>
      </c>
      <c r="T216" s="1" t="str">
        <f ca="1">IFERROR(__xludf.DUMMYFUNCTION("""COMPUTED_VALUE"""),"+7.44")</f>
        <v>+7.44</v>
      </c>
      <c r="U216" s="1">
        <f ca="1">IFERROR(__xludf.DUMMYFUNCTION("""COMPUTED_VALUE"""),28)</f>
        <v>28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IFERROR(__xludf.DUMMYFUNCTION("""COMPUTED_VALUE"""),"Jacksonville St.")</f>
        <v>Jacksonville St.</v>
      </c>
      <c r="C217" s="1" t="str">
        <f ca="1">IFERROR(__xludf.DUMMYFUNCTION("""COMPUTED_VALUE"""),"OVC")</f>
        <v>OVC</v>
      </c>
      <c r="D217" s="1" t="str">
        <f ca="1">IFERROR(__xludf.DUMMYFUNCTION("""COMPUTED_VALUE"""),"16-13")</f>
        <v>16-13</v>
      </c>
      <c r="E217" s="1">
        <f ca="1">IFERROR(__xludf.DUMMYFUNCTION("""COMPUTED_VALUE"""),-4.4)</f>
        <v>-4.4000000000000004</v>
      </c>
      <c r="F217" s="1">
        <f ca="1">IFERROR(__xludf.DUMMYFUNCTION("""COMPUTED_VALUE"""),106.6)</f>
        <v>106.6</v>
      </c>
      <c r="G217" s="1">
        <f ca="1">IFERROR(__xludf.DUMMYFUNCTION("""COMPUTED_VALUE"""),104)</f>
        <v>104</v>
      </c>
      <c r="H217" s="1">
        <f ca="1">IFERROR(__xludf.DUMMYFUNCTION("""COMPUTED_VALUE"""),111)</f>
        <v>111</v>
      </c>
      <c r="I217" s="1">
        <f ca="1">IFERROR(__xludf.DUMMYFUNCTION("""COMPUTED_VALUE"""),299)</f>
        <v>299</v>
      </c>
      <c r="J217" s="1">
        <f ca="1">IFERROR(__xludf.DUMMYFUNCTION("""COMPUTED_VALUE"""),70)</f>
        <v>70</v>
      </c>
      <c r="K217" s="1">
        <f ca="1">IFERROR(__xludf.DUMMYFUNCTION("""COMPUTED_VALUE"""),24)</f>
        <v>24</v>
      </c>
      <c r="L217" s="1" t="str">
        <f ca="1">IFERROR(__xludf.DUMMYFUNCTION("""COMPUTED_VALUE"""),"+.033")</f>
        <v>+.033</v>
      </c>
      <c r="M217" s="1">
        <f ca="1">IFERROR(__xludf.DUMMYFUNCTION("""COMPUTED_VALUE"""),86)</f>
        <v>86</v>
      </c>
      <c r="N217" s="1">
        <f ca="1">IFERROR(__xludf.DUMMYFUNCTION("""COMPUTED_VALUE"""),-5.74)</f>
        <v>-5.74</v>
      </c>
      <c r="O217" s="1">
        <f ca="1">IFERROR(__xludf.DUMMYFUNCTION("""COMPUTED_VALUE"""),268)</f>
        <v>268</v>
      </c>
      <c r="P217" s="1">
        <f ca="1">IFERROR(__xludf.DUMMYFUNCTION("""COMPUTED_VALUE"""),101.3)</f>
        <v>101.3</v>
      </c>
      <c r="Q217" s="1">
        <f ca="1">IFERROR(__xludf.DUMMYFUNCTION("""COMPUTED_VALUE"""),231)</f>
        <v>231</v>
      </c>
      <c r="R217" s="1">
        <f ca="1">IFERROR(__xludf.DUMMYFUNCTION("""COMPUTED_VALUE"""),107)</f>
        <v>107</v>
      </c>
      <c r="S217" s="1">
        <f ca="1">IFERROR(__xludf.DUMMYFUNCTION("""COMPUTED_VALUE"""),311)</f>
        <v>311</v>
      </c>
      <c r="T217" s="1" t="str">
        <f ca="1">IFERROR(__xludf.DUMMYFUNCTION("""COMPUTED_VALUE"""),"+1.05")</f>
        <v>+1.05</v>
      </c>
      <c r="U217" s="1">
        <f ca="1">IFERROR(__xludf.DUMMYFUNCTION("""COMPUTED_VALUE"""),126)</f>
        <v>126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IFERROR(__xludf.DUMMYFUNCTION("""COMPUTED_VALUE"""),"Lamar")</f>
        <v>Lamar</v>
      </c>
      <c r="C218" s="1" t="str">
        <f ca="1">IFERROR(__xludf.DUMMYFUNCTION("""COMPUTED_VALUE"""),"Slnd")</f>
        <v>Slnd</v>
      </c>
      <c r="D218" s="1" t="str">
        <f ca="1">IFERROR(__xludf.DUMMYFUNCTION("""COMPUTED_VALUE"""),"17-14")</f>
        <v>17-14</v>
      </c>
      <c r="E218" s="1">
        <f ca="1">IFERROR(__xludf.DUMMYFUNCTION("""COMPUTED_VALUE"""),-4.44)</f>
        <v>-4.4400000000000004</v>
      </c>
      <c r="F218" s="1">
        <f ca="1">IFERROR(__xludf.DUMMYFUNCTION("""COMPUTED_VALUE"""),103.7)</f>
        <v>103.7</v>
      </c>
      <c r="G218" s="1">
        <f ca="1">IFERROR(__xludf.DUMMYFUNCTION("""COMPUTED_VALUE"""),157)</f>
        <v>157</v>
      </c>
      <c r="H218" s="1">
        <f ca="1">IFERROR(__xludf.DUMMYFUNCTION("""COMPUTED_VALUE"""),108.1)</f>
        <v>108.1</v>
      </c>
      <c r="I218" s="1">
        <f ca="1">IFERROR(__xludf.DUMMYFUNCTION("""COMPUTED_VALUE"""),262)</f>
        <v>262</v>
      </c>
      <c r="J218" s="1">
        <f ca="1">IFERROR(__xludf.DUMMYFUNCTION("""COMPUTED_VALUE"""),72.2)</f>
        <v>72.2</v>
      </c>
      <c r="K218" s="1">
        <f ca="1">IFERROR(__xludf.DUMMYFUNCTION("""COMPUTED_VALUE"""),7)</f>
        <v>7</v>
      </c>
      <c r="L218" s="1" t="str">
        <f ca="1">IFERROR(__xludf.DUMMYFUNCTION("""COMPUTED_VALUE"""),"+.005")</f>
        <v>+.005</v>
      </c>
      <c r="M218" s="1">
        <f ca="1">IFERROR(__xludf.DUMMYFUNCTION("""COMPUTED_VALUE"""),155)</f>
        <v>155</v>
      </c>
      <c r="N218" s="1">
        <f ca="1">IFERROR(__xludf.DUMMYFUNCTION("""COMPUTED_VALUE"""),-5.79)</f>
        <v>-5.79</v>
      </c>
      <c r="O218" s="1">
        <f ca="1">IFERROR(__xludf.DUMMYFUNCTION("""COMPUTED_VALUE"""),270)</f>
        <v>270</v>
      </c>
      <c r="P218" s="1">
        <f ca="1">IFERROR(__xludf.DUMMYFUNCTION("""COMPUTED_VALUE"""),100.1)</f>
        <v>100.1</v>
      </c>
      <c r="Q218" s="1">
        <f ca="1">IFERROR(__xludf.DUMMYFUNCTION("""COMPUTED_VALUE"""),269)</f>
        <v>269</v>
      </c>
      <c r="R218" s="1">
        <f ca="1">IFERROR(__xludf.DUMMYFUNCTION("""COMPUTED_VALUE"""),105.9)</f>
        <v>105.9</v>
      </c>
      <c r="S218" s="1">
        <f ca="1">IFERROR(__xludf.DUMMYFUNCTION("""COMPUTED_VALUE"""),270)</f>
        <v>270</v>
      </c>
      <c r="T218" s="1">
        <f ca="1">IFERROR(__xludf.DUMMYFUNCTION("""COMPUTED_VALUE"""),-3.27)</f>
        <v>-3.27</v>
      </c>
      <c r="U218" s="1">
        <f ca="1">IFERROR(__xludf.DUMMYFUNCTION("""COMPUTED_VALUE"""),239)</f>
        <v>239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IFERROR(__xludf.DUMMYFUNCTION("""COMPUTED_VALUE"""),"North Texas")</f>
        <v>North Texas</v>
      </c>
      <c r="C219" s="1" t="str">
        <f ca="1">IFERROR(__xludf.DUMMYFUNCTION("""COMPUTED_VALUE"""),"SB")</f>
        <v>SB</v>
      </c>
      <c r="D219" s="1" t="str">
        <f ca="1">IFERROR(__xludf.DUMMYFUNCTION("""COMPUTED_VALUE"""),"14-14")</f>
        <v>14-14</v>
      </c>
      <c r="E219" s="1">
        <f ca="1">IFERROR(__xludf.DUMMYFUNCTION("""COMPUTED_VALUE"""),-4.45)</f>
        <v>-4.45</v>
      </c>
      <c r="F219" s="1">
        <f ca="1">IFERROR(__xludf.DUMMYFUNCTION("""COMPUTED_VALUE"""),102.5)</f>
        <v>102.5</v>
      </c>
      <c r="G219" s="1">
        <f ca="1">IFERROR(__xludf.DUMMYFUNCTION("""COMPUTED_VALUE"""),178)</f>
        <v>178</v>
      </c>
      <c r="H219" s="1">
        <f ca="1">IFERROR(__xludf.DUMMYFUNCTION("""COMPUTED_VALUE"""),106.9)</f>
        <v>106.9</v>
      </c>
      <c r="I219" s="1">
        <f ca="1">IFERROR(__xludf.DUMMYFUNCTION("""COMPUTED_VALUE"""),237)</f>
        <v>237</v>
      </c>
      <c r="J219" s="1">
        <f ca="1">IFERROR(__xludf.DUMMYFUNCTION("""COMPUTED_VALUE"""),71.8)</f>
        <v>71.8</v>
      </c>
      <c r="K219" s="1">
        <f ca="1">IFERROR(__xludf.DUMMYFUNCTION("""COMPUTED_VALUE"""),9)</f>
        <v>9</v>
      </c>
      <c r="L219" s="1" t="str">
        <f ca="1">IFERROR(__xludf.DUMMYFUNCTION("""COMPUTED_VALUE"""),"+.001")</f>
        <v>+.001</v>
      </c>
      <c r="M219" s="1">
        <f ca="1">IFERROR(__xludf.DUMMYFUNCTION("""COMPUTED_VALUE"""),167)</f>
        <v>167</v>
      </c>
      <c r="N219" s="1">
        <f ca="1">IFERROR(__xludf.DUMMYFUNCTION("""COMPUTED_VALUE"""),-1.75)</f>
        <v>-1.75</v>
      </c>
      <c r="O219" s="1">
        <f ca="1">IFERROR(__xludf.DUMMYFUNCTION("""COMPUTED_VALUE"""),195)</f>
        <v>195</v>
      </c>
      <c r="P219" s="1">
        <f ca="1">IFERROR(__xludf.DUMMYFUNCTION("""COMPUTED_VALUE"""),100.8)</f>
        <v>100.8</v>
      </c>
      <c r="Q219" s="1">
        <f ca="1">IFERROR(__xludf.DUMMYFUNCTION("""COMPUTED_VALUE"""),244)</f>
        <v>244</v>
      </c>
      <c r="R219" s="1">
        <f ca="1">IFERROR(__xludf.DUMMYFUNCTION("""COMPUTED_VALUE"""),102.5)</f>
        <v>102.5</v>
      </c>
      <c r="S219" s="1">
        <f ca="1">IFERROR(__xludf.DUMMYFUNCTION("""COMPUTED_VALUE"""),145)</f>
        <v>145</v>
      </c>
      <c r="T219" s="1">
        <f ca="1">IFERROR(__xludf.DUMMYFUNCTION("""COMPUTED_VALUE"""),-2.27)</f>
        <v>-2.27</v>
      </c>
      <c r="U219" s="1">
        <f ca="1">IFERROR(__xludf.DUMMYFUNCTION("""COMPUTED_VALUE"""),220)</f>
        <v>220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IFERROR(__xludf.DUMMYFUNCTION("""COMPUTED_VALUE"""),"Tennessee St.")</f>
        <v>Tennessee St.</v>
      </c>
      <c r="C220" s="1" t="str">
        <f ca="1">IFERROR(__xludf.DUMMYFUNCTION("""COMPUTED_VALUE"""),"OVC")</f>
        <v>OVC</v>
      </c>
      <c r="D220" s="1" t="str">
        <f ca="1">IFERROR(__xludf.DUMMYFUNCTION("""COMPUTED_VALUE"""),"13-15")</f>
        <v>13-15</v>
      </c>
      <c r="E220" s="1">
        <f ca="1">IFERROR(__xludf.DUMMYFUNCTION("""COMPUTED_VALUE"""),-4.54)</f>
        <v>-4.54</v>
      </c>
      <c r="F220" s="1">
        <f ca="1">IFERROR(__xludf.DUMMYFUNCTION("""COMPUTED_VALUE"""),104.2)</f>
        <v>104.2</v>
      </c>
      <c r="G220" s="1">
        <f ca="1">IFERROR(__xludf.DUMMYFUNCTION("""COMPUTED_VALUE"""),147)</f>
        <v>147</v>
      </c>
      <c r="H220" s="1">
        <f ca="1">IFERROR(__xludf.DUMMYFUNCTION("""COMPUTED_VALUE"""),108.7)</f>
        <v>108.7</v>
      </c>
      <c r="I220" s="1">
        <f ca="1">IFERROR(__xludf.DUMMYFUNCTION("""COMPUTED_VALUE"""),271)</f>
        <v>271</v>
      </c>
      <c r="J220" s="1">
        <f ca="1">IFERROR(__xludf.DUMMYFUNCTION("""COMPUTED_VALUE"""),65)</f>
        <v>65</v>
      </c>
      <c r="K220" s="1">
        <f ca="1">IFERROR(__xludf.DUMMYFUNCTION("""COMPUTED_VALUE"""),180)</f>
        <v>180</v>
      </c>
      <c r="L220" s="1">
        <f ca="1">IFERROR(__xludf.DUMMYFUNCTION("""COMPUTED_VALUE"""),-0.03)</f>
        <v>-0.03</v>
      </c>
      <c r="M220" s="1">
        <f ca="1">IFERROR(__xludf.DUMMYFUNCTION("""COMPUTED_VALUE"""),241)</f>
        <v>241</v>
      </c>
      <c r="N220" s="1">
        <f ca="1">IFERROR(__xludf.DUMMYFUNCTION("""COMPUTED_VALUE"""),-4.06)</f>
        <v>-4.0599999999999996</v>
      </c>
      <c r="O220" s="1">
        <f ca="1">IFERROR(__xludf.DUMMYFUNCTION("""COMPUTED_VALUE"""),235)</f>
        <v>235</v>
      </c>
      <c r="P220" s="1">
        <f ca="1">IFERROR(__xludf.DUMMYFUNCTION("""COMPUTED_VALUE"""),102.3)</f>
        <v>102.3</v>
      </c>
      <c r="Q220" s="1">
        <f ca="1">IFERROR(__xludf.DUMMYFUNCTION("""COMPUTED_VALUE"""),198)</f>
        <v>198</v>
      </c>
      <c r="R220" s="1">
        <f ca="1">IFERROR(__xludf.DUMMYFUNCTION("""COMPUTED_VALUE"""),106.3)</f>
        <v>106.3</v>
      </c>
      <c r="S220" s="1">
        <f ca="1">IFERROR(__xludf.DUMMYFUNCTION("""COMPUTED_VALUE"""),290)</f>
        <v>290</v>
      </c>
      <c r="T220" s="1" t="str">
        <f ca="1">IFERROR(__xludf.DUMMYFUNCTION("""COMPUTED_VALUE"""),"+6.95")</f>
        <v>+6.95</v>
      </c>
      <c r="U220" s="1">
        <f ca="1">IFERROR(__xludf.DUMMYFUNCTION("""COMPUTED_VALUE"""),35)</f>
        <v>35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IFERROR(__xludf.DUMMYFUNCTION("""COMPUTED_VALUE"""),"Tulane")</f>
        <v>Tulane</v>
      </c>
      <c r="C221" s="1" t="str">
        <f ca="1">IFERROR(__xludf.DUMMYFUNCTION("""COMPUTED_VALUE"""),"CUSA")</f>
        <v>CUSA</v>
      </c>
      <c r="D221" s="2">
        <f ca="1">IFERROR(__xludf.DUMMYFUNCTION("""COMPUTED_VALUE"""),44912)</f>
        <v>44912</v>
      </c>
      <c r="E221" s="1">
        <f ca="1">IFERROR(__xludf.DUMMYFUNCTION("""COMPUTED_VALUE"""),-4.93)</f>
        <v>-4.93</v>
      </c>
      <c r="F221" s="1">
        <f ca="1">IFERROR(__xludf.DUMMYFUNCTION("""COMPUTED_VALUE"""),94.7)</f>
        <v>94.7</v>
      </c>
      <c r="G221" s="1">
        <f ca="1">IFERROR(__xludf.DUMMYFUNCTION("""COMPUTED_VALUE"""),290)</f>
        <v>290</v>
      </c>
      <c r="H221" s="1">
        <f ca="1">IFERROR(__xludf.DUMMYFUNCTION("""COMPUTED_VALUE"""),99.6)</f>
        <v>99.6</v>
      </c>
      <c r="I221" s="1">
        <f ca="1">IFERROR(__xludf.DUMMYFUNCTION("""COMPUTED_VALUE"""),107)</f>
        <v>107</v>
      </c>
      <c r="J221" s="1">
        <f ca="1">IFERROR(__xludf.DUMMYFUNCTION("""COMPUTED_VALUE"""),65.9)</f>
        <v>65.900000000000006</v>
      </c>
      <c r="K221" s="1">
        <f ca="1">IFERROR(__xludf.DUMMYFUNCTION("""COMPUTED_VALUE"""),135)</f>
        <v>135</v>
      </c>
      <c r="L221" s="1" t="str">
        <f ca="1">IFERROR(__xludf.DUMMYFUNCTION("""COMPUTED_VALUE"""),"+.008")</f>
        <v>+.008</v>
      </c>
      <c r="M221" s="1">
        <f ca="1">IFERROR(__xludf.DUMMYFUNCTION("""COMPUTED_VALUE"""),148)</f>
        <v>148</v>
      </c>
      <c r="N221" s="1">
        <f ca="1">IFERROR(__xludf.DUMMYFUNCTION("""COMPUTED_VALUE"""),-0.22)</f>
        <v>-0.22</v>
      </c>
      <c r="O221" s="1">
        <f ca="1">IFERROR(__xludf.DUMMYFUNCTION("""COMPUTED_VALUE"""),164)</f>
        <v>164</v>
      </c>
      <c r="P221" s="1">
        <f ca="1">IFERROR(__xludf.DUMMYFUNCTION("""COMPUTED_VALUE"""),101.4)</f>
        <v>101.4</v>
      </c>
      <c r="Q221" s="1">
        <f ca="1">IFERROR(__xludf.DUMMYFUNCTION("""COMPUTED_VALUE"""),224)</f>
        <v>224</v>
      </c>
      <c r="R221" s="1">
        <f ca="1">IFERROR(__xludf.DUMMYFUNCTION("""COMPUTED_VALUE"""),101.6)</f>
        <v>101.6</v>
      </c>
      <c r="S221" s="1">
        <f ca="1">IFERROR(__xludf.DUMMYFUNCTION("""COMPUTED_VALUE"""),118)</f>
        <v>118</v>
      </c>
      <c r="T221" s="1" t="str">
        <f ca="1">IFERROR(__xludf.DUMMYFUNCTION("""COMPUTED_VALUE"""),"+0.53")</f>
        <v>+0.53</v>
      </c>
      <c r="U221" s="1">
        <f ca="1">IFERROR(__xludf.DUMMYFUNCTION("""COMPUTED_VALUE"""),140)</f>
        <v>140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IFERROR(__xludf.DUMMYFUNCTION("""COMPUTED_VALUE"""),"Canisius")</f>
        <v>Canisius</v>
      </c>
      <c r="C222" s="1" t="str">
        <f ca="1">IFERROR(__xludf.DUMMYFUNCTION("""COMPUTED_VALUE"""),"MAAC")</f>
        <v>MAAC</v>
      </c>
      <c r="D222" s="2">
        <f ca="1">IFERROR(__xludf.DUMMYFUNCTION("""COMPUTED_VALUE"""),44824)</f>
        <v>44824</v>
      </c>
      <c r="E222" s="1">
        <f ca="1">IFERROR(__xludf.DUMMYFUNCTION("""COMPUTED_VALUE"""),-4.97)</f>
        <v>-4.97</v>
      </c>
      <c r="F222" s="1">
        <f ca="1">IFERROR(__xludf.DUMMYFUNCTION("""COMPUTED_VALUE"""),103.6)</f>
        <v>103.6</v>
      </c>
      <c r="G222" s="1">
        <f ca="1">IFERROR(__xludf.DUMMYFUNCTION("""COMPUTED_VALUE"""),158)</f>
        <v>158</v>
      </c>
      <c r="H222" s="1">
        <f ca="1">IFERROR(__xludf.DUMMYFUNCTION("""COMPUTED_VALUE"""),108.5)</f>
        <v>108.5</v>
      </c>
      <c r="I222" s="1">
        <f ca="1">IFERROR(__xludf.DUMMYFUNCTION("""COMPUTED_VALUE"""),267)</f>
        <v>267</v>
      </c>
      <c r="J222" s="1">
        <f ca="1">IFERROR(__xludf.DUMMYFUNCTION("""COMPUTED_VALUE"""),64.6)</f>
        <v>64.599999999999994</v>
      </c>
      <c r="K222" s="1">
        <f ca="1">IFERROR(__xludf.DUMMYFUNCTION("""COMPUTED_VALUE"""),206)</f>
        <v>206</v>
      </c>
      <c r="L222" s="1">
        <f ca="1">IFERROR(__xludf.DUMMYFUNCTION("""COMPUTED_VALUE"""),-0.066)</f>
        <v>-6.6000000000000003E-2</v>
      </c>
      <c r="M222" s="1">
        <f ca="1">IFERROR(__xludf.DUMMYFUNCTION("""COMPUTED_VALUE"""),302)</f>
        <v>302</v>
      </c>
      <c r="N222" s="1">
        <f ca="1">IFERROR(__xludf.DUMMYFUNCTION("""COMPUTED_VALUE"""),-0.79)</f>
        <v>-0.79</v>
      </c>
      <c r="O222" s="1">
        <f ca="1">IFERROR(__xludf.DUMMYFUNCTION("""COMPUTED_VALUE"""),178)</f>
        <v>178</v>
      </c>
      <c r="P222" s="1">
        <f ca="1">IFERROR(__xludf.DUMMYFUNCTION("""COMPUTED_VALUE"""),105.3)</f>
        <v>105.3</v>
      </c>
      <c r="Q222" s="1">
        <f ca="1">IFERROR(__xludf.DUMMYFUNCTION("""COMPUTED_VALUE"""),79)</f>
        <v>79</v>
      </c>
      <c r="R222" s="1">
        <f ca="1">IFERROR(__xludf.DUMMYFUNCTION("""COMPUTED_VALUE"""),106.1)</f>
        <v>106.1</v>
      </c>
      <c r="S222" s="1">
        <f ca="1">IFERROR(__xludf.DUMMYFUNCTION("""COMPUTED_VALUE"""),276)</f>
        <v>276</v>
      </c>
      <c r="T222" s="1">
        <f ca="1">IFERROR(__xludf.DUMMYFUNCTION("""COMPUTED_VALUE"""),-3.32)</f>
        <v>-3.32</v>
      </c>
      <c r="U222" s="1">
        <f ca="1">IFERROR(__xludf.DUMMYFUNCTION("""COMPUTED_VALUE"""),240)</f>
        <v>240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IFERROR(__xludf.DUMMYFUNCTION("""COMPUTED_VALUE"""),"Tulsa")</f>
        <v>Tulsa</v>
      </c>
      <c r="C223" s="1" t="str">
        <f ca="1">IFERROR(__xludf.DUMMYFUNCTION("""COMPUTED_VALUE"""),"CUSA")</f>
        <v>CUSA</v>
      </c>
      <c r="D223" s="2">
        <f ca="1">IFERROR(__xludf.DUMMYFUNCTION("""COMPUTED_VALUE"""),44882)</f>
        <v>44882</v>
      </c>
      <c r="E223" s="1">
        <f ca="1">IFERROR(__xludf.DUMMYFUNCTION("""COMPUTED_VALUE"""),-5.05)</f>
        <v>-5.05</v>
      </c>
      <c r="F223" s="1">
        <f ca="1">IFERROR(__xludf.DUMMYFUNCTION("""COMPUTED_VALUE"""),94.2)</f>
        <v>94.2</v>
      </c>
      <c r="G223" s="1">
        <f ca="1">IFERROR(__xludf.DUMMYFUNCTION("""COMPUTED_VALUE"""),293)</f>
        <v>293</v>
      </c>
      <c r="H223" s="1">
        <f ca="1">IFERROR(__xludf.DUMMYFUNCTION("""COMPUTED_VALUE"""),99.2)</f>
        <v>99.2</v>
      </c>
      <c r="I223" s="1">
        <f ca="1">IFERROR(__xludf.DUMMYFUNCTION("""COMPUTED_VALUE"""),100)</f>
        <v>100</v>
      </c>
      <c r="J223" s="1">
        <f ca="1">IFERROR(__xludf.DUMMYFUNCTION("""COMPUTED_VALUE"""),64.4)</f>
        <v>64.400000000000006</v>
      </c>
      <c r="K223" s="1">
        <f ca="1">IFERROR(__xludf.DUMMYFUNCTION("""COMPUTED_VALUE"""),215)</f>
        <v>215</v>
      </c>
      <c r="L223" s="1" t="str">
        <f ca="1">IFERROR(__xludf.DUMMYFUNCTION("""COMPUTED_VALUE"""),"+.014")</f>
        <v>+.014</v>
      </c>
      <c r="M223" s="1">
        <f ca="1">IFERROR(__xludf.DUMMYFUNCTION("""COMPUTED_VALUE"""),133)</f>
        <v>133</v>
      </c>
      <c r="N223" s="1">
        <f ca="1">IFERROR(__xludf.DUMMYFUNCTION("""COMPUTED_VALUE"""),-0.32)</f>
        <v>-0.32</v>
      </c>
      <c r="O223" s="1">
        <f ca="1">IFERROR(__xludf.DUMMYFUNCTION("""COMPUTED_VALUE"""),168)</f>
        <v>168</v>
      </c>
      <c r="P223" s="1">
        <f ca="1">IFERROR(__xludf.DUMMYFUNCTION("""COMPUTED_VALUE"""),101.8)</f>
        <v>101.8</v>
      </c>
      <c r="Q223" s="1">
        <f ca="1">IFERROR(__xludf.DUMMYFUNCTION("""COMPUTED_VALUE"""),218)</f>
        <v>218</v>
      </c>
      <c r="R223" s="1">
        <f ca="1">IFERROR(__xludf.DUMMYFUNCTION("""COMPUTED_VALUE"""),102.1)</f>
        <v>102.1</v>
      </c>
      <c r="S223" s="1">
        <f ca="1">IFERROR(__xludf.DUMMYFUNCTION("""COMPUTED_VALUE"""),132)</f>
        <v>132</v>
      </c>
      <c r="T223" s="1">
        <f ca="1">IFERROR(__xludf.DUMMYFUNCTION("""COMPUTED_VALUE"""),-1.77)</f>
        <v>-1.77</v>
      </c>
      <c r="U223" s="1">
        <f ca="1">IFERROR(__xludf.DUMMYFUNCTION("""COMPUTED_VALUE"""),204)</f>
        <v>204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IFERROR(__xludf.DUMMYFUNCTION("""COMPUTED_VALUE"""),"Portland")</f>
        <v>Portland</v>
      </c>
      <c r="C224" s="1" t="str">
        <f ca="1">IFERROR(__xludf.DUMMYFUNCTION("""COMPUTED_VALUE"""),"WCC")</f>
        <v>WCC</v>
      </c>
      <c r="D224" s="2">
        <f ca="1">IFERROR(__xludf.DUMMYFUNCTION("""COMPUTED_VALUE"""),44883)</f>
        <v>44883</v>
      </c>
      <c r="E224" s="1">
        <f ca="1">IFERROR(__xludf.DUMMYFUNCTION("""COMPUTED_VALUE"""),-5.14)</f>
        <v>-5.14</v>
      </c>
      <c r="F224" s="1">
        <f ca="1">IFERROR(__xludf.DUMMYFUNCTION("""COMPUTED_VALUE"""),102.6)</f>
        <v>102.6</v>
      </c>
      <c r="G224" s="1">
        <f ca="1">IFERROR(__xludf.DUMMYFUNCTION("""COMPUTED_VALUE"""),175)</f>
        <v>175</v>
      </c>
      <c r="H224" s="1">
        <f ca="1">IFERROR(__xludf.DUMMYFUNCTION("""COMPUTED_VALUE"""),107.7)</f>
        <v>107.7</v>
      </c>
      <c r="I224" s="1">
        <f ca="1">IFERROR(__xludf.DUMMYFUNCTION("""COMPUTED_VALUE"""),255)</f>
        <v>255</v>
      </c>
      <c r="J224" s="1">
        <f ca="1">IFERROR(__xludf.DUMMYFUNCTION("""COMPUTED_VALUE"""),65.6)</f>
        <v>65.599999999999994</v>
      </c>
      <c r="K224" s="1">
        <f ca="1">IFERROR(__xludf.DUMMYFUNCTION("""COMPUTED_VALUE"""),144)</f>
        <v>144</v>
      </c>
      <c r="L224" s="1" t="str">
        <f ca="1">IFERROR(__xludf.DUMMYFUNCTION("""COMPUTED_VALUE"""),"+.046")</f>
        <v>+.046</v>
      </c>
      <c r="M224" s="1">
        <f ca="1">IFERROR(__xludf.DUMMYFUNCTION("""COMPUTED_VALUE"""),60)</f>
        <v>60</v>
      </c>
      <c r="N224" s="1" t="str">
        <f ca="1">IFERROR(__xludf.DUMMYFUNCTION("""COMPUTED_VALUE"""),"+1.39")</f>
        <v>+1.39</v>
      </c>
      <c r="O224" s="1">
        <f ca="1">IFERROR(__xludf.DUMMYFUNCTION("""COMPUTED_VALUE"""),131)</f>
        <v>131</v>
      </c>
      <c r="P224" s="1">
        <f ca="1">IFERROR(__xludf.DUMMYFUNCTION("""COMPUTED_VALUE"""),103.2)</f>
        <v>103.2</v>
      </c>
      <c r="Q224" s="1">
        <f ca="1">IFERROR(__xludf.DUMMYFUNCTION("""COMPUTED_VALUE"""),162)</f>
        <v>162</v>
      </c>
      <c r="R224" s="1">
        <f ca="1">IFERROR(__xludf.DUMMYFUNCTION("""COMPUTED_VALUE"""),101.8)</f>
        <v>101.8</v>
      </c>
      <c r="S224" s="1">
        <f ca="1">IFERROR(__xludf.DUMMYFUNCTION("""COMPUTED_VALUE"""),124)</f>
        <v>124</v>
      </c>
      <c r="T224" s="1">
        <f ca="1">IFERROR(__xludf.DUMMYFUNCTION("""COMPUTED_VALUE"""),0)</f>
        <v>0</v>
      </c>
      <c r="U224" s="1">
        <f ca="1">IFERROR(__xludf.DUMMYFUNCTION("""COMPUTED_VALUE"""),157)</f>
        <v>157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IFERROR(__xludf.DUMMYFUNCTION("""COMPUTED_VALUE"""),"High Point")</f>
        <v>High Point</v>
      </c>
      <c r="C225" s="1" t="str">
        <f ca="1">IFERROR(__xludf.DUMMYFUNCTION("""COMPUTED_VALUE"""),"BSth")</f>
        <v>BSth</v>
      </c>
      <c r="D225" s="1" t="str">
        <f ca="1">IFERROR(__xludf.DUMMYFUNCTION("""COMPUTED_VALUE"""),"16-13")</f>
        <v>16-13</v>
      </c>
      <c r="E225" s="1">
        <f ca="1">IFERROR(__xludf.DUMMYFUNCTION("""COMPUTED_VALUE"""),-5.21)</f>
        <v>-5.21</v>
      </c>
      <c r="F225" s="1">
        <f ca="1">IFERROR(__xludf.DUMMYFUNCTION("""COMPUTED_VALUE"""),100.8)</f>
        <v>100.8</v>
      </c>
      <c r="G225" s="1">
        <f ca="1">IFERROR(__xludf.DUMMYFUNCTION("""COMPUTED_VALUE"""),205)</f>
        <v>205</v>
      </c>
      <c r="H225" s="1">
        <f ca="1">IFERROR(__xludf.DUMMYFUNCTION("""COMPUTED_VALUE"""),106)</f>
        <v>106</v>
      </c>
      <c r="I225" s="1">
        <f ca="1">IFERROR(__xludf.DUMMYFUNCTION("""COMPUTED_VALUE"""),221)</f>
        <v>221</v>
      </c>
      <c r="J225" s="1">
        <f ca="1">IFERROR(__xludf.DUMMYFUNCTION("""COMPUTED_VALUE"""),70.4)</f>
        <v>70.400000000000006</v>
      </c>
      <c r="K225" s="1">
        <f ca="1">IFERROR(__xludf.DUMMYFUNCTION("""COMPUTED_VALUE"""),20)</f>
        <v>20</v>
      </c>
      <c r="L225" s="1" t="str">
        <f ca="1">IFERROR(__xludf.DUMMYFUNCTION("""COMPUTED_VALUE"""),"+.041")</f>
        <v>+.041</v>
      </c>
      <c r="M225" s="1">
        <f ca="1">IFERROR(__xludf.DUMMYFUNCTION("""COMPUTED_VALUE"""),69)</f>
        <v>69</v>
      </c>
      <c r="N225" s="1">
        <f ca="1">IFERROR(__xludf.DUMMYFUNCTION("""COMPUTED_VALUE"""),-5.22)</f>
        <v>-5.22</v>
      </c>
      <c r="O225" s="1">
        <f ca="1">IFERROR(__xludf.DUMMYFUNCTION("""COMPUTED_VALUE"""),257)</f>
        <v>257</v>
      </c>
      <c r="P225" s="1">
        <f ca="1">IFERROR(__xludf.DUMMYFUNCTION("""COMPUTED_VALUE"""),101.3)</f>
        <v>101.3</v>
      </c>
      <c r="Q225" s="1">
        <f ca="1">IFERROR(__xludf.DUMMYFUNCTION("""COMPUTED_VALUE"""),229)</f>
        <v>229</v>
      </c>
      <c r="R225" s="1">
        <f ca="1">IFERROR(__xludf.DUMMYFUNCTION("""COMPUTED_VALUE"""),106.6)</f>
        <v>106.6</v>
      </c>
      <c r="S225" s="1">
        <f ca="1">IFERROR(__xludf.DUMMYFUNCTION("""COMPUTED_VALUE"""),298)</f>
        <v>298</v>
      </c>
      <c r="T225" s="1">
        <f ca="1">IFERROR(__xludf.DUMMYFUNCTION("""COMPUTED_VALUE"""),-1.57)</f>
        <v>-1.57</v>
      </c>
      <c r="U225" s="1">
        <f ca="1">IFERROR(__xludf.DUMMYFUNCTION("""COMPUTED_VALUE"""),199)</f>
        <v>199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IFERROR(__xludf.DUMMYFUNCTION("""COMPUTED_VALUE"""),"Montana St.")</f>
        <v>Montana St.</v>
      </c>
      <c r="C226" s="1" t="str">
        <f ca="1">IFERROR(__xludf.DUMMYFUNCTION("""COMPUTED_VALUE"""),"BSky")</f>
        <v>BSky</v>
      </c>
      <c r="D226" s="1" t="str">
        <f ca="1">IFERROR(__xludf.DUMMYFUNCTION("""COMPUTED_VALUE"""),"15-15")</f>
        <v>15-15</v>
      </c>
      <c r="E226" s="1">
        <f ca="1">IFERROR(__xludf.DUMMYFUNCTION("""COMPUTED_VALUE"""),-5.26)</f>
        <v>-5.26</v>
      </c>
      <c r="F226" s="1">
        <f ca="1">IFERROR(__xludf.DUMMYFUNCTION("""COMPUTED_VALUE"""),103.4)</f>
        <v>103.4</v>
      </c>
      <c r="G226" s="1">
        <f ca="1">IFERROR(__xludf.DUMMYFUNCTION("""COMPUTED_VALUE"""),162)</f>
        <v>162</v>
      </c>
      <c r="H226" s="1">
        <f ca="1">IFERROR(__xludf.DUMMYFUNCTION("""COMPUTED_VALUE"""),108.7)</f>
        <v>108.7</v>
      </c>
      <c r="I226" s="1">
        <f ca="1">IFERROR(__xludf.DUMMYFUNCTION("""COMPUTED_VALUE"""),269)</f>
        <v>269</v>
      </c>
      <c r="J226" s="1">
        <f ca="1">IFERROR(__xludf.DUMMYFUNCTION("""COMPUTED_VALUE"""),66.7)</f>
        <v>66.7</v>
      </c>
      <c r="K226" s="1">
        <f ca="1">IFERROR(__xludf.DUMMYFUNCTION("""COMPUTED_VALUE"""),112)</f>
        <v>112</v>
      </c>
      <c r="L226" s="1" t="str">
        <f ca="1">IFERROR(__xludf.DUMMYFUNCTION("""COMPUTED_VALUE"""),"+.035")</f>
        <v>+.035</v>
      </c>
      <c r="M226" s="1">
        <f ca="1">IFERROR(__xludf.DUMMYFUNCTION("""COMPUTED_VALUE"""),82)</f>
        <v>82</v>
      </c>
      <c r="N226" s="1">
        <f ca="1">IFERROR(__xludf.DUMMYFUNCTION("""COMPUTED_VALUE"""),-3.89)</f>
        <v>-3.89</v>
      </c>
      <c r="O226" s="1">
        <f ca="1">IFERROR(__xludf.DUMMYFUNCTION("""COMPUTED_VALUE"""),231)</f>
        <v>231</v>
      </c>
      <c r="P226" s="1">
        <f ca="1">IFERROR(__xludf.DUMMYFUNCTION("""COMPUTED_VALUE"""),102.2)</f>
        <v>102.2</v>
      </c>
      <c r="Q226" s="1">
        <f ca="1">IFERROR(__xludf.DUMMYFUNCTION("""COMPUTED_VALUE"""),202)</f>
        <v>202</v>
      </c>
      <c r="R226" s="1">
        <f ca="1">IFERROR(__xludf.DUMMYFUNCTION("""COMPUTED_VALUE"""),106.1)</f>
        <v>106.1</v>
      </c>
      <c r="S226" s="1">
        <f ca="1">IFERROR(__xludf.DUMMYFUNCTION("""COMPUTED_VALUE"""),275)</f>
        <v>275</v>
      </c>
      <c r="T226" s="1">
        <f ca="1">IFERROR(__xludf.DUMMYFUNCTION("""COMPUTED_VALUE"""),-6.98)</f>
        <v>-6.98</v>
      </c>
      <c r="U226" s="1">
        <f ca="1">IFERROR(__xludf.DUMMYFUNCTION("""COMPUTED_VALUE"""),305)</f>
        <v>305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IFERROR(__xludf.DUMMYFUNCTION("""COMPUTED_VALUE"""),"Arkansas Little Rock")</f>
        <v>Arkansas Little Rock</v>
      </c>
      <c r="C227" s="1" t="str">
        <f ca="1">IFERROR(__xludf.DUMMYFUNCTION("""COMPUTED_VALUE"""),"SB")</f>
        <v>SB</v>
      </c>
      <c r="D227" s="1" t="str">
        <f ca="1">IFERROR(__xludf.DUMMYFUNCTION("""COMPUTED_VALUE"""),"14-15")</f>
        <v>14-15</v>
      </c>
      <c r="E227" s="1">
        <f ca="1">IFERROR(__xludf.DUMMYFUNCTION("""COMPUTED_VALUE"""),-5.28)</f>
        <v>-5.28</v>
      </c>
      <c r="F227" s="1">
        <f ca="1">IFERROR(__xludf.DUMMYFUNCTION("""COMPUTED_VALUE"""),95.6)</f>
        <v>95.6</v>
      </c>
      <c r="G227" s="1">
        <f ca="1">IFERROR(__xludf.DUMMYFUNCTION("""COMPUTED_VALUE"""),281)</f>
        <v>281</v>
      </c>
      <c r="H227" s="1">
        <f ca="1">IFERROR(__xludf.DUMMYFUNCTION("""COMPUTED_VALUE"""),100.9)</f>
        <v>100.9</v>
      </c>
      <c r="I227" s="1">
        <f ca="1">IFERROR(__xludf.DUMMYFUNCTION("""COMPUTED_VALUE"""),127)</f>
        <v>127</v>
      </c>
      <c r="J227" s="1">
        <f ca="1">IFERROR(__xludf.DUMMYFUNCTION("""COMPUTED_VALUE"""),64.6)</f>
        <v>64.599999999999994</v>
      </c>
      <c r="K227" s="1">
        <f ca="1">IFERROR(__xludf.DUMMYFUNCTION("""COMPUTED_VALUE"""),200)</f>
        <v>200</v>
      </c>
      <c r="L227" s="1" t="str">
        <f ca="1">IFERROR(__xludf.DUMMYFUNCTION("""COMPUTED_VALUE"""),"+.012")</f>
        <v>+.012</v>
      </c>
      <c r="M227" s="1">
        <f ca="1">IFERROR(__xludf.DUMMYFUNCTION("""COMPUTED_VALUE"""),137)</f>
        <v>137</v>
      </c>
      <c r="N227" s="1">
        <f ca="1">IFERROR(__xludf.DUMMYFUNCTION("""COMPUTED_VALUE"""),-3.75)</f>
        <v>-3.75</v>
      </c>
      <c r="O227" s="1">
        <f ca="1">IFERROR(__xludf.DUMMYFUNCTION("""COMPUTED_VALUE"""),227)</f>
        <v>227</v>
      </c>
      <c r="P227" s="1">
        <f ca="1">IFERROR(__xludf.DUMMYFUNCTION("""COMPUTED_VALUE"""),101.1)</f>
        <v>101.1</v>
      </c>
      <c r="Q227" s="1">
        <f ca="1">IFERROR(__xludf.DUMMYFUNCTION("""COMPUTED_VALUE"""),238)</f>
        <v>238</v>
      </c>
      <c r="R227" s="1">
        <f ca="1">IFERROR(__xludf.DUMMYFUNCTION("""COMPUTED_VALUE"""),104.8)</f>
        <v>104.8</v>
      </c>
      <c r="S227" s="1">
        <f ca="1">IFERROR(__xludf.DUMMYFUNCTION("""COMPUTED_VALUE"""),219)</f>
        <v>219</v>
      </c>
      <c r="T227" s="1">
        <f ca="1">IFERROR(__xludf.DUMMYFUNCTION("""COMPUTED_VALUE"""),-6.34)</f>
        <v>-6.34</v>
      </c>
      <c r="U227" s="1">
        <f ca="1">IFERROR(__xludf.DUMMYFUNCTION("""COMPUTED_VALUE"""),297)</f>
        <v>297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IFERROR(__xludf.DUMMYFUNCTION("""COMPUTED_VALUE"""),"Arkansas St.")</f>
        <v>Arkansas St.</v>
      </c>
      <c r="C228" s="1" t="str">
        <f ca="1">IFERROR(__xludf.DUMMYFUNCTION("""COMPUTED_VALUE"""),"SB")</f>
        <v>SB</v>
      </c>
      <c r="D228" s="2">
        <f ca="1">IFERROR(__xludf.DUMMYFUNCTION("""COMPUTED_VALUE"""),44913)</f>
        <v>44913</v>
      </c>
      <c r="E228" s="1">
        <f ca="1">IFERROR(__xludf.DUMMYFUNCTION("""COMPUTED_VALUE"""),-5.35)</f>
        <v>-5.35</v>
      </c>
      <c r="F228" s="1">
        <f ca="1">IFERROR(__xludf.DUMMYFUNCTION("""COMPUTED_VALUE"""),104.7)</f>
        <v>104.7</v>
      </c>
      <c r="G228" s="1">
        <f ca="1">IFERROR(__xludf.DUMMYFUNCTION("""COMPUTED_VALUE"""),137)</f>
        <v>137</v>
      </c>
      <c r="H228" s="1">
        <f ca="1">IFERROR(__xludf.DUMMYFUNCTION("""COMPUTED_VALUE"""),110)</f>
        <v>110</v>
      </c>
      <c r="I228" s="1">
        <f ca="1">IFERROR(__xludf.DUMMYFUNCTION("""COMPUTED_VALUE"""),290)</f>
        <v>290</v>
      </c>
      <c r="J228" s="1">
        <f ca="1">IFERROR(__xludf.DUMMYFUNCTION("""COMPUTED_VALUE"""),67.2)</f>
        <v>67.2</v>
      </c>
      <c r="K228" s="1">
        <f ca="1">IFERROR(__xludf.DUMMYFUNCTION("""COMPUTED_VALUE"""),95)</f>
        <v>95</v>
      </c>
      <c r="L228" s="1">
        <f ca="1">IFERROR(__xludf.DUMMYFUNCTION("""COMPUTED_VALUE"""),-0.028)</f>
        <v>-2.8000000000000001E-2</v>
      </c>
      <c r="M228" s="1">
        <f ca="1">IFERROR(__xludf.DUMMYFUNCTION("""COMPUTED_VALUE"""),235)</f>
        <v>235</v>
      </c>
      <c r="N228" s="1">
        <f ca="1">IFERROR(__xludf.DUMMYFUNCTION("""COMPUTED_VALUE"""),-0.8)</f>
        <v>-0.8</v>
      </c>
      <c r="O228" s="1">
        <f ca="1">IFERROR(__xludf.DUMMYFUNCTION("""COMPUTED_VALUE"""),179)</f>
        <v>179</v>
      </c>
      <c r="P228" s="1">
        <f ca="1">IFERROR(__xludf.DUMMYFUNCTION("""COMPUTED_VALUE"""),101.5)</f>
        <v>101.5</v>
      </c>
      <c r="Q228" s="1">
        <f ca="1">IFERROR(__xludf.DUMMYFUNCTION("""COMPUTED_VALUE"""),222)</f>
        <v>222</v>
      </c>
      <c r="R228" s="1">
        <f ca="1">IFERROR(__xludf.DUMMYFUNCTION("""COMPUTED_VALUE"""),102.3)</f>
        <v>102.3</v>
      </c>
      <c r="S228" s="1">
        <f ca="1">IFERROR(__xludf.DUMMYFUNCTION("""COMPUTED_VALUE"""),138)</f>
        <v>138</v>
      </c>
      <c r="T228" s="1" t="str">
        <f ca="1">IFERROR(__xludf.DUMMYFUNCTION("""COMPUTED_VALUE"""),"+1.27")</f>
        <v>+1.27</v>
      </c>
      <c r="U228" s="1">
        <f ca="1">IFERROR(__xludf.DUMMYFUNCTION("""COMPUTED_VALUE"""),123)</f>
        <v>123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IFERROR(__xludf.DUMMYFUNCTION("""COMPUTED_VALUE"""),"Rice")</f>
        <v>Rice</v>
      </c>
      <c r="C229" s="1" t="str">
        <f ca="1">IFERROR(__xludf.DUMMYFUNCTION("""COMPUTED_VALUE"""),"CUSA")</f>
        <v>CUSA</v>
      </c>
      <c r="D229" s="2">
        <f ca="1">IFERROR(__xludf.DUMMYFUNCTION("""COMPUTED_VALUE"""),44911)</f>
        <v>44911</v>
      </c>
      <c r="E229" s="1">
        <f ca="1">IFERROR(__xludf.DUMMYFUNCTION("""COMPUTED_VALUE"""),-5.36)</f>
        <v>-5.36</v>
      </c>
      <c r="F229" s="1">
        <f ca="1">IFERROR(__xludf.DUMMYFUNCTION("""COMPUTED_VALUE"""),100.2)</f>
        <v>100.2</v>
      </c>
      <c r="G229" s="1">
        <f ca="1">IFERROR(__xludf.DUMMYFUNCTION("""COMPUTED_VALUE"""),216)</f>
        <v>216</v>
      </c>
      <c r="H229" s="1">
        <f ca="1">IFERROR(__xludf.DUMMYFUNCTION("""COMPUTED_VALUE"""),105.6)</f>
        <v>105.6</v>
      </c>
      <c r="I229" s="1">
        <f ca="1">IFERROR(__xludf.DUMMYFUNCTION("""COMPUTED_VALUE"""),209)</f>
        <v>209</v>
      </c>
      <c r="J229" s="1">
        <f ca="1">IFERROR(__xludf.DUMMYFUNCTION("""COMPUTED_VALUE"""),65.3)</f>
        <v>65.3</v>
      </c>
      <c r="K229" s="1">
        <f ca="1">IFERROR(__xludf.DUMMYFUNCTION("""COMPUTED_VALUE"""),165)</f>
        <v>165</v>
      </c>
      <c r="L229" s="1" t="str">
        <f ca="1">IFERROR(__xludf.DUMMYFUNCTION("""COMPUTED_VALUE"""),"+.030")</f>
        <v>+.030</v>
      </c>
      <c r="M229" s="1">
        <f ca="1">IFERROR(__xludf.DUMMYFUNCTION("""COMPUTED_VALUE"""),91)</f>
        <v>91</v>
      </c>
      <c r="N229" s="1" t="str">
        <f ca="1">IFERROR(__xludf.DUMMYFUNCTION("""COMPUTED_VALUE"""),"+0.29")</f>
        <v>+0.29</v>
      </c>
      <c r="O229" s="1">
        <f ca="1">IFERROR(__xludf.DUMMYFUNCTION("""COMPUTED_VALUE"""),153)</f>
        <v>153</v>
      </c>
      <c r="P229" s="1">
        <f ca="1">IFERROR(__xludf.DUMMYFUNCTION("""COMPUTED_VALUE"""),101.4)</f>
        <v>101.4</v>
      </c>
      <c r="Q229" s="1">
        <f ca="1">IFERROR(__xludf.DUMMYFUNCTION("""COMPUTED_VALUE"""),228)</f>
        <v>228</v>
      </c>
      <c r="R229" s="1">
        <f ca="1">IFERROR(__xludf.DUMMYFUNCTION("""COMPUTED_VALUE"""),101.1)</f>
        <v>101.1</v>
      </c>
      <c r="S229" s="1">
        <f ca="1">IFERROR(__xludf.DUMMYFUNCTION("""COMPUTED_VALUE"""),96)</f>
        <v>96</v>
      </c>
      <c r="T229" s="1" t="str">
        <f ca="1">IFERROR(__xludf.DUMMYFUNCTION("""COMPUTED_VALUE"""),"+0.40")</f>
        <v>+0.40</v>
      </c>
      <c r="U229" s="1">
        <f ca="1">IFERROR(__xludf.DUMMYFUNCTION("""COMPUTED_VALUE"""),145)</f>
        <v>145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IFERROR(__xludf.DUMMYFUNCTION("""COMPUTED_VALUE"""),"McNeese St.")</f>
        <v>McNeese St.</v>
      </c>
      <c r="C230" s="1" t="str">
        <f ca="1">IFERROR(__xludf.DUMMYFUNCTION("""COMPUTED_VALUE"""),"Slnd")</f>
        <v>Slnd</v>
      </c>
      <c r="D230" s="1" t="str">
        <f ca="1">IFERROR(__xludf.DUMMYFUNCTION("""COMPUTED_VALUE"""),"14-14")</f>
        <v>14-14</v>
      </c>
      <c r="E230" s="1">
        <f ca="1">IFERROR(__xludf.DUMMYFUNCTION("""COMPUTED_VALUE"""),-5.56)</f>
        <v>-5.56</v>
      </c>
      <c r="F230" s="1">
        <f ca="1">IFERROR(__xludf.DUMMYFUNCTION("""COMPUTED_VALUE"""),97.9)</f>
        <v>97.9</v>
      </c>
      <c r="G230" s="1">
        <f ca="1">IFERROR(__xludf.DUMMYFUNCTION("""COMPUTED_VALUE"""),246)</f>
        <v>246</v>
      </c>
      <c r="H230" s="1">
        <f ca="1">IFERROR(__xludf.DUMMYFUNCTION("""COMPUTED_VALUE"""),103.5)</f>
        <v>103.5</v>
      </c>
      <c r="I230" s="1">
        <f ca="1">IFERROR(__xludf.DUMMYFUNCTION("""COMPUTED_VALUE"""),176)</f>
        <v>176</v>
      </c>
      <c r="J230" s="1">
        <f ca="1">IFERROR(__xludf.DUMMYFUNCTION("""COMPUTED_VALUE"""),70)</f>
        <v>70</v>
      </c>
      <c r="K230" s="1">
        <f ca="1">IFERROR(__xludf.DUMMYFUNCTION("""COMPUTED_VALUE"""),25)</f>
        <v>25</v>
      </c>
      <c r="L230" s="1" t="str">
        <f ca="1">IFERROR(__xludf.DUMMYFUNCTION("""COMPUTED_VALUE"""),"+.026")</f>
        <v>+.026</v>
      </c>
      <c r="M230" s="1">
        <f ca="1">IFERROR(__xludf.DUMMYFUNCTION("""COMPUTED_VALUE"""),103)</f>
        <v>103</v>
      </c>
      <c r="N230" s="1">
        <f ca="1">IFERROR(__xludf.DUMMYFUNCTION("""COMPUTED_VALUE"""),-2.91)</f>
        <v>-2.91</v>
      </c>
      <c r="O230" s="1">
        <f ca="1">IFERROR(__xludf.DUMMYFUNCTION("""COMPUTED_VALUE"""),211)</f>
        <v>211</v>
      </c>
      <c r="P230" s="1">
        <f ca="1">IFERROR(__xludf.DUMMYFUNCTION("""COMPUTED_VALUE"""),100.6)</f>
        <v>100.6</v>
      </c>
      <c r="Q230" s="1">
        <f ca="1">IFERROR(__xludf.DUMMYFUNCTION("""COMPUTED_VALUE"""),251)</f>
        <v>251</v>
      </c>
      <c r="R230" s="1">
        <f ca="1">IFERROR(__xludf.DUMMYFUNCTION("""COMPUTED_VALUE"""),103.5)</f>
        <v>103.5</v>
      </c>
      <c r="S230" s="1">
        <f ca="1">IFERROR(__xludf.DUMMYFUNCTION("""COMPUTED_VALUE"""),168)</f>
        <v>168</v>
      </c>
      <c r="T230" s="1" t="str">
        <f ca="1">IFERROR(__xludf.DUMMYFUNCTION("""COMPUTED_VALUE"""),"+5.51")</f>
        <v>+5.51</v>
      </c>
      <c r="U230" s="1">
        <f ca="1">IFERROR(__xludf.DUMMYFUNCTION("""COMPUTED_VALUE"""),43)</f>
        <v>43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IFERROR(__xludf.DUMMYFUNCTION("""COMPUTED_VALUE"""),"Georgia St.")</f>
        <v>Georgia St.</v>
      </c>
      <c r="C231" s="1" t="str">
        <f ca="1">IFERROR(__xludf.DUMMYFUNCTION("""COMPUTED_VALUE"""),"CAA")</f>
        <v>CAA</v>
      </c>
      <c r="D231" s="2">
        <f ca="1">IFERROR(__xludf.DUMMYFUNCTION("""COMPUTED_VALUE"""),44764)</f>
        <v>44764</v>
      </c>
      <c r="E231" s="1">
        <f ca="1">IFERROR(__xludf.DUMMYFUNCTION("""COMPUTED_VALUE"""),-5.62)</f>
        <v>-5.62</v>
      </c>
      <c r="F231" s="1">
        <f ca="1">IFERROR(__xludf.DUMMYFUNCTION("""COMPUTED_VALUE"""),102.3)</f>
        <v>102.3</v>
      </c>
      <c r="G231" s="1">
        <f ca="1">IFERROR(__xludf.DUMMYFUNCTION("""COMPUTED_VALUE"""),181)</f>
        <v>181</v>
      </c>
      <c r="H231" s="1">
        <f ca="1">IFERROR(__xludf.DUMMYFUNCTION("""COMPUTED_VALUE"""),107.9)</f>
        <v>107.9</v>
      </c>
      <c r="I231" s="1">
        <f ca="1">IFERROR(__xludf.DUMMYFUNCTION("""COMPUTED_VALUE"""),258)</f>
        <v>258</v>
      </c>
      <c r="J231" s="1">
        <f ca="1">IFERROR(__xludf.DUMMYFUNCTION("""COMPUTED_VALUE"""),63.6)</f>
        <v>63.6</v>
      </c>
      <c r="K231" s="1">
        <f ca="1">IFERROR(__xludf.DUMMYFUNCTION("""COMPUTED_VALUE"""),245)</f>
        <v>245</v>
      </c>
      <c r="L231" s="1">
        <f ca="1">IFERROR(__xludf.DUMMYFUNCTION("""COMPUTED_VALUE"""),-0.104)</f>
        <v>-0.104</v>
      </c>
      <c r="M231" s="1">
        <f ca="1">IFERROR(__xludf.DUMMYFUNCTION("""COMPUTED_VALUE"""),323)</f>
        <v>323</v>
      </c>
      <c r="N231" s="1" t="str">
        <f ca="1">IFERROR(__xludf.DUMMYFUNCTION("""COMPUTED_VALUE"""),"+2.48")</f>
        <v>+2.48</v>
      </c>
      <c r="O231" s="1">
        <f ca="1">IFERROR(__xludf.DUMMYFUNCTION("""COMPUTED_VALUE"""),105)</f>
        <v>105</v>
      </c>
      <c r="P231" s="1">
        <f ca="1">IFERROR(__xludf.DUMMYFUNCTION("""COMPUTED_VALUE"""),103.8)</f>
        <v>103.8</v>
      </c>
      <c r="Q231" s="1">
        <f ca="1">IFERROR(__xludf.DUMMYFUNCTION("""COMPUTED_VALUE"""),134)</f>
        <v>134</v>
      </c>
      <c r="R231" s="1">
        <f ca="1">IFERROR(__xludf.DUMMYFUNCTION("""COMPUTED_VALUE"""),101.3)</f>
        <v>101.3</v>
      </c>
      <c r="S231" s="1">
        <f ca="1">IFERROR(__xludf.DUMMYFUNCTION("""COMPUTED_VALUE"""),103)</f>
        <v>103</v>
      </c>
      <c r="T231" s="1" t="str">
        <f ca="1">IFERROR(__xludf.DUMMYFUNCTION("""COMPUTED_VALUE"""),"+0.52")</f>
        <v>+0.52</v>
      </c>
      <c r="U231" s="1">
        <f ca="1">IFERROR(__xludf.DUMMYFUNCTION("""COMPUTED_VALUE"""),141)</f>
        <v>141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IFERROR(__xludf.DUMMYFUNCTION("""COMPUTED_VALUE"""),"East Tennessee St.")</f>
        <v>East Tennessee St.</v>
      </c>
      <c r="C232" s="1" t="str">
        <f ca="1">IFERROR(__xludf.DUMMYFUNCTION("""COMPUTED_VALUE"""),"ASun")</f>
        <v>ASun</v>
      </c>
      <c r="D232" s="1" t="str">
        <f ca="1">IFERROR(__xludf.DUMMYFUNCTION("""COMPUTED_VALUE"""),"15-13")</f>
        <v>15-13</v>
      </c>
      <c r="E232" s="1">
        <f ca="1">IFERROR(__xludf.DUMMYFUNCTION("""COMPUTED_VALUE"""),-5.73)</f>
        <v>-5.73</v>
      </c>
      <c r="F232" s="1">
        <f ca="1">IFERROR(__xludf.DUMMYFUNCTION("""COMPUTED_VALUE"""),99.7)</f>
        <v>99.7</v>
      </c>
      <c r="G232" s="1">
        <f ca="1">IFERROR(__xludf.DUMMYFUNCTION("""COMPUTED_VALUE"""),224)</f>
        <v>224</v>
      </c>
      <c r="H232" s="1">
        <f ca="1">IFERROR(__xludf.DUMMYFUNCTION("""COMPUTED_VALUE"""),105.4)</f>
        <v>105.4</v>
      </c>
      <c r="I232" s="1">
        <f ca="1">IFERROR(__xludf.DUMMYFUNCTION("""COMPUTED_VALUE"""),206)</f>
        <v>206</v>
      </c>
      <c r="J232" s="1">
        <f ca="1">IFERROR(__xludf.DUMMYFUNCTION("""COMPUTED_VALUE"""),73)</f>
        <v>73</v>
      </c>
      <c r="K232" s="1">
        <f ca="1">IFERROR(__xludf.DUMMYFUNCTION("""COMPUTED_VALUE"""),4)</f>
        <v>4</v>
      </c>
      <c r="L232" s="1">
        <f ca="1">IFERROR(__xludf.DUMMYFUNCTION("""COMPUTED_VALUE"""),-0.066)</f>
        <v>-6.6000000000000003E-2</v>
      </c>
      <c r="M232" s="1">
        <f ca="1">IFERROR(__xludf.DUMMYFUNCTION("""COMPUTED_VALUE"""),300)</f>
        <v>300</v>
      </c>
      <c r="N232" s="1">
        <f ca="1">IFERROR(__xludf.DUMMYFUNCTION("""COMPUTED_VALUE"""),-11.41)</f>
        <v>-11.41</v>
      </c>
      <c r="O232" s="1">
        <f ca="1">IFERROR(__xludf.DUMMYFUNCTION("""COMPUTED_VALUE"""),329)</f>
        <v>329</v>
      </c>
      <c r="P232" s="1">
        <f ca="1">IFERROR(__xludf.DUMMYFUNCTION("""COMPUTED_VALUE"""),98.8)</f>
        <v>98.8</v>
      </c>
      <c r="Q232" s="1">
        <f ca="1">IFERROR(__xludf.DUMMYFUNCTION("""COMPUTED_VALUE"""),294)</f>
        <v>294</v>
      </c>
      <c r="R232" s="1">
        <f ca="1">IFERROR(__xludf.DUMMYFUNCTION("""COMPUTED_VALUE"""),110.2)</f>
        <v>110.2</v>
      </c>
      <c r="S232" s="1">
        <f ca="1">IFERROR(__xludf.DUMMYFUNCTION("""COMPUTED_VALUE"""),334)</f>
        <v>334</v>
      </c>
      <c r="T232" s="1">
        <f ca="1">IFERROR(__xludf.DUMMYFUNCTION("""COMPUTED_VALUE"""),-3.36)</f>
        <v>-3.36</v>
      </c>
      <c r="U232" s="1">
        <f ca="1">IFERROR(__xludf.DUMMYFUNCTION("""COMPUTED_VALUE"""),243)</f>
        <v>243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IFERROR(__xludf.DUMMYFUNCTION("""COMPUTED_VALUE"""),"Delaware")</f>
        <v>Delaware</v>
      </c>
      <c r="C233" s="1" t="str">
        <f ca="1">IFERROR(__xludf.DUMMYFUNCTION("""COMPUTED_VALUE"""),"CAA")</f>
        <v>CAA</v>
      </c>
      <c r="D233" s="2">
        <f ca="1">IFERROR(__xludf.DUMMYFUNCTION("""COMPUTED_VALUE"""),44825)</f>
        <v>44825</v>
      </c>
      <c r="E233" s="1">
        <f ca="1">IFERROR(__xludf.DUMMYFUNCTION("""COMPUTED_VALUE"""),-5.73)</f>
        <v>-5.73</v>
      </c>
      <c r="F233" s="1">
        <f ca="1">IFERROR(__xludf.DUMMYFUNCTION("""COMPUTED_VALUE"""),96.8)</f>
        <v>96.8</v>
      </c>
      <c r="G233" s="1">
        <f ca="1">IFERROR(__xludf.DUMMYFUNCTION("""COMPUTED_VALUE"""),267)</f>
        <v>267</v>
      </c>
      <c r="H233" s="1">
        <f ca="1">IFERROR(__xludf.DUMMYFUNCTION("""COMPUTED_VALUE"""),102.6)</f>
        <v>102.6</v>
      </c>
      <c r="I233" s="1">
        <f ca="1">IFERROR(__xludf.DUMMYFUNCTION("""COMPUTED_VALUE"""),156)</f>
        <v>156</v>
      </c>
      <c r="J233" s="1">
        <f ca="1">IFERROR(__xludf.DUMMYFUNCTION("""COMPUTED_VALUE"""),67.6)</f>
        <v>67.599999999999994</v>
      </c>
      <c r="K233" s="1">
        <f ca="1">IFERROR(__xludf.DUMMYFUNCTION("""COMPUTED_VALUE"""),80)</f>
        <v>80</v>
      </c>
      <c r="L233" s="1">
        <f ca="1">IFERROR(__xludf.DUMMYFUNCTION("""COMPUTED_VALUE"""),-0.033)</f>
        <v>-3.3000000000000002E-2</v>
      </c>
      <c r="M233" s="1">
        <f ca="1">IFERROR(__xludf.DUMMYFUNCTION("""COMPUTED_VALUE"""),248)</f>
        <v>248</v>
      </c>
      <c r="N233" s="1" t="str">
        <f ca="1">IFERROR(__xludf.DUMMYFUNCTION("""COMPUTED_VALUE"""),"+1.03")</f>
        <v>+1.03</v>
      </c>
      <c r="O233" s="1">
        <f ca="1">IFERROR(__xludf.DUMMYFUNCTION("""COMPUTED_VALUE"""),135)</f>
        <v>135</v>
      </c>
      <c r="P233" s="1">
        <f ca="1">IFERROR(__xludf.DUMMYFUNCTION("""COMPUTED_VALUE"""),103.7)</f>
        <v>103.7</v>
      </c>
      <c r="Q233" s="1">
        <f ca="1">IFERROR(__xludf.DUMMYFUNCTION("""COMPUTED_VALUE"""),141)</f>
        <v>141</v>
      </c>
      <c r="R233" s="1">
        <f ca="1">IFERROR(__xludf.DUMMYFUNCTION("""COMPUTED_VALUE"""),102.6)</f>
        <v>102.6</v>
      </c>
      <c r="S233" s="1">
        <f ca="1">IFERROR(__xludf.DUMMYFUNCTION("""COMPUTED_VALUE"""),150)</f>
        <v>150</v>
      </c>
      <c r="T233" s="1">
        <f ca="1">IFERROR(__xludf.DUMMYFUNCTION("""COMPUTED_VALUE"""),-5.26)</f>
        <v>-5.26</v>
      </c>
      <c r="U233" s="1">
        <f ca="1">IFERROR(__xludf.DUMMYFUNCTION("""COMPUTED_VALUE"""),280)</f>
        <v>280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IFERROR(__xludf.DUMMYFUNCTION("""COMPUTED_VALUE"""),"Tennessee Martin")</f>
        <v>Tennessee Martin</v>
      </c>
      <c r="C234" s="1" t="str">
        <f ca="1">IFERROR(__xludf.DUMMYFUNCTION("""COMPUTED_VALUE"""),"OVC")</f>
        <v>OVC</v>
      </c>
      <c r="D234" s="1" t="str">
        <f ca="1">IFERROR(__xludf.DUMMYFUNCTION("""COMPUTED_VALUE"""),"13-15")</f>
        <v>13-15</v>
      </c>
      <c r="E234" s="1">
        <f ca="1">IFERROR(__xludf.DUMMYFUNCTION("""COMPUTED_VALUE"""),-5.88)</f>
        <v>-5.88</v>
      </c>
      <c r="F234" s="1">
        <f ca="1">IFERROR(__xludf.DUMMYFUNCTION("""COMPUTED_VALUE"""),103.3)</f>
        <v>103.3</v>
      </c>
      <c r="G234" s="1">
        <f ca="1">IFERROR(__xludf.DUMMYFUNCTION("""COMPUTED_VALUE"""),164)</f>
        <v>164</v>
      </c>
      <c r="H234" s="1">
        <f ca="1">IFERROR(__xludf.DUMMYFUNCTION("""COMPUTED_VALUE"""),109.2)</f>
        <v>109.2</v>
      </c>
      <c r="I234" s="1">
        <f ca="1">IFERROR(__xludf.DUMMYFUNCTION("""COMPUTED_VALUE"""),276)</f>
        <v>276</v>
      </c>
      <c r="J234" s="1">
        <f ca="1">IFERROR(__xludf.DUMMYFUNCTION("""COMPUTED_VALUE"""),67.5)</f>
        <v>67.5</v>
      </c>
      <c r="K234" s="1">
        <f ca="1">IFERROR(__xludf.DUMMYFUNCTION("""COMPUTED_VALUE"""),83)</f>
        <v>83</v>
      </c>
      <c r="L234" s="1">
        <f ca="1">IFERROR(__xludf.DUMMYFUNCTION("""COMPUTED_VALUE"""),-0.003)</f>
        <v>-3.0000000000000001E-3</v>
      </c>
      <c r="M234" s="1">
        <f ca="1">IFERROR(__xludf.DUMMYFUNCTION("""COMPUTED_VALUE"""),176)</f>
        <v>176</v>
      </c>
      <c r="N234" s="1">
        <f ca="1">IFERROR(__xludf.DUMMYFUNCTION("""COMPUTED_VALUE"""),-4.06)</f>
        <v>-4.0599999999999996</v>
      </c>
      <c r="O234" s="1">
        <f ca="1">IFERROR(__xludf.DUMMYFUNCTION("""COMPUTED_VALUE"""),236)</f>
        <v>236</v>
      </c>
      <c r="P234" s="1">
        <f ca="1">IFERROR(__xludf.DUMMYFUNCTION("""COMPUTED_VALUE"""),102)</f>
        <v>102</v>
      </c>
      <c r="Q234" s="1">
        <f ca="1">IFERROR(__xludf.DUMMYFUNCTION("""COMPUTED_VALUE"""),208)</f>
        <v>208</v>
      </c>
      <c r="R234" s="1">
        <f ca="1">IFERROR(__xludf.DUMMYFUNCTION("""COMPUTED_VALUE"""),106)</f>
        <v>106</v>
      </c>
      <c r="S234" s="1">
        <f ca="1">IFERROR(__xludf.DUMMYFUNCTION("""COMPUTED_VALUE"""),274)</f>
        <v>274</v>
      </c>
      <c r="T234" s="1" t="str">
        <f ca="1">IFERROR(__xludf.DUMMYFUNCTION("""COMPUTED_VALUE"""),"+8.19")</f>
        <v>+8.19</v>
      </c>
      <c r="U234" s="1">
        <f ca="1">IFERROR(__xludf.DUMMYFUNCTION("""COMPUTED_VALUE"""),22)</f>
        <v>22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IFERROR(__xludf.DUMMYFUNCTION("""COMPUTED_VALUE"""),"Marshall")</f>
        <v>Marshall</v>
      </c>
      <c r="C235" s="1" t="str">
        <f ca="1">IFERROR(__xludf.DUMMYFUNCTION("""COMPUTED_VALUE"""),"CUSA")</f>
        <v>CUSA</v>
      </c>
      <c r="D235" s="2">
        <f ca="1">IFERROR(__xludf.DUMMYFUNCTION("""COMPUTED_VALUE"""),44911)</f>
        <v>44911</v>
      </c>
      <c r="E235" s="1">
        <f ca="1">IFERROR(__xludf.DUMMYFUNCTION("""COMPUTED_VALUE"""),-6.02)</f>
        <v>-6.02</v>
      </c>
      <c r="F235" s="1">
        <f ca="1">IFERROR(__xludf.DUMMYFUNCTION("""COMPUTED_VALUE"""),98.1)</f>
        <v>98.1</v>
      </c>
      <c r="G235" s="1">
        <f ca="1">IFERROR(__xludf.DUMMYFUNCTION("""COMPUTED_VALUE"""),245)</f>
        <v>245</v>
      </c>
      <c r="H235" s="1">
        <f ca="1">IFERROR(__xludf.DUMMYFUNCTION("""COMPUTED_VALUE"""),104.1)</f>
        <v>104.1</v>
      </c>
      <c r="I235" s="1">
        <f ca="1">IFERROR(__xludf.DUMMYFUNCTION("""COMPUTED_VALUE"""),189)</f>
        <v>189</v>
      </c>
      <c r="J235" s="1">
        <f ca="1">IFERROR(__xludf.DUMMYFUNCTION("""COMPUTED_VALUE"""),65.2)</f>
        <v>65.2</v>
      </c>
      <c r="K235" s="1">
        <f ca="1">IFERROR(__xludf.DUMMYFUNCTION("""COMPUTED_VALUE"""),167)</f>
        <v>167</v>
      </c>
      <c r="L235" s="1" t="str">
        <f ca="1">IFERROR(__xludf.DUMMYFUNCTION("""COMPUTED_VALUE"""),"+.034")</f>
        <v>+.034</v>
      </c>
      <c r="M235" s="1">
        <f ca="1">IFERROR(__xludf.DUMMYFUNCTION("""COMPUTED_VALUE"""),85)</f>
        <v>85</v>
      </c>
      <c r="N235" s="1">
        <f ca="1">IFERROR(__xludf.DUMMYFUNCTION("""COMPUTED_VALUE"""),-2.45)</f>
        <v>-2.4500000000000002</v>
      </c>
      <c r="O235" s="1">
        <f ca="1">IFERROR(__xludf.DUMMYFUNCTION("""COMPUTED_VALUE"""),205)</f>
        <v>205</v>
      </c>
      <c r="P235" s="1">
        <f ca="1">IFERROR(__xludf.DUMMYFUNCTION("""COMPUTED_VALUE"""),100.6)</f>
        <v>100.6</v>
      </c>
      <c r="Q235" s="1">
        <f ca="1">IFERROR(__xludf.DUMMYFUNCTION("""COMPUTED_VALUE"""),249)</f>
        <v>249</v>
      </c>
      <c r="R235" s="1">
        <f ca="1">IFERROR(__xludf.DUMMYFUNCTION("""COMPUTED_VALUE"""),103)</f>
        <v>103</v>
      </c>
      <c r="S235" s="1">
        <f ca="1">IFERROR(__xludf.DUMMYFUNCTION("""COMPUTED_VALUE"""),158)</f>
        <v>158</v>
      </c>
      <c r="T235" s="1">
        <f ca="1">IFERROR(__xludf.DUMMYFUNCTION("""COMPUTED_VALUE"""),-5.28)</f>
        <v>-5.28</v>
      </c>
      <c r="U235" s="1">
        <f ca="1">IFERROR(__xludf.DUMMYFUNCTION("""COMPUTED_VALUE"""),281)</f>
        <v>281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IFERROR(__xludf.DUMMYFUNCTION("""COMPUTED_VALUE"""),"Furman")</f>
        <v>Furman</v>
      </c>
      <c r="C236" s="1" t="str">
        <f ca="1">IFERROR(__xludf.DUMMYFUNCTION("""COMPUTED_VALUE"""),"SC")</f>
        <v>SC</v>
      </c>
      <c r="D236" s="1" t="str">
        <f ca="1">IFERROR(__xludf.DUMMYFUNCTION("""COMPUTED_VALUE"""),"15-13")</f>
        <v>15-13</v>
      </c>
      <c r="E236" s="1">
        <f ca="1">IFERROR(__xludf.DUMMYFUNCTION("""COMPUTED_VALUE"""),-6.04)</f>
        <v>-6.04</v>
      </c>
      <c r="F236" s="1">
        <f ca="1">IFERROR(__xludf.DUMMYFUNCTION("""COMPUTED_VALUE"""),102.6)</f>
        <v>102.6</v>
      </c>
      <c r="G236" s="1">
        <f ca="1">IFERROR(__xludf.DUMMYFUNCTION("""COMPUTED_VALUE"""),174)</f>
        <v>174</v>
      </c>
      <c r="H236" s="1">
        <f ca="1">IFERROR(__xludf.DUMMYFUNCTION("""COMPUTED_VALUE"""),108.7)</f>
        <v>108.7</v>
      </c>
      <c r="I236" s="1">
        <f ca="1">IFERROR(__xludf.DUMMYFUNCTION("""COMPUTED_VALUE"""),270)</f>
        <v>270</v>
      </c>
      <c r="J236" s="1">
        <f ca="1">IFERROR(__xludf.DUMMYFUNCTION("""COMPUTED_VALUE"""),62.6)</f>
        <v>62.6</v>
      </c>
      <c r="K236" s="1">
        <f ca="1">IFERROR(__xludf.DUMMYFUNCTION("""COMPUTED_VALUE"""),272)</f>
        <v>272</v>
      </c>
      <c r="L236" s="1">
        <f ca="1">IFERROR(__xludf.DUMMYFUNCTION("""COMPUTED_VALUE"""),-0.016)</f>
        <v>-1.6E-2</v>
      </c>
      <c r="M236" s="1">
        <f ca="1">IFERROR(__xludf.DUMMYFUNCTION("""COMPUTED_VALUE"""),208)</f>
        <v>208</v>
      </c>
      <c r="N236" s="1">
        <f ca="1">IFERROR(__xludf.DUMMYFUNCTION("""COMPUTED_VALUE"""),-6.21)</f>
        <v>-6.21</v>
      </c>
      <c r="O236" s="1">
        <f ca="1">IFERROR(__xludf.DUMMYFUNCTION("""COMPUTED_VALUE"""),275)</f>
        <v>275</v>
      </c>
      <c r="P236" s="1">
        <f ca="1">IFERROR(__xludf.DUMMYFUNCTION("""COMPUTED_VALUE"""),100.6)</f>
        <v>100.6</v>
      </c>
      <c r="Q236" s="1">
        <f ca="1">IFERROR(__xludf.DUMMYFUNCTION("""COMPUTED_VALUE"""),253)</f>
        <v>253</v>
      </c>
      <c r="R236" s="1">
        <f ca="1">IFERROR(__xludf.DUMMYFUNCTION("""COMPUTED_VALUE"""),106.8)</f>
        <v>106.8</v>
      </c>
      <c r="S236" s="1">
        <f ca="1">IFERROR(__xludf.DUMMYFUNCTION("""COMPUTED_VALUE"""),305)</f>
        <v>305</v>
      </c>
      <c r="T236" s="1">
        <f ca="1">IFERROR(__xludf.DUMMYFUNCTION("""COMPUTED_VALUE"""),-3.91)</f>
        <v>-3.91</v>
      </c>
      <c r="U236" s="1">
        <f ca="1">IFERROR(__xludf.DUMMYFUNCTION("""COMPUTED_VALUE"""),254)</f>
        <v>254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IFERROR(__xludf.DUMMYFUNCTION("""COMPUTED_VALUE"""),"Fairfield")</f>
        <v>Fairfield</v>
      </c>
      <c r="C237" s="1" t="str">
        <f ca="1">IFERROR(__xludf.DUMMYFUNCTION("""COMPUTED_VALUE"""),"MAAC")</f>
        <v>MAAC</v>
      </c>
      <c r="D237" s="2">
        <f ca="1">IFERROR(__xludf.DUMMYFUNCTION("""COMPUTED_VALUE"""),44823)</f>
        <v>44823</v>
      </c>
      <c r="E237" s="1">
        <f ca="1">IFERROR(__xludf.DUMMYFUNCTION("""COMPUTED_VALUE"""),-6.12)</f>
        <v>-6.12</v>
      </c>
      <c r="F237" s="1">
        <f ca="1">IFERROR(__xludf.DUMMYFUNCTION("""COMPUTED_VALUE"""),106.4)</f>
        <v>106.4</v>
      </c>
      <c r="G237" s="1">
        <f ca="1">IFERROR(__xludf.DUMMYFUNCTION("""COMPUTED_VALUE"""),109)</f>
        <v>109</v>
      </c>
      <c r="H237" s="1">
        <f ca="1">IFERROR(__xludf.DUMMYFUNCTION("""COMPUTED_VALUE"""),112.5)</f>
        <v>112.5</v>
      </c>
      <c r="I237" s="1">
        <f ca="1">IFERROR(__xludf.DUMMYFUNCTION("""COMPUTED_VALUE"""),312)</f>
        <v>312</v>
      </c>
      <c r="J237" s="1">
        <f ca="1">IFERROR(__xludf.DUMMYFUNCTION("""COMPUTED_VALUE"""),65.5)</f>
        <v>65.5</v>
      </c>
      <c r="K237" s="1">
        <f ca="1">IFERROR(__xludf.DUMMYFUNCTION("""COMPUTED_VALUE"""),158)</f>
        <v>158</v>
      </c>
      <c r="L237" s="1" t="str">
        <f ca="1">IFERROR(__xludf.DUMMYFUNCTION("""COMPUTED_VALUE"""),"+.034")</f>
        <v>+.034</v>
      </c>
      <c r="M237" s="1">
        <f ca="1">IFERROR(__xludf.DUMMYFUNCTION("""COMPUTED_VALUE"""),84)</f>
        <v>84</v>
      </c>
      <c r="N237" s="1" t="str">
        <f ca="1">IFERROR(__xludf.DUMMYFUNCTION("""COMPUTED_VALUE"""),"+1.45")</f>
        <v>+1.45</v>
      </c>
      <c r="O237" s="1">
        <f ca="1">IFERROR(__xludf.DUMMYFUNCTION("""COMPUTED_VALUE"""),130)</f>
        <v>130</v>
      </c>
      <c r="P237" s="1">
        <f ca="1">IFERROR(__xludf.DUMMYFUNCTION("""COMPUTED_VALUE"""),105.5)</f>
        <v>105.5</v>
      </c>
      <c r="Q237" s="1">
        <f ca="1">IFERROR(__xludf.DUMMYFUNCTION("""COMPUTED_VALUE"""),68)</f>
        <v>68</v>
      </c>
      <c r="R237" s="1">
        <f ca="1">IFERROR(__xludf.DUMMYFUNCTION("""COMPUTED_VALUE"""),104.1)</f>
        <v>104.1</v>
      </c>
      <c r="S237" s="1">
        <f ca="1">IFERROR(__xludf.DUMMYFUNCTION("""COMPUTED_VALUE"""),186)</f>
        <v>186</v>
      </c>
      <c r="T237" s="1" t="str">
        <f ca="1">IFERROR(__xludf.DUMMYFUNCTION("""COMPUTED_VALUE"""),"+4.71")</f>
        <v>+4.71</v>
      </c>
      <c r="U237" s="1">
        <f ca="1">IFERROR(__xludf.DUMMYFUNCTION("""COMPUTED_VALUE"""),54)</f>
        <v>54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IFERROR(__xludf.DUMMYFUNCTION("""COMPUTED_VALUE"""),"UTSA")</f>
        <v>UTSA</v>
      </c>
      <c r="C238" s="1" t="str">
        <f ca="1">IFERROR(__xludf.DUMMYFUNCTION("""COMPUTED_VALUE"""),"Slnd")</f>
        <v>Slnd</v>
      </c>
      <c r="D238" s="2">
        <f ca="1">IFERROR(__xludf.DUMMYFUNCTION("""COMPUTED_VALUE"""),44882)</f>
        <v>44882</v>
      </c>
      <c r="E238" s="1">
        <f ca="1">IFERROR(__xludf.DUMMYFUNCTION("""COMPUTED_VALUE"""),-6.13)</f>
        <v>-6.13</v>
      </c>
      <c r="F238" s="1">
        <f ca="1">IFERROR(__xludf.DUMMYFUNCTION("""COMPUTED_VALUE"""),99.9)</f>
        <v>99.9</v>
      </c>
      <c r="G238" s="1">
        <f ca="1">IFERROR(__xludf.DUMMYFUNCTION("""COMPUTED_VALUE"""),220)</f>
        <v>220</v>
      </c>
      <c r="H238" s="1">
        <f ca="1">IFERROR(__xludf.DUMMYFUNCTION("""COMPUTED_VALUE"""),106)</f>
        <v>106</v>
      </c>
      <c r="I238" s="1">
        <f ca="1">IFERROR(__xludf.DUMMYFUNCTION("""COMPUTED_VALUE"""),222)</f>
        <v>222</v>
      </c>
      <c r="J238" s="1">
        <f ca="1">IFERROR(__xludf.DUMMYFUNCTION("""COMPUTED_VALUE"""),69.9)</f>
        <v>69.900000000000006</v>
      </c>
      <c r="K238" s="1">
        <f ca="1">IFERROR(__xludf.DUMMYFUNCTION("""COMPUTED_VALUE"""),28)</f>
        <v>28</v>
      </c>
      <c r="L238" s="1">
        <f ca="1">IFERROR(__xludf.DUMMYFUNCTION("""COMPUTED_VALUE"""),-0.081)</f>
        <v>-8.1000000000000003E-2</v>
      </c>
      <c r="M238" s="1">
        <f ca="1">IFERROR(__xludf.DUMMYFUNCTION("""COMPUTED_VALUE"""),310)</f>
        <v>310</v>
      </c>
      <c r="N238" s="1">
        <f ca="1">IFERROR(__xludf.DUMMYFUNCTION("""COMPUTED_VALUE"""),-3.44)</f>
        <v>-3.44</v>
      </c>
      <c r="O238" s="1">
        <f ca="1">IFERROR(__xludf.DUMMYFUNCTION("""COMPUTED_VALUE"""),218)</f>
        <v>218</v>
      </c>
      <c r="P238" s="1">
        <f ca="1">IFERROR(__xludf.DUMMYFUNCTION("""COMPUTED_VALUE"""),100.6)</f>
        <v>100.6</v>
      </c>
      <c r="Q238" s="1">
        <f ca="1">IFERROR(__xludf.DUMMYFUNCTION("""COMPUTED_VALUE"""),252)</f>
        <v>252</v>
      </c>
      <c r="R238" s="1">
        <f ca="1">IFERROR(__xludf.DUMMYFUNCTION("""COMPUTED_VALUE"""),104)</f>
        <v>104</v>
      </c>
      <c r="S238" s="1">
        <f ca="1">IFERROR(__xludf.DUMMYFUNCTION("""COMPUTED_VALUE"""),182)</f>
        <v>182</v>
      </c>
      <c r="T238" s="1">
        <f ca="1">IFERROR(__xludf.DUMMYFUNCTION("""COMPUTED_VALUE"""),-0.98)</f>
        <v>-0.98</v>
      </c>
      <c r="U238" s="1">
        <f ca="1">IFERROR(__xludf.DUMMYFUNCTION("""COMPUTED_VALUE"""),178)</f>
        <v>178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IFERROR(__xludf.DUMMYFUNCTION("""COMPUTED_VALUE"""),"Elon")</f>
        <v>Elon</v>
      </c>
      <c r="C239" s="1" t="str">
        <f ca="1">IFERROR(__xludf.DUMMYFUNCTION("""COMPUTED_VALUE"""),"SC")</f>
        <v>SC</v>
      </c>
      <c r="D239" s="1" t="str">
        <f ca="1">IFERROR(__xludf.DUMMYFUNCTION("""COMPUTED_VALUE"""),"15-14")</f>
        <v>15-14</v>
      </c>
      <c r="E239" s="1">
        <f ca="1">IFERROR(__xludf.DUMMYFUNCTION("""COMPUTED_VALUE"""),-6.23)</f>
        <v>-6.23</v>
      </c>
      <c r="F239" s="1">
        <f ca="1">IFERROR(__xludf.DUMMYFUNCTION("""COMPUTED_VALUE"""),97.6)</f>
        <v>97.6</v>
      </c>
      <c r="G239" s="1">
        <f ca="1">IFERROR(__xludf.DUMMYFUNCTION("""COMPUTED_VALUE"""),251)</f>
        <v>251</v>
      </c>
      <c r="H239" s="1">
        <f ca="1">IFERROR(__xludf.DUMMYFUNCTION("""COMPUTED_VALUE"""),103.8)</f>
        <v>103.8</v>
      </c>
      <c r="I239" s="1">
        <f ca="1">IFERROR(__xludf.DUMMYFUNCTION("""COMPUTED_VALUE"""),183)</f>
        <v>183</v>
      </c>
      <c r="J239" s="1">
        <f ca="1">IFERROR(__xludf.DUMMYFUNCTION("""COMPUTED_VALUE"""),64)</f>
        <v>64</v>
      </c>
      <c r="K239" s="1">
        <f ca="1">IFERROR(__xludf.DUMMYFUNCTION("""COMPUTED_VALUE"""),231)</f>
        <v>231</v>
      </c>
      <c r="L239" s="1" t="str">
        <f ca="1">IFERROR(__xludf.DUMMYFUNCTION("""COMPUTED_VALUE"""),"+.076")</f>
        <v>+.076</v>
      </c>
      <c r="M239" s="1">
        <f ca="1">IFERROR(__xludf.DUMMYFUNCTION("""COMPUTED_VALUE"""),27)</f>
        <v>27</v>
      </c>
      <c r="N239" s="1">
        <f ca="1">IFERROR(__xludf.DUMMYFUNCTION("""COMPUTED_VALUE"""),-2.22)</f>
        <v>-2.2200000000000002</v>
      </c>
      <c r="O239" s="1">
        <f ca="1">IFERROR(__xludf.DUMMYFUNCTION("""COMPUTED_VALUE"""),201)</f>
        <v>201</v>
      </c>
      <c r="P239" s="1">
        <f ca="1">IFERROR(__xludf.DUMMYFUNCTION("""COMPUTED_VALUE"""),103)</f>
        <v>103</v>
      </c>
      <c r="Q239" s="1">
        <f ca="1">IFERROR(__xludf.DUMMYFUNCTION("""COMPUTED_VALUE"""),167)</f>
        <v>167</v>
      </c>
      <c r="R239" s="1">
        <f ca="1">IFERROR(__xludf.DUMMYFUNCTION("""COMPUTED_VALUE"""),105.2)</f>
        <v>105.2</v>
      </c>
      <c r="S239" s="1">
        <f ca="1">IFERROR(__xludf.DUMMYFUNCTION("""COMPUTED_VALUE"""),241)</f>
        <v>241</v>
      </c>
      <c r="T239" s="1" t="str">
        <f ca="1">IFERROR(__xludf.DUMMYFUNCTION("""COMPUTED_VALUE"""),"+6.26")</f>
        <v>+6.26</v>
      </c>
      <c r="U239" s="1">
        <f ca="1">IFERROR(__xludf.DUMMYFUNCTION("""COMPUTED_VALUE"""),39)</f>
        <v>39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IFERROR(__xludf.DUMMYFUNCTION("""COMPUTED_VALUE"""),"Utah Valley St.")</f>
        <v>Utah Valley St.</v>
      </c>
      <c r="C240" s="1" t="str">
        <f ca="1">IFERROR(__xludf.DUMMYFUNCTION("""COMPUTED_VALUE"""),"ind")</f>
        <v>ind</v>
      </c>
      <c r="D240" s="1" t="str">
        <f ca="1">IFERROR(__xludf.DUMMYFUNCTION("""COMPUTED_VALUE"""),"16-13")</f>
        <v>16-13</v>
      </c>
      <c r="E240" s="1">
        <f ca="1">IFERROR(__xludf.DUMMYFUNCTION("""COMPUTED_VALUE"""),-6.37)</f>
        <v>-6.37</v>
      </c>
      <c r="F240" s="1">
        <f ca="1">IFERROR(__xludf.DUMMYFUNCTION("""COMPUTED_VALUE"""),101.8)</f>
        <v>101.8</v>
      </c>
      <c r="G240" s="1">
        <f ca="1">IFERROR(__xludf.DUMMYFUNCTION("""COMPUTED_VALUE"""),187)</f>
        <v>187</v>
      </c>
      <c r="H240" s="1">
        <f ca="1">IFERROR(__xludf.DUMMYFUNCTION("""COMPUTED_VALUE"""),108.2)</f>
        <v>108.2</v>
      </c>
      <c r="I240" s="1">
        <f ca="1">IFERROR(__xludf.DUMMYFUNCTION("""COMPUTED_VALUE"""),264)</f>
        <v>264</v>
      </c>
      <c r="J240" s="1">
        <f ca="1">IFERROR(__xludf.DUMMYFUNCTION("""COMPUTED_VALUE"""),59.3)</f>
        <v>59.3</v>
      </c>
      <c r="K240" s="1">
        <f ca="1">IFERROR(__xludf.DUMMYFUNCTION("""COMPUTED_VALUE"""),322)</f>
        <v>322</v>
      </c>
      <c r="L240" s="1">
        <f ca="1">IFERROR(__xludf.DUMMYFUNCTION("""COMPUTED_VALUE"""),-0.011)</f>
        <v>-1.0999999999999999E-2</v>
      </c>
      <c r="M240" s="1">
        <f ca="1">IFERROR(__xludf.DUMMYFUNCTION("""COMPUTED_VALUE"""),195)</f>
        <v>195</v>
      </c>
      <c r="N240" s="1">
        <f ca="1">IFERROR(__xludf.DUMMYFUNCTION("""COMPUTED_VALUE"""),-8.52)</f>
        <v>-8.52</v>
      </c>
      <c r="O240" s="1">
        <f ca="1">IFERROR(__xludf.DUMMYFUNCTION("""COMPUTED_VALUE"""),310)</f>
        <v>310</v>
      </c>
      <c r="P240" s="1">
        <f ca="1">IFERROR(__xludf.DUMMYFUNCTION("""COMPUTED_VALUE"""),99)</f>
        <v>99</v>
      </c>
      <c r="Q240" s="1">
        <f ca="1">IFERROR(__xludf.DUMMYFUNCTION("""COMPUTED_VALUE"""),291)</f>
        <v>291</v>
      </c>
      <c r="R240" s="1">
        <f ca="1">IFERROR(__xludf.DUMMYFUNCTION("""COMPUTED_VALUE"""),107.5)</f>
        <v>107.5</v>
      </c>
      <c r="S240" s="1">
        <f ca="1">IFERROR(__xludf.DUMMYFUNCTION("""COMPUTED_VALUE"""),319)</f>
        <v>319</v>
      </c>
      <c r="T240" s="1">
        <f ca="1">IFERROR(__xludf.DUMMYFUNCTION("""COMPUTED_VALUE"""),-7.1)</f>
        <v>-7.1</v>
      </c>
      <c r="U240" s="1">
        <f ca="1">IFERROR(__xludf.DUMMYFUNCTION("""COMPUTED_VALUE"""),309)</f>
        <v>309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IFERROR(__xludf.DUMMYFUNCTION("""COMPUTED_VALUE"""),"Rider")</f>
        <v>Rider</v>
      </c>
      <c r="C241" s="1" t="str">
        <f ca="1">IFERROR(__xludf.DUMMYFUNCTION("""COMPUTED_VALUE"""),"MAAC")</f>
        <v>MAAC</v>
      </c>
      <c r="D241" s="2">
        <f ca="1">IFERROR(__xludf.DUMMYFUNCTION("""COMPUTED_VALUE"""),44793)</f>
        <v>44793</v>
      </c>
      <c r="E241" s="1">
        <f ca="1">IFERROR(__xludf.DUMMYFUNCTION("""COMPUTED_VALUE"""),-6.39)</f>
        <v>-6.39</v>
      </c>
      <c r="F241" s="1">
        <f ca="1">IFERROR(__xludf.DUMMYFUNCTION("""COMPUTED_VALUE"""),100.9)</f>
        <v>100.9</v>
      </c>
      <c r="G241" s="1">
        <f ca="1">IFERROR(__xludf.DUMMYFUNCTION("""COMPUTED_VALUE"""),204)</f>
        <v>204</v>
      </c>
      <c r="H241" s="1">
        <f ca="1">IFERROR(__xludf.DUMMYFUNCTION("""COMPUTED_VALUE"""),107.3)</f>
        <v>107.3</v>
      </c>
      <c r="I241" s="1">
        <f ca="1">IFERROR(__xludf.DUMMYFUNCTION("""COMPUTED_VALUE"""),245)</f>
        <v>245</v>
      </c>
      <c r="J241" s="1">
        <f ca="1">IFERROR(__xludf.DUMMYFUNCTION("""COMPUTED_VALUE"""),67.6)</f>
        <v>67.599999999999994</v>
      </c>
      <c r="K241" s="1">
        <f ca="1">IFERROR(__xludf.DUMMYFUNCTION("""COMPUTED_VALUE"""),82)</f>
        <v>82</v>
      </c>
      <c r="L241" s="1">
        <f ca="1">IFERROR(__xludf.DUMMYFUNCTION("""COMPUTED_VALUE"""),-0.035)</f>
        <v>-3.5000000000000003E-2</v>
      </c>
      <c r="M241" s="1">
        <f ca="1">IFERROR(__xludf.DUMMYFUNCTION("""COMPUTED_VALUE"""),253)</f>
        <v>253</v>
      </c>
      <c r="N241" s="1" t="str">
        <f ca="1">IFERROR(__xludf.DUMMYFUNCTION("""COMPUTED_VALUE"""),"+1.00")</f>
        <v>+1.00</v>
      </c>
      <c r="O241" s="1">
        <f ca="1">IFERROR(__xludf.DUMMYFUNCTION("""COMPUTED_VALUE"""),136)</f>
        <v>136</v>
      </c>
      <c r="P241" s="1">
        <f ca="1">IFERROR(__xludf.DUMMYFUNCTION("""COMPUTED_VALUE"""),105.1)</f>
        <v>105.1</v>
      </c>
      <c r="Q241" s="1">
        <f ca="1">IFERROR(__xludf.DUMMYFUNCTION("""COMPUTED_VALUE"""),84)</f>
        <v>84</v>
      </c>
      <c r="R241" s="1">
        <f ca="1">IFERROR(__xludf.DUMMYFUNCTION("""COMPUTED_VALUE"""),104.1)</f>
        <v>104.1</v>
      </c>
      <c r="S241" s="1">
        <f ca="1">IFERROR(__xludf.DUMMYFUNCTION("""COMPUTED_VALUE"""),187)</f>
        <v>187</v>
      </c>
      <c r="T241" s="1" t="str">
        <f ca="1">IFERROR(__xludf.DUMMYFUNCTION("""COMPUTED_VALUE"""),"+2.83")</f>
        <v>+2.83</v>
      </c>
      <c r="U241" s="1">
        <f ca="1">IFERROR(__xludf.DUMMYFUNCTION("""COMPUTED_VALUE"""),81)</f>
        <v>81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IFERROR(__xludf.DUMMYFUNCTION("""COMPUTED_VALUE"""),"Radford")</f>
        <v>Radford</v>
      </c>
      <c r="C242" s="1" t="str">
        <f ca="1">IFERROR(__xludf.DUMMYFUNCTION("""COMPUTED_VALUE"""),"BSth")</f>
        <v>BSth</v>
      </c>
      <c r="D242" s="1" t="str">
        <f ca="1">IFERROR(__xludf.DUMMYFUNCTION("""COMPUTED_VALUE"""),"16-13")</f>
        <v>16-13</v>
      </c>
      <c r="E242" s="1">
        <f ca="1">IFERROR(__xludf.DUMMYFUNCTION("""COMPUTED_VALUE"""),-6.48)</f>
        <v>-6.48</v>
      </c>
      <c r="F242" s="1">
        <f ca="1">IFERROR(__xludf.DUMMYFUNCTION("""COMPUTED_VALUE"""),104.1)</f>
        <v>104.1</v>
      </c>
      <c r="G242" s="1">
        <f ca="1">IFERROR(__xludf.DUMMYFUNCTION("""COMPUTED_VALUE"""),148)</f>
        <v>148</v>
      </c>
      <c r="H242" s="1">
        <f ca="1">IFERROR(__xludf.DUMMYFUNCTION("""COMPUTED_VALUE"""),110.6)</f>
        <v>110.6</v>
      </c>
      <c r="I242" s="1">
        <f ca="1">IFERROR(__xludf.DUMMYFUNCTION("""COMPUTED_VALUE"""),294)</f>
        <v>294</v>
      </c>
      <c r="J242" s="1">
        <f ca="1">IFERROR(__xludf.DUMMYFUNCTION("""COMPUTED_VALUE"""),67)</f>
        <v>67</v>
      </c>
      <c r="K242" s="1">
        <f ca="1">IFERROR(__xludf.DUMMYFUNCTION("""COMPUTED_VALUE"""),100)</f>
        <v>100</v>
      </c>
      <c r="L242" s="1" t="str">
        <f ca="1">IFERROR(__xludf.DUMMYFUNCTION("""COMPUTED_VALUE"""),"+.047")</f>
        <v>+.047</v>
      </c>
      <c r="M242" s="1">
        <f ca="1">IFERROR(__xludf.DUMMYFUNCTION("""COMPUTED_VALUE"""),58)</f>
        <v>58</v>
      </c>
      <c r="N242" s="1">
        <f ca="1">IFERROR(__xludf.DUMMYFUNCTION("""COMPUTED_VALUE"""),-6.81)</f>
        <v>-6.81</v>
      </c>
      <c r="O242" s="1">
        <f ca="1">IFERROR(__xludf.DUMMYFUNCTION("""COMPUTED_VALUE"""),285)</f>
        <v>285</v>
      </c>
      <c r="P242" s="1">
        <f ca="1">IFERROR(__xludf.DUMMYFUNCTION("""COMPUTED_VALUE"""),99.5)</f>
        <v>99.5</v>
      </c>
      <c r="Q242" s="1">
        <f ca="1">IFERROR(__xludf.DUMMYFUNCTION("""COMPUTED_VALUE"""),279)</f>
        <v>279</v>
      </c>
      <c r="R242" s="1">
        <f ca="1">IFERROR(__xludf.DUMMYFUNCTION("""COMPUTED_VALUE"""),106.3)</f>
        <v>106.3</v>
      </c>
      <c r="S242" s="1">
        <f ca="1">IFERROR(__xludf.DUMMYFUNCTION("""COMPUTED_VALUE"""),291)</f>
        <v>291</v>
      </c>
      <c r="T242" s="1">
        <f ca="1">IFERROR(__xludf.DUMMYFUNCTION("""COMPUTED_VALUE"""),-3.14)</f>
        <v>-3.14</v>
      </c>
      <c r="U242" s="1">
        <f ca="1">IFERROR(__xludf.DUMMYFUNCTION("""COMPUTED_VALUE"""),237)</f>
        <v>237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IFERROR(__xludf.DUMMYFUNCTION("""COMPUTED_VALUE"""),"New Orleans")</f>
        <v>New Orleans</v>
      </c>
      <c r="C243" s="1" t="str">
        <f ca="1">IFERROR(__xludf.DUMMYFUNCTION("""COMPUTED_VALUE"""),"SB")</f>
        <v>SB</v>
      </c>
      <c r="D243" s="2">
        <f ca="1">IFERROR(__xludf.DUMMYFUNCTION("""COMPUTED_VALUE"""),44853)</f>
        <v>44853</v>
      </c>
      <c r="E243" s="1">
        <f ca="1">IFERROR(__xludf.DUMMYFUNCTION("""COMPUTED_VALUE"""),-6.53)</f>
        <v>-6.53</v>
      </c>
      <c r="F243" s="1">
        <f ca="1">IFERROR(__xludf.DUMMYFUNCTION("""COMPUTED_VALUE"""),99.1)</f>
        <v>99.1</v>
      </c>
      <c r="G243" s="1">
        <f ca="1">IFERROR(__xludf.DUMMYFUNCTION("""COMPUTED_VALUE"""),231)</f>
        <v>231</v>
      </c>
      <c r="H243" s="1">
        <f ca="1">IFERROR(__xludf.DUMMYFUNCTION("""COMPUTED_VALUE"""),105.6)</f>
        <v>105.6</v>
      </c>
      <c r="I243" s="1">
        <f ca="1">IFERROR(__xludf.DUMMYFUNCTION("""COMPUTED_VALUE"""),212)</f>
        <v>212</v>
      </c>
      <c r="J243" s="1">
        <f ca="1">IFERROR(__xludf.DUMMYFUNCTION("""COMPUTED_VALUE"""),63)</f>
        <v>63</v>
      </c>
      <c r="K243" s="1">
        <f ca="1">IFERROR(__xludf.DUMMYFUNCTION("""COMPUTED_VALUE"""),259)</f>
        <v>259</v>
      </c>
      <c r="L243" s="1" t="str">
        <f ca="1">IFERROR(__xludf.DUMMYFUNCTION("""COMPUTED_VALUE"""),"+.002")</f>
        <v>+.002</v>
      </c>
      <c r="M243" s="1">
        <f ca="1">IFERROR(__xludf.DUMMYFUNCTION("""COMPUTED_VALUE"""),164)</f>
        <v>164</v>
      </c>
      <c r="N243" s="1" t="str">
        <f ca="1">IFERROR(__xludf.DUMMYFUNCTION("""COMPUTED_VALUE"""),"+1.27")</f>
        <v>+1.27</v>
      </c>
      <c r="O243" s="1">
        <f ca="1">IFERROR(__xludf.DUMMYFUNCTION("""COMPUTED_VALUE"""),132)</f>
        <v>132</v>
      </c>
      <c r="P243" s="1">
        <f ca="1">IFERROR(__xludf.DUMMYFUNCTION("""COMPUTED_VALUE"""),102.6)</f>
        <v>102.6</v>
      </c>
      <c r="Q243" s="1">
        <f ca="1">IFERROR(__xludf.DUMMYFUNCTION("""COMPUTED_VALUE"""),183)</f>
        <v>183</v>
      </c>
      <c r="R243" s="1">
        <f ca="1">IFERROR(__xludf.DUMMYFUNCTION("""COMPUTED_VALUE"""),101.3)</f>
        <v>101.3</v>
      </c>
      <c r="S243" s="1">
        <f ca="1">IFERROR(__xludf.DUMMYFUNCTION("""COMPUTED_VALUE"""),105)</f>
        <v>105</v>
      </c>
      <c r="T243" s="1" t="str">
        <f ca="1">IFERROR(__xludf.DUMMYFUNCTION("""COMPUTED_VALUE"""),"+7.17")</f>
        <v>+7.17</v>
      </c>
      <c r="U243" s="1">
        <f ca="1">IFERROR(__xludf.DUMMYFUNCTION("""COMPUTED_VALUE"""),33)</f>
        <v>33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IFERROR(__xludf.DUMMYFUNCTION("""COMPUTED_VALUE"""),"Western Michigan")</f>
        <v>Western Michigan</v>
      </c>
      <c r="C244" s="1" t="str">
        <f ca="1">IFERROR(__xludf.DUMMYFUNCTION("""COMPUTED_VALUE"""),"MAC")</f>
        <v>MAC</v>
      </c>
      <c r="D244" s="1" t="str">
        <f ca="1">IFERROR(__xludf.DUMMYFUNCTION("""COMPUTED_VALUE"""),"14-17")</f>
        <v>14-17</v>
      </c>
      <c r="E244" s="1">
        <f ca="1">IFERROR(__xludf.DUMMYFUNCTION("""COMPUTED_VALUE"""),-6.55)</f>
        <v>-6.55</v>
      </c>
      <c r="F244" s="1">
        <f ca="1">IFERROR(__xludf.DUMMYFUNCTION("""COMPUTED_VALUE"""),96.6)</f>
        <v>96.6</v>
      </c>
      <c r="G244" s="1">
        <f ca="1">IFERROR(__xludf.DUMMYFUNCTION("""COMPUTED_VALUE"""),272)</f>
        <v>272</v>
      </c>
      <c r="H244" s="1">
        <f ca="1">IFERROR(__xludf.DUMMYFUNCTION("""COMPUTED_VALUE"""),103.2)</f>
        <v>103.2</v>
      </c>
      <c r="I244" s="1">
        <f ca="1">IFERROR(__xludf.DUMMYFUNCTION("""COMPUTED_VALUE"""),168)</f>
        <v>168</v>
      </c>
      <c r="J244" s="1">
        <f ca="1">IFERROR(__xludf.DUMMYFUNCTION("""COMPUTED_VALUE"""),64.7)</f>
        <v>64.7</v>
      </c>
      <c r="K244" s="1">
        <f ca="1">IFERROR(__xludf.DUMMYFUNCTION("""COMPUTED_VALUE"""),196)</f>
        <v>196</v>
      </c>
      <c r="L244" s="1" t="str">
        <f ca="1">IFERROR(__xludf.DUMMYFUNCTION("""COMPUTED_VALUE"""),"+.103")</f>
        <v>+.103</v>
      </c>
      <c r="M244" s="1">
        <f ca="1">IFERROR(__xludf.DUMMYFUNCTION("""COMPUTED_VALUE"""),10)</f>
        <v>10</v>
      </c>
      <c r="N244" s="1" t="str">
        <f ca="1">IFERROR(__xludf.DUMMYFUNCTION("""COMPUTED_VALUE"""),"+0.74")</f>
        <v>+0.74</v>
      </c>
      <c r="O244" s="1">
        <f ca="1">IFERROR(__xludf.DUMMYFUNCTION("""COMPUTED_VALUE"""),141)</f>
        <v>141</v>
      </c>
      <c r="P244" s="1">
        <f ca="1">IFERROR(__xludf.DUMMYFUNCTION("""COMPUTED_VALUE"""),103.2)</f>
        <v>103.2</v>
      </c>
      <c r="Q244" s="1">
        <f ca="1">IFERROR(__xludf.DUMMYFUNCTION("""COMPUTED_VALUE"""),160)</f>
        <v>160</v>
      </c>
      <c r="R244" s="1">
        <f ca="1">IFERROR(__xludf.DUMMYFUNCTION("""COMPUTED_VALUE"""),102.5)</f>
        <v>102.5</v>
      </c>
      <c r="S244" s="1">
        <f ca="1">IFERROR(__xludf.DUMMYFUNCTION("""COMPUTED_VALUE"""),143)</f>
        <v>143</v>
      </c>
      <c r="T244" s="1" t="str">
        <f ca="1">IFERROR(__xludf.DUMMYFUNCTION("""COMPUTED_VALUE"""),"+3.25")</f>
        <v>+3.25</v>
      </c>
      <c r="U244" s="1">
        <f ca="1">IFERROR(__xludf.DUMMYFUNCTION("""COMPUTED_VALUE"""),69)</f>
        <v>69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IFERROR(__xludf.DUMMYFUNCTION("""COMPUTED_VALUE"""),"Cornell")</f>
        <v>Cornell</v>
      </c>
      <c r="C245" s="1" t="str">
        <f ca="1">IFERROR(__xludf.DUMMYFUNCTION("""COMPUTED_VALUE"""),"Ivy")</f>
        <v>Ivy</v>
      </c>
      <c r="D245" s="1" t="str">
        <f ca="1">IFERROR(__xludf.DUMMYFUNCTION("""COMPUTED_VALUE"""),"13-15")</f>
        <v>13-15</v>
      </c>
      <c r="E245" s="1">
        <f ca="1">IFERROR(__xludf.DUMMYFUNCTION("""COMPUTED_VALUE"""),-6.71)</f>
        <v>-6.71</v>
      </c>
      <c r="F245" s="1">
        <f ca="1">IFERROR(__xludf.DUMMYFUNCTION("""COMPUTED_VALUE"""),98.9)</f>
        <v>98.9</v>
      </c>
      <c r="G245" s="1">
        <f ca="1">IFERROR(__xludf.DUMMYFUNCTION("""COMPUTED_VALUE"""),233)</f>
        <v>233</v>
      </c>
      <c r="H245" s="1">
        <f ca="1">IFERROR(__xludf.DUMMYFUNCTION("""COMPUTED_VALUE"""),105.6)</f>
        <v>105.6</v>
      </c>
      <c r="I245" s="1">
        <f ca="1">IFERROR(__xludf.DUMMYFUNCTION("""COMPUTED_VALUE"""),211)</f>
        <v>211</v>
      </c>
      <c r="J245" s="1">
        <f ca="1">IFERROR(__xludf.DUMMYFUNCTION("""COMPUTED_VALUE"""),62.1)</f>
        <v>62.1</v>
      </c>
      <c r="K245" s="1">
        <f ca="1">IFERROR(__xludf.DUMMYFUNCTION("""COMPUTED_VALUE"""),285)</f>
        <v>285</v>
      </c>
      <c r="L245" s="1">
        <f ca="1">IFERROR(__xludf.DUMMYFUNCTION("""COMPUTED_VALUE"""),-0.029)</f>
        <v>-2.9000000000000001E-2</v>
      </c>
      <c r="M245" s="1">
        <f ca="1">IFERROR(__xludf.DUMMYFUNCTION("""COMPUTED_VALUE"""),236)</f>
        <v>236</v>
      </c>
      <c r="N245" s="1">
        <f ca="1">IFERROR(__xludf.DUMMYFUNCTION("""COMPUTED_VALUE"""),-6.4)</f>
        <v>-6.4</v>
      </c>
      <c r="O245" s="1">
        <f ca="1">IFERROR(__xludf.DUMMYFUNCTION("""COMPUTED_VALUE"""),278)</f>
        <v>278</v>
      </c>
      <c r="P245" s="1">
        <f ca="1">IFERROR(__xludf.DUMMYFUNCTION("""COMPUTED_VALUE"""),98.9)</f>
        <v>98.9</v>
      </c>
      <c r="Q245" s="1">
        <f ca="1">IFERROR(__xludf.DUMMYFUNCTION("""COMPUTED_VALUE"""),293)</f>
        <v>293</v>
      </c>
      <c r="R245" s="1">
        <f ca="1">IFERROR(__xludf.DUMMYFUNCTION("""COMPUTED_VALUE"""),105.3)</f>
        <v>105.3</v>
      </c>
      <c r="S245" s="1">
        <f ca="1">IFERROR(__xludf.DUMMYFUNCTION("""COMPUTED_VALUE"""),246)</f>
        <v>246</v>
      </c>
      <c r="T245" s="1">
        <f ca="1">IFERROR(__xludf.DUMMYFUNCTION("""COMPUTED_VALUE"""),-1.4)</f>
        <v>-1.4</v>
      </c>
      <c r="U245" s="1">
        <f ca="1">IFERROR(__xludf.DUMMYFUNCTION("""COMPUTED_VALUE"""),196)</f>
        <v>196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IFERROR(__xludf.DUMMYFUNCTION("""COMPUTED_VALUE"""),"Chicago St.")</f>
        <v>Chicago St.</v>
      </c>
      <c r="C246" s="1" t="str">
        <f ca="1">IFERROR(__xludf.DUMMYFUNCTION("""COMPUTED_VALUE"""),"MCon")</f>
        <v>MCon</v>
      </c>
      <c r="D246" s="2">
        <f ca="1">IFERROR(__xludf.DUMMYFUNCTION("""COMPUTED_VALUE"""),44884)</f>
        <v>44884</v>
      </c>
      <c r="E246" s="1">
        <f ca="1">IFERROR(__xludf.DUMMYFUNCTION("""COMPUTED_VALUE"""),-6.9)</f>
        <v>-6.9</v>
      </c>
      <c r="F246" s="1">
        <f ca="1">IFERROR(__xludf.DUMMYFUNCTION("""COMPUTED_VALUE"""),101.2)</f>
        <v>101.2</v>
      </c>
      <c r="G246" s="1">
        <f ca="1">IFERROR(__xludf.DUMMYFUNCTION("""COMPUTED_VALUE"""),195)</f>
        <v>195</v>
      </c>
      <c r="H246" s="1">
        <f ca="1">IFERROR(__xludf.DUMMYFUNCTION("""COMPUTED_VALUE"""),108.1)</f>
        <v>108.1</v>
      </c>
      <c r="I246" s="1">
        <f ca="1">IFERROR(__xludf.DUMMYFUNCTION("""COMPUTED_VALUE"""),260)</f>
        <v>260</v>
      </c>
      <c r="J246" s="1">
        <f ca="1">IFERROR(__xludf.DUMMYFUNCTION("""COMPUTED_VALUE"""),65.3)</f>
        <v>65.3</v>
      </c>
      <c r="K246" s="1">
        <f ca="1">IFERROR(__xludf.DUMMYFUNCTION("""COMPUTED_VALUE"""),164)</f>
        <v>164</v>
      </c>
      <c r="L246" s="1" t="str">
        <f ca="1">IFERROR(__xludf.DUMMYFUNCTION("""COMPUTED_VALUE"""),"+.043")</f>
        <v>+.043</v>
      </c>
      <c r="M246" s="1">
        <f ca="1">IFERROR(__xludf.DUMMYFUNCTION("""COMPUTED_VALUE"""),65)</f>
        <v>65</v>
      </c>
      <c r="N246" s="1">
        <f ca="1">IFERROR(__xludf.DUMMYFUNCTION("""COMPUTED_VALUE"""),-0.62)</f>
        <v>-0.62</v>
      </c>
      <c r="O246" s="1">
        <f ca="1">IFERROR(__xludf.DUMMYFUNCTION("""COMPUTED_VALUE"""),172)</f>
        <v>172</v>
      </c>
      <c r="P246" s="1">
        <f ca="1">IFERROR(__xludf.DUMMYFUNCTION("""COMPUTED_VALUE"""),104.3)</f>
        <v>104.3</v>
      </c>
      <c r="Q246" s="1">
        <f ca="1">IFERROR(__xludf.DUMMYFUNCTION("""COMPUTED_VALUE"""),112)</f>
        <v>112</v>
      </c>
      <c r="R246" s="1">
        <f ca="1">IFERROR(__xludf.DUMMYFUNCTION("""COMPUTED_VALUE"""),104.9)</f>
        <v>104.9</v>
      </c>
      <c r="S246" s="1">
        <f ca="1">IFERROR(__xludf.DUMMYFUNCTION("""COMPUTED_VALUE"""),222)</f>
        <v>222</v>
      </c>
      <c r="T246" s="1" t="str">
        <f ca="1">IFERROR(__xludf.DUMMYFUNCTION("""COMPUTED_VALUE"""),"+11.15")</f>
        <v>+11.15</v>
      </c>
      <c r="U246" s="1">
        <f ca="1">IFERROR(__xludf.DUMMYFUNCTION("""COMPUTED_VALUE"""),8)</f>
        <v>8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IFERROR(__xludf.DUMMYFUNCTION("""COMPUTED_VALUE"""),"William &amp; Mary")</f>
        <v>William &amp; Mary</v>
      </c>
      <c r="C247" s="1" t="str">
        <f ca="1">IFERROR(__xludf.DUMMYFUNCTION("""COMPUTED_VALUE"""),"CAA")</f>
        <v>CAA</v>
      </c>
      <c r="D247" s="2">
        <f ca="1">IFERROR(__xludf.DUMMYFUNCTION("""COMPUTED_VALUE"""),44793)</f>
        <v>44793</v>
      </c>
      <c r="E247" s="1">
        <f ca="1">IFERROR(__xludf.DUMMYFUNCTION("""COMPUTED_VALUE"""),-7.05)</f>
        <v>-7.05</v>
      </c>
      <c r="F247" s="1">
        <f ca="1">IFERROR(__xludf.DUMMYFUNCTION("""COMPUTED_VALUE"""),98.6)</f>
        <v>98.6</v>
      </c>
      <c r="G247" s="1">
        <f ca="1">IFERROR(__xludf.DUMMYFUNCTION("""COMPUTED_VALUE"""),235)</f>
        <v>235</v>
      </c>
      <c r="H247" s="1">
        <f ca="1">IFERROR(__xludf.DUMMYFUNCTION("""COMPUTED_VALUE"""),105.7)</f>
        <v>105.7</v>
      </c>
      <c r="I247" s="1">
        <f ca="1">IFERROR(__xludf.DUMMYFUNCTION("""COMPUTED_VALUE"""),214)</f>
        <v>214</v>
      </c>
      <c r="J247" s="1">
        <f ca="1">IFERROR(__xludf.DUMMYFUNCTION("""COMPUTED_VALUE"""),65.3)</f>
        <v>65.3</v>
      </c>
      <c r="K247" s="1">
        <f ca="1">IFERROR(__xludf.DUMMYFUNCTION("""COMPUTED_VALUE"""),166)</f>
        <v>166</v>
      </c>
      <c r="L247" s="1">
        <f ca="1">IFERROR(__xludf.DUMMYFUNCTION("""COMPUTED_VALUE"""),-0.07)</f>
        <v>-7.0000000000000007E-2</v>
      </c>
      <c r="M247" s="1">
        <f ca="1">IFERROR(__xludf.DUMMYFUNCTION("""COMPUTED_VALUE"""),307)</f>
        <v>307</v>
      </c>
      <c r="N247" s="1" t="str">
        <f ca="1">IFERROR(__xludf.DUMMYFUNCTION("""COMPUTED_VALUE"""),"+0.02")</f>
        <v>+0.02</v>
      </c>
      <c r="O247" s="1">
        <f ca="1">IFERROR(__xludf.DUMMYFUNCTION("""COMPUTED_VALUE"""),160)</f>
        <v>160</v>
      </c>
      <c r="P247" s="1">
        <f ca="1">IFERROR(__xludf.DUMMYFUNCTION("""COMPUTED_VALUE"""),102.5)</f>
        <v>102.5</v>
      </c>
      <c r="Q247" s="1">
        <f ca="1">IFERROR(__xludf.DUMMYFUNCTION("""COMPUTED_VALUE"""),189)</f>
        <v>189</v>
      </c>
      <c r="R247" s="1">
        <f ca="1">IFERROR(__xludf.DUMMYFUNCTION("""COMPUTED_VALUE"""),102.4)</f>
        <v>102.4</v>
      </c>
      <c r="S247" s="1">
        <f ca="1">IFERROR(__xludf.DUMMYFUNCTION("""COMPUTED_VALUE"""),141)</f>
        <v>141</v>
      </c>
      <c r="T247" s="1">
        <f ca="1">IFERROR(__xludf.DUMMYFUNCTION("""COMPUTED_VALUE"""),-8.29)</f>
        <v>-8.2899999999999991</v>
      </c>
      <c r="U247" s="1">
        <f ca="1">IFERROR(__xludf.DUMMYFUNCTION("""COMPUTED_VALUE"""),319)</f>
        <v>319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IFERROR(__xludf.DUMMYFUNCTION("""COMPUTED_VALUE"""),"Chattanooga")</f>
        <v>Chattanooga</v>
      </c>
      <c r="C248" s="1" t="str">
        <f ca="1">IFERROR(__xludf.DUMMYFUNCTION("""COMPUTED_VALUE"""),"SC")</f>
        <v>SC</v>
      </c>
      <c r="D248" s="1" t="str">
        <f ca="1">IFERROR(__xludf.DUMMYFUNCTION("""COMPUTED_VALUE"""),"19-13")</f>
        <v>19-13</v>
      </c>
      <c r="E248" s="1">
        <f ca="1">IFERROR(__xludf.DUMMYFUNCTION("""COMPUTED_VALUE"""),-7.18)</f>
        <v>-7.18</v>
      </c>
      <c r="F248" s="1">
        <f ca="1">IFERROR(__xludf.DUMMYFUNCTION("""COMPUTED_VALUE"""),98.8)</f>
        <v>98.8</v>
      </c>
      <c r="G248" s="1">
        <f ca="1">IFERROR(__xludf.DUMMYFUNCTION("""COMPUTED_VALUE"""),234)</f>
        <v>234</v>
      </c>
      <c r="H248" s="1">
        <f ca="1">IFERROR(__xludf.DUMMYFUNCTION("""COMPUTED_VALUE"""),106)</f>
        <v>106</v>
      </c>
      <c r="I248" s="1">
        <f ca="1">IFERROR(__xludf.DUMMYFUNCTION("""COMPUTED_VALUE"""),223)</f>
        <v>223</v>
      </c>
      <c r="J248" s="1">
        <f ca="1">IFERROR(__xludf.DUMMYFUNCTION("""COMPUTED_VALUE"""),67.1)</f>
        <v>67.099999999999994</v>
      </c>
      <c r="K248" s="1">
        <f ca="1">IFERROR(__xludf.DUMMYFUNCTION("""COMPUTED_VALUE"""),97)</f>
        <v>97</v>
      </c>
      <c r="L248" s="1" t="str">
        <f ca="1">IFERROR(__xludf.DUMMYFUNCTION("""COMPUTED_VALUE"""),"+.107")</f>
        <v>+.107</v>
      </c>
      <c r="M248" s="1">
        <f ca="1">IFERROR(__xludf.DUMMYFUNCTION("""COMPUTED_VALUE"""),5)</f>
        <v>5</v>
      </c>
      <c r="N248" s="1">
        <f ca="1">IFERROR(__xludf.DUMMYFUNCTION("""COMPUTED_VALUE"""),-4.99)</f>
        <v>-4.99</v>
      </c>
      <c r="O248" s="1">
        <f ca="1">IFERROR(__xludf.DUMMYFUNCTION("""COMPUTED_VALUE"""),253)</f>
        <v>253</v>
      </c>
      <c r="P248" s="1">
        <f ca="1">IFERROR(__xludf.DUMMYFUNCTION("""COMPUTED_VALUE"""),100.7)</f>
        <v>100.7</v>
      </c>
      <c r="Q248" s="1">
        <f ca="1">IFERROR(__xludf.DUMMYFUNCTION("""COMPUTED_VALUE"""),248)</f>
        <v>248</v>
      </c>
      <c r="R248" s="1">
        <f ca="1">IFERROR(__xludf.DUMMYFUNCTION("""COMPUTED_VALUE"""),105.7)</f>
        <v>105.7</v>
      </c>
      <c r="S248" s="1">
        <f ca="1">IFERROR(__xludf.DUMMYFUNCTION("""COMPUTED_VALUE"""),260)</f>
        <v>260</v>
      </c>
      <c r="T248" s="1">
        <f ca="1">IFERROR(__xludf.DUMMYFUNCTION("""COMPUTED_VALUE"""),-2.42)</f>
        <v>-2.42</v>
      </c>
      <c r="U248" s="1">
        <f ca="1">IFERROR(__xludf.DUMMYFUNCTION("""COMPUTED_VALUE"""),223)</f>
        <v>223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IFERROR(__xludf.DUMMYFUNCTION("""COMPUTED_VALUE"""),"St. Bonaventure")</f>
        <v>St. Bonaventure</v>
      </c>
      <c r="C249" s="1" t="str">
        <f ca="1">IFERROR(__xludf.DUMMYFUNCTION("""COMPUTED_VALUE"""),"A10")</f>
        <v>A10</v>
      </c>
      <c r="D249" s="2">
        <f ca="1">IFERROR(__xludf.DUMMYFUNCTION("""COMPUTED_VALUE"""),44792)</f>
        <v>44792</v>
      </c>
      <c r="E249" s="1">
        <f ca="1">IFERROR(__xludf.DUMMYFUNCTION("""COMPUTED_VALUE"""),-7.24)</f>
        <v>-7.24</v>
      </c>
      <c r="F249" s="1">
        <f ca="1">IFERROR(__xludf.DUMMYFUNCTION("""COMPUTED_VALUE"""),100.3)</f>
        <v>100.3</v>
      </c>
      <c r="G249" s="1">
        <f ca="1">IFERROR(__xludf.DUMMYFUNCTION("""COMPUTED_VALUE"""),214)</f>
        <v>214</v>
      </c>
      <c r="H249" s="1">
        <f ca="1">IFERROR(__xludf.DUMMYFUNCTION("""COMPUTED_VALUE"""),107.5)</f>
        <v>107.5</v>
      </c>
      <c r="I249" s="1">
        <f ca="1">IFERROR(__xludf.DUMMYFUNCTION("""COMPUTED_VALUE"""),250)</f>
        <v>250</v>
      </c>
      <c r="J249" s="1">
        <f ca="1">IFERROR(__xludf.DUMMYFUNCTION("""COMPUTED_VALUE"""),67.5)</f>
        <v>67.5</v>
      </c>
      <c r="K249" s="1">
        <f ca="1">IFERROR(__xludf.DUMMYFUNCTION("""COMPUTED_VALUE"""),85)</f>
        <v>85</v>
      </c>
      <c r="L249" s="1">
        <f ca="1">IFERROR(__xludf.DUMMYFUNCTION("""COMPUTED_VALUE"""),-0.064)</f>
        <v>-6.4000000000000001E-2</v>
      </c>
      <c r="M249" s="1">
        <f ca="1">IFERROR(__xludf.DUMMYFUNCTION("""COMPUTED_VALUE"""),297)</f>
        <v>297</v>
      </c>
      <c r="N249" s="1">
        <f ca="1">IFERROR(__xludf.DUMMYFUNCTION("""COMPUTED_VALUE"""),-0.27)</f>
        <v>-0.27</v>
      </c>
      <c r="O249" s="1">
        <f ca="1">IFERROR(__xludf.DUMMYFUNCTION("""COMPUTED_VALUE"""),167)</f>
        <v>167</v>
      </c>
      <c r="P249" s="1">
        <f ca="1">IFERROR(__xludf.DUMMYFUNCTION("""COMPUTED_VALUE"""),103.5)</f>
        <v>103.5</v>
      </c>
      <c r="Q249" s="1">
        <f ca="1">IFERROR(__xludf.DUMMYFUNCTION("""COMPUTED_VALUE"""),151)</f>
        <v>151</v>
      </c>
      <c r="R249" s="1">
        <f ca="1">IFERROR(__xludf.DUMMYFUNCTION("""COMPUTED_VALUE"""),103.8)</f>
        <v>103.8</v>
      </c>
      <c r="S249" s="1">
        <f ca="1">IFERROR(__xludf.DUMMYFUNCTION("""COMPUTED_VALUE"""),178)</f>
        <v>178</v>
      </c>
      <c r="T249" s="1">
        <f ca="1">IFERROR(__xludf.DUMMYFUNCTION("""COMPUTED_VALUE"""),-4.36)</f>
        <v>-4.3600000000000003</v>
      </c>
      <c r="U249" s="1">
        <f ca="1">IFERROR(__xludf.DUMMYFUNCTION("""COMPUTED_VALUE"""),264)</f>
        <v>264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IFERROR(__xludf.DUMMYFUNCTION("""COMPUTED_VALUE"""),"Appalachian St.")</f>
        <v>Appalachian St.</v>
      </c>
      <c r="C250" s="1" t="str">
        <f ca="1">IFERROR(__xludf.DUMMYFUNCTION("""COMPUTED_VALUE"""),"SC")</f>
        <v>SC</v>
      </c>
      <c r="D250" s="1" t="str">
        <f ca="1">IFERROR(__xludf.DUMMYFUNCTION("""COMPUTED_VALUE"""),"14-16")</f>
        <v>14-16</v>
      </c>
      <c r="E250" s="1">
        <f ca="1">IFERROR(__xludf.DUMMYFUNCTION("""COMPUTED_VALUE"""),-7.25)</f>
        <v>-7.25</v>
      </c>
      <c r="F250" s="1">
        <f ca="1">IFERROR(__xludf.DUMMYFUNCTION("""COMPUTED_VALUE"""),100.6)</f>
        <v>100.6</v>
      </c>
      <c r="G250" s="1">
        <f ca="1">IFERROR(__xludf.DUMMYFUNCTION("""COMPUTED_VALUE"""),207)</f>
        <v>207</v>
      </c>
      <c r="H250" s="1">
        <f ca="1">IFERROR(__xludf.DUMMYFUNCTION("""COMPUTED_VALUE"""),107.8)</f>
        <v>107.8</v>
      </c>
      <c r="I250" s="1">
        <f ca="1">IFERROR(__xludf.DUMMYFUNCTION("""COMPUTED_VALUE"""),256)</f>
        <v>256</v>
      </c>
      <c r="J250" s="1">
        <f ca="1">IFERROR(__xludf.DUMMYFUNCTION("""COMPUTED_VALUE"""),64.1)</f>
        <v>64.099999999999994</v>
      </c>
      <c r="K250" s="1">
        <f ca="1">IFERROR(__xludf.DUMMYFUNCTION("""COMPUTED_VALUE"""),229)</f>
        <v>229</v>
      </c>
      <c r="L250" s="1" t="str">
        <f ca="1">IFERROR(__xludf.DUMMYFUNCTION("""COMPUTED_VALUE"""),"+.021")</f>
        <v>+.021</v>
      </c>
      <c r="M250" s="1">
        <f ca="1">IFERROR(__xludf.DUMMYFUNCTION("""COMPUTED_VALUE"""),111)</f>
        <v>111</v>
      </c>
      <c r="N250" s="1">
        <f ca="1">IFERROR(__xludf.DUMMYFUNCTION("""COMPUTED_VALUE"""),-4.79)</f>
        <v>-4.79</v>
      </c>
      <c r="O250" s="1">
        <f ca="1">IFERROR(__xludf.DUMMYFUNCTION("""COMPUTED_VALUE"""),249)</f>
        <v>249</v>
      </c>
      <c r="P250" s="1">
        <f ca="1">IFERROR(__xludf.DUMMYFUNCTION("""COMPUTED_VALUE"""),101)</f>
        <v>101</v>
      </c>
      <c r="Q250" s="1">
        <f ca="1">IFERROR(__xludf.DUMMYFUNCTION("""COMPUTED_VALUE"""),241)</f>
        <v>241</v>
      </c>
      <c r="R250" s="1">
        <f ca="1">IFERROR(__xludf.DUMMYFUNCTION("""COMPUTED_VALUE"""),105.8)</f>
        <v>105.8</v>
      </c>
      <c r="S250" s="1">
        <f ca="1">IFERROR(__xludf.DUMMYFUNCTION("""COMPUTED_VALUE"""),264)</f>
        <v>264</v>
      </c>
      <c r="T250" s="1" t="str">
        <f ca="1">IFERROR(__xludf.DUMMYFUNCTION("""COMPUTED_VALUE"""),"+0.12")</f>
        <v>+0.12</v>
      </c>
      <c r="U250" s="1">
        <f ca="1">IFERROR(__xludf.DUMMYFUNCTION("""COMPUTED_VALUE"""),152)</f>
        <v>152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IFERROR(__xludf.DUMMYFUNCTION("""COMPUTED_VALUE"""),"TCU")</f>
        <v>TCU</v>
      </c>
      <c r="C251" s="1" t="str">
        <f ca="1">IFERROR(__xludf.DUMMYFUNCTION("""COMPUTED_VALUE"""),"MWC")</f>
        <v>MWC</v>
      </c>
      <c r="D251" s="2">
        <f ca="1">IFERROR(__xludf.DUMMYFUNCTION("""COMPUTED_VALUE"""),44737)</f>
        <v>44737</v>
      </c>
      <c r="E251" s="1">
        <f ca="1">IFERROR(__xludf.DUMMYFUNCTION("""COMPUTED_VALUE"""),-7.26)</f>
        <v>-7.26</v>
      </c>
      <c r="F251" s="1">
        <f ca="1">IFERROR(__xludf.DUMMYFUNCTION("""COMPUTED_VALUE"""),94)</f>
        <v>94</v>
      </c>
      <c r="G251" s="1">
        <f ca="1">IFERROR(__xludf.DUMMYFUNCTION("""COMPUTED_VALUE"""),296)</f>
        <v>296</v>
      </c>
      <c r="H251" s="1">
        <f ca="1">IFERROR(__xludf.DUMMYFUNCTION("""COMPUTED_VALUE"""),101.2)</f>
        <v>101.2</v>
      </c>
      <c r="I251" s="1">
        <f ca="1">IFERROR(__xludf.DUMMYFUNCTION("""COMPUTED_VALUE"""),133)</f>
        <v>133</v>
      </c>
      <c r="J251" s="1">
        <f ca="1">IFERROR(__xludf.DUMMYFUNCTION("""COMPUTED_VALUE"""),66.5)</f>
        <v>66.5</v>
      </c>
      <c r="K251" s="1">
        <f ca="1">IFERROR(__xludf.DUMMYFUNCTION("""COMPUTED_VALUE"""),117)</f>
        <v>117</v>
      </c>
      <c r="L251" s="1">
        <f ca="1">IFERROR(__xludf.DUMMYFUNCTION("""COMPUTED_VALUE"""),-0.06)</f>
        <v>-0.06</v>
      </c>
      <c r="M251" s="1">
        <f ca="1">IFERROR(__xludf.DUMMYFUNCTION("""COMPUTED_VALUE"""),292)</f>
        <v>292</v>
      </c>
      <c r="N251" s="1" t="str">
        <f ca="1">IFERROR(__xludf.DUMMYFUNCTION("""COMPUTED_VALUE"""),"+2.91")</f>
        <v>+2.91</v>
      </c>
      <c r="O251" s="1">
        <f ca="1">IFERROR(__xludf.DUMMYFUNCTION("""COMPUTED_VALUE"""),99)</f>
        <v>99</v>
      </c>
      <c r="P251" s="1">
        <f ca="1">IFERROR(__xludf.DUMMYFUNCTION("""COMPUTED_VALUE"""),104.2)</f>
        <v>104.2</v>
      </c>
      <c r="Q251" s="1">
        <f ca="1">IFERROR(__xludf.DUMMYFUNCTION("""COMPUTED_VALUE"""),119)</f>
        <v>119</v>
      </c>
      <c r="R251" s="1">
        <f ca="1">IFERROR(__xludf.DUMMYFUNCTION("""COMPUTED_VALUE"""),101.3)</f>
        <v>101.3</v>
      </c>
      <c r="S251" s="1">
        <f ca="1">IFERROR(__xludf.DUMMYFUNCTION("""COMPUTED_VALUE"""),102)</f>
        <v>102</v>
      </c>
      <c r="T251" s="1">
        <f ca="1">IFERROR(__xludf.DUMMYFUNCTION("""COMPUTED_VALUE"""),-1.79)</f>
        <v>-1.79</v>
      </c>
      <c r="U251" s="1">
        <f ca="1">IFERROR(__xludf.DUMMYFUNCTION("""COMPUTED_VALUE"""),205)</f>
        <v>205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IFERROR(__xludf.DUMMYFUNCTION("""COMPUTED_VALUE"""),"Robert Morris")</f>
        <v>Robert Morris</v>
      </c>
      <c r="C252" s="1" t="str">
        <f ca="1">IFERROR(__xludf.DUMMYFUNCTION("""COMPUTED_VALUE"""),"NEC")</f>
        <v>NEC</v>
      </c>
      <c r="D252" s="1" t="str">
        <f ca="1">IFERROR(__xludf.DUMMYFUNCTION("""COMPUTED_VALUE"""),"15-14")</f>
        <v>15-14</v>
      </c>
      <c r="E252" s="1">
        <f ca="1">IFERROR(__xludf.DUMMYFUNCTION("""COMPUTED_VALUE"""),-7.3)</f>
        <v>-7.3</v>
      </c>
      <c r="F252" s="1">
        <f ca="1">IFERROR(__xludf.DUMMYFUNCTION("""COMPUTED_VALUE"""),104)</f>
        <v>104</v>
      </c>
      <c r="G252" s="1">
        <f ca="1">IFERROR(__xludf.DUMMYFUNCTION("""COMPUTED_VALUE"""),149)</f>
        <v>149</v>
      </c>
      <c r="H252" s="1">
        <f ca="1">IFERROR(__xludf.DUMMYFUNCTION("""COMPUTED_VALUE"""),111.3)</f>
        <v>111.3</v>
      </c>
      <c r="I252" s="1">
        <f ca="1">IFERROR(__xludf.DUMMYFUNCTION("""COMPUTED_VALUE"""),307)</f>
        <v>307</v>
      </c>
      <c r="J252" s="1">
        <f ca="1">IFERROR(__xludf.DUMMYFUNCTION("""COMPUTED_VALUE"""),66.7)</f>
        <v>66.7</v>
      </c>
      <c r="K252" s="1">
        <f ca="1">IFERROR(__xludf.DUMMYFUNCTION("""COMPUTED_VALUE"""),111)</f>
        <v>111</v>
      </c>
      <c r="L252" s="1" t="str">
        <f ca="1">IFERROR(__xludf.DUMMYFUNCTION("""COMPUTED_VALUE"""),"+.035")</f>
        <v>+.035</v>
      </c>
      <c r="M252" s="1">
        <f ca="1">IFERROR(__xludf.DUMMYFUNCTION("""COMPUTED_VALUE"""),81)</f>
        <v>81</v>
      </c>
      <c r="N252" s="1">
        <f ca="1">IFERROR(__xludf.DUMMYFUNCTION("""COMPUTED_VALUE"""),-6.65)</f>
        <v>-6.65</v>
      </c>
      <c r="O252" s="1">
        <f ca="1">IFERROR(__xludf.DUMMYFUNCTION("""COMPUTED_VALUE"""),280)</f>
        <v>280</v>
      </c>
      <c r="P252" s="1">
        <f ca="1">IFERROR(__xludf.DUMMYFUNCTION("""COMPUTED_VALUE"""),98.6)</f>
        <v>98.6</v>
      </c>
      <c r="Q252" s="1">
        <f ca="1">IFERROR(__xludf.DUMMYFUNCTION("""COMPUTED_VALUE"""),299)</f>
        <v>299</v>
      </c>
      <c r="R252" s="1">
        <f ca="1">IFERROR(__xludf.DUMMYFUNCTION("""COMPUTED_VALUE"""),105.2)</f>
        <v>105.2</v>
      </c>
      <c r="S252" s="1">
        <f ca="1">IFERROR(__xludf.DUMMYFUNCTION("""COMPUTED_VALUE"""),242)</f>
        <v>242</v>
      </c>
      <c r="T252" s="1">
        <f ca="1">IFERROR(__xludf.DUMMYFUNCTION("""COMPUTED_VALUE"""),-2.49)</f>
        <v>-2.4900000000000002</v>
      </c>
      <c r="U252" s="1">
        <f ca="1">IFERROR(__xludf.DUMMYFUNCTION("""COMPUTED_VALUE"""),224)</f>
        <v>224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IFERROR(__xludf.DUMMYFUNCTION("""COMPUTED_VALUE"""),"Hartford")</f>
        <v>Hartford</v>
      </c>
      <c r="C255" s="1" t="str">
        <f ca="1">IFERROR(__xludf.DUMMYFUNCTION("""COMPUTED_VALUE"""),"AE")</f>
        <v>AE</v>
      </c>
      <c r="D255" s="1" t="str">
        <f ca="1">IFERROR(__xludf.DUMMYFUNCTION("""COMPUTED_VALUE"""),"13-15")</f>
        <v>13-15</v>
      </c>
      <c r="E255" s="1">
        <f ca="1">IFERROR(__xludf.DUMMYFUNCTION("""COMPUTED_VALUE"""),-7.45)</f>
        <v>-7.45</v>
      </c>
      <c r="F255" s="1">
        <f ca="1">IFERROR(__xludf.DUMMYFUNCTION("""COMPUTED_VALUE"""),101.6)</f>
        <v>101.6</v>
      </c>
      <c r="G255" s="1">
        <f ca="1">IFERROR(__xludf.DUMMYFUNCTION("""COMPUTED_VALUE"""),191)</f>
        <v>191</v>
      </c>
      <c r="H255" s="1">
        <f ca="1">IFERROR(__xludf.DUMMYFUNCTION("""COMPUTED_VALUE"""),109.1)</f>
        <v>109.1</v>
      </c>
      <c r="I255" s="1">
        <f ca="1">IFERROR(__xludf.DUMMYFUNCTION("""COMPUTED_VALUE"""),273)</f>
        <v>273</v>
      </c>
      <c r="J255" s="1">
        <f ca="1">IFERROR(__xludf.DUMMYFUNCTION("""COMPUTED_VALUE"""),65.1)</f>
        <v>65.099999999999994</v>
      </c>
      <c r="K255" s="1">
        <f ca="1">IFERROR(__xludf.DUMMYFUNCTION("""COMPUTED_VALUE"""),174)</f>
        <v>174</v>
      </c>
      <c r="L255" s="1">
        <f ca="1">IFERROR(__xludf.DUMMYFUNCTION("""COMPUTED_VALUE"""),-0.026)</f>
        <v>-2.5999999999999999E-2</v>
      </c>
      <c r="M255" s="1">
        <f ca="1">IFERROR(__xludf.DUMMYFUNCTION("""COMPUTED_VALUE"""),228)</f>
        <v>228</v>
      </c>
      <c r="N255" s="1">
        <f ca="1">IFERROR(__xludf.DUMMYFUNCTION("""COMPUTED_VALUE"""),-7.53)</f>
        <v>-7.53</v>
      </c>
      <c r="O255" s="1">
        <f ca="1">IFERROR(__xludf.DUMMYFUNCTION("""COMPUTED_VALUE"""),297)</f>
        <v>297</v>
      </c>
      <c r="P255" s="1">
        <f ca="1">IFERROR(__xludf.DUMMYFUNCTION("""COMPUTED_VALUE"""),97.8)</f>
        <v>97.8</v>
      </c>
      <c r="Q255" s="1">
        <f ca="1">IFERROR(__xludf.DUMMYFUNCTION("""COMPUTED_VALUE"""),311)</f>
        <v>311</v>
      </c>
      <c r="R255" s="1">
        <f ca="1">IFERROR(__xludf.DUMMYFUNCTION("""COMPUTED_VALUE"""),105.3)</f>
        <v>105.3</v>
      </c>
      <c r="S255" s="1">
        <f ca="1">IFERROR(__xludf.DUMMYFUNCTION("""COMPUTED_VALUE"""),250)</f>
        <v>250</v>
      </c>
      <c r="T255" s="1">
        <f ca="1">IFERROR(__xludf.DUMMYFUNCTION("""COMPUTED_VALUE"""),-5.95)</f>
        <v>-5.95</v>
      </c>
      <c r="U255" s="1">
        <f ca="1">IFERROR(__xludf.DUMMYFUNCTION("""COMPUTED_VALUE"""),292)</f>
        <v>292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IFERROR(__xludf.DUMMYFUNCTION("""COMPUTED_VALUE"""),"Mount St. Mary's")</f>
        <v>Mount St. Mary's</v>
      </c>
      <c r="C256" s="1" t="str">
        <f ca="1">IFERROR(__xludf.DUMMYFUNCTION("""COMPUTED_VALUE"""),"NEC")</f>
        <v>NEC</v>
      </c>
      <c r="D256" s="1" t="str">
        <f ca="1">IFERROR(__xludf.DUMMYFUNCTION("""COMPUTED_VALUE"""),"13-17")</f>
        <v>13-17</v>
      </c>
      <c r="E256" s="1">
        <f ca="1">IFERROR(__xludf.DUMMYFUNCTION("""COMPUTED_VALUE"""),-7.57)</f>
        <v>-7.57</v>
      </c>
      <c r="F256" s="1">
        <f ca="1">IFERROR(__xludf.DUMMYFUNCTION("""COMPUTED_VALUE"""),96.8)</f>
        <v>96.8</v>
      </c>
      <c r="G256" s="1">
        <f ca="1">IFERROR(__xludf.DUMMYFUNCTION("""COMPUTED_VALUE"""),270)</f>
        <v>270</v>
      </c>
      <c r="H256" s="1">
        <f ca="1">IFERROR(__xludf.DUMMYFUNCTION("""COMPUTED_VALUE"""),104.4)</f>
        <v>104.4</v>
      </c>
      <c r="I256" s="1">
        <f ca="1">IFERROR(__xludf.DUMMYFUNCTION("""COMPUTED_VALUE"""),193)</f>
        <v>193</v>
      </c>
      <c r="J256" s="1">
        <f ca="1">IFERROR(__xludf.DUMMYFUNCTION("""COMPUTED_VALUE"""),63.4)</f>
        <v>63.4</v>
      </c>
      <c r="K256" s="1">
        <f ca="1">IFERROR(__xludf.DUMMYFUNCTION("""COMPUTED_VALUE"""),247)</f>
        <v>247</v>
      </c>
      <c r="L256" s="1">
        <f ca="1">IFERROR(__xludf.DUMMYFUNCTION("""COMPUTED_VALUE"""),-0.008)</f>
        <v>-8.0000000000000002E-3</v>
      </c>
      <c r="M256" s="1">
        <f ca="1">IFERROR(__xludf.DUMMYFUNCTION("""COMPUTED_VALUE"""),186)</f>
        <v>186</v>
      </c>
      <c r="N256" s="1">
        <f ca="1">IFERROR(__xludf.DUMMYFUNCTION("""COMPUTED_VALUE"""),-5.99)</f>
        <v>-5.99</v>
      </c>
      <c r="O256" s="1">
        <f ca="1">IFERROR(__xludf.DUMMYFUNCTION("""COMPUTED_VALUE"""),272)</f>
        <v>272</v>
      </c>
      <c r="P256" s="1">
        <f ca="1">IFERROR(__xludf.DUMMYFUNCTION("""COMPUTED_VALUE"""),100.4)</f>
        <v>100.4</v>
      </c>
      <c r="Q256" s="1">
        <f ca="1">IFERROR(__xludf.DUMMYFUNCTION("""COMPUTED_VALUE"""),260)</f>
        <v>260</v>
      </c>
      <c r="R256" s="1">
        <f ca="1">IFERROR(__xludf.DUMMYFUNCTION("""COMPUTED_VALUE"""),106.4)</f>
        <v>106.4</v>
      </c>
      <c r="S256" s="1">
        <f ca="1">IFERROR(__xludf.DUMMYFUNCTION("""COMPUTED_VALUE"""),292)</f>
        <v>292</v>
      </c>
      <c r="T256" s="1">
        <f ca="1">IFERROR(__xludf.DUMMYFUNCTION("""COMPUTED_VALUE"""),-0.69)</f>
        <v>-0.69</v>
      </c>
      <c r="U256" s="1">
        <f ca="1">IFERROR(__xludf.DUMMYFUNCTION("""COMPUTED_VALUE"""),168)</f>
        <v>168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IFERROR(__xludf.DUMMYFUNCTION("""COMPUTED_VALUE"""),"Cleveland St.")</f>
        <v>Cleveland St.</v>
      </c>
      <c r="C257" s="1" t="str">
        <f ca="1">IFERROR(__xludf.DUMMYFUNCTION("""COMPUTED_VALUE"""),"Horz")</f>
        <v>Horz</v>
      </c>
      <c r="D257" s="2">
        <f ca="1">IFERROR(__xludf.DUMMYFUNCTION("""COMPUTED_VALUE"""),44852)</f>
        <v>44852</v>
      </c>
      <c r="E257" s="1">
        <f ca="1">IFERROR(__xludf.DUMMYFUNCTION("""COMPUTED_VALUE"""),-7.75)</f>
        <v>-7.75</v>
      </c>
      <c r="F257" s="1">
        <f ca="1">IFERROR(__xludf.DUMMYFUNCTION("""COMPUTED_VALUE"""),91.6)</f>
        <v>91.6</v>
      </c>
      <c r="G257" s="1">
        <f ca="1">IFERROR(__xludf.DUMMYFUNCTION("""COMPUTED_VALUE"""),318)</f>
        <v>318</v>
      </c>
      <c r="H257" s="1">
        <f ca="1">IFERROR(__xludf.DUMMYFUNCTION("""COMPUTED_VALUE"""),99.4)</f>
        <v>99.4</v>
      </c>
      <c r="I257" s="1">
        <f ca="1">IFERROR(__xludf.DUMMYFUNCTION("""COMPUTED_VALUE"""),103)</f>
        <v>103</v>
      </c>
      <c r="J257" s="1">
        <f ca="1">IFERROR(__xludf.DUMMYFUNCTION("""COMPUTED_VALUE"""),68.1)</f>
        <v>68.099999999999994</v>
      </c>
      <c r="K257" s="1">
        <f ca="1">IFERROR(__xludf.DUMMYFUNCTION("""COMPUTED_VALUE"""),68)</f>
        <v>68</v>
      </c>
      <c r="L257" s="1">
        <f ca="1">IFERROR(__xludf.DUMMYFUNCTION("""COMPUTED_VALUE"""),-0.01)</f>
        <v>-0.01</v>
      </c>
      <c r="M257" s="1">
        <f ca="1">IFERROR(__xludf.DUMMYFUNCTION("""COMPUTED_VALUE"""),193)</f>
        <v>193</v>
      </c>
      <c r="N257" s="1" t="str">
        <f ca="1">IFERROR(__xludf.DUMMYFUNCTION("""COMPUTED_VALUE"""),"+0.06")</f>
        <v>+0.06</v>
      </c>
      <c r="O257" s="1">
        <f ca="1">IFERROR(__xludf.DUMMYFUNCTION("""COMPUTED_VALUE"""),158)</f>
        <v>158</v>
      </c>
      <c r="P257" s="1">
        <f ca="1">IFERROR(__xludf.DUMMYFUNCTION("""COMPUTED_VALUE"""),104.9)</f>
        <v>104.9</v>
      </c>
      <c r="Q257" s="1">
        <f ca="1">IFERROR(__xludf.DUMMYFUNCTION("""COMPUTED_VALUE"""),91)</f>
        <v>91</v>
      </c>
      <c r="R257" s="1">
        <f ca="1">IFERROR(__xludf.DUMMYFUNCTION("""COMPUTED_VALUE"""),104.8)</f>
        <v>104.8</v>
      </c>
      <c r="S257" s="1">
        <f ca="1">IFERROR(__xludf.DUMMYFUNCTION("""COMPUTED_VALUE"""),217)</f>
        <v>217</v>
      </c>
      <c r="T257" s="1">
        <f ca="1">IFERROR(__xludf.DUMMYFUNCTION("""COMPUTED_VALUE"""),-1.34)</f>
        <v>-1.34</v>
      </c>
      <c r="U257" s="1">
        <f ca="1">IFERROR(__xludf.DUMMYFUNCTION("""COMPUTED_VALUE"""),194)</f>
        <v>194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IFERROR(__xludf.DUMMYFUNCTION("""COMPUTED_VALUE"""),"Western Carolina")</f>
        <v>Western Carolina</v>
      </c>
      <c r="C258" s="1" t="str">
        <f ca="1">IFERROR(__xludf.DUMMYFUNCTION("""COMPUTED_VALUE"""),"SC")</f>
        <v>SC</v>
      </c>
      <c r="D258" s="1" t="str">
        <f ca="1">IFERROR(__xludf.DUMMYFUNCTION("""COMPUTED_VALUE"""),"13-17")</f>
        <v>13-17</v>
      </c>
      <c r="E258" s="1">
        <f ca="1">IFERROR(__xludf.DUMMYFUNCTION("""COMPUTED_VALUE"""),-7.77)</f>
        <v>-7.77</v>
      </c>
      <c r="F258" s="1">
        <f ca="1">IFERROR(__xludf.DUMMYFUNCTION("""COMPUTED_VALUE"""),99.7)</f>
        <v>99.7</v>
      </c>
      <c r="G258" s="1">
        <f ca="1">IFERROR(__xludf.DUMMYFUNCTION("""COMPUTED_VALUE"""),223)</f>
        <v>223</v>
      </c>
      <c r="H258" s="1">
        <f ca="1">IFERROR(__xludf.DUMMYFUNCTION("""COMPUTED_VALUE"""),107.5)</f>
        <v>107.5</v>
      </c>
      <c r="I258" s="1">
        <f ca="1">IFERROR(__xludf.DUMMYFUNCTION("""COMPUTED_VALUE"""),249)</f>
        <v>249</v>
      </c>
      <c r="J258" s="1">
        <f ca="1">IFERROR(__xludf.DUMMYFUNCTION("""COMPUTED_VALUE"""),63.4)</f>
        <v>63.4</v>
      </c>
      <c r="K258" s="1">
        <f ca="1">IFERROR(__xludf.DUMMYFUNCTION("""COMPUTED_VALUE"""),246)</f>
        <v>246</v>
      </c>
      <c r="L258" s="1">
        <f ca="1">IFERROR(__xludf.DUMMYFUNCTION("""COMPUTED_VALUE"""),-0.036)</f>
        <v>-3.5999999999999997E-2</v>
      </c>
      <c r="M258" s="1">
        <f ca="1">IFERROR(__xludf.DUMMYFUNCTION("""COMPUTED_VALUE"""),254)</f>
        <v>254</v>
      </c>
      <c r="N258" s="1">
        <f ca="1">IFERROR(__xludf.DUMMYFUNCTION("""COMPUTED_VALUE"""),-3.75)</f>
        <v>-3.75</v>
      </c>
      <c r="O258" s="1">
        <f ca="1">IFERROR(__xludf.DUMMYFUNCTION("""COMPUTED_VALUE"""),226)</f>
        <v>226</v>
      </c>
      <c r="P258" s="1">
        <f ca="1">IFERROR(__xludf.DUMMYFUNCTION("""COMPUTED_VALUE"""),101.4)</f>
        <v>101.4</v>
      </c>
      <c r="Q258" s="1">
        <f ca="1">IFERROR(__xludf.DUMMYFUNCTION("""COMPUTED_VALUE"""),225)</f>
        <v>225</v>
      </c>
      <c r="R258" s="1">
        <f ca="1">IFERROR(__xludf.DUMMYFUNCTION("""COMPUTED_VALUE"""),105.2)</f>
        <v>105.2</v>
      </c>
      <c r="S258" s="1">
        <f ca="1">IFERROR(__xludf.DUMMYFUNCTION("""COMPUTED_VALUE"""),238)</f>
        <v>238</v>
      </c>
      <c r="T258" s="1" t="str">
        <f ca="1">IFERROR(__xludf.DUMMYFUNCTION("""COMPUTED_VALUE"""),"+2.15")</f>
        <v>+2.15</v>
      </c>
      <c r="U258" s="1">
        <f ca="1">IFERROR(__xludf.DUMMYFUNCTION("""COMPUTED_VALUE"""),94)</f>
        <v>94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IFERROR(__xludf.DUMMYFUNCTION("""COMPUTED_VALUE"""),"Florida Atlantic")</f>
        <v>Florida Atlantic</v>
      </c>
      <c r="C259" s="1" t="str">
        <f ca="1">IFERROR(__xludf.DUMMYFUNCTION("""COMPUTED_VALUE"""),"ASun")</f>
        <v>ASun</v>
      </c>
      <c r="D259" s="1" t="str">
        <f ca="1">IFERROR(__xludf.DUMMYFUNCTION("""COMPUTED_VALUE"""),"15-13")</f>
        <v>15-13</v>
      </c>
      <c r="E259" s="1">
        <f ca="1">IFERROR(__xludf.DUMMYFUNCTION("""COMPUTED_VALUE"""),-7.8)</f>
        <v>-7.8</v>
      </c>
      <c r="F259" s="1">
        <f ca="1">IFERROR(__xludf.DUMMYFUNCTION("""COMPUTED_VALUE"""),102.4)</f>
        <v>102.4</v>
      </c>
      <c r="G259" s="1">
        <f ca="1">IFERROR(__xludf.DUMMYFUNCTION("""COMPUTED_VALUE"""),180)</f>
        <v>180</v>
      </c>
      <c r="H259" s="1">
        <f ca="1">IFERROR(__xludf.DUMMYFUNCTION("""COMPUTED_VALUE"""),110.2)</f>
        <v>110.2</v>
      </c>
      <c r="I259" s="1">
        <f ca="1">IFERROR(__xludf.DUMMYFUNCTION("""COMPUTED_VALUE"""),291)</f>
        <v>291</v>
      </c>
      <c r="J259" s="1">
        <f ca="1">IFERROR(__xludf.DUMMYFUNCTION("""COMPUTED_VALUE"""),65)</f>
        <v>65</v>
      </c>
      <c r="K259" s="1">
        <f ca="1">IFERROR(__xludf.DUMMYFUNCTION("""COMPUTED_VALUE"""),178)</f>
        <v>178</v>
      </c>
      <c r="L259" s="1" t="str">
        <f ca="1">IFERROR(__xludf.DUMMYFUNCTION("""COMPUTED_VALUE"""),"+.013")</f>
        <v>+.013</v>
      </c>
      <c r="M259" s="1">
        <f ca="1">IFERROR(__xludf.DUMMYFUNCTION("""COMPUTED_VALUE"""),134)</f>
        <v>134</v>
      </c>
      <c r="N259" s="1">
        <f ca="1">IFERROR(__xludf.DUMMYFUNCTION("""COMPUTED_VALUE"""),-9.93)</f>
        <v>-9.93</v>
      </c>
      <c r="O259" s="1">
        <f ca="1">IFERROR(__xludf.DUMMYFUNCTION("""COMPUTED_VALUE"""),323)</f>
        <v>323</v>
      </c>
      <c r="P259" s="1">
        <f ca="1">IFERROR(__xludf.DUMMYFUNCTION("""COMPUTED_VALUE"""),98.9)</f>
        <v>98.9</v>
      </c>
      <c r="Q259" s="1">
        <f ca="1">IFERROR(__xludf.DUMMYFUNCTION("""COMPUTED_VALUE"""),292)</f>
        <v>292</v>
      </c>
      <c r="R259" s="1">
        <f ca="1">IFERROR(__xludf.DUMMYFUNCTION("""COMPUTED_VALUE"""),108.9)</f>
        <v>108.9</v>
      </c>
      <c r="S259" s="1">
        <f ca="1">IFERROR(__xludf.DUMMYFUNCTION("""COMPUTED_VALUE"""),328)</f>
        <v>328</v>
      </c>
      <c r="T259" s="1">
        <f ca="1">IFERROR(__xludf.DUMMYFUNCTION("""COMPUTED_VALUE"""),-1.06)</f>
        <v>-1.06</v>
      </c>
      <c r="U259" s="1">
        <f ca="1">IFERROR(__xludf.DUMMYFUNCTION("""COMPUTED_VALUE"""),180)</f>
        <v>180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IFERROR(__xludf.DUMMYFUNCTION("""COMPUTED_VALUE"""),"Richmond")</f>
        <v>Richmond</v>
      </c>
      <c r="C260" s="1" t="str">
        <f ca="1">IFERROR(__xludf.DUMMYFUNCTION("""COMPUTED_VALUE"""),"A10")</f>
        <v>A10</v>
      </c>
      <c r="D260" s="1" t="str">
        <f ca="1">IFERROR(__xludf.DUMMYFUNCTION("""COMPUTED_VALUE"""),"13-17")</f>
        <v>13-17</v>
      </c>
      <c r="E260" s="1">
        <f ca="1">IFERROR(__xludf.DUMMYFUNCTION("""COMPUTED_VALUE"""),-7.85)</f>
        <v>-7.85</v>
      </c>
      <c r="F260" s="1">
        <f ca="1">IFERROR(__xludf.DUMMYFUNCTION("""COMPUTED_VALUE"""),93.6)</f>
        <v>93.6</v>
      </c>
      <c r="G260" s="1">
        <f ca="1">IFERROR(__xludf.DUMMYFUNCTION("""COMPUTED_VALUE"""),301)</f>
        <v>301</v>
      </c>
      <c r="H260" s="1">
        <f ca="1">IFERROR(__xludf.DUMMYFUNCTION("""COMPUTED_VALUE"""),101.4)</f>
        <v>101.4</v>
      </c>
      <c r="I260" s="1">
        <f ca="1">IFERROR(__xludf.DUMMYFUNCTION("""COMPUTED_VALUE"""),138)</f>
        <v>138</v>
      </c>
      <c r="J260" s="1">
        <f ca="1">IFERROR(__xludf.DUMMYFUNCTION("""COMPUTED_VALUE"""),55.2)</f>
        <v>55.2</v>
      </c>
      <c r="K260" s="1">
        <f ca="1">IFERROR(__xludf.DUMMYFUNCTION("""COMPUTED_VALUE"""),331)</f>
        <v>331</v>
      </c>
      <c r="L260" s="1" t="str">
        <f ca="1">IFERROR(__xludf.DUMMYFUNCTION("""COMPUTED_VALUE"""),"+.088")</f>
        <v>+.088</v>
      </c>
      <c r="M260" s="1">
        <f ca="1">IFERROR(__xludf.DUMMYFUNCTION("""COMPUTED_VALUE"""),14)</f>
        <v>14</v>
      </c>
      <c r="N260" s="1" t="str">
        <f ca="1">IFERROR(__xludf.DUMMYFUNCTION("""COMPUTED_VALUE"""),"+0.33")</f>
        <v>+0.33</v>
      </c>
      <c r="O260" s="1">
        <f ca="1">IFERROR(__xludf.DUMMYFUNCTION("""COMPUTED_VALUE"""),152)</f>
        <v>152</v>
      </c>
      <c r="P260" s="1">
        <f ca="1">IFERROR(__xludf.DUMMYFUNCTION("""COMPUTED_VALUE"""),102.9)</f>
        <v>102.9</v>
      </c>
      <c r="Q260" s="1">
        <f ca="1">IFERROR(__xludf.DUMMYFUNCTION("""COMPUTED_VALUE"""),169)</f>
        <v>169</v>
      </c>
      <c r="R260" s="1">
        <f ca="1">IFERROR(__xludf.DUMMYFUNCTION("""COMPUTED_VALUE"""),102.5)</f>
        <v>102.5</v>
      </c>
      <c r="S260" s="1">
        <f ca="1">IFERROR(__xludf.DUMMYFUNCTION("""COMPUTED_VALUE"""),146)</f>
        <v>146</v>
      </c>
      <c r="T260" s="1">
        <f ca="1">IFERROR(__xludf.DUMMYFUNCTION("""COMPUTED_VALUE"""),-4.98)</f>
        <v>-4.9800000000000004</v>
      </c>
      <c r="U260" s="1">
        <f ca="1">IFERROR(__xludf.DUMMYFUNCTION("""COMPUTED_VALUE"""),277)</f>
        <v>277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IFERROR(__xludf.DUMMYFUNCTION("""COMPUTED_VALUE"""),"Cal Poly")</f>
        <v>Cal Poly</v>
      </c>
      <c r="C261" s="1" t="str">
        <f ca="1">IFERROR(__xludf.DUMMYFUNCTION("""COMPUTED_VALUE"""),"BW")</f>
        <v>BW</v>
      </c>
      <c r="D261" s="2">
        <f ca="1">IFERROR(__xludf.DUMMYFUNCTION("""COMPUTED_VALUE"""),44853)</f>
        <v>44853</v>
      </c>
      <c r="E261" s="1">
        <f ca="1">IFERROR(__xludf.DUMMYFUNCTION("""COMPUTED_VALUE"""),-7.88)</f>
        <v>-7.88</v>
      </c>
      <c r="F261" s="1">
        <f ca="1">IFERROR(__xludf.DUMMYFUNCTION("""COMPUTED_VALUE"""),99.8)</f>
        <v>99.8</v>
      </c>
      <c r="G261" s="1">
        <f ca="1">IFERROR(__xludf.DUMMYFUNCTION("""COMPUTED_VALUE"""),221)</f>
        <v>221</v>
      </c>
      <c r="H261" s="1">
        <f ca="1">IFERROR(__xludf.DUMMYFUNCTION("""COMPUTED_VALUE"""),107.7)</f>
        <v>107.7</v>
      </c>
      <c r="I261" s="1">
        <f ca="1">IFERROR(__xludf.DUMMYFUNCTION("""COMPUTED_VALUE"""),253)</f>
        <v>253</v>
      </c>
      <c r="J261" s="1">
        <f ca="1">IFERROR(__xludf.DUMMYFUNCTION("""COMPUTED_VALUE"""),62.6)</f>
        <v>62.6</v>
      </c>
      <c r="K261" s="1">
        <f ca="1">IFERROR(__xludf.DUMMYFUNCTION("""COMPUTED_VALUE"""),268)</f>
        <v>268</v>
      </c>
      <c r="L261" s="1">
        <f ca="1">IFERROR(__xludf.DUMMYFUNCTION("""COMPUTED_VALUE"""),-0.025)</f>
        <v>-2.5000000000000001E-2</v>
      </c>
      <c r="M261" s="1">
        <f ca="1">IFERROR(__xludf.DUMMYFUNCTION("""COMPUTED_VALUE"""),224)</f>
        <v>224</v>
      </c>
      <c r="N261" s="1">
        <f ca="1">IFERROR(__xludf.DUMMYFUNCTION("""COMPUTED_VALUE"""),-0.7)</f>
        <v>-0.7</v>
      </c>
      <c r="O261" s="1">
        <f ca="1">IFERROR(__xludf.DUMMYFUNCTION("""COMPUTED_VALUE"""),175)</f>
        <v>175</v>
      </c>
      <c r="P261" s="1">
        <f ca="1">IFERROR(__xludf.DUMMYFUNCTION("""COMPUTED_VALUE"""),103.5)</f>
        <v>103.5</v>
      </c>
      <c r="Q261" s="1">
        <f ca="1">IFERROR(__xludf.DUMMYFUNCTION("""COMPUTED_VALUE"""),150)</f>
        <v>150</v>
      </c>
      <c r="R261" s="1">
        <f ca="1">IFERROR(__xludf.DUMMYFUNCTION("""COMPUTED_VALUE"""),104.2)</f>
        <v>104.2</v>
      </c>
      <c r="S261" s="1">
        <f ca="1">IFERROR(__xludf.DUMMYFUNCTION("""COMPUTED_VALUE"""),195)</f>
        <v>195</v>
      </c>
      <c r="T261" s="1" t="str">
        <f ca="1">IFERROR(__xludf.DUMMYFUNCTION("""COMPUTED_VALUE"""),"+0.71")</f>
        <v>+0.71</v>
      </c>
      <c r="U261" s="1">
        <f ca="1">IFERROR(__xludf.DUMMYFUNCTION("""COMPUTED_VALUE"""),137)</f>
        <v>137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IFERROR(__xludf.DUMMYFUNCTION("""COMPUTED_VALUE"""),"Southern Utah")</f>
        <v>Southern Utah</v>
      </c>
      <c r="C262" s="1" t="str">
        <f ca="1">IFERROR(__xludf.DUMMYFUNCTION("""COMPUTED_VALUE"""),"MCon")</f>
        <v>MCon</v>
      </c>
      <c r="D262" s="2">
        <f ca="1">IFERROR(__xludf.DUMMYFUNCTION("""COMPUTED_VALUE"""),44854)</f>
        <v>44854</v>
      </c>
      <c r="E262" s="1">
        <f ca="1">IFERROR(__xludf.DUMMYFUNCTION("""COMPUTED_VALUE"""),-7.93)</f>
        <v>-7.93</v>
      </c>
      <c r="F262" s="1">
        <f ca="1">IFERROR(__xludf.DUMMYFUNCTION("""COMPUTED_VALUE"""),101.7)</f>
        <v>101.7</v>
      </c>
      <c r="G262" s="1">
        <f ca="1">IFERROR(__xludf.DUMMYFUNCTION("""COMPUTED_VALUE"""),190)</f>
        <v>190</v>
      </c>
      <c r="H262" s="1">
        <f ca="1">IFERROR(__xludf.DUMMYFUNCTION("""COMPUTED_VALUE"""),109.6)</f>
        <v>109.6</v>
      </c>
      <c r="I262" s="1">
        <f ca="1">IFERROR(__xludf.DUMMYFUNCTION("""COMPUTED_VALUE"""),285)</f>
        <v>285</v>
      </c>
      <c r="J262" s="1">
        <f ca="1">IFERROR(__xludf.DUMMYFUNCTION("""COMPUTED_VALUE"""),64.6)</f>
        <v>64.599999999999994</v>
      </c>
      <c r="K262" s="1">
        <f ca="1">IFERROR(__xludf.DUMMYFUNCTION("""COMPUTED_VALUE"""),207)</f>
        <v>207</v>
      </c>
      <c r="L262" s="1">
        <f ca="1">IFERROR(__xludf.DUMMYFUNCTION("""COMPUTED_VALUE"""),-0.1)</f>
        <v>-0.1</v>
      </c>
      <c r="M262" s="1">
        <f ca="1">IFERROR(__xludf.DUMMYFUNCTION("""COMPUTED_VALUE"""),322)</f>
        <v>322</v>
      </c>
      <c r="N262" s="1">
        <f ca="1">IFERROR(__xludf.DUMMYFUNCTION("""COMPUTED_VALUE"""),-4.01)</f>
        <v>-4.01</v>
      </c>
      <c r="O262" s="1">
        <f ca="1">IFERROR(__xludf.DUMMYFUNCTION("""COMPUTED_VALUE"""),234)</f>
        <v>234</v>
      </c>
      <c r="P262" s="1">
        <f ca="1">IFERROR(__xludf.DUMMYFUNCTION("""COMPUTED_VALUE"""),102.6)</f>
        <v>102.6</v>
      </c>
      <c r="Q262" s="1">
        <f ca="1">IFERROR(__xludf.DUMMYFUNCTION("""COMPUTED_VALUE"""),182)</f>
        <v>182</v>
      </c>
      <c r="R262" s="1">
        <f ca="1">IFERROR(__xludf.DUMMYFUNCTION("""COMPUTED_VALUE"""),106.6)</f>
        <v>106.6</v>
      </c>
      <c r="S262" s="1">
        <f ca="1">IFERROR(__xludf.DUMMYFUNCTION("""COMPUTED_VALUE"""),300)</f>
        <v>300</v>
      </c>
      <c r="T262" s="1" t="str">
        <f ca="1">IFERROR(__xludf.DUMMYFUNCTION("""COMPUTED_VALUE"""),"+1.61")</f>
        <v>+1.61</v>
      </c>
      <c r="U262" s="1">
        <f ca="1">IFERROR(__xludf.DUMMYFUNCTION("""COMPUTED_VALUE"""),114)</f>
        <v>114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IFERROR(__xludf.DUMMYFUNCTION("""COMPUTED_VALUE"""),"Towson")</f>
        <v>Towson</v>
      </c>
      <c r="C263" s="1" t="str">
        <f ca="1">IFERROR(__xludf.DUMMYFUNCTION("""COMPUTED_VALUE"""),"CAA")</f>
        <v>CAA</v>
      </c>
      <c r="D263" s="2">
        <f ca="1">IFERROR(__xludf.DUMMYFUNCTION("""COMPUTED_VALUE"""),44911)</f>
        <v>44911</v>
      </c>
      <c r="E263" s="1">
        <f ca="1">IFERROR(__xludf.DUMMYFUNCTION("""COMPUTED_VALUE"""),-7.97)</f>
        <v>-7.97</v>
      </c>
      <c r="F263" s="1">
        <f ca="1">IFERROR(__xludf.DUMMYFUNCTION("""COMPUTED_VALUE"""),103.1)</f>
        <v>103.1</v>
      </c>
      <c r="G263" s="1">
        <f ca="1">IFERROR(__xludf.DUMMYFUNCTION("""COMPUTED_VALUE"""),165)</f>
        <v>165</v>
      </c>
      <c r="H263" s="1">
        <f ca="1">IFERROR(__xludf.DUMMYFUNCTION("""COMPUTED_VALUE"""),111.1)</f>
        <v>111.1</v>
      </c>
      <c r="I263" s="1">
        <f ca="1">IFERROR(__xludf.DUMMYFUNCTION("""COMPUTED_VALUE"""),301)</f>
        <v>301</v>
      </c>
      <c r="J263" s="1">
        <f ca="1">IFERROR(__xludf.DUMMYFUNCTION("""COMPUTED_VALUE"""),67.4)</f>
        <v>67.400000000000006</v>
      </c>
      <c r="K263" s="1">
        <f ca="1">IFERROR(__xludf.DUMMYFUNCTION("""COMPUTED_VALUE"""),92)</f>
        <v>92</v>
      </c>
      <c r="L263" s="1" t="str">
        <f ca="1">IFERROR(__xludf.DUMMYFUNCTION("""COMPUTED_VALUE"""),"+.074")</f>
        <v>+.074</v>
      </c>
      <c r="M263" s="1">
        <f ca="1">IFERROR(__xludf.DUMMYFUNCTION("""COMPUTED_VALUE"""),29)</f>
        <v>29</v>
      </c>
      <c r="N263" s="1">
        <f ca="1">IFERROR(__xludf.DUMMYFUNCTION("""COMPUTED_VALUE"""),-1.76)</f>
        <v>-1.76</v>
      </c>
      <c r="O263" s="1">
        <f ca="1">IFERROR(__xludf.DUMMYFUNCTION("""COMPUTED_VALUE"""),196)</f>
        <v>196</v>
      </c>
      <c r="P263" s="1">
        <f ca="1">IFERROR(__xludf.DUMMYFUNCTION("""COMPUTED_VALUE"""),101.3)</f>
        <v>101.3</v>
      </c>
      <c r="Q263" s="1">
        <f ca="1">IFERROR(__xludf.DUMMYFUNCTION("""COMPUTED_VALUE"""),232)</f>
        <v>232</v>
      </c>
      <c r="R263" s="1">
        <f ca="1">IFERROR(__xludf.DUMMYFUNCTION("""COMPUTED_VALUE"""),103.1)</f>
        <v>103.1</v>
      </c>
      <c r="S263" s="1">
        <f ca="1">IFERROR(__xludf.DUMMYFUNCTION("""COMPUTED_VALUE"""),159)</f>
        <v>159</v>
      </c>
      <c r="T263" s="1">
        <f ca="1">IFERROR(__xludf.DUMMYFUNCTION("""COMPUTED_VALUE"""),-8.21)</f>
        <v>-8.2100000000000009</v>
      </c>
      <c r="U263" s="1">
        <f ca="1">IFERROR(__xludf.DUMMYFUNCTION("""COMPUTED_VALUE"""),318)</f>
        <v>318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IFERROR(__xludf.DUMMYFUNCTION("""COMPUTED_VALUE"""),"Weber St.")</f>
        <v>Weber St.</v>
      </c>
      <c r="C264" s="1" t="str">
        <f ca="1">IFERROR(__xludf.DUMMYFUNCTION("""COMPUTED_VALUE"""),"BSky")</f>
        <v>BSky</v>
      </c>
      <c r="D264" s="2">
        <f ca="1">IFERROR(__xludf.DUMMYFUNCTION("""COMPUTED_VALUE"""),44851)</f>
        <v>44851</v>
      </c>
      <c r="E264" s="1">
        <f ca="1">IFERROR(__xludf.DUMMYFUNCTION("""COMPUTED_VALUE"""),-8.01)</f>
        <v>-8.01</v>
      </c>
      <c r="F264" s="1">
        <f ca="1">IFERROR(__xludf.DUMMYFUNCTION("""COMPUTED_VALUE"""),99)</f>
        <v>99</v>
      </c>
      <c r="G264" s="1">
        <f ca="1">IFERROR(__xludf.DUMMYFUNCTION("""COMPUTED_VALUE"""),232)</f>
        <v>232</v>
      </c>
      <c r="H264" s="1">
        <f ca="1">IFERROR(__xludf.DUMMYFUNCTION("""COMPUTED_VALUE"""),107)</f>
        <v>107</v>
      </c>
      <c r="I264" s="1">
        <f ca="1">IFERROR(__xludf.DUMMYFUNCTION("""COMPUTED_VALUE"""),240)</f>
        <v>240</v>
      </c>
      <c r="J264" s="1">
        <f ca="1">IFERROR(__xludf.DUMMYFUNCTION("""COMPUTED_VALUE"""),62.6)</f>
        <v>62.6</v>
      </c>
      <c r="K264" s="1">
        <f ca="1">IFERROR(__xludf.DUMMYFUNCTION("""COMPUTED_VALUE"""),271)</f>
        <v>271</v>
      </c>
      <c r="L264" s="1" t="str">
        <f ca="1">IFERROR(__xludf.DUMMYFUNCTION("""COMPUTED_VALUE"""),"+.020")</f>
        <v>+.020</v>
      </c>
      <c r="M264" s="1">
        <f ca="1">IFERROR(__xludf.DUMMYFUNCTION("""COMPUTED_VALUE"""),116)</f>
        <v>116</v>
      </c>
      <c r="N264" s="1">
        <f ca="1">IFERROR(__xludf.DUMMYFUNCTION("""COMPUTED_VALUE"""),-1.02)</f>
        <v>-1.02</v>
      </c>
      <c r="O264" s="1">
        <f ca="1">IFERROR(__xludf.DUMMYFUNCTION("""COMPUTED_VALUE"""),181)</f>
        <v>181</v>
      </c>
      <c r="P264" s="1">
        <f ca="1">IFERROR(__xludf.DUMMYFUNCTION("""COMPUTED_VALUE"""),104.3)</f>
        <v>104.3</v>
      </c>
      <c r="Q264" s="1">
        <f ca="1">IFERROR(__xludf.DUMMYFUNCTION("""COMPUTED_VALUE"""),111)</f>
        <v>111</v>
      </c>
      <c r="R264" s="1">
        <f ca="1">IFERROR(__xludf.DUMMYFUNCTION("""COMPUTED_VALUE"""),105.4)</f>
        <v>105.4</v>
      </c>
      <c r="S264" s="1">
        <f ca="1">IFERROR(__xludf.DUMMYFUNCTION("""COMPUTED_VALUE"""),251)</f>
        <v>251</v>
      </c>
      <c r="T264" s="1">
        <f ca="1">IFERROR(__xludf.DUMMYFUNCTION("""COMPUTED_VALUE"""),-1.28)</f>
        <v>-1.28</v>
      </c>
      <c r="U264" s="1">
        <f ca="1">IFERROR(__xludf.DUMMYFUNCTION("""COMPUTED_VALUE"""),189)</f>
        <v>189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IFERROR(__xludf.DUMMYFUNCTION("""COMPUTED_VALUE"""),"Wofford")</f>
        <v>Wofford</v>
      </c>
      <c r="C265" s="1" t="str">
        <f ca="1">IFERROR(__xludf.DUMMYFUNCTION("""COMPUTED_VALUE"""),"SC")</f>
        <v>SC</v>
      </c>
      <c r="D265" s="2">
        <f ca="1">IFERROR(__xludf.DUMMYFUNCTION("""COMPUTED_VALUE"""),44883)</f>
        <v>44883</v>
      </c>
      <c r="E265" s="1">
        <f ca="1">IFERROR(__xludf.DUMMYFUNCTION("""COMPUTED_VALUE"""),-8.13)</f>
        <v>-8.1300000000000008</v>
      </c>
      <c r="F265" s="1">
        <f ca="1">IFERROR(__xludf.DUMMYFUNCTION("""COMPUTED_VALUE"""),99.6)</f>
        <v>99.6</v>
      </c>
      <c r="G265" s="1">
        <f ca="1">IFERROR(__xludf.DUMMYFUNCTION("""COMPUTED_VALUE"""),226)</f>
        <v>226</v>
      </c>
      <c r="H265" s="1">
        <f ca="1">IFERROR(__xludf.DUMMYFUNCTION("""COMPUTED_VALUE"""),107.7)</f>
        <v>107.7</v>
      </c>
      <c r="I265" s="1">
        <f ca="1">IFERROR(__xludf.DUMMYFUNCTION("""COMPUTED_VALUE"""),254)</f>
        <v>254</v>
      </c>
      <c r="J265" s="1">
        <f ca="1">IFERROR(__xludf.DUMMYFUNCTION("""COMPUTED_VALUE"""),63.2)</f>
        <v>63.2</v>
      </c>
      <c r="K265" s="1">
        <f ca="1">IFERROR(__xludf.DUMMYFUNCTION("""COMPUTED_VALUE"""),255)</f>
        <v>255</v>
      </c>
      <c r="L265" s="1">
        <f ca="1">IFERROR(__xludf.DUMMYFUNCTION("""COMPUTED_VALUE"""),-0.079)</f>
        <v>-7.9000000000000001E-2</v>
      </c>
      <c r="M265" s="1">
        <f ca="1">IFERROR(__xludf.DUMMYFUNCTION("""COMPUTED_VALUE"""),309)</f>
        <v>309</v>
      </c>
      <c r="N265" s="1">
        <f ca="1">IFERROR(__xludf.DUMMYFUNCTION("""COMPUTED_VALUE"""),-1.74)</f>
        <v>-1.74</v>
      </c>
      <c r="O265" s="1">
        <f ca="1">IFERROR(__xludf.DUMMYFUNCTION("""COMPUTED_VALUE"""),194)</f>
        <v>194</v>
      </c>
      <c r="P265" s="1">
        <f ca="1">IFERROR(__xludf.DUMMYFUNCTION("""COMPUTED_VALUE"""),102.7)</f>
        <v>102.7</v>
      </c>
      <c r="Q265" s="1">
        <f ca="1">IFERROR(__xludf.DUMMYFUNCTION("""COMPUTED_VALUE"""),178)</f>
        <v>178</v>
      </c>
      <c r="R265" s="1">
        <f ca="1">IFERROR(__xludf.DUMMYFUNCTION("""COMPUTED_VALUE"""),104.5)</f>
        <v>104.5</v>
      </c>
      <c r="S265" s="1">
        <f ca="1">IFERROR(__xludf.DUMMYFUNCTION("""COMPUTED_VALUE"""),204)</f>
        <v>204</v>
      </c>
      <c r="T265" s="1" t="str">
        <f ca="1">IFERROR(__xludf.DUMMYFUNCTION("""COMPUTED_VALUE"""),"+10.23")</f>
        <v>+10.23</v>
      </c>
      <c r="U265" s="1">
        <f ca="1">IFERROR(__xludf.DUMMYFUNCTION("""COMPUTED_VALUE"""),10)</f>
        <v>10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IFERROR(__xludf.DUMMYFUNCTION("""COMPUTED_VALUE"""),"Youngstown St.")</f>
        <v>Youngstown St.</v>
      </c>
      <c r="C266" s="1" t="str">
        <f ca="1">IFERROR(__xludf.DUMMYFUNCTION("""COMPUTED_VALUE"""),"Horz")</f>
        <v>Horz</v>
      </c>
      <c r="D266" s="2">
        <f ca="1">IFERROR(__xludf.DUMMYFUNCTION("""COMPUTED_VALUE"""),44763)</f>
        <v>44763</v>
      </c>
      <c r="E266" s="1">
        <f ca="1">IFERROR(__xludf.DUMMYFUNCTION("""COMPUTED_VALUE"""),-8.15)</f>
        <v>-8.15</v>
      </c>
      <c r="F266" s="1">
        <f ca="1">IFERROR(__xludf.DUMMYFUNCTION("""COMPUTED_VALUE"""),103.5)</f>
        <v>103.5</v>
      </c>
      <c r="G266" s="1">
        <f ca="1">IFERROR(__xludf.DUMMYFUNCTION("""COMPUTED_VALUE"""),159)</f>
        <v>159</v>
      </c>
      <c r="H266" s="1">
        <f ca="1">IFERROR(__xludf.DUMMYFUNCTION("""COMPUTED_VALUE"""),111.7)</f>
        <v>111.7</v>
      </c>
      <c r="I266" s="1">
        <f ca="1">IFERROR(__xludf.DUMMYFUNCTION("""COMPUTED_VALUE"""),309)</f>
        <v>309</v>
      </c>
      <c r="J266" s="1">
        <f ca="1">IFERROR(__xludf.DUMMYFUNCTION("""COMPUTED_VALUE"""),63.8)</f>
        <v>63.8</v>
      </c>
      <c r="K266" s="1">
        <f ca="1">IFERROR(__xludf.DUMMYFUNCTION("""COMPUTED_VALUE"""),238)</f>
        <v>238</v>
      </c>
      <c r="L266" s="1">
        <f ca="1">IFERROR(__xludf.DUMMYFUNCTION("""COMPUTED_VALUE"""),-0.108)</f>
        <v>-0.108</v>
      </c>
      <c r="M266" s="1">
        <f ca="1">IFERROR(__xludf.DUMMYFUNCTION("""COMPUTED_VALUE"""),326)</f>
        <v>326</v>
      </c>
      <c r="N266" s="1">
        <f ca="1">IFERROR(__xludf.DUMMYFUNCTION("""COMPUTED_VALUE"""),-0.85)</f>
        <v>-0.85</v>
      </c>
      <c r="O266" s="1">
        <f ca="1">IFERROR(__xludf.DUMMYFUNCTION("""COMPUTED_VALUE"""),180)</f>
        <v>180</v>
      </c>
      <c r="P266" s="1">
        <f ca="1">IFERROR(__xludf.DUMMYFUNCTION("""COMPUTED_VALUE"""),103.8)</f>
        <v>103.8</v>
      </c>
      <c r="Q266" s="1">
        <f ca="1">IFERROR(__xludf.DUMMYFUNCTION("""COMPUTED_VALUE"""),130)</f>
        <v>130</v>
      </c>
      <c r="R266" s="1">
        <f ca="1">IFERROR(__xludf.DUMMYFUNCTION("""COMPUTED_VALUE"""),104.7)</f>
        <v>104.7</v>
      </c>
      <c r="S266" s="1">
        <f ca="1">IFERROR(__xludf.DUMMYFUNCTION("""COMPUTED_VALUE"""),214)</f>
        <v>214</v>
      </c>
      <c r="T266" s="1">
        <f ca="1">IFERROR(__xludf.DUMMYFUNCTION("""COMPUTED_VALUE"""),-3.83)</f>
        <v>-3.83</v>
      </c>
      <c r="U266" s="1">
        <f ca="1">IFERROR(__xludf.DUMMYFUNCTION("""COMPUTED_VALUE"""),253)</f>
        <v>253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IFERROR(__xludf.DUMMYFUNCTION("""COMPUTED_VALUE"""),"Quinnipiac")</f>
        <v>Quinnipiac</v>
      </c>
      <c r="C267" s="1" t="str">
        <f ca="1">IFERROR(__xludf.DUMMYFUNCTION("""COMPUTED_VALUE"""),"NEC")</f>
        <v>NEC</v>
      </c>
      <c r="D267" s="2">
        <f ca="1">IFERROR(__xludf.DUMMYFUNCTION("""COMPUTED_VALUE"""),44911)</f>
        <v>44911</v>
      </c>
      <c r="E267" s="1">
        <f ca="1">IFERROR(__xludf.DUMMYFUNCTION("""COMPUTED_VALUE"""),-8.19)</f>
        <v>-8.19</v>
      </c>
      <c r="F267" s="1">
        <f ca="1">IFERROR(__xludf.DUMMYFUNCTION("""COMPUTED_VALUE"""),98.6)</f>
        <v>98.6</v>
      </c>
      <c r="G267" s="1">
        <f ca="1">IFERROR(__xludf.DUMMYFUNCTION("""COMPUTED_VALUE"""),236)</f>
        <v>236</v>
      </c>
      <c r="H267" s="1">
        <f ca="1">IFERROR(__xludf.DUMMYFUNCTION("""COMPUTED_VALUE"""),106.8)</f>
        <v>106.8</v>
      </c>
      <c r="I267" s="1">
        <f ca="1">IFERROR(__xludf.DUMMYFUNCTION("""COMPUTED_VALUE"""),236)</f>
        <v>236</v>
      </c>
      <c r="J267" s="1">
        <f ca="1">IFERROR(__xludf.DUMMYFUNCTION("""COMPUTED_VALUE"""),69.9)</f>
        <v>69.900000000000006</v>
      </c>
      <c r="K267" s="1">
        <f ca="1">IFERROR(__xludf.DUMMYFUNCTION("""COMPUTED_VALUE"""),26)</f>
        <v>26</v>
      </c>
      <c r="L267" s="1">
        <f ca="1">IFERROR(__xludf.DUMMYFUNCTION("""COMPUTED_VALUE"""),-0.021)</f>
        <v>-2.1000000000000001E-2</v>
      </c>
      <c r="M267" s="1">
        <f ca="1">IFERROR(__xludf.DUMMYFUNCTION("""COMPUTED_VALUE"""),214)</f>
        <v>214</v>
      </c>
      <c r="N267" s="1">
        <f ca="1">IFERROR(__xludf.DUMMYFUNCTION("""COMPUTED_VALUE"""),-6.83)</f>
        <v>-6.83</v>
      </c>
      <c r="O267" s="1">
        <f ca="1">IFERROR(__xludf.DUMMYFUNCTION("""COMPUTED_VALUE"""),287)</f>
        <v>287</v>
      </c>
      <c r="P267" s="1">
        <f ca="1">IFERROR(__xludf.DUMMYFUNCTION("""COMPUTED_VALUE"""),99.1)</f>
        <v>99.1</v>
      </c>
      <c r="Q267" s="1">
        <f ca="1">IFERROR(__xludf.DUMMYFUNCTION("""COMPUTED_VALUE"""),290)</f>
        <v>290</v>
      </c>
      <c r="R267" s="1">
        <f ca="1">IFERROR(__xludf.DUMMYFUNCTION("""COMPUTED_VALUE"""),105.9)</f>
        <v>105.9</v>
      </c>
      <c r="S267" s="1">
        <f ca="1">IFERROR(__xludf.DUMMYFUNCTION("""COMPUTED_VALUE"""),272)</f>
        <v>272</v>
      </c>
      <c r="T267" s="1">
        <f ca="1">IFERROR(__xludf.DUMMYFUNCTION("""COMPUTED_VALUE"""),-6.85)</f>
        <v>-6.85</v>
      </c>
      <c r="U267" s="1">
        <f ca="1">IFERROR(__xludf.DUMMYFUNCTION("""COMPUTED_VALUE"""),301)</f>
        <v>301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IFERROR(__xludf.DUMMYFUNCTION("""COMPUTED_VALUE"""),"Wagner")</f>
        <v>Wagner</v>
      </c>
      <c r="C268" s="1" t="str">
        <f ca="1">IFERROR(__xludf.DUMMYFUNCTION("""COMPUTED_VALUE"""),"NEC")</f>
        <v>NEC</v>
      </c>
      <c r="D268" s="1" t="str">
        <f ca="1">IFERROR(__xludf.DUMMYFUNCTION("""COMPUTED_VALUE"""),"13-14")</f>
        <v>13-14</v>
      </c>
      <c r="E268" s="1">
        <f ca="1">IFERROR(__xludf.DUMMYFUNCTION("""COMPUTED_VALUE"""),-8.48)</f>
        <v>-8.48</v>
      </c>
      <c r="F268" s="1">
        <f ca="1">IFERROR(__xludf.DUMMYFUNCTION("""COMPUTED_VALUE"""),97.4)</f>
        <v>97.4</v>
      </c>
      <c r="G268" s="1">
        <f ca="1">IFERROR(__xludf.DUMMYFUNCTION("""COMPUTED_VALUE"""),257)</f>
        <v>257</v>
      </c>
      <c r="H268" s="1">
        <f ca="1">IFERROR(__xludf.DUMMYFUNCTION("""COMPUTED_VALUE"""),105.8)</f>
        <v>105.8</v>
      </c>
      <c r="I268" s="1">
        <f ca="1">IFERROR(__xludf.DUMMYFUNCTION("""COMPUTED_VALUE"""),216)</f>
        <v>216</v>
      </c>
      <c r="J268" s="1">
        <f ca="1">IFERROR(__xludf.DUMMYFUNCTION("""COMPUTED_VALUE"""),65.3)</f>
        <v>65.3</v>
      </c>
      <c r="K268" s="1">
        <f ca="1">IFERROR(__xludf.DUMMYFUNCTION("""COMPUTED_VALUE"""),162)</f>
        <v>162</v>
      </c>
      <c r="L268" s="1" t="str">
        <f ca="1">IFERROR(__xludf.DUMMYFUNCTION("""COMPUTED_VALUE"""),"+.009")</f>
        <v>+.009</v>
      </c>
      <c r="M268" s="1">
        <f ca="1">IFERROR(__xludf.DUMMYFUNCTION("""COMPUTED_VALUE"""),144)</f>
        <v>144</v>
      </c>
      <c r="N268" s="1">
        <f ca="1">IFERROR(__xludf.DUMMYFUNCTION("""COMPUTED_VALUE"""),-7.09)</f>
        <v>-7.09</v>
      </c>
      <c r="O268" s="1">
        <f ca="1">IFERROR(__xludf.DUMMYFUNCTION("""COMPUTED_VALUE"""),290)</f>
        <v>290</v>
      </c>
      <c r="P268" s="1">
        <f ca="1">IFERROR(__xludf.DUMMYFUNCTION("""COMPUTED_VALUE"""),98.8)</f>
        <v>98.8</v>
      </c>
      <c r="Q268" s="1">
        <f ca="1">IFERROR(__xludf.DUMMYFUNCTION("""COMPUTED_VALUE"""),295)</f>
        <v>295</v>
      </c>
      <c r="R268" s="1">
        <f ca="1">IFERROR(__xludf.DUMMYFUNCTION("""COMPUTED_VALUE"""),105.9)</f>
        <v>105.9</v>
      </c>
      <c r="S268" s="1">
        <f ca="1">IFERROR(__xludf.DUMMYFUNCTION("""COMPUTED_VALUE"""),269)</f>
        <v>269</v>
      </c>
      <c r="T268" s="1">
        <f ca="1">IFERROR(__xludf.DUMMYFUNCTION("""COMPUTED_VALUE"""),-5.94)</f>
        <v>-5.94</v>
      </c>
      <c r="U268" s="1">
        <f ca="1">IFERROR(__xludf.DUMMYFUNCTION("""COMPUTED_VALUE"""),291)</f>
        <v>291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IFERROR(__xludf.DUMMYFUNCTION("""COMPUTED_VALUE"""),"Harvard")</f>
        <v>Harvard</v>
      </c>
      <c r="C269" s="1" t="str">
        <f ca="1">IFERROR(__xludf.DUMMYFUNCTION("""COMPUTED_VALUE"""),"Ivy")</f>
        <v>Ivy</v>
      </c>
      <c r="D269" s="1" t="str">
        <f ca="1">IFERROR(__xludf.DUMMYFUNCTION("""COMPUTED_VALUE"""),"13-14")</f>
        <v>13-14</v>
      </c>
      <c r="E269" s="1">
        <f ca="1">IFERROR(__xludf.DUMMYFUNCTION("""COMPUTED_VALUE"""),-8.51)</f>
        <v>-8.51</v>
      </c>
      <c r="F269" s="1">
        <f ca="1">IFERROR(__xludf.DUMMYFUNCTION("""COMPUTED_VALUE"""),96.8)</f>
        <v>96.8</v>
      </c>
      <c r="G269" s="1">
        <f ca="1">IFERROR(__xludf.DUMMYFUNCTION("""COMPUTED_VALUE"""),269)</f>
        <v>269</v>
      </c>
      <c r="H269" s="1">
        <f ca="1">IFERROR(__xludf.DUMMYFUNCTION("""COMPUTED_VALUE"""),105.3)</f>
        <v>105.3</v>
      </c>
      <c r="I269" s="1">
        <f ca="1">IFERROR(__xludf.DUMMYFUNCTION("""COMPUTED_VALUE"""),204)</f>
        <v>204</v>
      </c>
      <c r="J269" s="1">
        <f ca="1">IFERROR(__xludf.DUMMYFUNCTION("""COMPUTED_VALUE"""),69.1)</f>
        <v>69.099999999999994</v>
      </c>
      <c r="K269" s="1">
        <f ca="1">IFERROR(__xludf.DUMMYFUNCTION("""COMPUTED_VALUE"""),43)</f>
        <v>43</v>
      </c>
      <c r="L269" s="1" t="str">
        <f ca="1">IFERROR(__xludf.DUMMYFUNCTION("""COMPUTED_VALUE"""),"+.016")</f>
        <v>+.016</v>
      </c>
      <c r="M269" s="1">
        <f ca="1">IFERROR(__xludf.DUMMYFUNCTION("""COMPUTED_VALUE"""),127)</f>
        <v>127</v>
      </c>
      <c r="N269" s="1">
        <f ca="1">IFERROR(__xludf.DUMMYFUNCTION("""COMPUTED_VALUE"""),-7.25)</f>
        <v>-7.25</v>
      </c>
      <c r="O269" s="1">
        <f ca="1">IFERROR(__xludf.DUMMYFUNCTION("""COMPUTED_VALUE"""),293)</f>
        <v>293</v>
      </c>
      <c r="P269" s="1">
        <f ca="1">IFERROR(__xludf.DUMMYFUNCTION("""COMPUTED_VALUE"""),98.2)</f>
        <v>98.2</v>
      </c>
      <c r="Q269" s="1">
        <f ca="1">IFERROR(__xludf.DUMMYFUNCTION("""COMPUTED_VALUE"""),306)</f>
        <v>306</v>
      </c>
      <c r="R269" s="1">
        <f ca="1">IFERROR(__xludf.DUMMYFUNCTION("""COMPUTED_VALUE"""),105.4)</f>
        <v>105.4</v>
      </c>
      <c r="S269" s="1">
        <f ca="1">IFERROR(__xludf.DUMMYFUNCTION("""COMPUTED_VALUE"""),253)</f>
        <v>253</v>
      </c>
      <c r="T269" s="1">
        <f ca="1">IFERROR(__xludf.DUMMYFUNCTION("""COMPUTED_VALUE"""),-4.13)</f>
        <v>-4.13</v>
      </c>
      <c r="U269" s="1">
        <f ca="1">IFERROR(__xludf.DUMMYFUNCTION("""COMPUTED_VALUE"""),259)</f>
        <v>259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IFERROR(__xludf.DUMMYFUNCTION("""COMPUTED_VALUE"""),"Sacred Heart")</f>
        <v>Sacred Heart</v>
      </c>
      <c r="C270" s="1" t="str">
        <f ca="1">IFERROR(__xludf.DUMMYFUNCTION("""COMPUTED_VALUE"""),"NEC")</f>
        <v>NEC</v>
      </c>
      <c r="D270" s="2">
        <f ca="1">IFERROR(__xludf.DUMMYFUNCTION("""COMPUTED_VALUE"""),44882)</f>
        <v>44882</v>
      </c>
      <c r="E270" s="1">
        <f ca="1">IFERROR(__xludf.DUMMYFUNCTION("""COMPUTED_VALUE"""),-8.57)</f>
        <v>-8.57</v>
      </c>
      <c r="F270" s="1">
        <f ca="1">IFERROR(__xludf.DUMMYFUNCTION("""COMPUTED_VALUE"""),97.6)</f>
        <v>97.6</v>
      </c>
      <c r="G270" s="1">
        <f ca="1">IFERROR(__xludf.DUMMYFUNCTION("""COMPUTED_VALUE"""),250)</f>
        <v>250</v>
      </c>
      <c r="H270" s="1">
        <f ca="1">IFERROR(__xludf.DUMMYFUNCTION("""COMPUTED_VALUE"""),106.2)</f>
        <v>106.2</v>
      </c>
      <c r="I270" s="1">
        <f ca="1">IFERROR(__xludf.DUMMYFUNCTION("""COMPUTED_VALUE"""),226)</f>
        <v>226</v>
      </c>
      <c r="J270" s="1">
        <f ca="1">IFERROR(__xludf.DUMMYFUNCTION("""COMPUTED_VALUE"""),65.5)</f>
        <v>65.5</v>
      </c>
      <c r="K270" s="1">
        <f ca="1">IFERROR(__xludf.DUMMYFUNCTION("""COMPUTED_VALUE"""),152)</f>
        <v>152</v>
      </c>
      <c r="L270" s="1">
        <f ca="1">IFERROR(__xludf.DUMMYFUNCTION("""COMPUTED_VALUE"""),-0.039)</f>
        <v>-3.9E-2</v>
      </c>
      <c r="M270" s="1">
        <f ca="1">IFERROR(__xludf.DUMMYFUNCTION("""COMPUTED_VALUE"""),259)</f>
        <v>259</v>
      </c>
      <c r="N270" s="1">
        <f ca="1">IFERROR(__xludf.DUMMYFUNCTION("""COMPUTED_VALUE"""),-6.71)</f>
        <v>-6.71</v>
      </c>
      <c r="O270" s="1">
        <f ca="1">IFERROR(__xludf.DUMMYFUNCTION("""COMPUTED_VALUE"""),282)</f>
        <v>282</v>
      </c>
      <c r="P270" s="1">
        <f ca="1">IFERROR(__xludf.DUMMYFUNCTION("""COMPUTED_VALUE"""),99.8)</f>
        <v>99.8</v>
      </c>
      <c r="Q270" s="1">
        <f ca="1">IFERROR(__xludf.DUMMYFUNCTION("""COMPUTED_VALUE"""),274)</f>
        <v>274</v>
      </c>
      <c r="R270" s="1">
        <f ca="1">IFERROR(__xludf.DUMMYFUNCTION("""COMPUTED_VALUE"""),106.5)</f>
        <v>106.5</v>
      </c>
      <c r="S270" s="1">
        <f ca="1">IFERROR(__xludf.DUMMYFUNCTION("""COMPUTED_VALUE"""),296)</f>
        <v>296</v>
      </c>
      <c r="T270" s="1">
        <f ca="1">IFERROR(__xludf.DUMMYFUNCTION("""COMPUTED_VALUE"""),-3.14)</f>
        <v>-3.14</v>
      </c>
      <c r="U270" s="1">
        <f ca="1">IFERROR(__xludf.DUMMYFUNCTION("""COMPUTED_VALUE"""),236)</f>
        <v>236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IFERROR(__xludf.DUMMYFUNCTION("""COMPUTED_VALUE"""),"American")</f>
        <v>American</v>
      </c>
      <c r="C271" s="1" t="str">
        <f ca="1">IFERROR(__xludf.DUMMYFUNCTION("""COMPUTED_VALUE"""),"Pat")</f>
        <v>Pat</v>
      </c>
      <c r="D271" s="2">
        <f ca="1">IFERROR(__xludf.DUMMYFUNCTION("""COMPUTED_VALUE"""),44912)</f>
        <v>44912</v>
      </c>
      <c r="E271" s="1">
        <f ca="1">IFERROR(__xludf.DUMMYFUNCTION("""COMPUTED_VALUE"""),-8.62)</f>
        <v>-8.6199999999999992</v>
      </c>
      <c r="F271" s="1">
        <f ca="1">IFERROR(__xludf.DUMMYFUNCTION("""COMPUTED_VALUE"""),98.5)</f>
        <v>98.5</v>
      </c>
      <c r="G271" s="1">
        <f ca="1">IFERROR(__xludf.DUMMYFUNCTION("""COMPUTED_VALUE"""),240)</f>
        <v>240</v>
      </c>
      <c r="H271" s="1">
        <f ca="1">IFERROR(__xludf.DUMMYFUNCTION("""COMPUTED_VALUE"""),107.1)</f>
        <v>107.1</v>
      </c>
      <c r="I271" s="1">
        <f ca="1">IFERROR(__xludf.DUMMYFUNCTION("""COMPUTED_VALUE"""),241)</f>
        <v>241</v>
      </c>
      <c r="J271" s="1">
        <f ca="1">IFERROR(__xludf.DUMMYFUNCTION("""COMPUTED_VALUE"""),63.7)</f>
        <v>63.7</v>
      </c>
      <c r="K271" s="1">
        <f ca="1">IFERROR(__xludf.DUMMYFUNCTION("""COMPUTED_VALUE"""),242)</f>
        <v>242</v>
      </c>
      <c r="L271" s="1" t="str">
        <f ca="1">IFERROR(__xludf.DUMMYFUNCTION("""COMPUTED_VALUE"""),"+.019")</f>
        <v>+.019</v>
      </c>
      <c r="M271" s="1">
        <f ca="1">IFERROR(__xludf.DUMMYFUNCTION("""COMPUTED_VALUE"""),118)</f>
        <v>118</v>
      </c>
      <c r="N271" s="1">
        <f ca="1">IFERROR(__xludf.DUMMYFUNCTION("""COMPUTED_VALUE"""),-4.39)</f>
        <v>-4.3899999999999997</v>
      </c>
      <c r="O271" s="1">
        <f ca="1">IFERROR(__xludf.DUMMYFUNCTION("""COMPUTED_VALUE"""),241)</f>
        <v>241</v>
      </c>
      <c r="P271" s="1">
        <f ca="1">IFERROR(__xludf.DUMMYFUNCTION("""COMPUTED_VALUE"""),99.4)</f>
        <v>99.4</v>
      </c>
      <c r="Q271" s="1">
        <f ca="1">IFERROR(__xludf.DUMMYFUNCTION("""COMPUTED_VALUE"""),282)</f>
        <v>282</v>
      </c>
      <c r="R271" s="1">
        <f ca="1">IFERROR(__xludf.DUMMYFUNCTION("""COMPUTED_VALUE"""),103.8)</f>
        <v>103.8</v>
      </c>
      <c r="S271" s="1">
        <f ca="1">IFERROR(__xludf.DUMMYFUNCTION("""COMPUTED_VALUE"""),177)</f>
        <v>177</v>
      </c>
      <c r="T271" s="1" t="str">
        <f ca="1">IFERROR(__xludf.DUMMYFUNCTION("""COMPUTED_VALUE"""),"+0.15")</f>
        <v>+0.15</v>
      </c>
      <c r="U271" s="1">
        <f ca="1">IFERROR(__xludf.DUMMYFUNCTION("""COMPUTED_VALUE"""),150)</f>
        <v>150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IFERROR(__xludf.DUMMYFUNCTION("""COMPUTED_VALUE"""),"Charleston Southern")</f>
        <v>Charleston Southern</v>
      </c>
      <c r="C272" s="1" t="str">
        <f ca="1">IFERROR(__xludf.DUMMYFUNCTION("""COMPUTED_VALUE"""),"BSth")</f>
        <v>BSth</v>
      </c>
      <c r="D272" s="1" t="str">
        <f ca="1">IFERROR(__xludf.DUMMYFUNCTION("""COMPUTED_VALUE"""),"13-16")</f>
        <v>13-16</v>
      </c>
      <c r="E272" s="1">
        <f ca="1">IFERROR(__xludf.DUMMYFUNCTION("""COMPUTED_VALUE"""),-8.67)</f>
        <v>-8.67</v>
      </c>
      <c r="F272" s="1">
        <f ca="1">IFERROR(__xludf.DUMMYFUNCTION("""COMPUTED_VALUE"""),99.6)</f>
        <v>99.6</v>
      </c>
      <c r="G272" s="1">
        <f ca="1">IFERROR(__xludf.DUMMYFUNCTION("""COMPUTED_VALUE"""),225)</f>
        <v>225</v>
      </c>
      <c r="H272" s="1">
        <f ca="1">IFERROR(__xludf.DUMMYFUNCTION("""COMPUTED_VALUE"""),108.3)</f>
        <v>108.3</v>
      </c>
      <c r="I272" s="1">
        <f ca="1">IFERROR(__xludf.DUMMYFUNCTION("""COMPUTED_VALUE"""),265)</f>
        <v>265</v>
      </c>
      <c r="J272" s="1">
        <f ca="1">IFERROR(__xludf.DUMMYFUNCTION("""COMPUTED_VALUE"""),65.6)</f>
        <v>65.599999999999994</v>
      </c>
      <c r="K272" s="1">
        <f ca="1">IFERROR(__xludf.DUMMYFUNCTION("""COMPUTED_VALUE"""),146)</f>
        <v>146</v>
      </c>
      <c r="L272" s="1" t="str">
        <f ca="1">IFERROR(__xludf.DUMMYFUNCTION("""COMPUTED_VALUE"""),"+.007")</f>
        <v>+.007</v>
      </c>
      <c r="M272" s="1">
        <f ca="1">IFERROR(__xludf.DUMMYFUNCTION("""COMPUTED_VALUE"""),149)</f>
        <v>149</v>
      </c>
      <c r="N272" s="1">
        <f ca="1">IFERROR(__xludf.DUMMYFUNCTION("""COMPUTED_VALUE"""),-4.54)</f>
        <v>-4.54</v>
      </c>
      <c r="O272" s="1">
        <f ca="1">IFERROR(__xludf.DUMMYFUNCTION("""COMPUTED_VALUE"""),247)</f>
        <v>247</v>
      </c>
      <c r="P272" s="1">
        <f ca="1">IFERROR(__xludf.DUMMYFUNCTION("""COMPUTED_VALUE"""),101.6)</f>
        <v>101.6</v>
      </c>
      <c r="Q272" s="1">
        <f ca="1">IFERROR(__xludf.DUMMYFUNCTION("""COMPUTED_VALUE"""),220)</f>
        <v>220</v>
      </c>
      <c r="R272" s="1">
        <f ca="1">IFERROR(__xludf.DUMMYFUNCTION("""COMPUTED_VALUE"""),106.2)</f>
        <v>106.2</v>
      </c>
      <c r="S272" s="1">
        <f ca="1">IFERROR(__xludf.DUMMYFUNCTION("""COMPUTED_VALUE"""),283)</f>
        <v>283</v>
      </c>
      <c r="T272" s="1" t="str">
        <f ca="1">IFERROR(__xludf.DUMMYFUNCTION("""COMPUTED_VALUE"""),"+2.05")</f>
        <v>+2.05</v>
      </c>
      <c r="U272" s="1">
        <f ca="1">IFERROR(__xludf.DUMMYFUNCTION("""COMPUTED_VALUE"""),96)</f>
        <v>96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IFERROR(__xludf.DUMMYFUNCTION("""COMPUTED_VALUE"""),"Yale")</f>
        <v>Yale</v>
      </c>
      <c r="C273" s="1" t="str">
        <f ca="1">IFERROR(__xludf.DUMMYFUNCTION("""COMPUTED_VALUE"""),"Ivy")</f>
        <v>Ivy</v>
      </c>
      <c r="D273" s="1" t="str">
        <f ca="1">IFERROR(__xludf.DUMMYFUNCTION("""COMPUTED_VALUE"""),"15-14")</f>
        <v>15-14</v>
      </c>
      <c r="E273" s="1">
        <f ca="1">IFERROR(__xludf.DUMMYFUNCTION("""COMPUTED_VALUE"""),-8.72)</f>
        <v>-8.7200000000000006</v>
      </c>
      <c r="F273" s="1">
        <f ca="1">IFERROR(__xludf.DUMMYFUNCTION("""COMPUTED_VALUE"""),96)</f>
        <v>96</v>
      </c>
      <c r="G273" s="1">
        <f ca="1">IFERROR(__xludf.DUMMYFUNCTION("""COMPUTED_VALUE"""),275)</f>
        <v>275</v>
      </c>
      <c r="H273" s="1">
        <f ca="1">IFERROR(__xludf.DUMMYFUNCTION("""COMPUTED_VALUE"""),104.7)</f>
        <v>104.7</v>
      </c>
      <c r="I273" s="1">
        <f ca="1">IFERROR(__xludf.DUMMYFUNCTION("""COMPUTED_VALUE"""),195)</f>
        <v>195</v>
      </c>
      <c r="J273" s="1">
        <f ca="1">IFERROR(__xludf.DUMMYFUNCTION("""COMPUTED_VALUE"""),68.4)</f>
        <v>68.400000000000006</v>
      </c>
      <c r="K273" s="1">
        <f ca="1">IFERROR(__xludf.DUMMYFUNCTION("""COMPUTED_VALUE"""),60)</f>
        <v>60</v>
      </c>
      <c r="L273" s="1" t="str">
        <f ca="1">IFERROR(__xludf.DUMMYFUNCTION("""COMPUTED_VALUE"""),"+.069")</f>
        <v>+.069</v>
      </c>
      <c r="M273" s="1">
        <f ca="1">IFERROR(__xludf.DUMMYFUNCTION("""COMPUTED_VALUE"""),32)</f>
        <v>32</v>
      </c>
      <c r="N273" s="1">
        <f ca="1">IFERROR(__xludf.DUMMYFUNCTION("""COMPUTED_VALUE"""),-7.79)</f>
        <v>-7.79</v>
      </c>
      <c r="O273" s="1">
        <f ca="1">IFERROR(__xludf.DUMMYFUNCTION("""COMPUTED_VALUE"""),303)</f>
        <v>303</v>
      </c>
      <c r="P273" s="1">
        <f ca="1">IFERROR(__xludf.DUMMYFUNCTION("""COMPUTED_VALUE"""),97.7)</f>
        <v>97.7</v>
      </c>
      <c r="Q273" s="1">
        <f ca="1">IFERROR(__xludf.DUMMYFUNCTION("""COMPUTED_VALUE"""),312)</f>
        <v>312</v>
      </c>
      <c r="R273" s="1">
        <f ca="1">IFERROR(__xludf.DUMMYFUNCTION("""COMPUTED_VALUE"""),105.5)</f>
        <v>105.5</v>
      </c>
      <c r="S273" s="1">
        <f ca="1">IFERROR(__xludf.DUMMYFUNCTION("""COMPUTED_VALUE"""),255)</f>
        <v>255</v>
      </c>
      <c r="T273" s="1">
        <f ca="1">IFERROR(__xludf.DUMMYFUNCTION("""COMPUTED_VALUE"""),-5.38)</f>
        <v>-5.38</v>
      </c>
      <c r="U273" s="1">
        <f ca="1">IFERROR(__xludf.DUMMYFUNCTION("""COMPUTED_VALUE"""),284)</f>
        <v>284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IFERROR(__xludf.DUMMYFUNCTION("""COMPUTED_VALUE"""),"Bowling Green")</f>
        <v>Bowling Green</v>
      </c>
      <c r="C274" s="1" t="str">
        <f ca="1">IFERROR(__xludf.DUMMYFUNCTION("""COMPUTED_VALUE"""),"MAC")</f>
        <v>MAC</v>
      </c>
      <c r="D274" s="2">
        <f ca="1">IFERROR(__xludf.DUMMYFUNCTION("""COMPUTED_VALUE"""),44825)</f>
        <v>44825</v>
      </c>
      <c r="E274" s="1">
        <f ca="1">IFERROR(__xludf.DUMMYFUNCTION("""COMPUTED_VALUE"""),-8.79)</f>
        <v>-8.7899999999999991</v>
      </c>
      <c r="F274" s="1">
        <f ca="1">IFERROR(__xludf.DUMMYFUNCTION("""COMPUTED_VALUE"""),97.5)</f>
        <v>97.5</v>
      </c>
      <c r="G274" s="1">
        <f ca="1">IFERROR(__xludf.DUMMYFUNCTION("""COMPUTED_VALUE"""),253)</f>
        <v>253</v>
      </c>
      <c r="H274" s="1">
        <f ca="1">IFERROR(__xludf.DUMMYFUNCTION("""COMPUTED_VALUE"""),106.3)</f>
        <v>106.3</v>
      </c>
      <c r="I274" s="1">
        <f ca="1">IFERROR(__xludf.DUMMYFUNCTION("""COMPUTED_VALUE"""),230)</f>
        <v>230</v>
      </c>
      <c r="J274" s="1">
        <f ca="1">IFERROR(__xludf.DUMMYFUNCTION("""COMPUTED_VALUE"""),66.4)</f>
        <v>66.400000000000006</v>
      </c>
      <c r="K274" s="1">
        <f ca="1">IFERROR(__xludf.DUMMYFUNCTION("""COMPUTED_VALUE"""),120)</f>
        <v>120</v>
      </c>
      <c r="L274" s="1">
        <f ca="1">IFERROR(__xludf.DUMMYFUNCTION("""COMPUTED_VALUE"""),-0.012)</f>
        <v>-1.2E-2</v>
      </c>
      <c r="M274" s="1">
        <f ca="1">IFERROR(__xludf.DUMMYFUNCTION("""COMPUTED_VALUE"""),199)</f>
        <v>199</v>
      </c>
      <c r="N274" s="1" t="str">
        <f ca="1">IFERROR(__xludf.DUMMYFUNCTION("""COMPUTED_VALUE"""),"+2.20")</f>
        <v>+2.20</v>
      </c>
      <c r="O274" s="1">
        <f ca="1">IFERROR(__xludf.DUMMYFUNCTION("""COMPUTED_VALUE"""),112)</f>
        <v>112</v>
      </c>
      <c r="P274" s="1">
        <f ca="1">IFERROR(__xludf.DUMMYFUNCTION("""COMPUTED_VALUE"""),104)</f>
        <v>104</v>
      </c>
      <c r="Q274" s="1">
        <f ca="1">IFERROR(__xludf.DUMMYFUNCTION("""COMPUTED_VALUE"""),124)</f>
        <v>124</v>
      </c>
      <c r="R274" s="1">
        <f ca="1">IFERROR(__xludf.DUMMYFUNCTION("""COMPUTED_VALUE"""),101.8)</f>
        <v>101.8</v>
      </c>
      <c r="S274" s="1">
        <f ca="1">IFERROR(__xludf.DUMMYFUNCTION("""COMPUTED_VALUE"""),125)</f>
        <v>125</v>
      </c>
      <c r="T274" s="1" t="str">
        <f ca="1">IFERROR(__xludf.DUMMYFUNCTION("""COMPUTED_VALUE"""),"+1.98")</f>
        <v>+1.98</v>
      </c>
      <c r="U274" s="1">
        <f ca="1">IFERROR(__xludf.DUMMYFUNCTION("""COMPUTED_VALUE"""),99)</f>
        <v>99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IFERROR(__xludf.DUMMYFUNCTION("""COMPUTED_VALUE"""),"Eastern Kentucky")</f>
        <v>Eastern Kentucky</v>
      </c>
      <c r="C275" s="1" t="str">
        <f ca="1">IFERROR(__xludf.DUMMYFUNCTION("""COMPUTED_VALUE"""),"OVC")</f>
        <v>OVC</v>
      </c>
      <c r="D275" s="1" t="str">
        <f ca="1">IFERROR(__xludf.DUMMYFUNCTION("""COMPUTED_VALUE"""),"14-16")</f>
        <v>14-16</v>
      </c>
      <c r="E275" s="1">
        <f ca="1">IFERROR(__xludf.DUMMYFUNCTION("""COMPUTED_VALUE"""),-8.9)</f>
        <v>-8.9</v>
      </c>
      <c r="F275" s="1">
        <f ca="1">IFERROR(__xludf.DUMMYFUNCTION("""COMPUTED_VALUE"""),105)</f>
        <v>105</v>
      </c>
      <c r="G275" s="1">
        <f ca="1">IFERROR(__xludf.DUMMYFUNCTION("""COMPUTED_VALUE"""),131)</f>
        <v>131</v>
      </c>
      <c r="H275" s="1">
        <f ca="1">IFERROR(__xludf.DUMMYFUNCTION("""COMPUTED_VALUE"""),113.9)</f>
        <v>113.9</v>
      </c>
      <c r="I275" s="1">
        <f ca="1">IFERROR(__xludf.DUMMYFUNCTION("""COMPUTED_VALUE"""),322)</f>
        <v>322</v>
      </c>
      <c r="J275" s="1">
        <f ca="1">IFERROR(__xludf.DUMMYFUNCTION("""COMPUTED_VALUE"""),63.2)</f>
        <v>63.2</v>
      </c>
      <c r="K275" s="1">
        <f ca="1">IFERROR(__xludf.DUMMYFUNCTION("""COMPUTED_VALUE"""),254)</f>
        <v>254</v>
      </c>
      <c r="L275" s="1" t="str">
        <f ca="1">IFERROR(__xludf.DUMMYFUNCTION("""COMPUTED_VALUE"""),"+.042")</f>
        <v>+.042</v>
      </c>
      <c r="M275" s="1">
        <f ca="1">IFERROR(__xludf.DUMMYFUNCTION("""COMPUTED_VALUE"""),67)</f>
        <v>67</v>
      </c>
      <c r="N275" s="1">
        <f ca="1">IFERROR(__xludf.DUMMYFUNCTION("""COMPUTED_VALUE"""),-4.44)</f>
        <v>-4.4400000000000004</v>
      </c>
      <c r="O275" s="1">
        <f ca="1">IFERROR(__xludf.DUMMYFUNCTION("""COMPUTED_VALUE"""),244)</f>
        <v>244</v>
      </c>
      <c r="P275" s="1">
        <f ca="1">IFERROR(__xludf.DUMMYFUNCTION("""COMPUTED_VALUE"""),102)</f>
        <v>102</v>
      </c>
      <c r="Q275" s="1">
        <f ca="1">IFERROR(__xludf.DUMMYFUNCTION("""COMPUTED_VALUE"""),206)</f>
        <v>206</v>
      </c>
      <c r="R275" s="1">
        <f ca="1">IFERROR(__xludf.DUMMYFUNCTION("""COMPUTED_VALUE"""),106.5)</f>
        <v>106.5</v>
      </c>
      <c r="S275" s="1">
        <f ca="1">IFERROR(__xludf.DUMMYFUNCTION("""COMPUTED_VALUE"""),297)</f>
        <v>297</v>
      </c>
      <c r="T275" s="1" t="str">
        <f ca="1">IFERROR(__xludf.DUMMYFUNCTION("""COMPUTED_VALUE"""),"+2.97")</f>
        <v>+2.97</v>
      </c>
      <c r="U275" s="1">
        <f ca="1">IFERROR(__xludf.DUMMYFUNCTION("""COMPUTED_VALUE"""),77)</f>
        <v>77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IFERROR(__xludf.DUMMYFUNCTION("""COMPUTED_VALUE"""),"Cal St. Northridge")</f>
        <v>Cal St. Northridge</v>
      </c>
      <c r="C276" s="1" t="str">
        <f ca="1">IFERROR(__xludf.DUMMYFUNCTION("""COMPUTED_VALUE"""),"BW")</f>
        <v>BW</v>
      </c>
      <c r="D276" s="2">
        <f ca="1">IFERROR(__xludf.DUMMYFUNCTION("""COMPUTED_VALUE"""),44882)</f>
        <v>44882</v>
      </c>
      <c r="E276" s="1">
        <f ca="1">IFERROR(__xludf.DUMMYFUNCTION("""COMPUTED_VALUE"""),-9.16)</f>
        <v>-9.16</v>
      </c>
      <c r="F276" s="1">
        <f ca="1">IFERROR(__xludf.DUMMYFUNCTION("""COMPUTED_VALUE"""),95.6)</f>
        <v>95.6</v>
      </c>
      <c r="G276" s="1">
        <f ca="1">IFERROR(__xludf.DUMMYFUNCTION("""COMPUTED_VALUE"""),283)</f>
        <v>283</v>
      </c>
      <c r="H276" s="1">
        <f ca="1">IFERROR(__xludf.DUMMYFUNCTION("""COMPUTED_VALUE"""),104.8)</f>
        <v>104.8</v>
      </c>
      <c r="I276" s="1">
        <f ca="1">IFERROR(__xludf.DUMMYFUNCTION("""COMPUTED_VALUE"""),196)</f>
        <v>196</v>
      </c>
      <c r="J276" s="1">
        <f ca="1">IFERROR(__xludf.DUMMYFUNCTION("""COMPUTED_VALUE"""),69.3)</f>
        <v>69.3</v>
      </c>
      <c r="K276" s="1">
        <f ca="1">IFERROR(__xludf.DUMMYFUNCTION("""COMPUTED_VALUE"""),38)</f>
        <v>38</v>
      </c>
      <c r="L276" s="1" t="str">
        <f ca="1">IFERROR(__xludf.DUMMYFUNCTION("""COMPUTED_VALUE"""),"+.038")</f>
        <v>+.038</v>
      </c>
      <c r="M276" s="1">
        <f ca="1">IFERROR(__xludf.DUMMYFUNCTION("""COMPUTED_VALUE"""),76)</f>
        <v>76</v>
      </c>
      <c r="N276" s="1">
        <f ca="1">IFERROR(__xludf.DUMMYFUNCTION("""COMPUTED_VALUE"""),-2.45)</f>
        <v>-2.4500000000000002</v>
      </c>
      <c r="O276" s="1">
        <f ca="1">IFERROR(__xludf.DUMMYFUNCTION("""COMPUTED_VALUE"""),204)</f>
        <v>204</v>
      </c>
      <c r="P276" s="1">
        <f ca="1">IFERROR(__xludf.DUMMYFUNCTION("""COMPUTED_VALUE"""),102.8)</f>
        <v>102.8</v>
      </c>
      <c r="Q276" s="1">
        <f ca="1">IFERROR(__xludf.DUMMYFUNCTION("""COMPUTED_VALUE"""),175)</f>
        <v>175</v>
      </c>
      <c r="R276" s="1">
        <f ca="1">IFERROR(__xludf.DUMMYFUNCTION("""COMPUTED_VALUE"""),105.2)</f>
        <v>105.2</v>
      </c>
      <c r="S276" s="1">
        <f ca="1">IFERROR(__xludf.DUMMYFUNCTION("""COMPUTED_VALUE"""),243)</f>
        <v>243</v>
      </c>
      <c r="T276" s="1">
        <f ca="1">IFERROR(__xludf.DUMMYFUNCTION("""COMPUTED_VALUE"""),-2.91)</f>
        <v>-2.91</v>
      </c>
      <c r="U276" s="1">
        <f ca="1">IFERROR(__xludf.DUMMYFUNCTION("""COMPUTED_VALUE"""),229)</f>
        <v>229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IFERROR(__xludf.DUMMYFUNCTION("""COMPUTED_VALUE"""),"Gardner Webb")</f>
        <v>Gardner Webb</v>
      </c>
      <c r="C277" s="1" t="str">
        <f ca="1">IFERROR(__xludf.DUMMYFUNCTION("""COMPUTED_VALUE"""),"ASun")</f>
        <v>ASun</v>
      </c>
      <c r="D277" s="1" t="str">
        <f ca="1">IFERROR(__xludf.DUMMYFUNCTION("""COMPUTED_VALUE"""),"17-12")</f>
        <v>17-12</v>
      </c>
      <c r="E277" s="1">
        <f ca="1">IFERROR(__xludf.DUMMYFUNCTION("""COMPUTED_VALUE"""),-9.19)</f>
        <v>-9.19</v>
      </c>
      <c r="F277" s="1">
        <f ca="1">IFERROR(__xludf.DUMMYFUNCTION("""COMPUTED_VALUE"""),100.4)</f>
        <v>100.4</v>
      </c>
      <c r="G277" s="1">
        <f ca="1">IFERROR(__xludf.DUMMYFUNCTION("""COMPUTED_VALUE"""),209)</f>
        <v>209</v>
      </c>
      <c r="H277" s="1">
        <f ca="1">IFERROR(__xludf.DUMMYFUNCTION("""COMPUTED_VALUE"""),109.6)</f>
        <v>109.6</v>
      </c>
      <c r="I277" s="1">
        <f ca="1">IFERROR(__xludf.DUMMYFUNCTION("""COMPUTED_VALUE"""),286)</f>
        <v>286</v>
      </c>
      <c r="J277" s="1">
        <f ca="1">IFERROR(__xludf.DUMMYFUNCTION("""COMPUTED_VALUE"""),62.7)</f>
        <v>62.7</v>
      </c>
      <c r="K277" s="1">
        <f ca="1">IFERROR(__xludf.DUMMYFUNCTION("""COMPUTED_VALUE"""),265)</f>
        <v>265</v>
      </c>
      <c r="L277" s="1" t="str">
        <f ca="1">IFERROR(__xludf.DUMMYFUNCTION("""COMPUTED_VALUE"""),"+.159")</f>
        <v>+.159</v>
      </c>
      <c r="M277" s="1">
        <f ca="1">IFERROR(__xludf.DUMMYFUNCTION("""COMPUTED_VALUE"""),2)</f>
        <v>2</v>
      </c>
      <c r="N277" s="1">
        <f ca="1">IFERROR(__xludf.DUMMYFUNCTION("""COMPUTED_VALUE"""),-7.38)</f>
        <v>-7.38</v>
      </c>
      <c r="O277" s="1">
        <f ca="1">IFERROR(__xludf.DUMMYFUNCTION("""COMPUTED_VALUE"""),294)</f>
        <v>294</v>
      </c>
      <c r="P277" s="1">
        <f ca="1">IFERROR(__xludf.DUMMYFUNCTION("""COMPUTED_VALUE"""),100.4)</f>
        <v>100.4</v>
      </c>
      <c r="Q277" s="1">
        <f ca="1">IFERROR(__xludf.DUMMYFUNCTION("""COMPUTED_VALUE"""),258)</f>
        <v>258</v>
      </c>
      <c r="R277" s="1">
        <f ca="1">IFERROR(__xludf.DUMMYFUNCTION("""COMPUTED_VALUE"""),107.8)</f>
        <v>107.8</v>
      </c>
      <c r="S277" s="1">
        <f ca="1">IFERROR(__xludf.DUMMYFUNCTION("""COMPUTED_VALUE"""),324)</f>
        <v>324</v>
      </c>
      <c r="T277" s="1" t="str">
        <f ca="1">IFERROR(__xludf.DUMMYFUNCTION("""COMPUTED_VALUE"""),"+9.37")</f>
        <v>+9.37</v>
      </c>
      <c r="U277" s="1">
        <f ca="1">IFERROR(__xludf.DUMMYFUNCTION("""COMPUTED_VALUE"""),14)</f>
        <v>14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IFERROR(__xludf.DUMMYFUNCTION("""COMPUTED_VALUE"""),"Eastern Michigan")</f>
        <v>Eastern Michigan</v>
      </c>
      <c r="C278" s="1" t="str">
        <f ca="1">IFERROR(__xludf.DUMMYFUNCTION("""COMPUTED_VALUE"""),"MAC")</f>
        <v>MAC</v>
      </c>
      <c r="D278" s="2">
        <f ca="1">IFERROR(__xludf.DUMMYFUNCTION("""COMPUTED_VALUE"""),44763)</f>
        <v>44763</v>
      </c>
      <c r="E278" s="1">
        <f ca="1">IFERROR(__xludf.DUMMYFUNCTION("""COMPUTED_VALUE"""),-9.34)</f>
        <v>-9.34</v>
      </c>
      <c r="F278" s="1">
        <f ca="1">IFERROR(__xludf.DUMMYFUNCTION("""COMPUTED_VALUE"""),100)</f>
        <v>100</v>
      </c>
      <c r="G278" s="1">
        <f ca="1">IFERROR(__xludf.DUMMYFUNCTION("""COMPUTED_VALUE"""),218)</f>
        <v>218</v>
      </c>
      <c r="H278" s="1">
        <f ca="1">IFERROR(__xludf.DUMMYFUNCTION("""COMPUTED_VALUE"""),109.4)</f>
        <v>109.4</v>
      </c>
      <c r="I278" s="1">
        <f ca="1">IFERROR(__xludf.DUMMYFUNCTION("""COMPUTED_VALUE"""),283)</f>
        <v>283</v>
      </c>
      <c r="J278" s="1">
        <f ca="1">IFERROR(__xludf.DUMMYFUNCTION("""COMPUTED_VALUE"""),65.4)</f>
        <v>65.400000000000006</v>
      </c>
      <c r="K278" s="1">
        <f ca="1">IFERROR(__xludf.DUMMYFUNCTION("""COMPUTED_VALUE"""),160)</f>
        <v>160</v>
      </c>
      <c r="L278" s="1">
        <f ca="1">IFERROR(__xludf.DUMMYFUNCTION("""COMPUTED_VALUE"""),-0.041)</f>
        <v>-4.1000000000000002E-2</v>
      </c>
      <c r="M278" s="1">
        <f ca="1">IFERROR(__xludf.DUMMYFUNCTION("""COMPUTED_VALUE"""),265)</f>
        <v>265</v>
      </c>
      <c r="N278" s="1">
        <f ca="1">IFERROR(__xludf.DUMMYFUNCTION("""COMPUTED_VALUE"""),-1.52)</f>
        <v>-1.52</v>
      </c>
      <c r="O278" s="1">
        <f ca="1">IFERROR(__xludf.DUMMYFUNCTION("""COMPUTED_VALUE"""),191)</f>
        <v>191</v>
      </c>
      <c r="P278" s="1">
        <f ca="1">IFERROR(__xludf.DUMMYFUNCTION("""COMPUTED_VALUE"""),101.9)</f>
        <v>101.9</v>
      </c>
      <c r="Q278" s="1">
        <f ca="1">IFERROR(__xludf.DUMMYFUNCTION("""COMPUTED_VALUE"""),212)</f>
        <v>212</v>
      </c>
      <c r="R278" s="1">
        <f ca="1">IFERROR(__xludf.DUMMYFUNCTION("""COMPUTED_VALUE"""),103.4)</f>
        <v>103.4</v>
      </c>
      <c r="S278" s="1">
        <f ca="1">IFERROR(__xludf.DUMMYFUNCTION("""COMPUTED_VALUE"""),166)</f>
        <v>166</v>
      </c>
      <c r="T278" s="1">
        <f ca="1">IFERROR(__xludf.DUMMYFUNCTION("""COMPUTED_VALUE"""),-3)</f>
        <v>-3</v>
      </c>
      <c r="U278" s="1">
        <f ca="1">IFERROR(__xludf.DUMMYFUNCTION("""COMPUTED_VALUE"""),232)</f>
        <v>232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IFERROR(__xludf.DUMMYFUNCTION("""COMPUTED_VALUE"""),"Princeton")</f>
        <v>Princeton</v>
      </c>
      <c r="C279" s="1" t="str">
        <f ca="1">IFERROR(__xludf.DUMMYFUNCTION("""COMPUTED_VALUE"""),"Ivy")</f>
        <v>Ivy</v>
      </c>
      <c r="D279" s="2">
        <f ca="1">IFERROR(__xludf.DUMMYFUNCTION("""COMPUTED_VALUE"""),44910)</f>
        <v>44910</v>
      </c>
      <c r="E279" s="1">
        <f ca="1">IFERROR(__xludf.DUMMYFUNCTION("""COMPUTED_VALUE"""),-9.35)</f>
        <v>-9.35</v>
      </c>
      <c r="F279" s="1">
        <f ca="1">IFERROR(__xludf.DUMMYFUNCTION("""COMPUTED_VALUE"""),97)</f>
        <v>97</v>
      </c>
      <c r="G279" s="1">
        <f ca="1">IFERROR(__xludf.DUMMYFUNCTION("""COMPUTED_VALUE"""),264)</f>
        <v>264</v>
      </c>
      <c r="H279" s="1">
        <f ca="1">IFERROR(__xludf.DUMMYFUNCTION("""COMPUTED_VALUE"""),106.4)</f>
        <v>106.4</v>
      </c>
      <c r="I279" s="1">
        <f ca="1">IFERROR(__xludf.DUMMYFUNCTION("""COMPUTED_VALUE"""),232)</f>
        <v>232</v>
      </c>
      <c r="J279" s="1">
        <f ca="1">IFERROR(__xludf.DUMMYFUNCTION("""COMPUTED_VALUE"""),52.9)</f>
        <v>52.9</v>
      </c>
      <c r="K279" s="1">
        <f ca="1">IFERROR(__xludf.DUMMYFUNCTION("""COMPUTED_VALUE"""),334)</f>
        <v>334</v>
      </c>
      <c r="L279" s="1" t="str">
        <f ca="1">IFERROR(__xludf.DUMMYFUNCTION("""COMPUTED_VALUE"""),"+.065")</f>
        <v>+.065</v>
      </c>
      <c r="M279" s="1">
        <f ca="1">IFERROR(__xludf.DUMMYFUNCTION("""COMPUTED_VALUE"""),38)</f>
        <v>38</v>
      </c>
      <c r="N279" s="1">
        <f ca="1">IFERROR(__xludf.DUMMYFUNCTION("""COMPUTED_VALUE"""),-4.45)</f>
        <v>-4.45</v>
      </c>
      <c r="O279" s="1">
        <f ca="1">IFERROR(__xludf.DUMMYFUNCTION("""COMPUTED_VALUE"""),245)</f>
        <v>245</v>
      </c>
      <c r="P279" s="1">
        <f ca="1">IFERROR(__xludf.DUMMYFUNCTION("""COMPUTED_VALUE"""),99.1)</f>
        <v>99.1</v>
      </c>
      <c r="Q279" s="1">
        <f ca="1">IFERROR(__xludf.DUMMYFUNCTION("""COMPUTED_VALUE"""),289)</f>
        <v>289</v>
      </c>
      <c r="R279" s="1">
        <f ca="1">IFERROR(__xludf.DUMMYFUNCTION("""COMPUTED_VALUE"""),103.5)</f>
        <v>103.5</v>
      </c>
      <c r="S279" s="1">
        <f ca="1">IFERROR(__xludf.DUMMYFUNCTION("""COMPUTED_VALUE"""),169)</f>
        <v>169</v>
      </c>
      <c r="T279" s="1" t="str">
        <f ca="1">IFERROR(__xludf.DUMMYFUNCTION("""COMPUTED_VALUE"""),"+1.81")</f>
        <v>+1.81</v>
      </c>
      <c r="U279" s="1">
        <f ca="1">IFERROR(__xludf.DUMMYFUNCTION("""COMPUTED_VALUE"""),105)</f>
        <v>105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IFERROR(__xludf.DUMMYFUNCTION("""COMPUTED_VALUE"""),"UMBC")</f>
        <v>UMBC</v>
      </c>
      <c r="C280" s="1" t="str">
        <f ca="1">IFERROR(__xludf.DUMMYFUNCTION("""COMPUTED_VALUE"""),"AE")</f>
        <v>AE</v>
      </c>
      <c r="D280" s="2">
        <f ca="1">IFERROR(__xludf.DUMMYFUNCTION("""COMPUTED_VALUE"""),44853)</f>
        <v>44853</v>
      </c>
      <c r="E280" s="1">
        <f ca="1">IFERROR(__xludf.DUMMYFUNCTION("""COMPUTED_VALUE"""),-9.49)</f>
        <v>-9.49</v>
      </c>
      <c r="F280" s="1">
        <f ca="1">IFERROR(__xludf.DUMMYFUNCTION("""COMPUTED_VALUE"""),101.1)</f>
        <v>101.1</v>
      </c>
      <c r="G280" s="1">
        <f ca="1">IFERROR(__xludf.DUMMYFUNCTION("""COMPUTED_VALUE"""),198)</f>
        <v>198</v>
      </c>
      <c r="H280" s="1">
        <f ca="1">IFERROR(__xludf.DUMMYFUNCTION("""COMPUTED_VALUE"""),110.6)</f>
        <v>110.6</v>
      </c>
      <c r="I280" s="1">
        <f ca="1">IFERROR(__xludf.DUMMYFUNCTION("""COMPUTED_VALUE"""),295)</f>
        <v>295</v>
      </c>
      <c r="J280" s="1">
        <f ca="1">IFERROR(__xludf.DUMMYFUNCTION("""COMPUTED_VALUE"""),65)</f>
        <v>65</v>
      </c>
      <c r="K280" s="1">
        <f ca="1">IFERROR(__xludf.DUMMYFUNCTION("""COMPUTED_VALUE"""),182)</f>
        <v>182</v>
      </c>
      <c r="L280" s="1">
        <f ca="1">IFERROR(__xludf.DUMMYFUNCTION("""COMPUTED_VALUE"""),-0.04)</f>
        <v>-0.04</v>
      </c>
      <c r="M280" s="1">
        <f ca="1">IFERROR(__xludf.DUMMYFUNCTION("""COMPUTED_VALUE"""),263)</f>
        <v>263</v>
      </c>
      <c r="N280" s="1">
        <f ca="1">IFERROR(__xludf.DUMMYFUNCTION("""COMPUTED_VALUE"""),-5.32)</f>
        <v>-5.32</v>
      </c>
      <c r="O280" s="1">
        <f ca="1">IFERROR(__xludf.DUMMYFUNCTION("""COMPUTED_VALUE"""),261)</f>
        <v>261</v>
      </c>
      <c r="P280" s="1">
        <f ca="1">IFERROR(__xludf.DUMMYFUNCTION("""COMPUTED_VALUE"""),100)</f>
        <v>100</v>
      </c>
      <c r="Q280" s="1">
        <f ca="1">IFERROR(__xludf.DUMMYFUNCTION("""COMPUTED_VALUE"""),271)</f>
        <v>271</v>
      </c>
      <c r="R280" s="1">
        <f ca="1">IFERROR(__xludf.DUMMYFUNCTION("""COMPUTED_VALUE"""),105.3)</f>
        <v>105.3</v>
      </c>
      <c r="S280" s="1">
        <f ca="1">IFERROR(__xludf.DUMMYFUNCTION("""COMPUTED_VALUE"""),248)</f>
        <v>248</v>
      </c>
      <c r="T280" s="1">
        <f ca="1">IFERROR(__xludf.DUMMYFUNCTION("""COMPUTED_VALUE"""),-0.46)</f>
        <v>-0.46</v>
      </c>
      <c r="U280" s="1">
        <f ca="1">IFERROR(__xludf.DUMMYFUNCTION("""COMPUTED_VALUE"""),163)</f>
        <v>163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IFERROR(__xludf.DUMMYFUNCTION("""COMPUTED_VALUE"""),"St. Francis NY")</f>
        <v>St. Francis NY</v>
      </c>
      <c r="C281" s="1" t="str">
        <f ca="1">IFERROR(__xludf.DUMMYFUNCTION("""COMPUTED_VALUE"""),"NEC")</f>
        <v>NEC</v>
      </c>
      <c r="D281" s="2">
        <f ca="1">IFERROR(__xludf.DUMMYFUNCTION("""COMPUTED_VALUE"""),44851)</f>
        <v>44851</v>
      </c>
      <c r="E281" s="1">
        <f ca="1">IFERROR(__xludf.DUMMYFUNCTION("""COMPUTED_VALUE"""),-9.51)</f>
        <v>-9.51</v>
      </c>
      <c r="F281" s="1">
        <f ca="1">IFERROR(__xludf.DUMMYFUNCTION("""COMPUTED_VALUE"""),93.1)</f>
        <v>93.1</v>
      </c>
      <c r="G281" s="1">
        <f ca="1">IFERROR(__xludf.DUMMYFUNCTION("""COMPUTED_VALUE"""),303)</f>
        <v>303</v>
      </c>
      <c r="H281" s="1">
        <f ca="1">IFERROR(__xludf.DUMMYFUNCTION("""COMPUTED_VALUE"""),102.7)</f>
        <v>102.7</v>
      </c>
      <c r="I281" s="1">
        <f ca="1">IFERROR(__xludf.DUMMYFUNCTION("""COMPUTED_VALUE"""),160)</f>
        <v>160</v>
      </c>
      <c r="J281" s="1">
        <f ca="1">IFERROR(__xludf.DUMMYFUNCTION("""COMPUTED_VALUE"""),64.9)</f>
        <v>64.900000000000006</v>
      </c>
      <c r="K281" s="1">
        <f ca="1">IFERROR(__xludf.DUMMYFUNCTION("""COMPUTED_VALUE"""),184)</f>
        <v>184</v>
      </c>
      <c r="L281" s="1">
        <f ca="1">IFERROR(__xludf.DUMMYFUNCTION("""COMPUTED_VALUE"""),-0.005)</f>
        <v>-5.0000000000000001E-3</v>
      </c>
      <c r="M281" s="1">
        <f ca="1">IFERROR(__xludf.DUMMYFUNCTION("""COMPUTED_VALUE"""),181)</f>
        <v>181</v>
      </c>
      <c r="N281" s="1">
        <f ca="1">IFERROR(__xludf.DUMMYFUNCTION("""COMPUTED_VALUE"""),-5.65)</f>
        <v>-5.65</v>
      </c>
      <c r="O281" s="1">
        <f ca="1">IFERROR(__xludf.DUMMYFUNCTION("""COMPUTED_VALUE"""),266)</f>
        <v>266</v>
      </c>
      <c r="P281" s="1">
        <f ca="1">IFERROR(__xludf.DUMMYFUNCTION("""COMPUTED_VALUE"""),100.5)</f>
        <v>100.5</v>
      </c>
      <c r="Q281" s="1">
        <f ca="1">IFERROR(__xludf.DUMMYFUNCTION("""COMPUTED_VALUE"""),257)</f>
        <v>257</v>
      </c>
      <c r="R281" s="1">
        <f ca="1">IFERROR(__xludf.DUMMYFUNCTION("""COMPUTED_VALUE"""),106.2)</f>
        <v>106.2</v>
      </c>
      <c r="S281" s="1">
        <f ca="1">IFERROR(__xludf.DUMMYFUNCTION("""COMPUTED_VALUE"""),282)</f>
        <v>282</v>
      </c>
      <c r="T281" s="1" t="str">
        <f ca="1">IFERROR(__xludf.DUMMYFUNCTION("""COMPUTED_VALUE"""),"+1.10")</f>
        <v>+1.10</v>
      </c>
      <c r="U281" s="1">
        <f ca="1">IFERROR(__xludf.DUMMYFUNCTION("""COMPUTED_VALUE"""),124)</f>
        <v>124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IFERROR(__xludf.DUMMYFUNCTION("""COMPUTED_VALUE"""),"Alabama A&amp;M")</f>
        <v>Alabama A&amp;M</v>
      </c>
      <c r="C282" s="1" t="str">
        <f ca="1">IFERROR(__xludf.DUMMYFUNCTION("""COMPUTED_VALUE"""),"SWAC")</f>
        <v>SWAC</v>
      </c>
      <c r="D282" s="1" t="str">
        <f ca="1">IFERROR(__xludf.DUMMYFUNCTION("""COMPUTED_VALUE"""),"13-13")</f>
        <v>13-13</v>
      </c>
      <c r="E282" s="1">
        <f ca="1">IFERROR(__xludf.DUMMYFUNCTION("""COMPUTED_VALUE"""),-9.65)</f>
        <v>-9.65</v>
      </c>
      <c r="F282" s="1">
        <f ca="1">IFERROR(__xludf.DUMMYFUNCTION("""COMPUTED_VALUE"""),94.5)</f>
        <v>94.5</v>
      </c>
      <c r="G282" s="1">
        <f ca="1">IFERROR(__xludf.DUMMYFUNCTION("""COMPUTED_VALUE"""),292)</f>
        <v>292</v>
      </c>
      <c r="H282" s="1">
        <f ca="1">IFERROR(__xludf.DUMMYFUNCTION("""COMPUTED_VALUE"""),104.1)</f>
        <v>104.1</v>
      </c>
      <c r="I282" s="1">
        <f ca="1">IFERROR(__xludf.DUMMYFUNCTION("""COMPUTED_VALUE"""),190)</f>
        <v>190</v>
      </c>
      <c r="J282" s="1">
        <f ca="1">IFERROR(__xludf.DUMMYFUNCTION("""COMPUTED_VALUE"""),73.4)</f>
        <v>73.400000000000006</v>
      </c>
      <c r="K282" s="1">
        <f ca="1">IFERROR(__xludf.DUMMYFUNCTION("""COMPUTED_VALUE"""),3)</f>
        <v>3</v>
      </c>
      <c r="L282" s="1">
        <f ca="1">IFERROR(__xludf.DUMMYFUNCTION("""COMPUTED_VALUE"""),-0.04)</f>
        <v>-0.04</v>
      </c>
      <c r="M282" s="1">
        <f ca="1">IFERROR(__xludf.DUMMYFUNCTION("""COMPUTED_VALUE"""),264)</f>
        <v>264</v>
      </c>
      <c r="N282" s="1">
        <f ca="1">IFERROR(__xludf.DUMMYFUNCTION("""COMPUTED_VALUE"""),-11.93)</f>
        <v>-11.93</v>
      </c>
      <c r="O282" s="1">
        <f ca="1">IFERROR(__xludf.DUMMYFUNCTION("""COMPUTED_VALUE"""),333)</f>
        <v>333</v>
      </c>
      <c r="P282" s="1">
        <f ca="1">IFERROR(__xludf.DUMMYFUNCTION("""COMPUTED_VALUE"""),94.2)</f>
        <v>94.2</v>
      </c>
      <c r="Q282" s="1">
        <f ca="1">IFERROR(__xludf.DUMMYFUNCTION("""COMPUTED_VALUE"""),332)</f>
        <v>332</v>
      </c>
      <c r="R282" s="1">
        <f ca="1">IFERROR(__xludf.DUMMYFUNCTION("""COMPUTED_VALUE"""),106.1)</f>
        <v>106.1</v>
      </c>
      <c r="S282" s="1">
        <f ca="1">IFERROR(__xludf.DUMMYFUNCTION("""COMPUTED_VALUE"""),277)</f>
        <v>277</v>
      </c>
      <c r="T282" s="1" t="str">
        <f ca="1">IFERROR(__xludf.DUMMYFUNCTION("""COMPUTED_VALUE"""),"+16.53")</f>
        <v>+16.53</v>
      </c>
      <c r="U282" s="1">
        <f ca="1">IFERROR(__xludf.DUMMYFUNCTION("""COMPUTED_VALUE"""),1)</f>
        <v>1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IFERROR(__xludf.DUMMYFUNCTION("""COMPUTED_VALUE"""),"Jackson St.")</f>
        <v>Jackson St.</v>
      </c>
      <c r="C283" s="1" t="str">
        <f ca="1">IFERROR(__xludf.DUMMYFUNCTION("""COMPUTED_VALUE"""),"SWAC")</f>
        <v>SWAC</v>
      </c>
      <c r="D283" s="1" t="str">
        <f ca="1">IFERROR(__xludf.DUMMYFUNCTION("""COMPUTED_VALUE"""),"15-17")</f>
        <v>15-17</v>
      </c>
      <c r="E283" s="1">
        <f ca="1">IFERROR(__xludf.DUMMYFUNCTION("""COMPUTED_VALUE"""),-10.25)</f>
        <v>-10.25</v>
      </c>
      <c r="F283" s="1">
        <f ca="1">IFERROR(__xludf.DUMMYFUNCTION("""COMPUTED_VALUE"""),95.7)</f>
        <v>95.7</v>
      </c>
      <c r="G283" s="1">
        <f ca="1">IFERROR(__xludf.DUMMYFUNCTION("""COMPUTED_VALUE"""),279)</f>
        <v>279</v>
      </c>
      <c r="H283" s="1">
        <f ca="1">IFERROR(__xludf.DUMMYFUNCTION("""COMPUTED_VALUE"""),106)</f>
        <v>106</v>
      </c>
      <c r="I283" s="1">
        <f ca="1">IFERROR(__xludf.DUMMYFUNCTION("""COMPUTED_VALUE"""),220)</f>
        <v>220</v>
      </c>
      <c r="J283" s="1">
        <f ca="1">IFERROR(__xludf.DUMMYFUNCTION("""COMPUTED_VALUE"""),70.3)</f>
        <v>70.3</v>
      </c>
      <c r="K283" s="1">
        <f ca="1">IFERROR(__xludf.DUMMYFUNCTION("""COMPUTED_VALUE"""),21)</f>
        <v>21</v>
      </c>
      <c r="L283" s="1" t="str">
        <f ca="1">IFERROR(__xludf.DUMMYFUNCTION("""COMPUTED_VALUE"""),"+.008")</f>
        <v>+.008</v>
      </c>
      <c r="M283" s="1">
        <f ca="1">IFERROR(__xludf.DUMMYFUNCTION("""COMPUTED_VALUE"""),147)</f>
        <v>147</v>
      </c>
      <c r="N283" s="1">
        <f ca="1">IFERROR(__xludf.DUMMYFUNCTION("""COMPUTED_VALUE"""),-9.43)</f>
        <v>-9.43</v>
      </c>
      <c r="O283" s="1">
        <f ca="1">IFERROR(__xludf.DUMMYFUNCTION("""COMPUTED_VALUE"""),319)</f>
        <v>319</v>
      </c>
      <c r="P283" s="1">
        <f ca="1">IFERROR(__xludf.DUMMYFUNCTION("""COMPUTED_VALUE"""),95.8)</f>
        <v>95.8</v>
      </c>
      <c r="Q283" s="1">
        <f ca="1">IFERROR(__xludf.DUMMYFUNCTION("""COMPUTED_VALUE"""),325)</f>
        <v>325</v>
      </c>
      <c r="R283" s="1">
        <f ca="1">IFERROR(__xludf.DUMMYFUNCTION("""COMPUTED_VALUE"""),105.2)</f>
        <v>105.2</v>
      </c>
      <c r="S283" s="1">
        <f ca="1">IFERROR(__xludf.DUMMYFUNCTION("""COMPUTED_VALUE"""),244)</f>
        <v>244</v>
      </c>
      <c r="T283" s="1" t="str">
        <f ca="1">IFERROR(__xludf.DUMMYFUNCTION("""COMPUTED_VALUE"""),"+3.35")</f>
        <v>+3.35</v>
      </c>
      <c r="U283" s="1">
        <f ca="1">IFERROR(__xludf.DUMMYFUNCTION("""COMPUTED_VALUE"""),66)</f>
        <v>66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IFERROR(__xludf.DUMMYFUNCTION("""COMPUTED_VALUE"""),"Oakland")</f>
        <v>Oakland</v>
      </c>
      <c r="C284" s="1" t="str">
        <f ca="1">IFERROR(__xludf.DUMMYFUNCTION("""COMPUTED_VALUE"""),"MCon")</f>
        <v>MCon</v>
      </c>
      <c r="D284" s="2">
        <f ca="1">IFERROR(__xludf.DUMMYFUNCTION("""COMPUTED_VALUE"""),44883)</f>
        <v>44883</v>
      </c>
      <c r="E284" s="1">
        <f ca="1">IFERROR(__xludf.DUMMYFUNCTION("""COMPUTED_VALUE"""),-10.34)</f>
        <v>-10.34</v>
      </c>
      <c r="F284" s="1">
        <f ca="1">IFERROR(__xludf.DUMMYFUNCTION("""COMPUTED_VALUE"""),103.9)</f>
        <v>103.9</v>
      </c>
      <c r="G284" s="1">
        <f ca="1">IFERROR(__xludf.DUMMYFUNCTION("""COMPUTED_VALUE"""),152)</f>
        <v>152</v>
      </c>
      <c r="H284" s="1">
        <f ca="1">IFERROR(__xludf.DUMMYFUNCTION("""COMPUTED_VALUE"""),114.3)</f>
        <v>114.3</v>
      </c>
      <c r="I284" s="1">
        <f ca="1">IFERROR(__xludf.DUMMYFUNCTION("""COMPUTED_VALUE"""),324)</f>
        <v>324</v>
      </c>
      <c r="J284" s="1">
        <f ca="1">IFERROR(__xludf.DUMMYFUNCTION("""COMPUTED_VALUE"""),67.8)</f>
        <v>67.8</v>
      </c>
      <c r="K284" s="1">
        <f ca="1">IFERROR(__xludf.DUMMYFUNCTION("""COMPUTED_VALUE"""),74)</f>
        <v>74</v>
      </c>
      <c r="L284" s="1">
        <f ca="1">IFERROR(__xludf.DUMMYFUNCTION("""COMPUTED_VALUE"""),-0.015)</f>
        <v>-1.4999999999999999E-2</v>
      </c>
      <c r="M284" s="1">
        <f ca="1">IFERROR(__xludf.DUMMYFUNCTION("""COMPUTED_VALUE"""),204)</f>
        <v>204</v>
      </c>
      <c r="N284" s="1">
        <f ca="1">IFERROR(__xludf.DUMMYFUNCTION("""COMPUTED_VALUE"""),-3.83)</f>
        <v>-3.83</v>
      </c>
      <c r="O284" s="1">
        <f ca="1">IFERROR(__xludf.DUMMYFUNCTION("""COMPUTED_VALUE"""),229)</f>
        <v>229</v>
      </c>
      <c r="P284" s="1">
        <f ca="1">IFERROR(__xludf.DUMMYFUNCTION("""COMPUTED_VALUE"""),102.4)</f>
        <v>102.4</v>
      </c>
      <c r="Q284" s="1">
        <f ca="1">IFERROR(__xludf.DUMMYFUNCTION("""COMPUTED_VALUE"""),193)</f>
        <v>193</v>
      </c>
      <c r="R284" s="1">
        <f ca="1">IFERROR(__xludf.DUMMYFUNCTION("""COMPUTED_VALUE"""),106.2)</f>
        <v>106.2</v>
      </c>
      <c r="S284" s="1">
        <f ca="1">IFERROR(__xludf.DUMMYFUNCTION("""COMPUTED_VALUE"""),285)</f>
        <v>285</v>
      </c>
      <c r="T284" s="1" t="str">
        <f ca="1">IFERROR(__xludf.DUMMYFUNCTION("""COMPUTED_VALUE"""),"+2.97")</f>
        <v>+2.97</v>
      </c>
      <c r="U284" s="1">
        <f ca="1">IFERROR(__xludf.DUMMYFUNCTION("""COMPUTED_VALUE"""),76)</f>
        <v>76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IFERROR(__xludf.DUMMYFUNCTION("""COMPUTED_VALUE"""),"Hampton16")</f>
        <v>Hampton16</v>
      </c>
      <c r="C285" s="1" t="str">
        <f ca="1">IFERROR(__xludf.DUMMYFUNCTION("""COMPUTED_VALUE"""),"MEAC")</f>
        <v>MEAC</v>
      </c>
      <c r="D285" s="1" t="str">
        <f ca="1">IFERROR(__xludf.DUMMYFUNCTION("""COMPUTED_VALUE"""),"16-16")</f>
        <v>16-16</v>
      </c>
      <c r="E285" s="1">
        <f ca="1">IFERROR(__xludf.DUMMYFUNCTION("""COMPUTED_VALUE"""),-10.4)</f>
        <v>-10.4</v>
      </c>
      <c r="F285" s="1">
        <f ca="1">IFERROR(__xludf.DUMMYFUNCTION("""COMPUTED_VALUE"""),91.9)</f>
        <v>91.9</v>
      </c>
      <c r="G285" s="1">
        <f ca="1">IFERROR(__xludf.DUMMYFUNCTION("""COMPUTED_VALUE"""),314)</f>
        <v>314</v>
      </c>
      <c r="H285" s="1">
        <f ca="1">IFERROR(__xludf.DUMMYFUNCTION("""COMPUTED_VALUE"""),102.3)</f>
        <v>102.3</v>
      </c>
      <c r="I285" s="1">
        <f ca="1">IFERROR(__xludf.DUMMYFUNCTION("""COMPUTED_VALUE"""),151)</f>
        <v>151</v>
      </c>
      <c r="J285" s="1">
        <f ca="1">IFERROR(__xludf.DUMMYFUNCTION("""COMPUTED_VALUE"""),68.5)</f>
        <v>68.5</v>
      </c>
      <c r="K285" s="1">
        <f ca="1">IFERROR(__xludf.DUMMYFUNCTION("""COMPUTED_VALUE"""),55)</f>
        <v>55</v>
      </c>
      <c r="L285" s="1">
        <f ca="1">IFERROR(__xludf.DUMMYFUNCTION("""COMPUTED_VALUE"""),-0.057)</f>
        <v>-5.7000000000000002E-2</v>
      </c>
      <c r="M285" s="1">
        <f ca="1">IFERROR(__xludf.DUMMYFUNCTION("""COMPUTED_VALUE"""),289)</f>
        <v>289</v>
      </c>
      <c r="N285" s="1">
        <f ca="1">IFERROR(__xludf.DUMMYFUNCTION("""COMPUTED_VALUE"""),-14.27)</f>
        <v>-14.27</v>
      </c>
      <c r="O285" s="1">
        <f ca="1">IFERROR(__xludf.DUMMYFUNCTION("""COMPUTED_VALUE"""),334)</f>
        <v>334</v>
      </c>
      <c r="P285" s="1">
        <f ca="1">IFERROR(__xludf.DUMMYFUNCTION("""COMPUTED_VALUE"""),93.3)</f>
        <v>93.3</v>
      </c>
      <c r="Q285" s="1">
        <f ca="1">IFERROR(__xludf.DUMMYFUNCTION("""COMPUTED_VALUE"""),334)</f>
        <v>334</v>
      </c>
      <c r="R285" s="1">
        <f ca="1">IFERROR(__xludf.DUMMYFUNCTION("""COMPUTED_VALUE"""),107.6)</f>
        <v>107.6</v>
      </c>
      <c r="S285" s="1">
        <f ca="1">IFERROR(__xludf.DUMMYFUNCTION("""COMPUTED_VALUE"""),322)</f>
        <v>322</v>
      </c>
      <c r="T285" s="1">
        <f ca="1">IFERROR(__xludf.DUMMYFUNCTION("""COMPUTED_VALUE"""),-8.98)</f>
        <v>-8.98</v>
      </c>
      <c r="U285" s="1">
        <f ca="1">IFERROR(__xludf.DUMMYFUNCTION("""COMPUTED_VALUE"""),321)</f>
        <v>321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IFERROR(__xludf.DUMMYFUNCTION("""COMPUTED_VALUE"""),"East Carolina")</f>
        <v>East Carolina</v>
      </c>
      <c r="C286" s="1" t="str">
        <f ca="1">IFERROR(__xludf.DUMMYFUNCTION("""COMPUTED_VALUE"""),"CUSA")</f>
        <v>CUSA</v>
      </c>
      <c r="D286" s="2">
        <f ca="1">IFERROR(__xludf.DUMMYFUNCTION("""COMPUTED_VALUE"""),44793)</f>
        <v>44793</v>
      </c>
      <c r="E286" s="1">
        <f ca="1">IFERROR(__xludf.DUMMYFUNCTION("""COMPUTED_VALUE"""),-10.62)</f>
        <v>-10.62</v>
      </c>
      <c r="F286" s="1">
        <f ca="1">IFERROR(__xludf.DUMMYFUNCTION("""COMPUTED_VALUE"""),95.6)</f>
        <v>95.6</v>
      </c>
      <c r="G286" s="1">
        <f ca="1">IFERROR(__xludf.DUMMYFUNCTION("""COMPUTED_VALUE"""),282)</f>
        <v>282</v>
      </c>
      <c r="H286" s="1">
        <f ca="1">IFERROR(__xludf.DUMMYFUNCTION("""COMPUTED_VALUE"""),106.3)</f>
        <v>106.3</v>
      </c>
      <c r="I286" s="1">
        <f ca="1">IFERROR(__xludf.DUMMYFUNCTION("""COMPUTED_VALUE"""),228)</f>
        <v>228</v>
      </c>
      <c r="J286" s="1">
        <f ca="1">IFERROR(__xludf.DUMMYFUNCTION("""COMPUTED_VALUE"""),63.3)</f>
        <v>63.3</v>
      </c>
      <c r="K286" s="1">
        <f ca="1">IFERROR(__xludf.DUMMYFUNCTION("""COMPUTED_VALUE"""),250)</f>
        <v>250</v>
      </c>
      <c r="L286" s="1">
        <f ca="1">IFERROR(__xludf.DUMMYFUNCTION("""COMPUTED_VALUE"""),-0.031)</f>
        <v>-3.1E-2</v>
      </c>
      <c r="M286" s="1">
        <f ca="1">IFERROR(__xludf.DUMMYFUNCTION("""COMPUTED_VALUE"""),242)</f>
        <v>242</v>
      </c>
      <c r="N286" s="1">
        <f ca="1">IFERROR(__xludf.DUMMYFUNCTION("""COMPUTED_VALUE"""),-1.39)</f>
        <v>-1.39</v>
      </c>
      <c r="O286" s="1">
        <f ca="1">IFERROR(__xludf.DUMMYFUNCTION("""COMPUTED_VALUE"""),189)</f>
        <v>189</v>
      </c>
      <c r="P286" s="1">
        <f ca="1">IFERROR(__xludf.DUMMYFUNCTION("""COMPUTED_VALUE"""),100.4)</f>
        <v>100.4</v>
      </c>
      <c r="Q286" s="1">
        <f ca="1">IFERROR(__xludf.DUMMYFUNCTION("""COMPUTED_VALUE"""),261)</f>
        <v>261</v>
      </c>
      <c r="R286" s="1">
        <f ca="1">IFERROR(__xludf.DUMMYFUNCTION("""COMPUTED_VALUE"""),101.8)</f>
        <v>101.8</v>
      </c>
      <c r="S286" s="1">
        <f ca="1">IFERROR(__xludf.DUMMYFUNCTION("""COMPUTED_VALUE"""),123)</f>
        <v>123</v>
      </c>
      <c r="T286" s="1">
        <f ca="1">IFERROR(__xludf.DUMMYFUNCTION("""COMPUTED_VALUE"""),-2.39)</f>
        <v>-2.39</v>
      </c>
      <c r="U286" s="1">
        <f ca="1">IFERROR(__xludf.DUMMYFUNCTION("""COMPUTED_VALUE"""),221)</f>
        <v>221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IFERROR(__xludf.DUMMYFUNCTION("""COMPUTED_VALUE"""),"UNC Greensboro")</f>
        <v>UNC Greensboro</v>
      </c>
      <c r="C287" s="1" t="str">
        <f ca="1">IFERROR(__xludf.DUMMYFUNCTION("""COMPUTED_VALUE"""),"SC")</f>
        <v>SC</v>
      </c>
      <c r="D287" s="2">
        <f ca="1">IFERROR(__xludf.DUMMYFUNCTION("""COMPUTED_VALUE"""),44914)</f>
        <v>44914</v>
      </c>
      <c r="E287" s="1">
        <f ca="1">IFERROR(__xludf.DUMMYFUNCTION("""COMPUTED_VALUE"""),-10.86)</f>
        <v>-10.86</v>
      </c>
      <c r="F287" s="1">
        <f ca="1">IFERROR(__xludf.DUMMYFUNCTION("""COMPUTED_VALUE"""),99.5)</f>
        <v>99.5</v>
      </c>
      <c r="G287" s="1">
        <f ca="1">IFERROR(__xludf.DUMMYFUNCTION("""COMPUTED_VALUE"""),228)</f>
        <v>228</v>
      </c>
      <c r="H287" s="1">
        <f ca="1">IFERROR(__xludf.DUMMYFUNCTION("""COMPUTED_VALUE"""),110.3)</f>
        <v>110.3</v>
      </c>
      <c r="I287" s="1">
        <f ca="1">IFERROR(__xludf.DUMMYFUNCTION("""COMPUTED_VALUE"""),292)</f>
        <v>292</v>
      </c>
      <c r="J287" s="1">
        <f ca="1">IFERROR(__xludf.DUMMYFUNCTION("""COMPUTED_VALUE"""),65.6)</f>
        <v>65.599999999999994</v>
      </c>
      <c r="K287" s="1">
        <f ca="1">IFERROR(__xludf.DUMMYFUNCTION("""COMPUTED_VALUE"""),147)</f>
        <v>147</v>
      </c>
      <c r="L287" s="1" t="str">
        <f ca="1">IFERROR(__xludf.DUMMYFUNCTION("""COMPUTED_VALUE"""),"+.004")</f>
        <v>+.004</v>
      </c>
      <c r="M287" s="1">
        <f ca="1">IFERROR(__xludf.DUMMYFUNCTION("""COMPUTED_VALUE"""),158)</f>
        <v>158</v>
      </c>
      <c r="N287" s="1">
        <f ca="1">IFERROR(__xludf.DUMMYFUNCTION("""COMPUTED_VALUE"""),-4.06)</f>
        <v>-4.0599999999999996</v>
      </c>
      <c r="O287" s="1">
        <f ca="1">IFERROR(__xludf.DUMMYFUNCTION("""COMPUTED_VALUE"""),237)</f>
        <v>237</v>
      </c>
      <c r="P287" s="1">
        <f ca="1">IFERROR(__xludf.DUMMYFUNCTION("""COMPUTED_VALUE"""),101)</f>
        <v>101</v>
      </c>
      <c r="Q287" s="1">
        <f ca="1">IFERROR(__xludf.DUMMYFUNCTION("""COMPUTED_VALUE"""),240)</f>
        <v>240</v>
      </c>
      <c r="R287" s="1">
        <f ca="1">IFERROR(__xludf.DUMMYFUNCTION("""COMPUTED_VALUE"""),105.1)</f>
        <v>105.1</v>
      </c>
      <c r="S287" s="1">
        <f ca="1">IFERROR(__xludf.DUMMYFUNCTION("""COMPUTED_VALUE"""),232)</f>
        <v>232</v>
      </c>
      <c r="T287" s="1" t="str">
        <f ca="1">IFERROR(__xludf.DUMMYFUNCTION("""COMPUTED_VALUE"""),"+0.88")</f>
        <v>+0.88</v>
      </c>
      <c r="U287" s="1">
        <f ca="1">IFERROR(__xludf.DUMMYFUNCTION("""COMPUTED_VALUE"""),131)</f>
        <v>131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IFERROR(__xludf.DUMMYFUNCTION("""COMPUTED_VALUE"""),"FIU")</f>
        <v>FIU</v>
      </c>
      <c r="C288" s="1" t="str">
        <f ca="1">IFERROR(__xludf.DUMMYFUNCTION("""COMPUTED_VALUE"""),"SB")</f>
        <v>SB</v>
      </c>
      <c r="D288" s="2">
        <f ca="1">IFERROR(__xludf.DUMMYFUNCTION("""COMPUTED_VALUE"""),44793)</f>
        <v>44793</v>
      </c>
      <c r="E288" s="1">
        <f ca="1">IFERROR(__xludf.DUMMYFUNCTION("""COMPUTED_VALUE"""),-10.88)</f>
        <v>-10.88</v>
      </c>
      <c r="F288" s="1">
        <f ca="1">IFERROR(__xludf.DUMMYFUNCTION("""COMPUTED_VALUE"""),89.6)</f>
        <v>89.6</v>
      </c>
      <c r="G288" s="1">
        <f ca="1">IFERROR(__xludf.DUMMYFUNCTION("""COMPUTED_VALUE"""),326)</f>
        <v>326</v>
      </c>
      <c r="H288" s="1">
        <f ca="1">IFERROR(__xludf.DUMMYFUNCTION("""COMPUTED_VALUE"""),100.5)</f>
        <v>100.5</v>
      </c>
      <c r="I288" s="1">
        <f ca="1">IFERROR(__xludf.DUMMYFUNCTION("""COMPUTED_VALUE"""),121)</f>
        <v>121</v>
      </c>
      <c r="J288" s="1">
        <f ca="1">IFERROR(__xludf.DUMMYFUNCTION("""COMPUTED_VALUE"""),65.7)</f>
        <v>65.7</v>
      </c>
      <c r="K288" s="1">
        <f ca="1">IFERROR(__xludf.DUMMYFUNCTION("""COMPUTED_VALUE"""),141)</f>
        <v>141</v>
      </c>
      <c r="L288" s="1" t="str">
        <f ca="1">IFERROR(__xludf.DUMMYFUNCTION("""COMPUTED_VALUE"""),"+.009")</f>
        <v>+.009</v>
      </c>
      <c r="M288" s="1">
        <f ca="1">IFERROR(__xludf.DUMMYFUNCTION("""COMPUTED_VALUE"""),145)</f>
        <v>145</v>
      </c>
      <c r="N288" s="1" t="str">
        <f ca="1">IFERROR(__xludf.DUMMYFUNCTION("""COMPUTED_VALUE"""),"+0.00")</f>
        <v>+0.00</v>
      </c>
      <c r="O288" s="1">
        <f ca="1">IFERROR(__xludf.DUMMYFUNCTION("""COMPUTED_VALUE"""),161)</f>
        <v>161</v>
      </c>
      <c r="P288" s="1">
        <f ca="1">IFERROR(__xludf.DUMMYFUNCTION("""COMPUTED_VALUE"""),104.4)</f>
        <v>104.4</v>
      </c>
      <c r="Q288" s="1">
        <f ca="1">IFERROR(__xludf.DUMMYFUNCTION("""COMPUTED_VALUE"""),105)</f>
        <v>105</v>
      </c>
      <c r="R288" s="1">
        <f ca="1">IFERROR(__xludf.DUMMYFUNCTION("""COMPUTED_VALUE"""),104.4)</f>
        <v>104.4</v>
      </c>
      <c r="S288" s="1">
        <f ca="1">IFERROR(__xludf.DUMMYFUNCTION("""COMPUTED_VALUE"""),202)</f>
        <v>202</v>
      </c>
      <c r="T288" s="1" t="str">
        <f ca="1">IFERROR(__xludf.DUMMYFUNCTION("""COMPUTED_VALUE"""),"+3.21")</f>
        <v>+3.21</v>
      </c>
      <c r="U288" s="1">
        <f ca="1">IFERROR(__xludf.DUMMYFUNCTION("""COMPUTED_VALUE"""),71)</f>
        <v>71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IFERROR(__xludf.DUMMYFUNCTION("""COMPUTED_VALUE"""),"South Carolina St.")</f>
        <v>South Carolina St.</v>
      </c>
      <c r="C289" s="1" t="str">
        <f ca="1">IFERROR(__xludf.DUMMYFUNCTION("""COMPUTED_VALUE"""),"MEAC")</f>
        <v>MEAC</v>
      </c>
      <c r="D289" s="1" t="str">
        <f ca="1">IFERROR(__xludf.DUMMYFUNCTION("""COMPUTED_VALUE"""),"14-16")</f>
        <v>14-16</v>
      </c>
      <c r="E289" s="1">
        <f ca="1">IFERROR(__xludf.DUMMYFUNCTION("""COMPUTED_VALUE"""),-11.06)</f>
        <v>-11.06</v>
      </c>
      <c r="F289" s="1">
        <f ca="1">IFERROR(__xludf.DUMMYFUNCTION("""COMPUTED_VALUE"""),92.4)</f>
        <v>92.4</v>
      </c>
      <c r="G289" s="1">
        <f ca="1">IFERROR(__xludf.DUMMYFUNCTION("""COMPUTED_VALUE"""),310)</f>
        <v>310</v>
      </c>
      <c r="H289" s="1">
        <f ca="1">IFERROR(__xludf.DUMMYFUNCTION("""COMPUTED_VALUE"""),103.4)</f>
        <v>103.4</v>
      </c>
      <c r="I289" s="1">
        <f ca="1">IFERROR(__xludf.DUMMYFUNCTION("""COMPUTED_VALUE"""),172)</f>
        <v>172</v>
      </c>
      <c r="J289" s="1">
        <f ca="1">IFERROR(__xludf.DUMMYFUNCTION("""COMPUTED_VALUE"""),64.4)</f>
        <v>64.400000000000006</v>
      </c>
      <c r="K289" s="1">
        <f ca="1">IFERROR(__xludf.DUMMYFUNCTION("""COMPUTED_VALUE"""),214)</f>
        <v>214</v>
      </c>
      <c r="L289" s="1" t="str">
        <f ca="1">IFERROR(__xludf.DUMMYFUNCTION("""COMPUTED_VALUE"""),"+.050")</f>
        <v>+.050</v>
      </c>
      <c r="M289" s="1">
        <f ca="1">IFERROR(__xludf.DUMMYFUNCTION("""COMPUTED_VALUE"""),51)</f>
        <v>51</v>
      </c>
      <c r="N289" s="1">
        <f ca="1">IFERROR(__xludf.DUMMYFUNCTION("""COMPUTED_VALUE"""),-8.48)</f>
        <v>-8.48</v>
      </c>
      <c r="O289" s="1">
        <f ca="1">IFERROR(__xludf.DUMMYFUNCTION("""COMPUTED_VALUE"""),309)</f>
        <v>309</v>
      </c>
      <c r="P289" s="1">
        <f ca="1">IFERROR(__xludf.DUMMYFUNCTION("""COMPUTED_VALUE"""),97.3)</f>
        <v>97.3</v>
      </c>
      <c r="Q289" s="1">
        <f ca="1">IFERROR(__xludf.DUMMYFUNCTION("""COMPUTED_VALUE"""),315)</f>
        <v>315</v>
      </c>
      <c r="R289" s="1">
        <f ca="1">IFERROR(__xludf.DUMMYFUNCTION("""COMPUTED_VALUE"""),105.8)</f>
        <v>105.8</v>
      </c>
      <c r="S289" s="1">
        <f ca="1">IFERROR(__xludf.DUMMYFUNCTION("""COMPUTED_VALUE"""),265)</f>
        <v>265</v>
      </c>
      <c r="T289" s="1" t="str">
        <f ca="1">IFERROR(__xludf.DUMMYFUNCTION("""COMPUTED_VALUE"""),"+7.21")</f>
        <v>+7.21</v>
      </c>
      <c r="U289" s="1">
        <f ca="1">IFERROR(__xludf.DUMMYFUNCTION("""COMPUTED_VALUE"""),31)</f>
        <v>31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IFERROR(__xludf.DUMMYFUNCTION("""COMPUTED_VALUE"""),"IPFW")</f>
        <v>IPFW</v>
      </c>
      <c r="C290" s="1" t="str">
        <f ca="1">IFERROR(__xludf.DUMMYFUNCTION("""COMPUTED_VALUE"""),"ind")</f>
        <v>ind</v>
      </c>
      <c r="D290" s="2">
        <f ca="1">IFERROR(__xludf.DUMMYFUNCTION("""COMPUTED_VALUE"""),44852)</f>
        <v>44852</v>
      </c>
      <c r="E290" s="1">
        <f ca="1">IFERROR(__xludf.DUMMYFUNCTION("""COMPUTED_VALUE"""),-11.07)</f>
        <v>-11.07</v>
      </c>
      <c r="F290" s="1">
        <f ca="1">IFERROR(__xludf.DUMMYFUNCTION("""COMPUTED_VALUE"""),97)</f>
        <v>97</v>
      </c>
      <c r="G290" s="1">
        <f ca="1">IFERROR(__xludf.DUMMYFUNCTION("""COMPUTED_VALUE"""),265)</f>
        <v>265</v>
      </c>
      <c r="H290" s="1">
        <f ca="1">IFERROR(__xludf.DUMMYFUNCTION("""COMPUTED_VALUE"""),108)</f>
        <v>108</v>
      </c>
      <c r="I290" s="1">
        <f ca="1">IFERROR(__xludf.DUMMYFUNCTION("""COMPUTED_VALUE"""),259)</f>
        <v>259</v>
      </c>
      <c r="J290" s="1">
        <f ca="1">IFERROR(__xludf.DUMMYFUNCTION("""COMPUTED_VALUE"""),62.8)</f>
        <v>62.8</v>
      </c>
      <c r="K290" s="1">
        <f ca="1">IFERROR(__xludf.DUMMYFUNCTION("""COMPUTED_VALUE"""),261)</f>
        <v>261</v>
      </c>
      <c r="L290" s="1">
        <f ca="1">IFERROR(__xludf.DUMMYFUNCTION("""COMPUTED_VALUE"""),-0.004)</f>
        <v>-4.0000000000000001E-3</v>
      </c>
      <c r="M290" s="1">
        <f ca="1">IFERROR(__xludf.DUMMYFUNCTION("""COMPUTED_VALUE"""),177)</f>
        <v>177</v>
      </c>
      <c r="N290" s="1">
        <f ca="1">IFERROR(__xludf.DUMMYFUNCTION("""COMPUTED_VALUE"""),-1.56)</f>
        <v>-1.56</v>
      </c>
      <c r="O290" s="1">
        <f ca="1">IFERROR(__xludf.DUMMYFUNCTION("""COMPUTED_VALUE"""),192)</f>
        <v>192</v>
      </c>
      <c r="P290" s="1">
        <f ca="1">IFERROR(__xludf.DUMMYFUNCTION("""COMPUTED_VALUE"""),102.4)</f>
        <v>102.4</v>
      </c>
      <c r="Q290" s="1">
        <f ca="1">IFERROR(__xludf.DUMMYFUNCTION("""COMPUTED_VALUE"""),195)</f>
        <v>195</v>
      </c>
      <c r="R290" s="1">
        <f ca="1">IFERROR(__xludf.DUMMYFUNCTION("""COMPUTED_VALUE"""),103.9)</f>
        <v>103.9</v>
      </c>
      <c r="S290" s="1">
        <f ca="1">IFERROR(__xludf.DUMMYFUNCTION("""COMPUTED_VALUE"""),181)</f>
        <v>181</v>
      </c>
      <c r="T290" s="1" t="str">
        <f ca="1">IFERROR(__xludf.DUMMYFUNCTION("""COMPUTED_VALUE"""),"+5.14")</f>
        <v>+5.14</v>
      </c>
      <c r="U290" s="1">
        <f ca="1">IFERROR(__xludf.DUMMYFUNCTION("""COMPUTED_VALUE"""),47)</f>
        <v>47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IFERROR(__xludf.DUMMYFUNCTION("""COMPUTED_VALUE"""),"New Hampshire")</f>
        <v>New Hampshire</v>
      </c>
      <c r="C291" s="1" t="str">
        <f ca="1">IFERROR(__xludf.DUMMYFUNCTION("""COMPUTED_VALUE"""),"AE")</f>
        <v>AE</v>
      </c>
      <c r="D291" s="2">
        <f ca="1">IFERROR(__xludf.DUMMYFUNCTION("""COMPUTED_VALUE"""),44912)</f>
        <v>44912</v>
      </c>
      <c r="E291" s="1">
        <f ca="1">IFERROR(__xludf.DUMMYFUNCTION("""COMPUTED_VALUE"""),-11.16)</f>
        <v>-11.16</v>
      </c>
      <c r="F291" s="1">
        <f ca="1">IFERROR(__xludf.DUMMYFUNCTION("""COMPUTED_VALUE"""),98.2)</f>
        <v>98.2</v>
      </c>
      <c r="G291" s="1">
        <f ca="1">IFERROR(__xludf.DUMMYFUNCTION("""COMPUTED_VALUE"""),244)</f>
        <v>244</v>
      </c>
      <c r="H291" s="1">
        <f ca="1">IFERROR(__xludf.DUMMYFUNCTION("""COMPUTED_VALUE"""),109.3)</f>
        <v>109.3</v>
      </c>
      <c r="I291" s="1">
        <f ca="1">IFERROR(__xludf.DUMMYFUNCTION("""COMPUTED_VALUE"""),279)</f>
        <v>279</v>
      </c>
      <c r="J291" s="1">
        <f ca="1">IFERROR(__xludf.DUMMYFUNCTION("""COMPUTED_VALUE"""),58.7)</f>
        <v>58.7</v>
      </c>
      <c r="K291" s="1">
        <f ca="1">IFERROR(__xludf.DUMMYFUNCTION("""COMPUTED_VALUE"""),325)</f>
        <v>325</v>
      </c>
      <c r="L291" s="1" t="str">
        <f ca="1">IFERROR(__xludf.DUMMYFUNCTION("""COMPUTED_VALUE"""),"+.065")</f>
        <v>+.065</v>
      </c>
      <c r="M291" s="1">
        <f ca="1">IFERROR(__xludf.DUMMYFUNCTION("""COMPUTED_VALUE"""),39)</f>
        <v>39</v>
      </c>
      <c r="N291" s="1">
        <f ca="1">IFERROR(__xludf.DUMMYFUNCTION("""COMPUTED_VALUE"""),-5.32)</f>
        <v>-5.32</v>
      </c>
      <c r="O291" s="1">
        <f ca="1">IFERROR(__xludf.DUMMYFUNCTION("""COMPUTED_VALUE"""),260)</f>
        <v>260</v>
      </c>
      <c r="P291" s="1">
        <f ca="1">IFERROR(__xludf.DUMMYFUNCTION("""COMPUTED_VALUE"""),100.4)</f>
        <v>100.4</v>
      </c>
      <c r="Q291" s="1">
        <f ca="1">IFERROR(__xludf.DUMMYFUNCTION("""COMPUTED_VALUE"""),259)</f>
        <v>259</v>
      </c>
      <c r="R291" s="1">
        <f ca="1">IFERROR(__xludf.DUMMYFUNCTION("""COMPUTED_VALUE"""),105.7)</f>
        <v>105.7</v>
      </c>
      <c r="S291" s="1">
        <f ca="1">IFERROR(__xludf.DUMMYFUNCTION("""COMPUTED_VALUE"""),262)</f>
        <v>262</v>
      </c>
      <c r="T291" s="1">
        <f ca="1">IFERROR(__xludf.DUMMYFUNCTION("""COMPUTED_VALUE"""),-1.5)</f>
        <v>-1.5</v>
      </c>
      <c r="U291" s="1">
        <f ca="1">IFERROR(__xludf.DUMMYFUNCTION("""COMPUTED_VALUE"""),197)</f>
        <v>197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IFERROR(__xludf.DUMMYFUNCTION("""COMPUTED_VALUE"""),"Southern Miss")</f>
        <v>Southern Miss</v>
      </c>
      <c r="C292" s="1" t="str">
        <f ca="1">IFERROR(__xludf.DUMMYFUNCTION("""COMPUTED_VALUE"""),"CUSA")</f>
        <v>CUSA</v>
      </c>
      <c r="D292" s="2">
        <f ca="1">IFERROR(__xludf.DUMMYFUNCTION("""COMPUTED_VALUE"""),44855)</f>
        <v>44855</v>
      </c>
      <c r="E292" s="1">
        <f ca="1">IFERROR(__xludf.DUMMYFUNCTION("""COMPUTED_VALUE"""),-11.24)</f>
        <v>-11.24</v>
      </c>
      <c r="F292" s="1">
        <f ca="1">IFERROR(__xludf.DUMMYFUNCTION("""COMPUTED_VALUE"""),97.4)</f>
        <v>97.4</v>
      </c>
      <c r="G292" s="1">
        <f ca="1">IFERROR(__xludf.DUMMYFUNCTION("""COMPUTED_VALUE"""),256)</f>
        <v>256</v>
      </c>
      <c r="H292" s="1">
        <f ca="1">IFERROR(__xludf.DUMMYFUNCTION("""COMPUTED_VALUE"""),108.6)</f>
        <v>108.6</v>
      </c>
      <c r="I292" s="1">
        <f ca="1">IFERROR(__xludf.DUMMYFUNCTION("""COMPUTED_VALUE"""),268)</f>
        <v>268</v>
      </c>
      <c r="J292" s="1">
        <f ca="1">IFERROR(__xludf.DUMMYFUNCTION("""COMPUTED_VALUE"""),59.9)</f>
        <v>59.9</v>
      </c>
      <c r="K292" s="1">
        <f ca="1">IFERROR(__xludf.DUMMYFUNCTION("""COMPUTED_VALUE"""),319)</f>
        <v>319</v>
      </c>
      <c r="L292" s="1" t="str">
        <f ca="1">IFERROR(__xludf.DUMMYFUNCTION("""COMPUTED_VALUE"""),"+.003")</f>
        <v>+.003</v>
      </c>
      <c r="M292" s="1">
        <f ca="1">IFERROR(__xludf.DUMMYFUNCTION("""COMPUTED_VALUE"""),163)</f>
        <v>163</v>
      </c>
      <c r="N292" s="1" t="str">
        <f ca="1">IFERROR(__xludf.DUMMYFUNCTION("""COMPUTED_VALUE"""),"+1.82")</f>
        <v>+1.82</v>
      </c>
      <c r="O292" s="1">
        <f ca="1">IFERROR(__xludf.DUMMYFUNCTION("""COMPUTED_VALUE"""),120)</f>
        <v>120</v>
      </c>
      <c r="P292" s="1">
        <f ca="1">IFERROR(__xludf.DUMMYFUNCTION("""COMPUTED_VALUE"""),102.4)</f>
        <v>102.4</v>
      </c>
      <c r="Q292" s="1">
        <f ca="1">IFERROR(__xludf.DUMMYFUNCTION("""COMPUTED_VALUE"""),194)</f>
        <v>194</v>
      </c>
      <c r="R292" s="1">
        <f ca="1">IFERROR(__xludf.DUMMYFUNCTION("""COMPUTED_VALUE"""),100.5)</f>
        <v>100.5</v>
      </c>
      <c r="S292" s="1">
        <f ca="1">IFERROR(__xludf.DUMMYFUNCTION("""COMPUTED_VALUE"""),83)</f>
        <v>83</v>
      </c>
      <c r="T292" s="1" t="str">
        <f ca="1">IFERROR(__xludf.DUMMYFUNCTION("""COMPUTED_VALUE"""),"+0.88")</f>
        <v>+0.88</v>
      </c>
      <c r="U292" s="1">
        <f ca="1">IFERROR(__xludf.DUMMYFUNCTION("""COMPUTED_VALUE"""),132)</f>
        <v>132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IFERROR(__xludf.DUMMYFUNCTION("""COMPUTED_VALUE"""),"UMKC")</f>
        <v>UMKC</v>
      </c>
      <c r="C293" s="1" t="str">
        <f ca="1">IFERROR(__xludf.DUMMYFUNCTION("""COMPUTED_VALUE"""),"MCon")</f>
        <v>MCon</v>
      </c>
      <c r="D293" s="1" t="str">
        <f ca="1">IFERROR(__xludf.DUMMYFUNCTION("""COMPUTED_VALUE"""),"14-14")</f>
        <v>14-14</v>
      </c>
      <c r="E293" s="1">
        <f ca="1">IFERROR(__xludf.DUMMYFUNCTION("""COMPUTED_VALUE"""),-11.28)</f>
        <v>-11.28</v>
      </c>
      <c r="F293" s="1">
        <f ca="1">IFERROR(__xludf.DUMMYFUNCTION("""COMPUTED_VALUE"""),102.1)</f>
        <v>102.1</v>
      </c>
      <c r="G293" s="1">
        <f ca="1">IFERROR(__xludf.DUMMYFUNCTION("""COMPUTED_VALUE"""),183)</f>
        <v>183</v>
      </c>
      <c r="H293" s="1">
        <f ca="1">IFERROR(__xludf.DUMMYFUNCTION("""COMPUTED_VALUE"""),113.4)</f>
        <v>113.4</v>
      </c>
      <c r="I293" s="1">
        <f ca="1">IFERROR(__xludf.DUMMYFUNCTION("""COMPUTED_VALUE"""),318)</f>
        <v>318</v>
      </c>
      <c r="J293" s="1">
        <f ca="1">IFERROR(__xludf.DUMMYFUNCTION("""COMPUTED_VALUE"""),65.6)</f>
        <v>65.599999999999994</v>
      </c>
      <c r="K293" s="1">
        <f ca="1">IFERROR(__xludf.DUMMYFUNCTION("""COMPUTED_VALUE"""),148)</f>
        <v>148</v>
      </c>
      <c r="L293" s="1" t="str">
        <f ca="1">IFERROR(__xludf.DUMMYFUNCTION("""COMPUTED_VALUE"""),"+.119")</f>
        <v>+.119</v>
      </c>
      <c r="M293" s="1">
        <f ca="1">IFERROR(__xludf.DUMMYFUNCTION("""COMPUTED_VALUE"""),4)</f>
        <v>4</v>
      </c>
      <c r="N293" s="1">
        <f ca="1">IFERROR(__xludf.DUMMYFUNCTION("""COMPUTED_VALUE"""),-6.2)</f>
        <v>-6.2</v>
      </c>
      <c r="O293" s="1">
        <f ca="1">IFERROR(__xludf.DUMMYFUNCTION("""COMPUTED_VALUE"""),274)</f>
        <v>274</v>
      </c>
      <c r="P293" s="1">
        <f ca="1">IFERROR(__xludf.DUMMYFUNCTION("""COMPUTED_VALUE"""),101.2)</f>
        <v>101.2</v>
      </c>
      <c r="Q293" s="1">
        <f ca="1">IFERROR(__xludf.DUMMYFUNCTION("""COMPUTED_VALUE"""),236)</f>
        <v>236</v>
      </c>
      <c r="R293" s="1">
        <f ca="1">IFERROR(__xludf.DUMMYFUNCTION("""COMPUTED_VALUE"""),107.4)</f>
        <v>107.4</v>
      </c>
      <c r="S293" s="1">
        <f ca="1">IFERROR(__xludf.DUMMYFUNCTION("""COMPUTED_VALUE"""),315)</f>
        <v>315</v>
      </c>
      <c r="T293" s="1">
        <f ca="1">IFERROR(__xludf.DUMMYFUNCTION("""COMPUTED_VALUE"""),-2.81)</f>
        <v>-2.81</v>
      </c>
      <c r="U293" s="1">
        <f ca="1">IFERROR(__xludf.DUMMYFUNCTION("""COMPUTED_VALUE"""),227)</f>
        <v>227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IFERROR(__xludf.DUMMYFUNCTION("""COMPUTED_VALUE"""),"Coppin St.")</f>
        <v>Coppin St.</v>
      </c>
      <c r="C294" s="1" t="str">
        <f ca="1">IFERROR(__xludf.DUMMYFUNCTION("""COMPUTED_VALUE"""),"MEAC")</f>
        <v>MEAC</v>
      </c>
      <c r="D294" s="2">
        <f ca="1">IFERROR(__xludf.DUMMYFUNCTION("""COMPUTED_VALUE"""),44913)</f>
        <v>44913</v>
      </c>
      <c r="E294" s="1">
        <f ca="1">IFERROR(__xludf.DUMMYFUNCTION("""COMPUTED_VALUE"""),-11.81)</f>
        <v>-11.81</v>
      </c>
      <c r="F294" s="1">
        <f ca="1">IFERROR(__xludf.DUMMYFUNCTION("""COMPUTED_VALUE"""),95.4)</f>
        <v>95.4</v>
      </c>
      <c r="G294" s="1">
        <f ca="1">IFERROR(__xludf.DUMMYFUNCTION("""COMPUTED_VALUE"""),285)</f>
        <v>285</v>
      </c>
      <c r="H294" s="1">
        <f ca="1">IFERROR(__xludf.DUMMYFUNCTION("""COMPUTED_VALUE"""),107.2)</f>
        <v>107.2</v>
      </c>
      <c r="I294" s="1">
        <f ca="1">IFERROR(__xludf.DUMMYFUNCTION("""COMPUTED_VALUE"""),243)</f>
        <v>243</v>
      </c>
      <c r="J294" s="1">
        <f ca="1">IFERROR(__xludf.DUMMYFUNCTION("""COMPUTED_VALUE"""),65.6)</f>
        <v>65.599999999999994</v>
      </c>
      <c r="K294" s="1">
        <f ca="1">IFERROR(__xludf.DUMMYFUNCTION("""COMPUTED_VALUE"""),145)</f>
        <v>145</v>
      </c>
      <c r="L294" s="1" t="str">
        <f ca="1">IFERROR(__xludf.DUMMYFUNCTION("""COMPUTED_VALUE"""),"+.047")</f>
        <v>+.047</v>
      </c>
      <c r="M294" s="1">
        <f ca="1">IFERROR(__xludf.DUMMYFUNCTION("""COMPUTED_VALUE"""),57)</f>
        <v>57</v>
      </c>
      <c r="N294" s="1">
        <f ca="1">IFERROR(__xludf.DUMMYFUNCTION("""COMPUTED_VALUE"""),-6.25)</f>
        <v>-6.25</v>
      </c>
      <c r="O294" s="1">
        <f ca="1">IFERROR(__xludf.DUMMYFUNCTION("""COMPUTED_VALUE"""),276)</f>
        <v>276</v>
      </c>
      <c r="P294" s="1">
        <f ca="1">IFERROR(__xludf.DUMMYFUNCTION("""COMPUTED_VALUE"""),97.8)</f>
        <v>97.8</v>
      </c>
      <c r="Q294" s="1">
        <f ca="1">IFERROR(__xludf.DUMMYFUNCTION("""COMPUTED_VALUE"""),310)</f>
        <v>310</v>
      </c>
      <c r="R294" s="1">
        <f ca="1">IFERROR(__xludf.DUMMYFUNCTION("""COMPUTED_VALUE"""),104.1)</f>
        <v>104.1</v>
      </c>
      <c r="S294" s="1">
        <f ca="1">IFERROR(__xludf.DUMMYFUNCTION("""COMPUTED_VALUE"""),185)</f>
        <v>185</v>
      </c>
      <c r="T294" s="1" t="str">
        <f ca="1">IFERROR(__xludf.DUMMYFUNCTION("""COMPUTED_VALUE"""),"+16.38")</f>
        <v>+16.38</v>
      </c>
      <c r="U294" s="1">
        <f ca="1">IFERROR(__xludf.DUMMYFUNCTION("""COMPUTED_VALUE"""),2)</f>
        <v>2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IFERROR(__xludf.DUMMYFUNCTION("""COMPUTED_VALUE"""),"Stetson")</f>
        <v>Stetson</v>
      </c>
      <c r="C297" s="1" t="str">
        <f ca="1">IFERROR(__xludf.DUMMYFUNCTION("""COMPUTED_VALUE"""),"ASun")</f>
        <v>ASun</v>
      </c>
      <c r="D297" s="1" t="str">
        <f ca="1">IFERROR(__xludf.DUMMYFUNCTION("""COMPUTED_VALUE"""),"14-18")</f>
        <v>14-18</v>
      </c>
      <c r="E297" s="1">
        <f ca="1">IFERROR(__xludf.DUMMYFUNCTION("""COMPUTED_VALUE"""),-11.9)</f>
        <v>-11.9</v>
      </c>
      <c r="F297" s="1">
        <f ca="1">IFERROR(__xludf.DUMMYFUNCTION("""COMPUTED_VALUE"""),95.6)</f>
        <v>95.6</v>
      </c>
      <c r="G297" s="1">
        <f ca="1">IFERROR(__xludf.DUMMYFUNCTION("""COMPUTED_VALUE"""),284)</f>
        <v>284</v>
      </c>
      <c r="H297" s="1">
        <f ca="1">IFERROR(__xludf.DUMMYFUNCTION("""COMPUTED_VALUE"""),107.5)</f>
        <v>107.5</v>
      </c>
      <c r="I297" s="1">
        <f ca="1">IFERROR(__xludf.DUMMYFUNCTION("""COMPUTED_VALUE"""),248)</f>
        <v>248</v>
      </c>
      <c r="J297" s="1">
        <f ca="1">IFERROR(__xludf.DUMMYFUNCTION("""COMPUTED_VALUE"""),62.7)</f>
        <v>62.7</v>
      </c>
      <c r="K297" s="1">
        <f ca="1">IFERROR(__xludf.DUMMYFUNCTION("""COMPUTED_VALUE"""),263)</f>
        <v>263</v>
      </c>
      <c r="L297" s="1" t="str">
        <f ca="1">IFERROR(__xludf.DUMMYFUNCTION("""COMPUTED_VALUE"""),"+.026")</f>
        <v>+.026</v>
      </c>
      <c r="M297" s="1">
        <f ca="1">IFERROR(__xludf.DUMMYFUNCTION("""COMPUTED_VALUE"""),102)</f>
        <v>102</v>
      </c>
      <c r="N297" s="1">
        <f ca="1">IFERROR(__xludf.DUMMYFUNCTION("""COMPUTED_VALUE"""),-9.58)</f>
        <v>-9.58</v>
      </c>
      <c r="O297" s="1">
        <f ca="1">IFERROR(__xludf.DUMMYFUNCTION("""COMPUTED_VALUE"""),321)</f>
        <v>321</v>
      </c>
      <c r="P297" s="1">
        <f ca="1">IFERROR(__xludf.DUMMYFUNCTION("""COMPUTED_VALUE"""),99.5)</f>
        <v>99.5</v>
      </c>
      <c r="Q297" s="1">
        <f ca="1">IFERROR(__xludf.DUMMYFUNCTION("""COMPUTED_VALUE"""),280)</f>
        <v>280</v>
      </c>
      <c r="R297" s="1">
        <f ca="1">IFERROR(__xludf.DUMMYFUNCTION("""COMPUTED_VALUE"""),109)</f>
        <v>109</v>
      </c>
      <c r="S297" s="1">
        <f ca="1">IFERROR(__xludf.DUMMYFUNCTION("""COMPUTED_VALUE"""),331)</f>
        <v>331</v>
      </c>
      <c r="T297" s="1">
        <f ca="1">IFERROR(__xludf.DUMMYFUNCTION("""COMPUTED_VALUE"""),-1.16)</f>
        <v>-1.1599999999999999</v>
      </c>
      <c r="U297" s="1">
        <f ca="1">IFERROR(__xludf.DUMMYFUNCTION("""COMPUTED_VALUE"""),183)</f>
        <v>183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IFERROR(__xludf.DUMMYFUNCTION("""COMPUTED_VALUE"""),"LIU Brooklyn")</f>
        <v>LIU Brooklyn</v>
      </c>
      <c r="C298" s="1" t="str">
        <f ca="1">IFERROR(__xludf.DUMMYFUNCTION("""COMPUTED_VALUE"""),"NEC")</f>
        <v>NEC</v>
      </c>
      <c r="D298" s="2">
        <f ca="1">IFERROR(__xludf.DUMMYFUNCTION("""COMPUTED_VALUE"""),44911)</f>
        <v>44911</v>
      </c>
      <c r="E298" s="1">
        <f ca="1">IFERROR(__xludf.DUMMYFUNCTION("""COMPUTED_VALUE"""),-11.97)</f>
        <v>-11.97</v>
      </c>
      <c r="F298" s="1">
        <f ca="1">IFERROR(__xludf.DUMMYFUNCTION("""COMPUTED_VALUE"""),97.1)</f>
        <v>97.1</v>
      </c>
      <c r="G298" s="1">
        <f ca="1">IFERROR(__xludf.DUMMYFUNCTION("""COMPUTED_VALUE"""),258)</f>
        <v>258</v>
      </c>
      <c r="H298" s="1">
        <f ca="1">IFERROR(__xludf.DUMMYFUNCTION("""COMPUTED_VALUE"""),109.1)</f>
        <v>109.1</v>
      </c>
      <c r="I298" s="1">
        <f ca="1">IFERROR(__xludf.DUMMYFUNCTION("""COMPUTED_VALUE"""),274)</f>
        <v>274</v>
      </c>
      <c r="J298" s="1">
        <f ca="1">IFERROR(__xludf.DUMMYFUNCTION("""COMPUTED_VALUE"""),67.5)</f>
        <v>67.5</v>
      </c>
      <c r="K298" s="1">
        <f ca="1">IFERROR(__xludf.DUMMYFUNCTION("""COMPUTED_VALUE"""),84)</f>
        <v>84</v>
      </c>
      <c r="L298" s="1" t="str">
        <f ca="1">IFERROR(__xludf.DUMMYFUNCTION("""COMPUTED_VALUE"""),"+.048")</f>
        <v>+.048</v>
      </c>
      <c r="M298" s="1">
        <f ca="1">IFERROR(__xludf.DUMMYFUNCTION("""COMPUTED_VALUE"""),54)</f>
        <v>54</v>
      </c>
      <c r="N298" s="1">
        <f ca="1">IFERROR(__xludf.DUMMYFUNCTION("""COMPUTED_VALUE"""),-7.47)</f>
        <v>-7.47</v>
      </c>
      <c r="O298" s="1">
        <f ca="1">IFERROR(__xludf.DUMMYFUNCTION("""COMPUTED_VALUE"""),295)</f>
        <v>295</v>
      </c>
      <c r="P298" s="1">
        <f ca="1">IFERROR(__xludf.DUMMYFUNCTION("""COMPUTED_VALUE"""),99.2)</f>
        <v>99.2</v>
      </c>
      <c r="Q298" s="1">
        <f ca="1">IFERROR(__xludf.DUMMYFUNCTION("""COMPUTED_VALUE"""),287)</f>
        <v>287</v>
      </c>
      <c r="R298" s="1">
        <f ca="1">IFERROR(__xludf.DUMMYFUNCTION("""COMPUTED_VALUE"""),106.7)</f>
        <v>106.7</v>
      </c>
      <c r="S298" s="1">
        <f ca="1">IFERROR(__xludf.DUMMYFUNCTION("""COMPUTED_VALUE"""),301)</f>
        <v>301</v>
      </c>
      <c r="T298" s="1">
        <f ca="1">IFERROR(__xludf.DUMMYFUNCTION("""COMPUTED_VALUE"""),-7.36)</f>
        <v>-7.36</v>
      </c>
      <c r="U298" s="1">
        <f ca="1">IFERROR(__xludf.DUMMYFUNCTION("""COMPUTED_VALUE"""),311)</f>
        <v>311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IFERROR(__xludf.DUMMYFUNCTION("""COMPUTED_VALUE"""),"Louisiana Monroe")</f>
        <v>Louisiana Monroe</v>
      </c>
      <c r="C299" s="1" t="str">
        <f ca="1">IFERROR(__xludf.DUMMYFUNCTION("""COMPUTED_VALUE"""),"Slnd")</f>
        <v>Slnd</v>
      </c>
      <c r="D299" s="2">
        <f ca="1">IFERROR(__xludf.DUMMYFUNCTION("""COMPUTED_VALUE"""),44852)</f>
        <v>44852</v>
      </c>
      <c r="E299" s="1">
        <f ca="1">IFERROR(__xludf.DUMMYFUNCTION("""COMPUTED_VALUE"""),-12.19)</f>
        <v>-12.19</v>
      </c>
      <c r="F299" s="1">
        <f ca="1">IFERROR(__xludf.DUMMYFUNCTION("""COMPUTED_VALUE"""),92.8)</f>
        <v>92.8</v>
      </c>
      <c r="G299" s="1">
        <f ca="1">IFERROR(__xludf.DUMMYFUNCTION("""COMPUTED_VALUE"""),307)</f>
        <v>307</v>
      </c>
      <c r="H299" s="1">
        <f ca="1">IFERROR(__xludf.DUMMYFUNCTION("""COMPUTED_VALUE"""),105)</f>
        <v>105</v>
      </c>
      <c r="I299" s="1">
        <f ca="1">IFERROR(__xludf.DUMMYFUNCTION("""COMPUTED_VALUE"""),200)</f>
        <v>200</v>
      </c>
      <c r="J299" s="1">
        <f ca="1">IFERROR(__xludf.DUMMYFUNCTION("""COMPUTED_VALUE"""),64.8)</f>
        <v>64.8</v>
      </c>
      <c r="K299" s="1">
        <f ca="1">IFERROR(__xludf.DUMMYFUNCTION("""COMPUTED_VALUE"""),192)</f>
        <v>192</v>
      </c>
      <c r="L299" s="1" t="str">
        <f ca="1">IFERROR(__xludf.DUMMYFUNCTION("""COMPUTED_VALUE"""),"+.014")</f>
        <v>+.014</v>
      </c>
      <c r="M299" s="1">
        <f ca="1">IFERROR(__xludf.DUMMYFUNCTION("""COMPUTED_VALUE"""),132)</f>
        <v>132</v>
      </c>
      <c r="N299" s="1">
        <f ca="1">IFERROR(__xludf.DUMMYFUNCTION("""COMPUTED_VALUE"""),-0.51)</f>
        <v>-0.51</v>
      </c>
      <c r="O299" s="1">
        <f ca="1">IFERROR(__xludf.DUMMYFUNCTION("""COMPUTED_VALUE"""),171)</f>
        <v>171</v>
      </c>
      <c r="P299" s="1">
        <f ca="1">IFERROR(__xludf.DUMMYFUNCTION("""COMPUTED_VALUE"""),103.2)</f>
        <v>103.2</v>
      </c>
      <c r="Q299" s="1">
        <f ca="1">IFERROR(__xludf.DUMMYFUNCTION("""COMPUTED_VALUE"""),164)</f>
        <v>164</v>
      </c>
      <c r="R299" s="1">
        <f ca="1">IFERROR(__xludf.DUMMYFUNCTION("""COMPUTED_VALUE"""),103.7)</f>
        <v>103.7</v>
      </c>
      <c r="S299" s="1">
        <f ca="1">IFERROR(__xludf.DUMMYFUNCTION("""COMPUTED_VALUE"""),174)</f>
        <v>174</v>
      </c>
      <c r="T299" s="1" t="str">
        <f ca="1">IFERROR(__xludf.DUMMYFUNCTION("""COMPUTED_VALUE"""),"+10.08")</f>
        <v>+10.08</v>
      </c>
      <c r="U299" s="1">
        <f ca="1">IFERROR(__xludf.DUMMYFUNCTION("""COMPUTED_VALUE"""),12)</f>
        <v>12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IFERROR(__xludf.DUMMYFUNCTION("""COMPUTED_VALUE"""),"Arkansas Pine Bluff")</f>
        <v>Arkansas Pine Bluff</v>
      </c>
      <c r="C300" s="1" t="str">
        <f ca="1">IFERROR(__xludf.DUMMYFUNCTION("""COMPUTED_VALUE"""),"SWAC")</f>
        <v>SWAC</v>
      </c>
      <c r="D300" s="1" t="str">
        <f ca="1">IFERROR(__xludf.DUMMYFUNCTION("""COMPUTED_VALUE"""),"13-16")</f>
        <v>13-16</v>
      </c>
      <c r="E300" s="1">
        <f ca="1">IFERROR(__xludf.DUMMYFUNCTION("""COMPUTED_VALUE"""),-12.43)</f>
        <v>-12.43</v>
      </c>
      <c r="F300" s="1">
        <f ca="1">IFERROR(__xludf.DUMMYFUNCTION("""COMPUTED_VALUE"""),85)</f>
        <v>85</v>
      </c>
      <c r="G300" s="1">
        <f ca="1">IFERROR(__xludf.DUMMYFUNCTION("""COMPUTED_VALUE"""),332)</f>
        <v>332</v>
      </c>
      <c r="H300" s="1">
        <f ca="1">IFERROR(__xludf.DUMMYFUNCTION("""COMPUTED_VALUE"""),97.5)</f>
        <v>97.5</v>
      </c>
      <c r="I300" s="1">
        <f ca="1">IFERROR(__xludf.DUMMYFUNCTION("""COMPUTED_VALUE"""),80)</f>
        <v>80</v>
      </c>
      <c r="J300" s="1">
        <f ca="1">IFERROR(__xludf.DUMMYFUNCTION("""COMPUTED_VALUE"""),66.7)</f>
        <v>66.7</v>
      </c>
      <c r="K300" s="1">
        <f ca="1">IFERROR(__xludf.DUMMYFUNCTION("""COMPUTED_VALUE"""),108)</f>
        <v>108</v>
      </c>
      <c r="L300" s="1">
        <f ca="1">IFERROR(__xludf.DUMMYFUNCTION("""COMPUTED_VALUE"""),-0.04)</f>
        <v>-0.04</v>
      </c>
      <c r="M300" s="1">
        <f ca="1">IFERROR(__xludf.DUMMYFUNCTION("""COMPUTED_VALUE"""),261)</f>
        <v>261</v>
      </c>
      <c r="N300" s="1">
        <f ca="1">IFERROR(__xludf.DUMMYFUNCTION("""COMPUTED_VALUE"""),-11.48)</f>
        <v>-11.48</v>
      </c>
      <c r="O300" s="1">
        <f ca="1">IFERROR(__xludf.DUMMYFUNCTION("""COMPUTED_VALUE"""),330)</f>
        <v>330</v>
      </c>
      <c r="P300" s="1">
        <f ca="1">IFERROR(__xludf.DUMMYFUNCTION("""COMPUTED_VALUE"""),95.3)</f>
        <v>95.3</v>
      </c>
      <c r="Q300" s="1">
        <f ca="1">IFERROR(__xludf.DUMMYFUNCTION("""COMPUTED_VALUE"""),329)</f>
        <v>329</v>
      </c>
      <c r="R300" s="1">
        <f ca="1">IFERROR(__xludf.DUMMYFUNCTION("""COMPUTED_VALUE"""),106.8)</f>
        <v>106.8</v>
      </c>
      <c r="S300" s="1">
        <f ca="1">IFERROR(__xludf.DUMMYFUNCTION("""COMPUTED_VALUE"""),304)</f>
        <v>304</v>
      </c>
      <c r="T300" s="1" t="str">
        <f ca="1">IFERROR(__xludf.DUMMYFUNCTION("""COMPUTED_VALUE"""),"+3.24")</f>
        <v>+3.24</v>
      </c>
      <c r="U300" s="1">
        <f ca="1">IFERROR(__xludf.DUMMYFUNCTION("""COMPUTED_VALUE"""),70)</f>
        <v>70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IFERROR(__xludf.DUMMYFUNCTION("""COMPUTED_VALUE"""),"Campbell")</f>
        <v>Campbell</v>
      </c>
      <c r="C301" s="1" t="str">
        <f ca="1">IFERROR(__xludf.DUMMYFUNCTION("""COMPUTED_VALUE"""),"ASun")</f>
        <v>ASun</v>
      </c>
      <c r="D301" s="2">
        <f ca="1">IFERROR(__xludf.DUMMYFUNCTION("""COMPUTED_VALUE"""),44852)</f>
        <v>44852</v>
      </c>
      <c r="E301" s="1">
        <f ca="1">IFERROR(__xludf.DUMMYFUNCTION("""COMPUTED_VALUE"""),-12.59)</f>
        <v>-12.59</v>
      </c>
      <c r="F301" s="1">
        <f ca="1">IFERROR(__xludf.DUMMYFUNCTION("""COMPUTED_VALUE"""),101)</f>
        <v>101</v>
      </c>
      <c r="G301" s="1">
        <f ca="1">IFERROR(__xludf.DUMMYFUNCTION("""COMPUTED_VALUE"""),201)</f>
        <v>201</v>
      </c>
      <c r="H301" s="1">
        <f ca="1">IFERROR(__xludf.DUMMYFUNCTION("""COMPUTED_VALUE"""),113.6)</f>
        <v>113.6</v>
      </c>
      <c r="I301" s="1">
        <f ca="1">IFERROR(__xludf.DUMMYFUNCTION("""COMPUTED_VALUE"""),319)</f>
        <v>319</v>
      </c>
      <c r="J301" s="1">
        <f ca="1">IFERROR(__xludf.DUMMYFUNCTION("""COMPUTED_VALUE"""),75)</f>
        <v>75</v>
      </c>
      <c r="K301" s="1">
        <f ca="1">IFERROR(__xludf.DUMMYFUNCTION("""COMPUTED_VALUE"""),1)</f>
        <v>1</v>
      </c>
      <c r="L301" s="1">
        <f ca="1">IFERROR(__xludf.DUMMYFUNCTION("""COMPUTED_VALUE"""),-0.042)</f>
        <v>-4.2000000000000003E-2</v>
      </c>
      <c r="M301" s="1">
        <f ca="1">IFERROR(__xludf.DUMMYFUNCTION("""COMPUTED_VALUE"""),268)</f>
        <v>268</v>
      </c>
      <c r="N301" s="1">
        <f ca="1">IFERROR(__xludf.DUMMYFUNCTION("""COMPUTED_VALUE"""),-9.58)</f>
        <v>-9.58</v>
      </c>
      <c r="O301" s="1">
        <f ca="1">IFERROR(__xludf.DUMMYFUNCTION("""COMPUTED_VALUE"""),320)</f>
        <v>320</v>
      </c>
      <c r="P301" s="1">
        <f ca="1">IFERROR(__xludf.DUMMYFUNCTION("""COMPUTED_VALUE"""),99.3)</f>
        <v>99.3</v>
      </c>
      <c r="Q301" s="1">
        <f ca="1">IFERROR(__xludf.DUMMYFUNCTION("""COMPUTED_VALUE"""),284)</f>
        <v>284</v>
      </c>
      <c r="R301" s="1">
        <f ca="1">IFERROR(__xludf.DUMMYFUNCTION("""COMPUTED_VALUE"""),108.9)</f>
        <v>108.9</v>
      </c>
      <c r="S301" s="1">
        <f ca="1">IFERROR(__xludf.DUMMYFUNCTION("""COMPUTED_VALUE"""),329)</f>
        <v>329</v>
      </c>
      <c r="T301" s="1">
        <f ca="1">IFERROR(__xludf.DUMMYFUNCTION("""COMPUTED_VALUE"""),-2.1)</f>
        <v>-2.1</v>
      </c>
      <c r="U301" s="1">
        <f ca="1">IFERROR(__xludf.DUMMYFUNCTION("""COMPUTED_VALUE"""),215)</f>
        <v>215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IFERROR(__xludf.DUMMYFUNCTION("""COMPUTED_VALUE"""),"Colgate")</f>
        <v>Colgate</v>
      </c>
      <c r="C302" s="1" t="str">
        <f ca="1">IFERROR(__xludf.DUMMYFUNCTION("""COMPUTED_VALUE"""),"Pat")</f>
        <v>Pat</v>
      </c>
      <c r="D302" s="2">
        <f ca="1">IFERROR(__xludf.DUMMYFUNCTION("""COMPUTED_VALUE"""),44853)</f>
        <v>44853</v>
      </c>
      <c r="E302" s="1">
        <f ca="1">IFERROR(__xludf.DUMMYFUNCTION("""COMPUTED_VALUE"""),-12.61)</f>
        <v>-12.61</v>
      </c>
      <c r="F302" s="1">
        <f ca="1">IFERROR(__xludf.DUMMYFUNCTION("""COMPUTED_VALUE"""),92.6)</f>
        <v>92.6</v>
      </c>
      <c r="G302" s="1">
        <f ca="1">IFERROR(__xludf.DUMMYFUNCTION("""COMPUTED_VALUE"""),309)</f>
        <v>309</v>
      </c>
      <c r="H302" s="1">
        <f ca="1">IFERROR(__xludf.DUMMYFUNCTION("""COMPUTED_VALUE"""),105.2)</f>
        <v>105.2</v>
      </c>
      <c r="I302" s="1">
        <f ca="1">IFERROR(__xludf.DUMMYFUNCTION("""COMPUTED_VALUE"""),201)</f>
        <v>201</v>
      </c>
      <c r="J302" s="1">
        <f ca="1">IFERROR(__xludf.DUMMYFUNCTION("""COMPUTED_VALUE"""),62.2)</f>
        <v>62.2</v>
      </c>
      <c r="K302" s="1">
        <f ca="1">IFERROR(__xludf.DUMMYFUNCTION("""COMPUTED_VALUE"""),282)</f>
        <v>282</v>
      </c>
      <c r="L302" s="1">
        <f ca="1">IFERROR(__xludf.DUMMYFUNCTION("""COMPUTED_VALUE"""),-0.046)</f>
        <v>-4.5999999999999999E-2</v>
      </c>
      <c r="M302" s="1">
        <f ca="1">IFERROR(__xludf.DUMMYFUNCTION("""COMPUTED_VALUE"""),279)</f>
        <v>279</v>
      </c>
      <c r="N302" s="1">
        <f ca="1">IFERROR(__xludf.DUMMYFUNCTION("""COMPUTED_VALUE"""),-6.79)</f>
        <v>-6.79</v>
      </c>
      <c r="O302" s="1">
        <f ca="1">IFERROR(__xludf.DUMMYFUNCTION("""COMPUTED_VALUE"""),284)</f>
        <v>284</v>
      </c>
      <c r="P302" s="1">
        <f ca="1">IFERROR(__xludf.DUMMYFUNCTION("""COMPUTED_VALUE"""),98.2)</f>
        <v>98.2</v>
      </c>
      <c r="Q302" s="1">
        <f ca="1">IFERROR(__xludf.DUMMYFUNCTION("""COMPUTED_VALUE"""),304)</f>
        <v>304</v>
      </c>
      <c r="R302" s="1">
        <f ca="1">IFERROR(__xludf.DUMMYFUNCTION("""COMPUTED_VALUE"""),105)</f>
        <v>105</v>
      </c>
      <c r="S302" s="1">
        <f ca="1">IFERROR(__xludf.DUMMYFUNCTION("""COMPUTED_VALUE"""),229)</f>
        <v>229</v>
      </c>
      <c r="T302" s="1">
        <f ca="1">IFERROR(__xludf.DUMMYFUNCTION("""COMPUTED_VALUE"""),-5.38)</f>
        <v>-5.38</v>
      </c>
      <c r="U302" s="1">
        <f ca="1">IFERROR(__xludf.DUMMYFUNCTION("""COMPUTED_VALUE"""),285)</f>
        <v>285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IFERROR(__xludf.DUMMYFUNCTION("""COMPUTED_VALUE"""),"UC Davis")</f>
        <v>UC Davis</v>
      </c>
      <c r="C303" s="1" t="str">
        <f ca="1">IFERROR(__xludf.DUMMYFUNCTION("""COMPUTED_VALUE"""),"ind")</f>
        <v>ind</v>
      </c>
      <c r="D303" s="2">
        <f ca="1">IFERROR(__xludf.DUMMYFUNCTION("""COMPUTED_VALUE"""),44793)</f>
        <v>44793</v>
      </c>
      <c r="E303" s="1">
        <f ca="1">IFERROR(__xludf.DUMMYFUNCTION("""COMPUTED_VALUE"""),-12.64)</f>
        <v>-12.64</v>
      </c>
      <c r="F303" s="1">
        <f ca="1">IFERROR(__xludf.DUMMYFUNCTION("""COMPUTED_VALUE"""),98.6)</f>
        <v>98.6</v>
      </c>
      <c r="G303" s="1">
        <f ca="1">IFERROR(__xludf.DUMMYFUNCTION("""COMPUTED_VALUE"""),237)</f>
        <v>237</v>
      </c>
      <c r="H303" s="1">
        <f ca="1">IFERROR(__xludf.DUMMYFUNCTION("""COMPUTED_VALUE"""),111.2)</f>
        <v>111.2</v>
      </c>
      <c r="I303" s="1">
        <f ca="1">IFERROR(__xludf.DUMMYFUNCTION("""COMPUTED_VALUE"""),302)</f>
        <v>302</v>
      </c>
      <c r="J303" s="1">
        <f ca="1">IFERROR(__xludf.DUMMYFUNCTION("""COMPUTED_VALUE"""),62.5)</f>
        <v>62.5</v>
      </c>
      <c r="K303" s="1">
        <f ca="1">IFERROR(__xludf.DUMMYFUNCTION("""COMPUTED_VALUE"""),275)</f>
        <v>275</v>
      </c>
      <c r="L303" s="1">
        <f ca="1">IFERROR(__xludf.DUMMYFUNCTION("""COMPUTED_VALUE"""),-0.005)</f>
        <v>-5.0000000000000001E-3</v>
      </c>
      <c r="M303" s="1">
        <f ca="1">IFERROR(__xludf.DUMMYFUNCTION("""COMPUTED_VALUE"""),180)</f>
        <v>180</v>
      </c>
      <c r="N303" s="1">
        <f ca="1">IFERROR(__xludf.DUMMYFUNCTION("""COMPUTED_VALUE"""),-2.22)</f>
        <v>-2.2200000000000002</v>
      </c>
      <c r="O303" s="1">
        <f ca="1">IFERROR(__xludf.DUMMYFUNCTION("""COMPUTED_VALUE"""),200)</f>
        <v>200</v>
      </c>
      <c r="P303" s="1">
        <f ca="1">IFERROR(__xludf.DUMMYFUNCTION("""COMPUTED_VALUE"""),102.8)</f>
        <v>102.8</v>
      </c>
      <c r="Q303" s="1">
        <f ca="1">IFERROR(__xludf.DUMMYFUNCTION("""COMPUTED_VALUE"""),173)</f>
        <v>173</v>
      </c>
      <c r="R303" s="1">
        <f ca="1">IFERROR(__xludf.DUMMYFUNCTION("""COMPUTED_VALUE"""),105)</f>
        <v>105</v>
      </c>
      <c r="S303" s="1">
        <f ca="1">IFERROR(__xludf.DUMMYFUNCTION("""COMPUTED_VALUE"""),226)</f>
        <v>226</v>
      </c>
      <c r="T303" s="1">
        <f ca="1">IFERROR(__xludf.DUMMYFUNCTION("""COMPUTED_VALUE"""),-1.77)</f>
        <v>-1.77</v>
      </c>
      <c r="U303" s="1">
        <f ca="1">IFERROR(__xludf.DUMMYFUNCTION("""COMPUTED_VALUE"""),203)</f>
        <v>203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IFERROR(__xludf.DUMMYFUNCTION("""COMPUTED_VALUE"""),"Norfolk St.")</f>
        <v>Norfolk St.</v>
      </c>
      <c r="C304" s="1" t="str">
        <f ca="1">IFERROR(__xludf.DUMMYFUNCTION("""COMPUTED_VALUE"""),"MEAC")</f>
        <v>MEAC</v>
      </c>
      <c r="D304" s="1" t="str">
        <f ca="1">IFERROR(__xludf.DUMMYFUNCTION("""COMPUTED_VALUE"""),"13-18")</f>
        <v>13-18</v>
      </c>
      <c r="E304" s="1">
        <f ca="1">IFERROR(__xludf.DUMMYFUNCTION("""COMPUTED_VALUE"""),-13.1)</f>
        <v>-13.1</v>
      </c>
      <c r="F304" s="1">
        <f ca="1">IFERROR(__xludf.DUMMYFUNCTION("""COMPUTED_VALUE"""),90.9)</f>
        <v>90.9</v>
      </c>
      <c r="G304" s="1">
        <f ca="1">IFERROR(__xludf.DUMMYFUNCTION("""COMPUTED_VALUE"""),323)</f>
        <v>323</v>
      </c>
      <c r="H304" s="1">
        <f ca="1">IFERROR(__xludf.DUMMYFUNCTION("""COMPUTED_VALUE"""),104)</f>
        <v>104</v>
      </c>
      <c r="I304" s="1">
        <f ca="1">IFERROR(__xludf.DUMMYFUNCTION("""COMPUTED_VALUE"""),186)</f>
        <v>186</v>
      </c>
      <c r="J304" s="1">
        <f ca="1">IFERROR(__xludf.DUMMYFUNCTION("""COMPUTED_VALUE"""),65.2)</f>
        <v>65.2</v>
      </c>
      <c r="K304" s="1">
        <f ca="1">IFERROR(__xludf.DUMMYFUNCTION("""COMPUTED_VALUE"""),172)</f>
        <v>172</v>
      </c>
      <c r="L304" s="1" t="str">
        <f ca="1">IFERROR(__xludf.DUMMYFUNCTION("""COMPUTED_VALUE"""),"+.017")</f>
        <v>+.017</v>
      </c>
      <c r="M304" s="1">
        <f ca="1">IFERROR(__xludf.DUMMYFUNCTION("""COMPUTED_VALUE"""),122)</f>
        <v>122</v>
      </c>
      <c r="N304" s="1">
        <f ca="1">IFERROR(__xludf.DUMMYFUNCTION("""COMPUTED_VALUE"""),-9.31)</f>
        <v>-9.31</v>
      </c>
      <c r="O304" s="1">
        <f ca="1">IFERROR(__xludf.DUMMYFUNCTION("""COMPUTED_VALUE"""),318)</f>
        <v>318</v>
      </c>
      <c r="P304" s="1">
        <f ca="1">IFERROR(__xludf.DUMMYFUNCTION("""COMPUTED_VALUE"""),96.6)</f>
        <v>96.6</v>
      </c>
      <c r="Q304" s="1">
        <f ca="1">IFERROR(__xludf.DUMMYFUNCTION("""COMPUTED_VALUE"""),321)</f>
        <v>321</v>
      </c>
      <c r="R304" s="1">
        <f ca="1">IFERROR(__xludf.DUMMYFUNCTION("""COMPUTED_VALUE"""),105.9)</f>
        <v>105.9</v>
      </c>
      <c r="S304" s="1">
        <f ca="1">IFERROR(__xludf.DUMMYFUNCTION("""COMPUTED_VALUE"""),271)</f>
        <v>271</v>
      </c>
      <c r="T304" s="1" t="str">
        <f ca="1">IFERROR(__xludf.DUMMYFUNCTION("""COMPUTED_VALUE"""),"+9.35")</f>
        <v>+9.35</v>
      </c>
      <c r="U304" s="1">
        <f ca="1">IFERROR(__xludf.DUMMYFUNCTION("""COMPUTED_VALUE"""),15)</f>
        <v>15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IFERROR(__xludf.DUMMYFUNCTION("""COMPUTED_VALUE"""),"Idaho")</f>
        <v>Idaho</v>
      </c>
      <c r="C305" s="1" t="str">
        <f ca="1">IFERROR(__xludf.DUMMYFUNCTION("""COMPUTED_VALUE"""),"WAC")</f>
        <v>WAC</v>
      </c>
      <c r="D305" s="2">
        <f ca="1">IFERROR(__xludf.DUMMYFUNCTION("""COMPUTED_VALUE"""),44676)</f>
        <v>44676</v>
      </c>
      <c r="E305" s="1">
        <f ca="1">IFERROR(__xludf.DUMMYFUNCTION("""COMPUTED_VALUE"""),-13.12)</f>
        <v>-13.12</v>
      </c>
      <c r="F305" s="1">
        <f ca="1">IFERROR(__xludf.DUMMYFUNCTION("""COMPUTED_VALUE"""),97.8)</f>
        <v>97.8</v>
      </c>
      <c r="G305" s="1">
        <f ca="1">IFERROR(__xludf.DUMMYFUNCTION("""COMPUTED_VALUE"""),249)</f>
        <v>249</v>
      </c>
      <c r="H305" s="1">
        <f ca="1">IFERROR(__xludf.DUMMYFUNCTION("""COMPUTED_VALUE"""),110.9)</f>
        <v>110.9</v>
      </c>
      <c r="I305" s="1">
        <f ca="1">IFERROR(__xludf.DUMMYFUNCTION("""COMPUTED_VALUE"""),297)</f>
        <v>297</v>
      </c>
      <c r="J305" s="1">
        <f ca="1">IFERROR(__xludf.DUMMYFUNCTION("""COMPUTED_VALUE"""),61.6)</f>
        <v>61.6</v>
      </c>
      <c r="K305" s="1">
        <f ca="1">IFERROR(__xludf.DUMMYFUNCTION("""COMPUTED_VALUE"""),299)</f>
        <v>299</v>
      </c>
      <c r="L305" s="1">
        <f ca="1">IFERROR(__xludf.DUMMYFUNCTION("""COMPUTED_VALUE"""),-0.064)</f>
        <v>-6.4000000000000001E-2</v>
      </c>
      <c r="M305" s="1">
        <f ca="1">IFERROR(__xludf.DUMMYFUNCTION("""COMPUTED_VALUE"""),296)</f>
        <v>296</v>
      </c>
      <c r="N305" s="1" t="str">
        <f ca="1">IFERROR(__xludf.DUMMYFUNCTION("""COMPUTED_VALUE"""),"+4.16")</f>
        <v>+4.16</v>
      </c>
      <c r="O305" s="1">
        <f ca="1">IFERROR(__xludf.DUMMYFUNCTION("""COMPUTED_VALUE"""),87)</f>
        <v>87</v>
      </c>
      <c r="P305" s="1">
        <f ca="1">IFERROR(__xludf.DUMMYFUNCTION("""COMPUTED_VALUE"""),105.2)</f>
        <v>105.2</v>
      </c>
      <c r="Q305" s="1">
        <f ca="1">IFERROR(__xludf.DUMMYFUNCTION("""COMPUTED_VALUE"""),82)</f>
        <v>82</v>
      </c>
      <c r="R305" s="1">
        <f ca="1">IFERROR(__xludf.DUMMYFUNCTION("""COMPUTED_VALUE"""),101)</f>
        <v>101</v>
      </c>
      <c r="S305" s="1">
        <f ca="1">IFERROR(__xludf.DUMMYFUNCTION("""COMPUTED_VALUE"""),93)</f>
        <v>93</v>
      </c>
      <c r="T305" s="1" t="str">
        <f ca="1">IFERROR(__xludf.DUMMYFUNCTION("""COMPUTED_VALUE"""),"+1.47")</f>
        <v>+1.47</v>
      </c>
      <c r="U305" s="1">
        <f ca="1">IFERROR(__xludf.DUMMYFUNCTION("""COMPUTED_VALUE"""),119)</f>
        <v>119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IFERROR(__xludf.DUMMYFUNCTION("""COMPUTED_VALUE"""),"Alabama St.")</f>
        <v>Alabama St.</v>
      </c>
      <c r="C306" s="1" t="str">
        <f ca="1">IFERROR(__xludf.DUMMYFUNCTION("""COMPUTED_VALUE"""),"SWAC")</f>
        <v>SWAC</v>
      </c>
      <c r="D306" s="2">
        <f ca="1">IFERROR(__xludf.DUMMYFUNCTION("""COMPUTED_VALUE"""),44913)</f>
        <v>44913</v>
      </c>
      <c r="E306" s="1">
        <f ca="1">IFERROR(__xludf.DUMMYFUNCTION("""COMPUTED_VALUE"""),-13.52)</f>
        <v>-13.52</v>
      </c>
      <c r="F306" s="1">
        <f ca="1">IFERROR(__xludf.DUMMYFUNCTION("""COMPUTED_VALUE"""),94)</f>
        <v>94</v>
      </c>
      <c r="G306" s="1">
        <f ca="1">IFERROR(__xludf.DUMMYFUNCTION("""COMPUTED_VALUE"""),295)</f>
        <v>295</v>
      </c>
      <c r="H306" s="1">
        <f ca="1">IFERROR(__xludf.DUMMYFUNCTION("""COMPUTED_VALUE"""),107.5)</f>
        <v>107.5</v>
      </c>
      <c r="I306" s="1">
        <f ca="1">IFERROR(__xludf.DUMMYFUNCTION("""COMPUTED_VALUE"""),251)</f>
        <v>251</v>
      </c>
      <c r="J306" s="1">
        <f ca="1">IFERROR(__xludf.DUMMYFUNCTION("""COMPUTED_VALUE"""),66.1)</f>
        <v>66.099999999999994</v>
      </c>
      <c r="K306" s="1">
        <f ca="1">IFERROR(__xludf.DUMMYFUNCTION("""COMPUTED_VALUE"""),129)</f>
        <v>129</v>
      </c>
      <c r="L306" s="1" t="str">
        <f ca="1">IFERROR(__xludf.DUMMYFUNCTION("""COMPUTED_VALUE"""),"+.046")</f>
        <v>+.046</v>
      </c>
      <c r="M306" s="1">
        <f ca="1">IFERROR(__xludf.DUMMYFUNCTION("""COMPUTED_VALUE"""),61)</f>
        <v>61</v>
      </c>
      <c r="N306" s="1">
        <f ca="1">IFERROR(__xludf.DUMMYFUNCTION("""COMPUTED_VALUE"""),-8.93)</f>
        <v>-8.93</v>
      </c>
      <c r="O306" s="1">
        <f ca="1">IFERROR(__xludf.DUMMYFUNCTION("""COMPUTED_VALUE"""),314)</f>
        <v>314</v>
      </c>
      <c r="P306" s="1">
        <f ca="1">IFERROR(__xludf.DUMMYFUNCTION("""COMPUTED_VALUE"""),97.2)</f>
        <v>97.2</v>
      </c>
      <c r="Q306" s="1">
        <f ca="1">IFERROR(__xludf.DUMMYFUNCTION("""COMPUTED_VALUE"""),316)</f>
        <v>316</v>
      </c>
      <c r="R306" s="1">
        <f ca="1">IFERROR(__xludf.DUMMYFUNCTION("""COMPUTED_VALUE"""),106.1)</f>
        <v>106.1</v>
      </c>
      <c r="S306" s="1">
        <f ca="1">IFERROR(__xludf.DUMMYFUNCTION("""COMPUTED_VALUE"""),279)</f>
        <v>279</v>
      </c>
      <c r="T306" s="1" t="str">
        <f ca="1">IFERROR(__xludf.DUMMYFUNCTION("""COMPUTED_VALUE"""),"+4.97")</f>
        <v>+4.97</v>
      </c>
      <c r="U306" s="1">
        <f ca="1">IFERROR(__xludf.DUMMYFUNCTION("""COMPUTED_VALUE"""),49)</f>
        <v>49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IFERROR(__xludf.DUMMYFUNCTION("""COMPUTED_VALUE"""),"Florida A&amp;M")</f>
        <v>Florida A&amp;M</v>
      </c>
      <c r="C307" s="1" t="str">
        <f ca="1">IFERROR(__xludf.DUMMYFUNCTION("""COMPUTED_VALUE"""),"MEAC")</f>
        <v>MEAC</v>
      </c>
      <c r="D307" s="1" t="str">
        <f ca="1">IFERROR(__xludf.DUMMYFUNCTION("""COMPUTED_VALUE"""),"14-17")</f>
        <v>14-17</v>
      </c>
      <c r="E307" s="1">
        <f ca="1">IFERROR(__xludf.DUMMYFUNCTION("""COMPUTED_VALUE"""),-13.66)</f>
        <v>-13.66</v>
      </c>
      <c r="F307" s="1">
        <f ca="1">IFERROR(__xludf.DUMMYFUNCTION("""COMPUTED_VALUE"""),97.8)</f>
        <v>97.8</v>
      </c>
      <c r="G307" s="1">
        <f ca="1">IFERROR(__xludf.DUMMYFUNCTION("""COMPUTED_VALUE"""),247)</f>
        <v>247</v>
      </c>
      <c r="H307" s="1">
        <f ca="1">IFERROR(__xludf.DUMMYFUNCTION("""COMPUTED_VALUE"""),111.5)</f>
        <v>111.5</v>
      </c>
      <c r="I307" s="1">
        <f ca="1">IFERROR(__xludf.DUMMYFUNCTION("""COMPUTED_VALUE"""),308)</f>
        <v>308</v>
      </c>
      <c r="J307" s="1">
        <f ca="1">IFERROR(__xludf.DUMMYFUNCTION("""COMPUTED_VALUE"""),66.7)</f>
        <v>66.7</v>
      </c>
      <c r="K307" s="1">
        <f ca="1">IFERROR(__xludf.DUMMYFUNCTION("""COMPUTED_VALUE"""),109)</f>
        <v>109</v>
      </c>
      <c r="L307" s="1" t="str">
        <f ca="1">IFERROR(__xludf.DUMMYFUNCTION("""COMPUTED_VALUE"""),"+.058")</f>
        <v>+.058</v>
      </c>
      <c r="M307" s="1">
        <f ca="1">IFERROR(__xludf.DUMMYFUNCTION("""COMPUTED_VALUE"""),44)</f>
        <v>44</v>
      </c>
      <c r="N307" s="1">
        <f ca="1">IFERROR(__xludf.DUMMYFUNCTION("""COMPUTED_VALUE"""),-8.95)</f>
        <v>-8.9499999999999993</v>
      </c>
      <c r="O307" s="1">
        <f ca="1">IFERROR(__xludf.DUMMYFUNCTION("""COMPUTED_VALUE"""),315)</f>
        <v>315</v>
      </c>
      <c r="P307" s="1">
        <f ca="1">IFERROR(__xludf.DUMMYFUNCTION("""COMPUTED_VALUE"""),95.6)</f>
        <v>95.6</v>
      </c>
      <c r="Q307" s="1">
        <f ca="1">IFERROR(__xludf.DUMMYFUNCTION("""COMPUTED_VALUE"""),328)</f>
        <v>328</v>
      </c>
      <c r="R307" s="1">
        <f ca="1">IFERROR(__xludf.DUMMYFUNCTION("""COMPUTED_VALUE"""),104.6)</f>
        <v>104.6</v>
      </c>
      <c r="S307" s="1">
        <f ca="1">IFERROR(__xludf.DUMMYFUNCTION("""COMPUTED_VALUE"""),206)</f>
        <v>206</v>
      </c>
      <c r="T307" s="1" t="str">
        <f ca="1">IFERROR(__xludf.DUMMYFUNCTION("""COMPUTED_VALUE"""),"+9.14")</f>
        <v>+9.14</v>
      </c>
      <c r="U307" s="1">
        <f ca="1">IFERROR(__xludf.DUMMYFUNCTION("""COMPUTED_VALUE"""),18)</f>
        <v>18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IFERROR(__xludf.DUMMYFUNCTION("""COMPUTED_VALUE"""),"Lafayette")</f>
        <v>Lafayette</v>
      </c>
      <c r="C308" s="1" t="str">
        <f ca="1">IFERROR(__xludf.DUMMYFUNCTION("""COMPUTED_VALUE"""),"Pat")</f>
        <v>Pat</v>
      </c>
      <c r="D308" s="2">
        <f ca="1">IFERROR(__xludf.DUMMYFUNCTION("""COMPUTED_VALUE"""),44882)</f>
        <v>44882</v>
      </c>
      <c r="E308" s="1">
        <f ca="1">IFERROR(__xludf.DUMMYFUNCTION("""COMPUTED_VALUE"""),-13.77)</f>
        <v>-13.77</v>
      </c>
      <c r="F308" s="1">
        <f ca="1">IFERROR(__xludf.DUMMYFUNCTION("""COMPUTED_VALUE"""),97.5)</f>
        <v>97.5</v>
      </c>
      <c r="G308" s="1">
        <f ca="1">IFERROR(__xludf.DUMMYFUNCTION("""COMPUTED_VALUE"""),254)</f>
        <v>254</v>
      </c>
      <c r="H308" s="1">
        <f ca="1">IFERROR(__xludf.DUMMYFUNCTION("""COMPUTED_VALUE"""),111.3)</f>
        <v>111.3</v>
      </c>
      <c r="I308" s="1">
        <f ca="1">IFERROR(__xludf.DUMMYFUNCTION("""COMPUTED_VALUE"""),304)</f>
        <v>304</v>
      </c>
      <c r="J308" s="1">
        <f ca="1">IFERROR(__xludf.DUMMYFUNCTION("""COMPUTED_VALUE"""),67.9)</f>
        <v>67.900000000000006</v>
      </c>
      <c r="K308" s="1">
        <f ca="1">IFERROR(__xludf.DUMMYFUNCTION("""COMPUTED_VALUE"""),71)</f>
        <v>71</v>
      </c>
      <c r="L308" s="1" t="str">
        <f ca="1">IFERROR(__xludf.DUMMYFUNCTION("""COMPUTED_VALUE"""),"+.023")</f>
        <v>+.023</v>
      </c>
      <c r="M308" s="1">
        <f ca="1">IFERROR(__xludf.DUMMYFUNCTION("""COMPUTED_VALUE"""),109)</f>
        <v>109</v>
      </c>
      <c r="N308" s="1">
        <f ca="1">IFERROR(__xludf.DUMMYFUNCTION("""COMPUTED_VALUE"""),-4.42)</f>
        <v>-4.42</v>
      </c>
      <c r="O308" s="1">
        <f ca="1">IFERROR(__xludf.DUMMYFUNCTION("""COMPUTED_VALUE"""),242)</f>
        <v>242</v>
      </c>
      <c r="P308" s="1">
        <f ca="1">IFERROR(__xludf.DUMMYFUNCTION("""COMPUTED_VALUE"""),99.5)</f>
        <v>99.5</v>
      </c>
      <c r="Q308" s="1">
        <f ca="1">IFERROR(__xludf.DUMMYFUNCTION("""COMPUTED_VALUE"""),281)</f>
        <v>281</v>
      </c>
      <c r="R308" s="1">
        <f ca="1">IFERROR(__xludf.DUMMYFUNCTION("""COMPUTED_VALUE"""),103.9)</f>
        <v>103.9</v>
      </c>
      <c r="S308" s="1">
        <f ca="1">IFERROR(__xludf.DUMMYFUNCTION("""COMPUTED_VALUE"""),180)</f>
        <v>180</v>
      </c>
      <c r="T308" s="1" t="str">
        <f ca="1">IFERROR(__xludf.DUMMYFUNCTION("""COMPUTED_VALUE"""),"+0.69")</f>
        <v>+0.69</v>
      </c>
      <c r="U308" s="1">
        <f ca="1">IFERROR(__xludf.DUMMYFUNCTION("""COMPUTED_VALUE"""),138)</f>
        <v>138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IFERROR(__xludf.DUMMYFUNCTION("""COMPUTED_VALUE"""),"Maine")</f>
        <v>Maine</v>
      </c>
      <c r="C309" s="1" t="str">
        <f ca="1">IFERROR(__xludf.DUMMYFUNCTION("""COMPUTED_VALUE"""),"AE")</f>
        <v>AE</v>
      </c>
      <c r="D309" s="2">
        <f ca="1">IFERROR(__xludf.DUMMYFUNCTION("""COMPUTED_VALUE"""),44911)</f>
        <v>44911</v>
      </c>
      <c r="E309" s="1">
        <f ca="1">IFERROR(__xludf.DUMMYFUNCTION("""COMPUTED_VALUE"""),-13.93)</f>
        <v>-13.93</v>
      </c>
      <c r="F309" s="1">
        <f ca="1">IFERROR(__xludf.DUMMYFUNCTION("""COMPUTED_VALUE"""),95.3)</f>
        <v>95.3</v>
      </c>
      <c r="G309" s="1">
        <f ca="1">IFERROR(__xludf.DUMMYFUNCTION("""COMPUTED_VALUE"""),287)</f>
        <v>287</v>
      </c>
      <c r="H309" s="1">
        <f ca="1">IFERROR(__xludf.DUMMYFUNCTION("""COMPUTED_VALUE"""),109.2)</f>
        <v>109.2</v>
      </c>
      <c r="I309" s="1">
        <f ca="1">IFERROR(__xludf.DUMMYFUNCTION("""COMPUTED_VALUE"""),277)</f>
        <v>277</v>
      </c>
      <c r="J309" s="1">
        <f ca="1">IFERROR(__xludf.DUMMYFUNCTION("""COMPUTED_VALUE"""),65.4)</f>
        <v>65.400000000000006</v>
      </c>
      <c r="K309" s="1">
        <f ca="1">IFERROR(__xludf.DUMMYFUNCTION("""COMPUTED_VALUE"""),159)</f>
        <v>159</v>
      </c>
      <c r="L309" s="1" t="str">
        <f ca="1">IFERROR(__xludf.DUMMYFUNCTION("""COMPUTED_VALUE"""),"+.029")</f>
        <v>+.029</v>
      </c>
      <c r="M309" s="1">
        <f ca="1">IFERROR(__xludf.DUMMYFUNCTION("""COMPUTED_VALUE"""),96)</f>
        <v>96</v>
      </c>
      <c r="N309" s="1">
        <f ca="1">IFERROR(__xludf.DUMMYFUNCTION("""COMPUTED_VALUE"""),-6.37)</f>
        <v>-6.37</v>
      </c>
      <c r="O309" s="1">
        <f ca="1">IFERROR(__xludf.DUMMYFUNCTION("""COMPUTED_VALUE"""),277)</f>
        <v>277</v>
      </c>
      <c r="P309" s="1">
        <f ca="1">IFERROR(__xludf.DUMMYFUNCTION("""COMPUTED_VALUE"""),99.1)</f>
        <v>99.1</v>
      </c>
      <c r="Q309" s="1">
        <f ca="1">IFERROR(__xludf.DUMMYFUNCTION("""COMPUTED_VALUE"""),288)</f>
        <v>288</v>
      </c>
      <c r="R309" s="1">
        <f ca="1">IFERROR(__xludf.DUMMYFUNCTION("""COMPUTED_VALUE"""),105.5)</f>
        <v>105.5</v>
      </c>
      <c r="S309" s="1">
        <f ca="1">IFERROR(__xludf.DUMMYFUNCTION("""COMPUTED_VALUE"""),257)</f>
        <v>257</v>
      </c>
      <c r="T309" s="1">
        <f ca="1">IFERROR(__xludf.DUMMYFUNCTION("""COMPUTED_VALUE"""),-5.41)</f>
        <v>-5.41</v>
      </c>
      <c r="U309" s="1">
        <f ca="1">IFERROR(__xludf.DUMMYFUNCTION("""COMPUTED_VALUE"""),286)</f>
        <v>286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IFERROR(__xludf.DUMMYFUNCTION("""COMPUTED_VALUE"""),"Bethune Cookman")</f>
        <v>Bethune Cookman</v>
      </c>
      <c r="C310" s="1" t="str">
        <f ca="1">IFERROR(__xludf.DUMMYFUNCTION("""COMPUTED_VALUE"""),"MEAC")</f>
        <v>MEAC</v>
      </c>
      <c r="D310" s="1" t="str">
        <f ca="1">IFERROR(__xludf.DUMMYFUNCTION("""COMPUTED_VALUE"""),"15-15")</f>
        <v>15-15</v>
      </c>
      <c r="E310" s="1">
        <f ca="1">IFERROR(__xludf.DUMMYFUNCTION("""COMPUTED_VALUE"""),-14.02)</f>
        <v>-14.02</v>
      </c>
      <c r="F310" s="1">
        <f ca="1">IFERROR(__xludf.DUMMYFUNCTION("""COMPUTED_VALUE"""),95.3)</f>
        <v>95.3</v>
      </c>
      <c r="G310" s="1">
        <f ca="1">IFERROR(__xludf.DUMMYFUNCTION("""COMPUTED_VALUE"""),286)</f>
        <v>286</v>
      </c>
      <c r="H310" s="1">
        <f ca="1">IFERROR(__xludf.DUMMYFUNCTION("""COMPUTED_VALUE"""),109.3)</f>
        <v>109.3</v>
      </c>
      <c r="I310" s="1">
        <f ca="1">IFERROR(__xludf.DUMMYFUNCTION("""COMPUTED_VALUE"""),280)</f>
        <v>280</v>
      </c>
      <c r="J310" s="1">
        <f ca="1">IFERROR(__xludf.DUMMYFUNCTION("""COMPUTED_VALUE"""),66.4)</f>
        <v>66.400000000000006</v>
      </c>
      <c r="K310" s="1">
        <f ca="1">IFERROR(__xludf.DUMMYFUNCTION("""COMPUTED_VALUE"""),119)</f>
        <v>119</v>
      </c>
      <c r="L310" s="1" t="str">
        <f ca="1">IFERROR(__xludf.DUMMYFUNCTION("""COMPUTED_VALUE"""),"+.085")</f>
        <v>+.085</v>
      </c>
      <c r="M310" s="1">
        <f ca="1">IFERROR(__xludf.DUMMYFUNCTION("""COMPUTED_VALUE"""),18)</f>
        <v>18</v>
      </c>
      <c r="N310" s="1">
        <f ca="1">IFERROR(__xludf.DUMMYFUNCTION("""COMPUTED_VALUE"""),-11.65)</f>
        <v>-11.65</v>
      </c>
      <c r="O310" s="1">
        <f ca="1">IFERROR(__xludf.DUMMYFUNCTION("""COMPUTED_VALUE"""),332)</f>
        <v>332</v>
      </c>
      <c r="P310" s="1">
        <f ca="1">IFERROR(__xludf.DUMMYFUNCTION("""COMPUTED_VALUE"""),94.5)</f>
        <v>94.5</v>
      </c>
      <c r="Q310" s="1">
        <f ca="1">IFERROR(__xludf.DUMMYFUNCTION("""COMPUTED_VALUE"""),331)</f>
        <v>331</v>
      </c>
      <c r="R310" s="1">
        <f ca="1">IFERROR(__xludf.DUMMYFUNCTION("""COMPUTED_VALUE"""),106.2)</f>
        <v>106.2</v>
      </c>
      <c r="S310" s="1">
        <f ca="1">IFERROR(__xludf.DUMMYFUNCTION("""COMPUTED_VALUE"""),286)</f>
        <v>286</v>
      </c>
      <c r="T310" s="1" t="str">
        <f ca="1">IFERROR(__xludf.DUMMYFUNCTION("""COMPUTED_VALUE"""),"+2.58")</f>
        <v>+2.58</v>
      </c>
      <c r="U310" s="1">
        <f ca="1">IFERROR(__xludf.DUMMYFUNCTION("""COMPUTED_VALUE"""),84)</f>
        <v>84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IFERROR(__xludf.DUMMYFUNCTION("""COMPUTED_VALUE"""),"UNC Asheville")</f>
        <v>UNC Asheville</v>
      </c>
      <c r="C311" s="1" t="str">
        <f ca="1">IFERROR(__xludf.DUMMYFUNCTION("""COMPUTED_VALUE"""),"BSth")</f>
        <v>BSth</v>
      </c>
      <c r="D311" s="2">
        <f ca="1">IFERROR(__xludf.DUMMYFUNCTION("""COMPUTED_VALUE"""),44823)</f>
        <v>44823</v>
      </c>
      <c r="E311" s="1">
        <f ca="1">IFERROR(__xludf.DUMMYFUNCTION("""COMPUTED_VALUE"""),-14.03)</f>
        <v>-14.03</v>
      </c>
      <c r="F311" s="1">
        <f ca="1">IFERROR(__xludf.DUMMYFUNCTION("""COMPUTED_VALUE"""),97)</f>
        <v>97</v>
      </c>
      <c r="G311" s="1">
        <f ca="1">IFERROR(__xludf.DUMMYFUNCTION("""COMPUTED_VALUE"""),262)</f>
        <v>262</v>
      </c>
      <c r="H311" s="1">
        <f ca="1">IFERROR(__xludf.DUMMYFUNCTION("""COMPUTED_VALUE"""),111.1)</f>
        <v>111.1</v>
      </c>
      <c r="I311" s="1">
        <f ca="1">IFERROR(__xludf.DUMMYFUNCTION("""COMPUTED_VALUE"""),300)</f>
        <v>300</v>
      </c>
      <c r="J311" s="1">
        <f ca="1">IFERROR(__xludf.DUMMYFUNCTION("""COMPUTED_VALUE"""),67.5)</f>
        <v>67.5</v>
      </c>
      <c r="K311" s="1">
        <f ca="1">IFERROR(__xludf.DUMMYFUNCTION("""COMPUTED_VALUE"""),88)</f>
        <v>88</v>
      </c>
      <c r="L311" s="1" t="str">
        <f ca="1">IFERROR(__xludf.DUMMYFUNCTION("""COMPUTED_VALUE"""),"+.060")</f>
        <v>+.060</v>
      </c>
      <c r="M311" s="1">
        <f ca="1">IFERROR(__xludf.DUMMYFUNCTION("""COMPUTED_VALUE"""),43)</f>
        <v>43</v>
      </c>
      <c r="N311" s="1">
        <f ca="1">IFERROR(__xludf.DUMMYFUNCTION("""COMPUTED_VALUE"""),-1.28)</f>
        <v>-1.28</v>
      </c>
      <c r="O311" s="1">
        <f ca="1">IFERROR(__xludf.DUMMYFUNCTION("""COMPUTED_VALUE"""),186)</f>
        <v>186</v>
      </c>
      <c r="P311" s="1">
        <f ca="1">IFERROR(__xludf.DUMMYFUNCTION("""COMPUTED_VALUE"""),103.7)</f>
        <v>103.7</v>
      </c>
      <c r="Q311" s="1">
        <f ca="1">IFERROR(__xludf.DUMMYFUNCTION("""COMPUTED_VALUE"""),138)</f>
        <v>138</v>
      </c>
      <c r="R311" s="1">
        <f ca="1">IFERROR(__xludf.DUMMYFUNCTION("""COMPUTED_VALUE"""),105)</f>
        <v>105</v>
      </c>
      <c r="S311" s="1">
        <f ca="1">IFERROR(__xludf.DUMMYFUNCTION("""COMPUTED_VALUE"""),225)</f>
        <v>225</v>
      </c>
      <c r="T311" s="1" t="str">
        <f ca="1">IFERROR(__xludf.DUMMYFUNCTION("""COMPUTED_VALUE"""),"+10.17")</f>
        <v>+10.17</v>
      </c>
      <c r="U311" s="1">
        <f ca="1">IFERROR(__xludf.DUMMYFUNCTION("""COMPUTED_VALUE"""),11)</f>
        <v>11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IFERROR(__xludf.DUMMYFUNCTION("""COMPUTED_VALUE"""),"Brown")</f>
        <v>Brown</v>
      </c>
      <c r="C312" s="1" t="str">
        <f ca="1">IFERROR(__xludf.DUMMYFUNCTION("""COMPUTED_VALUE"""),"Ivy")</f>
        <v>Ivy</v>
      </c>
      <c r="D312" s="2">
        <f ca="1">IFERROR(__xludf.DUMMYFUNCTION("""COMPUTED_VALUE"""),44851)</f>
        <v>44851</v>
      </c>
      <c r="E312" s="1">
        <f ca="1">IFERROR(__xludf.DUMMYFUNCTION("""COMPUTED_VALUE"""),-14.18)</f>
        <v>-14.18</v>
      </c>
      <c r="F312" s="1">
        <f ca="1">IFERROR(__xludf.DUMMYFUNCTION("""COMPUTED_VALUE"""),91.3)</f>
        <v>91.3</v>
      </c>
      <c r="G312" s="1">
        <f ca="1">IFERROR(__xludf.DUMMYFUNCTION("""COMPUTED_VALUE"""),319)</f>
        <v>319</v>
      </c>
      <c r="H312" s="1">
        <f ca="1">IFERROR(__xludf.DUMMYFUNCTION("""COMPUTED_VALUE"""),105.5)</f>
        <v>105.5</v>
      </c>
      <c r="I312" s="1">
        <f ca="1">IFERROR(__xludf.DUMMYFUNCTION("""COMPUTED_VALUE"""),207)</f>
        <v>207</v>
      </c>
      <c r="J312" s="1">
        <f ca="1">IFERROR(__xludf.DUMMYFUNCTION("""COMPUTED_VALUE"""),63.8)</f>
        <v>63.8</v>
      </c>
      <c r="K312" s="1">
        <f ca="1">IFERROR(__xludf.DUMMYFUNCTION("""COMPUTED_VALUE"""),241)</f>
        <v>241</v>
      </c>
      <c r="L312" s="1" t="str">
        <f ca="1">IFERROR(__xludf.DUMMYFUNCTION("""COMPUTED_VALUE"""),"+.038")</f>
        <v>+.038</v>
      </c>
      <c r="M312" s="1">
        <f ca="1">IFERROR(__xludf.DUMMYFUNCTION("""COMPUTED_VALUE"""),75)</f>
        <v>75</v>
      </c>
      <c r="N312" s="1">
        <f ca="1">IFERROR(__xludf.DUMMYFUNCTION("""COMPUTED_VALUE"""),-7.85)</f>
        <v>-7.85</v>
      </c>
      <c r="O312" s="1">
        <f ca="1">IFERROR(__xludf.DUMMYFUNCTION("""COMPUTED_VALUE"""),304)</f>
        <v>304</v>
      </c>
      <c r="P312" s="1">
        <f ca="1">IFERROR(__xludf.DUMMYFUNCTION("""COMPUTED_VALUE"""),98.4)</f>
        <v>98.4</v>
      </c>
      <c r="Q312" s="1">
        <f ca="1">IFERROR(__xludf.DUMMYFUNCTION("""COMPUTED_VALUE"""),301)</f>
        <v>301</v>
      </c>
      <c r="R312" s="1">
        <f ca="1">IFERROR(__xludf.DUMMYFUNCTION("""COMPUTED_VALUE"""),106.2)</f>
        <v>106.2</v>
      </c>
      <c r="S312" s="1">
        <f ca="1">IFERROR(__xludf.DUMMYFUNCTION("""COMPUTED_VALUE"""),287)</f>
        <v>287</v>
      </c>
      <c r="T312" s="1">
        <f ca="1">IFERROR(__xludf.DUMMYFUNCTION("""COMPUTED_VALUE"""),-6.54)</f>
        <v>-6.54</v>
      </c>
      <c r="U312" s="1">
        <f ca="1">IFERROR(__xludf.DUMMYFUNCTION("""COMPUTED_VALUE"""),299)</f>
        <v>299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IFERROR(__xludf.DUMMYFUNCTION("""COMPUTED_VALUE"""),"Columbia")</f>
        <v>Columbia</v>
      </c>
      <c r="C313" s="1" t="str">
        <f ca="1">IFERROR(__xludf.DUMMYFUNCTION("""COMPUTED_VALUE"""),"Ivy")</f>
        <v>Ivy</v>
      </c>
      <c r="D313" s="2">
        <f ca="1">IFERROR(__xludf.DUMMYFUNCTION("""COMPUTED_VALUE"""),44881)</f>
        <v>44881</v>
      </c>
      <c r="E313" s="1">
        <f ca="1">IFERROR(__xludf.DUMMYFUNCTION("""COMPUTED_VALUE"""),-14.65)</f>
        <v>-14.65</v>
      </c>
      <c r="F313" s="1">
        <f ca="1">IFERROR(__xludf.DUMMYFUNCTION("""COMPUTED_VALUE"""),97)</f>
        <v>97</v>
      </c>
      <c r="G313" s="1">
        <f ca="1">IFERROR(__xludf.DUMMYFUNCTION("""COMPUTED_VALUE"""),263)</f>
        <v>263</v>
      </c>
      <c r="H313" s="1">
        <f ca="1">IFERROR(__xludf.DUMMYFUNCTION("""COMPUTED_VALUE"""),111.7)</f>
        <v>111.7</v>
      </c>
      <c r="I313" s="1">
        <f ca="1">IFERROR(__xludf.DUMMYFUNCTION("""COMPUTED_VALUE"""),310)</f>
        <v>310</v>
      </c>
      <c r="J313" s="1">
        <f ca="1">IFERROR(__xludf.DUMMYFUNCTION("""COMPUTED_VALUE"""),64.7)</f>
        <v>64.7</v>
      </c>
      <c r="K313" s="1">
        <f ca="1">IFERROR(__xludf.DUMMYFUNCTION("""COMPUTED_VALUE"""),199)</f>
        <v>199</v>
      </c>
      <c r="L313" s="1" t="str">
        <f ca="1">IFERROR(__xludf.DUMMYFUNCTION("""COMPUTED_VALUE"""),"+.068")</f>
        <v>+.068</v>
      </c>
      <c r="M313" s="1">
        <f ca="1">IFERROR(__xludf.DUMMYFUNCTION("""COMPUTED_VALUE"""),33)</f>
        <v>33</v>
      </c>
      <c r="N313" s="1">
        <f ca="1">IFERROR(__xludf.DUMMYFUNCTION("""COMPUTED_VALUE"""),-8.1)</f>
        <v>-8.1</v>
      </c>
      <c r="O313" s="1">
        <f ca="1">IFERROR(__xludf.DUMMYFUNCTION("""COMPUTED_VALUE"""),307)</f>
        <v>307</v>
      </c>
      <c r="P313" s="1">
        <f ca="1">IFERROR(__xludf.DUMMYFUNCTION("""COMPUTED_VALUE"""),97.6)</f>
        <v>97.6</v>
      </c>
      <c r="Q313" s="1">
        <f ca="1">IFERROR(__xludf.DUMMYFUNCTION("""COMPUTED_VALUE"""),313)</f>
        <v>313</v>
      </c>
      <c r="R313" s="1">
        <f ca="1">IFERROR(__xludf.DUMMYFUNCTION("""COMPUTED_VALUE"""),105.7)</f>
        <v>105.7</v>
      </c>
      <c r="S313" s="1">
        <f ca="1">IFERROR(__xludf.DUMMYFUNCTION("""COMPUTED_VALUE"""),261)</f>
        <v>261</v>
      </c>
      <c r="T313" s="1">
        <f ca="1">IFERROR(__xludf.DUMMYFUNCTION("""COMPUTED_VALUE"""),-7.06)</f>
        <v>-7.06</v>
      </c>
      <c r="U313" s="1">
        <f ca="1">IFERROR(__xludf.DUMMYFUNCTION("""COMPUTED_VALUE"""),307)</f>
        <v>307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IFERROR(__xludf.DUMMYFUNCTION("""COMPUTED_VALUE"""),"Western Illinois")</f>
        <v>Western Illinois</v>
      </c>
      <c r="C314" s="1" t="str">
        <f ca="1">IFERROR(__xludf.DUMMYFUNCTION("""COMPUTED_VALUE"""),"MCon")</f>
        <v>MCon</v>
      </c>
      <c r="D314" s="2">
        <f ca="1">IFERROR(__xludf.DUMMYFUNCTION("""COMPUTED_VALUE"""),44763)</f>
        <v>44763</v>
      </c>
      <c r="E314" s="1">
        <f ca="1">IFERROR(__xludf.DUMMYFUNCTION("""COMPUTED_VALUE"""),-14.8)</f>
        <v>-14.8</v>
      </c>
      <c r="F314" s="1">
        <f ca="1">IFERROR(__xludf.DUMMYFUNCTION("""COMPUTED_VALUE"""),94.8)</f>
        <v>94.8</v>
      </c>
      <c r="G314" s="1">
        <f ca="1">IFERROR(__xludf.DUMMYFUNCTION("""COMPUTED_VALUE"""),288)</f>
        <v>288</v>
      </c>
      <c r="H314" s="1">
        <f ca="1">IFERROR(__xludf.DUMMYFUNCTION("""COMPUTED_VALUE"""),109.6)</f>
        <v>109.6</v>
      </c>
      <c r="I314" s="1">
        <f ca="1">IFERROR(__xludf.DUMMYFUNCTION("""COMPUTED_VALUE"""),287)</f>
        <v>287</v>
      </c>
      <c r="J314" s="1">
        <f ca="1">IFERROR(__xludf.DUMMYFUNCTION("""COMPUTED_VALUE"""),65.1)</f>
        <v>65.099999999999994</v>
      </c>
      <c r="K314" s="1">
        <f ca="1">IFERROR(__xludf.DUMMYFUNCTION("""COMPUTED_VALUE"""),175)</f>
        <v>175</v>
      </c>
      <c r="L314" s="1">
        <f ca="1">IFERROR(__xludf.DUMMYFUNCTION("""COMPUTED_VALUE"""),-0.01)</f>
        <v>-0.01</v>
      </c>
      <c r="M314" s="1">
        <f ca="1">IFERROR(__xludf.DUMMYFUNCTION("""COMPUTED_VALUE"""),192)</f>
        <v>192</v>
      </c>
      <c r="N314" s="1">
        <f ca="1">IFERROR(__xludf.DUMMYFUNCTION("""COMPUTED_VALUE"""),-3.65)</f>
        <v>-3.65</v>
      </c>
      <c r="O314" s="1">
        <f ca="1">IFERROR(__xludf.DUMMYFUNCTION("""COMPUTED_VALUE"""),225)</f>
        <v>225</v>
      </c>
      <c r="P314" s="1">
        <f ca="1">IFERROR(__xludf.DUMMYFUNCTION("""COMPUTED_VALUE"""),103.3)</f>
        <v>103.3</v>
      </c>
      <c r="Q314" s="1">
        <f ca="1">IFERROR(__xludf.DUMMYFUNCTION("""COMPUTED_VALUE"""),159)</f>
        <v>159</v>
      </c>
      <c r="R314" s="1">
        <f ca="1">IFERROR(__xludf.DUMMYFUNCTION("""COMPUTED_VALUE"""),106.9)</f>
        <v>106.9</v>
      </c>
      <c r="S314" s="1">
        <f ca="1">IFERROR(__xludf.DUMMYFUNCTION("""COMPUTED_VALUE"""),308)</f>
        <v>308</v>
      </c>
      <c r="T314" s="1" t="str">
        <f ca="1">IFERROR(__xludf.DUMMYFUNCTION("""COMPUTED_VALUE"""),"+2.80")</f>
        <v>+2.80</v>
      </c>
      <c r="U314" s="1">
        <f ca="1">IFERROR(__xludf.DUMMYFUNCTION("""COMPUTED_VALUE"""),82)</f>
        <v>82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IFERROR(__xludf.DUMMYFUNCTION("""COMPUTED_VALUE"""),"South Dakota St.")</f>
        <v>South Dakota St.</v>
      </c>
      <c r="C315" s="1" t="str">
        <f ca="1">IFERROR(__xludf.DUMMYFUNCTION("""COMPUTED_VALUE"""),"ind")</f>
        <v>ind</v>
      </c>
      <c r="D315" s="2">
        <f ca="1">IFERROR(__xludf.DUMMYFUNCTION("""COMPUTED_VALUE"""),44824)</f>
        <v>44824</v>
      </c>
      <c r="E315" s="1">
        <f ca="1">IFERROR(__xludf.DUMMYFUNCTION("""COMPUTED_VALUE"""),-15.04)</f>
        <v>-15.04</v>
      </c>
      <c r="F315" s="1">
        <f ca="1">IFERROR(__xludf.DUMMYFUNCTION("""COMPUTED_VALUE"""),91.6)</f>
        <v>91.6</v>
      </c>
      <c r="G315" s="1">
        <f ca="1">IFERROR(__xludf.DUMMYFUNCTION("""COMPUTED_VALUE"""),316)</f>
        <v>316</v>
      </c>
      <c r="H315" s="1">
        <f ca="1">IFERROR(__xludf.DUMMYFUNCTION("""COMPUTED_VALUE"""),106.7)</f>
        <v>106.7</v>
      </c>
      <c r="I315" s="1">
        <f ca="1">IFERROR(__xludf.DUMMYFUNCTION("""COMPUTED_VALUE"""),234)</f>
        <v>234</v>
      </c>
      <c r="J315" s="1">
        <f ca="1">IFERROR(__xludf.DUMMYFUNCTION("""COMPUTED_VALUE"""),67.2)</f>
        <v>67.2</v>
      </c>
      <c r="K315" s="1">
        <f ca="1">IFERROR(__xludf.DUMMYFUNCTION("""COMPUTED_VALUE"""),96)</f>
        <v>96</v>
      </c>
      <c r="L315" s="1" t="str">
        <f ca="1">IFERROR(__xludf.DUMMYFUNCTION("""COMPUTED_VALUE"""),"+.067")</f>
        <v>+.067</v>
      </c>
      <c r="M315" s="1">
        <f ca="1">IFERROR(__xludf.DUMMYFUNCTION("""COMPUTED_VALUE"""),34)</f>
        <v>34</v>
      </c>
      <c r="N315" s="1">
        <f ca="1">IFERROR(__xludf.DUMMYFUNCTION("""COMPUTED_VALUE"""),-0.24)</f>
        <v>-0.24</v>
      </c>
      <c r="O315" s="1">
        <f ca="1">IFERROR(__xludf.DUMMYFUNCTION("""COMPUTED_VALUE"""),166)</f>
        <v>166</v>
      </c>
      <c r="P315" s="1">
        <f ca="1">IFERROR(__xludf.DUMMYFUNCTION("""COMPUTED_VALUE"""),104.2)</f>
        <v>104.2</v>
      </c>
      <c r="Q315" s="1">
        <f ca="1">IFERROR(__xludf.DUMMYFUNCTION("""COMPUTED_VALUE"""),120)</f>
        <v>120</v>
      </c>
      <c r="R315" s="1">
        <f ca="1">IFERROR(__xludf.DUMMYFUNCTION("""COMPUTED_VALUE"""),104.4)</f>
        <v>104.4</v>
      </c>
      <c r="S315" s="1">
        <f ca="1">IFERROR(__xludf.DUMMYFUNCTION("""COMPUTED_VALUE"""),203)</f>
        <v>203</v>
      </c>
      <c r="T315" s="1" t="str">
        <f ca="1">IFERROR(__xludf.DUMMYFUNCTION("""COMPUTED_VALUE"""),"+5.19")</f>
        <v>+5.19</v>
      </c>
      <c r="U315" s="1">
        <f ca="1">IFERROR(__xludf.DUMMYFUNCTION("""COMPUTED_VALUE"""),46)</f>
        <v>46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IFERROR(__xludf.DUMMYFUNCTION("""COMPUTED_VALUE"""),"Central Michigan")</f>
        <v>Central Michigan</v>
      </c>
      <c r="C316" s="1" t="str">
        <f ca="1">IFERROR(__xludf.DUMMYFUNCTION("""COMPUTED_VALUE"""),"MAC")</f>
        <v>MAC</v>
      </c>
      <c r="D316" s="2">
        <f ca="1">IFERROR(__xludf.DUMMYFUNCTION("""COMPUTED_VALUE"""),44675)</f>
        <v>44675</v>
      </c>
      <c r="E316" s="1">
        <f ca="1">IFERROR(__xludf.DUMMYFUNCTION("""COMPUTED_VALUE"""),-15.05)</f>
        <v>-15.05</v>
      </c>
      <c r="F316" s="1">
        <f ca="1">IFERROR(__xludf.DUMMYFUNCTION("""COMPUTED_VALUE"""),89.1)</f>
        <v>89.1</v>
      </c>
      <c r="G316" s="1">
        <f ca="1">IFERROR(__xludf.DUMMYFUNCTION("""COMPUTED_VALUE"""),327)</f>
        <v>327</v>
      </c>
      <c r="H316" s="1">
        <f ca="1">IFERROR(__xludf.DUMMYFUNCTION("""COMPUTED_VALUE"""),104.1)</f>
        <v>104.1</v>
      </c>
      <c r="I316" s="1">
        <f ca="1">IFERROR(__xludf.DUMMYFUNCTION("""COMPUTED_VALUE"""),188)</f>
        <v>188</v>
      </c>
      <c r="J316" s="1">
        <f ca="1">IFERROR(__xludf.DUMMYFUNCTION("""COMPUTED_VALUE"""),66.3)</f>
        <v>66.3</v>
      </c>
      <c r="K316" s="1">
        <f ca="1">IFERROR(__xludf.DUMMYFUNCTION("""COMPUTED_VALUE"""),123)</f>
        <v>123</v>
      </c>
      <c r="L316" s="1">
        <f ca="1">IFERROR(__xludf.DUMMYFUNCTION("""COMPUTED_VALUE"""),-0.045)</f>
        <v>-4.4999999999999998E-2</v>
      </c>
      <c r="M316" s="1">
        <f ca="1">IFERROR(__xludf.DUMMYFUNCTION("""COMPUTED_VALUE"""),276)</f>
        <v>276</v>
      </c>
      <c r="N316" s="1" t="str">
        <f ca="1">IFERROR(__xludf.DUMMYFUNCTION("""COMPUTED_VALUE"""),"+0.23")</f>
        <v>+0.23</v>
      </c>
      <c r="O316" s="1">
        <f ca="1">IFERROR(__xludf.DUMMYFUNCTION("""COMPUTED_VALUE"""),155)</f>
        <v>155</v>
      </c>
      <c r="P316" s="1">
        <f ca="1">IFERROR(__xludf.DUMMYFUNCTION("""COMPUTED_VALUE"""),102.8)</f>
        <v>102.8</v>
      </c>
      <c r="Q316" s="1">
        <f ca="1">IFERROR(__xludf.DUMMYFUNCTION("""COMPUTED_VALUE"""),171)</f>
        <v>171</v>
      </c>
      <c r="R316" s="1">
        <f ca="1">IFERROR(__xludf.DUMMYFUNCTION("""COMPUTED_VALUE"""),102.6)</f>
        <v>102.6</v>
      </c>
      <c r="S316" s="1">
        <f ca="1">IFERROR(__xludf.DUMMYFUNCTION("""COMPUTED_VALUE"""),148)</f>
        <v>148</v>
      </c>
      <c r="T316" s="1">
        <f ca="1">IFERROR(__xludf.DUMMYFUNCTION("""COMPUTED_VALUE"""),-1.33)</f>
        <v>-1.33</v>
      </c>
      <c r="U316" s="1">
        <f ca="1">IFERROR(__xludf.DUMMYFUNCTION("""COMPUTED_VALUE"""),193)</f>
        <v>193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IFERROR(__xludf.DUMMYFUNCTION("""COMPUTED_VALUE"""),"Duquesne")</f>
        <v>Duquesne</v>
      </c>
      <c r="C317" s="1" t="str">
        <f ca="1">IFERROR(__xludf.DUMMYFUNCTION("""COMPUTED_VALUE"""),"A10")</f>
        <v>A10</v>
      </c>
      <c r="D317" s="2">
        <f ca="1">IFERROR(__xludf.DUMMYFUNCTION("""COMPUTED_VALUE"""),44644)</f>
        <v>44644</v>
      </c>
      <c r="E317" s="1">
        <f ca="1">IFERROR(__xludf.DUMMYFUNCTION("""COMPUTED_VALUE"""),-15.17)</f>
        <v>-15.17</v>
      </c>
      <c r="F317" s="1">
        <f ca="1">IFERROR(__xludf.DUMMYFUNCTION("""COMPUTED_VALUE"""),99.7)</f>
        <v>99.7</v>
      </c>
      <c r="G317" s="1">
        <f ca="1">IFERROR(__xludf.DUMMYFUNCTION("""COMPUTED_VALUE"""),222)</f>
        <v>222</v>
      </c>
      <c r="H317" s="1">
        <f ca="1">IFERROR(__xludf.DUMMYFUNCTION("""COMPUTED_VALUE"""),114.9)</f>
        <v>114.9</v>
      </c>
      <c r="I317" s="1">
        <f ca="1">IFERROR(__xludf.DUMMYFUNCTION("""COMPUTED_VALUE"""),327)</f>
        <v>327</v>
      </c>
      <c r="J317" s="1">
        <f ca="1">IFERROR(__xludf.DUMMYFUNCTION("""COMPUTED_VALUE"""),67.1)</f>
        <v>67.099999999999994</v>
      </c>
      <c r="K317" s="1">
        <f ca="1">IFERROR(__xludf.DUMMYFUNCTION("""COMPUTED_VALUE"""),98)</f>
        <v>98</v>
      </c>
      <c r="L317" s="1">
        <f ca="1">IFERROR(__xludf.DUMMYFUNCTION("""COMPUTED_VALUE"""),-0.06)</f>
        <v>-0.06</v>
      </c>
      <c r="M317" s="1">
        <f ca="1">IFERROR(__xludf.DUMMYFUNCTION("""COMPUTED_VALUE"""),291)</f>
        <v>291</v>
      </c>
      <c r="N317" s="1" t="str">
        <f ca="1">IFERROR(__xludf.DUMMYFUNCTION("""COMPUTED_VALUE"""),"+1.75")</f>
        <v>+1.75</v>
      </c>
      <c r="O317" s="1">
        <f ca="1">IFERROR(__xludf.DUMMYFUNCTION("""COMPUTED_VALUE"""),122)</f>
        <v>122</v>
      </c>
      <c r="P317" s="1">
        <f ca="1">IFERROR(__xludf.DUMMYFUNCTION("""COMPUTED_VALUE"""),104.3)</f>
        <v>104.3</v>
      </c>
      <c r="Q317" s="1">
        <f ca="1">IFERROR(__xludf.DUMMYFUNCTION("""COMPUTED_VALUE"""),110)</f>
        <v>110</v>
      </c>
      <c r="R317" s="1">
        <f ca="1">IFERROR(__xludf.DUMMYFUNCTION("""COMPUTED_VALUE"""),102.6)</f>
        <v>102.6</v>
      </c>
      <c r="S317" s="1">
        <f ca="1">IFERROR(__xludf.DUMMYFUNCTION("""COMPUTED_VALUE"""),149)</f>
        <v>149</v>
      </c>
      <c r="T317" s="1">
        <f ca="1">IFERROR(__xludf.DUMMYFUNCTION("""COMPUTED_VALUE"""),-2.92)</f>
        <v>-2.92</v>
      </c>
      <c r="U317" s="1">
        <f ca="1">IFERROR(__xludf.DUMMYFUNCTION("""COMPUTED_VALUE"""),230)</f>
        <v>230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IFERROR(__xludf.DUMMYFUNCTION("""COMPUTED_VALUE"""),"Northern Colorado")</f>
        <v>Northern Colorado</v>
      </c>
      <c r="C318" s="1" t="str">
        <f ca="1">IFERROR(__xludf.DUMMYFUNCTION("""COMPUTED_VALUE"""),"ind")</f>
        <v>ind</v>
      </c>
      <c r="D318" s="2">
        <f ca="1">IFERROR(__xludf.DUMMYFUNCTION("""COMPUTED_VALUE"""),44705)</f>
        <v>44705</v>
      </c>
      <c r="E318" s="1">
        <f ca="1">IFERROR(__xludf.DUMMYFUNCTION("""COMPUTED_VALUE"""),-15.43)</f>
        <v>-15.43</v>
      </c>
      <c r="F318" s="1">
        <f ca="1">IFERROR(__xludf.DUMMYFUNCTION("""COMPUTED_VALUE"""),100.3)</f>
        <v>100.3</v>
      </c>
      <c r="G318" s="1">
        <f ca="1">IFERROR(__xludf.DUMMYFUNCTION("""COMPUTED_VALUE"""),212)</f>
        <v>212</v>
      </c>
      <c r="H318" s="1">
        <f ca="1">IFERROR(__xludf.DUMMYFUNCTION("""COMPUTED_VALUE"""),115.8)</f>
        <v>115.8</v>
      </c>
      <c r="I318" s="1">
        <f ca="1">IFERROR(__xludf.DUMMYFUNCTION("""COMPUTED_VALUE"""),332)</f>
        <v>332</v>
      </c>
      <c r="J318" s="1">
        <f ca="1">IFERROR(__xludf.DUMMYFUNCTION("""COMPUTED_VALUE"""),65.1)</f>
        <v>65.099999999999994</v>
      </c>
      <c r="K318" s="1">
        <f ca="1">IFERROR(__xludf.DUMMYFUNCTION("""COMPUTED_VALUE"""),173)</f>
        <v>173</v>
      </c>
      <c r="L318" s="1">
        <f ca="1">IFERROR(__xludf.DUMMYFUNCTION("""COMPUTED_VALUE"""),-0.129)</f>
        <v>-0.129</v>
      </c>
      <c r="M318" s="1">
        <f ca="1">IFERROR(__xludf.DUMMYFUNCTION("""COMPUTED_VALUE"""),330)</f>
        <v>330</v>
      </c>
      <c r="N318" s="1">
        <f ca="1">IFERROR(__xludf.DUMMYFUNCTION("""COMPUTED_VALUE"""),-1.39)</f>
        <v>-1.39</v>
      </c>
      <c r="O318" s="1">
        <f ca="1">IFERROR(__xludf.DUMMYFUNCTION("""COMPUTED_VALUE"""),188)</f>
        <v>188</v>
      </c>
      <c r="P318" s="1">
        <f ca="1">IFERROR(__xludf.DUMMYFUNCTION("""COMPUTED_VALUE"""),101.5)</f>
        <v>101.5</v>
      </c>
      <c r="Q318" s="1">
        <f ca="1">IFERROR(__xludf.DUMMYFUNCTION("""COMPUTED_VALUE"""),223)</f>
        <v>223</v>
      </c>
      <c r="R318" s="1">
        <f ca="1">IFERROR(__xludf.DUMMYFUNCTION("""COMPUTED_VALUE"""),102.9)</f>
        <v>102.9</v>
      </c>
      <c r="S318" s="1">
        <f ca="1">IFERROR(__xludf.DUMMYFUNCTION("""COMPUTED_VALUE"""),154)</f>
        <v>154</v>
      </c>
      <c r="T318" s="1" t="str">
        <f ca="1">IFERROR(__xludf.DUMMYFUNCTION("""COMPUTED_VALUE"""),"+2.89")</f>
        <v>+2.89</v>
      </c>
      <c r="U318" s="1">
        <f ca="1">IFERROR(__xludf.DUMMYFUNCTION("""COMPUTED_VALUE"""),80)</f>
        <v>80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IFERROR(__xludf.DUMMYFUNCTION("""COMPUTED_VALUE"""),"UC Riverside")</f>
        <v>UC Riverside</v>
      </c>
      <c r="C319" s="1" t="str">
        <f ca="1">IFERROR(__xludf.DUMMYFUNCTION("""COMPUTED_VALUE"""),"BW")</f>
        <v>BW</v>
      </c>
      <c r="D319" s="2">
        <f ca="1">IFERROR(__xludf.DUMMYFUNCTION("""COMPUTED_VALUE"""),44704)</f>
        <v>44704</v>
      </c>
      <c r="E319" s="1">
        <f ca="1">IFERROR(__xludf.DUMMYFUNCTION("""COMPUTED_VALUE"""),-15.5)</f>
        <v>-15.5</v>
      </c>
      <c r="F319" s="1">
        <f ca="1">IFERROR(__xludf.DUMMYFUNCTION("""COMPUTED_VALUE"""),90.6)</f>
        <v>90.6</v>
      </c>
      <c r="G319" s="1">
        <f ca="1">IFERROR(__xludf.DUMMYFUNCTION("""COMPUTED_VALUE"""),325)</f>
        <v>325</v>
      </c>
      <c r="H319" s="1">
        <f ca="1">IFERROR(__xludf.DUMMYFUNCTION("""COMPUTED_VALUE"""),106.1)</f>
        <v>106.1</v>
      </c>
      <c r="I319" s="1">
        <f ca="1">IFERROR(__xludf.DUMMYFUNCTION("""COMPUTED_VALUE"""),225)</f>
        <v>225</v>
      </c>
      <c r="J319" s="1">
        <f ca="1">IFERROR(__xludf.DUMMYFUNCTION("""COMPUTED_VALUE"""),70.2)</f>
        <v>70.2</v>
      </c>
      <c r="K319" s="1">
        <f ca="1">IFERROR(__xludf.DUMMYFUNCTION("""COMPUTED_VALUE"""),22)</f>
        <v>22</v>
      </c>
      <c r="L319" s="1" t="str">
        <f ca="1">IFERROR(__xludf.DUMMYFUNCTION("""COMPUTED_VALUE"""),"+.004")</f>
        <v>+.004</v>
      </c>
      <c r="M319" s="1">
        <f ca="1">IFERROR(__xludf.DUMMYFUNCTION("""COMPUTED_VALUE"""),160)</f>
        <v>160</v>
      </c>
      <c r="N319" s="1">
        <f ca="1">IFERROR(__xludf.DUMMYFUNCTION("""COMPUTED_VALUE"""),-1.31)</f>
        <v>-1.31</v>
      </c>
      <c r="O319" s="1">
        <f ca="1">IFERROR(__xludf.DUMMYFUNCTION("""COMPUTED_VALUE"""),187)</f>
        <v>187</v>
      </c>
      <c r="P319" s="1">
        <f ca="1">IFERROR(__xludf.DUMMYFUNCTION("""COMPUTED_VALUE"""),103.3)</f>
        <v>103.3</v>
      </c>
      <c r="Q319" s="1">
        <f ca="1">IFERROR(__xludf.DUMMYFUNCTION("""COMPUTED_VALUE"""),157)</f>
        <v>157</v>
      </c>
      <c r="R319" s="1">
        <f ca="1">IFERROR(__xludf.DUMMYFUNCTION("""COMPUTED_VALUE"""),104.6)</f>
        <v>104.6</v>
      </c>
      <c r="S319" s="1">
        <f ca="1">IFERROR(__xludf.DUMMYFUNCTION("""COMPUTED_VALUE"""),208)</f>
        <v>208</v>
      </c>
      <c r="T319" s="1">
        <f ca="1">IFERROR(__xludf.DUMMYFUNCTION("""COMPUTED_VALUE"""),-1.25)</f>
        <v>-1.25</v>
      </c>
      <c r="U319" s="1">
        <f ca="1">IFERROR(__xludf.DUMMYFUNCTION("""COMPUTED_VALUE"""),186)</f>
        <v>186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IFERROR(__xludf.DUMMYFUNCTION("""COMPUTED_VALUE"""),"Navy")</f>
        <v>Navy</v>
      </c>
      <c r="C320" s="1" t="str">
        <f ca="1">IFERROR(__xludf.DUMMYFUNCTION("""COMPUTED_VALUE"""),"Pat")</f>
        <v>Pat</v>
      </c>
      <c r="D320" s="2">
        <f ca="1">IFERROR(__xludf.DUMMYFUNCTION("""COMPUTED_VALUE"""),44852)</f>
        <v>44852</v>
      </c>
      <c r="E320" s="1">
        <f ca="1">IFERROR(__xludf.DUMMYFUNCTION("""COMPUTED_VALUE"""),-15.56)</f>
        <v>-15.56</v>
      </c>
      <c r="F320" s="1">
        <f ca="1">IFERROR(__xludf.DUMMYFUNCTION("""COMPUTED_VALUE"""),93.7)</f>
        <v>93.7</v>
      </c>
      <c r="G320" s="1">
        <f ca="1">IFERROR(__xludf.DUMMYFUNCTION("""COMPUTED_VALUE"""),299)</f>
        <v>299</v>
      </c>
      <c r="H320" s="1">
        <f ca="1">IFERROR(__xludf.DUMMYFUNCTION("""COMPUTED_VALUE"""),109.2)</f>
        <v>109.2</v>
      </c>
      <c r="I320" s="1">
        <f ca="1">IFERROR(__xludf.DUMMYFUNCTION("""COMPUTED_VALUE"""),278)</f>
        <v>278</v>
      </c>
      <c r="J320" s="1">
        <f ca="1">IFERROR(__xludf.DUMMYFUNCTION("""COMPUTED_VALUE"""),69.8)</f>
        <v>69.8</v>
      </c>
      <c r="K320" s="1">
        <f ca="1">IFERROR(__xludf.DUMMYFUNCTION("""COMPUTED_VALUE"""),32)</f>
        <v>32</v>
      </c>
      <c r="L320" s="1">
        <f ca="1">IFERROR(__xludf.DUMMYFUNCTION("""COMPUTED_VALUE"""),-0.03)</f>
        <v>-0.03</v>
      </c>
      <c r="M320" s="1">
        <f ca="1">IFERROR(__xludf.DUMMYFUNCTION("""COMPUTED_VALUE"""),240)</f>
        <v>240</v>
      </c>
      <c r="N320" s="1">
        <f ca="1">IFERROR(__xludf.DUMMYFUNCTION("""COMPUTED_VALUE"""),-7.57)</f>
        <v>-7.57</v>
      </c>
      <c r="O320" s="1">
        <f ca="1">IFERROR(__xludf.DUMMYFUNCTION("""COMPUTED_VALUE"""),298)</f>
        <v>298</v>
      </c>
      <c r="P320" s="1">
        <f ca="1">IFERROR(__xludf.DUMMYFUNCTION("""COMPUTED_VALUE"""),97.2)</f>
        <v>97.2</v>
      </c>
      <c r="Q320" s="1">
        <f ca="1">IFERROR(__xludf.DUMMYFUNCTION("""COMPUTED_VALUE"""),317)</f>
        <v>317</v>
      </c>
      <c r="R320" s="1">
        <f ca="1">IFERROR(__xludf.DUMMYFUNCTION("""COMPUTED_VALUE"""),104.8)</f>
        <v>104.8</v>
      </c>
      <c r="S320" s="1">
        <f ca="1">IFERROR(__xludf.DUMMYFUNCTION("""COMPUTED_VALUE"""),216)</f>
        <v>216</v>
      </c>
      <c r="T320" s="1">
        <f ca="1">IFERROR(__xludf.DUMMYFUNCTION("""COMPUTED_VALUE"""),-9.24)</f>
        <v>-9.24</v>
      </c>
      <c r="U320" s="1">
        <f ca="1">IFERROR(__xludf.DUMMYFUNCTION("""COMPUTED_VALUE"""),322)</f>
        <v>322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IFERROR(__xludf.DUMMYFUNCTION("""COMPUTED_VALUE"""),"Grambling St.")</f>
        <v>Grambling St.</v>
      </c>
      <c r="C321" s="1" t="str">
        <f ca="1">IFERROR(__xludf.DUMMYFUNCTION("""COMPUTED_VALUE"""),"SWAC")</f>
        <v>SWAC</v>
      </c>
      <c r="D321" s="1" t="str">
        <f ca="1">IFERROR(__xludf.DUMMYFUNCTION("""COMPUTED_VALUE"""),"14-13")</f>
        <v>14-13</v>
      </c>
      <c r="E321" s="1">
        <f ca="1">IFERROR(__xludf.DUMMYFUNCTION("""COMPUTED_VALUE"""),-15.7)</f>
        <v>-15.7</v>
      </c>
      <c r="F321" s="1">
        <f ca="1">IFERROR(__xludf.DUMMYFUNCTION("""COMPUTED_VALUE"""),91.7)</f>
        <v>91.7</v>
      </c>
      <c r="G321" s="1">
        <f ca="1">IFERROR(__xludf.DUMMYFUNCTION("""COMPUTED_VALUE"""),315)</f>
        <v>315</v>
      </c>
      <c r="H321" s="1">
        <f ca="1">IFERROR(__xludf.DUMMYFUNCTION("""COMPUTED_VALUE"""),107.4)</f>
        <v>107.4</v>
      </c>
      <c r="I321" s="1">
        <f ca="1">IFERROR(__xludf.DUMMYFUNCTION("""COMPUTED_VALUE"""),246)</f>
        <v>246</v>
      </c>
      <c r="J321" s="1">
        <f ca="1">IFERROR(__xludf.DUMMYFUNCTION("""COMPUTED_VALUE"""),67.6)</f>
        <v>67.599999999999994</v>
      </c>
      <c r="K321" s="1">
        <f ca="1">IFERROR(__xludf.DUMMYFUNCTION("""COMPUTED_VALUE"""),81)</f>
        <v>81</v>
      </c>
      <c r="L321" s="1" t="str">
        <f ca="1">IFERROR(__xludf.DUMMYFUNCTION("""COMPUTED_VALUE"""),"+.136")</f>
        <v>+.136</v>
      </c>
      <c r="M321" s="1">
        <f ca="1">IFERROR(__xludf.DUMMYFUNCTION("""COMPUTED_VALUE"""),3)</f>
        <v>3</v>
      </c>
      <c r="N321" s="1">
        <f ca="1">IFERROR(__xludf.DUMMYFUNCTION("""COMPUTED_VALUE"""),-11.5)</f>
        <v>-11.5</v>
      </c>
      <c r="O321" s="1">
        <f ca="1">IFERROR(__xludf.DUMMYFUNCTION("""COMPUTED_VALUE"""),331)</f>
        <v>331</v>
      </c>
      <c r="P321" s="1">
        <f ca="1">IFERROR(__xludf.DUMMYFUNCTION("""COMPUTED_VALUE"""),93.6)</f>
        <v>93.6</v>
      </c>
      <c r="Q321" s="1">
        <f ca="1">IFERROR(__xludf.DUMMYFUNCTION("""COMPUTED_VALUE"""),333)</f>
        <v>333</v>
      </c>
      <c r="R321" s="1">
        <f ca="1">IFERROR(__xludf.DUMMYFUNCTION("""COMPUTED_VALUE"""),105.1)</f>
        <v>105.1</v>
      </c>
      <c r="S321" s="1">
        <f ca="1">IFERROR(__xludf.DUMMYFUNCTION("""COMPUTED_VALUE"""),233)</f>
        <v>233</v>
      </c>
      <c r="T321" s="1" t="str">
        <f ca="1">IFERROR(__xludf.DUMMYFUNCTION("""COMPUTED_VALUE"""),"+8.92")</f>
        <v>+8.92</v>
      </c>
      <c r="U321" s="1">
        <f ca="1">IFERROR(__xludf.DUMMYFUNCTION("""COMPUTED_VALUE"""),20)</f>
        <v>20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IFERROR(__xludf.DUMMYFUNCTION("""COMPUTED_VALUE"""),"Dartmouth")</f>
        <v>Dartmouth</v>
      </c>
      <c r="C322" s="1" t="str">
        <f ca="1">IFERROR(__xludf.DUMMYFUNCTION("""COMPUTED_VALUE"""),"Ivy")</f>
        <v>Ivy</v>
      </c>
      <c r="D322" s="2">
        <f ca="1">IFERROR(__xludf.DUMMYFUNCTION("""COMPUTED_VALUE"""),44733)</f>
        <v>44733</v>
      </c>
      <c r="E322" s="1">
        <f ca="1">IFERROR(__xludf.DUMMYFUNCTION("""COMPUTED_VALUE"""),-15.87)</f>
        <v>-15.87</v>
      </c>
      <c r="F322" s="1">
        <f ca="1">IFERROR(__xludf.DUMMYFUNCTION("""COMPUTED_VALUE"""),94.8)</f>
        <v>94.8</v>
      </c>
      <c r="G322" s="1">
        <f ca="1">IFERROR(__xludf.DUMMYFUNCTION("""COMPUTED_VALUE"""),289)</f>
        <v>289</v>
      </c>
      <c r="H322" s="1">
        <f ca="1">IFERROR(__xludf.DUMMYFUNCTION("""COMPUTED_VALUE"""),110.7)</f>
        <v>110.7</v>
      </c>
      <c r="I322" s="1">
        <f ca="1">IFERROR(__xludf.DUMMYFUNCTION("""COMPUTED_VALUE"""),296)</f>
        <v>296</v>
      </c>
      <c r="J322" s="1">
        <f ca="1">IFERROR(__xludf.DUMMYFUNCTION("""COMPUTED_VALUE"""),62.3)</f>
        <v>62.3</v>
      </c>
      <c r="K322" s="1">
        <f ca="1">IFERROR(__xludf.DUMMYFUNCTION("""COMPUTED_VALUE"""),281)</f>
        <v>281</v>
      </c>
      <c r="L322" s="1">
        <f ca="1">IFERROR(__xludf.DUMMYFUNCTION("""COMPUTED_VALUE"""),-0.053)</f>
        <v>-5.2999999999999999E-2</v>
      </c>
      <c r="M322" s="1">
        <f ca="1">IFERROR(__xludf.DUMMYFUNCTION("""COMPUTED_VALUE"""),286)</f>
        <v>286</v>
      </c>
      <c r="N322" s="1">
        <f ca="1">IFERROR(__xludf.DUMMYFUNCTION("""COMPUTED_VALUE"""),-6.69)</f>
        <v>-6.69</v>
      </c>
      <c r="O322" s="1">
        <f ca="1">IFERROR(__xludf.DUMMYFUNCTION("""COMPUTED_VALUE"""),281)</f>
        <v>281</v>
      </c>
      <c r="P322" s="1">
        <f ca="1">IFERROR(__xludf.DUMMYFUNCTION("""COMPUTED_VALUE"""),98.8)</f>
        <v>98.8</v>
      </c>
      <c r="Q322" s="1">
        <f ca="1">IFERROR(__xludf.DUMMYFUNCTION("""COMPUTED_VALUE"""),296)</f>
        <v>296</v>
      </c>
      <c r="R322" s="1">
        <f ca="1">IFERROR(__xludf.DUMMYFUNCTION("""COMPUTED_VALUE"""),105.5)</f>
        <v>105.5</v>
      </c>
      <c r="S322" s="1">
        <f ca="1">IFERROR(__xludf.DUMMYFUNCTION("""COMPUTED_VALUE"""),256)</f>
        <v>256</v>
      </c>
      <c r="T322" s="1">
        <f ca="1">IFERROR(__xludf.DUMMYFUNCTION("""COMPUTED_VALUE"""),-4.13)</f>
        <v>-4.13</v>
      </c>
      <c r="U322" s="1">
        <f ca="1">IFERROR(__xludf.DUMMYFUNCTION("""COMPUTED_VALUE"""),261)</f>
        <v>261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IFERROR(__xludf.DUMMYFUNCTION("""COMPUTED_VALUE"""),"Nicholls St.")</f>
        <v>Nicholls St.</v>
      </c>
      <c r="C323" s="1" t="str">
        <f ca="1">IFERROR(__xludf.DUMMYFUNCTION("""COMPUTED_VALUE"""),"Slnd")</f>
        <v>Slnd</v>
      </c>
      <c r="D323" s="2">
        <f ca="1">IFERROR(__xludf.DUMMYFUNCTION("""COMPUTED_VALUE"""),44822)</f>
        <v>44822</v>
      </c>
      <c r="E323" s="1">
        <f ca="1">IFERROR(__xludf.DUMMYFUNCTION("""COMPUTED_VALUE"""),-15.91)</f>
        <v>-15.91</v>
      </c>
      <c r="F323" s="1">
        <f ca="1">IFERROR(__xludf.DUMMYFUNCTION("""COMPUTED_VALUE"""),96.8)</f>
        <v>96.8</v>
      </c>
      <c r="G323" s="1">
        <f ca="1">IFERROR(__xludf.DUMMYFUNCTION("""COMPUTED_VALUE"""),268)</f>
        <v>268</v>
      </c>
      <c r="H323" s="1">
        <f ca="1">IFERROR(__xludf.DUMMYFUNCTION("""COMPUTED_VALUE"""),112.7)</f>
        <v>112.7</v>
      </c>
      <c r="I323" s="1">
        <f ca="1">IFERROR(__xludf.DUMMYFUNCTION("""COMPUTED_VALUE"""),313)</f>
        <v>313</v>
      </c>
      <c r="J323" s="1">
        <f ca="1">IFERROR(__xludf.DUMMYFUNCTION("""COMPUTED_VALUE"""),69.1)</f>
        <v>69.099999999999994</v>
      </c>
      <c r="K323" s="1">
        <f ca="1">IFERROR(__xludf.DUMMYFUNCTION("""COMPUTED_VALUE"""),45)</f>
        <v>45</v>
      </c>
      <c r="L323" s="1" t="str">
        <f ca="1">IFERROR(__xludf.DUMMYFUNCTION("""COMPUTED_VALUE"""),"+.060")</f>
        <v>+.060</v>
      </c>
      <c r="M323" s="1">
        <f ca="1">IFERROR(__xludf.DUMMYFUNCTION("""COMPUTED_VALUE"""),42)</f>
        <v>42</v>
      </c>
      <c r="N323" s="1">
        <f ca="1">IFERROR(__xludf.DUMMYFUNCTION("""COMPUTED_VALUE"""),-3.91)</f>
        <v>-3.91</v>
      </c>
      <c r="O323" s="1">
        <f ca="1">IFERROR(__xludf.DUMMYFUNCTION("""COMPUTED_VALUE"""),232)</f>
        <v>232</v>
      </c>
      <c r="P323" s="1">
        <f ca="1">IFERROR(__xludf.DUMMYFUNCTION("""COMPUTED_VALUE"""),100.7)</f>
        <v>100.7</v>
      </c>
      <c r="Q323" s="1">
        <f ca="1">IFERROR(__xludf.DUMMYFUNCTION("""COMPUTED_VALUE"""),247)</f>
        <v>247</v>
      </c>
      <c r="R323" s="1">
        <f ca="1">IFERROR(__xludf.DUMMYFUNCTION("""COMPUTED_VALUE"""),104.6)</f>
        <v>104.6</v>
      </c>
      <c r="S323" s="1">
        <f ca="1">IFERROR(__xludf.DUMMYFUNCTION("""COMPUTED_VALUE"""),209)</f>
        <v>209</v>
      </c>
      <c r="T323" s="1" t="str">
        <f ca="1">IFERROR(__xludf.DUMMYFUNCTION("""COMPUTED_VALUE"""),"+1.83")</f>
        <v>+1.83</v>
      </c>
      <c r="U323" s="1">
        <f ca="1">IFERROR(__xludf.DUMMYFUNCTION("""COMPUTED_VALUE"""),103)</f>
        <v>103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IFERROR(__xludf.DUMMYFUNCTION("""COMPUTED_VALUE"""),"Kennesaw St.")</f>
        <v>Kennesaw St.</v>
      </c>
      <c r="C324" s="1" t="str">
        <f ca="1">IFERROR(__xludf.DUMMYFUNCTION("""COMPUTED_VALUE"""),"ASun")</f>
        <v>ASun</v>
      </c>
      <c r="D324" s="2">
        <f ca="1">IFERROR(__xludf.DUMMYFUNCTION("""COMPUTED_VALUE"""),44912)</f>
        <v>44912</v>
      </c>
      <c r="E324" s="1">
        <f ca="1">IFERROR(__xludf.DUMMYFUNCTION("""COMPUTED_VALUE"""),-16.02)</f>
        <v>-16.02</v>
      </c>
      <c r="F324" s="1">
        <f ca="1">IFERROR(__xludf.DUMMYFUNCTION("""COMPUTED_VALUE"""),97.8)</f>
        <v>97.8</v>
      </c>
      <c r="G324" s="1">
        <f ca="1">IFERROR(__xludf.DUMMYFUNCTION("""COMPUTED_VALUE"""),248)</f>
        <v>248</v>
      </c>
      <c r="H324" s="1">
        <f ca="1">IFERROR(__xludf.DUMMYFUNCTION("""COMPUTED_VALUE"""),113.8)</f>
        <v>113.8</v>
      </c>
      <c r="I324" s="1">
        <f ca="1">IFERROR(__xludf.DUMMYFUNCTION("""COMPUTED_VALUE"""),321)</f>
        <v>321</v>
      </c>
      <c r="J324" s="1">
        <f ca="1">IFERROR(__xludf.DUMMYFUNCTION("""COMPUTED_VALUE"""),65.3)</f>
        <v>65.3</v>
      </c>
      <c r="K324" s="1">
        <f ca="1">IFERROR(__xludf.DUMMYFUNCTION("""COMPUTED_VALUE"""),161)</f>
        <v>161</v>
      </c>
      <c r="L324" s="1" t="str">
        <f ca="1">IFERROR(__xludf.DUMMYFUNCTION("""COMPUTED_VALUE"""),"+.066")</f>
        <v>+.066</v>
      </c>
      <c r="M324" s="1">
        <f ca="1">IFERROR(__xludf.DUMMYFUNCTION("""COMPUTED_VALUE"""),35)</f>
        <v>35</v>
      </c>
      <c r="N324" s="1">
        <f ca="1">IFERROR(__xludf.DUMMYFUNCTION("""COMPUTED_VALUE"""),-8.91)</f>
        <v>-8.91</v>
      </c>
      <c r="O324" s="1">
        <f ca="1">IFERROR(__xludf.DUMMYFUNCTION("""COMPUTED_VALUE"""),313)</f>
        <v>313</v>
      </c>
      <c r="P324" s="1">
        <f ca="1">IFERROR(__xludf.DUMMYFUNCTION("""COMPUTED_VALUE"""),99.7)</f>
        <v>99.7</v>
      </c>
      <c r="Q324" s="1">
        <f ca="1">IFERROR(__xludf.DUMMYFUNCTION("""COMPUTED_VALUE"""),276)</f>
        <v>276</v>
      </c>
      <c r="R324" s="1">
        <f ca="1">IFERROR(__xludf.DUMMYFUNCTION("""COMPUTED_VALUE"""),108.6)</f>
        <v>108.6</v>
      </c>
      <c r="S324" s="1">
        <f ca="1">IFERROR(__xludf.DUMMYFUNCTION("""COMPUTED_VALUE"""),327)</f>
        <v>327</v>
      </c>
      <c r="T324" s="1" t="str">
        <f ca="1">IFERROR(__xludf.DUMMYFUNCTION("""COMPUTED_VALUE"""),"+2.04")</f>
        <v>+2.04</v>
      </c>
      <c r="U324" s="1">
        <f ca="1">IFERROR(__xludf.DUMMYFUNCTION("""COMPUTED_VALUE"""),97)</f>
        <v>97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IFERROR(__xludf.DUMMYFUNCTION("""COMPUTED_VALUE"""),"Southeast Missouri St.")</f>
        <v>Southeast Missouri St.</v>
      </c>
      <c r="C325" s="1" t="str">
        <f ca="1">IFERROR(__xludf.DUMMYFUNCTION("""COMPUTED_VALUE"""),"OVC")</f>
        <v>OVC</v>
      </c>
      <c r="D325" s="2">
        <f ca="1">IFERROR(__xludf.DUMMYFUNCTION("""COMPUTED_VALUE"""),44762)</f>
        <v>44762</v>
      </c>
      <c r="E325" s="1">
        <f ca="1">IFERROR(__xludf.DUMMYFUNCTION("""COMPUTED_VALUE"""),-16.32)</f>
        <v>-16.32</v>
      </c>
      <c r="F325" s="1">
        <f ca="1">IFERROR(__xludf.DUMMYFUNCTION("""COMPUTED_VALUE"""),93)</f>
        <v>93</v>
      </c>
      <c r="G325" s="1">
        <f ca="1">IFERROR(__xludf.DUMMYFUNCTION("""COMPUTED_VALUE"""),305)</f>
        <v>305</v>
      </c>
      <c r="H325" s="1">
        <f ca="1">IFERROR(__xludf.DUMMYFUNCTION("""COMPUTED_VALUE"""),109.3)</f>
        <v>109.3</v>
      </c>
      <c r="I325" s="1">
        <f ca="1">IFERROR(__xludf.DUMMYFUNCTION("""COMPUTED_VALUE"""),281)</f>
        <v>281</v>
      </c>
      <c r="J325" s="1">
        <f ca="1">IFERROR(__xludf.DUMMYFUNCTION("""COMPUTED_VALUE"""),64.6)</f>
        <v>64.599999999999994</v>
      </c>
      <c r="K325" s="1">
        <f ca="1">IFERROR(__xludf.DUMMYFUNCTION("""COMPUTED_VALUE"""),205)</f>
        <v>205</v>
      </c>
      <c r="L325" s="1">
        <f ca="1">IFERROR(__xludf.DUMMYFUNCTION("""COMPUTED_VALUE"""),-0.028)</f>
        <v>-2.8000000000000001E-2</v>
      </c>
      <c r="M325" s="1">
        <f ca="1">IFERROR(__xludf.DUMMYFUNCTION("""COMPUTED_VALUE"""),234)</f>
        <v>234</v>
      </c>
      <c r="N325" s="1">
        <f ca="1">IFERROR(__xludf.DUMMYFUNCTION("""COMPUTED_VALUE"""),-5.69)</f>
        <v>-5.69</v>
      </c>
      <c r="O325" s="1">
        <f ca="1">IFERROR(__xludf.DUMMYFUNCTION("""COMPUTED_VALUE"""),267)</f>
        <v>267</v>
      </c>
      <c r="P325" s="1">
        <f ca="1">IFERROR(__xludf.DUMMYFUNCTION("""COMPUTED_VALUE"""),101.2)</f>
        <v>101.2</v>
      </c>
      <c r="Q325" s="1">
        <f ca="1">IFERROR(__xludf.DUMMYFUNCTION("""COMPUTED_VALUE"""),233)</f>
        <v>233</v>
      </c>
      <c r="R325" s="1">
        <f ca="1">IFERROR(__xludf.DUMMYFUNCTION("""COMPUTED_VALUE"""),106.9)</f>
        <v>106.9</v>
      </c>
      <c r="S325" s="1">
        <f ca="1">IFERROR(__xludf.DUMMYFUNCTION("""COMPUTED_VALUE"""),309)</f>
        <v>309</v>
      </c>
      <c r="T325" s="1">
        <f ca="1">IFERROR(__xludf.DUMMYFUNCTION("""COMPUTED_VALUE"""),-1.82)</f>
        <v>-1.82</v>
      </c>
      <c r="U325" s="1">
        <f ca="1">IFERROR(__xludf.DUMMYFUNCTION("""COMPUTED_VALUE"""),207)</f>
        <v>207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IFERROR(__xludf.DUMMYFUNCTION("""COMPUTED_VALUE"""),"Alcorn St.")</f>
        <v>Alcorn St.</v>
      </c>
      <c r="C326" s="1" t="str">
        <f ca="1">IFERROR(__xludf.DUMMYFUNCTION("""COMPUTED_VALUE"""),"SWAC")</f>
        <v>SWAC</v>
      </c>
      <c r="D326" s="2">
        <f ca="1">IFERROR(__xludf.DUMMYFUNCTION("""COMPUTED_VALUE"""),44793)</f>
        <v>44793</v>
      </c>
      <c r="E326" s="1">
        <f ca="1">IFERROR(__xludf.DUMMYFUNCTION("""COMPUTED_VALUE"""),-16.39)</f>
        <v>-16.39</v>
      </c>
      <c r="F326" s="1">
        <f ca="1">IFERROR(__xludf.DUMMYFUNCTION("""COMPUTED_VALUE"""),93)</f>
        <v>93</v>
      </c>
      <c r="G326" s="1">
        <f ca="1">IFERROR(__xludf.DUMMYFUNCTION("""COMPUTED_VALUE"""),306)</f>
        <v>306</v>
      </c>
      <c r="H326" s="1">
        <f ca="1">IFERROR(__xludf.DUMMYFUNCTION("""COMPUTED_VALUE"""),109.4)</f>
        <v>109.4</v>
      </c>
      <c r="I326" s="1">
        <f ca="1">IFERROR(__xludf.DUMMYFUNCTION("""COMPUTED_VALUE"""),282)</f>
        <v>282</v>
      </c>
      <c r="J326" s="1">
        <f ca="1">IFERROR(__xludf.DUMMYFUNCTION("""COMPUTED_VALUE"""),68.4)</f>
        <v>68.400000000000006</v>
      </c>
      <c r="K326" s="1">
        <f ca="1">IFERROR(__xludf.DUMMYFUNCTION("""COMPUTED_VALUE"""),59)</f>
        <v>59</v>
      </c>
      <c r="L326" s="1">
        <f ca="1">IFERROR(__xludf.DUMMYFUNCTION("""COMPUTED_VALUE"""),-0.004)</f>
        <v>-4.0000000000000001E-3</v>
      </c>
      <c r="M326" s="1">
        <f ca="1">IFERROR(__xludf.DUMMYFUNCTION("""COMPUTED_VALUE"""),178)</f>
        <v>178</v>
      </c>
      <c r="N326" s="1">
        <f ca="1">IFERROR(__xludf.DUMMYFUNCTION("""COMPUTED_VALUE"""),-7.57)</f>
        <v>-7.57</v>
      </c>
      <c r="O326" s="1">
        <f ca="1">IFERROR(__xludf.DUMMYFUNCTION("""COMPUTED_VALUE"""),299)</f>
        <v>299</v>
      </c>
      <c r="P326" s="1">
        <f ca="1">IFERROR(__xludf.DUMMYFUNCTION("""COMPUTED_VALUE"""),96.6)</f>
        <v>96.6</v>
      </c>
      <c r="Q326" s="1">
        <f ca="1">IFERROR(__xludf.DUMMYFUNCTION("""COMPUTED_VALUE"""),322)</f>
        <v>322</v>
      </c>
      <c r="R326" s="1">
        <f ca="1">IFERROR(__xludf.DUMMYFUNCTION("""COMPUTED_VALUE"""),104.1)</f>
        <v>104.1</v>
      </c>
      <c r="S326" s="1">
        <f ca="1">IFERROR(__xludf.DUMMYFUNCTION("""COMPUTED_VALUE"""),191)</f>
        <v>191</v>
      </c>
      <c r="T326" s="1" t="str">
        <f ca="1">IFERROR(__xludf.DUMMYFUNCTION("""COMPUTED_VALUE"""),"+8.98")</f>
        <v>+8.98</v>
      </c>
      <c r="U326" s="1">
        <f ca="1">IFERROR(__xludf.DUMMYFUNCTION("""COMPUTED_VALUE"""),19)</f>
        <v>19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IFERROR(__xludf.DUMMYFUNCTION("""COMPUTED_VALUE"""),"James Madison")</f>
        <v>James Madison</v>
      </c>
      <c r="C327" s="1" t="str">
        <f ca="1">IFERROR(__xludf.DUMMYFUNCTION("""COMPUTED_VALUE"""),"CAA")</f>
        <v>CAA</v>
      </c>
      <c r="D327" s="2">
        <f ca="1">IFERROR(__xludf.DUMMYFUNCTION("""COMPUTED_VALUE"""),44704)</f>
        <v>44704</v>
      </c>
      <c r="E327" s="1">
        <f ca="1">IFERROR(__xludf.DUMMYFUNCTION("""COMPUTED_VALUE"""),-16.74)</f>
        <v>-16.739999999999998</v>
      </c>
      <c r="F327" s="1">
        <f ca="1">IFERROR(__xludf.DUMMYFUNCTION("""COMPUTED_VALUE"""),96.5)</f>
        <v>96.5</v>
      </c>
      <c r="G327" s="1">
        <f ca="1">IFERROR(__xludf.DUMMYFUNCTION("""COMPUTED_VALUE"""),273)</f>
        <v>273</v>
      </c>
      <c r="H327" s="1">
        <f ca="1">IFERROR(__xludf.DUMMYFUNCTION("""COMPUTED_VALUE"""),113.2)</f>
        <v>113.2</v>
      </c>
      <c r="I327" s="1">
        <f ca="1">IFERROR(__xludf.DUMMYFUNCTION("""COMPUTED_VALUE"""),317)</f>
        <v>317</v>
      </c>
      <c r="J327" s="1">
        <f ca="1">IFERROR(__xludf.DUMMYFUNCTION("""COMPUTED_VALUE"""),66.2)</f>
        <v>66.2</v>
      </c>
      <c r="K327" s="1">
        <f ca="1">IFERROR(__xludf.DUMMYFUNCTION("""COMPUTED_VALUE"""),126)</f>
        <v>126</v>
      </c>
      <c r="L327" s="1" t="str">
        <f ca="1">IFERROR(__xludf.DUMMYFUNCTION("""COMPUTED_VALUE"""),"+.013")</f>
        <v>+.013</v>
      </c>
      <c r="M327" s="1">
        <f ca="1">IFERROR(__xludf.DUMMYFUNCTION("""COMPUTED_VALUE"""),136)</f>
        <v>136</v>
      </c>
      <c r="N327" s="1" t="str">
        <f ca="1">IFERROR(__xludf.DUMMYFUNCTION("""COMPUTED_VALUE"""),"+0.88")</f>
        <v>+0.88</v>
      </c>
      <c r="O327" s="1">
        <f ca="1">IFERROR(__xludf.DUMMYFUNCTION("""COMPUTED_VALUE"""),138)</f>
        <v>138</v>
      </c>
      <c r="P327" s="1">
        <f ca="1">IFERROR(__xludf.DUMMYFUNCTION("""COMPUTED_VALUE"""),103.4)</f>
        <v>103.4</v>
      </c>
      <c r="Q327" s="1">
        <f ca="1">IFERROR(__xludf.DUMMYFUNCTION("""COMPUTED_VALUE"""),153)</f>
        <v>153</v>
      </c>
      <c r="R327" s="1">
        <f ca="1">IFERROR(__xludf.DUMMYFUNCTION("""COMPUTED_VALUE"""),102.5)</f>
        <v>102.5</v>
      </c>
      <c r="S327" s="1">
        <f ca="1">IFERROR(__xludf.DUMMYFUNCTION("""COMPUTED_VALUE"""),147)</f>
        <v>147</v>
      </c>
      <c r="T327" s="1">
        <f ca="1">IFERROR(__xludf.DUMMYFUNCTION("""COMPUTED_VALUE"""),-4.13)</f>
        <v>-4.13</v>
      </c>
      <c r="U327" s="1">
        <f ca="1">IFERROR(__xludf.DUMMYFUNCTION("""COMPUTED_VALUE"""),260)</f>
        <v>260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IFERROR(__xludf.DUMMYFUNCTION("""COMPUTED_VALUE"""),"Longwood")</f>
        <v>Longwood</v>
      </c>
      <c r="C328" s="1" t="str">
        <f ca="1">IFERROR(__xludf.DUMMYFUNCTION("""COMPUTED_VALUE"""),"ind")</f>
        <v>ind</v>
      </c>
      <c r="D328" s="2">
        <f ca="1">IFERROR(__xludf.DUMMYFUNCTION("""COMPUTED_VALUE"""),44854)</f>
        <v>44854</v>
      </c>
      <c r="E328" s="1">
        <f ca="1">IFERROR(__xludf.DUMMYFUNCTION("""COMPUTED_VALUE"""),-16.79)</f>
        <v>-16.79</v>
      </c>
      <c r="F328" s="1">
        <f ca="1">IFERROR(__xludf.DUMMYFUNCTION("""COMPUTED_VALUE"""),96.9)</f>
        <v>96.9</v>
      </c>
      <c r="G328" s="1">
        <f ca="1">IFERROR(__xludf.DUMMYFUNCTION("""COMPUTED_VALUE"""),266)</f>
        <v>266</v>
      </c>
      <c r="H328" s="1">
        <f ca="1">IFERROR(__xludf.DUMMYFUNCTION("""COMPUTED_VALUE"""),113.6)</f>
        <v>113.6</v>
      </c>
      <c r="I328" s="1">
        <f ca="1">IFERROR(__xludf.DUMMYFUNCTION("""COMPUTED_VALUE"""),320)</f>
        <v>320</v>
      </c>
      <c r="J328" s="1">
        <f ca="1">IFERROR(__xludf.DUMMYFUNCTION("""COMPUTED_VALUE"""),71.1)</f>
        <v>71.099999999999994</v>
      </c>
      <c r="K328" s="1">
        <f ca="1">IFERROR(__xludf.DUMMYFUNCTION("""COMPUTED_VALUE"""),14)</f>
        <v>14</v>
      </c>
      <c r="L328" s="1" t="str">
        <f ca="1">IFERROR(__xludf.DUMMYFUNCTION("""COMPUTED_VALUE"""),"+.016")</f>
        <v>+.016</v>
      </c>
      <c r="M328" s="1">
        <f ca="1">IFERROR(__xludf.DUMMYFUNCTION("""COMPUTED_VALUE"""),126)</f>
        <v>126</v>
      </c>
      <c r="N328" s="1">
        <f ca="1">IFERROR(__xludf.DUMMYFUNCTION("""COMPUTED_VALUE"""),-7.16)</f>
        <v>-7.16</v>
      </c>
      <c r="O328" s="1">
        <f ca="1">IFERROR(__xludf.DUMMYFUNCTION("""COMPUTED_VALUE"""),292)</f>
        <v>292</v>
      </c>
      <c r="P328" s="1">
        <f ca="1">IFERROR(__xludf.DUMMYFUNCTION("""COMPUTED_VALUE"""),98.4)</f>
        <v>98.4</v>
      </c>
      <c r="Q328" s="1">
        <f ca="1">IFERROR(__xludf.DUMMYFUNCTION("""COMPUTED_VALUE"""),300)</f>
        <v>300</v>
      </c>
      <c r="R328" s="1">
        <f ca="1">IFERROR(__xludf.DUMMYFUNCTION("""COMPUTED_VALUE"""),105.5)</f>
        <v>105.5</v>
      </c>
      <c r="S328" s="1">
        <f ca="1">IFERROR(__xludf.DUMMYFUNCTION("""COMPUTED_VALUE"""),259)</f>
        <v>259</v>
      </c>
      <c r="T328" s="1">
        <f ca="1">IFERROR(__xludf.DUMMYFUNCTION("""COMPUTED_VALUE"""),-4.95)</f>
        <v>-4.95</v>
      </c>
      <c r="U328" s="1">
        <f ca="1">IFERROR(__xludf.DUMMYFUNCTION("""COMPUTED_VALUE"""),276)</f>
        <v>276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IFERROR(__xludf.DUMMYFUNCTION("""COMPUTED_VALUE"""),"Stony Brook")</f>
        <v>Stony Brook</v>
      </c>
      <c r="C329" s="1" t="str">
        <f ca="1">IFERROR(__xludf.DUMMYFUNCTION("""COMPUTED_VALUE"""),"AE")</f>
        <v>AE</v>
      </c>
      <c r="D329" s="2">
        <f ca="1">IFERROR(__xludf.DUMMYFUNCTION("""COMPUTED_VALUE"""),44675)</f>
        <v>44675</v>
      </c>
      <c r="E329" s="1">
        <f ca="1">IFERROR(__xludf.DUMMYFUNCTION("""COMPUTED_VALUE"""),-16.88)</f>
        <v>-16.88</v>
      </c>
      <c r="F329" s="1">
        <f ca="1">IFERROR(__xludf.DUMMYFUNCTION("""COMPUTED_VALUE"""),92.2)</f>
        <v>92.2</v>
      </c>
      <c r="G329" s="1">
        <f ca="1">IFERROR(__xludf.DUMMYFUNCTION("""COMPUTED_VALUE"""),311)</f>
        <v>311</v>
      </c>
      <c r="H329" s="1">
        <f ca="1">IFERROR(__xludf.DUMMYFUNCTION("""COMPUTED_VALUE"""),109.1)</f>
        <v>109.1</v>
      </c>
      <c r="I329" s="1">
        <f ca="1">IFERROR(__xludf.DUMMYFUNCTION("""COMPUTED_VALUE"""),275)</f>
        <v>275</v>
      </c>
      <c r="J329" s="1">
        <f ca="1">IFERROR(__xludf.DUMMYFUNCTION("""COMPUTED_VALUE"""),64.5)</f>
        <v>64.5</v>
      </c>
      <c r="K329" s="1">
        <f ca="1">IFERROR(__xludf.DUMMYFUNCTION("""COMPUTED_VALUE"""),211)</f>
        <v>211</v>
      </c>
      <c r="L329" s="1">
        <f ca="1">IFERROR(__xludf.DUMMYFUNCTION("""COMPUTED_VALUE"""),-0.04)</f>
        <v>-0.04</v>
      </c>
      <c r="M329" s="1">
        <f ca="1">IFERROR(__xludf.DUMMYFUNCTION("""COMPUTED_VALUE"""),262)</f>
        <v>262</v>
      </c>
      <c r="N329" s="1">
        <f ca="1">IFERROR(__xludf.DUMMYFUNCTION("""COMPUTED_VALUE"""),-2.48)</f>
        <v>-2.48</v>
      </c>
      <c r="O329" s="1">
        <f ca="1">IFERROR(__xludf.DUMMYFUNCTION("""COMPUTED_VALUE"""),206)</f>
        <v>206</v>
      </c>
      <c r="P329" s="1">
        <f ca="1">IFERROR(__xludf.DUMMYFUNCTION("""COMPUTED_VALUE"""),101.3)</f>
        <v>101.3</v>
      </c>
      <c r="Q329" s="1">
        <f ca="1">IFERROR(__xludf.DUMMYFUNCTION("""COMPUTED_VALUE"""),230)</f>
        <v>230</v>
      </c>
      <c r="R329" s="1">
        <f ca="1">IFERROR(__xludf.DUMMYFUNCTION("""COMPUTED_VALUE"""),103.8)</f>
        <v>103.8</v>
      </c>
      <c r="S329" s="1">
        <f ca="1">IFERROR(__xludf.DUMMYFUNCTION("""COMPUTED_VALUE"""),179)</f>
        <v>179</v>
      </c>
      <c r="T329" s="1" t="str">
        <f ca="1">IFERROR(__xludf.DUMMYFUNCTION("""COMPUTED_VALUE"""),"+8.13")</f>
        <v>+8.13</v>
      </c>
      <c r="U329" s="1">
        <f ca="1">IFERROR(__xludf.DUMMYFUNCTION("""COMPUTED_VALUE"""),24)</f>
        <v>24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IFERROR(__xludf.DUMMYFUNCTION("""COMPUTED_VALUE"""),"Eastern Illinois")</f>
        <v>Eastern Illinois</v>
      </c>
      <c r="C330" s="1" t="str">
        <f ca="1">IFERROR(__xludf.DUMMYFUNCTION("""COMPUTED_VALUE"""),"OVC")</f>
        <v>OVC</v>
      </c>
      <c r="D330" s="2">
        <f ca="1">IFERROR(__xludf.DUMMYFUNCTION("""COMPUTED_VALUE"""),44733)</f>
        <v>44733</v>
      </c>
      <c r="E330" s="1">
        <f ca="1">IFERROR(__xludf.DUMMYFUNCTION("""COMPUTED_VALUE"""),-16.96)</f>
        <v>-16.96</v>
      </c>
      <c r="F330" s="1">
        <f ca="1">IFERROR(__xludf.DUMMYFUNCTION("""COMPUTED_VALUE"""),92.1)</f>
        <v>92.1</v>
      </c>
      <c r="G330" s="1">
        <f ca="1">IFERROR(__xludf.DUMMYFUNCTION("""COMPUTED_VALUE"""),313)</f>
        <v>313</v>
      </c>
      <c r="H330" s="1">
        <f ca="1">IFERROR(__xludf.DUMMYFUNCTION("""COMPUTED_VALUE"""),109)</f>
        <v>109</v>
      </c>
      <c r="I330" s="1">
        <f ca="1">IFERROR(__xludf.DUMMYFUNCTION("""COMPUTED_VALUE"""),272)</f>
        <v>272</v>
      </c>
      <c r="J330" s="1">
        <f ca="1">IFERROR(__xludf.DUMMYFUNCTION("""COMPUTED_VALUE"""),61.1)</f>
        <v>61.1</v>
      </c>
      <c r="K330" s="1">
        <f ca="1">IFERROR(__xludf.DUMMYFUNCTION("""COMPUTED_VALUE"""),304)</f>
        <v>304</v>
      </c>
      <c r="L330" s="1">
        <f ca="1">IFERROR(__xludf.DUMMYFUNCTION("""COMPUTED_VALUE"""),-0.022)</f>
        <v>-2.1999999999999999E-2</v>
      </c>
      <c r="M330" s="1">
        <f ca="1">IFERROR(__xludf.DUMMYFUNCTION("""COMPUTED_VALUE"""),216)</f>
        <v>216</v>
      </c>
      <c r="N330" s="1">
        <f ca="1">IFERROR(__xludf.DUMMYFUNCTION("""COMPUTED_VALUE"""),-5.19)</f>
        <v>-5.19</v>
      </c>
      <c r="O330" s="1">
        <f ca="1">IFERROR(__xludf.DUMMYFUNCTION("""COMPUTED_VALUE"""),256)</f>
        <v>256</v>
      </c>
      <c r="P330" s="1">
        <f ca="1">IFERROR(__xludf.DUMMYFUNCTION("""COMPUTED_VALUE"""),102)</f>
        <v>102</v>
      </c>
      <c r="Q330" s="1">
        <f ca="1">IFERROR(__xludf.DUMMYFUNCTION("""COMPUTED_VALUE"""),209)</f>
        <v>209</v>
      </c>
      <c r="R330" s="1">
        <f ca="1">IFERROR(__xludf.DUMMYFUNCTION("""COMPUTED_VALUE"""),107.1)</f>
        <v>107.1</v>
      </c>
      <c r="S330" s="1">
        <f ca="1">IFERROR(__xludf.DUMMYFUNCTION("""COMPUTED_VALUE"""),313)</f>
        <v>313</v>
      </c>
      <c r="T330" s="1">
        <f ca="1">IFERROR(__xludf.DUMMYFUNCTION("""COMPUTED_VALUE"""),-1.26)</f>
        <v>-1.26</v>
      </c>
      <c r="U330" s="1">
        <f ca="1">IFERROR(__xludf.DUMMYFUNCTION("""COMPUTED_VALUE"""),187)</f>
        <v>187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IFERROR(__xludf.DUMMYFUNCTION("""COMPUTED_VALUE"""),"Howard")</f>
        <v>Howard</v>
      </c>
      <c r="C331" s="1" t="str">
        <f ca="1">IFERROR(__xludf.DUMMYFUNCTION("""COMPUTED_VALUE"""),"MEAC")</f>
        <v>MEAC</v>
      </c>
      <c r="D331" s="2">
        <f ca="1">IFERROR(__xludf.DUMMYFUNCTION("""COMPUTED_VALUE"""),44764)</f>
        <v>44764</v>
      </c>
      <c r="E331" s="1">
        <f ca="1">IFERROR(__xludf.DUMMYFUNCTION("""COMPUTED_VALUE"""),-17.28)</f>
        <v>-17.28</v>
      </c>
      <c r="F331" s="1">
        <f ca="1">IFERROR(__xludf.DUMMYFUNCTION("""COMPUTED_VALUE"""),93.6)</f>
        <v>93.6</v>
      </c>
      <c r="G331" s="1">
        <f ca="1">IFERROR(__xludf.DUMMYFUNCTION("""COMPUTED_VALUE"""),300)</f>
        <v>300</v>
      </c>
      <c r="H331" s="1">
        <f ca="1">IFERROR(__xludf.DUMMYFUNCTION("""COMPUTED_VALUE"""),110.9)</f>
        <v>110.9</v>
      </c>
      <c r="I331" s="1">
        <f ca="1">IFERROR(__xludf.DUMMYFUNCTION("""COMPUTED_VALUE"""),298)</f>
        <v>298</v>
      </c>
      <c r="J331" s="1">
        <f ca="1">IFERROR(__xludf.DUMMYFUNCTION("""COMPUTED_VALUE"""),66.1)</f>
        <v>66.099999999999994</v>
      </c>
      <c r="K331" s="1">
        <f ca="1">IFERROR(__xludf.DUMMYFUNCTION("""COMPUTED_VALUE"""),131)</f>
        <v>131</v>
      </c>
      <c r="L331" s="1">
        <f ca="1">IFERROR(__xludf.DUMMYFUNCTION("""COMPUTED_VALUE"""),-0.086)</f>
        <v>-8.5999999999999993E-2</v>
      </c>
      <c r="M331" s="1">
        <f ca="1">IFERROR(__xludf.DUMMYFUNCTION("""COMPUTED_VALUE"""),312)</f>
        <v>312</v>
      </c>
      <c r="N331" s="1">
        <f ca="1">IFERROR(__xludf.DUMMYFUNCTION("""COMPUTED_VALUE"""),-10.81)</f>
        <v>-10.81</v>
      </c>
      <c r="O331" s="1">
        <f ca="1">IFERROR(__xludf.DUMMYFUNCTION("""COMPUTED_VALUE"""),327)</f>
        <v>327</v>
      </c>
      <c r="P331" s="1">
        <f ca="1">IFERROR(__xludf.DUMMYFUNCTION("""COMPUTED_VALUE"""),95.8)</f>
        <v>95.8</v>
      </c>
      <c r="Q331" s="1">
        <f ca="1">IFERROR(__xludf.DUMMYFUNCTION("""COMPUTED_VALUE"""),327)</f>
        <v>327</v>
      </c>
      <c r="R331" s="1">
        <f ca="1">IFERROR(__xludf.DUMMYFUNCTION("""COMPUTED_VALUE"""),106.6)</f>
        <v>106.6</v>
      </c>
      <c r="S331" s="1">
        <f ca="1">IFERROR(__xludf.DUMMYFUNCTION("""COMPUTED_VALUE"""),299)</f>
        <v>299</v>
      </c>
      <c r="T331" s="1" t="str">
        <f ca="1">IFERROR(__xludf.DUMMYFUNCTION("""COMPUTED_VALUE"""),"+1.46")</f>
        <v>+1.46</v>
      </c>
      <c r="U331" s="1">
        <f ca="1">IFERROR(__xludf.DUMMYFUNCTION("""COMPUTED_VALUE"""),120)</f>
        <v>120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IFERROR(__xludf.DUMMYFUNCTION("""COMPUTED_VALUE"""),"VMI")</f>
        <v>VMI</v>
      </c>
      <c r="C332" s="1" t="str">
        <f ca="1">IFERROR(__xludf.DUMMYFUNCTION("""COMPUTED_VALUE"""),"BSth")</f>
        <v>BSth</v>
      </c>
      <c r="D332" s="2">
        <f ca="1">IFERROR(__xludf.DUMMYFUNCTION("""COMPUTED_VALUE"""),44762)</f>
        <v>44762</v>
      </c>
      <c r="E332" s="1">
        <f ca="1">IFERROR(__xludf.DUMMYFUNCTION("""COMPUTED_VALUE"""),-17.85)</f>
        <v>-17.850000000000001</v>
      </c>
      <c r="F332" s="1">
        <f ca="1">IFERROR(__xludf.DUMMYFUNCTION("""COMPUTED_VALUE"""),91.6)</f>
        <v>91.6</v>
      </c>
      <c r="G332" s="1">
        <f ca="1">IFERROR(__xludf.DUMMYFUNCTION("""COMPUTED_VALUE"""),317)</f>
        <v>317</v>
      </c>
      <c r="H332" s="1">
        <f ca="1">IFERROR(__xludf.DUMMYFUNCTION("""COMPUTED_VALUE"""),109.5)</f>
        <v>109.5</v>
      </c>
      <c r="I332" s="1">
        <f ca="1">IFERROR(__xludf.DUMMYFUNCTION("""COMPUTED_VALUE"""),284)</f>
        <v>284</v>
      </c>
      <c r="J332" s="1">
        <f ca="1">IFERROR(__xludf.DUMMYFUNCTION("""COMPUTED_VALUE"""),71)</f>
        <v>71</v>
      </c>
      <c r="K332" s="1">
        <f ca="1">IFERROR(__xludf.DUMMYFUNCTION("""COMPUTED_VALUE"""),16)</f>
        <v>16</v>
      </c>
      <c r="L332" s="1">
        <f ca="1">IFERROR(__xludf.DUMMYFUNCTION("""COMPUTED_VALUE"""),-0.05)</f>
        <v>-0.05</v>
      </c>
      <c r="M332" s="1">
        <f ca="1">IFERROR(__xludf.DUMMYFUNCTION("""COMPUTED_VALUE"""),283)</f>
        <v>283</v>
      </c>
      <c r="N332" s="1">
        <f ca="1">IFERROR(__xludf.DUMMYFUNCTION("""COMPUTED_VALUE"""),-6.14)</f>
        <v>-6.14</v>
      </c>
      <c r="O332" s="1">
        <f ca="1">IFERROR(__xludf.DUMMYFUNCTION("""COMPUTED_VALUE"""),273)</f>
        <v>273</v>
      </c>
      <c r="P332" s="1">
        <f ca="1">IFERROR(__xludf.DUMMYFUNCTION("""COMPUTED_VALUE"""),101.2)</f>
        <v>101.2</v>
      </c>
      <c r="Q332" s="1">
        <f ca="1">IFERROR(__xludf.DUMMYFUNCTION("""COMPUTED_VALUE"""),234)</f>
        <v>234</v>
      </c>
      <c r="R332" s="1">
        <f ca="1">IFERROR(__xludf.DUMMYFUNCTION("""COMPUTED_VALUE"""),107.3)</f>
        <v>107.3</v>
      </c>
      <c r="S332" s="1">
        <f ca="1">IFERROR(__xludf.DUMMYFUNCTION("""COMPUTED_VALUE"""),314)</f>
        <v>314</v>
      </c>
      <c r="T332" s="1">
        <f ca="1">IFERROR(__xludf.DUMMYFUNCTION("""COMPUTED_VALUE"""),-4.19)</f>
        <v>-4.1900000000000004</v>
      </c>
      <c r="U332" s="1">
        <f ca="1">IFERROR(__xludf.DUMMYFUNCTION("""COMPUTED_VALUE"""),262)</f>
        <v>262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IFERROR(__xludf.DUMMYFUNCTION("""COMPUTED_VALUE"""),"Centenary")</f>
        <v>Centenary</v>
      </c>
      <c r="C333" s="1" t="str">
        <f ca="1">IFERROR(__xludf.DUMMYFUNCTION("""COMPUTED_VALUE"""),"MCon")</f>
        <v>MCon</v>
      </c>
      <c r="D333" s="2">
        <f ca="1">IFERROR(__xludf.DUMMYFUNCTION("""COMPUTED_VALUE"""),44674)</f>
        <v>44674</v>
      </c>
      <c r="E333" s="1">
        <f ca="1">IFERROR(__xludf.DUMMYFUNCTION("""COMPUTED_VALUE"""),-18.67)</f>
        <v>-18.670000000000002</v>
      </c>
      <c r="F333" s="1">
        <f ca="1">IFERROR(__xludf.DUMMYFUNCTION("""COMPUTED_VALUE"""),94.1)</f>
        <v>94.1</v>
      </c>
      <c r="G333" s="1">
        <f ca="1">IFERROR(__xludf.DUMMYFUNCTION("""COMPUTED_VALUE"""),294)</f>
        <v>294</v>
      </c>
      <c r="H333" s="1">
        <f ca="1">IFERROR(__xludf.DUMMYFUNCTION("""COMPUTED_VALUE"""),112.7)</f>
        <v>112.7</v>
      </c>
      <c r="I333" s="1">
        <f ca="1">IFERROR(__xludf.DUMMYFUNCTION("""COMPUTED_VALUE"""),315)</f>
        <v>315</v>
      </c>
      <c r="J333" s="1">
        <f ca="1">IFERROR(__xludf.DUMMYFUNCTION("""COMPUTED_VALUE"""),66.3)</f>
        <v>66.3</v>
      </c>
      <c r="K333" s="1">
        <f ca="1">IFERROR(__xludf.DUMMYFUNCTION("""COMPUTED_VALUE"""),122)</f>
        <v>122</v>
      </c>
      <c r="L333" s="1">
        <f ca="1">IFERROR(__xludf.DUMMYFUNCTION("""COMPUTED_VALUE"""),-0.032)</f>
        <v>-3.2000000000000001E-2</v>
      </c>
      <c r="M333" s="1">
        <f ca="1">IFERROR(__xludf.DUMMYFUNCTION("""COMPUTED_VALUE"""),246)</f>
        <v>246</v>
      </c>
      <c r="N333" s="1">
        <f ca="1">IFERROR(__xludf.DUMMYFUNCTION("""COMPUTED_VALUE"""),-3.56)</f>
        <v>-3.56</v>
      </c>
      <c r="O333" s="1">
        <f ca="1">IFERROR(__xludf.DUMMYFUNCTION("""COMPUTED_VALUE"""),222)</f>
        <v>222</v>
      </c>
      <c r="P333" s="1">
        <f ca="1">IFERROR(__xludf.DUMMYFUNCTION("""COMPUTED_VALUE"""),103.2)</f>
        <v>103.2</v>
      </c>
      <c r="Q333" s="1">
        <f ca="1">IFERROR(__xludf.DUMMYFUNCTION("""COMPUTED_VALUE"""),163)</f>
        <v>163</v>
      </c>
      <c r="R333" s="1">
        <f ca="1">IFERROR(__xludf.DUMMYFUNCTION("""COMPUTED_VALUE"""),106.7)</f>
        <v>106.7</v>
      </c>
      <c r="S333" s="1">
        <f ca="1">IFERROR(__xludf.DUMMYFUNCTION("""COMPUTED_VALUE"""),303)</f>
        <v>303</v>
      </c>
      <c r="T333" s="1" t="str">
        <f ca="1">IFERROR(__xludf.DUMMYFUNCTION("""COMPUTED_VALUE"""),"+1.75")</f>
        <v>+1.75</v>
      </c>
      <c r="U333" s="1">
        <f ca="1">IFERROR(__xludf.DUMMYFUNCTION("""COMPUTED_VALUE"""),110)</f>
        <v>110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IFERROR(__xludf.DUMMYFUNCTION("""COMPUTED_VALUE"""),"Mercer")</f>
        <v>Mercer</v>
      </c>
      <c r="C334" s="1" t="str">
        <f ca="1">IFERROR(__xludf.DUMMYFUNCTION("""COMPUTED_VALUE"""),"ASun")</f>
        <v>ASun</v>
      </c>
      <c r="D334" s="2">
        <f ca="1">IFERROR(__xludf.DUMMYFUNCTION("""COMPUTED_VALUE"""),44823)</f>
        <v>44823</v>
      </c>
      <c r="E334" s="1">
        <f ca="1">IFERROR(__xludf.DUMMYFUNCTION("""COMPUTED_VALUE"""),-18.73)</f>
        <v>-18.73</v>
      </c>
      <c r="F334" s="1">
        <f ca="1">IFERROR(__xludf.DUMMYFUNCTION("""COMPUTED_VALUE"""),97.1)</f>
        <v>97.1</v>
      </c>
      <c r="G334" s="1">
        <f ca="1">IFERROR(__xludf.DUMMYFUNCTION("""COMPUTED_VALUE"""),260)</f>
        <v>260</v>
      </c>
      <c r="H334" s="1">
        <f ca="1">IFERROR(__xludf.DUMMYFUNCTION("""COMPUTED_VALUE"""),115.8)</f>
        <v>115.8</v>
      </c>
      <c r="I334" s="1">
        <f ca="1">IFERROR(__xludf.DUMMYFUNCTION("""COMPUTED_VALUE"""),333)</f>
        <v>333</v>
      </c>
      <c r="J334" s="1">
        <f ca="1">IFERROR(__xludf.DUMMYFUNCTION("""COMPUTED_VALUE"""),67.3)</f>
        <v>67.3</v>
      </c>
      <c r="K334" s="1">
        <f ca="1">IFERROR(__xludf.DUMMYFUNCTION("""COMPUTED_VALUE"""),94)</f>
        <v>94</v>
      </c>
      <c r="L334" s="1" t="str">
        <f ca="1">IFERROR(__xludf.DUMMYFUNCTION("""COMPUTED_VALUE"""),"+.002")</f>
        <v>+.002</v>
      </c>
      <c r="M334" s="1">
        <f ca="1">IFERROR(__xludf.DUMMYFUNCTION("""COMPUTED_VALUE"""),166)</f>
        <v>166</v>
      </c>
      <c r="N334" s="1">
        <f ca="1">IFERROR(__xludf.DUMMYFUNCTION("""COMPUTED_VALUE"""),-11.04)</f>
        <v>-11.04</v>
      </c>
      <c r="O334" s="1">
        <f ca="1">IFERROR(__xludf.DUMMYFUNCTION("""COMPUTED_VALUE"""),328)</f>
        <v>328</v>
      </c>
      <c r="P334" s="1">
        <f ca="1">IFERROR(__xludf.DUMMYFUNCTION("""COMPUTED_VALUE"""),98.3)</f>
        <v>98.3</v>
      </c>
      <c r="Q334" s="1">
        <f ca="1">IFERROR(__xludf.DUMMYFUNCTION("""COMPUTED_VALUE"""),302)</f>
        <v>302</v>
      </c>
      <c r="R334" s="1">
        <f ca="1">IFERROR(__xludf.DUMMYFUNCTION("""COMPUTED_VALUE"""),109.3)</f>
        <v>109.3</v>
      </c>
      <c r="S334" s="1">
        <f ca="1">IFERROR(__xludf.DUMMYFUNCTION("""COMPUTED_VALUE"""),332)</f>
        <v>332</v>
      </c>
      <c r="T334" s="1">
        <f ca="1">IFERROR(__xludf.DUMMYFUNCTION("""COMPUTED_VALUE"""),-9.96)</f>
        <v>-9.9600000000000009</v>
      </c>
      <c r="U334" s="1">
        <f ca="1">IFERROR(__xludf.DUMMYFUNCTION("""COMPUTED_VALUE"""),327)</f>
        <v>327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IFERROR(__xludf.DUMMYFUNCTION("""COMPUTED_VALUE"""),"Texas Southern")</f>
        <v>Texas Southern</v>
      </c>
      <c r="C335" s="1" t="str">
        <f ca="1">IFERROR(__xludf.DUMMYFUNCTION("""COMPUTED_VALUE"""),"SWAC")</f>
        <v>SWAC</v>
      </c>
      <c r="D335" s="2">
        <f ca="1">IFERROR(__xludf.DUMMYFUNCTION("""COMPUTED_VALUE"""),44795)</f>
        <v>44795</v>
      </c>
      <c r="E335" s="1">
        <f ca="1">IFERROR(__xludf.DUMMYFUNCTION("""COMPUTED_VALUE"""),-19.15)</f>
        <v>-19.149999999999999</v>
      </c>
      <c r="F335" s="1">
        <f ca="1">IFERROR(__xludf.DUMMYFUNCTION("""COMPUTED_VALUE"""),92.2)</f>
        <v>92.2</v>
      </c>
      <c r="G335" s="1">
        <f ca="1">IFERROR(__xludf.DUMMYFUNCTION("""COMPUTED_VALUE"""),312)</f>
        <v>312</v>
      </c>
      <c r="H335" s="1">
        <f ca="1">IFERROR(__xludf.DUMMYFUNCTION("""COMPUTED_VALUE"""),111.3)</f>
        <v>111.3</v>
      </c>
      <c r="I335" s="1">
        <f ca="1">IFERROR(__xludf.DUMMYFUNCTION("""COMPUTED_VALUE"""),305)</f>
        <v>305</v>
      </c>
      <c r="J335" s="1">
        <f ca="1">IFERROR(__xludf.DUMMYFUNCTION("""COMPUTED_VALUE"""),69)</f>
        <v>69</v>
      </c>
      <c r="K335" s="1">
        <f ca="1">IFERROR(__xludf.DUMMYFUNCTION("""COMPUTED_VALUE"""),47)</f>
        <v>47</v>
      </c>
      <c r="L335" s="1">
        <f ca="1">IFERROR(__xludf.DUMMYFUNCTION("""COMPUTED_VALUE"""),-0.042)</f>
        <v>-4.2000000000000003E-2</v>
      </c>
      <c r="M335" s="1">
        <f ca="1">IFERROR(__xludf.DUMMYFUNCTION("""COMPUTED_VALUE"""),267)</f>
        <v>267</v>
      </c>
      <c r="N335" s="1">
        <f ca="1">IFERROR(__xludf.DUMMYFUNCTION("""COMPUTED_VALUE"""),-7.16)</f>
        <v>-7.16</v>
      </c>
      <c r="O335" s="1">
        <f ca="1">IFERROR(__xludf.DUMMYFUNCTION("""COMPUTED_VALUE"""),291)</f>
        <v>291</v>
      </c>
      <c r="P335" s="1">
        <f ca="1">IFERROR(__xludf.DUMMYFUNCTION("""COMPUTED_VALUE"""),97.1)</f>
        <v>97.1</v>
      </c>
      <c r="Q335" s="1">
        <f ca="1">IFERROR(__xludf.DUMMYFUNCTION("""COMPUTED_VALUE"""),318)</f>
        <v>318</v>
      </c>
      <c r="R335" s="1">
        <f ca="1">IFERROR(__xludf.DUMMYFUNCTION("""COMPUTED_VALUE"""),104.3)</f>
        <v>104.3</v>
      </c>
      <c r="S335" s="1">
        <f ca="1">IFERROR(__xludf.DUMMYFUNCTION("""COMPUTED_VALUE"""),197)</f>
        <v>197</v>
      </c>
      <c r="T335" s="1" t="str">
        <f ca="1">IFERROR(__xludf.DUMMYFUNCTION("""COMPUTED_VALUE"""),"+14.82")</f>
        <v>+14.82</v>
      </c>
      <c r="U335" s="1">
        <f ca="1">IFERROR(__xludf.DUMMYFUNCTION("""COMPUTED_VALUE"""),3)</f>
        <v>3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IFERROR(__xludf.DUMMYFUNCTION("""COMPUTED_VALUE"""),"North Carolina A&amp;T")</f>
        <v>North Carolina A&amp;T</v>
      </c>
      <c r="C336" s="1" t="str">
        <f ca="1">IFERROR(__xludf.DUMMYFUNCTION("""COMPUTED_VALUE"""),"MEAC")</f>
        <v>MEAC</v>
      </c>
      <c r="D336" s="2">
        <f ca="1">IFERROR(__xludf.DUMMYFUNCTION("""COMPUTED_VALUE"""),44735)</f>
        <v>44735</v>
      </c>
      <c r="E336" s="1">
        <f ca="1">IFERROR(__xludf.DUMMYFUNCTION("""COMPUTED_VALUE"""),-19.52)</f>
        <v>-19.52</v>
      </c>
      <c r="F336" s="1">
        <f ca="1">IFERROR(__xludf.DUMMYFUNCTION("""COMPUTED_VALUE"""),86)</f>
        <v>86</v>
      </c>
      <c r="G336" s="1">
        <f ca="1">IFERROR(__xludf.DUMMYFUNCTION("""COMPUTED_VALUE"""),331)</f>
        <v>331</v>
      </c>
      <c r="H336" s="1">
        <f ca="1">IFERROR(__xludf.DUMMYFUNCTION("""COMPUTED_VALUE"""),105.6)</f>
        <v>105.6</v>
      </c>
      <c r="I336" s="1">
        <f ca="1">IFERROR(__xludf.DUMMYFUNCTION("""COMPUTED_VALUE"""),210)</f>
        <v>210</v>
      </c>
      <c r="J336" s="1">
        <f ca="1">IFERROR(__xludf.DUMMYFUNCTION("""COMPUTED_VALUE"""),66.9)</f>
        <v>66.900000000000006</v>
      </c>
      <c r="K336" s="1">
        <f ca="1">IFERROR(__xludf.DUMMYFUNCTION("""COMPUTED_VALUE"""),104)</f>
        <v>104</v>
      </c>
      <c r="L336" s="1">
        <f ca="1">IFERROR(__xludf.DUMMYFUNCTION("""COMPUTED_VALUE"""),-0.043)</f>
        <v>-4.2999999999999997E-2</v>
      </c>
      <c r="M336" s="1">
        <f ca="1">IFERROR(__xludf.DUMMYFUNCTION("""COMPUTED_VALUE"""),272)</f>
        <v>272</v>
      </c>
      <c r="N336" s="1">
        <f ca="1">IFERROR(__xludf.DUMMYFUNCTION("""COMPUTED_VALUE"""),-9.13)</f>
        <v>-9.1300000000000008</v>
      </c>
      <c r="O336" s="1">
        <f ca="1">IFERROR(__xludf.DUMMYFUNCTION("""COMPUTED_VALUE"""),316)</f>
        <v>316</v>
      </c>
      <c r="P336" s="1">
        <f ca="1">IFERROR(__xludf.DUMMYFUNCTION("""COMPUTED_VALUE"""),97)</f>
        <v>97</v>
      </c>
      <c r="Q336" s="1">
        <f ca="1">IFERROR(__xludf.DUMMYFUNCTION("""COMPUTED_VALUE"""),320)</f>
        <v>320</v>
      </c>
      <c r="R336" s="1">
        <f ca="1">IFERROR(__xludf.DUMMYFUNCTION("""COMPUTED_VALUE"""),106.1)</f>
        <v>106.1</v>
      </c>
      <c r="S336" s="1">
        <f ca="1">IFERROR(__xludf.DUMMYFUNCTION("""COMPUTED_VALUE"""),280)</f>
        <v>280</v>
      </c>
      <c r="T336" s="1" t="str">
        <f ca="1">IFERROR(__xludf.DUMMYFUNCTION("""COMPUTED_VALUE"""),"+4.79")</f>
        <v>+4.79</v>
      </c>
      <c r="U336" s="1">
        <f ca="1">IFERROR(__xludf.DUMMYFUNCTION("""COMPUTED_VALUE"""),53)</f>
        <v>53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IFERROR(__xludf.DUMMYFUNCTION("""COMPUTED_VALUE"""),"Texas St.")</f>
        <v>Texas St.</v>
      </c>
      <c r="C339" s="1" t="str">
        <f ca="1">IFERROR(__xludf.DUMMYFUNCTION("""COMPUTED_VALUE"""),"Slnd")</f>
        <v>Slnd</v>
      </c>
      <c r="D339" s="2">
        <f ca="1">IFERROR(__xludf.DUMMYFUNCTION("""COMPUTED_VALUE"""),44644)</f>
        <v>44644</v>
      </c>
      <c r="E339" s="1">
        <f ca="1">IFERROR(__xludf.DUMMYFUNCTION("""COMPUTED_VALUE"""),-19.94)</f>
        <v>-19.940000000000001</v>
      </c>
      <c r="F339" s="1">
        <f ca="1">IFERROR(__xludf.DUMMYFUNCTION("""COMPUTED_VALUE"""),93.1)</f>
        <v>93.1</v>
      </c>
      <c r="G339" s="1">
        <f ca="1">IFERROR(__xludf.DUMMYFUNCTION("""COMPUTED_VALUE"""),304)</f>
        <v>304</v>
      </c>
      <c r="H339" s="1">
        <f ca="1">IFERROR(__xludf.DUMMYFUNCTION("""COMPUTED_VALUE"""),113)</f>
        <v>113</v>
      </c>
      <c r="I339" s="1">
        <f ca="1">IFERROR(__xludf.DUMMYFUNCTION("""COMPUTED_VALUE"""),316)</f>
        <v>316</v>
      </c>
      <c r="J339" s="1">
        <f ca="1">IFERROR(__xludf.DUMMYFUNCTION("""COMPUTED_VALUE"""),65.5)</f>
        <v>65.5</v>
      </c>
      <c r="K339" s="1">
        <f ca="1">IFERROR(__xludf.DUMMYFUNCTION("""COMPUTED_VALUE"""),156)</f>
        <v>156</v>
      </c>
      <c r="L339" s="1">
        <f ca="1">IFERROR(__xludf.DUMMYFUNCTION("""COMPUTED_VALUE"""),-0.049)</f>
        <v>-4.9000000000000002E-2</v>
      </c>
      <c r="M339" s="1">
        <f ca="1">IFERROR(__xludf.DUMMYFUNCTION("""COMPUTED_VALUE"""),280)</f>
        <v>280</v>
      </c>
      <c r="N339" s="1">
        <f ca="1">IFERROR(__xludf.DUMMYFUNCTION("""COMPUTED_VALUE"""),-3.62)</f>
        <v>-3.62</v>
      </c>
      <c r="O339" s="1">
        <f ca="1">IFERROR(__xludf.DUMMYFUNCTION("""COMPUTED_VALUE"""),224)</f>
        <v>224</v>
      </c>
      <c r="P339" s="1">
        <f ca="1">IFERROR(__xludf.DUMMYFUNCTION("""COMPUTED_VALUE"""),100.9)</f>
        <v>100.9</v>
      </c>
      <c r="Q339" s="1">
        <f ca="1">IFERROR(__xludf.DUMMYFUNCTION("""COMPUTED_VALUE"""),242)</f>
        <v>242</v>
      </c>
      <c r="R339" s="1">
        <f ca="1">IFERROR(__xludf.DUMMYFUNCTION("""COMPUTED_VALUE"""),104.5)</f>
        <v>104.5</v>
      </c>
      <c r="S339" s="1">
        <f ca="1">IFERROR(__xludf.DUMMYFUNCTION("""COMPUTED_VALUE"""),205)</f>
        <v>205</v>
      </c>
      <c r="T339" s="1" t="str">
        <f ca="1">IFERROR(__xludf.DUMMYFUNCTION("""COMPUTED_VALUE"""),"+0.30")</f>
        <v>+0.30</v>
      </c>
      <c r="U339" s="1">
        <f ca="1">IFERROR(__xludf.DUMMYFUNCTION("""COMPUTED_VALUE"""),147)</f>
        <v>147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IFERROR(__xludf.DUMMYFUNCTION("""COMPUTED_VALUE"""),"Mississippi Valley St.")</f>
        <v>Mississippi Valley St.</v>
      </c>
      <c r="C340" s="1" t="str">
        <f ca="1">IFERROR(__xludf.DUMMYFUNCTION("""COMPUTED_VALUE"""),"SWAC")</f>
        <v>SWAC</v>
      </c>
      <c r="D340" s="2">
        <f ca="1">IFERROR(__xludf.DUMMYFUNCTION("""COMPUTED_VALUE"""),44823)</f>
        <v>44823</v>
      </c>
      <c r="E340" s="1">
        <f ca="1">IFERROR(__xludf.DUMMYFUNCTION("""COMPUTED_VALUE"""),-20.03)</f>
        <v>-20.03</v>
      </c>
      <c r="F340" s="1">
        <f ca="1">IFERROR(__xludf.DUMMYFUNCTION("""COMPUTED_VALUE"""),93.9)</f>
        <v>93.9</v>
      </c>
      <c r="G340" s="1">
        <f ca="1">IFERROR(__xludf.DUMMYFUNCTION("""COMPUTED_VALUE"""),297)</f>
        <v>297</v>
      </c>
      <c r="H340" s="1">
        <f ca="1">IFERROR(__xludf.DUMMYFUNCTION("""COMPUTED_VALUE"""),113.9)</f>
        <v>113.9</v>
      </c>
      <c r="I340" s="1">
        <f ca="1">IFERROR(__xludf.DUMMYFUNCTION("""COMPUTED_VALUE"""),323)</f>
        <v>323</v>
      </c>
      <c r="J340" s="1">
        <f ca="1">IFERROR(__xludf.DUMMYFUNCTION("""COMPUTED_VALUE"""),61)</f>
        <v>61</v>
      </c>
      <c r="K340" s="1">
        <f ca="1">IFERROR(__xludf.DUMMYFUNCTION("""COMPUTED_VALUE"""),307)</f>
        <v>307</v>
      </c>
      <c r="L340" s="1" t="str">
        <f ca="1">IFERROR(__xludf.DUMMYFUNCTION("""COMPUTED_VALUE"""),"+.060")</f>
        <v>+.060</v>
      </c>
      <c r="M340" s="1">
        <f ca="1">IFERROR(__xludf.DUMMYFUNCTION("""COMPUTED_VALUE"""),41)</f>
        <v>41</v>
      </c>
      <c r="N340" s="1">
        <f ca="1">IFERROR(__xludf.DUMMYFUNCTION("""COMPUTED_VALUE"""),-9.26)</f>
        <v>-9.26</v>
      </c>
      <c r="O340" s="1">
        <f ca="1">IFERROR(__xludf.DUMMYFUNCTION("""COMPUTED_VALUE"""),317)</f>
        <v>317</v>
      </c>
      <c r="P340" s="1">
        <f ca="1">IFERROR(__xludf.DUMMYFUNCTION("""COMPUTED_VALUE"""),95.8)</f>
        <v>95.8</v>
      </c>
      <c r="Q340" s="1">
        <f ca="1">IFERROR(__xludf.DUMMYFUNCTION("""COMPUTED_VALUE"""),324)</f>
        <v>324</v>
      </c>
      <c r="R340" s="1">
        <f ca="1">IFERROR(__xludf.DUMMYFUNCTION("""COMPUTED_VALUE"""),105.1)</f>
        <v>105.1</v>
      </c>
      <c r="S340" s="1">
        <f ca="1">IFERROR(__xludf.DUMMYFUNCTION("""COMPUTED_VALUE"""),234)</f>
        <v>234</v>
      </c>
      <c r="T340" s="1" t="str">
        <f ca="1">IFERROR(__xludf.DUMMYFUNCTION("""COMPUTED_VALUE"""),"+7.76")</f>
        <v>+7.76</v>
      </c>
      <c r="U340" s="1">
        <f ca="1">IFERROR(__xludf.DUMMYFUNCTION("""COMPUTED_VALUE"""),27)</f>
        <v>27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IFERROR(__xludf.DUMMYFUNCTION("""COMPUTED_VALUE"""),"Liberty")</f>
        <v>Liberty</v>
      </c>
      <c r="C341" s="1" t="str">
        <f ca="1">IFERROR(__xludf.DUMMYFUNCTION("""COMPUTED_VALUE"""),"BSth")</f>
        <v>BSth</v>
      </c>
      <c r="D341" s="2">
        <f ca="1">IFERROR(__xludf.DUMMYFUNCTION("""COMPUTED_VALUE"""),44765)</f>
        <v>44765</v>
      </c>
      <c r="E341" s="1">
        <f ca="1">IFERROR(__xludf.DUMMYFUNCTION("""COMPUTED_VALUE"""),-20.15)</f>
        <v>-20.149999999999999</v>
      </c>
      <c r="F341" s="1">
        <f ca="1">IFERROR(__xludf.DUMMYFUNCTION("""COMPUTED_VALUE"""),91.2)</f>
        <v>91.2</v>
      </c>
      <c r="G341" s="1">
        <f ca="1">IFERROR(__xludf.DUMMYFUNCTION("""COMPUTED_VALUE"""),320)</f>
        <v>320</v>
      </c>
      <c r="H341" s="1">
        <f ca="1">IFERROR(__xludf.DUMMYFUNCTION("""COMPUTED_VALUE"""),111.3)</f>
        <v>111.3</v>
      </c>
      <c r="I341" s="1">
        <f ca="1">IFERROR(__xludf.DUMMYFUNCTION("""COMPUTED_VALUE"""),306)</f>
        <v>306</v>
      </c>
      <c r="J341" s="1">
        <f ca="1">IFERROR(__xludf.DUMMYFUNCTION("""COMPUTED_VALUE"""),65)</f>
        <v>65</v>
      </c>
      <c r="K341" s="1">
        <f ca="1">IFERROR(__xludf.DUMMYFUNCTION("""COMPUTED_VALUE"""),179)</f>
        <v>179</v>
      </c>
      <c r="L341" s="1" t="str">
        <f ca="1">IFERROR(__xludf.DUMMYFUNCTION("""COMPUTED_VALUE"""),"+.004")</f>
        <v>+.004</v>
      </c>
      <c r="M341" s="1">
        <f ca="1">IFERROR(__xludf.DUMMYFUNCTION("""COMPUTED_VALUE"""),159)</f>
        <v>159</v>
      </c>
      <c r="N341" s="1">
        <f ca="1">IFERROR(__xludf.DUMMYFUNCTION("""COMPUTED_VALUE"""),-3.79)</f>
        <v>-3.79</v>
      </c>
      <c r="O341" s="1">
        <f ca="1">IFERROR(__xludf.DUMMYFUNCTION("""COMPUTED_VALUE"""),228)</f>
        <v>228</v>
      </c>
      <c r="P341" s="1">
        <f ca="1">IFERROR(__xludf.DUMMYFUNCTION("""COMPUTED_VALUE"""),102.1)</f>
        <v>102.1</v>
      </c>
      <c r="Q341" s="1">
        <f ca="1">IFERROR(__xludf.DUMMYFUNCTION("""COMPUTED_VALUE"""),205)</f>
        <v>205</v>
      </c>
      <c r="R341" s="1">
        <f ca="1">IFERROR(__xludf.DUMMYFUNCTION("""COMPUTED_VALUE"""),105.9)</f>
        <v>105.9</v>
      </c>
      <c r="S341" s="1">
        <f ca="1">IFERROR(__xludf.DUMMYFUNCTION("""COMPUTED_VALUE"""),268)</f>
        <v>268</v>
      </c>
      <c r="T341" s="1">
        <f ca="1">IFERROR(__xludf.DUMMYFUNCTION("""COMPUTED_VALUE"""),-0.69)</f>
        <v>-0.69</v>
      </c>
      <c r="U341" s="1">
        <f ca="1">IFERROR(__xludf.DUMMYFUNCTION("""COMPUTED_VALUE"""),167)</f>
        <v>167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IFERROR(__xludf.DUMMYFUNCTION("""COMPUTED_VALUE"""),"North Florida")</f>
        <v>North Florida</v>
      </c>
      <c r="C342" s="1" t="str">
        <f ca="1">IFERROR(__xludf.DUMMYFUNCTION("""COMPUTED_VALUE"""),"ASun")</f>
        <v>ASun</v>
      </c>
      <c r="D342" s="2">
        <f ca="1">IFERROR(__xludf.DUMMYFUNCTION("""COMPUTED_VALUE"""),44734)</f>
        <v>44734</v>
      </c>
      <c r="E342" s="1">
        <f ca="1">IFERROR(__xludf.DUMMYFUNCTION("""COMPUTED_VALUE"""),-21.22)</f>
        <v>-21.22</v>
      </c>
      <c r="F342" s="1">
        <f ca="1">IFERROR(__xludf.DUMMYFUNCTION("""COMPUTED_VALUE"""),94.5)</f>
        <v>94.5</v>
      </c>
      <c r="G342" s="1">
        <f ca="1">IFERROR(__xludf.DUMMYFUNCTION("""COMPUTED_VALUE"""),291)</f>
        <v>291</v>
      </c>
      <c r="H342" s="1">
        <f ca="1">IFERROR(__xludf.DUMMYFUNCTION("""COMPUTED_VALUE"""),115.7)</f>
        <v>115.7</v>
      </c>
      <c r="I342" s="1">
        <f ca="1">IFERROR(__xludf.DUMMYFUNCTION("""COMPUTED_VALUE"""),331)</f>
        <v>331</v>
      </c>
      <c r="J342" s="1">
        <f ca="1">IFERROR(__xludf.DUMMYFUNCTION("""COMPUTED_VALUE"""),65.5)</f>
        <v>65.5</v>
      </c>
      <c r="K342" s="1">
        <f ca="1">IFERROR(__xludf.DUMMYFUNCTION("""COMPUTED_VALUE"""),150)</f>
        <v>150</v>
      </c>
      <c r="L342" s="1">
        <f ca="1">IFERROR(__xludf.DUMMYFUNCTION("""COMPUTED_VALUE"""),-0.093)</f>
        <v>-9.2999999999999999E-2</v>
      </c>
      <c r="M342" s="1">
        <f ca="1">IFERROR(__xludf.DUMMYFUNCTION("""COMPUTED_VALUE"""),316)</f>
        <v>316</v>
      </c>
      <c r="N342" s="1">
        <f ca="1">IFERROR(__xludf.DUMMYFUNCTION("""COMPUTED_VALUE"""),-10.68)</f>
        <v>-10.68</v>
      </c>
      <c r="O342" s="1">
        <f ca="1">IFERROR(__xludf.DUMMYFUNCTION("""COMPUTED_VALUE"""),326)</f>
        <v>326</v>
      </c>
      <c r="P342" s="1">
        <f ca="1">IFERROR(__xludf.DUMMYFUNCTION("""COMPUTED_VALUE"""),98.3)</f>
        <v>98.3</v>
      </c>
      <c r="Q342" s="1">
        <f ca="1">IFERROR(__xludf.DUMMYFUNCTION("""COMPUTED_VALUE"""),303)</f>
        <v>303</v>
      </c>
      <c r="R342" s="1">
        <f ca="1">IFERROR(__xludf.DUMMYFUNCTION("""COMPUTED_VALUE"""),108.9)</f>
        <v>108.9</v>
      </c>
      <c r="S342" s="1">
        <f ca="1">IFERROR(__xludf.DUMMYFUNCTION("""COMPUTED_VALUE"""),330)</f>
        <v>330</v>
      </c>
      <c r="T342" s="1">
        <f ca="1">IFERROR(__xludf.DUMMYFUNCTION("""COMPUTED_VALUE"""),-7.28)</f>
        <v>-7.28</v>
      </c>
      <c r="U342" s="1">
        <f ca="1">IFERROR(__xludf.DUMMYFUNCTION("""COMPUTED_VALUE"""),310)</f>
        <v>310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IFERROR(__xludf.DUMMYFUNCTION("""COMPUTED_VALUE"""),"Maryland Eastern Shore")</f>
        <v>Maryland Eastern Shore</v>
      </c>
      <c r="C343" s="1" t="str">
        <f ca="1">IFERROR(__xludf.DUMMYFUNCTION("""COMPUTED_VALUE"""),"MEAC")</f>
        <v>MEAC</v>
      </c>
      <c r="D343" s="2">
        <f ca="1">IFERROR(__xludf.DUMMYFUNCTION("""COMPUTED_VALUE"""),44764)</f>
        <v>44764</v>
      </c>
      <c r="E343" s="1">
        <f ca="1">IFERROR(__xludf.DUMMYFUNCTION("""COMPUTED_VALUE"""),-21.28)</f>
        <v>-21.28</v>
      </c>
      <c r="F343" s="1">
        <f ca="1">IFERROR(__xludf.DUMMYFUNCTION("""COMPUTED_VALUE"""),90.7)</f>
        <v>90.7</v>
      </c>
      <c r="G343" s="1">
        <f ca="1">IFERROR(__xludf.DUMMYFUNCTION("""COMPUTED_VALUE"""),324)</f>
        <v>324</v>
      </c>
      <c r="H343" s="1">
        <f ca="1">IFERROR(__xludf.DUMMYFUNCTION("""COMPUTED_VALUE"""),112)</f>
        <v>112</v>
      </c>
      <c r="I343" s="1">
        <f ca="1">IFERROR(__xludf.DUMMYFUNCTION("""COMPUTED_VALUE"""),311)</f>
        <v>311</v>
      </c>
      <c r="J343" s="1">
        <f ca="1">IFERROR(__xludf.DUMMYFUNCTION("""COMPUTED_VALUE"""),69.6)</f>
        <v>69.599999999999994</v>
      </c>
      <c r="K343" s="1">
        <f ca="1">IFERROR(__xludf.DUMMYFUNCTION("""COMPUTED_VALUE"""),33)</f>
        <v>33</v>
      </c>
      <c r="L343" s="1" t="str">
        <f ca="1">IFERROR(__xludf.DUMMYFUNCTION("""COMPUTED_VALUE"""),"+.007")</f>
        <v>+.007</v>
      </c>
      <c r="M343" s="1">
        <f ca="1">IFERROR(__xludf.DUMMYFUNCTION("""COMPUTED_VALUE"""),150)</f>
        <v>150</v>
      </c>
      <c r="N343" s="1">
        <f ca="1">IFERROR(__xludf.DUMMYFUNCTION("""COMPUTED_VALUE"""),-10.64)</f>
        <v>-10.64</v>
      </c>
      <c r="O343" s="1">
        <f ca="1">IFERROR(__xludf.DUMMYFUNCTION("""COMPUTED_VALUE"""),325)</f>
        <v>325</v>
      </c>
      <c r="P343" s="1">
        <f ca="1">IFERROR(__xludf.DUMMYFUNCTION("""COMPUTED_VALUE"""),95.2)</f>
        <v>95.2</v>
      </c>
      <c r="Q343" s="1">
        <f ca="1">IFERROR(__xludf.DUMMYFUNCTION("""COMPUTED_VALUE"""),330)</f>
        <v>330</v>
      </c>
      <c r="R343" s="1">
        <f ca="1">IFERROR(__xludf.DUMMYFUNCTION("""COMPUTED_VALUE"""),105.8)</f>
        <v>105.8</v>
      </c>
      <c r="S343" s="1">
        <f ca="1">IFERROR(__xludf.DUMMYFUNCTION("""COMPUTED_VALUE"""),267)</f>
        <v>267</v>
      </c>
      <c r="T343" s="1" t="str">
        <f ca="1">IFERROR(__xludf.DUMMYFUNCTION("""COMPUTED_VALUE"""),"+0.41")</f>
        <v>+0.41</v>
      </c>
      <c r="U343" s="1">
        <f ca="1">IFERROR(__xludf.DUMMYFUNCTION("""COMPUTED_VALUE"""),144)</f>
        <v>144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IFERROR(__xludf.DUMMYFUNCTION("""COMPUTED_VALUE"""),"St. Francis PA")</f>
        <v>St. Francis PA</v>
      </c>
      <c r="C344" s="1" t="str">
        <f ca="1">IFERROR(__xludf.DUMMYFUNCTION("""COMPUTED_VALUE"""),"NEC")</f>
        <v>NEC</v>
      </c>
      <c r="D344" s="2">
        <f ca="1">IFERROR(__xludf.DUMMYFUNCTION("""COMPUTED_VALUE"""),44675)</f>
        <v>44675</v>
      </c>
      <c r="E344" s="1">
        <f ca="1">IFERROR(__xludf.DUMMYFUNCTION("""COMPUTED_VALUE"""),-21.49)</f>
        <v>-21.49</v>
      </c>
      <c r="F344" s="1">
        <f ca="1">IFERROR(__xludf.DUMMYFUNCTION("""COMPUTED_VALUE"""),93.9)</f>
        <v>93.9</v>
      </c>
      <c r="G344" s="1">
        <f ca="1">IFERROR(__xludf.DUMMYFUNCTION("""COMPUTED_VALUE"""),298)</f>
        <v>298</v>
      </c>
      <c r="H344" s="1">
        <f ca="1">IFERROR(__xludf.DUMMYFUNCTION("""COMPUTED_VALUE"""),115.4)</f>
        <v>115.4</v>
      </c>
      <c r="I344" s="1">
        <f ca="1">IFERROR(__xludf.DUMMYFUNCTION("""COMPUTED_VALUE"""),328)</f>
        <v>328</v>
      </c>
      <c r="J344" s="1">
        <f ca="1">IFERROR(__xludf.DUMMYFUNCTION("""COMPUTED_VALUE"""),60.5)</f>
        <v>60.5</v>
      </c>
      <c r="K344" s="1">
        <f ca="1">IFERROR(__xludf.DUMMYFUNCTION("""COMPUTED_VALUE"""),312)</f>
        <v>312</v>
      </c>
      <c r="L344" s="1">
        <f ca="1">IFERROR(__xludf.DUMMYFUNCTION("""COMPUTED_VALUE"""),-0.021)</f>
        <v>-2.1000000000000001E-2</v>
      </c>
      <c r="M344" s="1">
        <f ca="1">IFERROR(__xludf.DUMMYFUNCTION("""COMPUTED_VALUE"""),215)</f>
        <v>215</v>
      </c>
      <c r="N344" s="1">
        <f ca="1">IFERROR(__xludf.DUMMYFUNCTION("""COMPUTED_VALUE"""),-4.9)</f>
        <v>-4.9000000000000004</v>
      </c>
      <c r="O344" s="1">
        <f ca="1">IFERROR(__xludf.DUMMYFUNCTION("""COMPUTED_VALUE"""),251)</f>
        <v>251</v>
      </c>
      <c r="P344" s="1">
        <f ca="1">IFERROR(__xludf.DUMMYFUNCTION("""COMPUTED_VALUE"""),100.5)</f>
        <v>100.5</v>
      </c>
      <c r="Q344" s="1">
        <f ca="1">IFERROR(__xludf.DUMMYFUNCTION("""COMPUTED_VALUE"""),256)</f>
        <v>256</v>
      </c>
      <c r="R344" s="1">
        <f ca="1">IFERROR(__xludf.DUMMYFUNCTION("""COMPUTED_VALUE"""),105.4)</f>
        <v>105.4</v>
      </c>
      <c r="S344" s="1">
        <f ca="1">IFERROR(__xludf.DUMMYFUNCTION("""COMPUTED_VALUE"""),252)</f>
        <v>252</v>
      </c>
      <c r="T344" s="1" t="str">
        <f ca="1">IFERROR(__xludf.DUMMYFUNCTION("""COMPUTED_VALUE"""),"+0.03")</f>
        <v>+0.03</v>
      </c>
      <c r="U344" s="1">
        <f ca="1">IFERROR(__xludf.DUMMYFUNCTION("""COMPUTED_VALUE"""),156)</f>
        <v>156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IFERROR(__xludf.DUMMYFUNCTION("""COMPUTED_VALUE"""),"Texas Pan American")</f>
        <v>Texas Pan American</v>
      </c>
      <c r="C345" s="1" t="str">
        <f ca="1">IFERROR(__xludf.DUMMYFUNCTION("""COMPUTED_VALUE"""),"ind")</f>
        <v>ind</v>
      </c>
      <c r="D345" s="2">
        <f ca="1">IFERROR(__xludf.DUMMYFUNCTION("""COMPUTED_VALUE"""),44766)</f>
        <v>44766</v>
      </c>
      <c r="E345" s="1">
        <f ca="1">IFERROR(__xludf.DUMMYFUNCTION("""COMPUTED_VALUE"""),-21.53)</f>
        <v>-21.53</v>
      </c>
      <c r="F345" s="1">
        <f ca="1">IFERROR(__xludf.DUMMYFUNCTION("""COMPUTED_VALUE"""),88.4)</f>
        <v>88.4</v>
      </c>
      <c r="G345" s="1">
        <f ca="1">IFERROR(__xludf.DUMMYFUNCTION("""COMPUTED_VALUE"""),328)</f>
        <v>328</v>
      </c>
      <c r="H345" s="1">
        <f ca="1">IFERROR(__xludf.DUMMYFUNCTION("""COMPUTED_VALUE"""),110)</f>
        <v>110</v>
      </c>
      <c r="I345" s="1">
        <f ca="1">IFERROR(__xludf.DUMMYFUNCTION("""COMPUTED_VALUE"""),289)</f>
        <v>289</v>
      </c>
      <c r="J345" s="1">
        <f ca="1">IFERROR(__xludf.DUMMYFUNCTION("""COMPUTED_VALUE"""),65.5)</f>
        <v>65.5</v>
      </c>
      <c r="K345" s="1">
        <f ca="1">IFERROR(__xludf.DUMMYFUNCTION("""COMPUTED_VALUE"""),151)</f>
        <v>151</v>
      </c>
      <c r="L345" s="1">
        <f ca="1">IFERROR(__xludf.DUMMYFUNCTION("""COMPUTED_VALUE"""),-0.045)</f>
        <v>-4.4999999999999998E-2</v>
      </c>
      <c r="M345" s="1">
        <f ca="1">IFERROR(__xludf.DUMMYFUNCTION("""COMPUTED_VALUE"""),275)</f>
        <v>275</v>
      </c>
      <c r="N345" s="1">
        <f ca="1">IFERROR(__xludf.DUMMYFUNCTION("""COMPUTED_VALUE"""),-1.98)</f>
        <v>-1.98</v>
      </c>
      <c r="O345" s="1">
        <f ca="1">IFERROR(__xludf.DUMMYFUNCTION("""COMPUTED_VALUE"""),198)</f>
        <v>198</v>
      </c>
      <c r="P345" s="1">
        <f ca="1">IFERROR(__xludf.DUMMYFUNCTION("""COMPUTED_VALUE"""),102.1)</f>
        <v>102.1</v>
      </c>
      <c r="Q345" s="1">
        <f ca="1">IFERROR(__xludf.DUMMYFUNCTION("""COMPUTED_VALUE"""),204)</f>
        <v>204</v>
      </c>
      <c r="R345" s="1">
        <f ca="1">IFERROR(__xludf.DUMMYFUNCTION("""COMPUTED_VALUE"""),104.1)</f>
        <v>104.1</v>
      </c>
      <c r="S345" s="1">
        <f ca="1">IFERROR(__xludf.DUMMYFUNCTION("""COMPUTED_VALUE"""),188)</f>
        <v>188</v>
      </c>
      <c r="T345" s="1" t="str">
        <f ca="1">IFERROR(__xludf.DUMMYFUNCTION("""COMPUTED_VALUE"""),"+3.29")</f>
        <v>+3.29</v>
      </c>
      <c r="U345" s="1">
        <f ca="1">IFERROR(__xludf.DUMMYFUNCTION("""COMPUTED_VALUE"""),68)</f>
        <v>68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IFERROR(__xludf.DUMMYFUNCTION("""COMPUTED_VALUE"""),"Morehead St.")</f>
        <v>Morehead St.</v>
      </c>
      <c r="C346" s="1" t="str">
        <f ca="1">IFERROR(__xludf.DUMMYFUNCTION("""COMPUTED_VALUE"""),"OVC")</f>
        <v>OVC</v>
      </c>
      <c r="D346" s="2">
        <f ca="1">IFERROR(__xludf.DUMMYFUNCTION("""COMPUTED_VALUE"""),44674)</f>
        <v>44674</v>
      </c>
      <c r="E346" s="1">
        <f ca="1">IFERROR(__xludf.DUMMYFUNCTION("""COMPUTED_VALUE"""),-21.58)</f>
        <v>-21.58</v>
      </c>
      <c r="F346" s="1">
        <f ca="1">IFERROR(__xludf.DUMMYFUNCTION("""COMPUTED_VALUE"""),91.1)</f>
        <v>91.1</v>
      </c>
      <c r="G346" s="1">
        <f ca="1">IFERROR(__xludf.DUMMYFUNCTION("""COMPUTED_VALUE"""),321)</f>
        <v>321</v>
      </c>
      <c r="H346" s="1">
        <f ca="1">IFERROR(__xludf.DUMMYFUNCTION("""COMPUTED_VALUE"""),112.7)</f>
        <v>112.7</v>
      </c>
      <c r="I346" s="1">
        <f ca="1">IFERROR(__xludf.DUMMYFUNCTION("""COMPUTED_VALUE"""),314)</f>
        <v>314</v>
      </c>
      <c r="J346" s="1">
        <f ca="1">IFERROR(__xludf.DUMMYFUNCTION("""COMPUTED_VALUE"""),63.9)</f>
        <v>63.9</v>
      </c>
      <c r="K346" s="1">
        <f ca="1">IFERROR(__xludf.DUMMYFUNCTION("""COMPUTED_VALUE"""),234)</f>
        <v>234</v>
      </c>
      <c r="L346" s="1">
        <f ca="1">IFERROR(__xludf.DUMMYFUNCTION("""COMPUTED_VALUE"""),-0.068)</f>
        <v>-6.8000000000000005E-2</v>
      </c>
      <c r="M346" s="1">
        <f ca="1">IFERROR(__xludf.DUMMYFUNCTION("""COMPUTED_VALUE"""),304)</f>
        <v>304</v>
      </c>
      <c r="N346" s="1">
        <f ca="1">IFERROR(__xludf.DUMMYFUNCTION("""COMPUTED_VALUE"""),-4.59)</f>
        <v>-4.59</v>
      </c>
      <c r="O346" s="1">
        <f ca="1">IFERROR(__xludf.DUMMYFUNCTION("""COMPUTED_VALUE"""),248)</f>
        <v>248</v>
      </c>
      <c r="P346" s="1">
        <f ca="1">IFERROR(__xludf.DUMMYFUNCTION("""COMPUTED_VALUE"""),101.8)</f>
        <v>101.8</v>
      </c>
      <c r="Q346" s="1">
        <f ca="1">IFERROR(__xludf.DUMMYFUNCTION("""COMPUTED_VALUE"""),213)</f>
        <v>213</v>
      </c>
      <c r="R346" s="1">
        <f ca="1">IFERROR(__xludf.DUMMYFUNCTION("""COMPUTED_VALUE"""),106.4)</f>
        <v>106.4</v>
      </c>
      <c r="S346" s="1">
        <f ca="1">IFERROR(__xludf.DUMMYFUNCTION("""COMPUTED_VALUE"""),295)</f>
        <v>295</v>
      </c>
      <c r="T346" s="1" t="str">
        <f ca="1">IFERROR(__xludf.DUMMYFUNCTION("""COMPUTED_VALUE"""),"+1.69")</f>
        <v>+1.69</v>
      </c>
      <c r="U346" s="1">
        <f ca="1">IFERROR(__xludf.DUMMYFUNCTION("""COMPUTED_VALUE"""),113)</f>
        <v>113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IFERROR(__xludf.DUMMYFUNCTION("""COMPUTED_VALUE"""),"Jacksonville")</f>
        <v>Jacksonville</v>
      </c>
      <c r="C347" s="1" t="str">
        <f ca="1">IFERROR(__xludf.DUMMYFUNCTION("""COMPUTED_VALUE"""),"ASun")</f>
        <v>ASun</v>
      </c>
      <c r="D347" s="2">
        <f ca="1">IFERROR(__xludf.DUMMYFUNCTION("""COMPUTED_VALUE"""),44587)</f>
        <v>44587</v>
      </c>
      <c r="E347" s="1">
        <f ca="1">IFERROR(__xludf.DUMMYFUNCTION("""COMPUTED_VALUE"""),-22.53)</f>
        <v>-22.53</v>
      </c>
      <c r="F347" s="1">
        <f ca="1">IFERROR(__xludf.DUMMYFUNCTION("""COMPUTED_VALUE"""),93.2)</f>
        <v>93.2</v>
      </c>
      <c r="G347" s="1">
        <f ca="1">IFERROR(__xludf.DUMMYFUNCTION("""COMPUTED_VALUE"""),302)</f>
        <v>302</v>
      </c>
      <c r="H347" s="1">
        <f ca="1">IFERROR(__xludf.DUMMYFUNCTION("""COMPUTED_VALUE"""),115.7)</f>
        <v>115.7</v>
      </c>
      <c r="I347" s="1">
        <f ca="1">IFERROR(__xludf.DUMMYFUNCTION("""COMPUTED_VALUE"""),330)</f>
        <v>330</v>
      </c>
      <c r="J347" s="1">
        <f ca="1">IFERROR(__xludf.DUMMYFUNCTION("""COMPUTED_VALUE"""),72.1)</f>
        <v>72.099999999999994</v>
      </c>
      <c r="K347" s="1">
        <f ca="1">IFERROR(__xludf.DUMMYFUNCTION("""COMPUTED_VALUE"""),8)</f>
        <v>8</v>
      </c>
      <c r="L347" s="1">
        <f ca="1">IFERROR(__xludf.DUMMYFUNCTION("""COMPUTED_VALUE"""),-0.084)</f>
        <v>-8.4000000000000005E-2</v>
      </c>
      <c r="M347" s="1">
        <f ca="1">IFERROR(__xludf.DUMMYFUNCTION("""COMPUTED_VALUE"""),311)</f>
        <v>311</v>
      </c>
      <c r="N347" s="1">
        <f ca="1">IFERROR(__xludf.DUMMYFUNCTION("""COMPUTED_VALUE"""),-6.87)</f>
        <v>-6.87</v>
      </c>
      <c r="O347" s="1">
        <f ca="1">IFERROR(__xludf.DUMMYFUNCTION("""COMPUTED_VALUE"""),289)</f>
        <v>289</v>
      </c>
      <c r="P347" s="1">
        <f ca="1">IFERROR(__xludf.DUMMYFUNCTION("""COMPUTED_VALUE"""),100.7)</f>
        <v>100.7</v>
      </c>
      <c r="Q347" s="1">
        <f ca="1">IFERROR(__xludf.DUMMYFUNCTION("""COMPUTED_VALUE"""),246)</f>
        <v>246</v>
      </c>
      <c r="R347" s="1">
        <f ca="1">IFERROR(__xludf.DUMMYFUNCTION("""COMPUTED_VALUE"""),107.6)</f>
        <v>107.6</v>
      </c>
      <c r="S347" s="1">
        <f ca="1">IFERROR(__xludf.DUMMYFUNCTION("""COMPUTED_VALUE"""),321)</f>
        <v>321</v>
      </c>
      <c r="T347" s="1" t="str">
        <f ca="1">IFERROR(__xludf.DUMMYFUNCTION("""COMPUTED_VALUE"""),"+7.28")</f>
        <v>+7.28</v>
      </c>
      <c r="U347" s="1">
        <f ca="1">IFERROR(__xludf.DUMMYFUNCTION("""COMPUTED_VALUE"""),29)</f>
        <v>29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IFERROR(__xludf.DUMMYFUNCTION("""COMPUTED_VALUE"""),"The Citadel")</f>
        <v>The Citadel</v>
      </c>
      <c r="C348" s="1" t="str">
        <f ca="1">IFERROR(__xludf.DUMMYFUNCTION("""COMPUTED_VALUE"""),"SC")</f>
        <v>SC</v>
      </c>
      <c r="D348" s="2">
        <f ca="1">IFERROR(__xludf.DUMMYFUNCTION("""COMPUTED_VALUE"""),44855)</f>
        <v>44855</v>
      </c>
      <c r="E348" s="1">
        <f ca="1">IFERROR(__xludf.DUMMYFUNCTION("""COMPUTED_VALUE"""),-24.46)</f>
        <v>-24.46</v>
      </c>
      <c r="F348" s="1">
        <f ca="1">IFERROR(__xludf.DUMMYFUNCTION("""COMPUTED_VALUE"""),91)</f>
        <v>91</v>
      </c>
      <c r="G348" s="1">
        <f ca="1">IFERROR(__xludf.DUMMYFUNCTION("""COMPUTED_VALUE"""),322)</f>
        <v>322</v>
      </c>
      <c r="H348" s="1">
        <f ca="1">IFERROR(__xludf.DUMMYFUNCTION("""COMPUTED_VALUE"""),115.4)</f>
        <v>115.4</v>
      </c>
      <c r="I348" s="1">
        <f ca="1">IFERROR(__xludf.DUMMYFUNCTION("""COMPUTED_VALUE"""),329)</f>
        <v>329</v>
      </c>
      <c r="J348" s="1">
        <f ca="1">IFERROR(__xludf.DUMMYFUNCTION("""COMPUTED_VALUE"""),64.8)</f>
        <v>64.8</v>
      </c>
      <c r="K348" s="1">
        <f ca="1">IFERROR(__xludf.DUMMYFUNCTION("""COMPUTED_VALUE"""),186)</f>
        <v>186</v>
      </c>
      <c r="L348" s="1" t="str">
        <f ca="1">IFERROR(__xludf.DUMMYFUNCTION("""COMPUTED_VALUE"""),"+.042")</f>
        <v>+.042</v>
      </c>
      <c r="M348" s="1">
        <f ca="1">IFERROR(__xludf.DUMMYFUNCTION("""COMPUTED_VALUE"""),68)</f>
        <v>68</v>
      </c>
      <c r="N348" s="1">
        <f ca="1">IFERROR(__xludf.DUMMYFUNCTION("""COMPUTED_VALUE"""),-7.49)</f>
        <v>-7.49</v>
      </c>
      <c r="O348" s="1">
        <f ca="1">IFERROR(__xludf.DUMMYFUNCTION("""COMPUTED_VALUE"""),296)</f>
        <v>296</v>
      </c>
      <c r="P348" s="1">
        <f ca="1">IFERROR(__xludf.DUMMYFUNCTION("""COMPUTED_VALUE"""),99.4)</f>
        <v>99.4</v>
      </c>
      <c r="Q348" s="1">
        <f ca="1">IFERROR(__xludf.DUMMYFUNCTION("""COMPUTED_VALUE"""),283)</f>
        <v>283</v>
      </c>
      <c r="R348" s="1">
        <f ca="1">IFERROR(__xludf.DUMMYFUNCTION("""COMPUTED_VALUE"""),106.9)</f>
        <v>106.9</v>
      </c>
      <c r="S348" s="1">
        <f ca="1">IFERROR(__xludf.DUMMYFUNCTION("""COMPUTED_VALUE"""),307)</f>
        <v>307</v>
      </c>
      <c r="T348" s="1">
        <f ca="1">IFERROR(__xludf.DUMMYFUNCTION("""COMPUTED_VALUE"""),-13.27)</f>
        <v>-13.27</v>
      </c>
      <c r="U348" s="1">
        <f ca="1">IFERROR(__xludf.DUMMYFUNCTION("""COMPUTED_VALUE"""),332)</f>
        <v>332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IFERROR(__xludf.DUMMYFUNCTION("""COMPUTED_VALUE"""),"Army")</f>
        <v>Army</v>
      </c>
      <c r="C349" s="1" t="str">
        <f ca="1">IFERROR(__xludf.DUMMYFUNCTION("""COMPUTED_VALUE"""),"Pat")</f>
        <v>Pat</v>
      </c>
      <c r="D349" s="2">
        <f ca="1">IFERROR(__xludf.DUMMYFUNCTION("""COMPUTED_VALUE"""),44703)</f>
        <v>44703</v>
      </c>
      <c r="E349" s="1">
        <f ca="1">IFERROR(__xludf.DUMMYFUNCTION("""COMPUTED_VALUE"""),-26.5)</f>
        <v>-26.5</v>
      </c>
      <c r="F349" s="1">
        <f ca="1">IFERROR(__xludf.DUMMYFUNCTION("""COMPUTED_VALUE"""),87.9)</f>
        <v>87.9</v>
      </c>
      <c r="G349" s="1">
        <f ca="1">IFERROR(__xludf.DUMMYFUNCTION("""COMPUTED_VALUE"""),329)</f>
        <v>329</v>
      </c>
      <c r="H349" s="1">
        <f ca="1">IFERROR(__xludf.DUMMYFUNCTION("""COMPUTED_VALUE"""),114.4)</f>
        <v>114.4</v>
      </c>
      <c r="I349" s="1">
        <f ca="1">IFERROR(__xludf.DUMMYFUNCTION("""COMPUTED_VALUE"""),325)</f>
        <v>325</v>
      </c>
      <c r="J349" s="1">
        <f ca="1">IFERROR(__xludf.DUMMYFUNCTION("""COMPUTED_VALUE"""),60.4)</f>
        <v>60.4</v>
      </c>
      <c r="K349" s="1">
        <f ca="1">IFERROR(__xludf.DUMMYFUNCTION("""COMPUTED_VALUE"""),313)</f>
        <v>313</v>
      </c>
      <c r="L349" s="1">
        <f ca="1">IFERROR(__xludf.DUMMYFUNCTION("""COMPUTED_VALUE"""),-0.028)</f>
        <v>-2.8000000000000001E-2</v>
      </c>
      <c r="M349" s="1">
        <f ca="1">IFERROR(__xludf.DUMMYFUNCTION("""COMPUTED_VALUE"""),233)</f>
        <v>233</v>
      </c>
      <c r="N349" s="1">
        <f ca="1">IFERROR(__xludf.DUMMYFUNCTION("""COMPUTED_VALUE"""),-6.81)</f>
        <v>-6.81</v>
      </c>
      <c r="O349" s="1">
        <f ca="1">IFERROR(__xludf.DUMMYFUNCTION("""COMPUTED_VALUE"""),286)</f>
        <v>286</v>
      </c>
      <c r="P349" s="1">
        <f ca="1">IFERROR(__xludf.DUMMYFUNCTION("""COMPUTED_VALUE"""),97.8)</f>
        <v>97.8</v>
      </c>
      <c r="Q349" s="1">
        <f ca="1">IFERROR(__xludf.DUMMYFUNCTION("""COMPUTED_VALUE"""),309)</f>
        <v>309</v>
      </c>
      <c r="R349" s="1">
        <f ca="1">IFERROR(__xludf.DUMMYFUNCTION("""COMPUTED_VALUE"""),104.6)</f>
        <v>104.6</v>
      </c>
      <c r="S349" s="1">
        <f ca="1">IFERROR(__xludf.DUMMYFUNCTION("""COMPUTED_VALUE"""),210)</f>
        <v>210</v>
      </c>
      <c r="T349" s="1">
        <f ca="1">IFERROR(__xludf.DUMMYFUNCTION("""COMPUTED_VALUE"""),-9.89)</f>
        <v>-9.89</v>
      </c>
      <c r="U349" s="1">
        <f ca="1">IFERROR(__xludf.DUMMYFUNCTION("""COMPUTED_VALUE"""),326)</f>
        <v>326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IFERROR(__xludf.DUMMYFUNCTION("""COMPUTED_VALUE"""),"Prairie View A&amp;M")</f>
        <v>Prairie View A&amp;M</v>
      </c>
      <c r="C350" s="1" t="str">
        <f ca="1">IFERROR(__xludf.DUMMYFUNCTION("""COMPUTED_VALUE"""),"SWAC")</f>
        <v>SWAC</v>
      </c>
      <c r="D350" s="2">
        <f ca="1">IFERROR(__xludf.DUMMYFUNCTION("""COMPUTED_VALUE"""),44705)</f>
        <v>44705</v>
      </c>
      <c r="E350" s="1">
        <f ca="1">IFERROR(__xludf.DUMMYFUNCTION("""COMPUTED_VALUE"""),-27.79)</f>
        <v>-27.79</v>
      </c>
      <c r="F350" s="1">
        <f ca="1">IFERROR(__xludf.DUMMYFUNCTION("""COMPUTED_VALUE"""),86.9)</f>
        <v>86.9</v>
      </c>
      <c r="G350" s="1">
        <f ca="1">IFERROR(__xludf.DUMMYFUNCTION("""COMPUTED_VALUE"""),330)</f>
        <v>330</v>
      </c>
      <c r="H350" s="1">
        <f ca="1">IFERROR(__xludf.DUMMYFUNCTION("""COMPUTED_VALUE"""),114.6)</f>
        <v>114.6</v>
      </c>
      <c r="I350" s="1">
        <f ca="1">IFERROR(__xludf.DUMMYFUNCTION("""COMPUTED_VALUE"""),326)</f>
        <v>326</v>
      </c>
      <c r="J350" s="1">
        <f ca="1">IFERROR(__xludf.DUMMYFUNCTION("""COMPUTED_VALUE"""),71.3)</f>
        <v>71.3</v>
      </c>
      <c r="K350" s="1">
        <f ca="1">IFERROR(__xludf.DUMMYFUNCTION("""COMPUTED_VALUE"""),11)</f>
        <v>11</v>
      </c>
      <c r="L350" s="1">
        <f ca="1">IFERROR(__xludf.DUMMYFUNCTION("""COMPUTED_VALUE"""),-0.066)</f>
        <v>-6.6000000000000003E-2</v>
      </c>
      <c r="M350" s="1">
        <f ca="1">IFERROR(__xludf.DUMMYFUNCTION("""COMPUTED_VALUE"""),299)</f>
        <v>299</v>
      </c>
      <c r="N350" s="1">
        <f ca="1">IFERROR(__xludf.DUMMYFUNCTION("""COMPUTED_VALUE"""),-9.93)</f>
        <v>-9.93</v>
      </c>
      <c r="O350" s="1">
        <f ca="1">IFERROR(__xludf.DUMMYFUNCTION("""COMPUTED_VALUE"""),322)</f>
        <v>322</v>
      </c>
      <c r="P350" s="1">
        <f ca="1">IFERROR(__xludf.DUMMYFUNCTION("""COMPUTED_VALUE"""),95.8)</f>
        <v>95.8</v>
      </c>
      <c r="Q350" s="1">
        <f ca="1">IFERROR(__xludf.DUMMYFUNCTION("""COMPUTED_VALUE"""),326)</f>
        <v>326</v>
      </c>
      <c r="R350" s="1">
        <f ca="1">IFERROR(__xludf.DUMMYFUNCTION("""COMPUTED_VALUE"""),105.7)</f>
        <v>105.7</v>
      </c>
      <c r="S350" s="1">
        <f ca="1">IFERROR(__xludf.DUMMYFUNCTION("""COMPUTED_VALUE"""),263)</f>
        <v>263</v>
      </c>
      <c r="T350" s="1" t="str">
        <f ca="1">IFERROR(__xludf.DUMMYFUNCTION("""COMPUTED_VALUE"""),"+2.10")</f>
        <v>+2.10</v>
      </c>
      <c r="U350" s="1">
        <f ca="1">IFERROR(__xludf.DUMMYFUNCTION("""COMPUTED_VALUE"""),95)</f>
        <v>95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IFERROR(__xludf.DUMMYFUNCTION("""COMPUTED_VALUE"""),"Morgan St.")</f>
        <v>Morgan St.</v>
      </c>
      <c r="C351" s="1" t="str">
        <f ca="1">IFERROR(__xludf.DUMMYFUNCTION("""COMPUTED_VALUE"""),"MEAC")</f>
        <v>MEAC</v>
      </c>
      <c r="D351" s="2">
        <f ca="1">IFERROR(__xludf.DUMMYFUNCTION("""COMPUTED_VALUE"""),44677)</f>
        <v>44677</v>
      </c>
      <c r="E351" s="1">
        <f ca="1">IFERROR(__xludf.DUMMYFUNCTION("""COMPUTED_VALUE"""),-31.06)</f>
        <v>-31.06</v>
      </c>
      <c r="F351" s="1">
        <f ca="1">IFERROR(__xludf.DUMMYFUNCTION("""COMPUTED_VALUE"""),79.4)</f>
        <v>79.400000000000006</v>
      </c>
      <c r="G351" s="1">
        <f ca="1">IFERROR(__xludf.DUMMYFUNCTION("""COMPUTED_VALUE"""),334)</f>
        <v>334</v>
      </c>
      <c r="H351" s="1">
        <f ca="1">IFERROR(__xludf.DUMMYFUNCTION("""COMPUTED_VALUE"""),110.5)</f>
        <v>110.5</v>
      </c>
      <c r="I351" s="1">
        <f ca="1">IFERROR(__xludf.DUMMYFUNCTION("""COMPUTED_VALUE"""),293)</f>
        <v>293</v>
      </c>
      <c r="J351" s="1">
        <f ca="1">IFERROR(__xludf.DUMMYFUNCTION("""COMPUTED_VALUE"""),65.1)</f>
        <v>65.099999999999994</v>
      </c>
      <c r="K351" s="1">
        <f ca="1">IFERROR(__xludf.DUMMYFUNCTION("""COMPUTED_VALUE"""),176)</f>
        <v>176</v>
      </c>
      <c r="L351" s="1" t="str">
        <f ca="1">IFERROR(__xludf.DUMMYFUNCTION("""COMPUTED_VALUE"""),"+.020")</f>
        <v>+.020</v>
      </c>
      <c r="M351" s="1">
        <f ca="1">IFERROR(__xludf.DUMMYFUNCTION("""COMPUTED_VALUE"""),117)</f>
        <v>117</v>
      </c>
      <c r="N351" s="1">
        <f ca="1">IFERROR(__xludf.DUMMYFUNCTION("""COMPUTED_VALUE"""),-8.67)</f>
        <v>-8.67</v>
      </c>
      <c r="O351" s="1">
        <f ca="1">IFERROR(__xludf.DUMMYFUNCTION("""COMPUTED_VALUE"""),312)</f>
        <v>312</v>
      </c>
      <c r="P351" s="1">
        <f ca="1">IFERROR(__xludf.DUMMYFUNCTION("""COMPUTED_VALUE"""),97.1)</f>
        <v>97.1</v>
      </c>
      <c r="Q351" s="1">
        <f ca="1">IFERROR(__xludf.DUMMYFUNCTION("""COMPUTED_VALUE"""),319)</f>
        <v>319</v>
      </c>
      <c r="R351" s="1">
        <f ca="1">IFERROR(__xludf.DUMMYFUNCTION("""COMPUTED_VALUE"""),105.8)</f>
        <v>105.8</v>
      </c>
      <c r="S351" s="1">
        <f ca="1">IFERROR(__xludf.DUMMYFUNCTION("""COMPUTED_VALUE"""),266)</f>
        <v>266</v>
      </c>
      <c r="T351" s="1" t="str">
        <f ca="1">IFERROR(__xludf.DUMMYFUNCTION("""COMPUTED_VALUE"""),"+6.21")</f>
        <v>+6.21</v>
      </c>
      <c r="U351" s="1">
        <f ca="1">IFERROR(__xludf.DUMMYFUNCTION("""COMPUTED_VALUE"""),40)</f>
        <v>40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IFERROR(__xludf.DUMMYFUNCTION("""COMPUTED_VALUE"""),"Savannah St.")</f>
        <v>Savannah St.</v>
      </c>
      <c r="C352" s="1" t="str">
        <f ca="1">IFERROR(__xludf.DUMMYFUNCTION("""COMPUTED_VALUE"""),"ind")</f>
        <v>ind</v>
      </c>
      <c r="D352" s="2">
        <f ca="1">IFERROR(__xludf.DUMMYFUNCTION("""COMPUTED_VALUE"""),44620)</f>
        <v>44620</v>
      </c>
      <c r="E352" s="1">
        <f ca="1">IFERROR(__xludf.DUMMYFUNCTION("""COMPUTED_VALUE"""),-38.11)</f>
        <v>-38.11</v>
      </c>
      <c r="F352" s="1">
        <f ca="1">IFERROR(__xludf.DUMMYFUNCTION("""COMPUTED_VALUE"""),80.4)</f>
        <v>80.400000000000006</v>
      </c>
      <c r="G352" s="1">
        <f ca="1">IFERROR(__xludf.DUMMYFUNCTION("""COMPUTED_VALUE"""),333)</f>
        <v>333</v>
      </c>
      <c r="H352" s="1">
        <f ca="1">IFERROR(__xludf.DUMMYFUNCTION("""COMPUTED_VALUE"""),118.6)</f>
        <v>118.6</v>
      </c>
      <c r="I352" s="1">
        <f ca="1">IFERROR(__xludf.DUMMYFUNCTION("""COMPUTED_VALUE"""),334)</f>
        <v>334</v>
      </c>
      <c r="J352" s="1">
        <f ca="1">IFERROR(__xludf.DUMMYFUNCTION("""COMPUTED_VALUE"""),67.7)</f>
        <v>67.7</v>
      </c>
      <c r="K352" s="1">
        <f ca="1">IFERROR(__xludf.DUMMYFUNCTION("""COMPUTED_VALUE"""),76)</f>
        <v>76</v>
      </c>
      <c r="L352" s="1">
        <f ca="1">IFERROR(__xludf.DUMMYFUNCTION("""COMPUTED_VALUE"""),-0.007)</f>
        <v>-7.0000000000000001E-3</v>
      </c>
      <c r="M352" s="1">
        <f ca="1">IFERROR(__xludf.DUMMYFUNCTION("""COMPUTED_VALUE"""),184)</f>
        <v>184</v>
      </c>
      <c r="N352" s="1">
        <f ca="1">IFERROR(__xludf.DUMMYFUNCTION("""COMPUTED_VALUE"""),-4.43)</f>
        <v>-4.43</v>
      </c>
      <c r="O352" s="1">
        <f ca="1">IFERROR(__xludf.DUMMYFUNCTION("""COMPUTED_VALUE"""),243)</f>
        <v>243</v>
      </c>
      <c r="P352" s="1">
        <f ca="1">IFERROR(__xludf.DUMMYFUNCTION("""COMPUTED_VALUE"""),100.2)</f>
        <v>100.2</v>
      </c>
      <c r="Q352" s="1">
        <f ca="1">IFERROR(__xludf.DUMMYFUNCTION("""COMPUTED_VALUE"""),264)</f>
        <v>264</v>
      </c>
      <c r="R352" s="1">
        <f ca="1">IFERROR(__xludf.DUMMYFUNCTION("""COMPUTED_VALUE"""),104.7)</f>
        <v>104.7</v>
      </c>
      <c r="S352" s="1">
        <f ca="1">IFERROR(__xludf.DUMMYFUNCTION("""COMPUTED_VALUE"""),212)</f>
        <v>212</v>
      </c>
      <c r="T352" s="1">
        <f ca="1">IFERROR(__xludf.DUMMYFUNCTION("""COMPUTED_VALUE"""),-3.72)</f>
        <v>-3.72</v>
      </c>
      <c r="U352" s="1">
        <f ca="1">IFERROR(__xludf.DUMMYFUNCTION("""COMPUTED_VALUE"""),250)</f>
        <v>250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U354"/>
  <sheetViews>
    <sheetView topLeftCell="A73" workbookViewId="0">
      <selection activeCell="B97" sqref="B1:B1048576"/>
    </sheetView>
  </sheetViews>
  <sheetFormatPr baseColWidth="10" defaultColWidth="12.6640625" defaultRowHeight="15.75" customHeight="1" x14ac:dyDescent="0.15"/>
  <sheetData>
    <row r="1" spans="1:21" ht="13" x14ac:dyDescent="0.15">
      <c r="A1" s="3" t="str">
        <f ca="1">IFERROR(__xludf.DUMMYFUNCTION("IMPORThtML(""https://kenpom.com/index.php?y=2007"",""table"",1)"),"")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2</v>
      </c>
      <c r="H2" s="1" t="str">
        <f ca="1">IFERROR(__xludf.DUMMYFUNCTION("""COMPUTED_VALUE"""),"AdjD")</f>
        <v>AdjD</v>
      </c>
      <c r="I2" s="1" t="s">
        <v>3</v>
      </c>
      <c r="J2" s="1" t="str">
        <f ca="1">IFERROR(__xludf.DUMMYFUNCTION("""COMPUTED_VALUE"""),"AdjT")</f>
        <v>AdjT</v>
      </c>
      <c r="K2" s="1" t="s">
        <v>4</v>
      </c>
      <c r="L2" s="1" t="str">
        <f ca="1">IFERROR(__xludf.DUMMYFUNCTION("""COMPUTED_VALUE"""),"Luck")</f>
        <v>Luck</v>
      </c>
      <c r="M2" s="1" t="s">
        <v>5</v>
      </c>
      <c r="N2" s="1" t="s">
        <v>0</v>
      </c>
      <c r="O2" s="1" t="s">
        <v>6</v>
      </c>
      <c r="P2" s="1" t="str">
        <f ca="1">IFERROR(__xludf.DUMMYFUNCTION("""COMPUTED_VALUE"""),"OppO")</f>
        <v>OppO</v>
      </c>
      <c r="Q2" s="1" t="s">
        <v>7</v>
      </c>
      <c r="R2" s="1" t="str">
        <f ca="1">IFERROR(__xludf.DUMMYFUNCTION("""COMPUTED_VALUE"""),"OppD")</f>
        <v>OppD</v>
      </c>
      <c r="S2" s="1" t="s">
        <v>8</v>
      </c>
      <c r="T2" s="1" t="s">
        <v>1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IFERROR(__xludf.DUMMYFUNCTION("""COMPUTED_VALUE"""),"North Carolina1")</f>
        <v>North Carolina1</v>
      </c>
      <c r="C3" s="1" t="str">
        <f ca="1">IFERROR(__xludf.DUMMYFUNCTION("""COMPUTED_VALUE"""),"ACC")</f>
        <v>ACC</v>
      </c>
      <c r="D3" s="1" t="str">
        <f ca="1">IFERROR(__xludf.DUMMYFUNCTION("""COMPUTED_VALUE"""),"31-7")</f>
        <v>31-7</v>
      </c>
      <c r="E3" s="1" t="str">
        <f ca="1">IFERROR(__xludf.DUMMYFUNCTION("""COMPUTED_VALUE"""),"+31.37")</f>
        <v>+31.37</v>
      </c>
      <c r="F3" s="1">
        <f ca="1">IFERROR(__xludf.DUMMYFUNCTION("""COMPUTED_VALUE"""),121)</f>
        <v>121</v>
      </c>
      <c r="G3" s="1">
        <f ca="1">IFERROR(__xludf.DUMMYFUNCTION("""COMPUTED_VALUE"""),3)</f>
        <v>3</v>
      </c>
      <c r="H3" s="1">
        <f ca="1">IFERROR(__xludf.DUMMYFUNCTION("""COMPUTED_VALUE"""),89.6)</f>
        <v>89.6</v>
      </c>
      <c r="I3" s="1">
        <f ca="1">IFERROR(__xludf.DUMMYFUNCTION("""COMPUTED_VALUE"""),4)</f>
        <v>4</v>
      </c>
      <c r="J3" s="1">
        <f ca="1">IFERROR(__xludf.DUMMYFUNCTION("""COMPUTED_VALUE"""),72.4)</f>
        <v>72.400000000000006</v>
      </c>
      <c r="K3" s="1">
        <f ca="1">IFERROR(__xludf.DUMMYFUNCTION("""COMPUTED_VALUE"""),8)</f>
        <v>8</v>
      </c>
      <c r="L3" s="1">
        <f ca="1">IFERROR(__xludf.DUMMYFUNCTION("""COMPUTED_VALUE"""),-0.046)</f>
        <v>-4.5999999999999999E-2</v>
      </c>
      <c r="M3" s="1">
        <f ca="1">IFERROR(__xludf.DUMMYFUNCTION("""COMPUTED_VALUE"""),279)</f>
        <v>279</v>
      </c>
      <c r="N3" s="1" t="str">
        <f ca="1">IFERROR(__xludf.DUMMYFUNCTION("""COMPUTED_VALUE"""),"+10.95")</f>
        <v>+10.95</v>
      </c>
      <c r="O3" s="1">
        <f ca="1">IFERROR(__xludf.DUMMYFUNCTION("""COMPUTED_VALUE"""),6)</f>
        <v>6</v>
      </c>
      <c r="P3" s="1">
        <f ca="1">IFERROR(__xludf.DUMMYFUNCTION("""COMPUTED_VALUE"""),111)</f>
        <v>111</v>
      </c>
      <c r="Q3" s="1">
        <f ca="1">IFERROR(__xludf.DUMMYFUNCTION("""COMPUTED_VALUE"""),1)</f>
        <v>1</v>
      </c>
      <c r="R3" s="1">
        <f ca="1">IFERROR(__xludf.DUMMYFUNCTION("""COMPUTED_VALUE"""),100.1)</f>
        <v>100.1</v>
      </c>
      <c r="S3" s="1">
        <f ca="1">IFERROR(__xludf.DUMMYFUNCTION("""COMPUTED_VALUE"""),27)</f>
        <v>27</v>
      </c>
      <c r="T3" s="1" t="str">
        <f ca="1">IFERROR(__xludf.DUMMYFUNCTION("""COMPUTED_VALUE"""),"+3.10")</f>
        <v>+3.10</v>
      </c>
      <c r="U3" s="1">
        <f ca="1">IFERROR(__xludf.DUMMYFUNCTION("""COMPUTED_VALUE"""),82)</f>
        <v>82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IFERROR(__xludf.DUMMYFUNCTION("""COMPUTED_VALUE"""),"Florida1")</f>
        <v>Florida1</v>
      </c>
      <c r="C4" s="1" t="str">
        <f ca="1">IFERROR(__xludf.DUMMYFUNCTION("""COMPUTED_VALUE"""),"SEC")</f>
        <v>SEC</v>
      </c>
      <c r="D4" s="1" t="str">
        <f ca="1">IFERROR(__xludf.DUMMYFUNCTION("""COMPUTED_VALUE"""),"35-5")</f>
        <v>35-5</v>
      </c>
      <c r="E4" s="1" t="str">
        <f ca="1">IFERROR(__xludf.DUMMYFUNCTION("""COMPUTED_VALUE"""),"+30.81")</f>
        <v>+30.81</v>
      </c>
      <c r="F4" s="1">
        <f ca="1">IFERROR(__xludf.DUMMYFUNCTION("""COMPUTED_VALUE"""),122.8)</f>
        <v>122.8</v>
      </c>
      <c r="G4" s="1">
        <f ca="1">IFERROR(__xludf.DUMMYFUNCTION("""COMPUTED_VALUE"""),1)</f>
        <v>1</v>
      </c>
      <c r="H4" s="1">
        <f ca="1">IFERROR(__xludf.DUMMYFUNCTION("""COMPUTED_VALUE"""),92)</f>
        <v>92</v>
      </c>
      <c r="I4" s="1">
        <f ca="1">IFERROR(__xludf.DUMMYFUNCTION("""COMPUTED_VALUE"""),13)</f>
        <v>13</v>
      </c>
      <c r="J4" s="1">
        <f ca="1">IFERROR(__xludf.DUMMYFUNCTION("""COMPUTED_VALUE"""),65.8)</f>
        <v>65.8</v>
      </c>
      <c r="K4" s="1">
        <f ca="1">IFERROR(__xludf.DUMMYFUNCTION("""COMPUTED_VALUE"""),162)</f>
        <v>162</v>
      </c>
      <c r="L4" s="1" t="str">
        <f ca="1">IFERROR(__xludf.DUMMYFUNCTION("""COMPUTED_VALUE"""),"+.028")</f>
        <v>+.028</v>
      </c>
      <c r="M4" s="1">
        <f ca="1">IFERROR(__xludf.DUMMYFUNCTION("""COMPUTED_VALUE"""),110)</f>
        <v>110</v>
      </c>
      <c r="N4" s="1" t="str">
        <f ca="1">IFERROR(__xludf.DUMMYFUNCTION("""COMPUTED_VALUE"""),"+8.73")</f>
        <v>+8.73</v>
      </c>
      <c r="O4" s="1">
        <f ca="1">IFERROR(__xludf.DUMMYFUNCTION("""COMPUTED_VALUE"""),33)</f>
        <v>33</v>
      </c>
      <c r="P4" s="1">
        <f ca="1">IFERROR(__xludf.DUMMYFUNCTION("""COMPUTED_VALUE"""),109.1)</f>
        <v>109.1</v>
      </c>
      <c r="Q4" s="1">
        <f ca="1">IFERROR(__xludf.DUMMYFUNCTION("""COMPUTED_VALUE"""),33)</f>
        <v>33</v>
      </c>
      <c r="R4" s="1">
        <f ca="1">IFERROR(__xludf.DUMMYFUNCTION("""COMPUTED_VALUE"""),100.3)</f>
        <v>100.3</v>
      </c>
      <c r="S4" s="1">
        <f ca="1">IFERROR(__xludf.DUMMYFUNCTION("""COMPUTED_VALUE"""),37)</f>
        <v>37</v>
      </c>
      <c r="T4" s="1">
        <f ca="1">IFERROR(__xludf.DUMMYFUNCTION("""COMPUTED_VALUE"""),-6.87)</f>
        <v>-6.87</v>
      </c>
      <c r="U4" s="1">
        <f ca="1">IFERROR(__xludf.DUMMYFUNCTION("""COMPUTED_VALUE"""),312)</f>
        <v>312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IFERROR(__xludf.DUMMYFUNCTION("""COMPUTED_VALUE"""),"Ohio St.1")</f>
        <v>Ohio St.1</v>
      </c>
      <c r="C5" s="1" t="str">
        <f ca="1">IFERROR(__xludf.DUMMYFUNCTION("""COMPUTED_VALUE"""),"B10")</f>
        <v>B10</v>
      </c>
      <c r="D5" s="1" t="str">
        <f ca="1">IFERROR(__xludf.DUMMYFUNCTION("""COMPUTED_VALUE"""),"35-4")</f>
        <v>35-4</v>
      </c>
      <c r="E5" s="1" t="str">
        <f ca="1">IFERROR(__xludf.DUMMYFUNCTION("""COMPUTED_VALUE"""),"+29.33")</f>
        <v>+29.33</v>
      </c>
      <c r="F5" s="1">
        <f ca="1">IFERROR(__xludf.DUMMYFUNCTION("""COMPUTED_VALUE"""),121)</f>
        <v>121</v>
      </c>
      <c r="G5" s="1">
        <f ca="1">IFERROR(__xludf.DUMMYFUNCTION("""COMPUTED_VALUE"""),4)</f>
        <v>4</v>
      </c>
      <c r="H5" s="1">
        <f ca="1">IFERROR(__xludf.DUMMYFUNCTION("""COMPUTED_VALUE"""),91.7)</f>
        <v>91.7</v>
      </c>
      <c r="I5" s="1">
        <f ca="1">IFERROR(__xludf.DUMMYFUNCTION("""COMPUTED_VALUE"""),11)</f>
        <v>11</v>
      </c>
      <c r="J5" s="1">
        <f ca="1">IFERROR(__xludf.DUMMYFUNCTION("""COMPUTED_VALUE"""),64.9)</f>
        <v>64.900000000000006</v>
      </c>
      <c r="K5" s="1">
        <f ca="1">IFERROR(__xludf.DUMMYFUNCTION("""COMPUTED_VALUE"""),206)</f>
        <v>206</v>
      </c>
      <c r="L5" s="1" t="str">
        <f ca="1">IFERROR(__xludf.DUMMYFUNCTION("""COMPUTED_VALUE"""),"+.057")</f>
        <v>+.057</v>
      </c>
      <c r="M5" s="1">
        <f ca="1">IFERROR(__xludf.DUMMYFUNCTION("""COMPUTED_VALUE"""),46)</f>
        <v>46</v>
      </c>
      <c r="N5" s="1" t="str">
        <f ca="1">IFERROR(__xludf.DUMMYFUNCTION("""COMPUTED_VALUE"""),"+9.82")</f>
        <v>+9.82</v>
      </c>
      <c r="O5" s="1">
        <f ca="1">IFERROR(__xludf.DUMMYFUNCTION("""COMPUTED_VALUE"""),17)</f>
        <v>17</v>
      </c>
      <c r="P5" s="1">
        <f ca="1">IFERROR(__xludf.DUMMYFUNCTION("""COMPUTED_VALUE"""),109)</f>
        <v>109</v>
      </c>
      <c r="Q5" s="1">
        <f ca="1">IFERROR(__xludf.DUMMYFUNCTION("""COMPUTED_VALUE"""),37)</f>
        <v>37</v>
      </c>
      <c r="R5" s="1">
        <f ca="1">IFERROR(__xludf.DUMMYFUNCTION("""COMPUTED_VALUE"""),99.2)</f>
        <v>99.2</v>
      </c>
      <c r="S5" s="1">
        <f ca="1">IFERROR(__xludf.DUMMYFUNCTION("""COMPUTED_VALUE"""),4)</f>
        <v>4</v>
      </c>
      <c r="T5" s="1">
        <f ca="1">IFERROR(__xludf.DUMMYFUNCTION("""COMPUTED_VALUE"""),-1.71)</f>
        <v>-1.71</v>
      </c>
      <c r="U5" s="1">
        <f ca="1">IFERROR(__xludf.DUMMYFUNCTION("""COMPUTED_VALUE"""),191)</f>
        <v>191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IFERROR(__xludf.DUMMYFUNCTION("""COMPUTED_VALUE"""),"Georgetown2")</f>
        <v>Georgetown2</v>
      </c>
      <c r="C6" s="1" t="str">
        <f ca="1">IFERROR(__xludf.DUMMYFUNCTION("""COMPUTED_VALUE"""),"BE")</f>
        <v>BE</v>
      </c>
      <c r="D6" s="1" t="str">
        <f ca="1">IFERROR(__xludf.DUMMYFUNCTION("""COMPUTED_VALUE"""),"30-7")</f>
        <v>30-7</v>
      </c>
      <c r="E6" s="1" t="str">
        <f ca="1">IFERROR(__xludf.DUMMYFUNCTION("""COMPUTED_VALUE"""),"+28.48")</f>
        <v>+28.48</v>
      </c>
      <c r="F6" s="1">
        <f ca="1">IFERROR(__xludf.DUMMYFUNCTION("""COMPUTED_VALUE"""),122)</f>
        <v>122</v>
      </c>
      <c r="G6" s="1">
        <f ca="1">IFERROR(__xludf.DUMMYFUNCTION("""COMPUTED_VALUE"""),2)</f>
        <v>2</v>
      </c>
      <c r="H6" s="1">
        <f ca="1">IFERROR(__xludf.DUMMYFUNCTION("""COMPUTED_VALUE"""),93.5)</f>
        <v>93.5</v>
      </c>
      <c r="I6" s="1">
        <f ca="1">IFERROR(__xludf.DUMMYFUNCTION("""COMPUTED_VALUE"""),21)</f>
        <v>21</v>
      </c>
      <c r="J6" s="1">
        <f ca="1">IFERROR(__xludf.DUMMYFUNCTION("""COMPUTED_VALUE"""),59.4)</f>
        <v>59.4</v>
      </c>
      <c r="K6" s="1">
        <f ca="1">IFERROR(__xludf.DUMMYFUNCTION("""COMPUTED_VALUE"""),327)</f>
        <v>327</v>
      </c>
      <c r="L6" s="1" t="str">
        <f ca="1">IFERROR(__xludf.DUMMYFUNCTION("""COMPUTED_VALUE"""),"+.006")</f>
        <v>+.006</v>
      </c>
      <c r="M6" s="1">
        <f ca="1">IFERROR(__xludf.DUMMYFUNCTION("""COMPUTED_VALUE"""),163)</f>
        <v>163</v>
      </c>
      <c r="N6" s="1" t="str">
        <f ca="1">IFERROR(__xludf.DUMMYFUNCTION("""COMPUTED_VALUE"""),"+10.41")</f>
        <v>+10.41</v>
      </c>
      <c r="O6" s="1">
        <f ca="1">IFERROR(__xludf.DUMMYFUNCTION("""COMPUTED_VALUE"""),10)</f>
        <v>10</v>
      </c>
      <c r="P6" s="1">
        <f ca="1">IFERROR(__xludf.DUMMYFUNCTION("""COMPUTED_VALUE"""),109.7)</f>
        <v>109.7</v>
      </c>
      <c r="Q6" s="1">
        <f ca="1">IFERROR(__xludf.DUMMYFUNCTION("""COMPUTED_VALUE"""),18)</f>
        <v>18</v>
      </c>
      <c r="R6" s="1">
        <f ca="1">IFERROR(__xludf.DUMMYFUNCTION("""COMPUTED_VALUE"""),99.3)</f>
        <v>99.3</v>
      </c>
      <c r="S6" s="1">
        <f ca="1">IFERROR(__xludf.DUMMYFUNCTION("""COMPUTED_VALUE"""),5)</f>
        <v>5</v>
      </c>
      <c r="T6" s="1">
        <f ca="1">IFERROR(__xludf.DUMMYFUNCTION("""COMPUTED_VALUE"""),-1.02)</f>
        <v>-1.02</v>
      </c>
      <c r="U6" s="1">
        <f ca="1">IFERROR(__xludf.DUMMYFUNCTION("""COMPUTED_VALUE"""),174)</f>
        <v>174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IFERROR(__xludf.DUMMYFUNCTION("""COMPUTED_VALUE"""),"Kansas1")</f>
        <v>Kansas1</v>
      </c>
      <c r="C7" s="1" t="str">
        <f ca="1">IFERROR(__xludf.DUMMYFUNCTION("""COMPUTED_VALUE"""),"B12")</f>
        <v>B12</v>
      </c>
      <c r="D7" s="1" t="str">
        <f ca="1">IFERROR(__xludf.DUMMYFUNCTION("""COMPUTED_VALUE"""),"33-5")</f>
        <v>33-5</v>
      </c>
      <c r="E7" s="1" t="str">
        <f ca="1">IFERROR(__xludf.DUMMYFUNCTION("""COMPUTED_VALUE"""),"+27.81")</f>
        <v>+27.81</v>
      </c>
      <c r="F7" s="1">
        <f ca="1">IFERROR(__xludf.DUMMYFUNCTION("""COMPUTED_VALUE"""),115.3)</f>
        <v>115.3</v>
      </c>
      <c r="G7" s="1">
        <f ca="1">IFERROR(__xludf.DUMMYFUNCTION("""COMPUTED_VALUE"""),29)</f>
        <v>29</v>
      </c>
      <c r="H7" s="1">
        <f ca="1">IFERROR(__xludf.DUMMYFUNCTION("""COMPUTED_VALUE"""),87.5)</f>
        <v>87.5</v>
      </c>
      <c r="I7" s="1">
        <f ca="1">IFERROR(__xludf.DUMMYFUNCTION("""COMPUTED_VALUE"""),1)</f>
        <v>1</v>
      </c>
      <c r="J7" s="1">
        <f ca="1">IFERROR(__xludf.DUMMYFUNCTION("""COMPUTED_VALUE"""),68.7)</f>
        <v>68.7</v>
      </c>
      <c r="K7" s="1">
        <f ca="1">IFERROR(__xludf.DUMMYFUNCTION("""COMPUTED_VALUE"""),63)</f>
        <v>63</v>
      </c>
      <c r="L7" s="1" t="str">
        <f ca="1">IFERROR(__xludf.DUMMYFUNCTION("""COMPUTED_VALUE"""),"+.031")</f>
        <v>+.031</v>
      </c>
      <c r="M7" s="1">
        <f ca="1">IFERROR(__xludf.DUMMYFUNCTION("""COMPUTED_VALUE"""),102)</f>
        <v>102</v>
      </c>
      <c r="N7" s="1" t="str">
        <f ca="1">IFERROR(__xludf.DUMMYFUNCTION("""COMPUTED_VALUE"""),"+6.86")</f>
        <v>+6.86</v>
      </c>
      <c r="O7" s="1">
        <f ca="1">IFERROR(__xludf.DUMMYFUNCTION("""COMPUTED_VALUE"""),59)</f>
        <v>59</v>
      </c>
      <c r="P7" s="1">
        <f ca="1">IFERROR(__xludf.DUMMYFUNCTION("""COMPUTED_VALUE"""),108.1)</f>
        <v>108.1</v>
      </c>
      <c r="Q7" s="1">
        <f ca="1">IFERROR(__xludf.DUMMYFUNCTION("""COMPUTED_VALUE"""),58)</f>
        <v>58</v>
      </c>
      <c r="R7" s="1">
        <f ca="1">IFERROR(__xludf.DUMMYFUNCTION("""COMPUTED_VALUE"""),101.2)</f>
        <v>101.2</v>
      </c>
      <c r="S7" s="1">
        <f ca="1">IFERROR(__xludf.DUMMYFUNCTION("""COMPUTED_VALUE"""),64)</f>
        <v>64</v>
      </c>
      <c r="T7" s="1">
        <f ca="1">IFERROR(__xludf.DUMMYFUNCTION("""COMPUTED_VALUE"""),-0.93)</f>
        <v>-0.93</v>
      </c>
      <c r="U7" s="1">
        <f ca="1">IFERROR(__xludf.DUMMYFUNCTION("""COMPUTED_VALUE"""),170)</f>
        <v>170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IFERROR(__xludf.DUMMYFUNCTION("""COMPUTED_VALUE"""),"UCLA2")</f>
        <v>UCLA2</v>
      </c>
      <c r="C8" s="1" t="str">
        <f ca="1">IFERROR(__xludf.DUMMYFUNCTION("""COMPUTED_VALUE"""),"P10")</f>
        <v>P10</v>
      </c>
      <c r="D8" s="1" t="str">
        <f ca="1">IFERROR(__xludf.DUMMYFUNCTION("""COMPUTED_VALUE"""),"30-6")</f>
        <v>30-6</v>
      </c>
      <c r="E8" s="1" t="str">
        <f ca="1">IFERROR(__xludf.DUMMYFUNCTION("""COMPUTED_VALUE"""),"+27.15")</f>
        <v>+27.15</v>
      </c>
      <c r="F8" s="1">
        <f ca="1">IFERROR(__xludf.DUMMYFUNCTION("""COMPUTED_VALUE"""),115.4)</f>
        <v>115.4</v>
      </c>
      <c r="G8" s="1">
        <f ca="1">IFERROR(__xludf.DUMMYFUNCTION("""COMPUTED_VALUE"""),27)</f>
        <v>27</v>
      </c>
      <c r="H8" s="1">
        <f ca="1">IFERROR(__xludf.DUMMYFUNCTION("""COMPUTED_VALUE"""),88.3)</f>
        <v>88.3</v>
      </c>
      <c r="I8" s="1">
        <f ca="1">IFERROR(__xludf.DUMMYFUNCTION("""COMPUTED_VALUE"""),2)</f>
        <v>2</v>
      </c>
      <c r="J8" s="1">
        <f ca="1">IFERROR(__xludf.DUMMYFUNCTION("""COMPUTED_VALUE"""),63.7)</f>
        <v>63.7</v>
      </c>
      <c r="K8" s="1">
        <f ca="1">IFERROR(__xludf.DUMMYFUNCTION("""COMPUTED_VALUE"""),251)</f>
        <v>251</v>
      </c>
      <c r="L8" s="1" t="str">
        <f ca="1">IFERROR(__xludf.DUMMYFUNCTION("""COMPUTED_VALUE"""),"+.019")</f>
        <v>+.019</v>
      </c>
      <c r="M8" s="1">
        <f ca="1">IFERROR(__xludf.DUMMYFUNCTION("""COMPUTED_VALUE"""),132)</f>
        <v>132</v>
      </c>
      <c r="N8" s="1" t="str">
        <f ca="1">IFERROR(__xludf.DUMMYFUNCTION("""COMPUTED_VALUE"""),"+11.08")</f>
        <v>+11.08</v>
      </c>
      <c r="O8" s="1">
        <f ca="1">IFERROR(__xludf.DUMMYFUNCTION("""COMPUTED_VALUE"""),4)</f>
        <v>4</v>
      </c>
      <c r="P8" s="1">
        <f ca="1">IFERROR(__xludf.DUMMYFUNCTION("""COMPUTED_VALUE"""),111)</f>
        <v>111</v>
      </c>
      <c r="Q8" s="1">
        <f ca="1">IFERROR(__xludf.DUMMYFUNCTION("""COMPUTED_VALUE"""),3)</f>
        <v>3</v>
      </c>
      <c r="R8" s="1">
        <f ca="1">IFERROR(__xludf.DUMMYFUNCTION("""COMPUTED_VALUE"""),99.9)</f>
        <v>99.9</v>
      </c>
      <c r="S8" s="1">
        <f ca="1">IFERROR(__xludf.DUMMYFUNCTION("""COMPUTED_VALUE"""),20)</f>
        <v>20</v>
      </c>
      <c r="T8" s="1" t="str">
        <f ca="1">IFERROR(__xludf.DUMMYFUNCTION("""COMPUTED_VALUE"""),"+5.93")</f>
        <v>+5.93</v>
      </c>
      <c r="U8" s="1">
        <f ca="1">IFERROR(__xludf.DUMMYFUNCTION("""COMPUTED_VALUE"""),39)</f>
        <v>39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IFERROR(__xludf.DUMMYFUNCTION("""COMPUTED_VALUE"""),"Texas A&amp;M3")</f>
        <v>Texas A&amp;M3</v>
      </c>
      <c r="C9" s="1" t="str">
        <f ca="1">IFERROR(__xludf.DUMMYFUNCTION("""COMPUTED_VALUE"""),"B12")</f>
        <v>B12</v>
      </c>
      <c r="D9" s="1" t="str">
        <f ca="1">IFERROR(__xludf.DUMMYFUNCTION("""COMPUTED_VALUE"""),"27-7")</f>
        <v>27-7</v>
      </c>
      <c r="E9" s="1" t="str">
        <f ca="1">IFERROR(__xludf.DUMMYFUNCTION("""COMPUTED_VALUE"""),"+26.97")</f>
        <v>+26.97</v>
      </c>
      <c r="F9" s="1">
        <f ca="1">IFERROR(__xludf.DUMMYFUNCTION("""COMPUTED_VALUE"""),119.3)</f>
        <v>119.3</v>
      </c>
      <c r="G9" s="1">
        <f ca="1">IFERROR(__xludf.DUMMYFUNCTION("""COMPUTED_VALUE"""),7)</f>
        <v>7</v>
      </c>
      <c r="H9" s="1">
        <f ca="1">IFERROR(__xludf.DUMMYFUNCTION("""COMPUTED_VALUE"""),92.3)</f>
        <v>92.3</v>
      </c>
      <c r="I9" s="1">
        <f ca="1">IFERROR(__xludf.DUMMYFUNCTION("""COMPUTED_VALUE"""),14)</f>
        <v>14</v>
      </c>
      <c r="J9" s="1">
        <f ca="1">IFERROR(__xludf.DUMMYFUNCTION("""COMPUTED_VALUE"""),63.7)</f>
        <v>63.7</v>
      </c>
      <c r="K9" s="1">
        <f ca="1">IFERROR(__xludf.DUMMYFUNCTION("""COMPUTED_VALUE"""),247)</f>
        <v>247</v>
      </c>
      <c r="L9" s="1">
        <f ca="1">IFERROR(__xludf.DUMMYFUNCTION("""COMPUTED_VALUE"""),-0.047)</f>
        <v>-4.7E-2</v>
      </c>
      <c r="M9" s="1">
        <f ca="1">IFERROR(__xludf.DUMMYFUNCTION("""COMPUTED_VALUE"""),281)</f>
        <v>281</v>
      </c>
      <c r="N9" s="1" t="str">
        <f ca="1">IFERROR(__xludf.DUMMYFUNCTION("""COMPUTED_VALUE"""),"+5.38")</f>
        <v>+5.38</v>
      </c>
      <c r="O9" s="1">
        <f ca="1">IFERROR(__xludf.DUMMYFUNCTION("""COMPUTED_VALUE"""),78)</f>
        <v>78</v>
      </c>
      <c r="P9" s="1">
        <f ca="1">IFERROR(__xludf.DUMMYFUNCTION("""COMPUTED_VALUE"""),106.7)</f>
        <v>106.7</v>
      </c>
      <c r="Q9" s="1">
        <f ca="1">IFERROR(__xludf.DUMMYFUNCTION("""COMPUTED_VALUE"""),87)</f>
        <v>87</v>
      </c>
      <c r="R9" s="1">
        <f ca="1">IFERROR(__xludf.DUMMYFUNCTION("""COMPUTED_VALUE"""),101.4)</f>
        <v>101.4</v>
      </c>
      <c r="S9" s="1">
        <f ca="1">IFERROR(__xludf.DUMMYFUNCTION("""COMPUTED_VALUE"""),67)</f>
        <v>67</v>
      </c>
      <c r="T9" s="1">
        <f ca="1">IFERROR(__xludf.DUMMYFUNCTION("""COMPUTED_VALUE"""),-5.98)</f>
        <v>-5.98</v>
      </c>
      <c r="U9" s="1">
        <f ca="1">IFERROR(__xludf.DUMMYFUNCTION("""COMPUTED_VALUE"""),297)</f>
        <v>297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IFERROR(__xludf.DUMMYFUNCTION("""COMPUTED_VALUE"""),"Wisconsin2")</f>
        <v>Wisconsin2</v>
      </c>
      <c r="C10" s="1" t="str">
        <f ca="1">IFERROR(__xludf.DUMMYFUNCTION("""COMPUTED_VALUE"""),"B10")</f>
        <v>B10</v>
      </c>
      <c r="D10" s="1" t="str">
        <f ca="1">IFERROR(__xludf.DUMMYFUNCTION("""COMPUTED_VALUE"""),"30-6")</f>
        <v>30-6</v>
      </c>
      <c r="E10" s="1" t="str">
        <f ca="1">IFERROR(__xludf.DUMMYFUNCTION("""COMPUTED_VALUE"""),"+25.45")</f>
        <v>+25.45</v>
      </c>
      <c r="F10" s="1">
        <f ca="1">IFERROR(__xludf.DUMMYFUNCTION("""COMPUTED_VALUE"""),115.6)</f>
        <v>115.6</v>
      </c>
      <c r="G10" s="1">
        <f ca="1">IFERROR(__xludf.DUMMYFUNCTION("""COMPUTED_VALUE"""),25)</f>
        <v>25</v>
      </c>
      <c r="H10" s="1">
        <f ca="1">IFERROR(__xludf.DUMMYFUNCTION("""COMPUTED_VALUE"""),90.1)</f>
        <v>90.1</v>
      </c>
      <c r="I10" s="1">
        <f ca="1">IFERROR(__xludf.DUMMYFUNCTION("""COMPUTED_VALUE"""),8)</f>
        <v>8</v>
      </c>
      <c r="J10" s="1">
        <f ca="1">IFERROR(__xludf.DUMMYFUNCTION("""COMPUTED_VALUE"""),63.8)</f>
        <v>63.8</v>
      </c>
      <c r="K10" s="1">
        <f ca="1">IFERROR(__xludf.DUMMYFUNCTION("""COMPUTED_VALUE"""),243)</f>
        <v>243</v>
      </c>
      <c r="L10" s="1" t="str">
        <f ca="1">IFERROR(__xludf.DUMMYFUNCTION("""COMPUTED_VALUE"""),"+.034")</f>
        <v>+.034</v>
      </c>
      <c r="M10" s="1">
        <f ca="1">IFERROR(__xludf.DUMMYFUNCTION("""COMPUTED_VALUE"""),91)</f>
        <v>91</v>
      </c>
      <c r="N10" s="1" t="str">
        <f ca="1">IFERROR(__xludf.DUMMYFUNCTION("""COMPUTED_VALUE"""),"+7.78")</f>
        <v>+7.78</v>
      </c>
      <c r="O10" s="1">
        <f ca="1">IFERROR(__xludf.DUMMYFUNCTION("""COMPUTED_VALUE"""),47)</f>
        <v>47</v>
      </c>
      <c r="P10" s="1">
        <f ca="1">IFERROR(__xludf.DUMMYFUNCTION("""COMPUTED_VALUE"""),108.1)</f>
        <v>108.1</v>
      </c>
      <c r="Q10" s="1">
        <f ca="1">IFERROR(__xludf.DUMMYFUNCTION("""COMPUTED_VALUE"""),55)</f>
        <v>55</v>
      </c>
      <c r="R10" s="1">
        <f ca="1">IFERROR(__xludf.DUMMYFUNCTION("""COMPUTED_VALUE"""),100.3)</f>
        <v>100.3</v>
      </c>
      <c r="S10" s="1">
        <f ca="1">IFERROR(__xludf.DUMMYFUNCTION("""COMPUTED_VALUE"""),35)</f>
        <v>35</v>
      </c>
      <c r="T10" s="1">
        <f ca="1">IFERROR(__xludf.DUMMYFUNCTION("""COMPUTED_VALUE"""),-1.57)</f>
        <v>-1.57</v>
      </c>
      <c r="U10" s="1">
        <f ca="1">IFERROR(__xludf.DUMMYFUNCTION("""COMPUTED_VALUE"""),184)</f>
        <v>184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IFERROR(__xludf.DUMMYFUNCTION("""COMPUTED_VALUE"""),"Memphis2")</f>
        <v>Memphis2</v>
      </c>
      <c r="C11" s="1" t="str">
        <f ca="1">IFERROR(__xludf.DUMMYFUNCTION("""COMPUTED_VALUE"""),"CUSA")</f>
        <v>CUSA</v>
      </c>
      <c r="D11" s="1" t="str">
        <f ca="1">IFERROR(__xludf.DUMMYFUNCTION("""COMPUTED_VALUE"""),"33-4")</f>
        <v>33-4</v>
      </c>
      <c r="E11" s="1" t="str">
        <f ca="1">IFERROR(__xludf.DUMMYFUNCTION("""COMPUTED_VALUE"""),"+24.81")</f>
        <v>+24.81</v>
      </c>
      <c r="F11" s="1">
        <f ca="1">IFERROR(__xludf.DUMMYFUNCTION("""COMPUTED_VALUE"""),115.4)</f>
        <v>115.4</v>
      </c>
      <c r="G11" s="1">
        <f ca="1">IFERROR(__xludf.DUMMYFUNCTION("""COMPUTED_VALUE"""),28)</f>
        <v>28</v>
      </c>
      <c r="H11" s="1">
        <f ca="1">IFERROR(__xludf.DUMMYFUNCTION("""COMPUTED_VALUE"""),90.6)</f>
        <v>90.6</v>
      </c>
      <c r="I11" s="1">
        <f ca="1">IFERROR(__xludf.DUMMYFUNCTION("""COMPUTED_VALUE"""),10)</f>
        <v>10</v>
      </c>
      <c r="J11" s="1">
        <f ca="1">IFERROR(__xludf.DUMMYFUNCTION("""COMPUTED_VALUE"""),68.4)</f>
        <v>68.400000000000006</v>
      </c>
      <c r="K11" s="1">
        <f ca="1">IFERROR(__xludf.DUMMYFUNCTION("""COMPUTED_VALUE"""),68)</f>
        <v>68</v>
      </c>
      <c r="L11" s="1" t="str">
        <f ca="1">IFERROR(__xludf.DUMMYFUNCTION("""COMPUTED_VALUE"""),"+.030")</f>
        <v>+.030</v>
      </c>
      <c r="M11" s="1">
        <f ca="1">IFERROR(__xludf.DUMMYFUNCTION("""COMPUTED_VALUE"""),104)</f>
        <v>104</v>
      </c>
      <c r="N11" s="1" t="str">
        <f ca="1">IFERROR(__xludf.DUMMYFUNCTION("""COMPUTED_VALUE"""),"+2.93")</f>
        <v>+2.93</v>
      </c>
      <c r="O11" s="1">
        <f ca="1">IFERROR(__xludf.DUMMYFUNCTION("""COMPUTED_VALUE"""),106)</f>
        <v>106</v>
      </c>
      <c r="P11" s="1">
        <f ca="1">IFERROR(__xludf.DUMMYFUNCTION("""COMPUTED_VALUE"""),105.3)</f>
        <v>105.3</v>
      </c>
      <c r="Q11" s="1">
        <f ca="1">IFERROR(__xludf.DUMMYFUNCTION("""COMPUTED_VALUE"""),130)</f>
        <v>130</v>
      </c>
      <c r="R11" s="1">
        <f ca="1">IFERROR(__xludf.DUMMYFUNCTION("""COMPUTED_VALUE"""),102.4)</f>
        <v>102.4</v>
      </c>
      <c r="S11" s="1">
        <f ca="1">IFERROR(__xludf.DUMMYFUNCTION("""COMPUTED_VALUE"""),97)</f>
        <v>97</v>
      </c>
      <c r="T11" s="1" t="str">
        <f ca="1">IFERROR(__xludf.DUMMYFUNCTION("""COMPUTED_VALUE"""),"+3.41")</f>
        <v>+3.41</v>
      </c>
      <c r="U11" s="1">
        <f ca="1">IFERROR(__xludf.DUMMYFUNCTION("""COMPUTED_VALUE"""),76)</f>
        <v>76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IFERROR(__xludf.DUMMYFUNCTION("""COMPUTED_VALUE"""),"Duke6")</f>
        <v>Duke6</v>
      </c>
      <c r="C12" s="1" t="str">
        <f ca="1">IFERROR(__xludf.DUMMYFUNCTION("""COMPUTED_VALUE"""),"ACC")</f>
        <v>ACC</v>
      </c>
      <c r="D12" s="1" t="str">
        <f ca="1">IFERROR(__xludf.DUMMYFUNCTION("""COMPUTED_VALUE"""),"22-11")</f>
        <v>22-11</v>
      </c>
      <c r="E12" s="1" t="str">
        <f ca="1">IFERROR(__xludf.DUMMYFUNCTION("""COMPUTED_VALUE"""),"+23.30")</f>
        <v>+23.30</v>
      </c>
      <c r="F12" s="1">
        <f ca="1">IFERROR(__xludf.DUMMYFUNCTION("""COMPUTED_VALUE"""),113.2)</f>
        <v>113.2</v>
      </c>
      <c r="G12" s="1">
        <f ca="1">IFERROR(__xludf.DUMMYFUNCTION("""COMPUTED_VALUE"""),44)</f>
        <v>44</v>
      </c>
      <c r="H12" s="1">
        <f ca="1">IFERROR(__xludf.DUMMYFUNCTION("""COMPUTED_VALUE"""),89.9)</f>
        <v>89.9</v>
      </c>
      <c r="I12" s="1">
        <f ca="1">IFERROR(__xludf.DUMMYFUNCTION("""COMPUTED_VALUE"""),6)</f>
        <v>6</v>
      </c>
      <c r="J12" s="1">
        <f ca="1">IFERROR(__xludf.DUMMYFUNCTION("""COMPUTED_VALUE"""),64.5)</f>
        <v>64.5</v>
      </c>
      <c r="K12" s="1">
        <f ca="1">IFERROR(__xludf.DUMMYFUNCTION("""COMPUTED_VALUE"""),218)</f>
        <v>218</v>
      </c>
      <c r="L12" s="1">
        <f ca="1">IFERROR(__xludf.DUMMYFUNCTION("""COMPUTED_VALUE"""),-0.074)</f>
        <v>-7.3999999999999996E-2</v>
      </c>
      <c r="M12" s="1">
        <f ca="1">IFERROR(__xludf.DUMMYFUNCTION("""COMPUTED_VALUE"""),314)</f>
        <v>314</v>
      </c>
      <c r="N12" s="1" t="str">
        <f ca="1">IFERROR(__xludf.DUMMYFUNCTION("""COMPUTED_VALUE"""),"+11.30")</f>
        <v>+11.30</v>
      </c>
      <c r="O12" s="1">
        <f ca="1">IFERROR(__xludf.DUMMYFUNCTION("""COMPUTED_VALUE"""),3)</f>
        <v>3</v>
      </c>
      <c r="P12" s="1">
        <f ca="1">IFERROR(__xludf.DUMMYFUNCTION("""COMPUTED_VALUE"""),110.7)</f>
        <v>110.7</v>
      </c>
      <c r="Q12" s="1">
        <f ca="1">IFERROR(__xludf.DUMMYFUNCTION("""COMPUTED_VALUE"""),4)</f>
        <v>4</v>
      </c>
      <c r="R12" s="1">
        <f ca="1">IFERROR(__xludf.DUMMYFUNCTION("""COMPUTED_VALUE"""),99.4)</f>
        <v>99.4</v>
      </c>
      <c r="S12" s="1">
        <f ca="1">IFERROR(__xludf.DUMMYFUNCTION("""COMPUTED_VALUE"""),6)</f>
        <v>6</v>
      </c>
      <c r="T12" s="1" t="str">
        <f ca="1">IFERROR(__xludf.DUMMYFUNCTION("""COMPUTED_VALUE"""),"+3.88")</f>
        <v>+3.88</v>
      </c>
      <c r="U12" s="1">
        <f ca="1">IFERROR(__xludf.DUMMYFUNCTION("""COMPUTED_VALUE"""),68)</f>
        <v>68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IFERROR(__xludf.DUMMYFUNCTION("""COMPUTED_VALUE"""),"Pittsburgh3")</f>
        <v>Pittsburgh3</v>
      </c>
      <c r="C13" s="1" t="str">
        <f ca="1">IFERROR(__xludf.DUMMYFUNCTION("""COMPUTED_VALUE"""),"BE")</f>
        <v>BE</v>
      </c>
      <c r="D13" s="1" t="str">
        <f ca="1">IFERROR(__xludf.DUMMYFUNCTION("""COMPUTED_VALUE"""),"29-8")</f>
        <v>29-8</v>
      </c>
      <c r="E13" s="1" t="str">
        <f ca="1">IFERROR(__xludf.DUMMYFUNCTION("""COMPUTED_VALUE"""),"+22.90")</f>
        <v>+22.90</v>
      </c>
      <c r="F13" s="1">
        <f ca="1">IFERROR(__xludf.DUMMYFUNCTION("""COMPUTED_VALUE"""),118.1)</f>
        <v>118.1</v>
      </c>
      <c r="G13" s="1">
        <f ca="1">IFERROR(__xludf.DUMMYFUNCTION("""COMPUTED_VALUE"""),10)</f>
        <v>10</v>
      </c>
      <c r="H13" s="1">
        <f ca="1">IFERROR(__xludf.DUMMYFUNCTION("""COMPUTED_VALUE"""),95.2)</f>
        <v>95.2</v>
      </c>
      <c r="I13" s="1">
        <f ca="1">IFERROR(__xludf.DUMMYFUNCTION("""COMPUTED_VALUE"""),33)</f>
        <v>33</v>
      </c>
      <c r="J13" s="1">
        <f ca="1">IFERROR(__xludf.DUMMYFUNCTION("""COMPUTED_VALUE"""),62.2)</f>
        <v>62.2</v>
      </c>
      <c r="K13" s="1">
        <f ca="1">IFERROR(__xludf.DUMMYFUNCTION("""COMPUTED_VALUE"""),298)</f>
        <v>298</v>
      </c>
      <c r="L13" s="1" t="str">
        <f ca="1">IFERROR(__xludf.DUMMYFUNCTION("""COMPUTED_VALUE"""),"+.033")</f>
        <v>+.033</v>
      </c>
      <c r="M13" s="1">
        <f ca="1">IFERROR(__xludf.DUMMYFUNCTION("""COMPUTED_VALUE"""),93)</f>
        <v>93</v>
      </c>
      <c r="N13" s="1" t="str">
        <f ca="1">IFERROR(__xludf.DUMMYFUNCTION("""COMPUTED_VALUE"""),"+9.54")</f>
        <v>+9.54</v>
      </c>
      <c r="O13" s="1">
        <f ca="1">IFERROR(__xludf.DUMMYFUNCTION("""COMPUTED_VALUE"""),22)</f>
        <v>22</v>
      </c>
      <c r="P13" s="1">
        <f ca="1">IFERROR(__xludf.DUMMYFUNCTION("""COMPUTED_VALUE"""),109.6)</f>
        <v>109.6</v>
      </c>
      <c r="Q13" s="1">
        <f ca="1">IFERROR(__xludf.DUMMYFUNCTION("""COMPUTED_VALUE"""),19)</f>
        <v>19</v>
      </c>
      <c r="R13" s="1">
        <f ca="1">IFERROR(__xludf.DUMMYFUNCTION("""COMPUTED_VALUE"""),100.1)</f>
        <v>100.1</v>
      </c>
      <c r="S13" s="1">
        <f ca="1">IFERROR(__xludf.DUMMYFUNCTION("""COMPUTED_VALUE"""),25)</f>
        <v>25</v>
      </c>
      <c r="T13" s="1" t="str">
        <f ca="1">IFERROR(__xludf.DUMMYFUNCTION("""COMPUTED_VALUE"""),"+0.72")</f>
        <v>+0.72</v>
      </c>
      <c r="U13" s="1">
        <f ca="1">IFERROR(__xludf.DUMMYFUNCTION("""COMPUTED_VALUE"""),137)</f>
        <v>137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IFERROR(__xludf.DUMMYFUNCTION("""COMPUTED_VALUE"""),"Maryland4")</f>
        <v>Maryland4</v>
      </c>
      <c r="C14" s="1" t="str">
        <f ca="1">IFERROR(__xludf.DUMMYFUNCTION("""COMPUTED_VALUE"""),"ACC")</f>
        <v>ACC</v>
      </c>
      <c r="D14" s="1" t="str">
        <f ca="1">IFERROR(__xludf.DUMMYFUNCTION("""COMPUTED_VALUE"""),"25-9")</f>
        <v>25-9</v>
      </c>
      <c r="E14" s="1" t="str">
        <f ca="1">IFERROR(__xludf.DUMMYFUNCTION("""COMPUTED_VALUE"""),"+22.42")</f>
        <v>+22.42</v>
      </c>
      <c r="F14" s="1">
        <f ca="1">IFERROR(__xludf.DUMMYFUNCTION("""COMPUTED_VALUE"""),112.4)</f>
        <v>112.4</v>
      </c>
      <c r="G14" s="1">
        <f ca="1">IFERROR(__xludf.DUMMYFUNCTION("""COMPUTED_VALUE"""),53)</f>
        <v>53</v>
      </c>
      <c r="H14" s="1">
        <f ca="1">IFERROR(__xludf.DUMMYFUNCTION("""COMPUTED_VALUE"""),90)</f>
        <v>90</v>
      </c>
      <c r="I14" s="1">
        <f ca="1">IFERROR(__xludf.DUMMYFUNCTION("""COMPUTED_VALUE"""),7)</f>
        <v>7</v>
      </c>
      <c r="J14" s="1">
        <f ca="1">IFERROR(__xludf.DUMMYFUNCTION("""COMPUTED_VALUE"""),71.4)</f>
        <v>71.400000000000006</v>
      </c>
      <c r="K14" s="1">
        <f ca="1">IFERROR(__xludf.DUMMYFUNCTION("""COMPUTED_VALUE"""),17)</f>
        <v>17</v>
      </c>
      <c r="L14" s="1">
        <f ca="1">IFERROR(__xludf.DUMMYFUNCTION("""COMPUTED_VALUE"""),-0.027)</f>
        <v>-2.7E-2</v>
      </c>
      <c r="M14" s="1">
        <f ca="1">IFERROR(__xludf.DUMMYFUNCTION("""COMPUTED_VALUE"""),247)</f>
        <v>247</v>
      </c>
      <c r="N14" s="1" t="str">
        <f ca="1">IFERROR(__xludf.DUMMYFUNCTION("""COMPUTED_VALUE"""),"+8.48")</f>
        <v>+8.48</v>
      </c>
      <c r="O14" s="1">
        <f ca="1">IFERROR(__xludf.DUMMYFUNCTION("""COMPUTED_VALUE"""),36)</f>
        <v>36</v>
      </c>
      <c r="P14" s="1">
        <f ca="1">IFERROR(__xludf.DUMMYFUNCTION("""COMPUTED_VALUE"""),108.9)</f>
        <v>108.9</v>
      </c>
      <c r="Q14" s="1">
        <f ca="1">IFERROR(__xludf.DUMMYFUNCTION("""COMPUTED_VALUE"""),38)</f>
        <v>38</v>
      </c>
      <c r="R14" s="1">
        <f ca="1">IFERROR(__xludf.DUMMYFUNCTION("""COMPUTED_VALUE"""),100.4)</f>
        <v>100.4</v>
      </c>
      <c r="S14" s="1">
        <f ca="1">IFERROR(__xludf.DUMMYFUNCTION("""COMPUTED_VALUE"""),40)</f>
        <v>40</v>
      </c>
      <c r="T14" s="1">
        <f ca="1">IFERROR(__xludf.DUMMYFUNCTION("""COMPUTED_VALUE"""),-3.07)</f>
        <v>-3.07</v>
      </c>
      <c r="U14" s="1">
        <f ca="1">IFERROR(__xludf.DUMMYFUNCTION("""COMPUTED_VALUE"""),231)</f>
        <v>231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IFERROR(__xludf.DUMMYFUNCTION("""COMPUTED_VALUE"""),"Kentucky8")</f>
        <v>Kentucky8</v>
      </c>
      <c r="C15" s="1" t="str">
        <f ca="1">IFERROR(__xludf.DUMMYFUNCTION("""COMPUTED_VALUE"""),"SEC")</f>
        <v>SEC</v>
      </c>
      <c r="D15" s="1" t="str">
        <f ca="1">IFERROR(__xludf.DUMMYFUNCTION("""COMPUTED_VALUE"""),"22-12")</f>
        <v>22-12</v>
      </c>
      <c r="E15" s="1" t="str">
        <f ca="1">IFERROR(__xludf.DUMMYFUNCTION("""COMPUTED_VALUE"""),"+21.73")</f>
        <v>+21.73</v>
      </c>
      <c r="F15" s="1">
        <f ca="1">IFERROR(__xludf.DUMMYFUNCTION("""COMPUTED_VALUE"""),117)</f>
        <v>117</v>
      </c>
      <c r="G15" s="1">
        <f ca="1">IFERROR(__xludf.DUMMYFUNCTION("""COMPUTED_VALUE"""),15)</f>
        <v>15</v>
      </c>
      <c r="H15" s="1">
        <f ca="1">IFERROR(__xludf.DUMMYFUNCTION("""COMPUTED_VALUE"""),95.3)</f>
        <v>95.3</v>
      </c>
      <c r="I15" s="1">
        <f ca="1">IFERROR(__xludf.DUMMYFUNCTION("""COMPUTED_VALUE"""),34)</f>
        <v>34</v>
      </c>
      <c r="J15" s="1">
        <f ca="1">IFERROR(__xludf.DUMMYFUNCTION("""COMPUTED_VALUE"""),65.8)</f>
        <v>65.8</v>
      </c>
      <c r="K15" s="1">
        <f ca="1">IFERROR(__xludf.DUMMYFUNCTION("""COMPUTED_VALUE"""),165)</f>
        <v>165</v>
      </c>
      <c r="L15" s="1">
        <f ca="1">IFERROR(__xludf.DUMMYFUNCTION("""COMPUTED_VALUE"""),-0.029)</f>
        <v>-2.9000000000000001E-2</v>
      </c>
      <c r="M15" s="1">
        <f ca="1">IFERROR(__xludf.DUMMYFUNCTION("""COMPUTED_VALUE"""),254)</f>
        <v>254</v>
      </c>
      <c r="N15" s="1" t="str">
        <f ca="1">IFERROR(__xludf.DUMMYFUNCTION("""COMPUTED_VALUE"""),"+13.23")</f>
        <v>+13.23</v>
      </c>
      <c r="O15" s="1">
        <f ca="1">IFERROR(__xludf.DUMMYFUNCTION("""COMPUTED_VALUE"""),1)</f>
        <v>1</v>
      </c>
      <c r="P15" s="1">
        <f ca="1">IFERROR(__xludf.DUMMYFUNCTION("""COMPUTED_VALUE"""),111)</f>
        <v>111</v>
      </c>
      <c r="Q15" s="1">
        <f ca="1">IFERROR(__xludf.DUMMYFUNCTION("""COMPUTED_VALUE"""),2)</f>
        <v>2</v>
      </c>
      <c r="R15" s="1">
        <f ca="1">IFERROR(__xludf.DUMMYFUNCTION("""COMPUTED_VALUE"""),97.8)</f>
        <v>97.8</v>
      </c>
      <c r="S15" s="1">
        <f ca="1">IFERROR(__xludf.DUMMYFUNCTION("""COMPUTED_VALUE"""),1)</f>
        <v>1</v>
      </c>
      <c r="T15" s="1" t="str">
        <f ca="1">IFERROR(__xludf.DUMMYFUNCTION("""COMPUTED_VALUE"""),"+8.21")</f>
        <v>+8.21</v>
      </c>
      <c r="U15" s="1">
        <f ca="1">IFERROR(__xludf.DUMMYFUNCTION("""COMPUTED_VALUE"""),25)</f>
        <v>25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IFERROR(__xludf.DUMMYFUNCTION("""COMPUTED_VALUE"""),"Indiana7")</f>
        <v>Indiana7</v>
      </c>
      <c r="C16" s="1" t="str">
        <f ca="1">IFERROR(__xludf.DUMMYFUNCTION("""COMPUTED_VALUE"""),"B10")</f>
        <v>B10</v>
      </c>
      <c r="D16" s="1" t="str">
        <f ca="1">IFERROR(__xludf.DUMMYFUNCTION("""COMPUTED_VALUE"""),"21-11")</f>
        <v>21-11</v>
      </c>
      <c r="E16" s="1" t="str">
        <f ca="1">IFERROR(__xludf.DUMMYFUNCTION("""COMPUTED_VALUE"""),"+21.58")</f>
        <v>+21.58</v>
      </c>
      <c r="F16" s="1">
        <f ca="1">IFERROR(__xludf.DUMMYFUNCTION("""COMPUTED_VALUE"""),115.4)</f>
        <v>115.4</v>
      </c>
      <c r="G16" s="1">
        <f ca="1">IFERROR(__xludf.DUMMYFUNCTION("""COMPUTED_VALUE"""),26)</f>
        <v>26</v>
      </c>
      <c r="H16" s="1">
        <f ca="1">IFERROR(__xludf.DUMMYFUNCTION("""COMPUTED_VALUE"""),93.8)</f>
        <v>93.8</v>
      </c>
      <c r="I16" s="1">
        <f ca="1">IFERROR(__xludf.DUMMYFUNCTION("""COMPUTED_VALUE"""),23)</f>
        <v>23</v>
      </c>
      <c r="J16" s="1">
        <f ca="1">IFERROR(__xludf.DUMMYFUNCTION("""COMPUTED_VALUE"""),64.9)</f>
        <v>64.900000000000006</v>
      </c>
      <c r="K16" s="1">
        <f ca="1">IFERROR(__xludf.DUMMYFUNCTION("""COMPUTED_VALUE"""),203)</f>
        <v>203</v>
      </c>
      <c r="L16" s="1">
        <f ca="1">IFERROR(__xludf.DUMMYFUNCTION("""COMPUTED_VALUE"""),-0.058)</f>
        <v>-5.8000000000000003E-2</v>
      </c>
      <c r="M16" s="1">
        <f ca="1">IFERROR(__xludf.DUMMYFUNCTION("""COMPUTED_VALUE"""),298)</f>
        <v>298</v>
      </c>
      <c r="N16" s="1" t="str">
        <f ca="1">IFERROR(__xludf.DUMMYFUNCTION("""COMPUTED_VALUE"""),"+9.96")</f>
        <v>+9.96</v>
      </c>
      <c r="O16" s="1">
        <f ca="1">IFERROR(__xludf.DUMMYFUNCTION("""COMPUTED_VALUE"""),14)</f>
        <v>14</v>
      </c>
      <c r="P16" s="1">
        <f ca="1">IFERROR(__xludf.DUMMYFUNCTION("""COMPUTED_VALUE"""),108.5)</f>
        <v>108.5</v>
      </c>
      <c r="Q16" s="1">
        <f ca="1">IFERROR(__xludf.DUMMYFUNCTION("""COMPUTED_VALUE"""),43)</f>
        <v>43</v>
      </c>
      <c r="R16" s="1">
        <f ca="1">IFERROR(__xludf.DUMMYFUNCTION("""COMPUTED_VALUE"""),98.5)</f>
        <v>98.5</v>
      </c>
      <c r="S16" s="1">
        <f ca="1">IFERROR(__xludf.DUMMYFUNCTION("""COMPUTED_VALUE"""),3)</f>
        <v>3</v>
      </c>
      <c r="T16" s="1" t="str">
        <f ca="1">IFERROR(__xludf.DUMMYFUNCTION("""COMPUTED_VALUE"""),"+1.51")</f>
        <v>+1.51</v>
      </c>
      <c r="U16" s="1">
        <f ca="1">IFERROR(__xludf.DUMMYFUNCTION("""COMPUTED_VALUE"""),111)</f>
        <v>111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IFERROR(__xludf.DUMMYFUNCTION("""COMPUTED_VALUE"""),"Butler5")</f>
        <v>Butler5</v>
      </c>
      <c r="C17" s="1" t="str">
        <f ca="1">IFERROR(__xludf.DUMMYFUNCTION("""COMPUTED_VALUE"""),"Horz")</f>
        <v>Horz</v>
      </c>
      <c r="D17" s="1" t="str">
        <f ca="1">IFERROR(__xludf.DUMMYFUNCTION("""COMPUTED_VALUE"""),"29-7")</f>
        <v>29-7</v>
      </c>
      <c r="E17" s="1" t="str">
        <f ca="1">IFERROR(__xludf.DUMMYFUNCTION("""COMPUTED_VALUE"""),"+21.45")</f>
        <v>+21.45</v>
      </c>
      <c r="F17" s="1">
        <f ca="1">IFERROR(__xludf.DUMMYFUNCTION("""COMPUTED_VALUE"""),118)</f>
        <v>118</v>
      </c>
      <c r="G17" s="1">
        <f ca="1">IFERROR(__xludf.DUMMYFUNCTION("""COMPUTED_VALUE"""),11)</f>
        <v>11</v>
      </c>
      <c r="H17" s="1">
        <f ca="1">IFERROR(__xludf.DUMMYFUNCTION("""COMPUTED_VALUE"""),96.5)</f>
        <v>96.5</v>
      </c>
      <c r="I17" s="1">
        <f ca="1">IFERROR(__xludf.DUMMYFUNCTION("""COMPUTED_VALUE"""),47)</f>
        <v>47</v>
      </c>
      <c r="J17" s="1">
        <f ca="1">IFERROR(__xludf.DUMMYFUNCTION("""COMPUTED_VALUE"""),58.1)</f>
        <v>58.1</v>
      </c>
      <c r="K17" s="1">
        <f ca="1">IFERROR(__xludf.DUMMYFUNCTION("""COMPUTED_VALUE"""),331)</f>
        <v>331</v>
      </c>
      <c r="L17" s="1" t="str">
        <f ca="1">IFERROR(__xludf.DUMMYFUNCTION("""COMPUTED_VALUE"""),"+.016")</f>
        <v>+.016</v>
      </c>
      <c r="M17" s="1">
        <f ca="1">IFERROR(__xludf.DUMMYFUNCTION("""COMPUTED_VALUE"""),145)</f>
        <v>145</v>
      </c>
      <c r="N17" s="1" t="str">
        <f ca="1">IFERROR(__xludf.DUMMYFUNCTION("""COMPUTED_VALUE"""),"+4.77")</f>
        <v>+4.77</v>
      </c>
      <c r="O17" s="1">
        <f ca="1">IFERROR(__xludf.DUMMYFUNCTION("""COMPUTED_VALUE"""),85)</f>
        <v>85</v>
      </c>
      <c r="P17" s="1">
        <f ca="1">IFERROR(__xludf.DUMMYFUNCTION("""COMPUTED_VALUE"""),106.6)</f>
        <v>106.6</v>
      </c>
      <c r="Q17" s="1">
        <f ca="1">IFERROR(__xludf.DUMMYFUNCTION("""COMPUTED_VALUE"""),94)</f>
        <v>94</v>
      </c>
      <c r="R17" s="1">
        <f ca="1">IFERROR(__xludf.DUMMYFUNCTION("""COMPUTED_VALUE"""),101.8)</f>
        <v>101.8</v>
      </c>
      <c r="S17" s="1">
        <f ca="1">IFERROR(__xludf.DUMMYFUNCTION("""COMPUTED_VALUE"""),79)</f>
        <v>79</v>
      </c>
      <c r="T17" s="1" t="str">
        <f ca="1">IFERROR(__xludf.DUMMYFUNCTION("""COMPUTED_VALUE"""),"+6.61")</f>
        <v>+6.61</v>
      </c>
      <c r="U17" s="1">
        <f ca="1">IFERROR(__xludf.DUMMYFUNCTION("""COMPUTED_VALUE"""),35)</f>
        <v>35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IFERROR(__xludf.DUMMYFUNCTION("""COMPUTED_VALUE"""),"Southern Illinois4")</f>
        <v>Southern Illinois4</v>
      </c>
      <c r="C18" s="1" t="str">
        <f ca="1">IFERROR(__xludf.DUMMYFUNCTION("""COMPUTED_VALUE"""),"MVC")</f>
        <v>MVC</v>
      </c>
      <c r="D18" s="1" t="str">
        <f ca="1">IFERROR(__xludf.DUMMYFUNCTION("""COMPUTED_VALUE"""),"29-7")</f>
        <v>29-7</v>
      </c>
      <c r="E18" s="1" t="str">
        <f ca="1">IFERROR(__xludf.DUMMYFUNCTION("""COMPUTED_VALUE"""),"+21.03")</f>
        <v>+21.03</v>
      </c>
      <c r="F18" s="1">
        <f ca="1">IFERROR(__xludf.DUMMYFUNCTION("""COMPUTED_VALUE"""),109.8)</f>
        <v>109.8</v>
      </c>
      <c r="G18" s="1">
        <f ca="1">IFERROR(__xludf.DUMMYFUNCTION("""COMPUTED_VALUE"""),84)</f>
        <v>84</v>
      </c>
      <c r="H18" s="1">
        <f ca="1">IFERROR(__xludf.DUMMYFUNCTION("""COMPUTED_VALUE"""),88.8)</f>
        <v>88.8</v>
      </c>
      <c r="I18" s="1">
        <f ca="1">IFERROR(__xludf.DUMMYFUNCTION("""COMPUTED_VALUE"""),3)</f>
        <v>3</v>
      </c>
      <c r="J18" s="1">
        <f ca="1">IFERROR(__xludf.DUMMYFUNCTION("""COMPUTED_VALUE"""),61)</f>
        <v>61</v>
      </c>
      <c r="K18" s="1">
        <f ca="1">IFERROR(__xludf.DUMMYFUNCTION("""COMPUTED_VALUE"""),312)</f>
        <v>312</v>
      </c>
      <c r="L18" s="1" t="str">
        <f ca="1">IFERROR(__xludf.DUMMYFUNCTION("""COMPUTED_VALUE"""),"+.017")</f>
        <v>+.017</v>
      </c>
      <c r="M18" s="1">
        <f ca="1">IFERROR(__xludf.DUMMYFUNCTION("""COMPUTED_VALUE"""),138)</f>
        <v>138</v>
      </c>
      <c r="N18" s="1" t="str">
        <f ca="1">IFERROR(__xludf.DUMMYFUNCTION("""COMPUTED_VALUE"""),"+10.19")</f>
        <v>+10.19</v>
      </c>
      <c r="O18" s="1">
        <f ca="1">IFERROR(__xludf.DUMMYFUNCTION("""COMPUTED_VALUE"""),12)</f>
        <v>12</v>
      </c>
      <c r="P18" s="1">
        <f ca="1">IFERROR(__xludf.DUMMYFUNCTION("""COMPUTED_VALUE"""),110.2)</f>
        <v>110.2</v>
      </c>
      <c r="Q18" s="1">
        <f ca="1">IFERROR(__xludf.DUMMYFUNCTION("""COMPUTED_VALUE"""),11)</f>
        <v>11</v>
      </c>
      <c r="R18" s="1">
        <f ca="1">IFERROR(__xludf.DUMMYFUNCTION("""COMPUTED_VALUE"""),100)</f>
        <v>100</v>
      </c>
      <c r="S18" s="1">
        <f ca="1">IFERROR(__xludf.DUMMYFUNCTION("""COMPUTED_VALUE"""),22)</f>
        <v>22</v>
      </c>
      <c r="T18" s="1" t="str">
        <f ca="1">IFERROR(__xludf.DUMMYFUNCTION("""COMPUTED_VALUE"""),"+7.30")</f>
        <v>+7.30</v>
      </c>
      <c r="U18" s="1">
        <f ca="1">IFERROR(__xludf.DUMMYFUNCTION("""COMPUTED_VALUE"""),30)</f>
        <v>30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IFERROR(__xludf.DUMMYFUNCTION("""COMPUTED_VALUE"""),"Michigan St.9")</f>
        <v>Michigan St.9</v>
      </c>
      <c r="C19" s="1" t="str">
        <f ca="1">IFERROR(__xludf.DUMMYFUNCTION("""COMPUTED_VALUE"""),"B10")</f>
        <v>B10</v>
      </c>
      <c r="D19" s="1" t="str">
        <f ca="1">IFERROR(__xludf.DUMMYFUNCTION("""COMPUTED_VALUE"""),"23-12")</f>
        <v>23-12</v>
      </c>
      <c r="E19" s="1" t="str">
        <f ca="1">IFERROR(__xludf.DUMMYFUNCTION("""COMPUTED_VALUE"""),"+20.97")</f>
        <v>+20.97</v>
      </c>
      <c r="F19" s="1">
        <f ca="1">IFERROR(__xludf.DUMMYFUNCTION("""COMPUTED_VALUE"""),112.8)</f>
        <v>112.8</v>
      </c>
      <c r="G19" s="1">
        <f ca="1">IFERROR(__xludf.DUMMYFUNCTION("""COMPUTED_VALUE"""),49)</f>
        <v>49</v>
      </c>
      <c r="H19" s="1">
        <f ca="1">IFERROR(__xludf.DUMMYFUNCTION("""COMPUTED_VALUE"""),91.8)</f>
        <v>91.8</v>
      </c>
      <c r="I19" s="1">
        <f ca="1">IFERROR(__xludf.DUMMYFUNCTION("""COMPUTED_VALUE"""),12)</f>
        <v>12</v>
      </c>
      <c r="J19" s="1">
        <f ca="1">IFERROR(__xludf.DUMMYFUNCTION("""COMPUTED_VALUE"""),60.3)</f>
        <v>60.3</v>
      </c>
      <c r="K19" s="1">
        <f ca="1">IFERROR(__xludf.DUMMYFUNCTION("""COMPUTED_VALUE"""),319)</f>
        <v>319</v>
      </c>
      <c r="L19" s="1">
        <f ca="1">IFERROR(__xludf.DUMMYFUNCTION("""COMPUTED_VALUE"""),-0.036)</f>
        <v>-3.5999999999999997E-2</v>
      </c>
      <c r="M19" s="1">
        <f ca="1">IFERROR(__xludf.DUMMYFUNCTION("""COMPUTED_VALUE"""),265)</f>
        <v>265</v>
      </c>
      <c r="N19" s="1" t="str">
        <f ca="1">IFERROR(__xludf.DUMMYFUNCTION("""COMPUTED_VALUE"""),"+9.07")</f>
        <v>+9.07</v>
      </c>
      <c r="O19" s="1">
        <f ca="1">IFERROR(__xludf.DUMMYFUNCTION("""COMPUTED_VALUE"""),28)</f>
        <v>28</v>
      </c>
      <c r="P19" s="1">
        <f ca="1">IFERROR(__xludf.DUMMYFUNCTION("""COMPUTED_VALUE"""),109.2)</f>
        <v>109.2</v>
      </c>
      <c r="Q19" s="1">
        <f ca="1">IFERROR(__xludf.DUMMYFUNCTION("""COMPUTED_VALUE"""),27)</f>
        <v>27</v>
      </c>
      <c r="R19" s="1">
        <f ca="1">IFERROR(__xludf.DUMMYFUNCTION("""COMPUTED_VALUE"""),100.2)</f>
        <v>100.2</v>
      </c>
      <c r="S19" s="1">
        <f ca="1">IFERROR(__xludf.DUMMYFUNCTION("""COMPUTED_VALUE"""),28)</f>
        <v>28</v>
      </c>
      <c r="T19" s="1">
        <f ca="1">IFERROR(__xludf.DUMMYFUNCTION("""COMPUTED_VALUE"""),-1.63)</f>
        <v>-1.63</v>
      </c>
      <c r="U19" s="1">
        <f ca="1">IFERROR(__xludf.DUMMYFUNCTION("""COMPUTED_VALUE"""),188)</f>
        <v>188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IFERROR(__xludf.DUMMYFUNCTION("""COMPUTED_VALUE"""),"Oregon3")</f>
        <v>Oregon3</v>
      </c>
      <c r="C20" s="1" t="str">
        <f ca="1">IFERROR(__xludf.DUMMYFUNCTION("""COMPUTED_VALUE"""),"P10")</f>
        <v>P10</v>
      </c>
      <c r="D20" s="1" t="str">
        <f ca="1">IFERROR(__xludf.DUMMYFUNCTION("""COMPUTED_VALUE"""),"29-8")</f>
        <v>29-8</v>
      </c>
      <c r="E20" s="1" t="str">
        <f ca="1">IFERROR(__xludf.DUMMYFUNCTION("""COMPUTED_VALUE"""),"+20.76")</f>
        <v>+20.76</v>
      </c>
      <c r="F20" s="1">
        <f ca="1">IFERROR(__xludf.DUMMYFUNCTION("""COMPUTED_VALUE"""),118.3)</f>
        <v>118.3</v>
      </c>
      <c r="G20" s="1">
        <f ca="1">IFERROR(__xludf.DUMMYFUNCTION("""COMPUTED_VALUE"""),8)</f>
        <v>8</v>
      </c>
      <c r="H20" s="1">
        <f ca="1">IFERROR(__xludf.DUMMYFUNCTION("""COMPUTED_VALUE"""),97.6)</f>
        <v>97.6</v>
      </c>
      <c r="I20" s="1">
        <f ca="1">IFERROR(__xludf.DUMMYFUNCTION("""COMPUTED_VALUE"""),54)</f>
        <v>54</v>
      </c>
      <c r="J20" s="1">
        <f ca="1">IFERROR(__xludf.DUMMYFUNCTION("""COMPUTED_VALUE"""),66)</f>
        <v>66</v>
      </c>
      <c r="K20" s="1">
        <f ca="1">IFERROR(__xludf.DUMMYFUNCTION("""COMPUTED_VALUE"""),158)</f>
        <v>158</v>
      </c>
      <c r="L20" s="1" t="str">
        <f ca="1">IFERROR(__xludf.DUMMYFUNCTION("""COMPUTED_VALUE"""),"+.031")</f>
        <v>+.031</v>
      </c>
      <c r="M20" s="1">
        <f ca="1">IFERROR(__xludf.DUMMYFUNCTION("""COMPUTED_VALUE"""),100)</f>
        <v>100</v>
      </c>
      <c r="N20" s="1" t="str">
        <f ca="1">IFERROR(__xludf.DUMMYFUNCTION("""COMPUTED_VALUE"""),"+7.19")</f>
        <v>+7.19</v>
      </c>
      <c r="O20" s="1">
        <f ca="1">IFERROR(__xludf.DUMMYFUNCTION("""COMPUTED_VALUE"""),55)</f>
        <v>55</v>
      </c>
      <c r="P20" s="1">
        <f ca="1">IFERROR(__xludf.DUMMYFUNCTION("""COMPUTED_VALUE"""),108)</f>
        <v>108</v>
      </c>
      <c r="Q20" s="1">
        <f ca="1">IFERROR(__xludf.DUMMYFUNCTION("""COMPUTED_VALUE"""),59)</f>
        <v>59</v>
      </c>
      <c r="R20" s="1">
        <f ca="1">IFERROR(__xludf.DUMMYFUNCTION("""COMPUTED_VALUE"""),100.8)</f>
        <v>100.8</v>
      </c>
      <c r="S20" s="1">
        <f ca="1">IFERROR(__xludf.DUMMYFUNCTION("""COMPUTED_VALUE"""),53)</f>
        <v>53</v>
      </c>
      <c r="T20" s="1">
        <f ca="1">IFERROR(__xludf.DUMMYFUNCTION("""COMPUTED_VALUE"""),-9.09)</f>
        <v>-9.09</v>
      </c>
      <c r="U20" s="1">
        <f ca="1">IFERROR(__xludf.DUMMYFUNCTION("""COMPUTED_VALUE"""),322)</f>
        <v>322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IFERROR(__xludf.DUMMYFUNCTION("""COMPUTED_VALUE"""),"Louisville6")</f>
        <v>Louisville6</v>
      </c>
      <c r="C21" s="1" t="str">
        <f ca="1">IFERROR(__xludf.DUMMYFUNCTION("""COMPUTED_VALUE"""),"BE")</f>
        <v>BE</v>
      </c>
      <c r="D21" s="1" t="str">
        <f ca="1">IFERROR(__xludf.DUMMYFUNCTION("""COMPUTED_VALUE"""),"24-10")</f>
        <v>24-10</v>
      </c>
      <c r="E21" s="1" t="str">
        <f ca="1">IFERROR(__xludf.DUMMYFUNCTION("""COMPUTED_VALUE"""),"+20.35")</f>
        <v>+20.35</v>
      </c>
      <c r="F21" s="1">
        <f ca="1">IFERROR(__xludf.DUMMYFUNCTION("""COMPUTED_VALUE"""),113.5)</f>
        <v>113.5</v>
      </c>
      <c r="G21" s="1">
        <f ca="1">IFERROR(__xludf.DUMMYFUNCTION("""COMPUTED_VALUE"""),40)</f>
        <v>40</v>
      </c>
      <c r="H21" s="1">
        <f ca="1">IFERROR(__xludf.DUMMYFUNCTION("""COMPUTED_VALUE"""),93.1)</f>
        <v>93.1</v>
      </c>
      <c r="I21" s="1">
        <f ca="1">IFERROR(__xludf.DUMMYFUNCTION("""COMPUTED_VALUE"""),18)</f>
        <v>18</v>
      </c>
      <c r="J21" s="1">
        <f ca="1">IFERROR(__xludf.DUMMYFUNCTION("""COMPUTED_VALUE"""),64.2)</f>
        <v>64.2</v>
      </c>
      <c r="K21" s="1">
        <f ca="1">IFERROR(__xludf.DUMMYFUNCTION("""COMPUTED_VALUE"""),229)</f>
        <v>229</v>
      </c>
      <c r="L21" s="1">
        <f ca="1">IFERROR(__xludf.DUMMYFUNCTION("""COMPUTED_VALUE"""),-0.046)</f>
        <v>-4.5999999999999999E-2</v>
      </c>
      <c r="M21" s="1">
        <f ca="1">IFERROR(__xludf.DUMMYFUNCTION("""COMPUTED_VALUE"""),277)</f>
        <v>277</v>
      </c>
      <c r="N21" s="1" t="str">
        <f ca="1">IFERROR(__xludf.DUMMYFUNCTION("""COMPUTED_VALUE"""),"+7.29")</f>
        <v>+7.29</v>
      </c>
      <c r="O21" s="1">
        <f ca="1">IFERROR(__xludf.DUMMYFUNCTION("""COMPUTED_VALUE"""),53)</f>
        <v>53</v>
      </c>
      <c r="P21" s="1">
        <f ca="1">IFERROR(__xludf.DUMMYFUNCTION("""COMPUTED_VALUE"""),107.9)</f>
        <v>107.9</v>
      </c>
      <c r="Q21" s="1">
        <f ca="1">IFERROR(__xludf.DUMMYFUNCTION("""COMPUTED_VALUE"""),61)</f>
        <v>61</v>
      </c>
      <c r="R21" s="1">
        <f ca="1">IFERROR(__xludf.DUMMYFUNCTION("""COMPUTED_VALUE"""),100.6)</f>
        <v>100.6</v>
      </c>
      <c r="S21" s="1">
        <f ca="1">IFERROR(__xludf.DUMMYFUNCTION("""COMPUTED_VALUE"""),48)</f>
        <v>48</v>
      </c>
      <c r="T21" s="1">
        <f ca="1">IFERROR(__xludf.DUMMYFUNCTION("""COMPUTED_VALUE"""),-3.61)</f>
        <v>-3.61</v>
      </c>
      <c r="U21" s="1">
        <f ca="1">IFERROR(__xludf.DUMMYFUNCTION("""COMPUTED_VALUE"""),244)</f>
        <v>244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IFERROR(__xludf.DUMMYFUNCTION("""COMPUTED_VALUE"""),"Air Force1")</f>
        <v>Air Force1</v>
      </c>
      <c r="C22" s="1" t="str">
        <f ca="1">IFERROR(__xludf.DUMMYFUNCTION("""COMPUTED_VALUE"""),"MWC")</f>
        <v>MWC</v>
      </c>
      <c r="D22" s="1" t="str">
        <f ca="1">IFERROR(__xludf.DUMMYFUNCTION("""COMPUTED_VALUE"""),"26-9")</f>
        <v>26-9</v>
      </c>
      <c r="E22" s="1" t="str">
        <f ca="1">IFERROR(__xludf.DUMMYFUNCTION("""COMPUTED_VALUE"""),"+20.20")</f>
        <v>+20.20</v>
      </c>
      <c r="F22" s="1">
        <f ca="1">IFERROR(__xludf.DUMMYFUNCTION("""COMPUTED_VALUE"""),116.5)</f>
        <v>116.5</v>
      </c>
      <c r="G22" s="1">
        <f ca="1">IFERROR(__xludf.DUMMYFUNCTION("""COMPUTED_VALUE"""),20)</f>
        <v>20</v>
      </c>
      <c r="H22" s="1">
        <f ca="1">IFERROR(__xludf.DUMMYFUNCTION("""COMPUTED_VALUE"""),96.3)</f>
        <v>96.3</v>
      </c>
      <c r="I22" s="1">
        <f ca="1">IFERROR(__xludf.DUMMYFUNCTION("""COMPUTED_VALUE"""),45)</f>
        <v>45</v>
      </c>
      <c r="J22" s="1">
        <f ca="1">IFERROR(__xludf.DUMMYFUNCTION("""COMPUTED_VALUE"""),57.5)</f>
        <v>57.5</v>
      </c>
      <c r="K22" s="1">
        <f ca="1">IFERROR(__xludf.DUMMYFUNCTION("""COMPUTED_VALUE"""),332)</f>
        <v>332</v>
      </c>
      <c r="L22" s="1">
        <f ca="1">IFERROR(__xludf.DUMMYFUNCTION("""COMPUTED_VALUE"""),-0.021)</f>
        <v>-2.1000000000000001E-2</v>
      </c>
      <c r="M22" s="1">
        <f ca="1">IFERROR(__xludf.DUMMYFUNCTION("""COMPUTED_VALUE"""),232)</f>
        <v>232</v>
      </c>
      <c r="N22" s="1" t="str">
        <f ca="1">IFERROR(__xludf.DUMMYFUNCTION("""COMPUTED_VALUE"""),"+3.24")</f>
        <v>+3.24</v>
      </c>
      <c r="O22" s="1">
        <f ca="1">IFERROR(__xludf.DUMMYFUNCTION("""COMPUTED_VALUE"""),99)</f>
        <v>99</v>
      </c>
      <c r="P22" s="1">
        <f ca="1">IFERROR(__xludf.DUMMYFUNCTION("""COMPUTED_VALUE"""),106.5)</f>
        <v>106.5</v>
      </c>
      <c r="Q22" s="1">
        <f ca="1">IFERROR(__xludf.DUMMYFUNCTION("""COMPUTED_VALUE"""),95)</f>
        <v>95</v>
      </c>
      <c r="R22" s="1">
        <f ca="1">IFERROR(__xludf.DUMMYFUNCTION("""COMPUTED_VALUE"""),103.2)</f>
        <v>103.2</v>
      </c>
      <c r="S22" s="1">
        <f ca="1">IFERROR(__xludf.DUMMYFUNCTION("""COMPUTED_VALUE"""),117)</f>
        <v>117</v>
      </c>
      <c r="T22" s="1">
        <f ca="1">IFERROR(__xludf.DUMMYFUNCTION("""COMPUTED_VALUE"""),-1.91)</f>
        <v>-1.91</v>
      </c>
      <c r="U22" s="1">
        <f ca="1">IFERROR(__xludf.DUMMYFUNCTION("""COMPUTED_VALUE"""),200)</f>
        <v>200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IFERROR(__xludf.DUMMYFUNCTION("""COMPUTED_VALUE"""),"Villanova9")</f>
        <v>Villanova9</v>
      </c>
      <c r="C23" s="1" t="str">
        <f ca="1">IFERROR(__xludf.DUMMYFUNCTION("""COMPUTED_VALUE"""),"BE")</f>
        <v>BE</v>
      </c>
      <c r="D23" s="1" t="str">
        <f ca="1">IFERROR(__xludf.DUMMYFUNCTION("""COMPUTED_VALUE"""),"22-11")</f>
        <v>22-11</v>
      </c>
      <c r="E23" s="1" t="str">
        <f ca="1">IFERROR(__xludf.DUMMYFUNCTION("""COMPUTED_VALUE"""),"+20.11")</f>
        <v>+20.11</v>
      </c>
      <c r="F23" s="1">
        <f ca="1">IFERROR(__xludf.DUMMYFUNCTION("""COMPUTED_VALUE"""),113.4)</f>
        <v>113.4</v>
      </c>
      <c r="G23" s="1">
        <f ca="1">IFERROR(__xludf.DUMMYFUNCTION("""COMPUTED_VALUE"""),42)</f>
        <v>42</v>
      </c>
      <c r="H23" s="1">
        <f ca="1">IFERROR(__xludf.DUMMYFUNCTION("""COMPUTED_VALUE"""),93.3)</f>
        <v>93.3</v>
      </c>
      <c r="I23" s="1">
        <f ca="1">IFERROR(__xludf.DUMMYFUNCTION("""COMPUTED_VALUE"""),19)</f>
        <v>19</v>
      </c>
      <c r="J23" s="1">
        <f ca="1">IFERROR(__xludf.DUMMYFUNCTION("""COMPUTED_VALUE"""),65.8)</f>
        <v>65.8</v>
      </c>
      <c r="K23" s="1">
        <f ca="1">IFERROR(__xludf.DUMMYFUNCTION("""COMPUTED_VALUE"""),168)</f>
        <v>168</v>
      </c>
      <c r="L23" s="1">
        <f ca="1">IFERROR(__xludf.DUMMYFUNCTION("""COMPUTED_VALUE"""),-0.036)</f>
        <v>-3.5999999999999997E-2</v>
      </c>
      <c r="M23" s="1">
        <f ca="1">IFERROR(__xludf.DUMMYFUNCTION("""COMPUTED_VALUE"""),266)</f>
        <v>266</v>
      </c>
      <c r="N23" s="1" t="str">
        <f ca="1">IFERROR(__xludf.DUMMYFUNCTION("""COMPUTED_VALUE"""),"+11.02")</f>
        <v>+11.02</v>
      </c>
      <c r="O23" s="1">
        <f ca="1">IFERROR(__xludf.DUMMYFUNCTION("""COMPUTED_VALUE"""),5)</f>
        <v>5</v>
      </c>
      <c r="P23" s="1">
        <f ca="1">IFERROR(__xludf.DUMMYFUNCTION("""COMPUTED_VALUE"""),110.5)</f>
        <v>110.5</v>
      </c>
      <c r="Q23" s="1">
        <f ca="1">IFERROR(__xludf.DUMMYFUNCTION("""COMPUTED_VALUE"""),7)</f>
        <v>7</v>
      </c>
      <c r="R23" s="1">
        <f ca="1">IFERROR(__xludf.DUMMYFUNCTION("""COMPUTED_VALUE"""),99.5)</f>
        <v>99.5</v>
      </c>
      <c r="S23" s="1">
        <f ca="1">IFERROR(__xludf.DUMMYFUNCTION("""COMPUTED_VALUE"""),9)</f>
        <v>9</v>
      </c>
      <c r="T23" s="1" t="str">
        <f ca="1">IFERROR(__xludf.DUMMYFUNCTION("""COMPUTED_VALUE"""),"+2.82")</f>
        <v>+2.82</v>
      </c>
      <c r="U23" s="1">
        <f ca="1">IFERROR(__xludf.DUMMYFUNCTION("""COMPUTED_VALUE"""),86)</f>
        <v>86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IFERROR(__xludf.DUMMYFUNCTION("""COMPUTED_VALUE"""),"Notre Dame6")</f>
        <v>Notre Dame6</v>
      </c>
      <c r="C24" s="1" t="str">
        <f ca="1">IFERROR(__xludf.DUMMYFUNCTION("""COMPUTED_VALUE"""),"BE")</f>
        <v>BE</v>
      </c>
      <c r="D24" s="1" t="str">
        <f ca="1">IFERROR(__xludf.DUMMYFUNCTION("""COMPUTED_VALUE"""),"24-8")</f>
        <v>24-8</v>
      </c>
      <c r="E24" s="1" t="str">
        <f ca="1">IFERROR(__xludf.DUMMYFUNCTION("""COMPUTED_VALUE"""),"+20.02")</f>
        <v>+20.02</v>
      </c>
      <c r="F24" s="1">
        <f ca="1">IFERROR(__xludf.DUMMYFUNCTION("""COMPUTED_VALUE"""),118.1)</f>
        <v>118.1</v>
      </c>
      <c r="G24" s="1">
        <f ca="1">IFERROR(__xludf.DUMMYFUNCTION("""COMPUTED_VALUE"""),9)</f>
        <v>9</v>
      </c>
      <c r="H24" s="1">
        <f ca="1">IFERROR(__xludf.DUMMYFUNCTION("""COMPUTED_VALUE"""),98.1)</f>
        <v>98.1</v>
      </c>
      <c r="I24" s="1">
        <f ca="1">IFERROR(__xludf.DUMMYFUNCTION("""COMPUTED_VALUE"""),62)</f>
        <v>62</v>
      </c>
      <c r="J24" s="1">
        <f ca="1">IFERROR(__xludf.DUMMYFUNCTION("""COMPUTED_VALUE"""),70.7)</f>
        <v>70.7</v>
      </c>
      <c r="K24" s="1">
        <f ca="1">IFERROR(__xludf.DUMMYFUNCTION("""COMPUTED_VALUE"""),28)</f>
        <v>28</v>
      </c>
      <c r="L24" s="1">
        <f ca="1">IFERROR(__xludf.DUMMYFUNCTION("""COMPUTED_VALUE"""),-0.018)</f>
        <v>-1.7999999999999999E-2</v>
      </c>
      <c r="M24" s="1">
        <f ca="1">IFERROR(__xludf.DUMMYFUNCTION("""COMPUTED_VALUE"""),223)</f>
        <v>223</v>
      </c>
      <c r="N24" s="1" t="str">
        <f ca="1">IFERROR(__xludf.DUMMYFUNCTION("""COMPUTED_VALUE"""),"+4.03")</f>
        <v>+4.03</v>
      </c>
      <c r="O24" s="1">
        <f ca="1">IFERROR(__xludf.DUMMYFUNCTION("""COMPUTED_VALUE"""),92)</f>
        <v>92</v>
      </c>
      <c r="P24" s="1">
        <f ca="1">IFERROR(__xludf.DUMMYFUNCTION("""COMPUTED_VALUE"""),105.9)</f>
        <v>105.9</v>
      </c>
      <c r="Q24" s="1">
        <f ca="1">IFERROR(__xludf.DUMMYFUNCTION("""COMPUTED_VALUE"""),107)</f>
        <v>107</v>
      </c>
      <c r="R24" s="1">
        <f ca="1">IFERROR(__xludf.DUMMYFUNCTION("""COMPUTED_VALUE"""),101.9)</f>
        <v>101.9</v>
      </c>
      <c r="S24" s="1">
        <f ca="1">IFERROR(__xludf.DUMMYFUNCTION("""COMPUTED_VALUE"""),85)</f>
        <v>85</v>
      </c>
      <c r="T24" s="1">
        <f ca="1">IFERROR(__xludf.DUMMYFUNCTION("""COMPUTED_VALUE"""),-13.12)</f>
        <v>-13.12</v>
      </c>
      <c r="U24" s="1">
        <f ca="1">IFERROR(__xludf.DUMMYFUNCTION("""COMPUTED_VALUE"""),335)</f>
        <v>335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IFERROR(__xludf.DUMMYFUNCTION("""COMPUTED_VALUE"""),"Georgia Tech10")</f>
        <v>Georgia Tech10</v>
      </c>
      <c r="C25" s="1" t="str">
        <f ca="1">IFERROR(__xludf.DUMMYFUNCTION("""COMPUTED_VALUE"""),"ACC")</f>
        <v>ACC</v>
      </c>
      <c r="D25" s="1" t="str">
        <f ca="1">IFERROR(__xludf.DUMMYFUNCTION("""COMPUTED_VALUE"""),"20-12")</f>
        <v>20-12</v>
      </c>
      <c r="E25" s="1" t="str">
        <f ca="1">IFERROR(__xludf.DUMMYFUNCTION("""COMPUTED_VALUE"""),"+19.61")</f>
        <v>+19.61</v>
      </c>
      <c r="F25" s="1">
        <f ca="1">IFERROR(__xludf.DUMMYFUNCTION("""COMPUTED_VALUE"""),116.9)</f>
        <v>116.9</v>
      </c>
      <c r="G25" s="1">
        <f ca="1">IFERROR(__xludf.DUMMYFUNCTION("""COMPUTED_VALUE"""),16)</f>
        <v>16</v>
      </c>
      <c r="H25" s="1">
        <f ca="1">IFERROR(__xludf.DUMMYFUNCTION("""COMPUTED_VALUE"""),97.3)</f>
        <v>97.3</v>
      </c>
      <c r="I25" s="1">
        <f ca="1">IFERROR(__xludf.DUMMYFUNCTION("""COMPUTED_VALUE"""),51)</f>
        <v>51</v>
      </c>
      <c r="J25" s="1">
        <f ca="1">IFERROR(__xludf.DUMMYFUNCTION("""COMPUTED_VALUE"""),67.2)</f>
        <v>67.2</v>
      </c>
      <c r="K25" s="1">
        <f ca="1">IFERROR(__xludf.DUMMYFUNCTION("""COMPUTED_VALUE"""),106)</f>
        <v>106</v>
      </c>
      <c r="L25" s="1">
        <f ca="1">IFERROR(__xludf.DUMMYFUNCTION("""COMPUTED_VALUE"""),-0.067)</f>
        <v>-6.7000000000000004E-2</v>
      </c>
      <c r="M25" s="1">
        <f ca="1">IFERROR(__xludf.DUMMYFUNCTION("""COMPUTED_VALUE"""),309)</f>
        <v>309</v>
      </c>
      <c r="N25" s="1" t="str">
        <f ca="1">IFERROR(__xludf.DUMMYFUNCTION("""COMPUTED_VALUE"""),"+9.63")</f>
        <v>+9.63</v>
      </c>
      <c r="O25" s="1">
        <f ca="1">IFERROR(__xludf.DUMMYFUNCTION("""COMPUTED_VALUE"""),21)</f>
        <v>21</v>
      </c>
      <c r="P25" s="1">
        <f ca="1">IFERROR(__xludf.DUMMYFUNCTION("""COMPUTED_VALUE"""),109.5)</f>
        <v>109.5</v>
      </c>
      <c r="Q25" s="1">
        <f ca="1">IFERROR(__xludf.DUMMYFUNCTION("""COMPUTED_VALUE"""),21)</f>
        <v>21</v>
      </c>
      <c r="R25" s="1">
        <f ca="1">IFERROR(__xludf.DUMMYFUNCTION("""COMPUTED_VALUE"""),99.9)</f>
        <v>99.9</v>
      </c>
      <c r="S25" s="1">
        <f ca="1">IFERROR(__xludf.DUMMYFUNCTION("""COMPUTED_VALUE"""),19)</f>
        <v>19</v>
      </c>
      <c r="T25" s="1">
        <f ca="1">IFERROR(__xludf.DUMMYFUNCTION("""COMPUTED_VALUE"""),-3.11)</f>
        <v>-3.11</v>
      </c>
      <c r="U25" s="1">
        <f ca="1">IFERROR(__xludf.DUMMYFUNCTION("""COMPUTED_VALUE"""),232)</f>
        <v>232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IFERROR(__xludf.DUMMYFUNCTION("""COMPUTED_VALUE"""),"Arizona8")</f>
        <v>Arizona8</v>
      </c>
      <c r="C26" s="1" t="str">
        <f ca="1">IFERROR(__xludf.DUMMYFUNCTION("""COMPUTED_VALUE"""),"P10")</f>
        <v>P10</v>
      </c>
      <c r="D26" s="1" t="str">
        <f ca="1">IFERROR(__xludf.DUMMYFUNCTION("""COMPUTED_VALUE"""),"20-11")</f>
        <v>20-11</v>
      </c>
      <c r="E26" s="1" t="str">
        <f ca="1">IFERROR(__xludf.DUMMYFUNCTION("""COMPUTED_VALUE"""),"+19.43")</f>
        <v>+19.43</v>
      </c>
      <c r="F26" s="1">
        <f ca="1">IFERROR(__xludf.DUMMYFUNCTION("""COMPUTED_VALUE"""),119.5)</f>
        <v>119.5</v>
      </c>
      <c r="G26" s="1">
        <f ca="1">IFERROR(__xludf.DUMMYFUNCTION("""COMPUTED_VALUE"""),5)</f>
        <v>5</v>
      </c>
      <c r="H26" s="1">
        <f ca="1">IFERROR(__xludf.DUMMYFUNCTION("""COMPUTED_VALUE"""),100.1)</f>
        <v>100.1</v>
      </c>
      <c r="I26" s="1">
        <f ca="1">IFERROR(__xludf.DUMMYFUNCTION("""COMPUTED_VALUE"""),90)</f>
        <v>90</v>
      </c>
      <c r="J26" s="1">
        <f ca="1">IFERROR(__xludf.DUMMYFUNCTION("""COMPUTED_VALUE"""),68.3)</f>
        <v>68.3</v>
      </c>
      <c r="K26" s="1">
        <f ca="1">IFERROR(__xludf.DUMMYFUNCTION("""COMPUTED_VALUE"""),73)</f>
        <v>73</v>
      </c>
      <c r="L26" s="1">
        <f ca="1">IFERROR(__xludf.DUMMYFUNCTION("""COMPUTED_VALUE"""),-0.009)</f>
        <v>-8.9999999999999993E-3</v>
      </c>
      <c r="M26" s="1">
        <f ca="1">IFERROR(__xludf.DUMMYFUNCTION("""COMPUTED_VALUE"""),203)</f>
        <v>203</v>
      </c>
      <c r="N26" s="1" t="str">
        <f ca="1">IFERROR(__xludf.DUMMYFUNCTION("""COMPUTED_VALUE"""),"+12.20")</f>
        <v>+12.20</v>
      </c>
      <c r="O26" s="1">
        <f ca="1">IFERROR(__xludf.DUMMYFUNCTION("""COMPUTED_VALUE"""),2)</f>
        <v>2</v>
      </c>
      <c r="P26" s="1">
        <f ca="1">IFERROR(__xludf.DUMMYFUNCTION("""COMPUTED_VALUE"""),110.4)</f>
        <v>110.4</v>
      </c>
      <c r="Q26" s="1">
        <f ca="1">IFERROR(__xludf.DUMMYFUNCTION("""COMPUTED_VALUE"""),8)</f>
        <v>8</v>
      </c>
      <c r="R26" s="1">
        <f ca="1">IFERROR(__xludf.DUMMYFUNCTION("""COMPUTED_VALUE"""),98.2)</f>
        <v>98.2</v>
      </c>
      <c r="S26" s="1">
        <f ca="1">IFERROR(__xludf.DUMMYFUNCTION("""COMPUTED_VALUE"""),2)</f>
        <v>2</v>
      </c>
      <c r="T26" s="1" t="str">
        <f ca="1">IFERROR(__xludf.DUMMYFUNCTION("""COMPUTED_VALUE"""),"+10.23")</f>
        <v>+10.23</v>
      </c>
      <c r="U26" s="1">
        <f ca="1">IFERROR(__xludf.DUMMYFUNCTION("""COMPUTED_VALUE"""),14)</f>
        <v>14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IFERROR(__xludf.DUMMYFUNCTION("""COMPUTED_VALUE"""),"Texas4")</f>
        <v>Texas4</v>
      </c>
      <c r="C27" s="1" t="str">
        <f ca="1">IFERROR(__xludf.DUMMYFUNCTION("""COMPUTED_VALUE"""),"B12")</f>
        <v>B12</v>
      </c>
      <c r="D27" s="1" t="str">
        <f ca="1">IFERROR(__xludf.DUMMYFUNCTION("""COMPUTED_VALUE"""),"25-10")</f>
        <v>25-10</v>
      </c>
      <c r="E27" s="1" t="str">
        <f ca="1">IFERROR(__xludf.DUMMYFUNCTION("""COMPUTED_VALUE"""),"+19.24")</f>
        <v>+19.24</v>
      </c>
      <c r="F27" s="1">
        <f ca="1">IFERROR(__xludf.DUMMYFUNCTION("""COMPUTED_VALUE"""),119.5)</f>
        <v>119.5</v>
      </c>
      <c r="G27" s="1">
        <f ca="1">IFERROR(__xludf.DUMMYFUNCTION("""COMPUTED_VALUE"""),6)</f>
        <v>6</v>
      </c>
      <c r="H27" s="1">
        <f ca="1">IFERROR(__xludf.DUMMYFUNCTION("""COMPUTED_VALUE"""),100.3)</f>
        <v>100.3</v>
      </c>
      <c r="I27" s="1">
        <f ca="1">IFERROR(__xludf.DUMMYFUNCTION("""COMPUTED_VALUE"""),92)</f>
        <v>92</v>
      </c>
      <c r="J27" s="1">
        <f ca="1">IFERROR(__xludf.DUMMYFUNCTION("""COMPUTED_VALUE"""),67.6)</f>
        <v>67.599999999999994</v>
      </c>
      <c r="K27" s="1">
        <f ca="1">IFERROR(__xludf.DUMMYFUNCTION("""COMPUTED_VALUE"""),90)</f>
        <v>90</v>
      </c>
      <c r="L27" s="1">
        <f ca="1">IFERROR(__xludf.DUMMYFUNCTION("""COMPUTED_VALUE"""),-0.008)</f>
        <v>-8.0000000000000002E-3</v>
      </c>
      <c r="M27" s="1">
        <f ca="1">IFERROR(__xludf.DUMMYFUNCTION("""COMPUTED_VALUE"""),197)</f>
        <v>197</v>
      </c>
      <c r="N27" s="1" t="str">
        <f ca="1">IFERROR(__xludf.DUMMYFUNCTION("""COMPUTED_VALUE"""),"+7.56")</f>
        <v>+7.56</v>
      </c>
      <c r="O27" s="1">
        <f ca="1">IFERROR(__xludf.DUMMYFUNCTION("""COMPUTED_VALUE"""),51)</f>
        <v>51</v>
      </c>
      <c r="P27" s="1">
        <f ca="1">IFERROR(__xludf.DUMMYFUNCTION("""COMPUTED_VALUE"""),108.1)</f>
        <v>108.1</v>
      </c>
      <c r="Q27" s="1">
        <f ca="1">IFERROR(__xludf.DUMMYFUNCTION("""COMPUTED_VALUE"""),53)</f>
        <v>53</v>
      </c>
      <c r="R27" s="1">
        <f ca="1">IFERROR(__xludf.DUMMYFUNCTION("""COMPUTED_VALUE"""),100.6)</f>
        <v>100.6</v>
      </c>
      <c r="S27" s="1">
        <f ca="1">IFERROR(__xludf.DUMMYFUNCTION("""COMPUTED_VALUE"""),47)</f>
        <v>47</v>
      </c>
      <c r="T27" s="1">
        <f ca="1">IFERROR(__xludf.DUMMYFUNCTION("""COMPUTED_VALUE"""),-2)</f>
        <v>-2</v>
      </c>
      <c r="U27" s="1">
        <f ca="1">IFERROR(__xludf.DUMMYFUNCTION("""COMPUTED_VALUE"""),205)</f>
        <v>205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IFERROR(__xludf.DUMMYFUNCTION("""COMPUTED_VALUE"""),"Mississippi St.1")</f>
        <v>Mississippi St.1</v>
      </c>
      <c r="C28" s="1" t="str">
        <f ca="1">IFERROR(__xludf.DUMMYFUNCTION("""COMPUTED_VALUE"""),"SEC")</f>
        <v>SEC</v>
      </c>
      <c r="D28" s="1" t="str">
        <f ca="1">IFERROR(__xludf.DUMMYFUNCTION("""COMPUTED_VALUE"""),"21-14")</f>
        <v>21-14</v>
      </c>
      <c r="E28" s="1" t="str">
        <f ca="1">IFERROR(__xludf.DUMMYFUNCTION("""COMPUTED_VALUE"""),"+19.03")</f>
        <v>+19.03</v>
      </c>
      <c r="F28" s="1">
        <f ca="1">IFERROR(__xludf.DUMMYFUNCTION("""COMPUTED_VALUE"""),113.5)</f>
        <v>113.5</v>
      </c>
      <c r="G28" s="1">
        <f ca="1">IFERROR(__xludf.DUMMYFUNCTION("""COMPUTED_VALUE"""),39)</f>
        <v>39</v>
      </c>
      <c r="H28" s="1">
        <f ca="1">IFERROR(__xludf.DUMMYFUNCTION("""COMPUTED_VALUE"""),94.5)</f>
        <v>94.5</v>
      </c>
      <c r="I28" s="1">
        <f ca="1">IFERROR(__xludf.DUMMYFUNCTION("""COMPUTED_VALUE"""),27)</f>
        <v>27</v>
      </c>
      <c r="J28" s="1">
        <f ca="1">IFERROR(__xludf.DUMMYFUNCTION("""COMPUTED_VALUE"""),69.6)</f>
        <v>69.599999999999994</v>
      </c>
      <c r="K28" s="1">
        <f ca="1">IFERROR(__xludf.DUMMYFUNCTION("""COMPUTED_VALUE"""),42)</f>
        <v>42</v>
      </c>
      <c r="L28" s="1">
        <f ca="1">IFERROR(__xludf.DUMMYFUNCTION("""COMPUTED_VALUE"""),-0.114)</f>
        <v>-0.114</v>
      </c>
      <c r="M28" s="1">
        <f ca="1">IFERROR(__xludf.DUMMYFUNCTION("""COMPUTED_VALUE"""),333)</f>
        <v>333</v>
      </c>
      <c r="N28" s="1" t="str">
        <f ca="1">IFERROR(__xludf.DUMMYFUNCTION("""COMPUTED_VALUE"""),"+8.60")</f>
        <v>+8.60</v>
      </c>
      <c r="O28" s="1">
        <f ca="1">IFERROR(__xludf.DUMMYFUNCTION("""COMPUTED_VALUE"""),34)</f>
        <v>34</v>
      </c>
      <c r="P28" s="1">
        <f ca="1">IFERROR(__xludf.DUMMYFUNCTION("""COMPUTED_VALUE"""),109.3)</f>
        <v>109.3</v>
      </c>
      <c r="Q28" s="1">
        <f ca="1">IFERROR(__xludf.DUMMYFUNCTION("""COMPUTED_VALUE"""),26)</f>
        <v>26</v>
      </c>
      <c r="R28" s="1">
        <f ca="1">IFERROR(__xludf.DUMMYFUNCTION("""COMPUTED_VALUE"""),100.6)</f>
        <v>100.6</v>
      </c>
      <c r="S28" s="1">
        <f ca="1">IFERROR(__xludf.DUMMYFUNCTION("""COMPUTED_VALUE"""),49)</f>
        <v>49</v>
      </c>
      <c r="T28" s="1">
        <f ca="1">IFERROR(__xludf.DUMMYFUNCTION("""COMPUTED_VALUE"""),-1.61)</f>
        <v>-1.61</v>
      </c>
      <c r="U28" s="1">
        <f ca="1">IFERROR(__xludf.DUMMYFUNCTION("""COMPUTED_VALUE"""),187)</f>
        <v>187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IFERROR(__xludf.DUMMYFUNCTION("""COMPUTED_VALUE"""),"Washington St.3")</f>
        <v>Washington St.3</v>
      </c>
      <c r="C29" s="1" t="str">
        <f ca="1">IFERROR(__xludf.DUMMYFUNCTION("""COMPUTED_VALUE"""),"P10")</f>
        <v>P10</v>
      </c>
      <c r="D29" s="1" t="str">
        <f ca="1">IFERROR(__xludf.DUMMYFUNCTION("""COMPUTED_VALUE"""),"26-8")</f>
        <v>26-8</v>
      </c>
      <c r="E29" s="1" t="str">
        <f ca="1">IFERROR(__xludf.DUMMYFUNCTION("""COMPUTED_VALUE"""),"+18.87")</f>
        <v>+18.87</v>
      </c>
      <c r="F29" s="1">
        <f ca="1">IFERROR(__xludf.DUMMYFUNCTION("""COMPUTED_VALUE"""),111.7)</f>
        <v>111.7</v>
      </c>
      <c r="G29" s="1">
        <f ca="1">IFERROR(__xludf.DUMMYFUNCTION("""COMPUTED_VALUE"""),64)</f>
        <v>64</v>
      </c>
      <c r="H29" s="1">
        <f ca="1">IFERROR(__xludf.DUMMYFUNCTION("""COMPUTED_VALUE"""),92.8)</f>
        <v>92.8</v>
      </c>
      <c r="I29" s="1">
        <f ca="1">IFERROR(__xludf.DUMMYFUNCTION("""COMPUTED_VALUE"""),16)</f>
        <v>16</v>
      </c>
      <c r="J29" s="1">
        <f ca="1">IFERROR(__xludf.DUMMYFUNCTION("""COMPUTED_VALUE"""),60)</f>
        <v>60</v>
      </c>
      <c r="K29" s="1">
        <f ca="1">IFERROR(__xludf.DUMMYFUNCTION("""COMPUTED_VALUE"""),322)</f>
        <v>322</v>
      </c>
      <c r="L29" s="1" t="str">
        <f ca="1">IFERROR(__xludf.DUMMYFUNCTION("""COMPUTED_VALUE"""),"+.004")</f>
        <v>+.004</v>
      </c>
      <c r="M29" s="1">
        <f ca="1">IFERROR(__xludf.DUMMYFUNCTION("""COMPUTED_VALUE"""),170)</f>
        <v>170</v>
      </c>
      <c r="N29" s="1" t="str">
        <f ca="1">IFERROR(__xludf.DUMMYFUNCTION("""COMPUTED_VALUE"""),"+6.79")</f>
        <v>+6.79</v>
      </c>
      <c r="O29" s="1">
        <f ca="1">IFERROR(__xludf.DUMMYFUNCTION("""COMPUTED_VALUE"""),61)</f>
        <v>61</v>
      </c>
      <c r="P29" s="1">
        <f ca="1">IFERROR(__xludf.DUMMYFUNCTION("""COMPUTED_VALUE"""),107.6)</f>
        <v>107.6</v>
      </c>
      <c r="Q29" s="1">
        <f ca="1">IFERROR(__xludf.DUMMYFUNCTION("""COMPUTED_VALUE"""),64)</f>
        <v>64</v>
      </c>
      <c r="R29" s="1">
        <f ca="1">IFERROR(__xludf.DUMMYFUNCTION("""COMPUTED_VALUE"""),100.9)</f>
        <v>100.9</v>
      </c>
      <c r="S29" s="1">
        <f ca="1">IFERROR(__xludf.DUMMYFUNCTION("""COMPUTED_VALUE"""),55)</f>
        <v>55</v>
      </c>
      <c r="T29" s="1">
        <f ca="1">IFERROR(__xludf.DUMMYFUNCTION("""COMPUTED_VALUE"""),-4.96)</f>
        <v>-4.96</v>
      </c>
      <c r="U29" s="1">
        <f ca="1">IFERROR(__xludf.DUMMYFUNCTION("""COMPUTED_VALUE"""),279)</f>
        <v>279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IFERROR(__xludf.DUMMYFUNCTION("""COMPUTED_VALUE"""),"Creighton10")</f>
        <v>Creighton10</v>
      </c>
      <c r="C30" s="1" t="str">
        <f ca="1">IFERROR(__xludf.DUMMYFUNCTION("""COMPUTED_VALUE"""),"MVC")</f>
        <v>MVC</v>
      </c>
      <c r="D30" s="1" t="str">
        <f ca="1">IFERROR(__xludf.DUMMYFUNCTION("""COMPUTED_VALUE"""),"22-11")</f>
        <v>22-11</v>
      </c>
      <c r="E30" s="1" t="str">
        <f ca="1">IFERROR(__xludf.DUMMYFUNCTION("""COMPUTED_VALUE"""),"+18.53")</f>
        <v>+18.53</v>
      </c>
      <c r="F30" s="1">
        <f ca="1">IFERROR(__xludf.DUMMYFUNCTION("""COMPUTED_VALUE"""),113.8)</f>
        <v>113.8</v>
      </c>
      <c r="G30" s="1">
        <f ca="1">IFERROR(__xludf.DUMMYFUNCTION("""COMPUTED_VALUE"""),36)</f>
        <v>36</v>
      </c>
      <c r="H30" s="1">
        <f ca="1">IFERROR(__xludf.DUMMYFUNCTION("""COMPUTED_VALUE"""),95.3)</f>
        <v>95.3</v>
      </c>
      <c r="I30" s="1">
        <f ca="1">IFERROR(__xludf.DUMMYFUNCTION("""COMPUTED_VALUE"""),35)</f>
        <v>35</v>
      </c>
      <c r="J30" s="1">
        <f ca="1">IFERROR(__xludf.DUMMYFUNCTION("""COMPUTED_VALUE"""),62.7)</f>
        <v>62.7</v>
      </c>
      <c r="K30" s="1">
        <f ca="1">IFERROR(__xludf.DUMMYFUNCTION("""COMPUTED_VALUE"""),289)</f>
        <v>289</v>
      </c>
      <c r="L30" s="1">
        <f ca="1">IFERROR(__xludf.DUMMYFUNCTION("""COMPUTED_VALUE"""),-0.023)</f>
        <v>-2.3E-2</v>
      </c>
      <c r="M30" s="1">
        <f ca="1">IFERROR(__xludf.DUMMYFUNCTION("""COMPUTED_VALUE"""),236)</f>
        <v>236</v>
      </c>
      <c r="N30" s="1" t="str">
        <f ca="1">IFERROR(__xludf.DUMMYFUNCTION("""COMPUTED_VALUE"""),"+8.84")</f>
        <v>+8.84</v>
      </c>
      <c r="O30" s="1">
        <f ca="1">IFERROR(__xludf.DUMMYFUNCTION("""COMPUTED_VALUE"""),32)</f>
        <v>32</v>
      </c>
      <c r="P30" s="1">
        <f ca="1">IFERROR(__xludf.DUMMYFUNCTION("""COMPUTED_VALUE"""),108.3)</f>
        <v>108.3</v>
      </c>
      <c r="Q30" s="1">
        <f ca="1">IFERROR(__xludf.DUMMYFUNCTION("""COMPUTED_VALUE"""),49)</f>
        <v>49</v>
      </c>
      <c r="R30" s="1">
        <f ca="1">IFERROR(__xludf.DUMMYFUNCTION("""COMPUTED_VALUE"""),99.4)</f>
        <v>99.4</v>
      </c>
      <c r="S30" s="1">
        <f ca="1">IFERROR(__xludf.DUMMYFUNCTION("""COMPUTED_VALUE"""),8)</f>
        <v>8</v>
      </c>
      <c r="T30" s="1" t="str">
        <f ca="1">IFERROR(__xludf.DUMMYFUNCTION("""COMPUTED_VALUE"""),"+4.10")</f>
        <v>+4.10</v>
      </c>
      <c r="U30" s="1">
        <f ca="1">IFERROR(__xludf.DUMMYFUNCTION("""COMPUTED_VALUE"""),66)</f>
        <v>66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IFERROR(__xludf.DUMMYFUNCTION("""COMPUTED_VALUE"""),"Clemson1")</f>
        <v>Clemson1</v>
      </c>
      <c r="C31" s="1" t="str">
        <f ca="1">IFERROR(__xludf.DUMMYFUNCTION("""COMPUTED_VALUE"""),"ACC")</f>
        <v>ACC</v>
      </c>
      <c r="D31" s="1" t="str">
        <f ca="1">IFERROR(__xludf.DUMMYFUNCTION("""COMPUTED_VALUE"""),"25-11")</f>
        <v>25-11</v>
      </c>
      <c r="E31" s="1" t="str">
        <f ca="1">IFERROR(__xludf.DUMMYFUNCTION("""COMPUTED_VALUE"""),"+18.46")</f>
        <v>+18.46</v>
      </c>
      <c r="F31" s="1">
        <f ca="1">IFERROR(__xludf.DUMMYFUNCTION("""COMPUTED_VALUE"""),112.3)</f>
        <v>112.3</v>
      </c>
      <c r="G31" s="1">
        <f ca="1">IFERROR(__xludf.DUMMYFUNCTION("""COMPUTED_VALUE"""),55)</f>
        <v>55</v>
      </c>
      <c r="H31" s="1">
        <f ca="1">IFERROR(__xludf.DUMMYFUNCTION("""COMPUTED_VALUE"""),93.9)</f>
        <v>93.9</v>
      </c>
      <c r="I31" s="1">
        <f ca="1">IFERROR(__xludf.DUMMYFUNCTION("""COMPUTED_VALUE"""),24)</f>
        <v>24</v>
      </c>
      <c r="J31" s="1">
        <f ca="1">IFERROR(__xludf.DUMMYFUNCTION("""COMPUTED_VALUE"""),66.4)</f>
        <v>66.400000000000006</v>
      </c>
      <c r="K31" s="1">
        <f ca="1">IFERROR(__xludf.DUMMYFUNCTION("""COMPUTED_VALUE"""),138)</f>
        <v>138</v>
      </c>
      <c r="L31" s="1">
        <f ca="1">IFERROR(__xludf.DUMMYFUNCTION("""COMPUTED_VALUE"""),-0.009)</f>
        <v>-8.9999999999999993E-3</v>
      </c>
      <c r="M31" s="1">
        <f ca="1">IFERROR(__xludf.DUMMYFUNCTION("""COMPUTED_VALUE"""),201)</f>
        <v>201</v>
      </c>
      <c r="N31" s="1" t="str">
        <f ca="1">IFERROR(__xludf.DUMMYFUNCTION("""COMPUTED_VALUE"""),"+8.85")</f>
        <v>+8.85</v>
      </c>
      <c r="O31" s="1">
        <f ca="1">IFERROR(__xludf.DUMMYFUNCTION("""COMPUTED_VALUE"""),31)</f>
        <v>31</v>
      </c>
      <c r="P31" s="1">
        <f ca="1">IFERROR(__xludf.DUMMYFUNCTION("""COMPUTED_VALUE"""),109.8)</f>
        <v>109.8</v>
      </c>
      <c r="Q31" s="1">
        <f ca="1">IFERROR(__xludf.DUMMYFUNCTION("""COMPUTED_VALUE"""),14)</f>
        <v>14</v>
      </c>
      <c r="R31" s="1">
        <f ca="1">IFERROR(__xludf.DUMMYFUNCTION("""COMPUTED_VALUE"""),100.9)</f>
        <v>100.9</v>
      </c>
      <c r="S31" s="1">
        <f ca="1">IFERROR(__xludf.DUMMYFUNCTION("""COMPUTED_VALUE"""),57)</f>
        <v>57</v>
      </c>
      <c r="T31" s="1">
        <f ca="1">IFERROR(__xludf.DUMMYFUNCTION("""COMPUTED_VALUE"""),-3.81)</f>
        <v>-3.81</v>
      </c>
      <c r="U31" s="1">
        <f ca="1">IFERROR(__xludf.DUMMYFUNCTION("""COMPUTED_VALUE"""),249)</f>
        <v>249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IFERROR(__xludf.DUMMYFUNCTION("""COMPUTED_VALUE"""),"Purdue9")</f>
        <v>Purdue9</v>
      </c>
      <c r="C32" s="1" t="str">
        <f ca="1">IFERROR(__xludf.DUMMYFUNCTION("""COMPUTED_VALUE"""),"B10")</f>
        <v>B10</v>
      </c>
      <c r="D32" s="1" t="str">
        <f ca="1">IFERROR(__xludf.DUMMYFUNCTION("""COMPUTED_VALUE"""),"22-12")</f>
        <v>22-12</v>
      </c>
      <c r="E32" s="1" t="str">
        <f ca="1">IFERROR(__xludf.DUMMYFUNCTION("""COMPUTED_VALUE"""),"+18.31")</f>
        <v>+18.31</v>
      </c>
      <c r="F32" s="1">
        <f ca="1">IFERROR(__xludf.DUMMYFUNCTION("""COMPUTED_VALUE"""),110.7)</f>
        <v>110.7</v>
      </c>
      <c r="G32" s="1">
        <f ca="1">IFERROR(__xludf.DUMMYFUNCTION("""COMPUTED_VALUE"""),74)</f>
        <v>74</v>
      </c>
      <c r="H32" s="1">
        <f ca="1">IFERROR(__xludf.DUMMYFUNCTION("""COMPUTED_VALUE"""),92.4)</f>
        <v>92.4</v>
      </c>
      <c r="I32" s="1">
        <f ca="1">IFERROR(__xludf.DUMMYFUNCTION("""COMPUTED_VALUE"""),15)</f>
        <v>15</v>
      </c>
      <c r="J32" s="1">
        <f ca="1">IFERROR(__xludf.DUMMYFUNCTION("""COMPUTED_VALUE"""),66.5)</f>
        <v>66.5</v>
      </c>
      <c r="K32" s="1">
        <f ca="1">IFERROR(__xludf.DUMMYFUNCTION("""COMPUTED_VALUE"""),131)</f>
        <v>131</v>
      </c>
      <c r="L32" s="1" t="str">
        <f ca="1">IFERROR(__xludf.DUMMYFUNCTION("""COMPUTED_VALUE"""),"+.002")</f>
        <v>+.002</v>
      </c>
      <c r="M32" s="1">
        <f ca="1">IFERROR(__xludf.DUMMYFUNCTION("""COMPUTED_VALUE"""),175)</f>
        <v>175</v>
      </c>
      <c r="N32" s="1" t="str">
        <f ca="1">IFERROR(__xludf.DUMMYFUNCTION("""COMPUTED_VALUE"""),"+9.37")</f>
        <v>+9.37</v>
      </c>
      <c r="O32" s="1">
        <f ca="1">IFERROR(__xludf.DUMMYFUNCTION("""COMPUTED_VALUE"""),25)</f>
        <v>25</v>
      </c>
      <c r="P32" s="1">
        <f ca="1">IFERROR(__xludf.DUMMYFUNCTION("""COMPUTED_VALUE"""),109.8)</f>
        <v>109.8</v>
      </c>
      <c r="Q32" s="1">
        <f ca="1">IFERROR(__xludf.DUMMYFUNCTION("""COMPUTED_VALUE"""),15)</f>
        <v>15</v>
      </c>
      <c r="R32" s="1">
        <f ca="1">IFERROR(__xludf.DUMMYFUNCTION("""COMPUTED_VALUE"""),100.4)</f>
        <v>100.4</v>
      </c>
      <c r="S32" s="1">
        <f ca="1">IFERROR(__xludf.DUMMYFUNCTION("""COMPUTED_VALUE"""),41)</f>
        <v>41</v>
      </c>
      <c r="T32" s="1" t="str">
        <f ca="1">IFERROR(__xludf.DUMMYFUNCTION("""COMPUTED_VALUE"""),"+1.08")</f>
        <v>+1.08</v>
      </c>
      <c r="U32" s="1">
        <f ca="1">IFERROR(__xludf.DUMMYFUNCTION("""COMPUTED_VALUE"""),128)</f>
        <v>128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IFERROR(__xludf.DUMMYFUNCTION("""COMPUTED_VALUE"""),"Tennessee5")</f>
        <v>Tennessee5</v>
      </c>
      <c r="C33" s="1" t="str">
        <f ca="1">IFERROR(__xludf.DUMMYFUNCTION("""COMPUTED_VALUE"""),"SEC")</f>
        <v>SEC</v>
      </c>
      <c r="D33" s="1" t="str">
        <f ca="1">IFERROR(__xludf.DUMMYFUNCTION("""COMPUTED_VALUE"""),"24-11")</f>
        <v>24-11</v>
      </c>
      <c r="E33" s="1" t="str">
        <f ca="1">IFERROR(__xludf.DUMMYFUNCTION("""COMPUTED_VALUE"""),"+18.29")</f>
        <v>+18.29</v>
      </c>
      <c r="F33" s="1">
        <f ca="1">IFERROR(__xludf.DUMMYFUNCTION("""COMPUTED_VALUE"""),115.9)</f>
        <v>115.9</v>
      </c>
      <c r="G33" s="1">
        <f ca="1">IFERROR(__xludf.DUMMYFUNCTION("""COMPUTED_VALUE"""),22)</f>
        <v>22</v>
      </c>
      <c r="H33" s="1">
        <f ca="1">IFERROR(__xludf.DUMMYFUNCTION("""COMPUTED_VALUE"""),97.6)</f>
        <v>97.6</v>
      </c>
      <c r="I33" s="1">
        <f ca="1">IFERROR(__xludf.DUMMYFUNCTION("""COMPUTED_VALUE"""),55)</f>
        <v>55</v>
      </c>
      <c r="J33" s="1">
        <f ca="1">IFERROR(__xludf.DUMMYFUNCTION("""COMPUTED_VALUE"""),71.3)</f>
        <v>71.3</v>
      </c>
      <c r="K33" s="1">
        <f ca="1">IFERROR(__xludf.DUMMYFUNCTION("""COMPUTED_VALUE"""),19)</f>
        <v>19</v>
      </c>
      <c r="L33" s="1" t="str">
        <f ca="1">IFERROR(__xludf.DUMMYFUNCTION("""COMPUTED_VALUE"""),"+.035")</f>
        <v>+.035</v>
      </c>
      <c r="M33" s="1">
        <f ca="1">IFERROR(__xludf.DUMMYFUNCTION("""COMPUTED_VALUE"""),88)</f>
        <v>88</v>
      </c>
      <c r="N33" s="1" t="str">
        <f ca="1">IFERROR(__xludf.DUMMYFUNCTION("""COMPUTED_VALUE"""),"+10.57")</f>
        <v>+10.57</v>
      </c>
      <c r="O33" s="1">
        <f ca="1">IFERROR(__xludf.DUMMYFUNCTION("""COMPUTED_VALUE"""),7)</f>
        <v>7</v>
      </c>
      <c r="P33" s="1">
        <f ca="1">IFERROR(__xludf.DUMMYFUNCTION("""COMPUTED_VALUE"""),110.3)</f>
        <v>110.3</v>
      </c>
      <c r="Q33" s="1">
        <f ca="1">IFERROR(__xludf.DUMMYFUNCTION("""COMPUTED_VALUE"""),9)</f>
        <v>9</v>
      </c>
      <c r="R33" s="1">
        <f ca="1">IFERROR(__xludf.DUMMYFUNCTION("""COMPUTED_VALUE"""),99.8)</f>
        <v>99.8</v>
      </c>
      <c r="S33" s="1">
        <f ca="1">IFERROR(__xludf.DUMMYFUNCTION("""COMPUTED_VALUE"""),17)</f>
        <v>17</v>
      </c>
      <c r="T33" s="1" t="str">
        <f ca="1">IFERROR(__xludf.DUMMYFUNCTION("""COMPUTED_VALUE"""),"+1.81")</f>
        <v>+1.81</v>
      </c>
      <c r="U33" s="1">
        <f ca="1">IFERROR(__xludf.DUMMYFUNCTION("""COMPUTED_VALUE"""),105)</f>
        <v>105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IFERROR(__xludf.DUMMYFUNCTION("""COMPUTED_VALUE"""),"Xavier9")</f>
        <v>Xavier9</v>
      </c>
      <c r="C34" s="1" t="str">
        <f ca="1">IFERROR(__xludf.DUMMYFUNCTION("""COMPUTED_VALUE"""),"A10")</f>
        <v>A10</v>
      </c>
      <c r="D34" s="1" t="str">
        <f ca="1">IFERROR(__xludf.DUMMYFUNCTION("""COMPUTED_VALUE"""),"25-9")</f>
        <v>25-9</v>
      </c>
      <c r="E34" s="1" t="str">
        <f ca="1">IFERROR(__xludf.DUMMYFUNCTION("""COMPUTED_VALUE"""),"+18.13")</f>
        <v>+18.13</v>
      </c>
      <c r="F34" s="1">
        <f ca="1">IFERROR(__xludf.DUMMYFUNCTION("""COMPUTED_VALUE"""),117.3)</f>
        <v>117.3</v>
      </c>
      <c r="G34" s="1">
        <f ca="1">IFERROR(__xludf.DUMMYFUNCTION("""COMPUTED_VALUE"""),12)</f>
        <v>12</v>
      </c>
      <c r="H34" s="1">
        <f ca="1">IFERROR(__xludf.DUMMYFUNCTION("""COMPUTED_VALUE"""),99.2)</f>
        <v>99.2</v>
      </c>
      <c r="I34" s="1">
        <f ca="1">IFERROR(__xludf.DUMMYFUNCTION("""COMPUTED_VALUE"""),78)</f>
        <v>78</v>
      </c>
      <c r="J34" s="1">
        <f ca="1">IFERROR(__xludf.DUMMYFUNCTION("""COMPUTED_VALUE"""),66.2)</f>
        <v>66.2</v>
      </c>
      <c r="K34" s="1">
        <f ca="1">IFERROR(__xludf.DUMMYFUNCTION("""COMPUTED_VALUE"""),151)</f>
        <v>151</v>
      </c>
      <c r="L34" s="1">
        <f ca="1">IFERROR(__xludf.DUMMYFUNCTION("""COMPUTED_VALUE"""),-0.047)</f>
        <v>-4.7E-2</v>
      </c>
      <c r="M34" s="1">
        <f ca="1">IFERROR(__xludf.DUMMYFUNCTION("""COMPUTED_VALUE"""),280)</f>
        <v>280</v>
      </c>
      <c r="N34" s="1" t="str">
        <f ca="1">IFERROR(__xludf.DUMMYFUNCTION("""COMPUTED_VALUE"""),"+2.83")</f>
        <v>+2.83</v>
      </c>
      <c r="O34" s="1">
        <f ca="1">IFERROR(__xludf.DUMMYFUNCTION("""COMPUTED_VALUE"""),108)</f>
        <v>108</v>
      </c>
      <c r="P34" s="1">
        <f ca="1">IFERROR(__xludf.DUMMYFUNCTION("""COMPUTED_VALUE"""),106.5)</f>
        <v>106.5</v>
      </c>
      <c r="Q34" s="1">
        <f ca="1">IFERROR(__xludf.DUMMYFUNCTION("""COMPUTED_VALUE"""),96)</f>
        <v>96</v>
      </c>
      <c r="R34" s="1">
        <f ca="1">IFERROR(__xludf.DUMMYFUNCTION("""COMPUTED_VALUE"""),103.6)</f>
        <v>103.6</v>
      </c>
      <c r="S34" s="1">
        <f ca="1">IFERROR(__xludf.DUMMYFUNCTION("""COMPUTED_VALUE"""),126)</f>
        <v>126</v>
      </c>
      <c r="T34" s="1" t="str">
        <f ca="1">IFERROR(__xludf.DUMMYFUNCTION("""COMPUTED_VALUE"""),"+3.40")</f>
        <v>+3.40</v>
      </c>
      <c r="U34" s="1">
        <f ca="1">IFERROR(__xludf.DUMMYFUNCTION("""COMPUTED_VALUE"""),77)</f>
        <v>77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IFERROR(__xludf.DUMMYFUNCTION("""COMPUTED_VALUE"""),"West Virginia1")</f>
        <v>West Virginia1</v>
      </c>
      <c r="C35" s="1" t="str">
        <f ca="1">IFERROR(__xludf.DUMMYFUNCTION("""COMPUTED_VALUE"""),"BE")</f>
        <v>BE</v>
      </c>
      <c r="D35" s="1" t="str">
        <f ca="1">IFERROR(__xludf.DUMMYFUNCTION("""COMPUTED_VALUE"""),"27-9")</f>
        <v>27-9</v>
      </c>
      <c r="E35" s="1" t="str">
        <f ca="1">IFERROR(__xludf.DUMMYFUNCTION("""COMPUTED_VALUE"""),"+18.06")</f>
        <v>+18.06</v>
      </c>
      <c r="F35" s="1">
        <f ca="1">IFERROR(__xludf.DUMMYFUNCTION("""COMPUTED_VALUE"""),116.5)</f>
        <v>116.5</v>
      </c>
      <c r="G35" s="1">
        <f ca="1">IFERROR(__xludf.DUMMYFUNCTION("""COMPUTED_VALUE"""),19)</f>
        <v>19</v>
      </c>
      <c r="H35" s="1">
        <f ca="1">IFERROR(__xludf.DUMMYFUNCTION("""COMPUTED_VALUE"""),98.5)</f>
        <v>98.5</v>
      </c>
      <c r="I35" s="1">
        <f ca="1">IFERROR(__xludf.DUMMYFUNCTION("""COMPUTED_VALUE"""),64)</f>
        <v>64</v>
      </c>
      <c r="J35" s="1">
        <f ca="1">IFERROR(__xludf.DUMMYFUNCTION("""COMPUTED_VALUE"""),63.2)</f>
        <v>63.2</v>
      </c>
      <c r="K35" s="1">
        <f ca="1">IFERROR(__xludf.DUMMYFUNCTION("""COMPUTED_VALUE"""),270)</f>
        <v>270</v>
      </c>
      <c r="L35" s="1" t="str">
        <f ca="1">IFERROR(__xludf.DUMMYFUNCTION("""COMPUTED_VALUE"""),"+.021")</f>
        <v>+.021</v>
      </c>
      <c r="M35" s="1">
        <f ca="1">IFERROR(__xludf.DUMMYFUNCTION("""COMPUTED_VALUE"""),126)</f>
        <v>126</v>
      </c>
      <c r="N35" s="1" t="str">
        <f ca="1">IFERROR(__xludf.DUMMYFUNCTION("""COMPUTED_VALUE"""),"+5.32")</f>
        <v>+5.32</v>
      </c>
      <c r="O35" s="1">
        <f ca="1">IFERROR(__xludf.DUMMYFUNCTION("""COMPUTED_VALUE"""),80)</f>
        <v>80</v>
      </c>
      <c r="P35" s="1">
        <f ca="1">IFERROR(__xludf.DUMMYFUNCTION("""COMPUTED_VALUE"""),107)</f>
        <v>107</v>
      </c>
      <c r="Q35" s="1">
        <f ca="1">IFERROR(__xludf.DUMMYFUNCTION("""COMPUTED_VALUE"""),80)</f>
        <v>80</v>
      </c>
      <c r="R35" s="1">
        <f ca="1">IFERROR(__xludf.DUMMYFUNCTION("""COMPUTED_VALUE"""),101.7)</f>
        <v>101.7</v>
      </c>
      <c r="S35" s="1">
        <f ca="1">IFERROR(__xludf.DUMMYFUNCTION("""COMPUTED_VALUE"""),72)</f>
        <v>72</v>
      </c>
      <c r="T35" s="1">
        <f ca="1">IFERROR(__xludf.DUMMYFUNCTION("""COMPUTED_VALUE"""),-6.55)</f>
        <v>-6.55</v>
      </c>
      <c r="U35" s="1">
        <f ca="1">IFERROR(__xludf.DUMMYFUNCTION("""COMPUTED_VALUE"""),304)</f>
        <v>304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IFERROR(__xludf.DUMMYFUNCTION("""COMPUTED_VALUE"""),"Florida St.2")</f>
        <v>Florida St.2</v>
      </c>
      <c r="C36" s="1" t="str">
        <f ca="1">IFERROR(__xludf.DUMMYFUNCTION("""COMPUTED_VALUE"""),"ACC")</f>
        <v>ACC</v>
      </c>
      <c r="D36" s="1" t="str">
        <f ca="1">IFERROR(__xludf.DUMMYFUNCTION("""COMPUTED_VALUE"""),"22-13")</f>
        <v>22-13</v>
      </c>
      <c r="E36" s="1" t="str">
        <f ca="1">IFERROR(__xludf.DUMMYFUNCTION("""COMPUTED_VALUE"""),"+17.79")</f>
        <v>+17.79</v>
      </c>
      <c r="F36" s="1">
        <f ca="1">IFERROR(__xludf.DUMMYFUNCTION("""COMPUTED_VALUE"""),116.2)</f>
        <v>116.2</v>
      </c>
      <c r="G36" s="1">
        <f ca="1">IFERROR(__xludf.DUMMYFUNCTION("""COMPUTED_VALUE"""),21)</f>
        <v>21</v>
      </c>
      <c r="H36" s="1">
        <f ca="1">IFERROR(__xludf.DUMMYFUNCTION("""COMPUTED_VALUE"""),98.4)</f>
        <v>98.4</v>
      </c>
      <c r="I36" s="1">
        <f ca="1">IFERROR(__xludf.DUMMYFUNCTION("""COMPUTED_VALUE"""),63)</f>
        <v>63</v>
      </c>
      <c r="J36" s="1">
        <f ca="1">IFERROR(__xludf.DUMMYFUNCTION("""COMPUTED_VALUE"""),66.2)</f>
        <v>66.2</v>
      </c>
      <c r="K36" s="1">
        <f ca="1">IFERROR(__xludf.DUMMYFUNCTION("""COMPUTED_VALUE"""),147)</f>
        <v>147</v>
      </c>
      <c r="L36" s="1">
        <f ca="1">IFERROR(__xludf.DUMMYFUNCTION("""COMPUTED_VALUE"""),-0.007)</f>
        <v>-7.0000000000000001E-3</v>
      </c>
      <c r="M36" s="1">
        <f ca="1">IFERROR(__xludf.DUMMYFUNCTION("""COMPUTED_VALUE"""),193)</f>
        <v>193</v>
      </c>
      <c r="N36" s="1" t="str">
        <f ca="1">IFERROR(__xludf.DUMMYFUNCTION("""COMPUTED_VALUE"""),"+9.72")</f>
        <v>+9.72</v>
      </c>
      <c r="O36" s="1">
        <f ca="1">IFERROR(__xludf.DUMMYFUNCTION("""COMPUTED_VALUE"""),18)</f>
        <v>18</v>
      </c>
      <c r="P36" s="1">
        <f ca="1">IFERROR(__xludf.DUMMYFUNCTION("""COMPUTED_VALUE"""),109.7)</f>
        <v>109.7</v>
      </c>
      <c r="Q36" s="1">
        <f ca="1">IFERROR(__xludf.DUMMYFUNCTION("""COMPUTED_VALUE"""),17)</f>
        <v>17</v>
      </c>
      <c r="R36" s="1">
        <f ca="1">IFERROR(__xludf.DUMMYFUNCTION("""COMPUTED_VALUE"""),100)</f>
        <v>100</v>
      </c>
      <c r="S36" s="1">
        <f ca="1">IFERROR(__xludf.DUMMYFUNCTION("""COMPUTED_VALUE"""),21)</f>
        <v>21</v>
      </c>
      <c r="T36" s="1">
        <f ca="1">IFERROR(__xludf.DUMMYFUNCTION("""COMPUTED_VALUE"""),-3.3)</f>
        <v>-3.3</v>
      </c>
      <c r="U36" s="1">
        <f ca="1">IFERROR(__xludf.DUMMYFUNCTION("""COMPUTED_VALUE"""),236)</f>
        <v>236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IFERROR(__xludf.DUMMYFUNCTION("""COMPUTED_VALUE"""),"Missouri St.3")</f>
        <v>Missouri St.3</v>
      </c>
      <c r="C37" s="1" t="str">
        <f ca="1">IFERROR(__xludf.DUMMYFUNCTION("""COMPUTED_VALUE"""),"MVC")</f>
        <v>MVC</v>
      </c>
      <c r="D37" s="1" t="str">
        <f ca="1">IFERROR(__xludf.DUMMYFUNCTION("""COMPUTED_VALUE"""),"22-11")</f>
        <v>22-11</v>
      </c>
      <c r="E37" s="1" t="str">
        <f ca="1">IFERROR(__xludf.DUMMYFUNCTION("""COMPUTED_VALUE"""),"+17.51")</f>
        <v>+17.51</v>
      </c>
      <c r="F37" s="1">
        <f ca="1">IFERROR(__xludf.DUMMYFUNCTION("""COMPUTED_VALUE"""),113.4)</f>
        <v>113.4</v>
      </c>
      <c r="G37" s="1">
        <f ca="1">IFERROR(__xludf.DUMMYFUNCTION("""COMPUTED_VALUE"""),41)</f>
        <v>41</v>
      </c>
      <c r="H37" s="1">
        <f ca="1">IFERROR(__xludf.DUMMYFUNCTION("""COMPUTED_VALUE"""),95.9)</f>
        <v>95.9</v>
      </c>
      <c r="I37" s="1">
        <f ca="1">IFERROR(__xludf.DUMMYFUNCTION("""COMPUTED_VALUE"""),42)</f>
        <v>42</v>
      </c>
      <c r="J37" s="1">
        <f ca="1">IFERROR(__xludf.DUMMYFUNCTION("""COMPUTED_VALUE"""),67.7)</f>
        <v>67.7</v>
      </c>
      <c r="K37" s="1">
        <f ca="1">IFERROR(__xludf.DUMMYFUNCTION("""COMPUTED_VALUE"""),88)</f>
        <v>88</v>
      </c>
      <c r="L37" s="1">
        <f ca="1">IFERROR(__xludf.DUMMYFUNCTION("""COMPUTED_VALUE"""),-0.029)</f>
        <v>-2.9000000000000001E-2</v>
      </c>
      <c r="M37" s="1">
        <f ca="1">IFERROR(__xludf.DUMMYFUNCTION("""COMPUTED_VALUE"""),249)</f>
        <v>249</v>
      </c>
      <c r="N37" s="1" t="str">
        <f ca="1">IFERROR(__xludf.DUMMYFUNCTION("""COMPUTED_VALUE"""),"+7.70")</f>
        <v>+7.70</v>
      </c>
      <c r="O37" s="1">
        <f ca="1">IFERROR(__xludf.DUMMYFUNCTION("""COMPUTED_VALUE"""),49)</f>
        <v>49</v>
      </c>
      <c r="P37" s="1">
        <f ca="1">IFERROR(__xludf.DUMMYFUNCTION("""COMPUTED_VALUE"""),108.3)</f>
        <v>108.3</v>
      </c>
      <c r="Q37" s="1">
        <f ca="1">IFERROR(__xludf.DUMMYFUNCTION("""COMPUTED_VALUE"""),50)</f>
        <v>50</v>
      </c>
      <c r="R37" s="1">
        <f ca="1">IFERROR(__xludf.DUMMYFUNCTION("""COMPUTED_VALUE"""),100.6)</f>
        <v>100.6</v>
      </c>
      <c r="S37" s="1">
        <f ca="1">IFERROR(__xludf.DUMMYFUNCTION("""COMPUTED_VALUE"""),46)</f>
        <v>46</v>
      </c>
      <c r="T37" s="1" t="str">
        <f ca="1">IFERROR(__xludf.DUMMYFUNCTION("""COMPUTED_VALUE"""),"+1.37")</f>
        <v>+1.37</v>
      </c>
      <c r="U37" s="1">
        <f ca="1">IFERROR(__xludf.DUMMYFUNCTION("""COMPUTED_VALUE"""),116)</f>
        <v>116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IFERROR(__xludf.DUMMYFUNCTION("""COMPUTED_VALUE"""),"Illinois12")</f>
        <v>Illinois12</v>
      </c>
      <c r="C38" s="1" t="str">
        <f ca="1">IFERROR(__xludf.DUMMYFUNCTION("""COMPUTED_VALUE"""),"B10")</f>
        <v>B10</v>
      </c>
      <c r="D38" s="1" t="str">
        <f ca="1">IFERROR(__xludf.DUMMYFUNCTION("""COMPUTED_VALUE"""),"23-12")</f>
        <v>23-12</v>
      </c>
      <c r="E38" s="1" t="str">
        <f ca="1">IFERROR(__xludf.DUMMYFUNCTION("""COMPUTED_VALUE"""),"+17.50")</f>
        <v>+17.50</v>
      </c>
      <c r="F38" s="1">
        <f ca="1">IFERROR(__xludf.DUMMYFUNCTION("""COMPUTED_VALUE"""),107.3)</f>
        <v>107.3</v>
      </c>
      <c r="G38" s="1">
        <f ca="1">IFERROR(__xludf.DUMMYFUNCTION("""COMPUTED_VALUE"""),116)</f>
        <v>116</v>
      </c>
      <c r="H38" s="1">
        <f ca="1">IFERROR(__xludf.DUMMYFUNCTION("""COMPUTED_VALUE"""),89.8)</f>
        <v>89.8</v>
      </c>
      <c r="I38" s="1">
        <f ca="1">IFERROR(__xludf.DUMMYFUNCTION("""COMPUTED_VALUE"""),5)</f>
        <v>5</v>
      </c>
      <c r="J38" s="1">
        <f ca="1">IFERROR(__xludf.DUMMYFUNCTION("""COMPUTED_VALUE"""),62)</f>
        <v>62</v>
      </c>
      <c r="K38" s="1">
        <f ca="1">IFERROR(__xludf.DUMMYFUNCTION("""COMPUTED_VALUE"""),300)</f>
        <v>300</v>
      </c>
      <c r="L38" s="1">
        <f ca="1">IFERROR(__xludf.DUMMYFUNCTION("""COMPUTED_VALUE"""),-0.017)</f>
        <v>-1.7000000000000001E-2</v>
      </c>
      <c r="M38" s="1">
        <f ca="1">IFERROR(__xludf.DUMMYFUNCTION("""COMPUTED_VALUE"""),220)</f>
        <v>220</v>
      </c>
      <c r="N38" s="1" t="str">
        <f ca="1">IFERROR(__xludf.DUMMYFUNCTION("""COMPUTED_VALUE"""),"+8.06")</f>
        <v>+8.06</v>
      </c>
      <c r="O38" s="1">
        <f ca="1">IFERROR(__xludf.DUMMYFUNCTION("""COMPUTED_VALUE"""),41)</f>
        <v>41</v>
      </c>
      <c r="P38" s="1">
        <f ca="1">IFERROR(__xludf.DUMMYFUNCTION("""COMPUTED_VALUE"""),108.4)</f>
        <v>108.4</v>
      </c>
      <c r="Q38" s="1">
        <f ca="1">IFERROR(__xludf.DUMMYFUNCTION("""COMPUTED_VALUE"""),44)</f>
        <v>44</v>
      </c>
      <c r="R38" s="1">
        <f ca="1">IFERROR(__xludf.DUMMYFUNCTION("""COMPUTED_VALUE"""),100.4)</f>
        <v>100.4</v>
      </c>
      <c r="S38" s="1">
        <f ca="1">IFERROR(__xludf.DUMMYFUNCTION("""COMPUTED_VALUE"""),39)</f>
        <v>39</v>
      </c>
      <c r="T38" s="1">
        <f ca="1">IFERROR(__xludf.DUMMYFUNCTION("""COMPUTED_VALUE"""),-0.2)</f>
        <v>-0.2</v>
      </c>
      <c r="U38" s="1">
        <f ca="1">IFERROR(__xludf.DUMMYFUNCTION("""COMPUTED_VALUE"""),156)</f>
        <v>156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IFERROR(__xludf.DUMMYFUNCTION("""COMPUTED_VALUE"""),"Virginia Tech5")</f>
        <v>Virginia Tech5</v>
      </c>
      <c r="C39" s="1" t="str">
        <f ca="1">IFERROR(__xludf.DUMMYFUNCTION("""COMPUTED_VALUE"""),"ACC")</f>
        <v>ACC</v>
      </c>
      <c r="D39" s="1" t="str">
        <f ca="1">IFERROR(__xludf.DUMMYFUNCTION("""COMPUTED_VALUE"""),"22-12")</f>
        <v>22-12</v>
      </c>
      <c r="E39" s="1" t="str">
        <f ca="1">IFERROR(__xludf.DUMMYFUNCTION("""COMPUTED_VALUE"""),"+17.38")</f>
        <v>+17.38</v>
      </c>
      <c r="F39" s="1">
        <f ca="1">IFERROR(__xludf.DUMMYFUNCTION("""COMPUTED_VALUE"""),112.4)</f>
        <v>112.4</v>
      </c>
      <c r="G39" s="1">
        <f ca="1">IFERROR(__xludf.DUMMYFUNCTION("""COMPUTED_VALUE"""),54)</f>
        <v>54</v>
      </c>
      <c r="H39" s="1">
        <f ca="1">IFERROR(__xludf.DUMMYFUNCTION("""COMPUTED_VALUE"""),95)</f>
        <v>95</v>
      </c>
      <c r="I39" s="1">
        <f ca="1">IFERROR(__xludf.DUMMYFUNCTION("""COMPUTED_VALUE"""),31)</f>
        <v>31</v>
      </c>
      <c r="J39" s="1">
        <f ca="1">IFERROR(__xludf.DUMMYFUNCTION("""COMPUTED_VALUE"""),63.7)</f>
        <v>63.7</v>
      </c>
      <c r="K39" s="1">
        <f ca="1">IFERROR(__xludf.DUMMYFUNCTION("""COMPUTED_VALUE"""),252)</f>
        <v>252</v>
      </c>
      <c r="L39" s="1">
        <f ca="1">IFERROR(__xludf.DUMMYFUNCTION("""COMPUTED_VALUE"""),-0.004)</f>
        <v>-4.0000000000000001E-3</v>
      </c>
      <c r="M39" s="1">
        <f ca="1">IFERROR(__xludf.DUMMYFUNCTION("""COMPUTED_VALUE"""),187)</f>
        <v>187</v>
      </c>
      <c r="N39" s="1" t="str">
        <f ca="1">IFERROR(__xludf.DUMMYFUNCTION("""COMPUTED_VALUE"""),"+9.85")</f>
        <v>+9.85</v>
      </c>
      <c r="O39" s="1">
        <f ca="1">IFERROR(__xludf.DUMMYFUNCTION("""COMPUTED_VALUE"""),16)</f>
        <v>16</v>
      </c>
      <c r="P39" s="1">
        <f ca="1">IFERROR(__xludf.DUMMYFUNCTION("""COMPUTED_VALUE"""),109.9)</f>
        <v>109.9</v>
      </c>
      <c r="Q39" s="1">
        <f ca="1">IFERROR(__xludf.DUMMYFUNCTION("""COMPUTED_VALUE"""),13)</f>
        <v>13</v>
      </c>
      <c r="R39" s="1">
        <f ca="1">IFERROR(__xludf.DUMMYFUNCTION("""COMPUTED_VALUE"""),100.1)</f>
        <v>100.1</v>
      </c>
      <c r="S39" s="1">
        <f ca="1">IFERROR(__xludf.DUMMYFUNCTION("""COMPUTED_VALUE"""),26)</f>
        <v>26</v>
      </c>
      <c r="T39" s="1" t="str">
        <f ca="1">IFERROR(__xludf.DUMMYFUNCTION("""COMPUTED_VALUE"""),"+0.79")</f>
        <v>+0.79</v>
      </c>
      <c r="U39" s="1">
        <f ca="1">IFERROR(__xludf.DUMMYFUNCTION("""COMPUTED_VALUE"""),135)</f>
        <v>135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IFERROR(__xludf.DUMMYFUNCTION("""COMPUTED_VALUE"""),"Marquette8")</f>
        <v>Marquette8</v>
      </c>
      <c r="C40" s="1" t="str">
        <f ca="1">IFERROR(__xludf.DUMMYFUNCTION("""COMPUTED_VALUE"""),"BE")</f>
        <v>BE</v>
      </c>
      <c r="D40" s="1" t="str">
        <f ca="1">IFERROR(__xludf.DUMMYFUNCTION("""COMPUTED_VALUE"""),"24-10")</f>
        <v>24-10</v>
      </c>
      <c r="E40" s="1" t="str">
        <f ca="1">IFERROR(__xludf.DUMMYFUNCTION("""COMPUTED_VALUE"""),"+17.18")</f>
        <v>+17.18</v>
      </c>
      <c r="F40" s="1">
        <f ca="1">IFERROR(__xludf.DUMMYFUNCTION("""COMPUTED_VALUE"""),111.8)</f>
        <v>111.8</v>
      </c>
      <c r="G40" s="1">
        <f ca="1">IFERROR(__xludf.DUMMYFUNCTION("""COMPUTED_VALUE"""),62)</f>
        <v>62</v>
      </c>
      <c r="H40" s="1">
        <f ca="1">IFERROR(__xludf.DUMMYFUNCTION("""COMPUTED_VALUE"""),94.6)</f>
        <v>94.6</v>
      </c>
      <c r="I40" s="1">
        <f ca="1">IFERROR(__xludf.DUMMYFUNCTION("""COMPUTED_VALUE"""),30)</f>
        <v>30</v>
      </c>
      <c r="J40" s="1">
        <f ca="1">IFERROR(__xludf.DUMMYFUNCTION("""COMPUTED_VALUE"""),67.6)</f>
        <v>67.599999999999994</v>
      </c>
      <c r="K40" s="1">
        <f ca="1">IFERROR(__xludf.DUMMYFUNCTION("""COMPUTED_VALUE"""),93)</f>
        <v>93</v>
      </c>
      <c r="L40" s="1" t="str">
        <f ca="1">IFERROR(__xludf.DUMMYFUNCTION("""COMPUTED_VALUE"""),"+.009")</f>
        <v>+.009</v>
      </c>
      <c r="M40" s="1">
        <f ca="1">IFERROR(__xludf.DUMMYFUNCTION("""COMPUTED_VALUE"""),156)</f>
        <v>156</v>
      </c>
      <c r="N40" s="1" t="str">
        <f ca="1">IFERROR(__xludf.DUMMYFUNCTION("""COMPUTED_VALUE"""),"+7.59")</f>
        <v>+7.59</v>
      </c>
      <c r="O40" s="1">
        <f ca="1">IFERROR(__xludf.DUMMYFUNCTION("""COMPUTED_VALUE"""),50)</f>
        <v>50</v>
      </c>
      <c r="P40" s="1">
        <f ca="1">IFERROR(__xludf.DUMMYFUNCTION("""COMPUTED_VALUE"""),108.3)</f>
        <v>108.3</v>
      </c>
      <c r="Q40" s="1">
        <f ca="1">IFERROR(__xludf.DUMMYFUNCTION("""COMPUTED_VALUE"""),46)</f>
        <v>46</v>
      </c>
      <c r="R40" s="1">
        <f ca="1">IFERROR(__xludf.DUMMYFUNCTION("""COMPUTED_VALUE"""),100.7)</f>
        <v>100.7</v>
      </c>
      <c r="S40" s="1">
        <f ca="1">IFERROR(__xludf.DUMMYFUNCTION("""COMPUTED_VALUE"""),51)</f>
        <v>51</v>
      </c>
      <c r="T40" s="1">
        <f ca="1">IFERROR(__xludf.DUMMYFUNCTION("""COMPUTED_VALUE"""),-4.27)</f>
        <v>-4.2699999999999996</v>
      </c>
      <c r="U40" s="1">
        <f ca="1">IFERROR(__xludf.DUMMYFUNCTION("""COMPUTED_VALUE"""),256)</f>
        <v>256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IFERROR(__xludf.DUMMYFUNCTION("""COMPUTED_VALUE"""),"USC5")</f>
        <v>USC5</v>
      </c>
      <c r="C41" s="1" t="str">
        <f ca="1">IFERROR(__xludf.DUMMYFUNCTION("""COMPUTED_VALUE"""),"P10")</f>
        <v>P10</v>
      </c>
      <c r="D41" s="1" t="str">
        <f ca="1">IFERROR(__xludf.DUMMYFUNCTION("""COMPUTED_VALUE"""),"25-12")</f>
        <v>25-12</v>
      </c>
      <c r="E41" s="1" t="str">
        <f ca="1">IFERROR(__xludf.DUMMYFUNCTION("""COMPUTED_VALUE"""),"+16.86")</f>
        <v>+16.86</v>
      </c>
      <c r="F41" s="1">
        <f ca="1">IFERROR(__xludf.DUMMYFUNCTION("""COMPUTED_VALUE"""),111)</f>
        <v>111</v>
      </c>
      <c r="G41" s="1">
        <f ca="1">IFERROR(__xludf.DUMMYFUNCTION("""COMPUTED_VALUE"""),72)</f>
        <v>72</v>
      </c>
      <c r="H41" s="1">
        <f ca="1">IFERROR(__xludf.DUMMYFUNCTION("""COMPUTED_VALUE"""),94.2)</f>
        <v>94.2</v>
      </c>
      <c r="I41" s="1">
        <f ca="1">IFERROR(__xludf.DUMMYFUNCTION("""COMPUTED_VALUE"""),26)</f>
        <v>26</v>
      </c>
      <c r="J41" s="1">
        <f ca="1">IFERROR(__xludf.DUMMYFUNCTION("""COMPUTED_VALUE"""),67.1)</f>
        <v>67.099999999999994</v>
      </c>
      <c r="K41" s="1">
        <f ca="1">IFERROR(__xludf.DUMMYFUNCTION("""COMPUTED_VALUE"""),111)</f>
        <v>111</v>
      </c>
      <c r="L41" s="1" t="str">
        <f ca="1">IFERROR(__xludf.DUMMYFUNCTION("""COMPUTED_VALUE"""),"+.016")</f>
        <v>+.016</v>
      </c>
      <c r="M41" s="1">
        <f ca="1">IFERROR(__xludf.DUMMYFUNCTION("""COMPUTED_VALUE"""),143)</f>
        <v>143</v>
      </c>
      <c r="N41" s="1" t="str">
        <f ca="1">IFERROR(__xludf.DUMMYFUNCTION("""COMPUTED_VALUE"""),"+8.26")</f>
        <v>+8.26</v>
      </c>
      <c r="O41" s="1">
        <f ca="1">IFERROR(__xludf.DUMMYFUNCTION("""COMPUTED_VALUE"""),39)</f>
        <v>39</v>
      </c>
      <c r="P41" s="1">
        <f ca="1">IFERROR(__xludf.DUMMYFUNCTION("""COMPUTED_VALUE"""),108.3)</f>
        <v>108.3</v>
      </c>
      <c r="Q41" s="1">
        <f ca="1">IFERROR(__xludf.DUMMYFUNCTION("""COMPUTED_VALUE"""),51)</f>
        <v>51</v>
      </c>
      <c r="R41" s="1">
        <f ca="1">IFERROR(__xludf.DUMMYFUNCTION("""COMPUTED_VALUE"""),100)</f>
        <v>100</v>
      </c>
      <c r="S41" s="1">
        <f ca="1">IFERROR(__xludf.DUMMYFUNCTION("""COMPUTED_VALUE"""),23)</f>
        <v>23</v>
      </c>
      <c r="T41" s="1">
        <f ca="1">IFERROR(__xludf.DUMMYFUNCTION("""COMPUTED_VALUE"""),-6.62)</f>
        <v>-6.62</v>
      </c>
      <c r="U41" s="1">
        <f ca="1">IFERROR(__xludf.DUMMYFUNCTION("""COMPUTED_VALUE"""),307)</f>
        <v>307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IFERROR(__xludf.DUMMYFUNCTION("""COMPUTED_VALUE"""),"Syracuse2")</f>
        <v>Syracuse2</v>
      </c>
      <c r="C42" s="1" t="str">
        <f ca="1">IFERROR(__xludf.DUMMYFUNCTION("""COMPUTED_VALUE"""),"BE")</f>
        <v>BE</v>
      </c>
      <c r="D42" s="1" t="str">
        <f ca="1">IFERROR(__xludf.DUMMYFUNCTION("""COMPUTED_VALUE"""),"24-11")</f>
        <v>24-11</v>
      </c>
      <c r="E42" s="1" t="str">
        <f ca="1">IFERROR(__xludf.DUMMYFUNCTION("""COMPUTED_VALUE"""),"+16.84")</f>
        <v>+16.84</v>
      </c>
      <c r="F42" s="1">
        <f ca="1">IFERROR(__xludf.DUMMYFUNCTION("""COMPUTED_VALUE"""),112)</f>
        <v>112</v>
      </c>
      <c r="G42" s="1">
        <f ca="1">IFERROR(__xludf.DUMMYFUNCTION("""COMPUTED_VALUE"""),60)</f>
        <v>60</v>
      </c>
      <c r="H42" s="1">
        <f ca="1">IFERROR(__xludf.DUMMYFUNCTION("""COMPUTED_VALUE"""),95.2)</f>
        <v>95.2</v>
      </c>
      <c r="I42" s="1">
        <f ca="1">IFERROR(__xludf.DUMMYFUNCTION("""COMPUTED_VALUE"""),32)</f>
        <v>32</v>
      </c>
      <c r="J42" s="1">
        <f ca="1">IFERROR(__xludf.DUMMYFUNCTION("""COMPUTED_VALUE"""),70.4)</f>
        <v>70.400000000000006</v>
      </c>
      <c r="K42" s="1">
        <f ca="1">IFERROR(__xludf.DUMMYFUNCTION("""COMPUTED_VALUE"""),32)</f>
        <v>32</v>
      </c>
      <c r="L42" s="1">
        <f ca="1">IFERROR(__xludf.DUMMYFUNCTION("""COMPUTED_VALUE"""),-0.066)</f>
        <v>-6.6000000000000003E-2</v>
      </c>
      <c r="M42" s="1">
        <f ca="1">IFERROR(__xludf.DUMMYFUNCTION("""COMPUTED_VALUE"""),308)</f>
        <v>308</v>
      </c>
      <c r="N42" s="1" t="str">
        <f ca="1">IFERROR(__xludf.DUMMYFUNCTION("""COMPUTED_VALUE"""),"+5.78")</f>
        <v>+5.78</v>
      </c>
      <c r="O42" s="1">
        <f ca="1">IFERROR(__xludf.DUMMYFUNCTION("""COMPUTED_VALUE"""),71)</f>
        <v>71</v>
      </c>
      <c r="P42" s="1">
        <f ca="1">IFERROR(__xludf.DUMMYFUNCTION("""COMPUTED_VALUE"""),106.3)</f>
        <v>106.3</v>
      </c>
      <c r="Q42" s="1">
        <f ca="1">IFERROR(__xludf.DUMMYFUNCTION("""COMPUTED_VALUE"""),98)</f>
        <v>98</v>
      </c>
      <c r="R42" s="1">
        <f ca="1">IFERROR(__xludf.DUMMYFUNCTION("""COMPUTED_VALUE"""),100.5)</f>
        <v>100.5</v>
      </c>
      <c r="S42" s="1">
        <f ca="1">IFERROR(__xludf.DUMMYFUNCTION("""COMPUTED_VALUE"""),44)</f>
        <v>44</v>
      </c>
      <c r="T42" s="1">
        <f ca="1">IFERROR(__xludf.DUMMYFUNCTION("""COMPUTED_VALUE"""),-3.8)</f>
        <v>-3.8</v>
      </c>
      <c r="U42" s="1">
        <f ca="1">IFERROR(__xludf.DUMMYFUNCTION("""COMPUTED_VALUE"""),248)</f>
        <v>248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IFERROR(__xludf.DUMMYFUNCTION("""COMPUTED_VALUE"""),"UNLV7")</f>
        <v>UNLV7</v>
      </c>
      <c r="C45" s="1" t="str">
        <f ca="1">IFERROR(__xludf.DUMMYFUNCTION("""COMPUTED_VALUE"""),"MWC")</f>
        <v>MWC</v>
      </c>
      <c r="D45" s="1" t="str">
        <f ca="1">IFERROR(__xludf.DUMMYFUNCTION("""COMPUTED_VALUE"""),"30-7")</f>
        <v>30-7</v>
      </c>
      <c r="E45" s="1" t="str">
        <f ca="1">IFERROR(__xludf.DUMMYFUNCTION("""COMPUTED_VALUE"""),"+16.83")</f>
        <v>+16.83</v>
      </c>
      <c r="F45" s="1">
        <f ca="1">IFERROR(__xludf.DUMMYFUNCTION("""COMPUTED_VALUE"""),112.6)</f>
        <v>112.6</v>
      </c>
      <c r="G45" s="1">
        <f ca="1">IFERROR(__xludf.DUMMYFUNCTION("""COMPUTED_VALUE"""),51)</f>
        <v>51</v>
      </c>
      <c r="H45" s="1">
        <f ca="1">IFERROR(__xludf.DUMMYFUNCTION("""COMPUTED_VALUE"""),95.8)</f>
        <v>95.8</v>
      </c>
      <c r="I45" s="1">
        <f ca="1">IFERROR(__xludf.DUMMYFUNCTION("""COMPUTED_VALUE"""),40)</f>
        <v>40</v>
      </c>
      <c r="J45" s="1">
        <f ca="1">IFERROR(__xludf.DUMMYFUNCTION("""COMPUTED_VALUE"""),65.2)</f>
        <v>65.2</v>
      </c>
      <c r="K45" s="1">
        <f ca="1">IFERROR(__xludf.DUMMYFUNCTION("""COMPUTED_VALUE"""),190)</f>
        <v>190</v>
      </c>
      <c r="L45" s="1" t="str">
        <f ca="1">IFERROR(__xludf.DUMMYFUNCTION("""COMPUTED_VALUE"""),"+.098")</f>
        <v>+.098</v>
      </c>
      <c r="M45" s="1">
        <f ca="1">IFERROR(__xludf.DUMMYFUNCTION("""COMPUTED_VALUE"""),14)</f>
        <v>14</v>
      </c>
      <c r="N45" s="1" t="str">
        <f ca="1">IFERROR(__xludf.DUMMYFUNCTION("""COMPUTED_VALUE"""),"+5.61")</f>
        <v>+5.61</v>
      </c>
      <c r="O45" s="1">
        <f ca="1">IFERROR(__xludf.DUMMYFUNCTION("""COMPUTED_VALUE"""),75)</f>
        <v>75</v>
      </c>
      <c r="P45" s="1">
        <f ca="1">IFERROR(__xludf.DUMMYFUNCTION("""COMPUTED_VALUE"""),109.1)</f>
        <v>109.1</v>
      </c>
      <c r="Q45" s="1">
        <f ca="1">IFERROR(__xludf.DUMMYFUNCTION("""COMPUTED_VALUE"""),32)</f>
        <v>32</v>
      </c>
      <c r="R45" s="1">
        <f ca="1">IFERROR(__xludf.DUMMYFUNCTION("""COMPUTED_VALUE"""),103.5)</f>
        <v>103.5</v>
      </c>
      <c r="S45" s="1">
        <f ca="1">IFERROR(__xludf.DUMMYFUNCTION("""COMPUTED_VALUE"""),123)</f>
        <v>123</v>
      </c>
      <c r="T45" s="1" t="str">
        <f ca="1">IFERROR(__xludf.DUMMYFUNCTION("""COMPUTED_VALUE"""),"+2.29")</f>
        <v>+2.29</v>
      </c>
      <c r="U45" s="1">
        <f ca="1">IFERROR(__xludf.DUMMYFUNCTION("""COMPUTED_VALUE"""),93)</f>
        <v>93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IFERROR(__xludf.DUMMYFUNCTION("""COMPUTED_VALUE"""),"Arkansas12")</f>
        <v>Arkansas12</v>
      </c>
      <c r="C46" s="1" t="str">
        <f ca="1">IFERROR(__xludf.DUMMYFUNCTION("""COMPUTED_VALUE"""),"SEC")</f>
        <v>SEC</v>
      </c>
      <c r="D46" s="1" t="str">
        <f ca="1">IFERROR(__xludf.DUMMYFUNCTION("""COMPUTED_VALUE"""),"21-14")</f>
        <v>21-14</v>
      </c>
      <c r="E46" s="1" t="str">
        <f ca="1">IFERROR(__xludf.DUMMYFUNCTION("""COMPUTED_VALUE"""),"+16.62")</f>
        <v>+16.62</v>
      </c>
      <c r="F46" s="1">
        <f ca="1">IFERROR(__xludf.DUMMYFUNCTION("""COMPUTED_VALUE"""),110.6)</f>
        <v>110.6</v>
      </c>
      <c r="G46" s="1">
        <f ca="1">IFERROR(__xludf.DUMMYFUNCTION("""COMPUTED_VALUE"""),77)</f>
        <v>77</v>
      </c>
      <c r="H46" s="1">
        <f ca="1">IFERROR(__xludf.DUMMYFUNCTION("""COMPUTED_VALUE"""),93.9)</f>
        <v>93.9</v>
      </c>
      <c r="I46" s="1">
        <f ca="1">IFERROR(__xludf.DUMMYFUNCTION("""COMPUTED_VALUE"""),25)</f>
        <v>25</v>
      </c>
      <c r="J46" s="1">
        <f ca="1">IFERROR(__xludf.DUMMYFUNCTION("""COMPUTED_VALUE"""),66.1)</f>
        <v>66.099999999999994</v>
      </c>
      <c r="K46" s="1">
        <f ca="1">IFERROR(__xludf.DUMMYFUNCTION("""COMPUTED_VALUE"""),156)</f>
        <v>156</v>
      </c>
      <c r="L46" s="1">
        <f ca="1">IFERROR(__xludf.DUMMYFUNCTION("""COMPUTED_VALUE"""),-0.021)</f>
        <v>-2.1000000000000001E-2</v>
      </c>
      <c r="M46" s="1">
        <f ca="1">IFERROR(__xludf.DUMMYFUNCTION("""COMPUTED_VALUE"""),233)</f>
        <v>233</v>
      </c>
      <c r="N46" s="1" t="str">
        <f ca="1">IFERROR(__xludf.DUMMYFUNCTION("""COMPUTED_VALUE"""),"+10.10")</f>
        <v>+10.10</v>
      </c>
      <c r="O46" s="1">
        <f ca="1">IFERROR(__xludf.DUMMYFUNCTION("""COMPUTED_VALUE"""),13)</f>
        <v>13</v>
      </c>
      <c r="P46" s="1">
        <f ca="1">IFERROR(__xludf.DUMMYFUNCTION("""COMPUTED_VALUE"""),110.3)</f>
        <v>110.3</v>
      </c>
      <c r="Q46" s="1">
        <f ca="1">IFERROR(__xludf.DUMMYFUNCTION("""COMPUTED_VALUE"""),10)</f>
        <v>10</v>
      </c>
      <c r="R46" s="1">
        <f ca="1">IFERROR(__xludf.DUMMYFUNCTION("""COMPUTED_VALUE"""),100.2)</f>
        <v>100.2</v>
      </c>
      <c r="S46" s="1">
        <f ca="1">IFERROR(__xludf.DUMMYFUNCTION("""COMPUTED_VALUE"""),32)</f>
        <v>32</v>
      </c>
      <c r="T46" s="1" t="str">
        <f ca="1">IFERROR(__xludf.DUMMYFUNCTION("""COMPUTED_VALUE"""),"+1.28")</f>
        <v>+1.28</v>
      </c>
      <c r="U46" s="1">
        <f ca="1">IFERROR(__xludf.DUMMYFUNCTION("""COMPUTED_VALUE"""),119)</f>
        <v>119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IFERROR(__xludf.DUMMYFUNCTION("""COMPUTED_VALUE"""),"Vanderbilt6")</f>
        <v>Vanderbilt6</v>
      </c>
      <c r="C47" s="1" t="str">
        <f ca="1">IFERROR(__xludf.DUMMYFUNCTION("""COMPUTED_VALUE"""),"SEC")</f>
        <v>SEC</v>
      </c>
      <c r="D47" s="1" t="str">
        <f ca="1">IFERROR(__xludf.DUMMYFUNCTION("""COMPUTED_VALUE"""),"22-12")</f>
        <v>22-12</v>
      </c>
      <c r="E47" s="1" t="str">
        <f ca="1">IFERROR(__xludf.DUMMYFUNCTION("""COMPUTED_VALUE"""),"+16.23")</f>
        <v>+16.23</v>
      </c>
      <c r="F47" s="1">
        <f ca="1">IFERROR(__xludf.DUMMYFUNCTION("""COMPUTED_VALUE"""),115.7)</f>
        <v>115.7</v>
      </c>
      <c r="G47" s="1">
        <f ca="1">IFERROR(__xludf.DUMMYFUNCTION("""COMPUTED_VALUE"""),24)</f>
        <v>24</v>
      </c>
      <c r="H47" s="1">
        <f ca="1">IFERROR(__xludf.DUMMYFUNCTION("""COMPUTED_VALUE"""),99.4)</f>
        <v>99.4</v>
      </c>
      <c r="I47" s="1">
        <f ca="1">IFERROR(__xludf.DUMMYFUNCTION("""COMPUTED_VALUE"""),79)</f>
        <v>79</v>
      </c>
      <c r="J47" s="1">
        <f ca="1">IFERROR(__xludf.DUMMYFUNCTION("""COMPUTED_VALUE"""),66.6)</f>
        <v>66.599999999999994</v>
      </c>
      <c r="K47" s="1">
        <f ca="1">IFERROR(__xludf.DUMMYFUNCTION("""COMPUTED_VALUE"""),126)</f>
        <v>126</v>
      </c>
      <c r="L47" s="1" t="str">
        <f ca="1">IFERROR(__xludf.DUMMYFUNCTION("""COMPUTED_VALUE"""),"+.008")</f>
        <v>+.008</v>
      </c>
      <c r="M47" s="1">
        <f ca="1">IFERROR(__xludf.DUMMYFUNCTION("""COMPUTED_VALUE"""),160)</f>
        <v>160</v>
      </c>
      <c r="N47" s="1" t="str">
        <f ca="1">IFERROR(__xludf.DUMMYFUNCTION("""COMPUTED_VALUE"""),"+9.34")</f>
        <v>+9.34</v>
      </c>
      <c r="O47" s="1">
        <f ca="1">IFERROR(__xludf.DUMMYFUNCTION("""COMPUTED_VALUE"""),26)</f>
        <v>26</v>
      </c>
      <c r="P47" s="1">
        <f ca="1">IFERROR(__xludf.DUMMYFUNCTION("""COMPUTED_VALUE"""),109.5)</f>
        <v>109.5</v>
      </c>
      <c r="Q47" s="1">
        <f ca="1">IFERROR(__xludf.DUMMYFUNCTION("""COMPUTED_VALUE"""),22)</f>
        <v>22</v>
      </c>
      <c r="R47" s="1">
        <f ca="1">IFERROR(__xludf.DUMMYFUNCTION("""COMPUTED_VALUE"""),100.2)</f>
        <v>100.2</v>
      </c>
      <c r="S47" s="1">
        <f ca="1">IFERROR(__xludf.DUMMYFUNCTION("""COMPUTED_VALUE"""),30)</f>
        <v>30</v>
      </c>
      <c r="T47" s="1">
        <f ca="1">IFERROR(__xludf.DUMMYFUNCTION("""COMPUTED_VALUE"""),-2.74)</f>
        <v>-2.74</v>
      </c>
      <c r="U47" s="1">
        <f ca="1">IFERROR(__xludf.DUMMYFUNCTION("""COMPUTED_VALUE"""),220)</f>
        <v>220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IFERROR(__xludf.DUMMYFUNCTION("""COMPUTED_VALUE"""),"Boston College7")</f>
        <v>Boston College7</v>
      </c>
      <c r="C48" s="1" t="str">
        <f ca="1">IFERROR(__xludf.DUMMYFUNCTION("""COMPUTED_VALUE"""),"ACC")</f>
        <v>ACC</v>
      </c>
      <c r="D48" s="1" t="str">
        <f ca="1">IFERROR(__xludf.DUMMYFUNCTION("""COMPUTED_VALUE"""),"21-12")</f>
        <v>21-12</v>
      </c>
      <c r="E48" s="1" t="str">
        <f ca="1">IFERROR(__xludf.DUMMYFUNCTION("""COMPUTED_VALUE"""),"+16.18")</f>
        <v>+16.18</v>
      </c>
      <c r="F48" s="1">
        <f ca="1">IFERROR(__xludf.DUMMYFUNCTION("""COMPUTED_VALUE"""),117.3)</f>
        <v>117.3</v>
      </c>
      <c r="G48" s="1">
        <f ca="1">IFERROR(__xludf.DUMMYFUNCTION("""COMPUTED_VALUE"""),13)</f>
        <v>13</v>
      </c>
      <c r="H48" s="1">
        <f ca="1">IFERROR(__xludf.DUMMYFUNCTION("""COMPUTED_VALUE"""),101.1)</f>
        <v>101.1</v>
      </c>
      <c r="I48" s="1">
        <f ca="1">IFERROR(__xludf.DUMMYFUNCTION("""COMPUTED_VALUE"""),107)</f>
        <v>107</v>
      </c>
      <c r="J48" s="1">
        <f ca="1">IFERROR(__xludf.DUMMYFUNCTION("""COMPUTED_VALUE"""),64.3)</f>
        <v>64.3</v>
      </c>
      <c r="K48" s="1">
        <f ca="1">IFERROR(__xludf.DUMMYFUNCTION("""COMPUTED_VALUE"""),226)</f>
        <v>226</v>
      </c>
      <c r="L48" s="1" t="str">
        <f ca="1">IFERROR(__xludf.DUMMYFUNCTION("""COMPUTED_VALUE"""),"+.026")</f>
        <v>+.026</v>
      </c>
      <c r="M48" s="1">
        <f ca="1">IFERROR(__xludf.DUMMYFUNCTION("""COMPUTED_VALUE"""),118)</f>
        <v>118</v>
      </c>
      <c r="N48" s="1" t="str">
        <f ca="1">IFERROR(__xludf.DUMMYFUNCTION("""COMPUTED_VALUE"""),"+10.36")</f>
        <v>+10.36</v>
      </c>
      <c r="O48" s="1">
        <f ca="1">IFERROR(__xludf.DUMMYFUNCTION("""COMPUTED_VALUE"""),11)</f>
        <v>11</v>
      </c>
      <c r="P48" s="1">
        <f ca="1">IFERROR(__xludf.DUMMYFUNCTION("""COMPUTED_VALUE"""),110.7)</f>
        <v>110.7</v>
      </c>
      <c r="Q48" s="1">
        <f ca="1">IFERROR(__xludf.DUMMYFUNCTION("""COMPUTED_VALUE"""),5)</f>
        <v>5</v>
      </c>
      <c r="R48" s="1">
        <f ca="1">IFERROR(__xludf.DUMMYFUNCTION("""COMPUTED_VALUE"""),100.4)</f>
        <v>100.4</v>
      </c>
      <c r="S48" s="1">
        <f ca="1">IFERROR(__xludf.DUMMYFUNCTION("""COMPUTED_VALUE"""),38)</f>
        <v>38</v>
      </c>
      <c r="T48" s="1">
        <f ca="1">IFERROR(__xludf.DUMMYFUNCTION("""COMPUTED_VALUE"""),-2.41)</f>
        <v>-2.41</v>
      </c>
      <c r="U48" s="1">
        <f ca="1">IFERROR(__xludf.DUMMYFUNCTION("""COMPUTED_VALUE"""),210)</f>
        <v>210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IFERROR(__xludf.DUMMYFUNCTION("""COMPUTED_VALUE"""),"Akron")</f>
        <v>Akron</v>
      </c>
      <c r="C49" s="1" t="str">
        <f ca="1">IFERROR(__xludf.DUMMYFUNCTION("""COMPUTED_VALUE"""),"MAC")</f>
        <v>MAC</v>
      </c>
      <c r="D49" s="1" t="str">
        <f ca="1">IFERROR(__xludf.DUMMYFUNCTION("""COMPUTED_VALUE"""),"26-7")</f>
        <v>26-7</v>
      </c>
      <c r="E49" s="1" t="str">
        <f ca="1">IFERROR(__xludf.DUMMYFUNCTION("""COMPUTED_VALUE"""),"+16.15")</f>
        <v>+16.15</v>
      </c>
      <c r="F49" s="1">
        <f ca="1">IFERROR(__xludf.DUMMYFUNCTION("""COMPUTED_VALUE"""),115.2)</f>
        <v>115.2</v>
      </c>
      <c r="G49" s="1">
        <f ca="1">IFERROR(__xludf.DUMMYFUNCTION("""COMPUTED_VALUE"""),31)</f>
        <v>31</v>
      </c>
      <c r="H49" s="1">
        <f ca="1">IFERROR(__xludf.DUMMYFUNCTION("""COMPUTED_VALUE"""),99.1)</f>
        <v>99.1</v>
      </c>
      <c r="I49" s="1">
        <f ca="1">IFERROR(__xludf.DUMMYFUNCTION("""COMPUTED_VALUE"""),76)</f>
        <v>76</v>
      </c>
      <c r="J49" s="1">
        <f ca="1">IFERROR(__xludf.DUMMYFUNCTION("""COMPUTED_VALUE"""),63.8)</f>
        <v>63.8</v>
      </c>
      <c r="K49" s="1">
        <f ca="1">IFERROR(__xludf.DUMMYFUNCTION("""COMPUTED_VALUE"""),245)</f>
        <v>245</v>
      </c>
      <c r="L49" s="1">
        <f ca="1">IFERROR(__xludf.DUMMYFUNCTION("""COMPUTED_VALUE"""),-0.056)</f>
        <v>-5.6000000000000001E-2</v>
      </c>
      <c r="M49" s="1">
        <f ca="1">IFERROR(__xludf.DUMMYFUNCTION("""COMPUTED_VALUE"""),295)</f>
        <v>295</v>
      </c>
      <c r="N49" s="1">
        <f ca="1">IFERROR(__xludf.DUMMYFUNCTION("""COMPUTED_VALUE"""),-1.65)</f>
        <v>-1.65</v>
      </c>
      <c r="O49" s="1">
        <f ca="1">IFERROR(__xludf.DUMMYFUNCTION("""COMPUTED_VALUE"""),180)</f>
        <v>180</v>
      </c>
      <c r="P49" s="1">
        <f ca="1">IFERROR(__xludf.DUMMYFUNCTION("""COMPUTED_VALUE"""),102.8)</f>
        <v>102.8</v>
      </c>
      <c r="Q49" s="1">
        <f ca="1">IFERROR(__xludf.DUMMYFUNCTION("""COMPUTED_VALUE"""),205)</f>
        <v>205</v>
      </c>
      <c r="R49" s="1">
        <f ca="1">IFERROR(__xludf.DUMMYFUNCTION("""COMPUTED_VALUE"""),104.5)</f>
        <v>104.5</v>
      </c>
      <c r="S49" s="1">
        <f ca="1">IFERROR(__xludf.DUMMYFUNCTION("""COMPUTED_VALUE"""),156)</f>
        <v>156</v>
      </c>
      <c r="T49" s="1">
        <f ca="1">IFERROR(__xludf.DUMMYFUNCTION("""COMPUTED_VALUE"""),-4.55)</f>
        <v>-4.55</v>
      </c>
      <c r="U49" s="1">
        <f ca="1">IFERROR(__xludf.DUMMYFUNCTION("""COMPUTED_VALUE"""),267)</f>
        <v>267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IFERROR(__xludf.DUMMYFUNCTION("""COMPUTED_VALUE"""),"BYU8")</f>
        <v>BYU8</v>
      </c>
      <c r="C50" s="1" t="str">
        <f ca="1">IFERROR(__xludf.DUMMYFUNCTION("""COMPUTED_VALUE"""),"MWC")</f>
        <v>MWC</v>
      </c>
      <c r="D50" s="1" t="str">
        <f ca="1">IFERROR(__xludf.DUMMYFUNCTION("""COMPUTED_VALUE"""),"25-9")</f>
        <v>25-9</v>
      </c>
      <c r="E50" s="1" t="str">
        <f ca="1">IFERROR(__xludf.DUMMYFUNCTION("""COMPUTED_VALUE"""),"+16.11")</f>
        <v>+16.11</v>
      </c>
      <c r="F50" s="1">
        <f ca="1">IFERROR(__xludf.DUMMYFUNCTION("""COMPUTED_VALUE"""),116.7)</f>
        <v>116.7</v>
      </c>
      <c r="G50" s="1">
        <f ca="1">IFERROR(__xludf.DUMMYFUNCTION("""COMPUTED_VALUE"""),17)</f>
        <v>17</v>
      </c>
      <c r="H50" s="1">
        <f ca="1">IFERROR(__xludf.DUMMYFUNCTION("""COMPUTED_VALUE"""),100.6)</f>
        <v>100.6</v>
      </c>
      <c r="I50" s="1">
        <f ca="1">IFERROR(__xludf.DUMMYFUNCTION("""COMPUTED_VALUE"""),97)</f>
        <v>97</v>
      </c>
      <c r="J50" s="1">
        <f ca="1">IFERROR(__xludf.DUMMYFUNCTION("""COMPUTED_VALUE"""),67.6)</f>
        <v>67.599999999999994</v>
      </c>
      <c r="K50" s="1">
        <f ca="1">IFERROR(__xludf.DUMMYFUNCTION("""COMPUTED_VALUE"""),95)</f>
        <v>95</v>
      </c>
      <c r="L50" s="1" t="str">
        <f ca="1">IFERROR(__xludf.DUMMYFUNCTION("""COMPUTED_VALUE"""),"+.001")</f>
        <v>+.001</v>
      </c>
      <c r="M50" s="1">
        <f ca="1">IFERROR(__xludf.DUMMYFUNCTION("""COMPUTED_VALUE"""),176)</f>
        <v>176</v>
      </c>
      <c r="N50" s="1" t="str">
        <f ca="1">IFERROR(__xludf.DUMMYFUNCTION("""COMPUTED_VALUE"""),"+4.24")</f>
        <v>+4.24</v>
      </c>
      <c r="O50" s="1">
        <f ca="1">IFERROR(__xludf.DUMMYFUNCTION("""COMPUTED_VALUE"""),88)</f>
        <v>88</v>
      </c>
      <c r="P50" s="1">
        <f ca="1">IFERROR(__xludf.DUMMYFUNCTION("""COMPUTED_VALUE"""),106.8)</f>
        <v>106.8</v>
      </c>
      <c r="Q50" s="1">
        <f ca="1">IFERROR(__xludf.DUMMYFUNCTION("""COMPUTED_VALUE"""),86)</f>
        <v>86</v>
      </c>
      <c r="R50" s="1">
        <f ca="1">IFERROR(__xludf.DUMMYFUNCTION("""COMPUTED_VALUE"""),102.5)</f>
        <v>102.5</v>
      </c>
      <c r="S50" s="1">
        <f ca="1">IFERROR(__xludf.DUMMYFUNCTION("""COMPUTED_VALUE"""),100)</f>
        <v>100</v>
      </c>
      <c r="T50" s="1">
        <f ca="1">IFERROR(__xludf.DUMMYFUNCTION("""COMPUTED_VALUE"""),-0.3)</f>
        <v>-0.3</v>
      </c>
      <c r="U50" s="1">
        <f ca="1">IFERROR(__xludf.DUMMYFUNCTION("""COMPUTED_VALUE"""),158)</f>
        <v>158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IFERROR(__xludf.DUMMYFUNCTION("""COMPUTED_VALUE"""),"Nevada7")</f>
        <v>Nevada7</v>
      </c>
      <c r="C51" s="1" t="str">
        <f ca="1">IFERROR(__xludf.DUMMYFUNCTION("""COMPUTED_VALUE"""),"WAC")</f>
        <v>WAC</v>
      </c>
      <c r="D51" s="1" t="str">
        <f ca="1">IFERROR(__xludf.DUMMYFUNCTION("""COMPUTED_VALUE"""),"29-5")</f>
        <v>29-5</v>
      </c>
      <c r="E51" s="1" t="str">
        <f ca="1">IFERROR(__xludf.DUMMYFUNCTION("""COMPUTED_VALUE"""),"+16.09")</f>
        <v>+16.09</v>
      </c>
      <c r="F51" s="1">
        <f ca="1">IFERROR(__xludf.DUMMYFUNCTION("""COMPUTED_VALUE"""),117.2)</f>
        <v>117.2</v>
      </c>
      <c r="G51" s="1">
        <f ca="1">IFERROR(__xludf.DUMMYFUNCTION("""COMPUTED_VALUE"""),14)</f>
        <v>14</v>
      </c>
      <c r="H51" s="1">
        <f ca="1">IFERROR(__xludf.DUMMYFUNCTION("""COMPUTED_VALUE"""),101.2)</f>
        <v>101.2</v>
      </c>
      <c r="I51" s="1">
        <f ca="1">IFERROR(__xludf.DUMMYFUNCTION("""COMPUTED_VALUE"""),109)</f>
        <v>109</v>
      </c>
      <c r="J51" s="1">
        <f ca="1">IFERROR(__xludf.DUMMYFUNCTION("""COMPUTED_VALUE"""),66.3)</f>
        <v>66.3</v>
      </c>
      <c r="K51" s="1">
        <f ca="1">IFERROR(__xludf.DUMMYFUNCTION("""COMPUTED_VALUE"""),139)</f>
        <v>139</v>
      </c>
      <c r="L51" s="1" t="str">
        <f ca="1">IFERROR(__xludf.DUMMYFUNCTION("""COMPUTED_VALUE"""),"+.030")</f>
        <v>+.030</v>
      </c>
      <c r="M51" s="1">
        <f ca="1">IFERROR(__xludf.DUMMYFUNCTION("""COMPUTED_VALUE"""),105)</f>
        <v>105</v>
      </c>
      <c r="N51" s="1" t="str">
        <f ca="1">IFERROR(__xludf.DUMMYFUNCTION("""COMPUTED_VALUE"""),"+1.98")</f>
        <v>+1.98</v>
      </c>
      <c r="O51" s="1">
        <f ca="1">IFERROR(__xludf.DUMMYFUNCTION("""COMPUTED_VALUE"""),121)</f>
        <v>121</v>
      </c>
      <c r="P51" s="1">
        <f ca="1">IFERROR(__xludf.DUMMYFUNCTION("""COMPUTED_VALUE"""),104.2)</f>
        <v>104.2</v>
      </c>
      <c r="Q51" s="1">
        <f ca="1">IFERROR(__xludf.DUMMYFUNCTION("""COMPUTED_VALUE"""),161)</f>
        <v>161</v>
      </c>
      <c r="R51" s="1">
        <f ca="1">IFERROR(__xludf.DUMMYFUNCTION("""COMPUTED_VALUE"""),102.2)</f>
        <v>102.2</v>
      </c>
      <c r="S51" s="1">
        <f ca="1">IFERROR(__xludf.DUMMYFUNCTION("""COMPUTED_VALUE"""),94)</f>
        <v>94</v>
      </c>
      <c r="T51" s="1" t="str">
        <f ca="1">IFERROR(__xludf.DUMMYFUNCTION("""COMPUTED_VALUE"""),"+1.53")</f>
        <v>+1.53</v>
      </c>
      <c r="U51" s="1">
        <f ca="1">IFERROR(__xludf.DUMMYFUNCTION("""COMPUTED_VALUE"""),110)</f>
        <v>110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IFERROR(__xludf.DUMMYFUNCTION("""COMPUTED_VALUE"""),"Virginia4")</f>
        <v>Virginia4</v>
      </c>
      <c r="C52" s="1" t="str">
        <f ca="1">IFERROR(__xludf.DUMMYFUNCTION("""COMPUTED_VALUE"""),"ACC")</f>
        <v>ACC</v>
      </c>
      <c r="D52" s="1" t="str">
        <f ca="1">IFERROR(__xludf.DUMMYFUNCTION("""COMPUTED_VALUE"""),"21-11")</f>
        <v>21-11</v>
      </c>
      <c r="E52" s="1" t="str">
        <f ca="1">IFERROR(__xludf.DUMMYFUNCTION("""COMPUTED_VALUE"""),"+15.43")</f>
        <v>+15.43</v>
      </c>
      <c r="F52" s="1">
        <f ca="1">IFERROR(__xludf.DUMMYFUNCTION("""COMPUTED_VALUE"""),114.1)</f>
        <v>114.1</v>
      </c>
      <c r="G52" s="1">
        <f ca="1">IFERROR(__xludf.DUMMYFUNCTION("""COMPUTED_VALUE"""),35)</f>
        <v>35</v>
      </c>
      <c r="H52" s="1">
        <f ca="1">IFERROR(__xludf.DUMMYFUNCTION("""COMPUTED_VALUE"""),98.7)</f>
        <v>98.7</v>
      </c>
      <c r="I52" s="1">
        <f ca="1">IFERROR(__xludf.DUMMYFUNCTION("""COMPUTED_VALUE"""),71)</f>
        <v>71</v>
      </c>
      <c r="J52" s="1">
        <f ca="1">IFERROR(__xludf.DUMMYFUNCTION("""COMPUTED_VALUE"""),67.9)</f>
        <v>67.900000000000006</v>
      </c>
      <c r="K52" s="1">
        <f ca="1">IFERROR(__xludf.DUMMYFUNCTION("""COMPUTED_VALUE"""),83)</f>
        <v>83</v>
      </c>
      <c r="L52" s="1" t="str">
        <f ca="1">IFERROR(__xludf.DUMMYFUNCTION("""COMPUTED_VALUE"""),"+.006")</f>
        <v>+.006</v>
      </c>
      <c r="M52" s="1">
        <f ca="1">IFERROR(__xludf.DUMMYFUNCTION("""COMPUTED_VALUE"""),164)</f>
        <v>164</v>
      </c>
      <c r="N52" s="1" t="str">
        <f ca="1">IFERROR(__xludf.DUMMYFUNCTION("""COMPUTED_VALUE"""),"+8.27")</f>
        <v>+8.27</v>
      </c>
      <c r="O52" s="1">
        <f ca="1">IFERROR(__xludf.DUMMYFUNCTION("""COMPUTED_VALUE"""),38)</f>
        <v>38</v>
      </c>
      <c r="P52" s="1">
        <f ca="1">IFERROR(__xludf.DUMMYFUNCTION("""COMPUTED_VALUE"""),109.2)</f>
        <v>109.2</v>
      </c>
      <c r="Q52" s="1">
        <f ca="1">IFERROR(__xludf.DUMMYFUNCTION("""COMPUTED_VALUE"""),28)</f>
        <v>28</v>
      </c>
      <c r="R52" s="1">
        <f ca="1">IFERROR(__xludf.DUMMYFUNCTION("""COMPUTED_VALUE"""),100.9)</f>
        <v>100.9</v>
      </c>
      <c r="S52" s="1">
        <f ca="1">IFERROR(__xludf.DUMMYFUNCTION("""COMPUTED_VALUE"""),58)</f>
        <v>58</v>
      </c>
      <c r="T52" s="1">
        <f ca="1">IFERROR(__xludf.DUMMYFUNCTION("""COMPUTED_VALUE"""),-4.35)</f>
        <v>-4.3499999999999996</v>
      </c>
      <c r="U52" s="1">
        <f ca="1">IFERROR(__xludf.DUMMYFUNCTION("""COMPUTED_VALUE"""),259)</f>
        <v>259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IFERROR(__xludf.DUMMYFUNCTION("""COMPUTED_VALUE"""),"Gonzaga10")</f>
        <v>Gonzaga10</v>
      </c>
      <c r="C53" s="1" t="str">
        <f ca="1">IFERROR(__xludf.DUMMYFUNCTION("""COMPUTED_VALUE"""),"WCC")</f>
        <v>WCC</v>
      </c>
      <c r="D53" s="1" t="str">
        <f ca="1">IFERROR(__xludf.DUMMYFUNCTION("""COMPUTED_VALUE"""),"23-11")</f>
        <v>23-11</v>
      </c>
      <c r="E53" s="1" t="str">
        <f ca="1">IFERROR(__xludf.DUMMYFUNCTION("""COMPUTED_VALUE"""),"+15.31")</f>
        <v>+15.31</v>
      </c>
      <c r="F53" s="1">
        <f ca="1">IFERROR(__xludf.DUMMYFUNCTION("""COMPUTED_VALUE"""),115.3)</f>
        <v>115.3</v>
      </c>
      <c r="G53" s="1">
        <f ca="1">IFERROR(__xludf.DUMMYFUNCTION("""COMPUTED_VALUE"""),30)</f>
        <v>30</v>
      </c>
      <c r="H53" s="1">
        <f ca="1">IFERROR(__xludf.DUMMYFUNCTION("""COMPUTED_VALUE"""),100)</f>
        <v>100</v>
      </c>
      <c r="I53" s="1">
        <f ca="1">IFERROR(__xludf.DUMMYFUNCTION("""COMPUTED_VALUE"""),87)</f>
        <v>87</v>
      </c>
      <c r="J53" s="1">
        <f ca="1">IFERROR(__xludf.DUMMYFUNCTION("""COMPUTED_VALUE"""),67.1)</f>
        <v>67.099999999999994</v>
      </c>
      <c r="K53" s="1">
        <f ca="1">IFERROR(__xludf.DUMMYFUNCTION("""COMPUTED_VALUE"""),113)</f>
        <v>113</v>
      </c>
      <c r="L53" s="1">
        <f ca="1">IFERROR(__xludf.DUMMYFUNCTION("""COMPUTED_VALUE"""),-0.032)</f>
        <v>-3.2000000000000001E-2</v>
      </c>
      <c r="M53" s="1">
        <f ca="1">IFERROR(__xludf.DUMMYFUNCTION("""COMPUTED_VALUE"""),262)</f>
        <v>262</v>
      </c>
      <c r="N53" s="1" t="str">
        <f ca="1">IFERROR(__xludf.DUMMYFUNCTION("""COMPUTED_VALUE"""),"+4.15")</f>
        <v>+4.15</v>
      </c>
      <c r="O53" s="1">
        <f ca="1">IFERROR(__xludf.DUMMYFUNCTION("""COMPUTED_VALUE"""),89)</f>
        <v>89</v>
      </c>
      <c r="P53" s="1">
        <f ca="1">IFERROR(__xludf.DUMMYFUNCTION("""COMPUTED_VALUE"""),106.7)</f>
        <v>106.7</v>
      </c>
      <c r="Q53" s="1">
        <f ca="1">IFERROR(__xludf.DUMMYFUNCTION("""COMPUTED_VALUE"""),89)</f>
        <v>89</v>
      </c>
      <c r="R53" s="1">
        <f ca="1">IFERROR(__xludf.DUMMYFUNCTION("""COMPUTED_VALUE"""),102.5)</f>
        <v>102.5</v>
      </c>
      <c r="S53" s="1">
        <f ca="1">IFERROR(__xludf.DUMMYFUNCTION("""COMPUTED_VALUE"""),99)</f>
        <v>99</v>
      </c>
      <c r="T53" s="1" t="str">
        <f ca="1">IFERROR(__xludf.DUMMYFUNCTION("""COMPUTED_VALUE"""),"+9.52")</f>
        <v>+9.52</v>
      </c>
      <c r="U53" s="1">
        <f ca="1">IFERROR(__xludf.DUMMYFUNCTION("""COMPUTED_VALUE"""),19)</f>
        <v>19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IFERROR(__xludf.DUMMYFUNCTION("""COMPUTED_VALUE"""),"DePaul3")</f>
        <v>DePaul3</v>
      </c>
      <c r="C54" s="1" t="str">
        <f ca="1">IFERROR(__xludf.DUMMYFUNCTION("""COMPUTED_VALUE"""),"BE")</f>
        <v>BE</v>
      </c>
      <c r="D54" s="1" t="str">
        <f ca="1">IFERROR(__xludf.DUMMYFUNCTION("""COMPUTED_VALUE"""),"20-14")</f>
        <v>20-14</v>
      </c>
      <c r="E54" s="1" t="str">
        <f ca="1">IFERROR(__xludf.DUMMYFUNCTION("""COMPUTED_VALUE"""),"+15.27")</f>
        <v>+15.27</v>
      </c>
      <c r="F54" s="1">
        <f ca="1">IFERROR(__xludf.DUMMYFUNCTION("""COMPUTED_VALUE"""),111.5)</f>
        <v>111.5</v>
      </c>
      <c r="G54" s="1">
        <f ca="1">IFERROR(__xludf.DUMMYFUNCTION("""COMPUTED_VALUE"""),66)</f>
        <v>66</v>
      </c>
      <c r="H54" s="1">
        <f ca="1">IFERROR(__xludf.DUMMYFUNCTION("""COMPUTED_VALUE"""),96.3)</f>
        <v>96.3</v>
      </c>
      <c r="I54" s="1">
        <f ca="1">IFERROR(__xludf.DUMMYFUNCTION("""COMPUTED_VALUE"""),44)</f>
        <v>44</v>
      </c>
      <c r="J54" s="1">
        <f ca="1">IFERROR(__xludf.DUMMYFUNCTION("""COMPUTED_VALUE"""),62.4)</f>
        <v>62.4</v>
      </c>
      <c r="K54" s="1">
        <f ca="1">IFERROR(__xludf.DUMMYFUNCTION("""COMPUTED_VALUE"""),295)</f>
        <v>295</v>
      </c>
      <c r="L54" s="1">
        <f ca="1">IFERROR(__xludf.DUMMYFUNCTION("""COMPUTED_VALUE"""),-0.018)</f>
        <v>-1.7999999999999999E-2</v>
      </c>
      <c r="M54" s="1">
        <f ca="1">IFERROR(__xludf.DUMMYFUNCTION("""COMPUTED_VALUE"""),225)</f>
        <v>225</v>
      </c>
      <c r="N54" s="1" t="str">
        <f ca="1">IFERROR(__xludf.DUMMYFUNCTION("""COMPUTED_VALUE"""),"+9.86")</f>
        <v>+9.86</v>
      </c>
      <c r="O54" s="1">
        <f ca="1">IFERROR(__xludf.DUMMYFUNCTION("""COMPUTED_VALUE"""),15)</f>
        <v>15</v>
      </c>
      <c r="P54" s="1">
        <f ca="1">IFERROR(__xludf.DUMMYFUNCTION("""COMPUTED_VALUE"""),109.6)</f>
        <v>109.6</v>
      </c>
      <c r="Q54" s="1">
        <f ca="1">IFERROR(__xludf.DUMMYFUNCTION("""COMPUTED_VALUE"""),20)</f>
        <v>20</v>
      </c>
      <c r="R54" s="1">
        <f ca="1">IFERROR(__xludf.DUMMYFUNCTION("""COMPUTED_VALUE"""),99.7)</f>
        <v>99.7</v>
      </c>
      <c r="S54" s="1">
        <f ca="1">IFERROR(__xludf.DUMMYFUNCTION("""COMPUTED_VALUE"""),14)</f>
        <v>14</v>
      </c>
      <c r="T54" s="1" t="str">
        <f ca="1">IFERROR(__xludf.DUMMYFUNCTION("""COMPUTED_VALUE"""),"+4.94")</f>
        <v>+4.94</v>
      </c>
      <c r="U54" s="1">
        <f ca="1">IFERROR(__xludf.DUMMYFUNCTION("""COMPUTED_VALUE"""),50)</f>
        <v>50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IFERROR(__xludf.DUMMYFUNCTION("""COMPUTED_VALUE"""),"Winthrop11")</f>
        <v>Winthrop11</v>
      </c>
      <c r="C55" s="1" t="str">
        <f ca="1">IFERROR(__xludf.DUMMYFUNCTION("""COMPUTED_VALUE"""),"BSth")</f>
        <v>BSth</v>
      </c>
      <c r="D55" s="1" t="str">
        <f ca="1">IFERROR(__xludf.DUMMYFUNCTION("""COMPUTED_VALUE"""),"29-5")</f>
        <v>29-5</v>
      </c>
      <c r="E55" s="1" t="str">
        <f ca="1">IFERROR(__xludf.DUMMYFUNCTION("""COMPUTED_VALUE"""),"+14.81")</f>
        <v>+14.81</v>
      </c>
      <c r="F55" s="1">
        <f ca="1">IFERROR(__xludf.DUMMYFUNCTION("""COMPUTED_VALUE"""),112.9)</f>
        <v>112.9</v>
      </c>
      <c r="G55" s="1">
        <f ca="1">IFERROR(__xludf.DUMMYFUNCTION("""COMPUTED_VALUE"""),48)</f>
        <v>48</v>
      </c>
      <c r="H55" s="1">
        <f ca="1">IFERROR(__xludf.DUMMYFUNCTION("""COMPUTED_VALUE"""),98)</f>
        <v>98</v>
      </c>
      <c r="I55" s="1">
        <f ca="1">IFERROR(__xludf.DUMMYFUNCTION("""COMPUTED_VALUE"""),60)</f>
        <v>60</v>
      </c>
      <c r="J55" s="1">
        <f ca="1">IFERROR(__xludf.DUMMYFUNCTION("""COMPUTED_VALUE"""),61.9)</f>
        <v>61.9</v>
      </c>
      <c r="K55" s="1">
        <f ca="1">IFERROR(__xludf.DUMMYFUNCTION("""COMPUTED_VALUE"""),301)</f>
        <v>301</v>
      </c>
      <c r="L55" s="1" t="str">
        <f ca="1">IFERROR(__xludf.DUMMYFUNCTION("""COMPUTED_VALUE"""),"+.055")</f>
        <v>+.055</v>
      </c>
      <c r="M55" s="1">
        <f ca="1">IFERROR(__xludf.DUMMYFUNCTION("""COMPUTED_VALUE"""),51)</f>
        <v>51</v>
      </c>
      <c r="N55" s="1">
        <f ca="1">IFERROR(__xludf.DUMMYFUNCTION("""COMPUTED_VALUE"""),-2.71)</f>
        <v>-2.71</v>
      </c>
      <c r="O55" s="1">
        <f ca="1">IFERROR(__xludf.DUMMYFUNCTION("""COMPUTED_VALUE"""),191)</f>
        <v>191</v>
      </c>
      <c r="P55" s="1">
        <f ca="1">IFERROR(__xludf.DUMMYFUNCTION("""COMPUTED_VALUE"""),103.1)</f>
        <v>103.1</v>
      </c>
      <c r="Q55" s="1">
        <f ca="1">IFERROR(__xludf.DUMMYFUNCTION("""COMPUTED_VALUE"""),197)</f>
        <v>197</v>
      </c>
      <c r="R55" s="1">
        <f ca="1">IFERROR(__xludf.DUMMYFUNCTION("""COMPUTED_VALUE"""),105.8)</f>
        <v>105.8</v>
      </c>
      <c r="S55" s="1">
        <f ca="1">IFERROR(__xludf.DUMMYFUNCTION("""COMPUTED_VALUE"""),199)</f>
        <v>199</v>
      </c>
      <c r="T55" s="1" t="str">
        <f ca="1">IFERROR(__xludf.DUMMYFUNCTION("""COMPUTED_VALUE"""),"+15.06")</f>
        <v>+15.06</v>
      </c>
      <c r="U55" s="1">
        <f ca="1">IFERROR(__xludf.DUMMYFUNCTION("""COMPUTED_VALUE"""),3)</f>
        <v>3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IFERROR(__xludf.DUMMYFUNCTION("""COMPUTED_VALUE"""),"VCU11")</f>
        <v>VCU11</v>
      </c>
      <c r="C56" s="1" t="str">
        <f ca="1">IFERROR(__xludf.DUMMYFUNCTION("""COMPUTED_VALUE"""),"CAA")</f>
        <v>CAA</v>
      </c>
      <c r="D56" s="1" t="str">
        <f ca="1">IFERROR(__xludf.DUMMYFUNCTION("""COMPUTED_VALUE"""),"28-7")</f>
        <v>28-7</v>
      </c>
      <c r="E56" s="1" t="str">
        <f ca="1">IFERROR(__xludf.DUMMYFUNCTION("""COMPUTED_VALUE"""),"+14.55")</f>
        <v>+14.55</v>
      </c>
      <c r="F56" s="1">
        <f ca="1">IFERROR(__xludf.DUMMYFUNCTION("""COMPUTED_VALUE"""),116.6)</f>
        <v>116.6</v>
      </c>
      <c r="G56" s="1">
        <f ca="1">IFERROR(__xludf.DUMMYFUNCTION("""COMPUTED_VALUE"""),18)</f>
        <v>18</v>
      </c>
      <c r="H56" s="1">
        <f ca="1">IFERROR(__xludf.DUMMYFUNCTION("""COMPUTED_VALUE"""),102)</f>
        <v>102</v>
      </c>
      <c r="I56" s="1">
        <f ca="1">IFERROR(__xludf.DUMMYFUNCTION("""COMPUTED_VALUE"""),124)</f>
        <v>124</v>
      </c>
      <c r="J56" s="1">
        <f ca="1">IFERROR(__xludf.DUMMYFUNCTION("""COMPUTED_VALUE"""),65.5)</f>
        <v>65.5</v>
      </c>
      <c r="K56" s="1">
        <f ca="1">IFERROR(__xludf.DUMMYFUNCTION("""COMPUTED_VALUE"""),178)</f>
        <v>178</v>
      </c>
      <c r="L56" s="1" t="str">
        <f ca="1">IFERROR(__xludf.DUMMYFUNCTION("""COMPUTED_VALUE"""),"+.002")</f>
        <v>+.002</v>
      </c>
      <c r="M56" s="1">
        <f ca="1">IFERROR(__xludf.DUMMYFUNCTION("""COMPUTED_VALUE"""),174)</f>
        <v>174</v>
      </c>
      <c r="N56" s="1" t="str">
        <f ca="1">IFERROR(__xludf.DUMMYFUNCTION("""COMPUTED_VALUE"""),"+0.20")</f>
        <v>+0.20</v>
      </c>
      <c r="O56" s="1">
        <f ca="1">IFERROR(__xludf.DUMMYFUNCTION("""COMPUTED_VALUE"""),150)</f>
        <v>150</v>
      </c>
      <c r="P56" s="1">
        <f ca="1">IFERROR(__xludf.DUMMYFUNCTION("""COMPUTED_VALUE"""),104.2)</f>
        <v>104.2</v>
      </c>
      <c r="Q56" s="1">
        <f ca="1">IFERROR(__xludf.DUMMYFUNCTION("""COMPUTED_VALUE"""),162)</f>
        <v>162</v>
      </c>
      <c r="R56" s="1">
        <f ca="1">IFERROR(__xludf.DUMMYFUNCTION("""COMPUTED_VALUE"""),104)</f>
        <v>104</v>
      </c>
      <c r="S56" s="1">
        <f ca="1">IFERROR(__xludf.DUMMYFUNCTION("""COMPUTED_VALUE"""),143)</f>
        <v>143</v>
      </c>
      <c r="T56" s="1" t="str">
        <f ca="1">IFERROR(__xludf.DUMMYFUNCTION("""COMPUTED_VALUE"""),"+0.25")</f>
        <v>+0.25</v>
      </c>
      <c r="U56" s="1">
        <f ca="1">IFERROR(__xludf.DUMMYFUNCTION("""COMPUTED_VALUE"""),149)</f>
        <v>149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IFERROR(__xludf.DUMMYFUNCTION("""COMPUTED_VALUE"""),"Bradley4")</f>
        <v>Bradley4</v>
      </c>
      <c r="C57" s="1" t="str">
        <f ca="1">IFERROR(__xludf.DUMMYFUNCTION("""COMPUTED_VALUE"""),"MVC")</f>
        <v>MVC</v>
      </c>
      <c r="D57" s="1" t="str">
        <f ca="1">IFERROR(__xludf.DUMMYFUNCTION("""COMPUTED_VALUE"""),"22-13")</f>
        <v>22-13</v>
      </c>
      <c r="E57" s="1" t="str">
        <f ca="1">IFERROR(__xludf.DUMMYFUNCTION("""COMPUTED_VALUE"""),"+14.35")</f>
        <v>+14.35</v>
      </c>
      <c r="F57" s="1">
        <f ca="1">IFERROR(__xludf.DUMMYFUNCTION("""COMPUTED_VALUE"""),115.9)</f>
        <v>115.9</v>
      </c>
      <c r="G57" s="1">
        <f ca="1">IFERROR(__xludf.DUMMYFUNCTION("""COMPUTED_VALUE"""),23)</f>
        <v>23</v>
      </c>
      <c r="H57" s="1">
        <f ca="1">IFERROR(__xludf.DUMMYFUNCTION("""COMPUTED_VALUE"""),101.5)</f>
        <v>101.5</v>
      </c>
      <c r="I57" s="1">
        <f ca="1">IFERROR(__xludf.DUMMYFUNCTION("""COMPUTED_VALUE"""),115)</f>
        <v>115</v>
      </c>
      <c r="J57" s="1">
        <f ca="1">IFERROR(__xludf.DUMMYFUNCTION("""COMPUTED_VALUE"""),67.8)</f>
        <v>67.8</v>
      </c>
      <c r="K57" s="1">
        <f ca="1">IFERROR(__xludf.DUMMYFUNCTION("""COMPUTED_VALUE"""),86)</f>
        <v>86</v>
      </c>
      <c r="L57" s="1" t="str">
        <f ca="1">IFERROR(__xludf.DUMMYFUNCTION("""COMPUTED_VALUE"""),"+.026")</f>
        <v>+.026</v>
      </c>
      <c r="M57" s="1">
        <f ca="1">IFERROR(__xludf.DUMMYFUNCTION("""COMPUTED_VALUE"""),116)</f>
        <v>116</v>
      </c>
      <c r="N57" s="1" t="str">
        <f ca="1">IFERROR(__xludf.DUMMYFUNCTION("""COMPUTED_VALUE"""),"+9.00")</f>
        <v>+9.00</v>
      </c>
      <c r="O57" s="1">
        <f ca="1">IFERROR(__xludf.DUMMYFUNCTION("""COMPUTED_VALUE"""),30)</f>
        <v>30</v>
      </c>
      <c r="P57" s="1">
        <f ca="1">IFERROR(__xludf.DUMMYFUNCTION("""COMPUTED_VALUE"""),108.8)</f>
        <v>108.8</v>
      </c>
      <c r="Q57" s="1">
        <f ca="1">IFERROR(__xludf.DUMMYFUNCTION("""COMPUTED_VALUE"""),40)</f>
        <v>40</v>
      </c>
      <c r="R57" s="1">
        <f ca="1">IFERROR(__xludf.DUMMYFUNCTION("""COMPUTED_VALUE"""),99.8)</f>
        <v>99.8</v>
      </c>
      <c r="S57" s="1">
        <f ca="1">IFERROR(__xludf.DUMMYFUNCTION("""COMPUTED_VALUE"""),18)</f>
        <v>18</v>
      </c>
      <c r="T57" s="1" t="str">
        <f ca="1">IFERROR(__xludf.DUMMYFUNCTION("""COMPUTED_VALUE"""),"+3.61")</f>
        <v>+3.61</v>
      </c>
      <c r="U57" s="1">
        <f ca="1">IFERROR(__xludf.DUMMYFUNCTION("""COMPUTED_VALUE"""),74)</f>
        <v>74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IFERROR(__xludf.DUMMYFUNCTION("""COMPUTED_VALUE"""),"LSU")</f>
        <v>LSU</v>
      </c>
      <c r="C58" s="1" t="str">
        <f ca="1">IFERROR(__xludf.DUMMYFUNCTION("""COMPUTED_VALUE"""),"SEC")</f>
        <v>SEC</v>
      </c>
      <c r="D58" s="1" t="str">
        <f ca="1">IFERROR(__xludf.DUMMYFUNCTION("""COMPUTED_VALUE"""),"17-15")</f>
        <v>17-15</v>
      </c>
      <c r="E58" s="1" t="str">
        <f ca="1">IFERROR(__xludf.DUMMYFUNCTION("""COMPUTED_VALUE"""),"+14.35")</f>
        <v>+14.35</v>
      </c>
      <c r="F58" s="1">
        <f ca="1">IFERROR(__xludf.DUMMYFUNCTION("""COMPUTED_VALUE"""),107.8)</f>
        <v>107.8</v>
      </c>
      <c r="G58" s="1">
        <f ca="1">IFERROR(__xludf.DUMMYFUNCTION("""COMPUTED_VALUE"""),106)</f>
        <v>106</v>
      </c>
      <c r="H58" s="1">
        <f ca="1">IFERROR(__xludf.DUMMYFUNCTION("""COMPUTED_VALUE"""),93.5)</f>
        <v>93.5</v>
      </c>
      <c r="I58" s="1">
        <f ca="1">IFERROR(__xludf.DUMMYFUNCTION("""COMPUTED_VALUE"""),20)</f>
        <v>20</v>
      </c>
      <c r="J58" s="1">
        <f ca="1">IFERROR(__xludf.DUMMYFUNCTION("""COMPUTED_VALUE"""),63.1)</f>
        <v>63.1</v>
      </c>
      <c r="K58" s="1">
        <f ca="1">IFERROR(__xludf.DUMMYFUNCTION("""COMPUTED_VALUE"""),275)</f>
        <v>275</v>
      </c>
      <c r="L58" s="1">
        <f ca="1">IFERROR(__xludf.DUMMYFUNCTION("""COMPUTED_VALUE"""),-0.096)</f>
        <v>-9.6000000000000002E-2</v>
      </c>
      <c r="M58" s="1">
        <f ca="1">IFERROR(__xludf.DUMMYFUNCTION("""COMPUTED_VALUE"""),327)</f>
        <v>327</v>
      </c>
      <c r="N58" s="1" t="str">
        <f ca="1">IFERROR(__xludf.DUMMYFUNCTION("""COMPUTED_VALUE"""),"+8.55")</f>
        <v>+8.55</v>
      </c>
      <c r="O58" s="1">
        <f ca="1">IFERROR(__xludf.DUMMYFUNCTION("""COMPUTED_VALUE"""),35)</f>
        <v>35</v>
      </c>
      <c r="P58" s="1">
        <f ca="1">IFERROR(__xludf.DUMMYFUNCTION("""COMPUTED_VALUE"""),109.1)</f>
        <v>109.1</v>
      </c>
      <c r="Q58" s="1">
        <f ca="1">IFERROR(__xludf.DUMMYFUNCTION("""COMPUTED_VALUE"""),34)</f>
        <v>34</v>
      </c>
      <c r="R58" s="1">
        <f ca="1">IFERROR(__xludf.DUMMYFUNCTION("""COMPUTED_VALUE"""),100.5)</f>
        <v>100.5</v>
      </c>
      <c r="S58" s="1">
        <f ca="1">IFERROR(__xludf.DUMMYFUNCTION("""COMPUTED_VALUE"""),43)</f>
        <v>43</v>
      </c>
      <c r="T58" s="1">
        <f ca="1">IFERROR(__xludf.DUMMYFUNCTION("""COMPUTED_VALUE"""),-1.46)</f>
        <v>-1.46</v>
      </c>
      <c r="U58" s="1">
        <f ca="1">IFERROR(__xludf.DUMMYFUNCTION("""COMPUTED_VALUE"""),183)</f>
        <v>183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IFERROR(__xludf.DUMMYFUNCTION("""COMPUTED_VALUE"""),"Georgia4")</f>
        <v>Georgia4</v>
      </c>
      <c r="C59" s="1" t="str">
        <f ca="1">IFERROR(__xludf.DUMMYFUNCTION("""COMPUTED_VALUE"""),"SEC")</f>
        <v>SEC</v>
      </c>
      <c r="D59" s="1" t="str">
        <f ca="1">IFERROR(__xludf.DUMMYFUNCTION("""COMPUTED_VALUE"""),"19-14")</f>
        <v>19-14</v>
      </c>
      <c r="E59" s="1" t="str">
        <f ca="1">IFERROR(__xludf.DUMMYFUNCTION("""COMPUTED_VALUE"""),"+14.30")</f>
        <v>+14.30</v>
      </c>
      <c r="F59" s="1">
        <f ca="1">IFERROR(__xludf.DUMMYFUNCTION("""COMPUTED_VALUE"""),111)</f>
        <v>111</v>
      </c>
      <c r="G59" s="1">
        <f ca="1">IFERROR(__xludf.DUMMYFUNCTION("""COMPUTED_VALUE"""),71)</f>
        <v>71</v>
      </c>
      <c r="H59" s="1">
        <f ca="1">IFERROR(__xludf.DUMMYFUNCTION("""COMPUTED_VALUE"""),96.7)</f>
        <v>96.7</v>
      </c>
      <c r="I59" s="1">
        <f ca="1">IFERROR(__xludf.DUMMYFUNCTION("""COMPUTED_VALUE"""),49)</f>
        <v>49</v>
      </c>
      <c r="J59" s="1">
        <f ca="1">IFERROR(__xludf.DUMMYFUNCTION("""COMPUTED_VALUE"""),67.4)</f>
        <v>67.400000000000006</v>
      </c>
      <c r="K59" s="1">
        <f ca="1">IFERROR(__xludf.DUMMYFUNCTION("""COMPUTED_VALUE"""),101)</f>
        <v>101</v>
      </c>
      <c r="L59" s="1">
        <f ca="1">IFERROR(__xludf.DUMMYFUNCTION("""COMPUTED_VALUE"""),-0.031)</f>
        <v>-3.1E-2</v>
      </c>
      <c r="M59" s="1">
        <f ca="1">IFERROR(__xludf.DUMMYFUNCTION("""COMPUTED_VALUE"""),257)</f>
        <v>257</v>
      </c>
      <c r="N59" s="1" t="str">
        <f ca="1">IFERROR(__xludf.DUMMYFUNCTION("""COMPUTED_VALUE"""),"+10.49")</f>
        <v>+10.49</v>
      </c>
      <c r="O59" s="1">
        <f ca="1">IFERROR(__xludf.DUMMYFUNCTION("""COMPUTED_VALUE"""),8)</f>
        <v>8</v>
      </c>
      <c r="P59" s="1">
        <f ca="1">IFERROR(__xludf.DUMMYFUNCTION("""COMPUTED_VALUE"""),110.2)</f>
        <v>110.2</v>
      </c>
      <c r="Q59" s="1">
        <f ca="1">IFERROR(__xludf.DUMMYFUNCTION("""COMPUTED_VALUE"""),12)</f>
        <v>12</v>
      </c>
      <c r="R59" s="1">
        <f ca="1">IFERROR(__xludf.DUMMYFUNCTION("""COMPUTED_VALUE"""),99.7)</f>
        <v>99.7</v>
      </c>
      <c r="S59" s="1">
        <f ca="1">IFERROR(__xludf.DUMMYFUNCTION("""COMPUTED_VALUE"""),13)</f>
        <v>13</v>
      </c>
      <c r="T59" s="1">
        <f ca="1">IFERROR(__xludf.DUMMYFUNCTION("""COMPUTED_VALUE"""),-3.46)</f>
        <v>-3.46</v>
      </c>
      <c r="U59" s="1">
        <f ca="1">IFERROR(__xludf.DUMMYFUNCTION("""COMPUTED_VALUE"""),239)</f>
        <v>239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IFERROR(__xludf.DUMMYFUNCTION("""COMPUTED_VALUE"""),"Connecticut")</f>
        <v>Connecticut</v>
      </c>
      <c r="C60" s="1" t="str">
        <f ca="1">IFERROR(__xludf.DUMMYFUNCTION("""COMPUTED_VALUE"""),"BE")</f>
        <v>BE</v>
      </c>
      <c r="D60" s="1" t="str">
        <f ca="1">IFERROR(__xludf.DUMMYFUNCTION("""COMPUTED_VALUE"""),"17-14")</f>
        <v>17-14</v>
      </c>
      <c r="E60" s="1" t="str">
        <f ca="1">IFERROR(__xludf.DUMMYFUNCTION("""COMPUTED_VALUE"""),"+13.78")</f>
        <v>+13.78</v>
      </c>
      <c r="F60" s="1">
        <f ca="1">IFERROR(__xludf.DUMMYFUNCTION("""COMPUTED_VALUE"""),104)</f>
        <v>104</v>
      </c>
      <c r="G60" s="1">
        <f ca="1">IFERROR(__xludf.DUMMYFUNCTION("""COMPUTED_VALUE"""),171)</f>
        <v>171</v>
      </c>
      <c r="H60" s="1">
        <f ca="1">IFERROR(__xludf.DUMMYFUNCTION("""COMPUTED_VALUE"""),90.2)</f>
        <v>90.2</v>
      </c>
      <c r="I60" s="1">
        <f ca="1">IFERROR(__xludf.DUMMYFUNCTION("""COMPUTED_VALUE"""),9)</f>
        <v>9</v>
      </c>
      <c r="J60" s="1">
        <f ca="1">IFERROR(__xludf.DUMMYFUNCTION("""COMPUTED_VALUE"""),68.4)</f>
        <v>68.400000000000006</v>
      </c>
      <c r="K60" s="1">
        <f ca="1">IFERROR(__xludf.DUMMYFUNCTION("""COMPUTED_VALUE"""),69)</f>
        <v>69</v>
      </c>
      <c r="L60" s="1">
        <f ca="1">IFERROR(__xludf.DUMMYFUNCTION("""COMPUTED_VALUE"""),-0.11)</f>
        <v>-0.11</v>
      </c>
      <c r="M60" s="1">
        <f ca="1">IFERROR(__xludf.DUMMYFUNCTION("""COMPUTED_VALUE"""),332)</f>
        <v>332</v>
      </c>
      <c r="N60" s="1" t="str">
        <f ca="1">IFERROR(__xludf.DUMMYFUNCTION("""COMPUTED_VALUE"""),"+5.20")</f>
        <v>+5.20</v>
      </c>
      <c r="O60" s="1">
        <f ca="1">IFERROR(__xludf.DUMMYFUNCTION("""COMPUTED_VALUE"""),82)</f>
        <v>82</v>
      </c>
      <c r="P60" s="1">
        <f ca="1">IFERROR(__xludf.DUMMYFUNCTION("""COMPUTED_VALUE"""),106.9)</f>
        <v>106.9</v>
      </c>
      <c r="Q60" s="1">
        <f ca="1">IFERROR(__xludf.DUMMYFUNCTION("""COMPUTED_VALUE"""),81)</f>
        <v>81</v>
      </c>
      <c r="R60" s="1">
        <f ca="1">IFERROR(__xludf.DUMMYFUNCTION("""COMPUTED_VALUE"""),101.7)</f>
        <v>101.7</v>
      </c>
      <c r="S60" s="1">
        <f ca="1">IFERROR(__xludf.DUMMYFUNCTION("""COMPUTED_VALUE"""),76)</f>
        <v>76</v>
      </c>
      <c r="T60" s="1">
        <f ca="1">IFERROR(__xludf.DUMMYFUNCTION("""COMPUTED_VALUE"""),-5.45)</f>
        <v>-5.45</v>
      </c>
      <c r="U60" s="1">
        <f ca="1">IFERROR(__xludf.DUMMYFUNCTION("""COMPUTED_VALUE"""),288)</f>
        <v>288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IFERROR(__xludf.DUMMYFUNCTION("""COMPUTED_VALUE"""),"Kansas St.2")</f>
        <v>Kansas St.2</v>
      </c>
      <c r="C61" s="1" t="str">
        <f ca="1">IFERROR(__xludf.DUMMYFUNCTION("""COMPUTED_VALUE"""),"B12")</f>
        <v>B12</v>
      </c>
      <c r="D61" s="1" t="str">
        <f ca="1">IFERROR(__xludf.DUMMYFUNCTION("""COMPUTED_VALUE"""),"23-12")</f>
        <v>23-12</v>
      </c>
      <c r="E61" s="1" t="str">
        <f ca="1">IFERROR(__xludf.DUMMYFUNCTION("""COMPUTED_VALUE"""),"+13.71")</f>
        <v>+13.71</v>
      </c>
      <c r="F61" s="1">
        <f ca="1">IFERROR(__xludf.DUMMYFUNCTION("""COMPUTED_VALUE"""),109.3)</f>
        <v>109.3</v>
      </c>
      <c r="G61" s="1">
        <f ca="1">IFERROR(__xludf.DUMMYFUNCTION("""COMPUTED_VALUE"""),91)</f>
        <v>91</v>
      </c>
      <c r="H61" s="1">
        <f ca="1">IFERROR(__xludf.DUMMYFUNCTION("""COMPUTED_VALUE"""),95.6)</f>
        <v>95.6</v>
      </c>
      <c r="I61" s="1">
        <f ca="1">IFERROR(__xludf.DUMMYFUNCTION("""COMPUTED_VALUE"""),38)</f>
        <v>38</v>
      </c>
      <c r="J61" s="1">
        <f ca="1">IFERROR(__xludf.DUMMYFUNCTION("""COMPUTED_VALUE"""),65.8)</f>
        <v>65.8</v>
      </c>
      <c r="K61" s="1">
        <f ca="1">IFERROR(__xludf.DUMMYFUNCTION("""COMPUTED_VALUE"""),169)</f>
        <v>169</v>
      </c>
      <c r="L61" s="1" t="str">
        <f ca="1">IFERROR(__xludf.DUMMYFUNCTION("""COMPUTED_VALUE"""),"+.026")</f>
        <v>+.026</v>
      </c>
      <c r="M61" s="1">
        <f ca="1">IFERROR(__xludf.DUMMYFUNCTION("""COMPUTED_VALUE"""),117)</f>
        <v>117</v>
      </c>
      <c r="N61" s="1" t="str">
        <f ca="1">IFERROR(__xludf.DUMMYFUNCTION("""COMPUTED_VALUE"""),"+5.58")</f>
        <v>+5.58</v>
      </c>
      <c r="O61" s="1">
        <f ca="1">IFERROR(__xludf.DUMMYFUNCTION("""COMPUTED_VALUE"""),76)</f>
        <v>76</v>
      </c>
      <c r="P61" s="1">
        <f ca="1">IFERROR(__xludf.DUMMYFUNCTION("""COMPUTED_VALUE"""),107.5)</f>
        <v>107.5</v>
      </c>
      <c r="Q61" s="1">
        <f ca="1">IFERROR(__xludf.DUMMYFUNCTION("""COMPUTED_VALUE"""),70)</f>
        <v>70</v>
      </c>
      <c r="R61" s="1">
        <f ca="1">IFERROR(__xludf.DUMMYFUNCTION("""COMPUTED_VALUE"""),101.9)</f>
        <v>101.9</v>
      </c>
      <c r="S61" s="1">
        <f ca="1">IFERROR(__xludf.DUMMYFUNCTION("""COMPUTED_VALUE"""),87)</f>
        <v>87</v>
      </c>
      <c r="T61" s="1">
        <f ca="1">IFERROR(__xludf.DUMMYFUNCTION("""COMPUTED_VALUE"""),-1.68)</f>
        <v>-1.68</v>
      </c>
      <c r="U61" s="1">
        <f ca="1">IFERROR(__xludf.DUMMYFUNCTION("""COMPUTED_VALUE"""),190)</f>
        <v>190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IFERROR(__xludf.DUMMYFUNCTION("""COMPUTED_VALUE"""),"Oklahoma")</f>
        <v>Oklahoma</v>
      </c>
      <c r="C62" s="1" t="str">
        <f ca="1">IFERROR(__xludf.DUMMYFUNCTION("""COMPUTED_VALUE"""),"B12")</f>
        <v>B12</v>
      </c>
      <c r="D62" s="1" t="str">
        <f ca="1">IFERROR(__xludf.DUMMYFUNCTION("""COMPUTED_VALUE"""),"16-15")</f>
        <v>16-15</v>
      </c>
      <c r="E62" s="1" t="str">
        <f ca="1">IFERROR(__xludf.DUMMYFUNCTION("""COMPUTED_VALUE"""),"+13.68")</f>
        <v>+13.68</v>
      </c>
      <c r="F62" s="1">
        <f ca="1">IFERROR(__xludf.DUMMYFUNCTION("""COMPUTED_VALUE"""),107.4)</f>
        <v>107.4</v>
      </c>
      <c r="G62" s="1">
        <f ca="1">IFERROR(__xludf.DUMMYFUNCTION("""COMPUTED_VALUE"""),112)</f>
        <v>112</v>
      </c>
      <c r="H62" s="1">
        <f ca="1">IFERROR(__xludf.DUMMYFUNCTION("""COMPUTED_VALUE"""),93.8)</f>
        <v>93.8</v>
      </c>
      <c r="I62" s="1">
        <f ca="1">IFERROR(__xludf.DUMMYFUNCTION("""COMPUTED_VALUE"""),22)</f>
        <v>22</v>
      </c>
      <c r="J62" s="1">
        <f ca="1">IFERROR(__xludf.DUMMYFUNCTION("""COMPUTED_VALUE"""),62.8)</f>
        <v>62.8</v>
      </c>
      <c r="K62" s="1">
        <f ca="1">IFERROR(__xludf.DUMMYFUNCTION("""COMPUTED_VALUE"""),287)</f>
        <v>287</v>
      </c>
      <c r="L62" s="1">
        <f ca="1">IFERROR(__xludf.DUMMYFUNCTION("""COMPUTED_VALUE"""),-0.133)</f>
        <v>-0.13300000000000001</v>
      </c>
      <c r="M62" s="1">
        <f ca="1">IFERROR(__xludf.DUMMYFUNCTION("""COMPUTED_VALUE"""),335)</f>
        <v>335</v>
      </c>
      <c r="N62" s="1" t="str">
        <f ca="1">IFERROR(__xludf.DUMMYFUNCTION("""COMPUTED_VALUE"""),"+6.72")</f>
        <v>+6.72</v>
      </c>
      <c r="O62" s="1">
        <f ca="1">IFERROR(__xludf.DUMMYFUNCTION("""COMPUTED_VALUE"""),62)</f>
        <v>62</v>
      </c>
      <c r="P62" s="1">
        <f ca="1">IFERROR(__xludf.DUMMYFUNCTION("""COMPUTED_VALUE"""),107.5)</f>
        <v>107.5</v>
      </c>
      <c r="Q62" s="1">
        <f ca="1">IFERROR(__xludf.DUMMYFUNCTION("""COMPUTED_VALUE"""),67)</f>
        <v>67</v>
      </c>
      <c r="R62" s="1">
        <f ca="1">IFERROR(__xludf.DUMMYFUNCTION("""COMPUTED_VALUE"""),100.8)</f>
        <v>100.8</v>
      </c>
      <c r="S62" s="1">
        <f ca="1">IFERROR(__xludf.DUMMYFUNCTION("""COMPUTED_VALUE"""),52)</f>
        <v>52</v>
      </c>
      <c r="T62" s="1">
        <f ca="1">IFERROR(__xludf.DUMMYFUNCTION("""COMPUTED_VALUE"""),-4.67)</f>
        <v>-4.67</v>
      </c>
      <c r="U62" s="1">
        <f ca="1">IFERROR(__xludf.DUMMYFUNCTION("""COMPUTED_VALUE"""),269)</f>
        <v>269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IFERROR(__xludf.DUMMYFUNCTION("""COMPUTED_VALUE"""),"Michigan3")</f>
        <v>Michigan3</v>
      </c>
      <c r="C63" s="1" t="str">
        <f ca="1">IFERROR(__xludf.DUMMYFUNCTION("""COMPUTED_VALUE"""),"B10")</f>
        <v>B10</v>
      </c>
      <c r="D63" s="1" t="str">
        <f ca="1">IFERROR(__xludf.DUMMYFUNCTION("""COMPUTED_VALUE"""),"22-13")</f>
        <v>22-13</v>
      </c>
      <c r="E63" s="1" t="str">
        <f ca="1">IFERROR(__xludf.DUMMYFUNCTION("""COMPUTED_VALUE"""),"+13.53")</f>
        <v>+13.53</v>
      </c>
      <c r="F63" s="1">
        <f ca="1">IFERROR(__xludf.DUMMYFUNCTION("""COMPUTED_VALUE"""),108.9)</f>
        <v>108.9</v>
      </c>
      <c r="G63" s="1">
        <f ca="1">IFERROR(__xludf.DUMMYFUNCTION("""COMPUTED_VALUE"""),98)</f>
        <v>98</v>
      </c>
      <c r="H63" s="1">
        <f ca="1">IFERROR(__xludf.DUMMYFUNCTION("""COMPUTED_VALUE"""),95.3)</f>
        <v>95.3</v>
      </c>
      <c r="I63" s="1">
        <f ca="1">IFERROR(__xludf.DUMMYFUNCTION("""COMPUTED_VALUE"""),37)</f>
        <v>37</v>
      </c>
      <c r="J63" s="1">
        <f ca="1">IFERROR(__xludf.DUMMYFUNCTION("""COMPUTED_VALUE"""),63.1)</f>
        <v>63.1</v>
      </c>
      <c r="K63" s="1">
        <f ca="1">IFERROR(__xludf.DUMMYFUNCTION("""COMPUTED_VALUE"""),274)</f>
        <v>274</v>
      </c>
      <c r="L63" s="1" t="str">
        <f ca="1">IFERROR(__xludf.DUMMYFUNCTION("""COMPUTED_VALUE"""),"+.037")</f>
        <v>+.037</v>
      </c>
      <c r="M63" s="1">
        <f ca="1">IFERROR(__xludf.DUMMYFUNCTION("""COMPUTED_VALUE"""),83)</f>
        <v>83</v>
      </c>
      <c r="N63" s="1" t="str">
        <f ca="1">IFERROR(__xludf.DUMMYFUNCTION("""COMPUTED_VALUE"""),"+7.14")</f>
        <v>+7.14</v>
      </c>
      <c r="O63" s="1">
        <f ca="1">IFERROR(__xludf.DUMMYFUNCTION("""COMPUTED_VALUE"""),56)</f>
        <v>56</v>
      </c>
      <c r="P63" s="1">
        <f ca="1">IFERROR(__xludf.DUMMYFUNCTION("""COMPUTED_VALUE"""),107.8)</f>
        <v>107.8</v>
      </c>
      <c r="Q63" s="1">
        <f ca="1">IFERROR(__xludf.DUMMYFUNCTION("""COMPUTED_VALUE"""),62)</f>
        <v>62</v>
      </c>
      <c r="R63" s="1">
        <f ca="1">IFERROR(__xludf.DUMMYFUNCTION("""COMPUTED_VALUE"""),100.6)</f>
        <v>100.6</v>
      </c>
      <c r="S63" s="1">
        <f ca="1">IFERROR(__xludf.DUMMYFUNCTION("""COMPUTED_VALUE"""),50)</f>
        <v>50</v>
      </c>
      <c r="T63" s="1">
        <f ca="1">IFERROR(__xludf.DUMMYFUNCTION("""COMPUTED_VALUE"""),-4.86)</f>
        <v>-4.8600000000000003</v>
      </c>
      <c r="U63" s="1">
        <f ca="1">IFERROR(__xludf.DUMMYFUNCTION("""COMPUTED_VALUE"""),277)</f>
        <v>277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IFERROR(__xludf.DUMMYFUNCTION("""COMPUTED_VALUE"""),"Mississippi4")</f>
        <v>Mississippi4</v>
      </c>
      <c r="C64" s="1" t="str">
        <f ca="1">IFERROR(__xludf.DUMMYFUNCTION("""COMPUTED_VALUE"""),"SEC")</f>
        <v>SEC</v>
      </c>
      <c r="D64" s="1" t="str">
        <f ca="1">IFERROR(__xludf.DUMMYFUNCTION("""COMPUTED_VALUE"""),"21-13")</f>
        <v>21-13</v>
      </c>
      <c r="E64" s="1" t="str">
        <f ca="1">IFERROR(__xludf.DUMMYFUNCTION("""COMPUTED_VALUE"""),"+13.49")</f>
        <v>+13.49</v>
      </c>
      <c r="F64" s="1">
        <f ca="1">IFERROR(__xludf.DUMMYFUNCTION("""COMPUTED_VALUE"""),112.7)</f>
        <v>112.7</v>
      </c>
      <c r="G64" s="1">
        <f ca="1">IFERROR(__xludf.DUMMYFUNCTION("""COMPUTED_VALUE"""),50)</f>
        <v>50</v>
      </c>
      <c r="H64" s="1">
        <f ca="1">IFERROR(__xludf.DUMMYFUNCTION("""COMPUTED_VALUE"""),99.2)</f>
        <v>99.2</v>
      </c>
      <c r="I64" s="1">
        <f ca="1">IFERROR(__xludf.DUMMYFUNCTION("""COMPUTED_VALUE"""),77)</f>
        <v>77</v>
      </c>
      <c r="J64" s="1">
        <f ca="1">IFERROR(__xludf.DUMMYFUNCTION("""COMPUTED_VALUE"""),67.2)</f>
        <v>67.2</v>
      </c>
      <c r="K64" s="1">
        <f ca="1">IFERROR(__xludf.DUMMYFUNCTION("""COMPUTED_VALUE"""),110)</f>
        <v>110</v>
      </c>
      <c r="L64" s="1" t="str">
        <f ca="1">IFERROR(__xludf.DUMMYFUNCTION("""COMPUTED_VALUE"""),"+.017")</f>
        <v>+.017</v>
      </c>
      <c r="M64" s="1">
        <f ca="1">IFERROR(__xludf.DUMMYFUNCTION("""COMPUTED_VALUE"""),141)</f>
        <v>141</v>
      </c>
      <c r="N64" s="1" t="str">
        <f ca="1">IFERROR(__xludf.DUMMYFUNCTION("""COMPUTED_VALUE"""),"+7.75")</f>
        <v>+7.75</v>
      </c>
      <c r="O64" s="1">
        <f ca="1">IFERROR(__xludf.DUMMYFUNCTION("""COMPUTED_VALUE"""),48)</f>
        <v>48</v>
      </c>
      <c r="P64" s="1">
        <f ca="1">IFERROR(__xludf.DUMMYFUNCTION("""COMPUTED_VALUE"""),108.1)</f>
        <v>108.1</v>
      </c>
      <c r="Q64" s="1">
        <f ca="1">IFERROR(__xludf.DUMMYFUNCTION("""COMPUTED_VALUE"""),56)</f>
        <v>56</v>
      </c>
      <c r="R64" s="1">
        <f ca="1">IFERROR(__xludf.DUMMYFUNCTION("""COMPUTED_VALUE"""),100.3)</f>
        <v>100.3</v>
      </c>
      <c r="S64" s="1">
        <f ca="1">IFERROR(__xludf.DUMMYFUNCTION("""COMPUTED_VALUE"""),36)</f>
        <v>36</v>
      </c>
      <c r="T64" s="1">
        <f ca="1">IFERROR(__xludf.DUMMYFUNCTION("""COMPUTED_VALUE"""),-6.63)</f>
        <v>-6.63</v>
      </c>
      <c r="U64" s="1">
        <f ca="1">IFERROR(__xludf.DUMMYFUNCTION("""COMPUTED_VALUE"""),308)</f>
        <v>308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IFERROR(__xludf.DUMMYFUNCTION("""COMPUTED_VALUE"""),"Davidson13")</f>
        <v>Davidson13</v>
      </c>
      <c r="C65" s="1" t="str">
        <f ca="1">IFERROR(__xludf.DUMMYFUNCTION("""COMPUTED_VALUE"""),"SC")</f>
        <v>SC</v>
      </c>
      <c r="D65" s="1" t="str">
        <f ca="1">IFERROR(__xludf.DUMMYFUNCTION("""COMPUTED_VALUE"""),"29-5")</f>
        <v>29-5</v>
      </c>
      <c r="E65" s="1" t="str">
        <f ca="1">IFERROR(__xludf.DUMMYFUNCTION("""COMPUTED_VALUE"""),"+13.32")</f>
        <v>+13.32</v>
      </c>
      <c r="F65" s="1">
        <f ca="1">IFERROR(__xludf.DUMMYFUNCTION("""COMPUTED_VALUE"""),111.8)</f>
        <v>111.8</v>
      </c>
      <c r="G65" s="1">
        <f ca="1">IFERROR(__xludf.DUMMYFUNCTION("""COMPUTED_VALUE"""),61)</f>
        <v>61</v>
      </c>
      <c r="H65" s="1">
        <f ca="1">IFERROR(__xludf.DUMMYFUNCTION("""COMPUTED_VALUE"""),98.5)</f>
        <v>98.5</v>
      </c>
      <c r="I65" s="1">
        <f ca="1">IFERROR(__xludf.DUMMYFUNCTION("""COMPUTED_VALUE"""),66)</f>
        <v>66</v>
      </c>
      <c r="J65" s="1">
        <f ca="1">IFERROR(__xludf.DUMMYFUNCTION("""COMPUTED_VALUE"""),71.9)</f>
        <v>71.900000000000006</v>
      </c>
      <c r="K65" s="1">
        <f ca="1">IFERROR(__xludf.DUMMYFUNCTION("""COMPUTED_VALUE"""),14)</f>
        <v>14</v>
      </c>
      <c r="L65" s="1" t="str">
        <f ca="1">IFERROR(__xludf.DUMMYFUNCTION("""COMPUTED_VALUE"""),"+.067")</f>
        <v>+.067</v>
      </c>
      <c r="M65" s="1">
        <f ca="1">IFERROR(__xludf.DUMMYFUNCTION("""COMPUTED_VALUE"""),33)</f>
        <v>33</v>
      </c>
      <c r="N65" s="1">
        <f ca="1">IFERROR(__xludf.DUMMYFUNCTION("""COMPUTED_VALUE"""),-1.7)</f>
        <v>-1.7</v>
      </c>
      <c r="O65" s="1">
        <f ca="1">IFERROR(__xludf.DUMMYFUNCTION("""COMPUTED_VALUE"""),182)</f>
        <v>182</v>
      </c>
      <c r="P65" s="1">
        <f ca="1">IFERROR(__xludf.DUMMYFUNCTION("""COMPUTED_VALUE"""),103.2)</f>
        <v>103.2</v>
      </c>
      <c r="Q65" s="1">
        <f ca="1">IFERROR(__xludf.DUMMYFUNCTION("""COMPUTED_VALUE"""),193)</f>
        <v>193</v>
      </c>
      <c r="R65" s="1">
        <f ca="1">IFERROR(__xludf.DUMMYFUNCTION("""COMPUTED_VALUE"""),104.9)</f>
        <v>104.9</v>
      </c>
      <c r="S65" s="1">
        <f ca="1">IFERROR(__xludf.DUMMYFUNCTION("""COMPUTED_VALUE"""),168)</f>
        <v>168</v>
      </c>
      <c r="T65" s="1" t="str">
        <f ca="1">IFERROR(__xludf.DUMMYFUNCTION("""COMPUTED_VALUE"""),"+4.64")</f>
        <v>+4.64</v>
      </c>
      <c r="U65" s="1">
        <f ca="1">IFERROR(__xludf.DUMMYFUNCTION("""COMPUTED_VALUE"""),55)</f>
        <v>55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IFERROR(__xludf.DUMMYFUNCTION("""COMPUTED_VALUE"""),"Alabama5")</f>
        <v>Alabama5</v>
      </c>
      <c r="C66" s="1" t="str">
        <f ca="1">IFERROR(__xludf.DUMMYFUNCTION("""COMPUTED_VALUE"""),"SEC")</f>
        <v>SEC</v>
      </c>
      <c r="D66" s="1" t="str">
        <f ca="1">IFERROR(__xludf.DUMMYFUNCTION("""COMPUTED_VALUE"""),"20-12")</f>
        <v>20-12</v>
      </c>
      <c r="E66" s="1" t="str">
        <f ca="1">IFERROR(__xludf.DUMMYFUNCTION("""COMPUTED_VALUE"""),"+13.04")</f>
        <v>+13.04</v>
      </c>
      <c r="F66" s="1">
        <f ca="1">IFERROR(__xludf.DUMMYFUNCTION("""COMPUTED_VALUE"""),114.7)</f>
        <v>114.7</v>
      </c>
      <c r="G66" s="1">
        <f ca="1">IFERROR(__xludf.DUMMYFUNCTION("""COMPUTED_VALUE"""),33)</f>
        <v>33</v>
      </c>
      <c r="H66" s="1">
        <f ca="1">IFERROR(__xludf.DUMMYFUNCTION("""COMPUTED_VALUE"""),101.6)</f>
        <v>101.6</v>
      </c>
      <c r="I66" s="1">
        <f ca="1">IFERROR(__xludf.DUMMYFUNCTION("""COMPUTED_VALUE"""),116)</f>
        <v>116</v>
      </c>
      <c r="J66" s="1">
        <f ca="1">IFERROR(__xludf.DUMMYFUNCTION("""COMPUTED_VALUE"""),65.3)</f>
        <v>65.3</v>
      </c>
      <c r="K66" s="1">
        <f ca="1">IFERROR(__xludf.DUMMYFUNCTION("""COMPUTED_VALUE"""),185)</f>
        <v>185</v>
      </c>
      <c r="L66" s="1" t="str">
        <f ca="1">IFERROR(__xludf.DUMMYFUNCTION("""COMPUTED_VALUE"""),"+.019")</f>
        <v>+.019</v>
      </c>
      <c r="M66" s="1">
        <f ca="1">IFERROR(__xludf.DUMMYFUNCTION("""COMPUTED_VALUE"""),130)</f>
        <v>130</v>
      </c>
      <c r="N66" s="1" t="str">
        <f ca="1">IFERROR(__xludf.DUMMYFUNCTION("""COMPUTED_VALUE"""),"+8.15")</f>
        <v>+8.15</v>
      </c>
      <c r="O66" s="1">
        <f ca="1">IFERROR(__xludf.DUMMYFUNCTION("""COMPUTED_VALUE"""),40)</f>
        <v>40</v>
      </c>
      <c r="P66" s="1">
        <f ca="1">IFERROR(__xludf.DUMMYFUNCTION("""COMPUTED_VALUE"""),108.3)</f>
        <v>108.3</v>
      </c>
      <c r="Q66" s="1">
        <f ca="1">IFERROR(__xludf.DUMMYFUNCTION("""COMPUTED_VALUE"""),47)</f>
        <v>47</v>
      </c>
      <c r="R66" s="1">
        <f ca="1">IFERROR(__xludf.DUMMYFUNCTION("""COMPUTED_VALUE"""),100.2)</f>
        <v>100.2</v>
      </c>
      <c r="S66" s="1">
        <f ca="1">IFERROR(__xludf.DUMMYFUNCTION("""COMPUTED_VALUE"""),31)</f>
        <v>31</v>
      </c>
      <c r="T66" s="1">
        <f ca="1">IFERROR(__xludf.DUMMYFUNCTION("""COMPUTED_VALUE"""),-4.84)</f>
        <v>-4.84</v>
      </c>
      <c r="U66" s="1">
        <f ca="1">IFERROR(__xludf.DUMMYFUNCTION("""COMPUTED_VALUE"""),276)</f>
        <v>276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IFERROR(__xludf.DUMMYFUNCTION("""COMPUTED_VALUE"""),"Missouri")</f>
        <v>Missouri</v>
      </c>
      <c r="C67" s="1" t="str">
        <f ca="1">IFERROR(__xludf.DUMMYFUNCTION("""COMPUTED_VALUE"""),"B12")</f>
        <v>B12</v>
      </c>
      <c r="D67" s="1" t="str">
        <f ca="1">IFERROR(__xludf.DUMMYFUNCTION("""COMPUTED_VALUE"""),"18-12")</f>
        <v>18-12</v>
      </c>
      <c r="E67" s="1" t="str">
        <f ca="1">IFERROR(__xludf.DUMMYFUNCTION("""COMPUTED_VALUE"""),"+12.78")</f>
        <v>+12.78</v>
      </c>
      <c r="F67" s="1">
        <f ca="1">IFERROR(__xludf.DUMMYFUNCTION("""COMPUTED_VALUE"""),111.4)</f>
        <v>111.4</v>
      </c>
      <c r="G67" s="1">
        <f ca="1">IFERROR(__xludf.DUMMYFUNCTION("""COMPUTED_VALUE"""),67)</f>
        <v>67</v>
      </c>
      <c r="H67" s="1">
        <f ca="1">IFERROR(__xludf.DUMMYFUNCTION("""COMPUTED_VALUE"""),98.6)</f>
        <v>98.6</v>
      </c>
      <c r="I67" s="1">
        <f ca="1">IFERROR(__xludf.DUMMYFUNCTION("""COMPUTED_VALUE"""),69)</f>
        <v>69</v>
      </c>
      <c r="J67" s="1">
        <f ca="1">IFERROR(__xludf.DUMMYFUNCTION("""COMPUTED_VALUE"""),72)</f>
        <v>72</v>
      </c>
      <c r="K67" s="1">
        <f ca="1">IFERROR(__xludf.DUMMYFUNCTION("""COMPUTED_VALUE"""),12)</f>
        <v>12</v>
      </c>
      <c r="L67" s="1">
        <f ca="1">IFERROR(__xludf.DUMMYFUNCTION("""COMPUTED_VALUE"""),-0.054)</f>
        <v>-5.3999999999999999E-2</v>
      </c>
      <c r="M67" s="1">
        <f ca="1">IFERROR(__xludf.DUMMYFUNCTION("""COMPUTED_VALUE"""),291)</f>
        <v>291</v>
      </c>
      <c r="N67" s="1" t="str">
        <f ca="1">IFERROR(__xludf.DUMMYFUNCTION("""COMPUTED_VALUE"""),"+4.71")</f>
        <v>+4.71</v>
      </c>
      <c r="O67" s="1">
        <f ca="1">IFERROR(__xludf.DUMMYFUNCTION("""COMPUTED_VALUE"""),86)</f>
        <v>86</v>
      </c>
      <c r="P67" s="1">
        <f ca="1">IFERROR(__xludf.DUMMYFUNCTION("""COMPUTED_VALUE"""),105.7)</f>
        <v>105.7</v>
      </c>
      <c r="Q67" s="1">
        <f ca="1">IFERROR(__xludf.DUMMYFUNCTION("""COMPUTED_VALUE"""),116)</f>
        <v>116</v>
      </c>
      <c r="R67" s="1">
        <f ca="1">IFERROR(__xludf.DUMMYFUNCTION("""COMPUTED_VALUE"""),101)</f>
        <v>101</v>
      </c>
      <c r="S67" s="1">
        <f ca="1">IFERROR(__xludf.DUMMYFUNCTION("""COMPUTED_VALUE"""),61)</f>
        <v>61</v>
      </c>
      <c r="T67" s="1">
        <f ca="1">IFERROR(__xludf.DUMMYFUNCTION("""COMPUTED_VALUE"""),-3.93)</f>
        <v>-3.93</v>
      </c>
      <c r="U67" s="1">
        <f ca="1">IFERROR(__xludf.DUMMYFUNCTION("""COMPUTED_VALUE"""),250)</f>
        <v>250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IFERROR(__xludf.DUMMYFUNCTION("""COMPUTED_VALUE"""),"Old Dominion12")</f>
        <v>Old Dominion12</v>
      </c>
      <c r="C68" s="1" t="str">
        <f ca="1">IFERROR(__xludf.DUMMYFUNCTION("""COMPUTED_VALUE"""),"CAA")</f>
        <v>CAA</v>
      </c>
      <c r="D68" s="1" t="str">
        <f ca="1">IFERROR(__xludf.DUMMYFUNCTION("""COMPUTED_VALUE"""),"24-9")</f>
        <v>24-9</v>
      </c>
      <c r="E68" s="1" t="str">
        <f ca="1">IFERROR(__xludf.DUMMYFUNCTION("""COMPUTED_VALUE"""),"+12.70")</f>
        <v>+12.70</v>
      </c>
      <c r="F68" s="1">
        <f ca="1">IFERROR(__xludf.DUMMYFUNCTION("""COMPUTED_VALUE"""),108.6)</f>
        <v>108.6</v>
      </c>
      <c r="G68" s="1">
        <f ca="1">IFERROR(__xludf.DUMMYFUNCTION("""COMPUTED_VALUE"""),99)</f>
        <v>99</v>
      </c>
      <c r="H68" s="1">
        <f ca="1">IFERROR(__xludf.DUMMYFUNCTION("""COMPUTED_VALUE"""),95.9)</f>
        <v>95.9</v>
      </c>
      <c r="I68" s="1">
        <f ca="1">IFERROR(__xludf.DUMMYFUNCTION("""COMPUTED_VALUE"""),41)</f>
        <v>41</v>
      </c>
      <c r="J68" s="1">
        <f ca="1">IFERROR(__xludf.DUMMYFUNCTION("""COMPUTED_VALUE"""),65.8)</f>
        <v>65.8</v>
      </c>
      <c r="K68" s="1">
        <f ca="1">IFERROR(__xludf.DUMMYFUNCTION("""COMPUTED_VALUE"""),161)</f>
        <v>161</v>
      </c>
      <c r="L68" s="1" t="str">
        <f ca="1">IFERROR(__xludf.DUMMYFUNCTION("""COMPUTED_VALUE"""),"+.013")</f>
        <v>+.013</v>
      </c>
      <c r="M68" s="1">
        <f ca="1">IFERROR(__xludf.DUMMYFUNCTION("""COMPUTED_VALUE"""),153)</f>
        <v>153</v>
      </c>
      <c r="N68" s="1" t="str">
        <f ca="1">IFERROR(__xludf.DUMMYFUNCTION("""COMPUTED_VALUE"""),"+0.84")</f>
        <v>+0.84</v>
      </c>
      <c r="O68" s="1">
        <f ca="1">IFERROR(__xludf.DUMMYFUNCTION("""COMPUTED_VALUE"""),141)</f>
        <v>141</v>
      </c>
      <c r="P68" s="1">
        <f ca="1">IFERROR(__xludf.DUMMYFUNCTION("""COMPUTED_VALUE"""),105.6)</f>
        <v>105.6</v>
      </c>
      <c r="Q68" s="1">
        <f ca="1">IFERROR(__xludf.DUMMYFUNCTION("""COMPUTED_VALUE"""),119)</f>
        <v>119</v>
      </c>
      <c r="R68" s="1">
        <f ca="1">IFERROR(__xludf.DUMMYFUNCTION("""COMPUTED_VALUE"""),104.8)</f>
        <v>104.8</v>
      </c>
      <c r="S68" s="1">
        <f ca="1">IFERROR(__xludf.DUMMYFUNCTION("""COMPUTED_VALUE"""),165)</f>
        <v>165</v>
      </c>
      <c r="T68" s="1" t="str">
        <f ca="1">IFERROR(__xludf.DUMMYFUNCTION("""COMPUTED_VALUE"""),"+0.64")</f>
        <v>+0.64</v>
      </c>
      <c r="U68" s="1">
        <f ca="1">IFERROR(__xludf.DUMMYFUNCTION("""COMPUTED_VALUE"""),140)</f>
        <v>140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IFERROR(__xludf.DUMMYFUNCTION("""COMPUTED_VALUE"""),"Wichita St.")</f>
        <v>Wichita St.</v>
      </c>
      <c r="C69" s="1" t="str">
        <f ca="1">IFERROR(__xludf.DUMMYFUNCTION("""COMPUTED_VALUE"""),"MVC")</f>
        <v>MVC</v>
      </c>
      <c r="D69" s="1" t="str">
        <f ca="1">IFERROR(__xludf.DUMMYFUNCTION("""COMPUTED_VALUE"""),"17-14")</f>
        <v>17-14</v>
      </c>
      <c r="E69" s="1" t="str">
        <f ca="1">IFERROR(__xludf.DUMMYFUNCTION("""COMPUTED_VALUE"""),"+12.42")</f>
        <v>+12.42</v>
      </c>
      <c r="F69" s="1">
        <f ca="1">IFERROR(__xludf.DUMMYFUNCTION("""COMPUTED_VALUE"""),111.1)</f>
        <v>111.1</v>
      </c>
      <c r="G69" s="1">
        <f ca="1">IFERROR(__xludf.DUMMYFUNCTION("""COMPUTED_VALUE"""),70)</f>
        <v>70</v>
      </c>
      <c r="H69" s="1">
        <f ca="1">IFERROR(__xludf.DUMMYFUNCTION("""COMPUTED_VALUE"""),98.7)</f>
        <v>98.7</v>
      </c>
      <c r="I69" s="1">
        <f ca="1">IFERROR(__xludf.DUMMYFUNCTION("""COMPUTED_VALUE"""),73)</f>
        <v>73</v>
      </c>
      <c r="J69" s="1">
        <f ca="1">IFERROR(__xludf.DUMMYFUNCTION("""COMPUTED_VALUE"""),63.4)</f>
        <v>63.4</v>
      </c>
      <c r="K69" s="1">
        <f ca="1">IFERROR(__xludf.DUMMYFUNCTION("""COMPUTED_VALUE"""),263)</f>
        <v>263</v>
      </c>
      <c r="L69" s="1">
        <f ca="1">IFERROR(__xludf.DUMMYFUNCTION("""COMPUTED_VALUE"""),-0.071)</f>
        <v>-7.0999999999999994E-2</v>
      </c>
      <c r="M69" s="1">
        <f ca="1">IFERROR(__xludf.DUMMYFUNCTION("""COMPUTED_VALUE"""),310)</f>
        <v>310</v>
      </c>
      <c r="N69" s="1" t="str">
        <f ca="1">IFERROR(__xludf.DUMMYFUNCTION("""COMPUTED_VALUE"""),"+8.38")</f>
        <v>+8.38</v>
      </c>
      <c r="O69" s="1">
        <f ca="1">IFERROR(__xludf.DUMMYFUNCTION("""COMPUTED_VALUE"""),37)</f>
        <v>37</v>
      </c>
      <c r="P69" s="1">
        <f ca="1">IFERROR(__xludf.DUMMYFUNCTION("""COMPUTED_VALUE"""),109.5)</f>
        <v>109.5</v>
      </c>
      <c r="Q69" s="1">
        <f ca="1">IFERROR(__xludf.DUMMYFUNCTION("""COMPUTED_VALUE"""),23)</f>
        <v>23</v>
      </c>
      <c r="R69" s="1">
        <f ca="1">IFERROR(__xludf.DUMMYFUNCTION("""COMPUTED_VALUE"""),101.1)</f>
        <v>101.1</v>
      </c>
      <c r="S69" s="1">
        <f ca="1">IFERROR(__xludf.DUMMYFUNCTION("""COMPUTED_VALUE"""),62)</f>
        <v>62</v>
      </c>
      <c r="T69" s="1" t="str">
        <f ca="1">IFERROR(__xludf.DUMMYFUNCTION("""COMPUTED_VALUE"""),"+1.66")</f>
        <v>+1.66</v>
      </c>
      <c r="U69" s="1">
        <f ca="1">IFERROR(__xludf.DUMMYFUNCTION("""COMPUTED_VALUE"""),109)</f>
        <v>109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IFERROR(__xludf.DUMMYFUNCTION("""COMPUTED_VALUE"""),"Stanford11")</f>
        <v>Stanford11</v>
      </c>
      <c r="C70" s="1" t="str">
        <f ca="1">IFERROR(__xludf.DUMMYFUNCTION("""COMPUTED_VALUE"""),"P10")</f>
        <v>P10</v>
      </c>
      <c r="D70" s="1" t="str">
        <f ca="1">IFERROR(__xludf.DUMMYFUNCTION("""COMPUTED_VALUE"""),"18-13")</f>
        <v>18-13</v>
      </c>
      <c r="E70" s="1" t="str">
        <f ca="1">IFERROR(__xludf.DUMMYFUNCTION("""COMPUTED_VALUE"""),"+12.37")</f>
        <v>+12.37</v>
      </c>
      <c r="F70" s="1">
        <f ca="1">IFERROR(__xludf.DUMMYFUNCTION("""COMPUTED_VALUE"""),109.7)</f>
        <v>109.7</v>
      </c>
      <c r="G70" s="1">
        <f ca="1">IFERROR(__xludf.DUMMYFUNCTION("""COMPUTED_VALUE"""),86)</f>
        <v>86</v>
      </c>
      <c r="H70" s="1">
        <f ca="1">IFERROR(__xludf.DUMMYFUNCTION("""COMPUTED_VALUE"""),97.3)</f>
        <v>97.3</v>
      </c>
      <c r="I70" s="1">
        <f ca="1">IFERROR(__xludf.DUMMYFUNCTION("""COMPUTED_VALUE"""),52)</f>
        <v>52</v>
      </c>
      <c r="J70" s="1">
        <f ca="1">IFERROR(__xludf.DUMMYFUNCTION("""COMPUTED_VALUE"""),65.9)</f>
        <v>65.900000000000006</v>
      </c>
      <c r="K70" s="1">
        <f ca="1">IFERROR(__xludf.DUMMYFUNCTION("""COMPUTED_VALUE"""),160)</f>
        <v>160</v>
      </c>
      <c r="L70" s="1" t="str">
        <f ca="1">IFERROR(__xludf.DUMMYFUNCTION("""COMPUTED_VALUE"""),"+.028")</f>
        <v>+.028</v>
      </c>
      <c r="M70" s="1">
        <f ca="1">IFERROR(__xludf.DUMMYFUNCTION("""COMPUTED_VALUE"""),112)</f>
        <v>112</v>
      </c>
      <c r="N70" s="1" t="str">
        <f ca="1">IFERROR(__xludf.DUMMYFUNCTION("""COMPUTED_VALUE"""),"+9.50")</f>
        <v>+9.50</v>
      </c>
      <c r="O70" s="1">
        <f ca="1">IFERROR(__xludf.DUMMYFUNCTION("""COMPUTED_VALUE"""),23)</f>
        <v>23</v>
      </c>
      <c r="P70" s="1">
        <f ca="1">IFERROR(__xludf.DUMMYFUNCTION("""COMPUTED_VALUE"""),109.2)</f>
        <v>109.2</v>
      </c>
      <c r="Q70" s="1">
        <f ca="1">IFERROR(__xludf.DUMMYFUNCTION("""COMPUTED_VALUE"""),29)</f>
        <v>29</v>
      </c>
      <c r="R70" s="1">
        <f ca="1">IFERROR(__xludf.DUMMYFUNCTION("""COMPUTED_VALUE"""),99.7)</f>
        <v>99.7</v>
      </c>
      <c r="S70" s="1">
        <f ca="1">IFERROR(__xludf.DUMMYFUNCTION("""COMPUTED_VALUE"""),15)</f>
        <v>15</v>
      </c>
      <c r="T70" s="1">
        <f ca="1">IFERROR(__xludf.DUMMYFUNCTION("""COMPUTED_VALUE"""),-0.33)</f>
        <v>-0.33</v>
      </c>
      <c r="U70" s="1">
        <f ca="1">IFERROR(__xludf.DUMMYFUNCTION("""COMPUTED_VALUE"""),159)</f>
        <v>159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IFERROR(__xludf.DUMMYFUNCTION("""COMPUTED_VALUE"""),"Massachusetts4")</f>
        <v>Massachusetts4</v>
      </c>
      <c r="C71" s="1" t="str">
        <f ca="1">IFERROR(__xludf.DUMMYFUNCTION("""COMPUTED_VALUE"""),"A10")</f>
        <v>A10</v>
      </c>
      <c r="D71" s="1" t="str">
        <f ca="1">IFERROR(__xludf.DUMMYFUNCTION("""COMPUTED_VALUE"""),"24-9")</f>
        <v>24-9</v>
      </c>
      <c r="E71" s="1" t="str">
        <f ca="1">IFERROR(__xludf.DUMMYFUNCTION("""COMPUTED_VALUE"""),"+12.36")</f>
        <v>+12.36</v>
      </c>
      <c r="F71" s="1">
        <f ca="1">IFERROR(__xludf.DUMMYFUNCTION("""COMPUTED_VALUE"""),109.1)</f>
        <v>109.1</v>
      </c>
      <c r="G71" s="1">
        <f ca="1">IFERROR(__xludf.DUMMYFUNCTION("""COMPUTED_VALUE"""),94)</f>
        <v>94</v>
      </c>
      <c r="H71" s="1">
        <f ca="1">IFERROR(__xludf.DUMMYFUNCTION("""COMPUTED_VALUE"""),96.8)</f>
        <v>96.8</v>
      </c>
      <c r="I71" s="1">
        <f ca="1">IFERROR(__xludf.DUMMYFUNCTION("""COMPUTED_VALUE"""),50)</f>
        <v>50</v>
      </c>
      <c r="J71" s="1">
        <f ca="1">IFERROR(__xludf.DUMMYFUNCTION("""COMPUTED_VALUE"""),70.6)</f>
        <v>70.599999999999994</v>
      </c>
      <c r="K71" s="1">
        <f ca="1">IFERROR(__xludf.DUMMYFUNCTION("""COMPUTED_VALUE"""),29)</f>
        <v>29</v>
      </c>
      <c r="L71" s="1" t="str">
        <f ca="1">IFERROR(__xludf.DUMMYFUNCTION("""COMPUTED_VALUE"""),"+.009")</f>
        <v>+.009</v>
      </c>
      <c r="M71" s="1">
        <f ca="1">IFERROR(__xludf.DUMMYFUNCTION("""COMPUTED_VALUE"""),158)</f>
        <v>158</v>
      </c>
      <c r="N71" s="1" t="str">
        <f ca="1">IFERROR(__xludf.DUMMYFUNCTION("""COMPUTED_VALUE"""),"+0.96")</f>
        <v>+0.96</v>
      </c>
      <c r="O71" s="1">
        <f ca="1">IFERROR(__xludf.DUMMYFUNCTION("""COMPUTED_VALUE"""),136)</f>
        <v>136</v>
      </c>
      <c r="P71" s="1">
        <f ca="1">IFERROR(__xludf.DUMMYFUNCTION("""COMPUTED_VALUE"""),106.2)</f>
        <v>106.2</v>
      </c>
      <c r="Q71" s="1">
        <f ca="1">IFERROR(__xludf.DUMMYFUNCTION("""COMPUTED_VALUE"""),100)</f>
        <v>100</v>
      </c>
      <c r="R71" s="1">
        <f ca="1">IFERROR(__xludf.DUMMYFUNCTION("""COMPUTED_VALUE"""),105.3)</f>
        <v>105.3</v>
      </c>
      <c r="S71" s="1">
        <f ca="1">IFERROR(__xludf.DUMMYFUNCTION("""COMPUTED_VALUE"""),177)</f>
        <v>177</v>
      </c>
      <c r="T71" s="1" t="str">
        <f ca="1">IFERROR(__xludf.DUMMYFUNCTION("""COMPUTED_VALUE"""),"+0.17")</f>
        <v>+0.17</v>
      </c>
      <c r="U71" s="1">
        <f ca="1">IFERROR(__xludf.DUMMYFUNCTION("""COMPUTED_VALUE"""),150)</f>
        <v>150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IFERROR(__xludf.DUMMYFUNCTION("""COMPUTED_VALUE"""),"Washington")</f>
        <v>Washington</v>
      </c>
      <c r="C72" s="1" t="str">
        <f ca="1">IFERROR(__xludf.DUMMYFUNCTION("""COMPUTED_VALUE"""),"P10")</f>
        <v>P10</v>
      </c>
      <c r="D72" s="1" t="str">
        <f ca="1">IFERROR(__xludf.DUMMYFUNCTION("""COMPUTED_VALUE"""),"19-13")</f>
        <v>19-13</v>
      </c>
      <c r="E72" s="1" t="str">
        <f ca="1">IFERROR(__xludf.DUMMYFUNCTION("""COMPUTED_VALUE"""),"+12.17")</f>
        <v>+12.17</v>
      </c>
      <c r="F72" s="1">
        <f ca="1">IFERROR(__xludf.DUMMYFUNCTION("""COMPUTED_VALUE"""),113.2)</f>
        <v>113.2</v>
      </c>
      <c r="G72" s="1">
        <f ca="1">IFERROR(__xludf.DUMMYFUNCTION("""COMPUTED_VALUE"""),43)</f>
        <v>43</v>
      </c>
      <c r="H72" s="1">
        <f ca="1">IFERROR(__xludf.DUMMYFUNCTION("""COMPUTED_VALUE"""),101)</f>
        <v>101</v>
      </c>
      <c r="I72" s="1">
        <f ca="1">IFERROR(__xludf.DUMMYFUNCTION("""COMPUTED_VALUE"""),104)</f>
        <v>104</v>
      </c>
      <c r="J72" s="1">
        <f ca="1">IFERROR(__xludf.DUMMYFUNCTION("""COMPUTED_VALUE"""),69.2)</f>
        <v>69.2</v>
      </c>
      <c r="K72" s="1">
        <f ca="1">IFERROR(__xludf.DUMMYFUNCTION("""COMPUTED_VALUE"""),51)</f>
        <v>51</v>
      </c>
      <c r="L72" s="1" t="str">
        <f ca="1">IFERROR(__xludf.DUMMYFUNCTION("""COMPUTED_VALUE"""),"+.018")</f>
        <v>+.018</v>
      </c>
      <c r="M72" s="1">
        <f ca="1">IFERROR(__xludf.DUMMYFUNCTION("""COMPUTED_VALUE"""),134)</f>
        <v>134</v>
      </c>
      <c r="N72" s="1" t="str">
        <f ca="1">IFERROR(__xludf.DUMMYFUNCTION("""COMPUTED_VALUE"""),"+6.92")</f>
        <v>+6.92</v>
      </c>
      <c r="O72" s="1">
        <f ca="1">IFERROR(__xludf.DUMMYFUNCTION("""COMPUTED_VALUE"""),58)</f>
        <v>58</v>
      </c>
      <c r="P72" s="1">
        <f ca="1">IFERROR(__xludf.DUMMYFUNCTION("""COMPUTED_VALUE"""),108.2)</f>
        <v>108.2</v>
      </c>
      <c r="Q72" s="1">
        <f ca="1">IFERROR(__xludf.DUMMYFUNCTION("""COMPUTED_VALUE"""),52)</f>
        <v>52</v>
      </c>
      <c r="R72" s="1">
        <f ca="1">IFERROR(__xludf.DUMMYFUNCTION("""COMPUTED_VALUE"""),101.2)</f>
        <v>101.2</v>
      </c>
      <c r="S72" s="1">
        <f ca="1">IFERROR(__xludf.DUMMYFUNCTION("""COMPUTED_VALUE"""),65)</f>
        <v>65</v>
      </c>
      <c r="T72" s="1">
        <f ca="1">IFERROR(__xludf.DUMMYFUNCTION("""COMPUTED_VALUE"""),-5.49)</f>
        <v>-5.49</v>
      </c>
      <c r="U72" s="1">
        <f ca="1">IFERROR(__xludf.DUMMYFUNCTION("""COMPUTED_VALUE"""),289)</f>
        <v>289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IFERROR(__xludf.DUMMYFUNCTION("""COMPUTED_VALUE"""),"Northern Iowa")</f>
        <v>Northern Iowa</v>
      </c>
      <c r="C73" s="1" t="str">
        <f ca="1">IFERROR(__xludf.DUMMYFUNCTION("""COMPUTED_VALUE"""),"MVC")</f>
        <v>MVC</v>
      </c>
      <c r="D73" s="1" t="str">
        <f ca="1">IFERROR(__xludf.DUMMYFUNCTION("""COMPUTED_VALUE"""),"18-13")</f>
        <v>18-13</v>
      </c>
      <c r="E73" s="1" t="str">
        <f ca="1">IFERROR(__xludf.DUMMYFUNCTION("""COMPUTED_VALUE"""),"+11.43")</f>
        <v>+11.43</v>
      </c>
      <c r="F73" s="1">
        <f ca="1">IFERROR(__xludf.DUMMYFUNCTION("""COMPUTED_VALUE"""),109)</f>
        <v>109</v>
      </c>
      <c r="G73" s="1">
        <f ca="1">IFERROR(__xludf.DUMMYFUNCTION("""COMPUTED_VALUE"""),96)</f>
        <v>96</v>
      </c>
      <c r="H73" s="1">
        <f ca="1">IFERROR(__xludf.DUMMYFUNCTION("""COMPUTED_VALUE"""),97.6)</f>
        <v>97.6</v>
      </c>
      <c r="I73" s="1">
        <f ca="1">IFERROR(__xludf.DUMMYFUNCTION("""COMPUTED_VALUE"""),56)</f>
        <v>56</v>
      </c>
      <c r="J73" s="1">
        <f ca="1">IFERROR(__xludf.DUMMYFUNCTION("""COMPUTED_VALUE"""),61.6)</f>
        <v>61.6</v>
      </c>
      <c r="K73" s="1">
        <f ca="1">IFERROR(__xludf.DUMMYFUNCTION("""COMPUTED_VALUE"""),305)</f>
        <v>305</v>
      </c>
      <c r="L73" s="1">
        <f ca="1">IFERROR(__xludf.DUMMYFUNCTION("""COMPUTED_VALUE"""),-0.014)</f>
        <v>-1.4E-2</v>
      </c>
      <c r="M73" s="1">
        <f ca="1">IFERROR(__xludf.DUMMYFUNCTION("""COMPUTED_VALUE"""),211)</f>
        <v>211</v>
      </c>
      <c r="N73" s="1" t="str">
        <f ca="1">IFERROR(__xludf.DUMMYFUNCTION("""COMPUTED_VALUE"""),"+8.01")</f>
        <v>+8.01</v>
      </c>
      <c r="O73" s="1">
        <f ca="1">IFERROR(__xludf.DUMMYFUNCTION("""COMPUTED_VALUE"""),42)</f>
        <v>42</v>
      </c>
      <c r="P73" s="1">
        <f ca="1">IFERROR(__xludf.DUMMYFUNCTION("""COMPUTED_VALUE"""),109.7)</f>
        <v>109.7</v>
      </c>
      <c r="Q73" s="1">
        <f ca="1">IFERROR(__xludf.DUMMYFUNCTION("""COMPUTED_VALUE"""),16)</f>
        <v>16</v>
      </c>
      <c r="R73" s="1">
        <f ca="1">IFERROR(__xludf.DUMMYFUNCTION("""COMPUTED_VALUE"""),101.7)</f>
        <v>101.7</v>
      </c>
      <c r="S73" s="1">
        <f ca="1">IFERROR(__xludf.DUMMYFUNCTION("""COMPUTED_VALUE"""),75)</f>
        <v>75</v>
      </c>
      <c r="T73" s="1" t="str">
        <f ca="1">IFERROR(__xludf.DUMMYFUNCTION("""COMPUTED_VALUE"""),"+0.69")</f>
        <v>+0.69</v>
      </c>
      <c r="U73" s="1">
        <f ca="1">IFERROR(__xludf.DUMMYFUNCTION("""COMPUTED_VALUE"""),139)</f>
        <v>139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IFERROR(__xludf.DUMMYFUNCTION("""COMPUTED_VALUE"""),"Iowa")</f>
        <v>Iowa</v>
      </c>
      <c r="C74" s="1" t="str">
        <f ca="1">IFERROR(__xludf.DUMMYFUNCTION("""COMPUTED_VALUE"""),"B10")</f>
        <v>B10</v>
      </c>
      <c r="D74" s="1" t="str">
        <f ca="1">IFERROR(__xludf.DUMMYFUNCTION("""COMPUTED_VALUE"""),"17-14")</f>
        <v>17-14</v>
      </c>
      <c r="E74" s="1" t="str">
        <f ca="1">IFERROR(__xludf.DUMMYFUNCTION("""COMPUTED_VALUE"""),"+11.06")</f>
        <v>+11.06</v>
      </c>
      <c r="F74" s="1">
        <f ca="1">IFERROR(__xludf.DUMMYFUNCTION("""COMPUTED_VALUE"""),110.6)</f>
        <v>110.6</v>
      </c>
      <c r="G74" s="1">
        <f ca="1">IFERROR(__xludf.DUMMYFUNCTION("""COMPUTED_VALUE"""),76)</f>
        <v>76</v>
      </c>
      <c r="H74" s="1">
        <f ca="1">IFERROR(__xludf.DUMMYFUNCTION("""COMPUTED_VALUE"""),99.6)</f>
        <v>99.6</v>
      </c>
      <c r="I74" s="1">
        <f ca="1">IFERROR(__xludf.DUMMYFUNCTION("""COMPUTED_VALUE"""),81)</f>
        <v>81</v>
      </c>
      <c r="J74" s="1">
        <f ca="1">IFERROR(__xludf.DUMMYFUNCTION("""COMPUTED_VALUE"""),66.5)</f>
        <v>66.5</v>
      </c>
      <c r="K74" s="1">
        <f ca="1">IFERROR(__xludf.DUMMYFUNCTION("""COMPUTED_VALUE"""),129)</f>
        <v>129</v>
      </c>
      <c r="L74" s="1">
        <f ca="1">IFERROR(__xludf.DUMMYFUNCTION("""COMPUTED_VALUE"""),-0.006)</f>
        <v>-6.0000000000000001E-3</v>
      </c>
      <c r="M74" s="1">
        <f ca="1">IFERROR(__xludf.DUMMYFUNCTION("""COMPUTED_VALUE"""),191)</f>
        <v>191</v>
      </c>
      <c r="N74" s="1" t="str">
        <f ca="1">IFERROR(__xludf.DUMMYFUNCTION("""COMPUTED_VALUE"""),"+7.48")</f>
        <v>+7.48</v>
      </c>
      <c r="O74" s="1">
        <f ca="1">IFERROR(__xludf.DUMMYFUNCTION("""COMPUTED_VALUE"""),52)</f>
        <v>52</v>
      </c>
      <c r="P74" s="1">
        <f ca="1">IFERROR(__xludf.DUMMYFUNCTION("""COMPUTED_VALUE"""),107.2)</f>
        <v>107.2</v>
      </c>
      <c r="Q74" s="1">
        <f ca="1">IFERROR(__xludf.DUMMYFUNCTION("""COMPUTED_VALUE"""),75)</f>
        <v>75</v>
      </c>
      <c r="R74" s="1">
        <f ca="1">IFERROR(__xludf.DUMMYFUNCTION("""COMPUTED_VALUE"""),99.7)</f>
        <v>99.7</v>
      </c>
      <c r="S74" s="1">
        <f ca="1">IFERROR(__xludf.DUMMYFUNCTION("""COMPUTED_VALUE"""),16)</f>
        <v>16</v>
      </c>
      <c r="T74" s="1">
        <f ca="1">IFERROR(__xludf.DUMMYFUNCTION("""COMPUTED_VALUE"""),-2.56)</f>
        <v>-2.56</v>
      </c>
      <c r="U74" s="1">
        <f ca="1">IFERROR(__xludf.DUMMYFUNCTION("""COMPUTED_VALUE"""),214)</f>
        <v>214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IFERROR(__xludf.DUMMYFUNCTION("""COMPUTED_VALUE"""),"Texas Tech10")</f>
        <v>Texas Tech10</v>
      </c>
      <c r="C75" s="1" t="str">
        <f ca="1">IFERROR(__xludf.DUMMYFUNCTION("""COMPUTED_VALUE"""),"B12")</f>
        <v>B12</v>
      </c>
      <c r="D75" s="1" t="str">
        <f ca="1">IFERROR(__xludf.DUMMYFUNCTION("""COMPUTED_VALUE"""),"21-13")</f>
        <v>21-13</v>
      </c>
      <c r="E75" s="1" t="str">
        <f ca="1">IFERROR(__xludf.DUMMYFUNCTION("""COMPUTED_VALUE"""),"+10.98")</f>
        <v>+10.98</v>
      </c>
      <c r="F75" s="1">
        <f ca="1">IFERROR(__xludf.DUMMYFUNCTION("""COMPUTED_VALUE"""),112.2)</f>
        <v>112.2</v>
      </c>
      <c r="G75" s="1">
        <f ca="1">IFERROR(__xludf.DUMMYFUNCTION("""COMPUTED_VALUE"""),57)</f>
        <v>57</v>
      </c>
      <c r="H75" s="1">
        <f ca="1">IFERROR(__xludf.DUMMYFUNCTION("""COMPUTED_VALUE"""),101.3)</f>
        <v>101.3</v>
      </c>
      <c r="I75" s="1">
        <f ca="1">IFERROR(__xludf.DUMMYFUNCTION("""COMPUTED_VALUE"""),110)</f>
        <v>110</v>
      </c>
      <c r="J75" s="1">
        <f ca="1">IFERROR(__xludf.DUMMYFUNCTION("""COMPUTED_VALUE"""),64.9)</f>
        <v>64.900000000000006</v>
      </c>
      <c r="K75" s="1">
        <f ca="1">IFERROR(__xludf.DUMMYFUNCTION("""COMPUTED_VALUE"""),205)</f>
        <v>205</v>
      </c>
      <c r="L75" s="1" t="str">
        <f ca="1">IFERROR(__xludf.DUMMYFUNCTION("""COMPUTED_VALUE"""),"+.056")</f>
        <v>+.056</v>
      </c>
      <c r="M75" s="1">
        <f ca="1">IFERROR(__xludf.DUMMYFUNCTION("""COMPUTED_VALUE"""),47)</f>
        <v>47</v>
      </c>
      <c r="N75" s="1" t="str">
        <f ca="1">IFERROR(__xludf.DUMMYFUNCTION("""COMPUTED_VALUE"""),"+7.79")</f>
        <v>+7.79</v>
      </c>
      <c r="O75" s="1">
        <f ca="1">IFERROR(__xludf.DUMMYFUNCTION("""COMPUTED_VALUE"""),46)</f>
        <v>46</v>
      </c>
      <c r="P75" s="1">
        <f ca="1">IFERROR(__xludf.DUMMYFUNCTION("""COMPUTED_VALUE"""),108.3)</f>
        <v>108.3</v>
      </c>
      <c r="Q75" s="1">
        <f ca="1">IFERROR(__xludf.DUMMYFUNCTION("""COMPUTED_VALUE"""),48)</f>
        <v>48</v>
      </c>
      <c r="R75" s="1">
        <f ca="1">IFERROR(__xludf.DUMMYFUNCTION("""COMPUTED_VALUE"""),100.5)</f>
        <v>100.5</v>
      </c>
      <c r="S75" s="1">
        <f ca="1">IFERROR(__xludf.DUMMYFUNCTION("""COMPUTED_VALUE"""),45)</f>
        <v>45</v>
      </c>
      <c r="T75" s="1" t="str">
        <f ca="1">IFERROR(__xludf.DUMMYFUNCTION("""COMPUTED_VALUE"""),"+2.29")</f>
        <v>+2.29</v>
      </c>
      <c r="U75" s="1">
        <f ca="1">IFERROR(__xludf.DUMMYFUNCTION("""COMPUTED_VALUE"""),94)</f>
        <v>94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IFERROR(__xludf.DUMMYFUNCTION("""COMPUTED_VALUE"""),"Providence5")</f>
        <v>Providence5</v>
      </c>
      <c r="C76" s="1" t="str">
        <f ca="1">IFERROR(__xludf.DUMMYFUNCTION("""COMPUTED_VALUE"""),"BE")</f>
        <v>BE</v>
      </c>
      <c r="D76" s="1" t="str">
        <f ca="1">IFERROR(__xludf.DUMMYFUNCTION("""COMPUTED_VALUE"""),"18-13")</f>
        <v>18-13</v>
      </c>
      <c r="E76" s="1" t="str">
        <f ca="1">IFERROR(__xludf.DUMMYFUNCTION("""COMPUTED_VALUE"""),"+10.93")</f>
        <v>+10.93</v>
      </c>
      <c r="F76" s="1">
        <f ca="1">IFERROR(__xludf.DUMMYFUNCTION("""COMPUTED_VALUE"""),111.8)</f>
        <v>111.8</v>
      </c>
      <c r="G76" s="1">
        <f ca="1">IFERROR(__xludf.DUMMYFUNCTION("""COMPUTED_VALUE"""),63)</f>
        <v>63</v>
      </c>
      <c r="H76" s="1">
        <f ca="1">IFERROR(__xludf.DUMMYFUNCTION("""COMPUTED_VALUE"""),100.8)</f>
        <v>100.8</v>
      </c>
      <c r="I76" s="1">
        <f ca="1">IFERROR(__xludf.DUMMYFUNCTION("""COMPUTED_VALUE"""),100)</f>
        <v>100</v>
      </c>
      <c r="J76" s="1">
        <f ca="1">IFERROR(__xludf.DUMMYFUNCTION("""COMPUTED_VALUE"""),68.6)</f>
        <v>68.599999999999994</v>
      </c>
      <c r="K76" s="1">
        <f ca="1">IFERROR(__xludf.DUMMYFUNCTION("""COMPUTED_VALUE"""),66)</f>
        <v>66</v>
      </c>
      <c r="L76" s="1">
        <f ca="1">IFERROR(__xludf.DUMMYFUNCTION("""COMPUTED_VALUE"""),-0.024)</f>
        <v>-2.4E-2</v>
      </c>
      <c r="M76" s="1">
        <f ca="1">IFERROR(__xludf.DUMMYFUNCTION("""COMPUTED_VALUE"""),241)</f>
        <v>241</v>
      </c>
      <c r="N76" s="1" t="str">
        <f ca="1">IFERROR(__xludf.DUMMYFUNCTION("""COMPUTED_VALUE"""),"+5.39")</f>
        <v>+5.39</v>
      </c>
      <c r="O76" s="1">
        <f ca="1">IFERROR(__xludf.DUMMYFUNCTION("""COMPUTED_VALUE"""),77)</f>
        <v>77</v>
      </c>
      <c r="P76" s="1">
        <f ca="1">IFERROR(__xludf.DUMMYFUNCTION("""COMPUTED_VALUE"""),107.5)</f>
        <v>107.5</v>
      </c>
      <c r="Q76" s="1">
        <f ca="1">IFERROR(__xludf.DUMMYFUNCTION("""COMPUTED_VALUE"""),68)</f>
        <v>68</v>
      </c>
      <c r="R76" s="1">
        <f ca="1">IFERROR(__xludf.DUMMYFUNCTION("""COMPUTED_VALUE"""),102.1)</f>
        <v>102.1</v>
      </c>
      <c r="S76" s="1">
        <f ca="1">IFERROR(__xludf.DUMMYFUNCTION("""COMPUTED_VALUE"""),90)</f>
        <v>90</v>
      </c>
      <c r="T76" s="1">
        <f ca="1">IFERROR(__xludf.DUMMYFUNCTION("""COMPUTED_VALUE"""),-5.62)</f>
        <v>-5.62</v>
      </c>
      <c r="U76" s="1">
        <f ca="1">IFERROR(__xludf.DUMMYFUNCTION("""COMPUTED_VALUE"""),292)</f>
        <v>292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IFERROR(__xludf.DUMMYFUNCTION("""COMPUTED_VALUE"""),"Drexel3")</f>
        <v>Drexel3</v>
      </c>
      <c r="C77" s="1" t="str">
        <f ca="1">IFERROR(__xludf.DUMMYFUNCTION("""COMPUTED_VALUE"""),"CAA")</f>
        <v>CAA</v>
      </c>
      <c r="D77" s="1" t="str">
        <f ca="1">IFERROR(__xludf.DUMMYFUNCTION("""COMPUTED_VALUE"""),"23-9")</f>
        <v>23-9</v>
      </c>
      <c r="E77" s="1" t="str">
        <f ca="1">IFERROR(__xludf.DUMMYFUNCTION("""COMPUTED_VALUE"""),"+10.65")</f>
        <v>+10.65</v>
      </c>
      <c r="F77" s="1">
        <f ca="1">IFERROR(__xludf.DUMMYFUNCTION("""COMPUTED_VALUE"""),103.5)</f>
        <v>103.5</v>
      </c>
      <c r="G77" s="1">
        <f ca="1">IFERROR(__xludf.DUMMYFUNCTION("""COMPUTED_VALUE"""),180)</f>
        <v>180</v>
      </c>
      <c r="H77" s="1">
        <f ca="1">IFERROR(__xludf.DUMMYFUNCTION("""COMPUTED_VALUE"""),92.9)</f>
        <v>92.9</v>
      </c>
      <c r="I77" s="1">
        <f ca="1">IFERROR(__xludf.DUMMYFUNCTION("""COMPUTED_VALUE"""),17)</f>
        <v>17</v>
      </c>
      <c r="J77" s="1">
        <f ca="1">IFERROR(__xludf.DUMMYFUNCTION("""COMPUTED_VALUE"""),64.4)</f>
        <v>64.400000000000006</v>
      </c>
      <c r="K77" s="1">
        <f ca="1">IFERROR(__xludf.DUMMYFUNCTION("""COMPUTED_VALUE"""),220)</f>
        <v>220</v>
      </c>
      <c r="L77" s="1" t="str">
        <f ca="1">IFERROR(__xludf.DUMMYFUNCTION("""COMPUTED_VALUE"""),"+.051")</f>
        <v>+.051</v>
      </c>
      <c r="M77" s="1">
        <f ca="1">IFERROR(__xludf.DUMMYFUNCTION("""COMPUTED_VALUE"""),61)</f>
        <v>61</v>
      </c>
      <c r="N77" s="1" t="str">
        <f ca="1">IFERROR(__xludf.DUMMYFUNCTION("""COMPUTED_VALUE"""),"+2.55")</f>
        <v>+2.55</v>
      </c>
      <c r="O77" s="1">
        <f ca="1">IFERROR(__xludf.DUMMYFUNCTION("""COMPUTED_VALUE"""),111)</f>
        <v>111</v>
      </c>
      <c r="P77" s="1">
        <f ca="1">IFERROR(__xludf.DUMMYFUNCTION("""COMPUTED_VALUE"""),106.6)</f>
        <v>106.6</v>
      </c>
      <c r="Q77" s="1">
        <f ca="1">IFERROR(__xludf.DUMMYFUNCTION("""COMPUTED_VALUE"""),90)</f>
        <v>90</v>
      </c>
      <c r="R77" s="1">
        <f ca="1">IFERROR(__xludf.DUMMYFUNCTION("""COMPUTED_VALUE"""),104.1)</f>
        <v>104.1</v>
      </c>
      <c r="S77" s="1">
        <f ca="1">IFERROR(__xludf.DUMMYFUNCTION("""COMPUTED_VALUE"""),146)</f>
        <v>146</v>
      </c>
      <c r="T77" s="1" t="str">
        <f ca="1">IFERROR(__xludf.DUMMYFUNCTION("""COMPUTED_VALUE"""),"+9.56")</f>
        <v>+9.56</v>
      </c>
      <c r="U77" s="1">
        <f ca="1">IFERROR(__xludf.DUMMYFUNCTION("""COMPUTED_VALUE"""),17)</f>
        <v>17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IFERROR(__xludf.DUMMYFUNCTION("""COMPUTED_VALUE"""),"Oklahoma St.2")</f>
        <v>Oklahoma St.2</v>
      </c>
      <c r="C78" s="1" t="str">
        <f ca="1">IFERROR(__xludf.DUMMYFUNCTION("""COMPUTED_VALUE"""),"B12")</f>
        <v>B12</v>
      </c>
      <c r="D78" s="1" t="str">
        <f ca="1">IFERROR(__xludf.DUMMYFUNCTION("""COMPUTED_VALUE"""),"22-13")</f>
        <v>22-13</v>
      </c>
      <c r="E78" s="1" t="str">
        <f ca="1">IFERROR(__xludf.DUMMYFUNCTION("""COMPUTED_VALUE"""),"+10.63")</f>
        <v>+10.63</v>
      </c>
      <c r="F78" s="1">
        <f ca="1">IFERROR(__xludf.DUMMYFUNCTION("""COMPUTED_VALUE"""),109.2)</f>
        <v>109.2</v>
      </c>
      <c r="G78" s="1">
        <f ca="1">IFERROR(__xludf.DUMMYFUNCTION("""COMPUTED_VALUE"""),92)</f>
        <v>92</v>
      </c>
      <c r="H78" s="1">
        <f ca="1">IFERROR(__xludf.DUMMYFUNCTION("""COMPUTED_VALUE"""),98.6)</f>
        <v>98.6</v>
      </c>
      <c r="I78" s="1">
        <f ca="1">IFERROR(__xludf.DUMMYFUNCTION("""COMPUTED_VALUE"""),68)</f>
        <v>68</v>
      </c>
      <c r="J78" s="1">
        <f ca="1">IFERROR(__xludf.DUMMYFUNCTION("""COMPUTED_VALUE"""),65.4)</f>
        <v>65.400000000000006</v>
      </c>
      <c r="K78" s="1">
        <f ca="1">IFERROR(__xludf.DUMMYFUNCTION("""COMPUTED_VALUE"""),181)</f>
        <v>181</v>
      </c>
      <c r="L78" s="1" t="str">
        <f ca="1">IFERROR(__xludf.DUMMYFUNCTION("""COMPUTED_VALUE"""),"+.044")</f>
        <v>+.044</v>
      </c>
      <c r="M78" s="1">
        <f ca="1">IFERROR(__xludf.DUMMYFUNCTION("""COMPUTED_VALUE"""),72)</f>
        <v>72</v>
      </c>
      <c r="N78" s="1" t="str">
        <f ca="1">IFERROR(__xludf.DUMMYFUNCTION("""COMPUTED_VALUE"""),"+6.66")</f>
        <v>+6.66</v>
      </c>
      <c r="O78" s="1">
        <f ca="1">IFERROR(__xludf.DUMMYFUNCTION("""COMPUTED_VALUE"""),63)</f>
        <v>63</v>
      </c>
      <c r="P78" s="1">
        <f ca="1">IFERROR(__xludf.DUMMYFUNCTION("""COMPUTED_VALUE"""),108.1)</f>
        <v>108.1</v>
      </c>
      <c r="Q78" s="1">
        <f ca="1">IFERROR(__xludf.DUMMYFUNCTION("""COMPUTED_VALUE"""),54)</f>
        <v>54</v>
      </c>
      <c r="R78" s="1">
        <f ca="1">IFERROR(__xludf.DUMMYFUNCTION("""COMPUTED_VALUE"""),101.5)</f>
        <v>101.5</v>
      </c>
      <c r="S78" s="1">
        <f ca="1">IFERROR(__xludf.DUMMYFUNCTION("""COMPUTED_VALUE"""),70)</f>
        <v>70</v>
      </c>
      <c r="T78" s="1">
        <f ca="1">IFERROR(__xludf.DUMMYFUNCTION("""COMPUTED_VALUE"""),-2.47)</f>
        <v>-2.4700000000000002</v>
      </c>
      <c r="U78" s="1">
        <f ca="1">IFERROR(__xludf.DUMMYFUNCTION("""COMPUTED_VALUE"""),212)</f>
        <v>212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IFERROR(__xludf.DUMMYFUNCTION("""COMPUTED_VALUE"""),"N.C. State6")</f>
        <v>N.C. State6</v>
      </c>
      <c r="C79" s="1" t="str">
        <f ca="1">IFERROR(__xludf.DUMMYFUNCTION("""COMPUTED_VALUE"""),"ACC")</f>
        <v>ACC</v>
      </c>
      <c r="D79" s="1" t="str">
        <f ca="1">IFERROR(__xludf.DUMMYFUNCTION("""COMPUTED_VALUE"""),"20-16")</f>
        <v>20-16</v>
      </c>
      <c r="E79" s="1" t="str">
        <f ca="1">IFERROR(__xludf.DUMMYFUNCTION("""COMPUTED_VALUE"""),"+10.46")</f>
        <v>+10.46</v>
      </c>
      <c r="F79" s="1">
        <f ca="1">IFERROR(__xludf.DUMMYFUNCTION("""COMPUTED_VALUE"""),112.2)</f>
        <v>112.2</v>
      </c>
      <c r="G79" s="1">
        <f ca="1">IFERROR(__xludf.DUMMYFUNCTION("""COMPUTED_VALUE"""),59)</f>
        <v>59</v>
      </c>
      <c r="H79" s="1">
        <f ca="1">IFERROR(__xludf.DUMMYFUNCTION("""COMPUTED_VALUE"""),101.8)</f>
        <v>101.8</v>
      </c>
      <c r="I79" s="1">
        <f ca="1">IFERROR(__xludf.DUMMYFUNCTION("""COMPUTED_VALUE"""),119)</f>
        <v>119</v>
      </c>
      <c r="J79" s="1">
        <f ca="1">IFERROR(__xludf.DUMMYFUNCTION("""COMPUTED_VALUE"""),66.2)</f>
        <v>66.2</v>
      </c>
      <c r="K79" s="1">
        <f ca="1">IFERROR(__xludf.DUMMYFUNCTION("""COMPUTED_VALUE"""),149)</f>
        <v>149</v>
      </c>
      <c r="L79" s="1" t="str">
        <f ca="1">IFERROR(__xludf.DUMMYFUNCTION("""COMPUTED_VALUE"""),"+.048")</f>
        <v>+.048</v>
      </c>
      <c r="M79" s="1">
        <f ca="1">IFERROR(__xludf.DUMMYFUNCTION("""COMPUTED_VALUE"""),65)</f>
        <v>65</v>
      </c>
      <c r="N79" s="1" t="str">
        <f ca="1">IFERROR(__xludf.DUMMYFUNCTION("""COMPUTED_VALUE"""),"+9.67")</f>
        <v>+9.67</v>
      </c>
      <c r="O79" s="1">
        <f ca="1">IFERROR(__xludf.DUMMYFUNCTION("""COMPUTED_VALUE"""),20)</f>
        <v>20</v>
      </c>
      <c r="P79" s="1">
        <f ca="1">IFERROR(__xludf.DUMMYFUNCTION("""COMPUTED_VALUE"""),109.3)</f>
        <v>109.3</v>
      </c>
      <c r="Q79" s="1">
        <f ca="1">IFERROR(__xludf.DUMMYFUNCTION("""COMPUTED_VALUE"""),25)</f>
        <v>25</v>
      </c>
      <c r="R79" s="1">
        <f ca="1">IFERROR(__xludf.DUMMYFUNCTION("""COMPUTED_VALUE"""),99.7)</f>
        <v>99.7</v>
      </c>
      <c r="S79" s="1">
        <f ca="1">IFERROR(__xludf.DUMMYFUNCTION("""COMPUTED_VALUE"""),12)</f>
        <v>12</v>
      </c>
      <c r="T79" s="1">
        <f ca="1">IFERROR(__xludf.DUMMYFUNCTION("""COMPUTED_VALUE"""),-7.99)</f>
        <v>-7.99</v>
      </c>
      <c r="U79" s="1">
        <f ca="1">IFERROR(__xludf.DUMMYFUNCTION("""COMPUTED_VALUE"""),318)</f>
        <v>318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IFERROR(__xludf.DUMMYFUNCTION("""COMPUTED_VALUE"""),"Appalachian St.5")</f>
        <v>Appalachian St.5</v>
      </c>
      <c r="C80" s="1" t="str">
        <f ca="1">IFERROR(__xludf.DUMMYFUNCTION("""COMPUTED_VALUE"""),"SC")</f>
        <v>SC</v>
      </c>
      <c r="D80" s="1" t="str">
        <f ca="1">IFERROR(__xludf.DUMMYFUNCTION("""COMPUTED_VALUE"""),"25-8")</f>
        <v>25-8</v>
      </c>
      <c r="E80" s="1" t="str">
        <f ca="1">IFERROR(__xludf.DUMMYFUNCTION("""COMPUTED_VALUE"""),"+10.37")</f>
        <v>+10.37</v>
      </c>
      <c r="F80" s="1">
        <f ca="1">IFERROR(__xludf.DUMMYFUNCTION("""COMPUTED_VALUE"""),111.2)</f>
        <v>111.2</v>
      </c>
      <c r="G80" s="1">
        <f ca="1">IFERROR(__xludf.DUMMYFUNCTION("""COMPUTED_VALUE"""),69)</f>
        <v>69</v>
      </c>
      <c r="H80" s="1">
        <f ca="1">IFERROR(__xludf.DUMMYFUNCTION("""COMPUTED_VALUE"""),100.8)</f>
        <v>100.8</v>
      </c>
      <c r="I80" s="1">
        <f ca="1">IFERROR(__xludf.DUMMYFUNCTION("""COMPUTED_VALUE"""),99)</f>
        <v>99</v>
      </c>
      <c r="J80" s="1">
        <f ca="1">IFERROR(__xludf.DUMMYFUNCTION("""COMPUTED_VALUE"""),66.7)</f>
        <v>66.7</v>
      </c>
      <c r="K80" s="1">
        <f ca="1">IFERROR(__xludf.DUMMYFUNCTION("""COMPUTED_VALUE"""),124)</f>
        <v>124</v>
      </c>
      <c r="L80" s="1" t="str">
        <f ca="1">IFERROR(__xludf.DUMMYFUNCTION("""COMPUTED_VALUE"""),"+.074")</f>
        <v>+.074</v>
      </c>
      <c r="M80" s="1">
        <f ca="1">IFERROR(__xludf.DUMMYFUNCTION("""COMPUTED_VALUE"""),29)</f>
        <v>29</v>
      </c>
      <c r="N80" s="1" t="str">
        <f ca="1">IFERROR(__xludf.DUMMYFUNCTION("""COMPUTED_VALUE"""),"+0.67")</f>
        <v>+0.67</v>
      </c>
      <c r="O80" s="1">
        <f ca="1">IFERROR(__xludf.DUMMYFUNCTION("""COMPUTED_VALUE"""),144)</f>
        <v>144</v>
      </c>
      <c r="P80" s="1">
        <f ca="1">IFERROR(__xludf.DUMMYFUNCTION("""COMPUTED_VALUE"""),104.7)</f>
        <v>104.7</v>
      </c>
      <c r="Q80" s="1">
        <f ca="1">IFERROR(__xludf.DUMMYFUNCTION("""COMPUTED_VALUE"""),148)</f>
        <v>148</v>
      </c>
      <c r="R80" s="1">
        <f ca="1">IFERROR(__xludf.DUMMYFUNCTION("""COMPUTED_VALUE"""),104)</f>
        <v>104</v>
      </c>
      <c r="S80" s="1">
        <f ca="1">IFERROR(__xludf.DUMMYFUNCTION("""COMPUTED_VALUE"""),142)</f>
        <v>142</v>
      </c>
      <c r="T80" s="1" t="str">
        <f ca="1">IFERROR(__xludf.DUMMYFUNCTION("""COMPUTED_VALUE"""),"+13.51")</f>
        <v>+13.51</v>
      </c>
      <c r="U80" s="1">
        <f ca="1">IFERROR(__xludf.DUMMYFUNCTION("""COMPUTED_VALUE"""),5)</f>
        <v>5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IFERROR(__xludf.DUMMYFUNCTION("""COMPUTED_VALUE"""),"Santa Clara")</f>
        <v>Santa Clara</v>
      </c>
      <c r="C81" s="1" t="str">
        <f ca="1">IFERROR(__xludf.DUMMYFUNCTION("""COMPUTED_VALUE"""),"WCC")</f>
        <v>WCC</v>
      </c>
      <c r="D81" s="1" t="str">
        <f ca="1">IFERROR(__xludf.DUMMYFUNCTION("""COMPUTED_VALUE"""),"21-10")</f>
        <v>21-10</v>
      </c>
      <c r="E81" s="1" t="str">
        <f ca="1">IFERROR(__xludf.DUMMYFUNCTION("""COMPUTED_VALUE"""),"+10.03")</f>
        <v>+10.03</v>
      </c>
      <c r="F81" s="1">
        <f ca="1">IFERROR(__xludf.DUMMYFUNCTION("""COMPUTED_VALUE"""),106.7)</f>
        <v>106.7</v>
      </c>
      <c r="G81" s="1">
        <f ca="1">IFERROR(__xludf.DUMMYFUNCTION("""COMPUTED_VALUE"""),131)</f>
        <v>131</v>
      </c>
      <c r="H81" s="1">
        <f ca="1">IFERROR(__xludf.DUMMYFUNCTION("""COMPUTED_VALUE"""),96.7)</f>
        <v>96.7</v>
      </c>
      <c r="I81" s="1">
        <f ca="1">IFERROR(__xludf.DUMMYFUNCTION("""COMPUTED_VALUE"""),48)</f>
        <v>48</v>
      </c>
      <c r="J81" s="1">
        <f ca="1">IFERROR(__xludf.DUMMYFUNCTION("""COMPUTED_VALUE"""),63.8)</f>
        <v>63.8</v>
      </c>
      <c r="K81" s="1">
        <f ca="1">IFERROR(__xludf.DUMMYFUNCTION("""COMPUTED_VALUE"""),244)</f>
        <v>244</v>
      </c>
      <c r="L81" s="1" t="str">
        <f ca="1">IFERROR(__xludf.DUMMYFUNCTION("""COMPUTED_VALUE"""),"+.035")</f>
        <v>+.035</v>
      </c>
      <c r="M81" s="1">
        <f ca="1">IFERROR(__xludf.DUMMYFUNCTION("""COMPUTED_VALUE"""),86)</f>
        <v>86</v>
      </c>
      <c r="N81" s="1" t="str">
        <f ca="1">IFERROR(__xludf.DUMMYFUNCTION("""COMPUTED_VALUE"""),"+1.46")</f>
        <v>+1.46</v>
      </c>
      <c r="O81" s="1">
        <f ca="1">IFERROR(__xludf.DUMMYFUNCTION("""COMPUTED_VALUE"""),128)</f>
        <v>128</v>
      </c>
      <c r="P81" s="1">
        <f ca="1">IFERROR(__xludf.DUMMYFUNCTION("""COMPUTED_VALUE"""),105.7)</f>
        <v>105.7</v>
      </c>
      <c r="Q81" s="1">
        <f ca="1">IFERROR(__xludf.DUMMYFUNCTION("""COMPUTED_VALUE"""),114)</f>
        <v>114</v>
      </c>
      <c r="R81" s="1">
        <f ca="1">IFERROR(__xludf.DUMMYFUNCTION("""COMPUTED_VALUE"""),104.3)</f>
        <v>104.3</v>
      </c>
      <c r="S81" s="1">
        <f ca="1">IFERROR(__xludf.DUMMYFUNCTION("""COMPUTED_VALUE"""),152)</f>
        <v>152</v>
      </c>
      <c r="T81" s="1" t="str">
        <f ca="1">IFERROR(__xludf.DUMMYFUNCTION("""COMPUTED_VALUE"""),"+3.12")</f>
        <v>+3.12</v>
      </c>
      <c r="U81" s="1">
        <f ca="1">IFERROR(__xludf.DUMMYFUNCTION("""COMPUTED_VALUE"""),81)</f>
        <v>81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IFERROR(__xludf.DUMMYFUNCTION("""COMPUTED_VALUE"""),"California")</f>
        <v>California</v>
      </c>
      <c r="C82" s="1" t="str">
        <f ca="1">IFERROR(__xludf.DUMMYFUNCTION("""COMPUTED_VALUE"""),"P10")</f>
        <v>P10</v>
      </c>
      <c r="D82" s="1" t="str">
        <f ca="1">IFERROR(__xludf.DUMMYFUNCTION("""COMPUTED_VALUE"""),"16-17")</f>
        <v>16-17</v>
      </c>
      <c r="E82" s="1" t="str">
        <f ca="1">IFERROR(__xludf.DUMMYFUNCTION("""COMPUTED_VALUE"""),"+9.99")</f>
        <v>+9.99</v>
      </c>
      <c r="F82" s="1">
        <f ca="1">IFERROR(__xludf.DUMMYFUNCTION("""COMPUTED_VALUE"""),111.7)</f>
        <v>111.7</v>
      </c>
      <c r="G82" s="1">
        <f ca="1">IFERROR(__xludf.DUMMYFUNCTION("""COMPUTED_VALUE"""),65)</f>
        <v>65</v>
      </c>
      <c r="H82" s="1">
        <f ca="1">IFERROR(__xludf.DUMMYFUNCTION("""COMPUTED_VALUE"""),101.7)</f>
        <v>101.7</v>
      </c>
      <c r="I82" s="1">
        <f ca="1">IFERROR(__xludf.DUMMYFUNCTION("""COMPUTED_VALUE"""),117)</f>
        <v>117</v>
      </c>
      <c r="J82" s="1">
        <f ca="1">IFERROR(__xludf.DUMMYFUNCTION("""COMPUTED_VALUE"""),64.5)</f>
        <v>64.5</v>
      </c>
      <c r="K82" s="1">
        <f ca="1">IFERROR(__xludf.DUMMYFUNCTION("""COMPUTED_VALUE"""),217)</f>
        <v>217</v>
      </c>
      <c r="L82" s="1">
        <f ca="1">IFERROR(__xludf.DUMMYFUNCTION("""COMPUTED_VALUE"""),-0.02)</f>
        <v>-0.02</v>
      </c>
      <c r="M82" s="1">
        <f ca="1">IFERROR(__xludf.DUMMYFUNCTION("""COMPUTED_VALUE"""),230)</f>
        <v>230</v>
      </c>
      <c r="N82" s="1" t="str">
        <f ca="1">IFERROR(__xludf.DUMMYFUNCTION("""COMPUTED_VALUE"""),"+9.68")</f>
        <v>+9.68</v>
      </c>
      <c r="O82" s="1">
        <f ca="1">IFERROR(__xludf.DUMMYFUNCTION("""COMPUTED_VALUE"""),19)</f>
        <v>19</v>
      </c>
      <c r="P82" s="1">
        <f ca="1">IFERROR(__xludf.DUMMYFUNCTION("""COMPUTED_VALUE"""),109.1)</f>
        <v>109.1</v>
      </c>
      <c r="Q82" s="1">
        <f ca="1">IFERROR(__xludf.DUMMYFUNCTION("""COMPUTED_VALUE"""),31)</f>
        <v>31</v>
      </c>
      <c r="R82" s="1">
        <f ca="1">IFERROR(__xludf.DUMMYFUNCTION("""COMPUTED_VALUE"""),99.4)</f>
        <v>99.4</v>
      </c>
      <c r="S82" s="1">
        <f ca="1">IFERROR(__xludf.DUMMYFUNCTION("""COMPUTED_VALUE"""),7)</f>
        <v>7</v>
      </c>
      <c r="T82" s="1" t="str">
        <f ca="1">IFERROR(__xludf.DUMMYFUNCTION("""COMPUTED_VALUE"""),"+2.24")</f>
        <v>+2.24</v>
      </c>
      <c r="U82" s="1">
        <f ca="1">IFERROR(__xludf.DUMMYFUNCTION("""COMPUTED_VALUE"""),95)</f>
        <v>95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IFERROR(__xludf.DUMMYFUNCTION("""COMPUTED_VALUE"""),"Hawaii")</f>
        <v>Hawaii</v>
      </c>
      <c r="C83" s="1" t="str">
        <f ca="1">IFERROR(__xludf.DUMMYFUNCTION("""COMPUTED_VALUE"""),"WAC")</f>
        <v>WAC</v>
      </c>
      <c r="D83" s="1" t="str">
        <f ca="1">IFERROR(__xludf.DUMMYFUNCTION("""COMPUTED_VALUE"""),"18-13")</f>
        <v>18-13</v>
      </c>
      <c r="E83" s="1" t="str">
        <f ca="1">IFERROR(__xludf.DUMMYFUNCTION("""COMPUTED_VALUE"""),"+9.87")</f>
        <v>+9.87</v>
      </c>
      <c r="F83" s="1">
        <f ca="1">IFERROR(__xludf.DUMMYFUNCTION("""COMPUTED_VALUE"""),104.5)</f>
        <v>104.5</v>
      </c>
      <c r="G83" s="1">
        <f ca="1">IFERROR(__xludf.DUMMYFUNCTION("""COMPUTED_VALUE"""),164)</f>
        <v>164</v>
      </c>
      <c r="H83" s="1">
        <f ca="1">IFERROR(__xludf.DUMMYFUNCTION("""COMPUTED_VALUE"""),94.6)</f>
        <v>94.6</v>
      </c>
      <c r="I83" s="1">
        <f ca="1">IFERROR(__xludf.DUMMYFUNCTION("""COMPUTED_VALUE"""),29)</f>
        <v>29</v>
      </c>
      <c r="J83" s="1">
        <f ca="1">IFERROR(__xludf.DUMMYFUNCTION("""COMPUTED_VALUE"""),69.2)</f>
        <v>69.2</v>
      </c>
      <c r="K83" s="1">
        <f ca="1">IFERROR(__xludf.DUMMYFUNCTION("""COMPUTED_VALUE"""),52)</f>
        <v>52</v>
      </c>
      <c r="L83" s="1">
        <f ca="1">IFERROR(__xludf.DUMMYFUNCTION("""COMPUTED_VALUE"""),-0.094)</f>
        <v>-9.4E-2</v>
      </c>
      <c r="M83" s="1">
        <f ca="1">IFERROR(__xludf.DUMMYFUNCTION("""COMPUTED_VALUE"""),325)</f>
        <v>325</v>
      </c>
      <c r="N83" s="1" t="str">
        <f ca="1">IFERROR(__xludf.DUMMYFUNCTION("""COMPUTED_VALUE"""),"+1.69")</f>
        <v>+1.69</v>
      </c>
      <c r="O83" s="1">
        <f ca="1">IFERROR(__xludf.DUMMYFUNCTION("""COMPUTED_VALUE"""),126)</f>
        <v>126</v>
      </c>
      <c r="P83" s="1">
        <f ca="1">IFERROR(__xludf.DUMMYFUNCTION("""COMPUTED_VALUE"""),105.3)</f>
        <v>105.3</v>
      </c>
      <c r="Q83" s="1">
        <f ca="1">IFERROR(__xludf.DUMMYFUNCTION("""COMPUTED_VALUE"""),128)</f>
        <v>128</v>
      </c>
      <c r="R83" s="1">
        <f ca="1">IFERROR(__xludf.DUMMYFUNCTION("""COMPUTED_VALUE"""),103.6)</f>
        <v>103.6</v>
      </c>
      <c r="S83" s="1">
        <f ca="1">IFERROR(__xludf.DUMMYFUNCTION("""COMPUTED_VALUE"""),125)</f>
        <v>125</v>
      </c>
      <c r="T83" s="1" t="str">
        <f ca="1">IFERROR(__xludf.DUMMYFUNCTION("""COMPUTED_VALUE"""),"+1.43")</f>
        <v>+1.43</v>
      </c>
      <c r="U83" s="1">
        <f ca="1">IFERROR(__xludf.DUMMYFUNCTION("""COMPUTED_VALUE"""),114)</f>
        <v>114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IFERROR(__xludf.DUMMYFUNCTION("""COMPUTED_VALUE"""),"San Diego St.6")</f>
        <v>San Diego St.6</v>
      </c>
      <c r="C84" s="1" t="str">
        <f ca="1">IFERROR(__xludf.DUMMYFUNCTION("""COMPUTED_VALUE"""),"MWC")</f>
        <v>MWC</v>
      </c>
      <c r="D84" s="1" t="str">
        <f ca="1">IFERROR(__xludf.DUMMYFUNCTION("""COMPUTED_VALUE"""),"22-11")</f>
        <v>22-11</v>
      </c>
      <c r="E84" s="1" t="str">
        <f ca="1">IFERROR(__xludf.DUMMYFUNCTION("""COMPUTED_VALUE"""),"+9.87")</f>
        <v>+9.87</v>
      </c>
      <c r="F84" s="1">
        <f ca="1">IFERROR(__xludf.DUMMYFUNCTION("""COMPUTED_VALUE"""),104.4)</f>
        <v>104.4</v>
      </c>
      <c r="G84" s="1">
        <f ca="1">IFERROR(__xludf.DUMMYFUNCTION("""COMPUTED_VALUE"""),167)</f>
        <v>167</v>
      </c>
      <c r="H84" s="1">
        <f ca="1">IFERROR(__xludf.DUMMYFUNCTION("""COMPUTED_VALUE"""),94.6)</f>
        <v>94.6</v>
      </c>
      <c r="I84" s="1">
        <f ca="1">IFERROR(__xludf.DUMMYFUNCTION("""COMPUTED_VALUE"""),28)</f>
        <v>28</v>
      </c>
      <c r="J84" s="1">
        <f ca="1">IFERROR(__xludf.DUMMYFUNCTION("""COMPUTED_VALUE"""),69)</f>
        <v>69</v>
      </c>
      <c r="K84" s="1">
        <f ca="1">IFERROR(__xludf.DUMMYFUNCTION("""COMPUTED_VALUE"""),58)</f>
        <v>58</v>
      </c>
      <c r="L84" s="1" t="str">
        <f ca="1">IFERROR(__xludf.DUMMYFUNCTION("""COMPUTED_VALUE"""),"+.052")</f>
        <v>+.052</v>
      </c>
      <c r="M84" s="1">
        <f ca="1">IFERROR(__xludf.DUMMYFUNCTION("""COMPUTED_VALUE"""),60)</f>
        <v>60</v>
      </c>
      <c r="N84" s="1" t="str">
        <f ca="1">IFERROR(__xludf.DUMMYFUNCTION("""COMPUTED_VALUE"""),"+4.89")</f>
        <v>+4.89</v>
      </c>
      <c r="O84" s="1">
        <f ca="1">IFERROR(__xludf.DUMMYFUNCTION("""COMPUTED_VALUE"""),83)</f>
        <v>83</v>
      </c>
      <c r="P84" s="1">
        <f ca="1">IFERROR(__xludf.DUMMYFUNCTION("""COMPUTED_VALUE"""),108.1)</f>
        <v>108.1</v>
      </c>
      <c r="Q84" s="1">
        <f ca="1">IFERROR(__xludf.DUMMYFUNCTION("""COMPUTED_VALUE"""),57)</f>
        <v>57</v>
      </c>
      <c r="R84" s="1">
        <f ca="1">IFERROR(__xludf.DUMMYFUNCTION("""COMPUTED_VALUE"""),103.2)</f>
        <v>103.2</v>
      </c>
      <c r="S84" s="1">
        <f ca="1">IFERROR(__xludf.DUMMYFUNCTION("""COMPUTED_VALUE"""),115)</f>
        <v>115</v>
      </c>
      <c r="T84" s="1">
        <f ca="1">IFERROR(__xludf.DUMMYFUNCTION("""COMPUTED_VALUE"""),-1.93)</f>
        <v>-1.93</v>
      </c>
      <c r="U84" s="1">
        <f ca="1">IFERROR(__xludf.DUMMYFUNCTION("""COMPUTED_VALUE"""),202)</f>
        <v>202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IFERROR(__xludf.DUMMYFUNCTION("""COMPUTED_VALUE"""),"Kent St.")</f>
        <v>Kent St.</v>
      </c>
      <c r="C87" s="1" t="str">
        <f ca="1">IFERROR(__xludf.DUMMYFUNCTION("""COMPUTED_VALUE"""),"MAC")</f>
        <v>MAC</v>
      </c>
      <c r="D87" s="1" t="str">
        <f ca="1">IFERROR(__xludf.DUMMYFUNCTION("""COMPUTED_VALUE"""),"21-11")</f>
        <v>21-11</v>
      </c>
      <c r="E87" s="1" t="str">
        <f ca="1">IFERROR(__xludf.DUMMYFUNCTION("""COMPUTED_VALUE"""),"+9.85")</f>
        <v>+9.85</v>
      </c>
      <c r="F87" s="1">
        <f ca="1">IFERROR(__xludf.DUMMYFUNCTION("""COMPUTED_VALUE"""),105.2)</f>
        <v>105.2</v>
      </c>
      <c r="G87" s="1">
        <f ca="1">IFERROR(__xludf.DUMMYFUNCTION("""COMPUTED_VALUE"""),148)</f>
        <v>148</v>
      </c>
      <c r="H87" s="1">
        <f ca="1">IFERROR(__xludf.DUMMYFUNCTION("""COMPUTED_VALUE"""),95.3)</f>
        <v>95.3</v>
      </c>
      <c r="I87" s="1">
        <f ca="1">IFERROR(__xludf.DUMMYFUNCTION("""COMPUTED_VALUE"""),36)</f>
        <v>36</v>
      </c>
      <c r="J87" s="1">
        <f ca="1">IFERROR(__xludf.DUMMYFUNCTION("""COMPUTED_VALUE"""),65.4)</f>
        <v>65.400000000000006</v>
      </c>
      <c r="K87" s="1">
        <f ca="1">IFERROR(__xludf.DUMMYFUNCTION("""COMPUTED_VALUE"""),183)</f>
        <v>183</v>
      </c>
      <c r="L87" s="1" t="str">
        <f ca="1">IFERROR(__xludf.DUMMYFUNCTION("""COMPUTED_VALUE"""),"+.003")</f>
        <v>+.003</v>
      </c>
      <c r="M87" s="1">
        <f ca="1">IFERROR(__xludf.DUMMYFUNCTION("""COMPUTED_VALUE"""),172)</f>
        <v>172</v>
      </c>
      <c r="N87" s="1" t="str">
        <f ca="1">IFERROR(__xludf.DUMMYFUNCTION("""COMPUTED_VALUE"""),"+1.80")</f>
        <v>+1.80</v>
      </c>
      <c r="O87" s="1">
        <f ca="1">IFERROR(__xludf.DUMMYFUNCTION("""COMPUTED_VALUE"""),124)</f>
        <v>124</v>
      </c>
      <c r="P87" s="1">
        <f ca="1">IFERROR(__xludf.DUMMYFUNCTION("""COMPUTED_VALUE"""),105.5)</f>
        <v>105.5</v>
      </c>
      <c r="Q87" s="1">
        <f ca="1">IFERROR(__xludf.DUMMYFUNCTION("""COMPUTED_VALUE"""),122)</f>
        <v>122</v>
      </c>
      <c r="R87" s="1">
        <f ca="1">IFERROR(__xludf.DUMMYFUNCTION("""COMPUTED_VALUE"""),103.7)</f>
        <v>103.7</v>
      </c>
      <c r="S87" s="1">
        <f ca="1">IFERROR(__xludf.DUMMYFUNCTION("""COMPUTED_VALUE"""),134)</f>
        <v>134</v>
      </c>
      <c r="T87" s="1" t="str">
        <f ca="1">IFERROR(__xludf.DUMMYFUNCTION("""COMPUTED_VALUE"""),"+2.48")</f>
        <v>+2.48</v>
      </c>
      <c r="U87" s="1">
        <f ca="1">IFERROR(__xludf.DUMMYFUNCTION("""COMPUTED_VALUE"""),91)</f>
        <v>91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IFERROR(__xludf.DUMMYFUNCTION("""COMPUTED_VALUE"""),"Nebraska")</f>
        <v>Nebraska</v>
      </c>
      <c r="C88" s="1" t="str">
        <f ca="1">IFERROR(__xludf.DUMMYFUNCTION("""COMPUTED_VALUE"""),"B12")</f>
        <v>B12</v>
      </c>
      <c r="D88" s="1" t="str">
        <f ca="1">IFERROR(__xludf.DUMMYFUNCTION("""COMPUTED_VALUE"""),"17-14")</f>
        <v>17-14</v>
      </c>
      <c r="E88" s="1" t="str">
        <f ca="1">IFERROR(__xludf.DUMMYFUNCTION("""COMPUTED_VALUE"""),"+8.99")</f>
        <v>+8.99</v>
      </c>
      <c r="F88" s="1">
        <f ca="1">IFERROR(__xludf.DUMMYFUNCTION("""COMPUTED_VALUE"""),109)</f>
        <v>109</v>
      </c>
      <c r="G88" s="1">
        <f ca="1">IFERROR(__xludf.DUMMYFUNCTION("""COMPUTED_VALUE"""),95)</f>
        <v>95</v>
      </c>
      <c r="H88" s="1">
        <f ca="1">IFERROR(__xludf.DUMMYFUNCTION("""COMPUTED_VALUE"""),100)</f>
        <v>100</v>
      </c>
      <c r="I88" s="1">
        <f ca="1">IFERROR(__xludf.DUMMYFUNCTION("""COMPUTED_VALUE"""),89)</f>
        <v>89</v>
      </c>
      <c r="J88" s="1">
        <f ca="1">IFERROR(__xludf.DUMMYFUNCTION("""COMPUTED_VALUE"""),62.2)</f>
        <v>62.2</v>
      </c>
      <c r="K88" s="1">
        <f ca="1">IFERROR(__xludf.DUMMYFUNCTION("""COMPUTED_VALUE"""),297)</f>
        <v>297</v>
      </c>
      <c r="L88" s="1">
        <f ca="1">IFERROR(__xludf.DUMMYFUNCTION("""COMPUTED_VALUE"""),-0.012)</f>
        <v>-1.2E-2</v>
      </c>
      <c r="M88" s="1">
        <f ca="1">IFERROR(__xludf.DUMMYFUNCTION("""COMPUTED_VALUE"""),208)</f>
        <v>208</v>
      </c>
      <c r="N88" s="1" t="str">
        <f ca="1">IFERROR(__xludf.DUMMYFUNCTION("""COMPUTED_VALUE"""),"+6.80")</f>
        <v>+6.80</v>
      </c>
      <c r="O88" s="1">
        <f ca="1">IFERROR(__xludf.DUMMYFUNCTION("""COMPUTED_VALUE"""),60)</f>
        <v>60</v>
      </c>
      <c r="P88" s="1">
        <f ca="1">IFERROR(__xludf.DUMMYFUNCTION("""COMPUTED_VALUE"""),107.1)</f>
        <v>107.1</v>
      </c>
      <c r="Q88" s="1">
        <f ca="1">IFERROR(__xludf.DUMMYFUNCTION("""COMPUTED_VALUE"""),78)</f>
        <v>78</v>
      </c>
      <c r="R88" s="1">
        <f ca="1">IFERROR(__xludf.DUMMYFUNCTION("""COMPUTED_VALUE"""),100.3)</f>
        <v>100.3</v>
      </c>
      <c r="S88" s="1">
        <f ca="1">IFERROR(__xludf.DUMMYFUNCTION("""COMPUTED_VALUE"""),33)</f>
        <v>33</v>
      </c>
      <c r="T88" s="1">
        <f ca="1">IFERROR(__xludf.DUMMYFUNCTION("""COMPUTED_VALUE"""),-0.78)</f>
        <v>-0.78</v>
      </c>
      <c r="U88" s="1">
        <f ca="1">IFERROR(__xludf.DUMMYFUNCTION("""COMPUTED_VALUE"""),166)</f>
        <v>166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IFERROR(__xludf.DUMMYFUNCTION("""COMPUTED_VALUE"""),"Evansville")</f>
        <v>Evansville</v>
      </c>
      <c r="C89" s="1" t="str">
        <f ca="1">IFERROR(__xludf.DUMMYFUNCTION("""COMPUTED_VALUE"""),"MVC")</f>
        <v>MVC</v>
      </c>
      <c r="D89" s="1" t="str">
        <f ca="1">IFERROR(__xludf.DUMMYFUNCTION("""COMPUTED_VALUE"""),"14-17")</f>
        <v>14-17</v>
      </c>
      <c r="E89" s="1" t="str">
        <f ca="1">IFERROR(__xludf.DUMMYFUNCTION("""COMPUTED_VALUE"""),"+8.54")</f>
        <v>+8.54</v>
      </c>
      <c r="F89" s="1">
        <f ca="1">IFERROR(__xludf.DUMMYFUNCTION("""COMPUTED_VALUE"""),113.2)</f>
        <v>113.2</v>
      </c>
      <c r="G89" s="1">
        <f ca="1">IFERROR(__xludf.DUMMYFUNCTION("""COMPUTED_VALUE"""),46)</f>
        <v>46</v>
      </c>
      <c r="H89" s="1">
        <f ca="1">IFERROR(__xludf.DUMMYFUNCTION("""COMPUTED_VALUE"""),104.6)</f>
        <v>104.6</v>
      </c>
      <c r="I89" s="1">
        <f ca="1">IFERROR(__xludf.DUMMYFUNCTION("""COMPUTED_VALUE"""),161)</f>
        <v>161</v>
      </c>
      <c r="J89" s="1">
        <f ca="1">IFERROR(__xludf.DUMMYFUNCTION("""COMPUTED_VALUE"""),64.3)</f>
        <v>64.3</v>
      </c>
      <c r="K89" s="1">
        <f ca="1">IFERROR(__xludf.DUMMYFUNCTION("""COMPUTED_VALUE"""),225)</f>
        <v>225</v>
      </c>
      <c r="L89" s="1">
        <f ca="1">IFERROR(__xludf.DUMMYFUNCTION("""COMPUTED_VALUE"""),-0.072)</f>
        <v>-7.1999999999999995E-2</v>
      </c>
      <c r="M89" s="1">
        <f ca="1">IFERROR(__xludf.DUMMYFUNCTION("""COMPUTED_VALUE"""),312)</f>
        <v>312</v>
      </c>
      <c r="N89" s="1" t="str">
        <f ca="1">IFERROR(__xludf.DUMMYFUNCTION("""COMPUTED_VALUE"""),"+6.32")</f>
        <v>+6.32</v>
      </c>
      <c r="O89" s="1">
        <f ca="1">IFERROR(__xludf.DUMMYFUNCTION("""COMPUTED_VALUE"""),68)</f>
        <v>68</v>
      </c>
      <c r="P89" s="1">
        <f ca="1">IFERROR(__xludf.DUMMYFUNCTION("""COMPUTED_VALUE"""),108.4)</f>
        <v>108.4</v>
      </c>
      <c r="Q89" s="1">
        <f ca="1">IFERROR(__xludf.DUMMYFUNCTION("""COMPUTED_VALUE"""),45)</f>
        <v>45</v>
      </c>
      <c r="R89" s="1">
        <f ca="1">IFERROR(__xludf.DUMMYFUNCTION("""COMPUTED_VALUE"""),102.1)</f>
        <v>102.1</v>
      </c>
      <c r="S89" s="1">
        <f ca="1">IFERROR(__xludf.DUMMYFUNCTION("""COMPUTED_VALUE"""),88)</f>
        <v>88</v>
      </c>
      <c r="T89" s="1">
        <f ca="1">IFERROR(__xludf.DUMMYFUNCTION("""COMPUTED_VALUE"""),-2.78)</f>
        <v>-2.78</v>
      </c>
      <c r="U89" s="1">
        <f ca="1">IFERROR(__xludf.DUMMYFUNCTION("""COMPUTED_VALUE"""),223)</f>
        <v>223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IFERROR(__xludf.DUMMYFUNCTION("""COMPUTED_VALUE"""),"Loyola Chicago")</f>
        <v>Loyola Chicago</v>
      </c>
      <c r="C90" s="1" t="str">
        <f ca="1">IFERROR(__xludf.DUMMYFUNCTION("""COMPUTED_VALUE"""),"Horz")</f>
        <v>Horz</v>
      </c>
      <c r="D90" s="1" t="str">
        <f ca="1">IFERROR(__xludf.DUMMYFUNCTION("""COMPUTED_VALUE"""),"21-11")</f>
        <v>21-11</v>
      </c>
      <c r="E90" s="1" t="str">
        <f ca="1">IFERROR(__xludf.DUMMYFUNCTION("""COMPUTED_VALUE"""),"+8.42")</f>
        <v>+8.42</v>
      </c>
      <c r="F90" s="1">
        <f ca="1">IFERROR(__xludf.DUMMYFUNCTION("""COMPUTED_VALUE"""),110.3)</f>
        <v>110.3</v>
      </c>
      <c r="G90" s="1">
        <f ca="1">IFERROR(__xludf.DUMMYFUNCTION("""COMPUTED_VALUE"""),78)</f>
        <v>78</v>
      </c>
      <c r="H90" s="1">
        <f ca="1">IFERROR(__xludf.DUMMYFUNCTION("""COMPUTED_VALUE"""),101.9)</f>
        <v>101.9</v>
      </c>
      <c r="I90" s="1">
        <f ca="1">IFERROR(__xludf.DUMMYFUNCTION("""COMPUTED_VALUE"""),122)</f>
        <v>122</v>
      </c>
      <c r="J90" s="1">
        <f ca="1">IFERROR(__xludf.DUMMYFUNCTION("""COMPUTED_VALUE"""),65)</f>
        <v>65</v>
      </c>
      <c r="K90" s="1">
        <f ca="1">IFERROR(__xludf.DUMMYFUNCTION("""COMPUTED_VALUE"""),201)</f>
        <v>201</v>
      </c>
      <c r="L90" s="1">
        <f ca="1">IFERROR(__xludf.DUMMYFUNCTION("""COMPUTED_VALUE"""),-0.001)</f>
        <v>-1E-3</v>
      </c>
      <c r="M90" s="1">
        <f ca="1">IFERROR(__xludf.DUMMYFUNCTION("""COMPUTED_VALUE"""),184)</f>
        <v>184</v>
      </c>
      <c r="N90" s="1" t="str">
        <f ca="1">IFERROR(__xludf.DUMMYFUNCTION("""COMPUTED_VALUE"""),"+1.02")</f>
        <v>+1.02</v>
      </c>
      <c r="O90" s="1">
        <f ca="1">IFERROR(__xludf.DUMMYFUNCTION("""COMPUTED_VALUE"""),135)</f>
        <v>135</v>
      </c>
      <c r="P90" s="1">
        <f ca="1">IFERROR(__xludf.DUMMYFUNCTION("""COMPUTED_VALUE"""),105.2)</f>
        <v>105.2</v>
      </c>
      <c r="Q90" s="1">
        <f ca="1">IFERROR(__xludf.DUMMYFUNCTION("""COMPUTED_VALUE"""),131)</f>
        <v>131</v>
      </c>
      <c r="R90" s="1">
        <f ca="1">IFERROR(__xludf.DUMMYFUNCTION("""COMPUTED_VALUE"""),104.2)</f>
        <v>104.2</v>
      </c>
      <c r="S90" s="1">
        <f ca="1">IFERROR(__xludf.DUMMYFUNCTION("""COMPUTED_VALUE"""),151)</f>
        <v>151</v>
      </c>
      <c r="T90" s="1">
        <f ca="1">IFERROR(__xludf.DUMMYFUNCTION("""COMPUTED_VALUE"""),-0.09)</f>
        <v>-0.09</v>
      </c>
      <c r="U90" s="1">
        <f ca="1">IFERROR(__xludf.DUMMYFUNCTION("""COMPUTED_VALUE"""),153)</f>
        <v>153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IFERROR(__xludf.DUMMYFUNCTION("""COMPUTED_VALUE"""),"Auburn")</f>
        <v>Auburn</v>
      </c>
      <c r="C91" s="1" t="str">
        <f ca="1">IFERROR(__xludf.DUMMYFUNCTION("""COMPUTED_VALUE"""),"SEC")</f>
        <v>SEC</v>
      </c>
      <c r="D91" s="1" t="str">
        <f ca="1">IFERROR(__xludf.DUMMYFUNCTION("""COMPUTED_VALUE"""),"17-15")</f>
        <v>17-15</v>
      </c>
      <c r="E91" s="1" t="str">
        <f ca="1">IFERROR(__xludf.DUMMYFUNCTION("""COMPUTED_VALUE"""),"+8.39")</f>
        <v>+8.39</v>
      </c>
      <c r="F91" s="1">
        <f ca="1">IFERROR(__xludf.DUMMYFUNCTION("""COMPUTED_VALUE"""),106.9)</f>
        <v>106.9</v>
      </c>
      <c r="G91" s="1">
        <f ca="1">IFERROR(__xludf.DUMMYFUNCTION("""COMPUTED_VALUE"""),128)</f>
        <v>128</v>
      </c>
      <c r="H91" s="1">
        <f ca="1">IFERROR(__xludf.DUMMYFUNCTION("""COMPUTED_VALUE"""),98.5)</f>
        <v>98.5</v>
      </c>
      <c r="I91" s="1">
        <f ca="1">IFERROR(__xludf.DUMMYFUNCTION("""COMPUTED_VALUE"""),65)</f>
        <v>65</v>
      </c>
      <c r="J91" s="1">
        <f ca="1">IFERROR(__xludf.DUMMYFUNCTION("""COMPUTED_VALUE"""),70.2)</f>
        <v>70.2</v>
      </c>
      <c r="K91" s="1">
        <f ca="1">IFERROR(__xludf.DUMMYFUNCTION("""COMPUTED_VALUE"""),33)</f>
        <v>33</v>
      </c>
      <c r="L91" s="1" t="str">
        <f ca="1">IFERROR(__xludf.DUMMYFUNCTION("""COMPUTED_VALUE"""),"+.009")</f>
        <v>+.009</v>
      </c>
      <c r="M91" s="1">
        <f ca="1">IFERROR(__xludf.DUMMYFUNCTION("""COMPUTED_VALUE"""),157)</f>
        <v>157</v>
      </c>
      <c r="N91" s="1" t="str">
        <f ca="1">IFERROR(__xludf.DUMMYFUNCTION("""COMPUTED_VALUE"""),"+7.94")</f>
        <v>+7.94</v>
      </c>
      <c r="O91" s="1">
        <f ca="1">IFERROR(__xludf.DUMMYFUNCTION("""COMPUTED_VALUE"""),44)</f>
        <v>44</v>
      </c>
      <c r="P91" s="1">
        <f ca="1">IFERROR(__xludf.DUMMYFUNCTION("""COMPUTED_VALUE"""),109)</f>
        <v>109</v>
      </c>
      <c r="Q91" s="1">
        <f ca="1">IFERROR(__xludf.DUMMYFUNCTION("""COMPUTED_VALUE"""),35)</f>
        <v>35</v>
      </c>
      <c r="R91" s="1">
        <f ca="1">IFERROR(__xludf.DUMMYFUNCTION("""COMPUTED_VALUE"""),101.1)</f>
        <v>101.1</v>
      </c>
      <c r="S91" s="1">
        <f ca="1">IFERROR(__xludf.DUMMYFUNCTION("""COMPUTED_VALUE"""),63)</f>
        <v>63</v>
      </c>
      <c r="T91" s="1">
        <f ca="1">IFERROR(__xludf.DUMMYFUNCTION("""COMPUTED_VALUE"""),-5.97)</f>
        <v>-5.97</v>
      </c>
      <c r="U91" s="1">
        <f ca="1">IFERROR(__xludf.DUMMYFUNCTION("""COMPUTED_VALUE"""),296)</f>
        <v>296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IFERROR(__xludf.DUMMYFUNCTION("""COMPUTED_VALUE"""),"Illinois St.")</f>
        <v>Illinois St.</v>
      </c>
      <c r="C92" s="1" t="str">
        <f ca="1">IFERROR(__xludf.DUMMYFUNCTION("""COMPUTED_VALUE"""),"MVC")</f>
        <v>MVC</v>
      </c>
      <c r="D92" s="1" t="str">
        <f ca="1">IFERROR(__xludf.DUMMYFUNCTION("""COMPUTED_VALUE"""),"15-16")</f>
        <v>15-16</v>
      </c>
      <c r="E92" s="1" t="str">
        <f ca="1">IFERROR(__xludf.DUMMYFUNCTION("""COMPUTED_VALUE"""),"+8.38")</f>
        <v>+8.38</v>
      </c>
      <c r="F92" s="1">
        <f ca="1">IFERROR(__xludf.DUMMYFUNCTION("""COMPUTED_VALUE"""),107.1)</f>
        <v>107.1</v>
      </c>
      <c r="G92" s="1">
        <f ca="1">IFERROR(__xludf.DUMMYFUNCTION("""COMPUTED_VALUE"""),122)</f>
        <v>122</v>
      </c>
      <c r="H92" s="1">
        <f ca="1">IFERROR(__xludf.DUMMYFUNCTION("""COMPUTED_VALUE"""),98.7)</f>
        <v>98.7</v>
      </c>
      <c r="I92" s="1">
        <f ca="1">IFERROR(__xludf.DUMMYFUNCTION("""COMPUTED_VALUE"""),75)</f>
        <v>75</v>
      </c>
      <c r="J92" s="1">
        <f ca="1">IFERROR(__xludf.DUMMYFUNCTION("""COMPUTED_VALUE"""),65)</f>
        <v>65</v>
      </c>
      <c r="K92" s="1">
        <f ca="1">IFERROR(__xludf.DUMMYFUNCTION("""COMPUTED_VALUE"""),198)</f>
        <v>198</v>
      </c>
      <c r="L92" s="1">
        <f ca="1">IFERROR(__xludf.DUMMYFUNCTION("""COMPUTED_VALUE"""),-0.061)</f>
        <v>-6.0999999999999999E-2</v>
      </c>
      <c r="M92" s="1">
        <f ca="1">IFERROR(__xludf.DUMMYFUNCTION("""COMPUTED_VALUE"""),303)</f>
        <v>303</v>
      </c>
      <c r="N92" s="1" t="str">
        <f ca="1">IFERROR(__xludf.DUMMYFUNCTION("""COMPUTED_VALUE"""),"+6.37")</f>
        <v>+6.37</v>
      </c>
      <c r="O92" s="1">
        <f ca="1">IFERROR(__xludf.DUMMYFUNCTION("""COMPUTED_VALUE"""),67)</f>
        <v>67</v>
      </c>
      <c r="P92" s="1">
        <f ca="1">IFERROR(__xludf.DUMMYFUNCTION("""COMPUTED_VALUE"""),107.6)</f>
        <v>107.6</v>
      </c>
      <c r="Q92" s="1">
        <f ca="1">IFERROR(__xludf.DUMMYFUNCTION("""COMPUTED_VALUE"""),65)</f>
        <v>65</v>
      </c>
      <c r="R92" s="1">
        <f ca="1">IFERROR(__xludf.DUMMYFUNCTION("""COMPUTED_VALUE"""),101.3)</f>
        <v>101.3</v>
      </c>
      <c r="S92" s="1">
        <f ca="1">IFERROR(__xludf.DUMMYFUNCTION("""COMPUTED_VALUE"""),66)</f>
        <v>66</v>
      </c>
      <c r="T92" s="1">
        <f ca="1">IFERROR(__xludf.DUMMYFUNCTION("""COMPUTED_VALUE"""),-3.19)</f>
        <v>-3.19</v>
      </c>
      <c r="U92" s="1">
        <f ca="1">IFERROR(__xludf.DUMMYFUNCTION("""COMPUTED_VALUE"""),234)</f>
        <v>234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IFERROR(__xludf.DUMMYFUNCTION("""COMPUTED_VALUE"""),"Miami OH14")</f>
        <v>Miami OH14</v>
      </c>
      <c r="C93" s="1" t="str">
        <f ca="1">IFERROR(__xludf.DUMMYFUNCTION("""COMPUTED_VALUE"""),"MAC")</f>
        <v>MAC</v>
      </c>
      <c r="D93" s="1" t="str">
        <f ca="1">IFERROR(__xludf.DUMMYFUNCTION("""COMPUTED_VALUE"""),"18-15")</f>
        <v>18-15</v>
      </c>
      <c r="E93" s="1" t="str">
        <f ca="1">IFERROR(__xludf.DUMMYFUNCTION("""COMPUTED_VALUE"""),"+8.38")</f>
        <v>+8.38</v>
      </c>
      <c r="F93" s="1">
        <f ca="1">IFERROR(__xludf.DUMMYFUNCTION("""COMPUTED_VALUE"""),105.7)</f>
        <v>105.7</v>
      </c>
      <c r="G93" s="1">
        <f ca="1">IFERROR(__xludf.DUMMYFUNCTION("""COMPUTED_VALUE"""),141)</f>
        <v>141</v>
      </c>
      <c r="H93" s="1">
        <f ca="1">IFERROR(__xludf.DUMMYFUNCTION("""COMPUTED_VALUE"""),97.4)</f>
        <v>97.4</v>
      </c>
      <c r="I93" s="1">
        <f ca="1">IFERROR(__xludf.DUMMYFUNCTION("""COMPUTED_VALUE"""),53)</f>
        <v>53</v>
      </c>
      <c r="J93" s="1">
        <f ca="1">IFERROR(__xludf.DUMMYFUNCTION("""COMPUTED_VALUE"""),58.1)</f>
        <v>58.1</v>
      </c>
      <c r="K93" s="1">
        <f ca="1">IFERROR(__xludf.DUMMYFUNCTION("""COMPUTED_VALUE"""),330)</f>
        <v>330</v>
      </c>
      <c r="L93" s="1">
        <f ca="1">IFERROR(__xludf.DUMMYFUNCTION("""COMPUTED_VALUE"""),-0.024)</f>
        <v>-2.4E-2</v>
      </c>
      <c r="M93" s="1">
        <f ca="1">IFERROR(__xludf.DUMMYFUNCTION("""COMPUTED_VALUE"""),240)</f>
        <v>240</v>
      </c>
      <c r="N93" s="1" t="str">
        <f ca="1">IFERROR(__xludf.DUMMYFUNCTION("""COMPUTED_VALUE"""),"+4.09")</f>
        <v>+4.09</v>
      </c>
      <c r="O93" s="1">
        <f ca="1">IFERROR(__xludf.DUMMYFUNCTION("""COMPUTED_VALUE"""),90)</f>
        <v>90</v>
      </c>
      <c r="P93" s="1">
        <f ca="1">IFERROR(__xludf.DUMMYFUNCTION("""COMPUTED_VALUE"""),106.2)</f>
        <v>106.2</v>
      </c>
      <c r="Q93" s="1">
        <f ca="1">IFERROR(__xludf.DUMMYFUNCTION("""COMPUTED_VALUE"""),103)</f>
        <v>103</v>
      </c>
      <c r="R93" s="1">
        <f ca="1">IFERROR(__xludf.DUMMYFUNCTION("""COMPUTED_VALUE"""),102.1)</f>
        <v>102.1</v>
      </c>
      <c r="S93" s="1">
        <f ca="1">IFERROR(__xludf.DUMMYFUNCTION("""COMPUTED_VALUE"""),89)</f>
        <v>89</v>
      </c>
      <c r="T93" s="1" t="str">
        <f ca="1">IFERROR(__xludf.DUMMYFUNCTION("""COMPUTED_VALUE"""),"+6.44")</f>
        <v>+6.44</v>
      </c>
      <c r="U93" s="1">
        <f ca="1">IFERROR(__xludf.DUMMYFUNCTION("""COMPUTED_VALUE"""),36)</f>
        <v>36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IFERROR(__xludf.DUMMYFUNCTION("""COMPUTED_VALUE"""),"Oral Roberts14")</f>
        <v>Oral Roberts14</v>
      </c>
      <c r="C94" s="1" t="str">
        <f ca="1">IFERROR(__xludf.DUMMYFUNCTION("""COMPUTED_VALUE"""),"MCon")</f>
        <v>MCon</v>
      </c>
      <c r="D94" s="1" t="str">
        <f ca="1">IFERROR(__xludf.DUMMYFUNCTION("""COMPUTED_VALUE"""),"23-11")</f>
        <v>23-11</v>
      </c>
      <c r="E94" s="1" t="str">
        <f ca="1">IFERROR(__xludf.DUMMYFUNCTION("""COMPUTED_VALUE"""),"+8.36")</f>
        <v>+8.36</v>
      </c>
      <c r="F94" s="1">
        <f ca="1">IFERROR(__xludf.DUMMYFUNCTION("""COMPUTED_VALUE"""),107.1)</f>
        <v>107.1</v>
      </c>
      <c r="G94" s="1">
        <f ca="1">IFERROR(__xludf.DUMMYFUNCTION("""COMPUTED_VALUE"""),123)</f>
        <v>123</v>
      </c>
      <c r="H94" s="1">
        <f ca="1">IFERROR(__xludf.DUMMYFUNCTION("""COMPUTED_VALUE"""),98.7)</f>
        <v>98.7</v>
      </c>
      <c r="I94" s="1">
        <f ca="1">IFERROR(__xludf.DUMMYFUNCTION("""COMPUTED_VALUE"""),74)</f>
        <v>74</v>
      </c>
      <c r="J94" s="1">
        <f ca="1">IFERROR(__xludf.DUMMYFUNCTION("""COMPUTED_VALUE"""),66.5)</f>
        <v>66.5</v>
      </c>
      <c r="K94" s="1">
        <f ca="1">IFERROR(__xludf.DUMMYFUNCTION("""COMPUTED_VALUE"""),130)</f>
        <v>130</v>
      </c>
      <c r="L94" s="1">
        <f ca="1">IFERROR(__xludf.DUMMYFUNCTION("""COMPUTED_VALUE"""),-0.007)</f>
        <v>-7.0000000000000001E-3</v>
      </c>
      <c r="M94" s="1">
        <f ca="1">IFERROR(__xludf.DUMMYFUNCTION("""COMPUTED_VALUE"""),194)</f>
        <v>194</v>
      </c>
      <c r="N94" s="1">
        <f ca="1">IFERROR(__xludf.DUMMYFUNCTION("""COMPUTED_VALUE"""),-0.93)</f>
        <v>-0.93</v>
      </c>
      <c r="O94" s="1">
        <f ca="1">IFERROR(__xludf.DUMMYFUNCTION("""COMPUTED_VALUE"""),170)</f>
        <v>170</v>
      </c>
      <c r="P94" s="1">
        <f ca="1">IFERROR(__xludf.DUMMYFUNCTION("""COMPUTED_VALUE"""),104.9)</f>
        <v>104.9</v>
      </c>
      <c r="Q94" s="1">
        <f ca="1">IFERROR(__xludf.DUMMYFUNCTION("""COMPUTED_VALUE"""),139)</f>
        <v>139</v>
      </c>
      <c r="R94" s="1">
        <f ca="1">IFERROR(__xludf.DUMMYFUNCTION("""COMPUTED_VALUE"""),105.8)</f>
        <v>105.8</v>
      </c>
      <c r="S94" s="1">
        <f ca="1">IFERROR(__xludf.DUMMYFUNCTION("""COMPUTED_VALUE"""),201)</f>
        <v>201</v>
      </c>
      <c r="T94" s="1" t="str">
        <f ca="1">IFERROR(__xludf.DUMMYFUNCTION("""COMPUTED_VALUE"""),"+4.23")</f>
        <v>+4.23</v>
      </c>
      <c r="U94" s="1">
        <f ca="1">IFERROR(__xludf.DUMMYFUNCTION("""COMPUTED_VALUE"""),65)</f>
        <v>65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IFERROR(__xludf.DUMMYFUNCTION("""COMPUTED_VALUE"""),"George Mason")</f>
        <v>George Mason</v>
      </c>
      <c r="C95" s="1" t="str">
        <f ca="1">IFERROR(__xludf.DUMMYFUNCTION("""COMPUTED_VALUE"""),"CAA")</f>
        <v>CAA</v>
      </c>
      <c r="D95" s="1" t="str">
        <f ca="1">IFERROR(__xludf.DUMMYFUNCTION("""COMPUTED_VALUE"""),"18-15")</f>
        <v>18-15</v>
      </c>
      <c r="E95" s="1" t="str">
        <f ca="1">IFERROR(__xludf.DUMMYFUNCTION("""COMPUTED_VALUE"""),"+7.91")</f>
        <v>+7.91</v>
      </c>
      <c r="F95" s="1">
        <f ca="1">IFERROR(__xludf.DUMMYFUNCTION("""COMPUTED_VALUE"""),106.5)</f>
        <v>106.5</v>
      </c>
      <c r="G95" s="1">
        <f ca="1">IFERROR(__xludf.DUMMYFUNCTION("""COMPUTED_VALUE"""),135)</f>
        <v>135</v>
      </c>
      <c r="H95" s="1">
        <f ca="1">IFERROR(__xludf.DUMMYFUNCTION("""COMPUTED_VALUE"""),98.6)</f>
        <v>98.6</v>
      </c>
      <c r="I95" s="1">
        <f ca="1">IFERROR(__xludf.DUMMYFUNCTION("""COMPUTED_VALUE"""),70)</f>
        <v>70</v>
      </c>
      <c r="J95" s="1">
        <f ca="1">IFERROR(__xludf.DUMMYFUNCTION("""COMPUTED_VALUE"""),60.8)</f>
        <v>60.8</v>
      </c>
      <c r="K95" s="1">
        <f ca="1">IFERROR(__xludf.DUMMYFUNCTION("""COMPUTED_VALUE"""),316)</f>
        <v>316</v>
      </c>
      <c r="L95" s="1">
        <f ca="1">IFERROR(__xludf.DUMMYFUNCTION("""COMPUTED_VALUE"""),-0.071)</f>
        <v>-7.0999999999999994E-2</v>
      </c>
      <c r="M95" s="1">
        <f ca="1">IFERROR(__xludf.DUMMYFUNCTION("""COMPUTED_VALUE"""),311)</f>
        <v>311</v>
      </c>
      <c r="N95" s="1" t="str">
        <f ca="1">IFERROR(__xludf.DUMMYFUNCTION("""COMPUTED_VALUE"""),"+1.18")</f>
        <v>+1.18</v>
      </c>
      <c r="O95" s="1">
        <f ca="1">IFERROR(__xludf.DUMMYFUNCTION("""COMPUTED_VALUE"""),133)</f>
        <v>133</v>
      </c>
      <c r="P95" s="1">
        <f ca="1">IFERROR(__xludf.DUMMYFUNCTION("""COMPUTED_VALUE"""),105.1)</f>
        <v>105.1</v>
      </c>
      <c r="Q95" s="1">
        <f ca="1">IFERROR(__xludf.DUMMYFUNCTION("""COMPUTED_VALUE"""),134)</f>
        <v>134</v>
      </c>
      <c r="R95" s="1">
        <f ca="1">IFERROR(__xludf.DUMMYFUNCTION("""COMPUTED_VALUE"""),103.9)</f>
        <v>103.9</v>
      </c>
      <c r="S95" s="1">
        <f ca="1">IFERROR(__xludf.DUMMYFUNCTION("""COMPUTED_VALUE"""),140)</f>
        <v>140</v>
      </c>
      <c r="T95" s="1" t="str">
        <f ca="1">IFERROR(__xludf.DUMMYFUNCTION("""COMPUTED_VALUE"""),"+4.39")</f>
        <v>+4.39</v>
      </c>
      <c r="U95" s="1">
        <f ca="1">IFERROR(__xludf.DUMMYFUNCTION("""COMPUTED_VALUE"""),62)</f>
        <v>62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IFERROR(__xludf.DUMMYFUNCTION("""COMPUTED_VALUE"""),"Utah St.6")</f>
        <v>Utah St.6</v>
      </c>
      <c r="C96" s="1" t="str">
        <f ca="1">IFERROR(__xludf.DUMMYFUNCTION("""COMPUTED_VALUE"""),"WAC")</f>
        <v>WAC</v>
      </c>
      <c r="D96" s="1" t="str">
        <f ca="1">IFERROR(__xludf.DUMMYFUNCTION("""COMPUTED_VALUE"""),"23-12")</f>
        <v>23-12</v>
      </c>
      <c r="E96" s="1" t="str">
        <f ca="1">IFERROR(__xludf.DUMMYFUNCTION("""COMPUTED_VALUE"""),"+7.82")</f>
        <v>+7.82</v>
      </c>
      <c r="F96" s="1">
        <f ca="1">IFERROR(__xludf.DUMMYFUNCTION("""COMPUTED_VALUE"""),111.2)</f>
        <v>111.2</v>
      </c>
      <c r="G96" s="1">
        <f ca="1">IFERROR(__xludf.DUMMYFUNCTION("""COMPUTED_VALUE"""),68)</f>
        <v>68</v>
      </c>
      <c r="H96" s="1">
        <f ca="1">IFERROR(__xludf.DUMMYFUNCTION("""COMPUTED_VALUE"""),103.4)</f>
        <v>103.4</v>
      </c>
      <c r="I96" s="1">
        <f ca="1">IFERROR(__xludf.DUMMYFUNCTION("""COMPUTED_VALUE"""),147)</f>
        <v>147</v>
      </c>
      <c r="J96" s="1">
        <f ca="1">IFERROR(__xludf.DUMMYFUNCTION("""COMPUTED_VALUE"""),63.5)</f>
        <v>63.5</v>
      </c>
      <c r="K96" s="1">
        <f ca="1">IFERROR(__xludf.DUMMYFUNCTION("""COMPUTED_VALUE"""),257)</f>
        <v>257</v>
      </c>
      <c r="L96" s="1" t="str">
        <f ca="1">IFERROR(__xludf.DUMMYFUNCTION("""COMPUTED_VALUE"""),"+.039")</f>
        <v>+.039</v>
      </c>
      <c r="M96" s="1">
        <f ca="1">IFERROR(__xludf.DUMMYFUNCTION("""COMPUTED_VALUE"""),79)</f>
        <v>79</v>
      </c>
      <c r="N96" s="1" t="str">
        <f ca="1">IFERROR(__xludf.DUMMYFUNCTION("""COMPUTED_VALUE"""),"+2.72")</f>
        <v>+2.72</v>
      </c>
      <c r="O96" s="1">
        <f ca="1">IFERROR(__xludf.DUMMYFUNCTION("""COMPUTED_VALUE"""),109)</f>
        <v>109</v>
      </c>
      <c r="P96" s="1">
        <f ca="1">IFERROR(__xludf.DUMMYFUNCTION("""COMPUTED_VALUE"""),105.4)</f>
        <v>105.4</v>
      </c>
      <c r="Q96" s="1">
        <f ca="1">IFERROR(__xludf.DUMMYFUNCTION("""COMPUTED_VALUE"""),125)</f>
        <v>125</v>
      </c>
      <c r="R96" s="1">
        <f ca="1">IFERROR(__xludf.DUMMYFUNCTION("""COMPUTED_VALUE"""),102.7)</f>
        <v>102.7</v>
      </c>
      <c r="S96" s="1">
        <f ca="1">IFERROR(__xludf.DUMMYFUNCTION("""COMPUTED_VALUE"""),103)</f>
        <v>103</v>
      </c>
      <c r="T96" s="1" t="str">
        <f ca="1">IFERROR(__xludf.DUMMYFUNCTION("""COMPUTED_VALUE"""),"+0.15")</f>
        <v>+0.15</v>
      </c>
      <c r="U96" s="1">
        <f ca="1">IFERROR(__xludf.DUMMYFUNCTION("""COMPUTED_VALUE"""),151)</f>
        <v>151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IFERROR(__xludf.DUMMYFUNCTION("""COMPUTED_VALUE"""),"Texas A&amp;M Corpus Chris15")</f>
        <v>Texas A&amp;M Corpus Chris15</v>
      </c>
      <c r="C97" s="1" t="str">
        <f ca="1">IFERROR(__xludf.DUMMYFUNCTION("""COMPUTED_VALUE"""),"Slnd")</f>
        <v>Slnd</v>
      </c>
      <c r="D97" s="1" t="str">
        <f ca="1">IFERROR(__xludf.DUMMYFUNCTION("""COMPUTED_VALUE"""),"26-7")</f>
        <v>26-7</v>
      </c>
      <c r="E97" s="1" t="str">
        <f ca="1">IFERROR(__xludf.DUMMYFUNCTION("""COMPUTED_VALUE"""),"+7.76")</f>
        <v>+7.76</v>
      </c>
      <c r="F97" s="1">
        <f ca="1">IFERROR(__xludf.DUMMYFUNCTION("""COMPUTED_VALUE"""),114.1)</f>
        <v>114.1</v>
      </c>
      <c r="G97" s="1">
        <f ca="1">IFERROR(__xludf.DUMMYFUNCTION("""COMPUTED_VALUE"""),34)</f>
        <v>34</v>
      </c>
      <c r="H97" s="1">
        <f ca="1">IFERROR(__xludf.DUMMYFUNCTION("""COMPUTED_VALUE"""),106.4)</f>
        <v>106.4</v>
      </c>
      <c r="I97" s="1">
        <f ca="1">IFERROR(__xludf.DUMMYFUNCTION("""COMPUTED_VALUE"""),200)</f>
        <v>200</v>
      </c>
      <c r="J97" s="1">
        <f ca="1">IFERROR(__xludf.DUMMYFUNCTION("""COMPUTED_VALUE"""),68.1)</f>
        <v>68.099999999999994</v>
      </c>
      <c r="K97" s="1">
        <f ca="1">IFERROR(__xludf.DUMMYFUNCTION("""COMPUTED_VALUE"""),78)</f>
        <v>78</v>
      </c>
      <c r="L97" s="1" t="str">
        <f ca="1">IFERROR(__xludf.DUMMYFUNCTION("""COMPUTED_VALUE"""),"+.057")</f>
        <v>+.057</v>
      </c>
      <c r="M97" s="1">
        <f ca="1">IFERROR(__xludf.DUMMYFUNCTION("""COMPUTED_VALUE"""),45)</f>
        <v>45</v>
      </c>
      <c r="N97" s="1">
        <f ca="1">IFERROR(__xludf.DUMMYFUNCTION("""COMPUTED_VALUE"""),-5.12)</f>
        <v>-5.12</v>
      </c>
      <c r="O97" s="1">
        <f ca="1">IFERROR(__xludf.DUMMYFUNCTION("""COMPUTED_VALUE"""),248)</f>
        <v>248</v>
      </c>
      <c r="P97" s="1">
        <f ca="1">IFERROR(__xludf.DUMMYFUNCTION("""COMPUTED_VALUE"""),100.8)</f>
        <v>100.8</v>
      </c>
      <c r="Q97" s="1">
        <f ca="1">IFERROR(__xludf.DUMMYFUNCTION("""COMPUTED_VALUE"""),278)</f>
        <v>278</v>
      </c>
      <c r="R97" s="1">
        <f ca="1">IFERROR(__xludf.DUMMYFUNCTION("""COMPUTED_VALUE"""),105.9)</f>
        <v>105.9</v>
      </c>
      <c r="S97" s="1">
        <f ca="1">IFERROR(__xludf.DUMMYFUNCTION("""COMPUTED_VALUE"""),208)</f>
        <v>208</v>
      </c>
      <c r="T97" s="1" t="str">
        <f ca="1">IFERROR(__xludf.DUMMYFUNCTION("""COMPUTED_VALUE"""),"+2.12")</f>
        <v>+2.12</v>
      </c>
      <c r="U97" s="1">
        <f ca="1">IFERROR(__xludf.DUMMYFUNCTION("""COMPUTED_VALUE"""),97)</f>
        <v>97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IFERROR(__xludf.DUMMYFUNCTION("""COMPUTED_VALUE"""),"Penn14")</f>
        <v>Penn14</v>
      </c>
      <c r="C98" s="1" t="str">
        <f ca="1">IFERROR(__xludf.DUMMYFUNCTION("""COMPUTED_VALUE"""),"Ivy")</f>
        <v>Ivy</v>
      </c>
      <c r="D98" s="1" t="str">
        <f ca="1">IFERROR(__xludf.DUMMYFUNCTION("""COMPUTED_VALUE"""),"22-9")</f>
        <v>22-9</v>
      </c>
      <c r="E98" s="1" t="str">
        <f ca="1">IFERROR(__xludf.DUMMYFUNCTION("""COMPUTED_VALUE"""),"+7.69")</f>
        <v>+7.69</v>
      </c>
      <c r="F98" s="1">
        <f ca="1">IFERROR(__xludf.DUMMYFUNCTION("""COMPUTED_VALUE"""),109.8)</f>
        <v>109.8</v>
      </c>
      <c r="G98" s="1">
        <f ca="1">IFERROR(__xludf.DUMMYFUNCTION("""COMPUTED_VALUE"""),85)</f>
        <v>85</v>
      </c>
      <c r="H98" s="1">
        <f ca="1">IFERROR(__xludf.DUMMYFUNCTION("""COMPUTED_VALUE"""),102.1)</f>
        <v>102.1</v>
      </c>
      <c r="I98" s="1">
        <f ca="1">IFERROR(__xludf.DUMMYFUNCTION("""COMPUTED_VALUE"""),125)</f>
        <v>125</v>
      </c>
      <c r="J98" s="1">
        <f ca="1">IFERROR(__xludf.DUMMYFUNCTION("""COMPUTED_VALUE"""),67.9)</f>
        <v>67.900000000000006</v>
      </c>
      <c r="K98" s="1">
        <f ca="1">IFERROR(__xludf.DUMMYFUNCTION("""COMPUTED_VALUE"""),82)</f>
        <v>82</v>
      </c>
      <c r="L98" s="1" t="str">
        <f ca="1">IFERROR(__xludf.DUMMYFUNCTION("""COMPUTED_VALUE"""),"+.047")</f>
        <v>+.047</v>
      </c>
      <c r="M98" s="1">
        <f ca="1">IFERROR(__xludf.DUMMYFUNCTION("""COMPUTED_VALUE"""),68)</f>
        <v>68</v>
      </c>
      <c r="N98" s="1">
        <f ca="1">IFERROR(__xludf.DUMMYFUNCTION("""COMPUTED_VALUE"""),-2.74)</f>
        <v>-2.74</v>
      </c>
      <c r="O98" s="1">
        <f ca="1">IFERROR(__xludf.DUMMYFUNCTION("""COMPUTED_VALUE"""),192)</f>
        <v>192</v>
      </c>
      <c r="P98" s="1">
        <f ca="1">IFERROR(__xludf.DUMMYFUNCTION("""COMPUTED_VALUE"""),102.5)</f>
        <v>102.5</v>
      </c>
      <c r="Q98" s="1">
        <f ca="1">IFERROR(__xludf.DUMMYFUNCTION("""COMPUTED_VALUE"""),213)</f>
        <v>213</v>
      </c>
      <c r="R98" s="1">
        <f ca="1">IFERROR(__xludf.DUMMYFUNCTION("""COMPUTED_VALUE"""),105.3)</f>
        <v>105.3</v>
      </c>
      <c r="S98" s="1">
        <f ca="1">IFERROR(__xludf.DUMMYFUNCTION("""COMPUTED_VALUE"""),178)</f>
        <v>178</v>
      </c>
      <c r="T98" s="1" t="str">
        <f ca="1">IFERROR(__xludf.DUMMYFUNCTION("""COMPUTED_VALUE"""),"+1.14")</f>
        <v>+1.14</v>
      </c>
      <c r="U98" s="1">
        <f ca="1">IFERROR(__xludf.DUMMYFUNCTION("""COMPUTED_VALUE"""),127)</f>
        <v>127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IFERROR(__xludf.DUMMYFUNCTION("""COMPUTED_VALUE"""),"Holy Cross13")</f>
        <v>Holy Cross13</v>
      </c>
      <c r="C99" s="1" t="str">
        <f ca="1">IFERROR(__xludf.DUMMYFUNCTION("""COMPUTED_VALUE"""),"Pat")</f>
        <v>Pat</v>
      </c>
      <c r="D99" s="1" t="str">
        <f ca="1">IFERROR(__xludf.DUMMYFUNCTION("""COMPUTED_VALUE"""),"25-9")</f>
        <v>25-9</v>
      </c>
      <c r="E99" s="1" t="str">
        <f ca="1">IFERROR(__xludf.DUMMYFUNCTION("""COMPUTED_VALUE"""),"+7.40")</f>
        <v>+7.40</v>
      </c>
      <c r="F99" s="1">
        <f ca="1">IFERROR(__xludf.DUMMYFUNCTION("""COMPUTED_VALUE"""),103)</f>
        <v>103</v>
      </c>
      <c r="G99" s="1">
        <f ca="1">IFERROR(__xludf.DUMMYFUNCTION("""COMPUTED_VALUE"""),186)</f>
        <v>186</v>
      </c>
      <c r="H99" s="1">
        <f ca="1">IFERROR(__xludf.DUMMYFUNCTION("""COMPUTED_VALUE"""),95.6)</f>
        <v>95.6</v>
      </c>
      <c r="I99" s="1">
        <f ca="1">IFERROR(__xludf.DUMMYFUNCTION("""COMPUTED_VALUE"""),39)</f>
        <v>39</v>
      </c>
      <c r="J99" s="1">
        <f ca="1">IFERROR(__xludf.DUMMYFUNCTION("""COMPUTED_VALUE"""),62.5)</f>
        <v>62.5</v>
      </c>
      <c r="K99" s="1">
        <f ca="1">IFERROR(__xludf.DUMMYFUNCTION("""COMPUTED_VALUE"""),293)</f>
        <v>293</v>
      </c>
      <c r="L99" s="1" t="str">
        <f ca="1">IFERROR(__xludf.DUMMYFUNCTION("""COMPUTED_VALUE"""),"+.025")</f>
        <v>+.025</v>
      </c>
      <c r="M99" s="1">
        <f ca="1">IFERROR(__xludf.DUMMYFUNCTION("""COMPUTED_VALUE"""),119)</f>
        <v>119</v>
      </c>
      <c r="N99" s="1">
        <f ca="1">IFERROR(__xludf.DUMMYFUNCTION("""COMPUTED_VALUE"""),-3.7)</f>
        <v>-3.7</v>
      </c>
      <c r="O99" s="1">
        <f ca="1">IFERROR(__xludf.DUMMYFUNCTION("""COMPUTED_VALUE"""),213)</f>
        <v>213</v>
      </c>
      <c r="P99" s="1">
        <f ca="1">IFERROR(__xludf.DUMMYFUNCTION("""COMPUTED_VALUE"""),101.5)</f>
        <v>101.5</v>
      </c>
      <c r="Q99" s="1">
        <f ca="1">IFERROR(__xludf.DUMMYFUNCTION("""COMPUTED_VALUE"""),254)</f>
        <v>254</v>
      </c>
      <c r="R99" s="1">
        <f ca="1">IFERROR(__xludf.DUMMYFUNCTION("""COMPUTED_VALUE"""),105.2)</f>
        <v>105.2</v>
      </c>
      <c r="S99" s="1">
        <f ca="1">IFERROR(__xludf.DUMMYFUNCTION("""COMPUTED_VALUE"""),175)</f>
        <v>175</v>
      </c>
      <c r="T99" s="1" t="str">
        <f ca="1">IFERROR(__xludf.DUMMYFUNCTION("""COMPUTED_VALUE"""),"+0.98")</f>
        <v>+0.98</v>
      </c>
      <c r="U99" s="1">
        <f ca="1">IFERROR(__xludf.DUMMYFUNCTION("""COMPUTED_VALUE"""),130)</f>
        <v>130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IFERROR(__xludf.DUMMYFUNCTION("""COMPUTED_VALUE"""),"Houston")</f>
        <v>Houston</v>
      </c>
      <c r="C100" s="1" t="str">
        <f ca="1">IFERROR(__xludf.DUMMYFUNCTION("""COMPUTED_VALUE"""),"CUSA")</f>
        <v>CUSA</v>
      </c>
      <c r="D100" s="1" t="str">
        <f ca="1">IFERROR(__xludf.DUMMYFUNCTION("""COMPUTED_VALUE"""),"18-15")</f>
        <v>18-15</v>
      </c>
      <c r="E100" s="1" t="str">
        <f ca="1">IFERROR(__xludf.DUMMYFUNCTION("""COMPUTED_VALUE"""),"+7.30")</f>
        <v>+7.30</v>
      </c>
      <c r="F100" s="1">
        <f ca="1">IFERROR(__xludf.DUMMYFUNCTION("""COMPUTED_VALUE"""),107.1)</f>
        <v>107.1</v>
      </c>
      <c r="G100" s="1">
        <f ca="1">IFERROR(__xludf.DUMMYFUNCTION("""COMPUTED_VALUE"""),121)</f>
        <v>121</v>
      </c>
      <c r="H100" s="1">
        <f ca="1">IFERROR(__xludf.DUMMYFUNCTION("""COMPUTED_VALUE"""),99.8)</f>
        <v>99.8</v>
      </c>
      <c r="I100" s="1">
        <f ca="1">IFERROR(__xludf.DUMMYFUNCTION("""COMPUTED_VALUE"""),85)</f>
        <v>85</v>
      </c>
      <c r="J100" s="1">
        <f ca="1">IFERROR(__xludf.DUMMYFUNCTION("""COMPUTED_VALUE"""),68.8)</f>
        <v>68.8</v>
      </c>
      <c r="K100" s="1">
        <f ca="1">IFERROR(__xludf.DUMMYFUNCTION("""COMPUTED_VALUE"""),62)</f>
        <v>62</v>
      </c>
      <c r="L100" s="1">
        <f ca="1">IFERROR(__xludf.DUMMYFUNCTION("""COMPUTED_VALUE"""),-0.023)</f>
        <v>-2.3E-2</v>
      </c>
      <c r="M100" s="1">
        <f ca="1">IFERROR(__xludf.DUMMYFUNCTION("""COMPUTED_VALUE"""),237)</f>
        <v>237</v>
      </c>
      <c r="N100" s="1" t="str">
        <f ca="1">IFERROR(__xludf.DUMMYFUNCTION("""COMPUTED_VALUE"""),"+3.89")</f>
        <v>+3.89</v>
      </c>
      <c r="O100" s="1">
        <f ca="1">IFERROR(__xludf.DUMMYFUNCTION("""COMPUTED_VALUE"""),93)</f>
        <v>93</v>
      </c>
      <c r="P100" s="1">
        <f ca="1">IFERROR(__xludf.DUMMYFUNCTION("""COMPUTED_VALUE"""),105.7)</f>
        <v>105.7</v>
      </c>
      <c r="Q100" s="1">
        <f ca="1">IFERROR(__xludf.DUMMYFUNCTION("""COMPUTED_VALUE"""),112)</f>
        <v>112</v>
      </c>
      <c r="R100" s="1">
        <f ca="1">IFERROR(__xludf.DUMMYFUNCTION("""COMPUTED_VALUE"""),101.8)</f>
        <v>101.8</v>
      </c>
      <c r="S100" s="1">
        <f ca="1">IFERROR(__xludf.DUMMYFUNCTION("""COMPUTED_VALUE"""),82)</f>
        <v>82</v>
      </c>
      <c r="T100" s="1" t="str">
        <f ca="1">IFERROR(__xludf.DUMMYFUNCTION("""COMPUTED_VALUE"""),"+4.48")</f>
        <v>+4.48</v>
      </c>
      <c r="U100" s="1">
        <f ca="1">IFERROR(__xludf.DUMMYFUNCTION("""COMPUTED_VALUE"""),58)</f>
        <v>58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IFERROR(__xludf.DUMMYFUNCTION("""COMPUTED_VALUE"""),"George Washington11")</f>
        <v>George Washington11</v>
      </c>
      <c r="C101" s="1" t="str">
        <f ca="1">IFERROR(__xludf.DUMMYFUNCTION("""COMPUTED_VALUE"""),"A10")</f>
        <v>A10</v>
      </c>
      <c r="D101" s="1" t="str">
        <f ca="1">IFERROR(__xludf.DUMMYFUNCTION("""COMPUTED_VALUE"""),"23-9")</f>
        <v>23-9</v>
      </c>
      <c r="E101" s="1" t="str">
        <f ca="1">IFERROR(__xludf.DUMMYFUNCTION("""COMPUTED_VALUE"""),"+7.28")</f>
        <v>+7.28</v>
      </c>
      <c r="F101" s="1">
        <f ca="1">IFERROR(__xludf.DUMMYFUNCTION("""COMPUTED_VALUE"""),105)</f>
        <v>105</v>
      </c>
      <c r="G101" s="1">
        <f ca="1">IFERROR(__xludf.DUMMYFUNCTION("""COMPUTED_VALUE"""),153)</f>
        <v>153</v>
      </c>
      <c r="H101" s="1">
        <f ca="1">IFERROR(__xludf.DUMMYFUNCTION("""COMPUTED_VALUE"""),97.7)</f>
        <v>97.7</v>
      </c>
      <c r="I101" s="1">
        <f ca="1">IFERROR(__xludf.DUMMYFUNCTION("""COMPUTED_VALUE"""),58)</f>
        <v>58</v>
      </c>
      <c r="J101" s="1">
        <f ca="1">IFERROR(__xludf.DUMMYFUNCTION("""COMPUTED_VALUE"""),66.9)</f>
        <v>66.900000000000006</v>
      </c>
      <c r="K101" s="1">
        <f ca="1">IFERROR(__xludf.DUMMYFUNCTION("""COMPUTED_VALUE"""),117)</f>
        <v>117</v>
      </c>
      <c r="L101" s="1" t="str">
        <f ca="1">IFERROR(__xludf.DUMMYFUNCTION("""COMPUTED_VALUE"""),"+.089")</f>
        <v>+.089</v>
      </c>
      <c r="M101" s="1">
        <f ca="1">IFERROR(__xludf.DUMMYFUNCTION("""COMPUTED_VALUE"""),20)</f>
        <v>20</v>
      </c>
      <c r="N101" s="1">
        <f ca="1">IFERROR(__xludf.DUMMYFUNCTION("""COMPUTED_VALUE"""),-0.57)</f>
        <v>-0.56999999999999995</v>
      </c>
      <c r="O101" s="1">
        <f ca="1">IFERROR(__xludf.DUMMYFUNCTION("""COMPUTED_VALUE"""),163)</f>
        <v>163</v>
      </c>
      <c r="P101" s="1">
        <f ca="1">IFERROR(__xludf.DUMMYFUNCTION("""COMPUTED_VALUE"""),104.7)</f>
        <v>104.7</v>
      </c>
      <c r="Q101" s="1">
        <f ca="1">IFERROR(__xludf.DUMMYFUNCTION("""COMPUTED_VALUE"""),146)</f>
        <v>146</v>
      </c>
      <c r="R101" s="1">
        <f ca="1">IFERROR(__xludf.DUMMYFUNCTION("""COMPUTED_VALUE"""),105.3)</f>
        <v>105.3</v>
      </c>
      <c r="S101" s="1">
        <f ca="1">IFERROR(__xludf.DUMMYFUNCTION("""COMPUTED_VALUE"""),180)</f>
        <v>180</v>
      </c>
      <c r="T101" s="1">
        <f ca="1">IFERROR(__xludf.DUMMYFUNCTION("""COMPUTED_VALUE"""),-5.16)</f>
        <v>-5.16</v>
      </c>
      <c r="U101" s="1">
        <f ca="1">IFERROR(__xludf.DUMMYFUNCTION("""COMPUTED_VALUE"""),283)</f>
        <v>283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IFERROR(__xludf.DUMMYFUNCTION("""COMPUTED_VALUE"""),"New Mexico St.13")</f>
        <v>New Mexico St.13</v>
      </c>
      <c r="C102" s="1" t="str">
        <f ca="1">IFERROR(__xludf.DUMMYFUNCTION("""COMPUTED_VALUE"""),"WAC")</f>
        <v>WAC</v>
      </c>
      <c r="D102" s="1" t="str">
        <f ca="1">IFERROR(__xludf.DUMMYFUNCTION("""COMPUTED_VALUE"""),"25-9")</f>
        <v>25-9</v>
      </c>
      <c r="E102" s="1" t="str">
        <f ca="1">IFERROR(__xludf.DUMMYFUNCTION("""COMPUTED_VALUE"""),"+7.27")</f>
        <v>+7.27</v>
      </c>
      <c r="F102" s="1">
        <f ca="1">IFERROR(__xludf.DUMMYFUNCTION("""COMPUTED_VALUE"""),108.3)</f>
        <v>108.3</v>
      </c>
      <c r="G102" s="1">
        <f ca="1">IFERROR(__xludf.DUMMYFUNCTION("""COMPUTED_VALUE"""),101)</f>
        <v>101</v>
      </c>
      <c r="H102" s="1">
        <f ca="1">IFERROR(__xludf.DUMMYFUNCTION("""COMPUTED_VALUE"""),101.1)</f>
        <v>101.1</v>
      </c>
      <c r="I102" s="1">
        <f ca="1">IFERROR(__xludf.DUMMYFUNCTION("""COMPUTED_VALUE"""),105)</f>
        <v>105</v>
      </c>
      <c r="J102" s="1">
        <f ca="1">IFERROR(__xludf.DUMMYFUNCTION("""COMPUTED_VALUE"""),69.7)</f>
        <v>69.7</v>
      </c>
      <c r="K102" s="1">
        <f ca="1">IFERROR(__xludf.DUMMYFUNCTION("""COMPUTED_VALUE"""),39)</f>
        <v>39</v>
      </c>
      <c r="L102" s="1" t="str">
        <f ca="1">IFERROR(__xludf.DUMMYFUNCTION("""COMPUTED_VALUE"""),"+.035")</f>
        <v>+.035</v>
      </c>
      <c r="M102" s="1">
        <f ca="1">IFERROR(__xludf.DUMMYFUNCTION("""COMPUTED_VALUE"""),87)</f>
        <v>87</v>
      </c>
      <c r="N102" s="1">
        <f ca="1">IFERROR(__xludf.DUMMYFUNCTION("""COMPUTED_VALUE"""),-0.3)</f>
        <v>-0.3</v>
      </c>
      <c r="O102" s="1">
        <f ca="1">IFERROR(__xludf.DUMMYFUNCTION("""COMPUTED_VALUE"""),158)</f>
        <v>158</v>
      </c>
      <c r="P102" s="1">
        <f ca="1">IFERROR(__xludf.DUMMYFUNCTION("""COMPUTED_VALUE"""),104.2)</f>
        <v>104.2</v>
      </c>
      <c r="Q102" s="1">
        <f ca="1">IFERROR(__xludf.DUMMYFUNCTION("""COMPUTED_VALUE"""),159)</f>
        <v>159</v>
      </c>
      <c r="R102" s="1">
        <f ca="1">IFERROR(__xludf.DUMMYFUNCTION("""COMPUTED_VALUE"""),104.5)</f>
        <v>104.5</v>
      </c>
      <c r="S102" s="1">
        <f ca="1">IFERROR(__xludf.DUMMYFUNCTION("""COMPUTED_VALUE"""),161)</f>
        <v>161</v>
      </c>
      <c r="T102" s="1">
        <f ca="1">IFERROR(__xludf.DUMMYFUNCTION("""COMPUTED_VALUE"""),-3.75)</f>
        <v>-3.75</v>
      </c>
      <c r="U102" s="1">
        <f ca="1">IFERROR(__xludf.DUMMYFUNCTION("""COMPUTED_VALUE"""),247)</f>
        <v>247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IFERROR(__xludf.DUMMYFUNCTION("""COMPUTED_VALUE"""),"Saint Joseph's")</f>
        <v>Saint Joseph's</v>
      </c>
      <c r="C103" s="1" t="str">
        <f ca="1">IFERROR(__xludf.DUMMYFUNCTION("""COMPUTED_VALUE"""),"A10")</f>
        <v>A10</v>
      </c>
      <c r="D103" s="1" t="str">
        <f ca="1">IFERROR(__xludf.DUMMYFUNCTION("""COMPUTED_VALUE"""),"18-14")</f>
        <v>18-14</v>
      </c>
      <c r="E103" s="1" t="str">
        <f ca="1">IFERROR(__xludf.DUMMYFUNCTION("""COMPUTED_VALUE"""),"+7.01")</f>
        <v>+7.01</v>
      </c>
      <c r="F103" s="1">
        <f ca="1">IFERROR(__xludf.DUMMYFUNCTION("""COMPUTED_VALUE"""),109.1)</f>
        <v>109.1</v>
      </c>
      <c r="G103" s="1">
        <f ca="1">IFERROR(__xludf.DUMMYFUNCTION("""COMPUTED_VALUE"""),93)</f>
        <v>93</v>
      </c>
      <c r="H103" s="1">
        <f ca="1">IFERROR(__xludf.DUMMYFUNCTION("""COMPUTED_VALUE"""),102.1)</f>
        <v>102.1</v>
      </c>
      <c r="I103" s="1">
        <f ca="1">IFERROR(__xludf.DUMMYFUNCTION("""COMPUTED_VALUE"""),126)</f>
        <v>126</v>
      </c>
      <c r="J103" s="1">
        <f ca="1">IFERROR(__xludf.DUMMYFUNCTION("""COMPUTED_VALUE"""),62.5)</f>
        <v>62.5</v>
      </c>
      <c r="K103" s="1">
        <f ca="1">IFERROR(__xludf.DUMMYFUNCTION("""COMPUTED_VALUE"""),292)</f>
        <v>292</v>
      </c>
      <c r="L103" s="1">
        <f ca="1">IFERROR(__xludf.DUMMYFUNCTION("""COMPUTED_VALUE"""),-0.043)</f>
        <v>-4.2999999999999997E-2</v>
      </c>
      <c r="M103" s="1">
        <f ca="1">IFERROR(__xludf.DUMMYFUNCTION("""COMPUTED_VALUE"""),274)</f>
        <v>274</v>
      </c>
      <c r="N103" s="1" t="str">
        <f ca="1">IFERROR(__xludf.DUMMYFUNCTION("""COMPUTED_VALUE"""),"+2.47")</f>
        <v>+2.47</v>
      </c>
      <c r="O103" s="1">
        <f ca="1">IFERROR(__xludf.DUMMYFUNCTION("""COMPUTED_VALUE"""),113)</f>
        <v>113</v>
      </c>
      <c r="P103" s="1">
        <f ca="1">IFERROR(__xludf.DUMMYFUNCTION("""COMPUTED_VALUE"""),106.6)</f>
        <v>106.6</v>
      </c>
      <c r="Q103" s="1">
        <f ca="1">IFERROR(__xludf.DUMMYFUNCTION("""COMPUTED_VALUE"""),93)</f>
        <v>93</v>
      </c>
      <c r="R103" s="1">
        <f ca="1">IFERROR(__xludf.DUMMYFUNCTION("""COMPUTED_VALUE"""),104.1)</f>
        <v>104.1</v>
      </c>
      <c r="S103" s="1">
        <f ca="1">IFERROR(__xludf.DUMMYFUNCTION("""COMPUTED_VALUE"""),148)</f>
        <v>148</v>
      </c>
      <c r="T103" s="1" t="str">
        <f ca="1">IFERROR(__xludf.DUMMYFUNCTION("""COMPUTED_VALUE"""),"+3.16")</f>
        <v>+3.16</v>
      </c>
      <c r="U103" s="1">
        <f ca="1">IFERROR(__xludf.DUMMYFUNCTION("""COMPUTED_VALUE"""),80)</f>
        <v>80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IFERROR(__xludf.DUMMYFUNCTION("""COMPUTED_VALUE"""),"Bucknell")</f>
        <v>Bucknell</v>
      </c>
      <c r="C104" s="1" t="str">
        <f ca="1">IFERROR(__xludf.DUMMYFUNCTION("""COMPUTED_VALUE"""),"Pat")</f>
        <v>Pat</v>
      </c>
      <c r="D104" s="1" t="str">
        <f ca="1">IFERROR(__xludf.DUMMYFUNCTION("""COMPUTED_VALUE"""),"22-9")</f>
        <v>22-9</v>
      </c>
      <c r="E104" s="1" t="str">
        <f ca="1">IFERROR(__xludf.DUMMYFUNCTION("""COMPUTED_VALUE"""),"+6.83")</f>
        <v>+6.83</v>
      </c>
      <c r="F104" s="1">
        <f ca="1">IFERROR(__xludf.DUMMYFUNCTION("""COMPUTED_VALUE"""),106.6)</f>
        <v>106.6</v>
      </c>
      <c r="G104" s="1">
        <f ca="1">IFERROR(__xludf.DUMMYFUNCTION("""COMPUTED_VALUE"""),133)</f>
        <v>133</v>
      </c>
      <c r="H104" s="1">
        <f ca="1">IFERROR(__xludf.DUMMYFUNCTION("""COMPUTED_VALUE"""),99.7)</f>
        <v>99.7</v>
      </c>
      <c r="I104" s="1">
        <f ca="1">IFERROR(__xludf.DUMMYFUNCTION("""COMPUTED_VALUE"""),83)</f>
        <v>83</v>
      </c>
      <c r="J104" s="1">
        <f ca="1">IFERROR(__xludf.DUMMYFUNCTION("""COMPUTED_VALUE"""),61.3)</f>
        <v>61.3</v>
      </c>
      <c r="K104" s="1">
        <f ca="1">IFERROR(__xludf.DUMMYFUNCTION("""COMPUTED_VALUE"""),308)</f>
        <v>308</v>
      </c>
      <c r="L104" s="1">
        <f ca="1">IFERROR(__xludf.DUMMYFUNCTION("""COMPUTED_VALUE"""),-0.001)</f>
        <v>-1E-3</v>
      </c>
      <c r="M104" s="1">
        <f ca="1">IFERROR(__xludf.DUMMYFUNCTION("""COMPUTED_VALUE"""),183)</f>
        <v>183</v>
      </c>
      <c r="N104" s="1">
        <f ca="1">IFERROR(__xludf.DUMMYFUNCTION("""COMPUTED_VALUE"""),-2.93)</f>
        <v>-2.93</v>
      </c>
      <c r="O104" s="1">
        <f ca="1">IFERROR(__xludf.DUMMYFUNCTION("""COMPUTED_VALUE"""),196)</f>
        <v>196</v>
      </c>
      <c r="P104" s="1">
        <f ca="1">IFERROR(__xludf.DUMMYFUNCTION("""COMPUTED_VALUE"""),101.4)</f>
        <v>101.4</v>
      </c>
      <c r="Q104" s="1">
        <f ca="1">IFERROR(__xludf.DUMMYFUNCTION("""COMPUTED_VALUE"""),257)</f>
        <v>257</v>
      </c>
      <c r="R104" s="1">
        <f ca="1">IFERROR(__xludf.DUMMYFUNCTION("""COMPUTED_VALUE"""),104.3)</f>
        <v>104.3</v>
      </c>
      <c r="S104" s="1">
        <f ca="1">IFERROR(__xludf.DUMMYFUNCTION("""COMPUTED_VALUE"""),154)</f>
        <v>154</v>
      </c>
      <c r="T104" s="1" t="str">
        <f ca="1">IFERROR(__xludf.DUMMYFUNCTION("""COMPUTED_VALUE"""),"+3.81")</f>
        <v>+3.81</v>
      </c>
      <c r="U104" s="1">
        <f ca="1">IFERROR(__xludf.DUMMYFUNCTION("""COMPUTED_VALUE"""),71)</f>
        <v>71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IFERROR(__xludf.DUMMYFUNCTION("""COMPUTED_VALUE"""),"Hofstra6")</f>
        <v>Hofstra6</v>
      </c>
      <c r="C105" s="1" t="str">
        <f ca="1">IFERROR(__xludf.DUMMYFUNCTION("""COMPUTED_VALUE"""),"CAA")</f>
        <v>CAA</v>
      </c>
      <c r="D105" s="1" t="str">
        <f ca="1">IFERROR(__xludf.DUMMYFUNCTION("""COMPUTED_VALUE"""),"22-10")</f>
        <v>22-10</v>
      </c>
      <c r="E105" s="1" t="str">
        <f ca="1">IFERROR(__xludf.DUMMYFUNCTION("""COMPUTED_VALUE"""),"+6.69")</f>
        <v>+6.69</v>
      </c>
      <c r="F105" s="1">
        <f ca="1">IFERROR(__xludf.DUMMYFUNCTION("""COMPUTED_VALUE"""),115.2)</f>
        <v>115.2</v>
      </c>
      <c r="G105" s="1">
        <f ca="1">IFERROR(__xludf.DUMMYFUNCTION("""COMPUTED_VALUE"""),32)</f>
        <v>32</v>
      </c>
      <c r="H105" s="1">
        <f ca="1">IFERROR(__xludf.DUMMYFUNCTION("""COMPUTED_VALUE"""),108.5)</f>
        <v>108.5</v>
      </c>
      <c r="I105" s="1">
        <f ca="1">IFERROR(__xludf.DUMMYFUNCTION("""COMPUTED_VALUE"""),238)</f>
        <v>238</v>
      </c>
      <c r="J105" s="1">
        <f ca="1">IFERROR(__xludf.DUMMYFUNCTION("""COMPUTED_VALUE"""),64.7)</f>
        <v>64.7</v>
      </c>
      <c r="K105" s="1">
        <f ca="1">IFERROR(__xludf.DUMMYFUNCTION("""COMPUTED_VALUE"""),209)</f>
        <v>209</v>
      </c>
      <c r="L105" s="1" t="str">
        <f ca="1">IFERROR(__xludf.DUMMYFUNCTION("""COMPUTED_VALUE"""),"+.053")</f>
        <v>+.053</v>
      </c>
      <c r="M105" s="1">
        <f ca="1">IFERROR(__xludf.DUMMYFUNCTION("""COMPUTED_VALUE"""),55)</f>
        <v>55</v>
      </c>
      <c r="N105" s="1" t="str">
        <f ca="1">IFERROR(__xludf.DUMMYFUNCTION("""COMPUTED_VALUE"""),"+0.89")</f>
        <v>+0.89</v>
      </c>
      <c r="O105" s="1">
        <f ca="1">IFERROR(__xludf.DUMMYFUNCTION("""COMPUTED_VALUE"""),139)</f>
        <v>139</v>
      </c>
      <c r="P105" s="1">
        <f ca="1">IFERROR(__xludf.DUMMYFUNCTION("""COMPUTED_VALUE"""),103.7)</f>
        <v>103.7</v>
      </c>
      <c r="Q105" s="1">
        <f ca="1">IFERROR(__xludf.DUMMYFUNCTION("""COMPUTED_VALUE"""),176)</f>
        <v>176</v>
      </c>
      <c r="R105" s="1">
        <f ca="1">IFERROR(__xludf.DUMMYFUNCTION("""COMPUTED_VALUE"""),102.8)</f>
        <v>102.8</v>
      </c>
      <c r="S105" s="1">
        <f ca="1">IFERROR(__xludf.DUMMYFUNCTION("""COMPUTED_VALUE"""),106)</f>
        <v>106</v>
      </c>
      <c r="T105" s="1" t="str">
        <f ca="1">IFERROR(__xludf.DUMMYFUNCTION("""COMPUTED_VALUE"""),"+2.30")</f>
        <v>+2.30</v>
      </c>
      <c r="U105" s="1">
        <f ca="1">IFERROR(__xludf.DUMMYFUNCTION("""COMPUTED_VALUE"""),92)</f>
        <v>92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IFERROR(__xludf.DUMMYFUNCTION("""COMPUTED_VALUE"""),"Wright St.14")</f>
        <v>Wright St.14</v>
      </c>
      <c r="C106" s="1" t="str">
        <f ca="1">IFERROR(__xludf.DUMMYFUNCTION("""COMPUTED_VALUE"""),"Horz")</f>
        <v>Horz</v>
      </c>
      <c r="D106" s="1" t="str">
        <f ca="1">IFERROR(__xludf.DUMMYFUNCTION("""COMPUTED_VALUE"""),"23-10")</f>
        <v>23-10</v>
      </c>
      <c r="E106" s="1" t="str">
        <f ca="1">IFERROR(__xludf.DUMMYFUNCTION("""COMPUTED_VALUE"""),"+6.66")</f>
        <v>+6.66</v>
      </c>
      <c r="F106" s="1">
        <f ca="1">IFERROR(__xludf.DUMMYFUNCTION("""COMPUTED_VALUE"""),104.5)</f>
        <v>104.5</v>
      </c>
      <c r="G106" s="1">
        <f ca="1">IFERROR(__xludf.DUMMYFUNCTION("""COMPUTED_VALUE"""),165)</f>
        <v>165</v>
      </c>
      <c r="H106" s="1">
        <f ca="1">IFERROR(__xludf.DUMMYFUNCTION("""COMPUTED_VALUE"""),97.8)</f>
        <v>97.8</v>
      </c>
      <c r="I106" s="1">
        <f ca="1">IFERROR(__xludf.DUMMYFUNCTION("""COMPUTED_VALUE"""),59)</f>
        <v>59</v>
      </c>
      <c r="J106" s="1">
        <f ca="1">IFERROR(__xludf.DUMMYFUNCTION("""COMPUTED_VALUE"""),63)</f>
        <v>63</v>
      </c>
      <c r="K106" s="1">
        <f ca="1">IFERROR(__xludf.DUMMYFUNCTION("""COMPUTED_VALUE"""),281)</f>
        <v>281</v>
      </c>
      <c r="L106" s="1" t="str">
        <f ca="1">IFERROR(__xludf.DUMMYFUNCTION("""COMPUTED_VALUE"""),"+.137")</f>
        <v>+.137</v>
      </c>
      <c r="M106" s="1">
        <f ca="1">IFERROR(__xludf.DUMMYFUNCTION("""COMPUTED_VALUE"""),2)</f>
        <v>2</v>
      </c>
      <c r="N106" s="1" t="str">
        <f ca="1">IFERROR(__xludf.DUMMYFUNCTION("""COMPUTED_VALUE"""),"+0.23")</f>
        <v>+0.23</v>
      </c>
      <c r="O106" s="1">
        <f ca="1">IFERROR(__xludf.DUMMYFUNCTION("""COMPUTED_VALUE"""),148)</f>
        <v>148</v>
      </c>
      <c r="P106" s="1">
        <f ca="1">IFERROR(__xludf.DUMMYFUNCTION("""COMPUTED_VALUE"""),105.7)</f>
        <v>105.7</v>
      </c>
      <c r="Q106" s="1">
        <f ca="1">IFERROR(__xludf.DUMMYFUNCTION("""COMPUTED_VALUE"""),118)</f>
        <v>118</v>
      </c>
      <c r="R106" s="1">
        <f ca="1">IFERROR(__xludf.DUMMYFUNCTION("""COMPUTED_VALUE"""),105.5)</f>
        <v>105.5</v>
      </c>
      <c r="S106" s="1">
        <f ca="1">IFERROR(__xludf.DUMMYFUNCTION("""COMPUTED_VALUE"""),187)</f>
        <v>187</v>
      </c>
      <c r="T106" s="1">
        <f ca="1">IFERROR(__xludf.DUMMYFUNCTION("""COMPUTED_VALUE"""),-2.57)</f>
        <v>-2.57</v>
      </c>
      <c r="U106" s="1">
        <f ca="1">IFERROR(__xludf.DUMMYFUNCTION("""COMPUTED_VALUE"""),215)</f>
        <v>215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IFERROR(__xludf.DUMMYFUNCTION("""COMPUTED_VALUE"""),"Utah Valley St.")</f>
        <v>Utah Valley St.</v>
      </c>
      <c r="C107" s="1" t="str">
        <f ca="1">IFERROR(__xludf.DUMMYFUNCTION("""COMPUTED_VALUE"""),"ind")</f>
        <v>ind</v>
      </c>
      <c r="D107" s="1" t="str">
        <f ca="1">IFERROR(__xludf.DUMMYFUNCTION("""COMPUTED_VALUE"""),"22-7")</f>
        <v>22-7</v>
      </c>
      <c r="E107" s="1" t="str">
        <f ca="1">IFERROR(__xludf.DUMMYFUNCTION("""COMPUTED_VALUE"""),"+6.61")</f>
        <v>+6.61</v>
      </c>
      <c r="F107" s="1">
        <f ca="1">IFERROR(__xludf.DUMMYFUNCTION("""COMPUTED_VALUE"""),109.9)</f>
        <v>109.9</v>
      </c>
      <c r="G107" s="1">
        <f ca="1">IFERROR(__xludf.DUMMYFUNCTION("""COMPUTED_VALUE"""),83)</f>
        <v>83</v>
      </c>
      <c r="H107" s="1">
        <f ca="1">IFERROR(__xludf.DUMMYFUNCTION("""COMPUTED_VALUE"""),103.2)</f>
        <v>103.2</v>
      </c>
      <c r="I107" s="1">
        <f ca="1">IFERROR(__xludf.DUMMYFUNCTION("""COMPUTED_VALUE"""),144)</f>
        <v>144</v>
      </c>
      <c r="J107" s="1">
        <f ca="1">IFERROR(__xludf.DUMMYFUNCTION("""COMPUTED_VALUE"""),62.6)</f>
        <v>62.6</v>
      </c>
      <c r="K107" s="1">
        <f ca="1">IFERROR(__xludf.DUMMYFUNCTION("""COMPUTED_VALUE"""),291)</f>
        <v>291</v>
      </c>
      <c r="L107" s="1">
        <f ca="1">IFERROR(__xludf.DUMMYFUNCTION("""COMPUTED_VALUE"""),-0.01)</f>
        <v>-0.01</v>
      </c>
      <c r="M107" s="1">
        <f ca="1">IFERROR(__xludf.DUMMYFUNCTION("""COMPUTED_VALUE"""),205)</f>
        <v>205</v>
      </c>
      <c r="N107" s="1">
        <f ca="1">IFERROR(__xludf.DUMMYFUNCTION("""COMPUTED_VALUE"""),-8.15)</f>
        <v>-8.15</v>
      </c>
      <c r="O107" s="1">
        <f ca="1">IFERROR(__xludf.DUMMYFUNCTION("""COMPUTED_VALUE"""),306)</f>
        <v>306</v>
      </c>
      <c r="P107" s="1">
        <f ca="1">IFERROR(__xludf.DUMMYFUNCTION("""COMPUTED_VALUE"""),100.7)</f>
        <v>100.7</v>
      </c>
      <c r="Q107" s="1">
        <f ca="1">IFERROR(__xludf.DUMMYFUNCTION("""COMPUTED_VALUE"""),283)</f>
        <v>283</v>
      </c>
      <c r="R107" s="1">
        <f ca="1">IFERROR(__xludf.DUMMYFUNCTION("""COMPUTED_VALUE"""),108.9)</f>
        <v>108.9</v>
      </c>
      <c r="S107" s="1">
        <f ca="1">IFERROR(__xludf.DUMMYFUNCTION("""COMPUTED_VALUE"""),325)</f>
        <v>325</v>
      </c>
      <c r="T107" s="1">
        <f ca="1">IFERROR(__xludf.DUMMYFUNCTION("""COMPUTED_VALUE"""),-2.42)</f>
        <v>-2.42</v>
      </c>
      <c r="U107" s="1">
        <f ca="1">IFERROR(__xludf.DUMMYFUNCTION("""COMPUTED_VALUE"""),211)</f>
        <v>211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IFERROR(__xludf.DUMMYFUNCTION("""COMPUTED_VALUE"""),"Wake Forest")</f>
        <v>Wake Forest</v>
      </c>
      <c r="C108" s="1" t="str">
        <f ca="1">IFERROR(__xludf.DUMMYFUNCTION("""COMPUTED_VALUE"""),"ACC")</f>
        <v>ACC</v>
      </c>
      <c r="D108" s="1" t="str">
        <f ca="1">IFERROR(__xludf.DUMMYFUNCTION("""COMPUTED_VALUE"""),"15-16")</f>
        <v>15-16</v>
      </c>
      <c r="E108" s="1" t="str">
        <f ca="1">IFERROR(__xludf.DUMMYFUNCTION("""COMPUTED_VALUE"""),"+6.50")</f>
        <v>+6.50</v>
      </c>
      <c r="F108" s="1">
        <f ca="1">IFERROR(__xludf.DUMMYFUNCTION("""COMPUTED_VALUE"""),107.6)</f>
        <v>107.6</v>
      </c>
      <c r="G108" s="1">
        <f ca="1">IFERROR(__xludf.DUMMYFUNCTION("""COMPUTED_VALUE"""),109)</f>
        <v>109</v>
      </c>
      <c r="H108" s="1">
        <f ca="1">IFERROR(__xludf.DUMMYFUNCTION("""COMPUTED_VALUE"""),101.1)</f>
        <v>101.1</v>
      </c>
      <c r="I108" s="1">
        <f ca="1">IFERROR(__xludf.DUMMYFUNCTION("""COMPUTED_VALUE"""),108)</f>
        <v>108</v>
      </c>
      <c r="J108" s="1">
        <f ca="1">IFERROR(__xludf.DUMMYFUNCTION("""COMPUTED_VALUE"""),70.7)</f>
        <v>70.7</v>
      </c>
      <c r="K108" s="1">
        <f ca="1">IFERROR(__xludf.DUMMYFUNCTION("""COMPUTED_VALUE"""),27)</f>
        <v>27</v>
      </c>
      <c r="L108" s="1" t="str">
        <f ca="1">IFERROR(__xludf.DUMMYFUNCTION("""COMPUTED_VALUE"""),"+.050")</f>
        <v>+.050</v>
      </c>
      <c r="M108" s="1">
        <f ca="1">IFERROR(__xludf.DUMMYFUNCTION("""COMPUTED_VALUE"""),63)</f>
        <v>63</v>
      </c>
      <c r="N108" s="1" t="str">
        <f ca="1">IFERROR(__xludf.DUMMYFUNCTION("""COMPUTED_VALUE"""),"+10.47")</f>
        <v>+10.47</v>
      </c>
      <c r="O108" s="1">
        <f ca="1">IFERROR(__xludf.DUMMYFUNCTION("""COMPUTED_VALUE"""),9)</f>
        <v>9</v>
      </c>
      <c r="P108" s="1">
        <f ca="1">IFERROR(__xludf.DUMMYFUNCTION("""COMPUTED_VALUE"""),110.6)</f>
        <v>110.6</v>
      </c>
      <c r="Q108" s="1">
        <f ca="1">IFERROR(__xludf.DUMMYFUNCTION("""COMPUTED_VALUE"""),6)</f>
        <v>6</v>
      </c>
      <c r="R108" s="1">
        <f ca="1">IFERROR(__xludf.DUMMYFUNCTION("""COMPUTED_VALUE"""),100.2)</f>
        <v>100.2</v>
      </c>
      <c r="S108" s="1">
        <f ca="1">IFERROR(__xludf.DUMMYFUNCTION("""COMPUTED_VALUE"""),29)</f>
        <v>29</v>
      </c>
      <c r="T108" s="1">
        <f ca="1">IFERROR(__xludf.DUMMYFUNCTION("""COMPUTED_VALUE"""),-3.05)</f>
        <v>-3.05</v>
      </c>
      <c r="U108" s="1">
        <f ca="1">IFERROR(__xludf.DUMMYFUNCTION("""COMPUTED_VALUE"""),230)</f>
        <v>230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IFERROR(__xludf.DUMMYFUNCTION("""COMPUTED_VALUE"""),"Saint Mary's")</f>
        <v>Saint Mary's</v>
      </c>
      <c r="C109" s="1" t="str">
        <f ca="1">IFERROR(__xludf.DUMMYFUNCTION("""COMPUTED_VALUE"""),"WCC")</f>
        <v>WCC</v>
      </c>
      <c r="D109" s="1" t="str">
        <f ca="1">IFERROR(__xludf.DUMMYFUNCTION("""COMPUTED_VALUE"""),"17-15")</f>
        <v>17-15</v>
      </c>
      <c r="E109" s="1" t="str">
        <f ca="1">IFERROR(__xludf.DUMMYFUNCTION("""COMPUTED_VALUE"""),"+6.49")</f>
        <v>+6.49</v>
      </c>
      <c r="F109" s="1">
        <f ca="1">IFERROR(__xludf.DUMMYFUNCTION("""COMPUTED_VALUE"""),106.5)</f>
        <v>106.5</v>
      </c>
      <c r="G109" s="1">
        <f ca="1">IFERROR(__xludf.DUMMYFUNCTION("""COMPUTED_VALUE"""),134)</f>
        <v>134</v>
      </c>
      <c r="H109" s="1">
        <f ca="1">IFERROR(__xludf.DUMMYFUNCTION("""COMPUTED_VALUE"""),100)</f>
        <v>100</v>
      </c>
      <c r="I109" s="1">
        <f ca="1">IFERROR(__xludf.DUMMYFUNCTION("""COMPUTED_VALUE"""),88)</f>
        <v>88</v>
      </c>
      <c r="J109" s="1">
        <f ca="1">IFERROR(__xludf.DUMMYFUNCTION("""COMPUTED_VALUE"""),65.1)</f>
        <v>65.099999999999994</v>
      </c>
      <c r="K109" s="1">
        <f ca="1">IFERROR(__xludf.DUMMYFUNCTION("""COMPUTED_VALUE"""),196)</f>
        <v>196</v>
      </c>
      <c r="L109" s="1">
        <f ca="1">IFERROR(__xludf.DUMMYFUNCTION("""COMPUTED_VALUE"""),-0.102)</f>
        <v>-0.10199999999999999</v>
      </c>
      <c r="M109" s="1">
        <f ca="1">IFERROR(__xludf.DUMMYFUNCTION("""COMPUTED_VALUE"""),331)</f>
        <v>331</v>
      </c>
      <c r="N109" s="1" t="str">
        <f ca="1">IFERROR(__xludf.DUMMYFUNCTION("""COMPUTED_VALUE"""),"+1.60")</f>
        <v>+1.60</v>
      </c>
      <c r="O109" s="1">
        <f ca="1">IFERROR(__xludf.DUMMYFUNCTION("""COMPUTED_VALUE"""),127)</f>
        <v>127</v>
      </c>
      <c r="P109" s="1">
        <f ca="1">IFERROR(__xludf.DUMMYFUNCTION("""COMPUTED_VALUE"""),104.2)</f>
        <v>104.2</v>
      </c>
      <c r="Q109" s="1">
        <f ca="1">IFERROR(__xludf.DUMMYFUNCTION("""COMPUTED_VALUE"""),164)</f>
        <v>164</v>
      </c>
      <c r="R109" s="1">
        <f ca="1">IFERROR(__xludf.DUMMYFUNCTION("""COMPUTED_VALUE"""),102.6)</f>
        <v>102.6</v>
      </c>
      <c r="S109" s="1">
        <f ca="1">IFERROR(__xludf.DUMMYFUNCTION("""COMPUTED_VALUE"""),102)</f>
        <v>102</v>
      </c>
      <c r="T109" s="1" t="str">
        <f ca="1">IFERROR(__xludf.DUMMYFUNCTION("""COMPUTED_VALUE"""),"+4.50")</f>
        <v>+4.50</v>
      </c>
      <c r="U109" s="1">
        <f ca="1">IFERROR(__xludf.DUMMYFUNCTION("""COMPUTED_VALUE"""),57)</f>
        <v>57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IFERROR(__xludf.DUMMYFUNCTION("""COMPUTED_VALUE"""),"North Dakota St.")</f>
        <v>North Dakota St.</v>
      </c>
      <c r="C110" s="1" t="str">
        <f ca="1">IFERROR(__xludf.DUMMYFUNCTION("""COMPUTED_VALUE"""),"ind")</f>
        <v>ind</v>
      </c>
      <c r="D110" s="1" t="str">
        <f ca="1">IFERROR(__xludf.DUMMYFUNCTION("""COMPUTED_VALUE"""),"20-8")</f>
        <v>20-8</v>
      </c>
      <c r="E110" s="1" t="str">
        <f ca="1">IFERROR(__xludf.DUMMYFUNCTION("""COMPUTED_VALUE"""),"+6.20")</f>
        <v>+6.20</v>
      </c>
      <c r="F110" s="1">
        <f ca="1">IFERROR(__xludf.DUMMYFUNCTION("""COMPUTED_VALUE"""),109.6)</f>
        <v>109.6</v>
      </c>
      <c r="G110" s="1">
        <f ca="1">IFERROR(__xludf.DUMMYFUNCTION("""COMPUTED_VALUE"""),87)</f>
        <v>87</v>
      </c>
      <c r="H110" s="1">
        <f ca="1">IFERROR(__xludf.DUMMYFUNCTION("""COMPUTED_VALUE"""),103.4)</f>
        <v>103.4</v>
      </c>
      <c r="I110" s="1">
        <f ca="1">IFERROR(__xludf.DUMMYFUNCTION("""COMPUTED_VALUE"""),146)</f>
        <v>146</v>
      </c>
      <c r="J110" s="1">
        <f ca="1">IFERROR(__xludf.DUMMYFUNCTION("""COMPUTED_VALUE"""),67.2)</f>
        <v>67.2</v>
      </c>
      <c r="K110" s="1">
        <f ca="1">IFERROR(__xludf.DUMMYFUNCTION("""COMPUTED_VALUE"""),107)</f>
        <v>107</v>
      </c>
      <c r="L110" s="1">
        <f ca="1">IFERROR(__xludf.DUMMYFUNCTION("""COMPUTED_VALUE"""),-0.075)</f>
        <v>-7.4999999999999997E-2</v>
      </c>
      <c r="M110" s="1">
        <f ca="1">IFERROR(__xludf.DUMMYFUNCTION("""COMPUTED_VALUE"""),315)</f>
        <v>315</v>
      </c>
      <c r="N110" s="1">
        <f ca="1">IFERROR(__xludf.DUMMYFUNCTION("""COMPUTED_VALUE"""),-6.87)</f>
        <v>-6.87</v>
      </c>
      <c r="O110" s="1">
        <f ca="1">IFERROR(__xludf.DUMMYFUNCTION("""COMPUTED_VALUE"""),289)</f>
        <v>289</v>
      </c>
      <c r="P110" s="1">
        <f ca="1">IFERROR(__xludf.DUMMYFUNCTION("""COMPUTED_VALUE"""),99.8)</f>
        <v>99.8</v>
      </c>
      <c r="Q110" s="1">
        <f ca="1">IFERROR(__xludf.DUMMYFUNCTION("""COMPUTED_VALUE"""),308)</f>
        <v>308</v>
      </c>
      <c r="R110" s="1">
        <f ca="1">IFERROR(__xludf.DUMMYFUNCTION("""COMPUTED_VALUE"""),106.6)</f>
        <v>106.6</v>
      </c>
      <c r="S110" s="1">
        <f ca="1">IFERROR(__xludf.DUMMYFUNCTION("""COMPUTED_VALUE"""),243)</f>
        <v>243</v>
      </c>
      <c r="T110" s="1" t="str">
        <f ca="1">IFERROR(__xludf.DUMMYFUNCTION("""COMPUTED_VALUE"""),"+0.89")</f>
        <v>+0.89</v>
      </c>
      <c r="U110" s="1">
        <f ca="1">IFERROR(__xludf.DUMMYFUNCTION("""COMPUTED_VALUE"""),132)</f>
        <v>132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IFERROR(__xludf.DUMMYFUNCTION("""COMPUTED_VALUE"""),"Seton Hall")</f>
        <v>Seton Hall</v>
      </c>
      <c r="C111" s="1" t="str">
        <f ca="1">IFERROR(__xludf.DUMMYFUNCTION("""COMPUTED_VALUE"""),"BE")</f>
        <v>BE</v>
      </c>
      <c r="D111" s="1" t="str">
        <f ca="1">IFERROR(__xludf.DUMMYFUNCTION("""COMPUTED_VALUE"""),"13-16")</f>
        <v>13-16</v>
      </c>
      <c r="E111" s="1" t="str">
        <f ca="1">IFERROR(__xludf.DUMMYFUNCTION("""COMPUTED_VALUE"""),"+6.19")</f>
        <v>+6.19</v>
      </c>
      <c r="F111" s="1">
        <f ca="1">IFERROR(__xludf.DUMMYFUNCTION("""COMPUTED_VALUE"""),108.5)</f>
        <v>108.5</v>
      </c>
      <c r="G111" s="1">
        <f ca="1">IFERROR(__xludf.DUMMYFUNCTION("""COMPUTED_VALUE"""),100)</f>
        <v>100</v>
      </c>
      <c r="H111" s="1">
        <f ca="1">IFERROR(__xludf.DUMMYFUNCTION("""COMPUTED_VALUE"""),102.3)</f>
        <v>102.3</v>
      </c>
      <c r="I111" s="1">
        <f ca="1">IFERROR(__xludf.DUMMYFUNCTION("""COMPUTED_VALUE"""),130)</f>
        <v>130</v>
      </c>
      <c r="J111" s="1">
        <f ca="1">IFERROR(__xludf.DUMMYFUNCTION("""COMPUTED_VALUE"""),70.2)</f>
        <v>70.2</v>
      </c>
      <c r="K111" s="1">
        <f ca="1">IFERROR(__xludf.DUMMYFUNCTION("""COMPUTED_VALUE"""),34)</f>
        <v>34</v>
      </c>
      <c r="L111" s="1">
        <f ca="1">IFERROR(__xludf.DUMMYFUNCTION("""COMPUTED_VALUE"""),-0.1)</f>
        <v>-0.1</v>
      </c>
      <c r="M111" s="1">
        <f ca="1">IFERROR(__xludf.DUMMYFUNCTION("""COMPUTED_VALUE"""),329)</f>
        <v>329</v>
      </c>
      <c r="N111" s="1" t="str">
        <f ca="1">IFERROR(__xludf.DUMMYFUNCTION("""COMPUTED_VALUE"""),"+5.28")</f>
        <v>+5.28</v>
      </c>
      <c r="O111" s="1">
        <f ca="1">IFERROR(__xludf.DUMMYFUNCTION("""COMPUTED_VALUE"""),81)</f>
        <v>81</v>
      </c>
      <c r="P111" s="1">
        <f ca="1">IFERROR(__xludf.DUMMYFUNCTION("""COMPUTED_VALUE"""),107)</f>
        <v>107</v>
      </c>
      <c r="Q111" s="1">
        <f ca="1">IFERROR(__xludf.DUMMYFUNCTION("""COMPUTED_VALUE"""),79)</f>
        <v>79</v>
      </c>
      <c r="R111" s="1">
        <f ca="1">IFERROR(__xludf.DUMMYFUNCTION("""COMPUTED_VALUE"""),101.7)</f>
        <v>101.7</v>
      </c>
      <c r="S111" s="1">
        <f ca="1">IFERROR(__xludf.DUMMYFUNCTION("""COMPUTED_VALUE"""),74)</f>
        <v>74</v>
      </c>
      <c r="T111" s="1">
        <f ca="1">IFERROR(__xludf.DUMMYFUNCTION("""COMPUTED_VALUE"""),-4.38)</f>
        <v>-4.38</v>
      </c>
      <c r="U111" s="1">
        <f ca="1">IFERROR(__xludf.DUMMYFUNCTION("""COMPUTED_VALUE"""),262)</f>
        <v>262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IFERROR(__xludf.DUMMYFUNCTION("""COMPUTED_VALUE"""),"Fresno St.5")</f>
        <v>Fresno St.5</v>
      </c>
      <c r="C112" s="1" t="str">
        <f ca="1">IFERROR(__xludf.DUMMYFUNCTION("""COMPUTED_VALUE"""),"WAC")</f>
        <v>WAC</v>
      </c>
      <c r="D112" s="1" t="str">
        <f ca="1">IFERROR(__xludf.DUMMYFUNCTION("""COMPUTED_VALUE"""),"22-10")</f>
        <v>22-10</v>
      </c>
      <c r="E112" s="1" t="str">
        <f ca="1">IFERROR(__xludf.DUMMYFUNCTION("""COMPUTED_VALUE"""),"+6.18")</f>
        <v>+6.18</v>
      </c>
      <c r="F112" s="1">
        <f ca="1">IFERROR(__xludf.DUMMYFUNCTION("""COMPUTED_VALUE"""),102.5)</f>
        <v>102.5</v>
      </c>
      <c r="G112" s="1">
        <f ca="1">IFERROR(__xludf.DUMMYFUNCTION("""COMPUTED_VALUE"""),196)</f>
        <v>196</v>
      </c>
      <c r="H112" s="1">
        <f ca="1">IFERROR(__xludf.DUMMYFUNCTION("""COMPUTED_VALUE"""),96.3)</f>
        <v>96.3</v>
      </c>
      <c r="I112" s="1">
        <f ca="1">IFERROR(__xludf.DUMMYFUNCTION("""COMPUTED_VALUE"""),46)</f>
        <v>46</v>
      </c>
      <c r="J112" s="1">
        <f ca="1">IFERROR(__xludf.DUMMYFUNCTION("""COMPUTED_VALUE"""),68.7)</f>
        <v>68.7</v>
      </c>
      <c r="K112" s="1">
        <f ca="1">IFERROR(__xludf.DUMMYFUNCTION("""COMPUTED_VALUE"""),64)</f>
        <v>64</v>
      </c>
      <c r="L112" s="1" t="str">
        <f ca="1">IFERROR(__xludf.DUMMYFUNCTION("""COMPUTED_VALUE"""),"+.052")</f>
        <v>+.052</v>
      </c>
      <c r="M112" s="1">
        <f ca="1">IFERROR(__xludf.DUMMYFUNCTION("""COMPUTED_VALUE"""),57)</f>
        <v>57</v>
      </c>
      <c r="N112" s="1">
        <f ca="1">IFERROR(__xludf.DUMMYFUNCTION("""COMPUTED_VALUE"""),-0.26)</f>
        <v>-0.26</v>
      </c>
      <c r="O112" s="1">
        <f ca="1">IFERROR(__xludf.DUMMYFUNCTION("""COMPUTED_VALUE"""),156)</f>
        <v>156</v>
      </c>
      <c r="P112" s="1">
        <f ca="1">IFERROR(__xludf.DUMMYFUNCTION("""COMPUTED_VALUE"""),103.5)</f>
        <v>103.5</v>
      </c>
      <c r="Q112" s="1">
        <f ca="1">IFERROR(__xludf.DUMMYFUNCTION("""COMPUTED_VALUE"""),184)</f>
        <v>184</v>
      </c>
      <c r="R112" s="1">
        <f ca="1">IFERROR(__xludf.DUMMYFUNCTION("""COMPUTED_VALUE"""),103.8)</f>
        <v>103.8</v>
      </c>
      <c r="S112" s="1">
        <f ca="1">IFERROR(__xludf.DUMMYFUNCTION("""COMPUTED_VALUE"""),137)</f>
        <v>137</v>
      </c>
      <c r="T112" s="1">
        <f ca="1">IFERROR(__xludf.DUMMYFUNCTION("""COMPUTED_VALUE"""),-4.67)</f>
        <v>-4.67</v>
      </c>
      <c r="U112" s="1">
        <f ca="1">IFERROR(__xludf.DUMMYFUNCTION("""COMPUTED_VALUE"""),270)</f>
        <v>270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IFERROR(__xludf.DUMMYFUNCTION("""COMPUTED_VALUE"""),"Baylor")</f>
        <v>Baylor</v>
      </c>
      <c r="C113" s="1" t="str">
        <f ca="1">IFERROR(__xludf.DUMMYFUNCTION("""COMPUTED_VALUE"""),"B12")</f>
        <v>B12</v>
      </c>
      <c r="D113" s="1" t="str">
        <f ca="1">IFERROR(__xludf.DUMMYFUNCTION("""COMPUTED_VALUE"""),"15-16")</f>
        <v>15-16</v>
      </c>
      <c r="E113" s="1" t="str">
        <f ca="1">IFERROR(__xludf.DUMMYFUNCTION("""COMPUTED_VALUE"""),"+5.91")</f>
        <v>+5.91</v>
      </c>
      <c r="F113" s="1">
        <f ca="1">IFERROR(__xludf.DUMMYFUNCTION("""COMPUTED_VALUE"""),111)</f>
        <v>111</v>
      </c>
      <c r="G113" s="1">
        <f ca="1">IFERROR(__xludf.DUMMYFUNCTION("""COMPUTED_VALUE"""),73)</f>
        <v>73</v>
      </c>
      <c r="H113" s="1">
        <f ca="1">IFERROR(__xludf.DUMMYFUNCTION("""COMPUTED_VALUE"""),105.1)</f>
        <v>105.1</v>
      </c>
      <c r="I113" s="1">
        <f ca="1">IFERROR(__xludf.DUMMYFUNCTION("""COMPUTED_VALUE"""),173)</f>
        <v>173</v>
      </c>
      <c r="J113" s="1">
        <f ca="1">IFERROR(__xludf.DUMMYFUNCTION("""COMPUTED_VALUE"""),67)</f>
        <v>67</v>
      </c>
      <c r="K113" s="1">
        <f ca="1">IFERROR(__xludf.DUMMYFUNCTION("""COMPUTED_VALUE"""),114)</f>
        <v>114</v>
      </c>
      <c r="L113" s="1">
        <f ca="1">IFERROR(__xludf.DUMMYFUNCTION("""COMPUTED_VALUE"""),-0.058)</f>
        <v>-5.8000000000000003E-2</v>
      </c>
      <c r="M113" s="1">
        <f ca="1">IFERROR(__xludf.DUMMYFUNCTION("""COMPUTED_VALUE"""),299)</f>
        <v>299</v>
      </c>
      <c r="N113" s="1" t="str">
        <f ca="1">IFERROR(__xludf.DUMMYFUNCTION("""COMPUTED_VALUE"""),"+5.37")</f>
        <v>+5.37</v>
      </c>
      <c r="O113" s="1">
        <f ca="1">IFERROR(__xludf.DUMMYFUNCTION("""COMPUTED_VALUE"""),79)</f>
        <v>79</v>
      </c>
      <c r="P113" s="1">
        <f ca="1">IFERROR(__xludf.DUMMYFUNCTION("""COMPUTED_VALUE"""),107.2)</f>
        <v>107.2</v>
      </c>
      <c r="Q113" s="1">
        <f ca="1">IFERROR(__xludf.DUMMYFUNCTION("""COMPUTED_VALUE"""),74)</f>
        <v>74</v>
      </c>
      <c r="R113" s="1">
        <f ca="1">IFERROR(__xludf.DUMMYFUNCTION("""COMPUTED_VALUE"""),101.9)</f>
        <v>101.9</v>
      </c>
      <c r="S113" s="1">
        <f ca="1">IFERROR(__xludf.DUMMYFUNCTION("""COMPUTED_VALUE"""),84)</f>
        <v>84</v>
      </c>
      <c r="T113" s="1">
        <f ca="1">IFERROR(__xludf.DUMMYFUNCTION("""COMPUTED_VALUE"""),-13.41)</f>
        <v>-13.41</v>
      </c>
      <c r="U113" s="1">
        <f ca="1">IFERROR(__xludf.DUMMYFUNCTION("""COMPUTED_VALUE"""),336)</f>
        <v>336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IFERROR(__xludf.DUMMYFUNCTION("""COMPUTED_VALUE"""),"Colorado St.")</f>
        <v>Colorado St.</v>
      </c>
      <c r="C114" s="1" t="str">
        <f ca="1">IFERROR(__xludf.DUMMYFUNCTION("""COMPUTED_VALUE"""),"MWC")</f>
        <v>MWC</v>
      </c>
      <c r="D114" s="1" t="str">
        <f ca="1">IFERROR(__xludf.DUMMYFUNCTION("""COMPUTED_VALUE"""),"17-13")</f>
        <v>17-13</v>
      </c>
      <c r="E114" s="1" t="str">
        <f ca="1">IFERROR(__xludf.DUMMYFUNCTION("""COMPUTED_VALUE"""),"+5.75")</f>
        <v>+5.75</v>
      </c>
      <c r="F114" s="1">
        <f ca="1">IFERROR(__xludf.DUMMYFUNCTION("""COMPUTED_VALUE"""),108.3)</f>
        <v>108.3</v>
      </c>
      <c r="G114" s="1">
        <f ca="1">IFERROR(__xludf.DUMMYFUNCTION("""COMPUTED_VALUE"""),102)</f>
        <v>102</v>
      </c>
      <c r="H114" s="1">
        <f ca="1">IFERROR(__xludf.DUMMYFUNCTION("""COMPUTED_VALUE"""),102.6)</f>
        <v>102.6</v>
      </c>
      <c r="I114" s="1">
        <f ca="1">IFERROR(__xludf.DUMMYFUNCTION("""COMPUTED_VALUE"""),133)</f>
        <v>133</v>
      </c>
      <c r="J114" s="1">
        <f ca="1">IFERROR(__xludf.DUMMYFUNCTION("""COMPUTED_VALUE"""),67.8)</f>
        <v>67.8</v>
      </c>
      <c r="K114" s="1">
        <f ca="1">IFERROR(__xludf.DUMMYFUNCTION("""COMPUTED_VALUE"""),84)</f>
        <v>84</v>
      </c>
      <c r="L114" s="1" t="str">
        <f ca="1">IFERROR(__xludf.DUMMYFUNCTION("""COMPUTED_VALUE"""),"+.010")</f>
        <v>+.010</v>
      </c>
      <c r="M114" s="1">
        <f ca="1">IFERROR(__xludf.DUMMYFUNCTION("""COMPUTED_VALUE"""),155)</f>
        <v>155</v>
      </c>
      <c r="N114" s="1" t="str">
        <f ca="1">IFERROR(__xludf.DUMMYFUNCTION("""COMPUTED_VALUE"""),"+3.89")</f>
        <v>+3.89</v>
      </c>
      <c r="O114" s="1">
        <f ca="1">IFERROR(__xludf.DUMMYFUNCTION("""COMPUTED_VALUE"""),94)</f>
        <v>94</v>
      </c>
      <c r="P114" s="1">
        <f ca="1">IFERROR(__xludf.DUMMYFUNCTION("""COMPUTED_VALUE"""),106.8)</f>
        <v>106.8</v>
      </c>
      <c r="Q114" s="1">
        <f ca="1">IFERROR(__xludf.DUMMYFUNCTION("""COMPUTED_VALUE"""),85)</f>
        <v>85</v>
      </c>
      <c r="R114" s="1">
        <f ca="1">IFERROR(__xludf.DUMMYFUNCTION("""COMPUTED_VALUE"""),102.9)</f>
        <v>102.9</v>
      </c>
      <c r="S114" s="1">
        <f ca="1">IFERROR(__xludf.DUMMYFUNCTION("""COMPUTED_VALUE"""),107)</f>
        <v>107</v>
      </c>
      <c r="T114" s="1">
        <f ca="1">IFERROR(__xludf.DUMMYFUNCTION("""COMPUTED_VALUE"""),-4.48)</f>
        <v>-4.4800000000000004</v>
      </c>
      <c r="U114" s="1">
        <f ca="1">IFERROR(__xludf.DUMMYFUNCTION("""COMPUTED_VALUE"""),265)</f>
        <v>265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IFERROR(__xludf.DUMMYFUNCTION("""COMPUTED_VALUE"""),"Miami FL")</f>
        <v>Miami FL</v>
      </c>
      <c r="C115" s="1" t="str">
        <f ca="1">IFERROR(__xludf.DUMMYFUNCTION("""COMPUTED_VALUE"""),"ACC")</f>
        <v>ACC</v>
      </c>
      <c r="D115" s="2">
        <f ca="1">IFERROR(__xludf.DUMMYFUNCTION("""COMPUTED_VALUE"""),44915)</f>
        <v>44915</v>
      </c>
      <c r="E115" s="1" t="str">
        <f ca="1">IFERROR(__xludf.DUMMYFUNCTION("""COMPUTED_VALUE"""),"+5.73")</f>
        <v>+5.73</v>
      </c>
      <c r="F115" s="1">
        <f ca="1">IFERROR(__xludf.DUMMYFUNCTION("""COMPUTED_VALUE"""),113.2)</f>
        <v>113.2</v>
      </c>
      <c r="G115" s="1">
        <f ca="1">IFERROR(__xludf.DUMMYFUNCTION("""COMPUTED_VALUE"""),45)</f>
        <v>45</v>
      </c>
      <c r="H115" s="1">
        <f ca="1">IFERROR(__xludf.DUMMYFUNCTION("""COMPUTED_VALUE"""),107.5)</f>
        <v>107.5</v>
      </c>
      <c r="I115" s="1">
        <f ca="1">IFERROR(__xludf.DUMMYFUNCTION("""COMPUTED_VALUE"""),222)</f>
        <v>222</v>
      </c>
      <c r="J115" s="1">
        <f ca="1">IFERROR(__xludf.DUMMYFUNCTION("""COMPUTED_VALUE"""),63.4)</f>
        <v>63.4</v>
      </c>
      <c r="K115" s="1">
        <f ca="1">IFERROR(__xludf.DUMMYFUNCTION("""COMPUTED_VALUE"""),261)</f>
        <v>261</v>
      </c>
      <c r="L115" s="1">
        <f ca="1">IFERROR(__xludf.DUMMYFUNCTION("""COMPUTED_VALUE"""),-0.077)</f>
        <v>-7.6999999999999999E-2</v>
      </c>
      <c r="M115" s="1">
        <f ca="1">IFERROR(__xludf.DUMMYFUNCTION("""COMPUTED_VALUE"""),318)</f>
        <v>318</v>
      </c>
      <c r="N115" s="1" t="str">
        <f ca="1">IFERROR(__xludf.DUMMYFUNCTION("""COMPUTED_VALUE"""),"+9.02")</f>
        <v>+9.02</v>
      </c>
      <c r="O115" s="1">
        <f ca="1">IFERROR(__xludf.DUMMYFUNCTION("""COMPUTED_VALUE"""),29)</f>
        <v>29</v>
      </c>
      <c r="P115" s="1">
        <f ca="1">IFERROR(__xludf.DUMMYFUNCTION("""COMPUTED_VALUE"""),109.3)</f>
        <v>109.3</v>
      </c>
      <c r="Q115" s="1">
        <f ca="1">IFERROR(__xludf.DUMMYFUNCTION("""COMPUTED_VALUE"""),24)</f>
        <v>24</v>
      </c>
      <c r="R115" s="1">
        <f ca="1">IFERROR(__xludf.DUMMYFUNCTION("""COMPUTED_VALUE"""),100.3)</f>
        <v>100.3</v>
      </c>
      <c r="S115" s="1">
        <f ca="1">IFERROR(__xludf.DUMMYFUNCTION("""COMPUTED_VALUE"""),34)</f>
        <v>34</v>
      </c>
      <c r="T115" s="1">
        <f ca="1">IFERROR(__xludf.DUMMYFUNCTION("""COMPUTED_VALUE"""),-4.34)</f>
        <v>-4.34</v>
      </c>
      <c r="U115" s="1">
        <f ca="1">IFERROR(__xludf.DUMMYFUNCTION("""COMPUTED_VALUE"""),258)</f>
        <v>258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IFERROR(__xludf.DUMMYFUNCTION("""COMPUTED_VALUE"""),"Drake")</f>
        <v>Drake</v>
      </c>
      <c r="C116" s="1" t="str">
        <f ca="1">IFERROR(__xludf.DUMMYFUNCTION("""COMPUTED_VALUE"""),"MVC")</f>
        <v>MVC</v>
      </c>
      <c r="D116" s="1" t="str">
        <f ca="1">IFERROR(__xludf.DUMMYFUNCTION("""COMPUTED_VALUE"""),"17-15")</f>
        <v>17-15</v>
      </c>
      <c r="E116" s="1" t="str">
        <f ca="1">IFERROR(__xludf.DUMMYFUNCTION("""COMPUTED_VALUE"""),"+5.64")</f>
        <v>+5.64</v>
      </c>
      <c r="F116" s="1">
        <f ca="1">IFERROR(__xludf.DUMMYFUNCTION("""COMPUTED_VALUE"""),113.8)</f>
        <v>113.8</v>
      </c>
      <c r="G116" s="1">
        <f ca="1">IFERROR(__xludf.DUMMYFUNCTION("""COMPUTED_VALUE"""),37)</f>
        <v>37</v>
      </c>
      <c r="H116" s="1">
        <f ca="1">IFERROR(__xludf.DUMMYFUNCTION("""COMPUTED_VALUE"""),108.2)</f>
        <v>108.2</v>
      </c>
      <c r="I116" s="1">
        <f ca="1">IFERROR(__xludf.DUMMYFUNCTION("""COMPUTED_VALUE"""),232)</f>
        <v>232</v>
      </c>
      <c r="J116" s="1">
        <f ca="1">IFERROR(__xludf.DUMMYFUNCTION("""COMPUTED_VALUE"""),67.6)</f>
        <v>67.599999999999994</v>
      </c>
      <c r="K116" s="1">
        <f ca="1">IFERROR(__xludf.DUMMYFUNCTION("""COMPUTED_VALUE"""),92)</f>
        <v>92</v>
      </c>
      <c r="L116" s="1" t="str">
        <f ca="1">IFERROR(__xludf.DUMMYFUNCTION("""COMPUTED_VALUE"""),"+.052")</f>
        <v>+.052</v>
      </c>
      <c r="M116" s="1">
        <f ca="1">IFERROR(__xludf.DUMMYFUNCTION("""COMPUTED_VALUE"""),58)</f>
        <v>58</v>
      </c>
      <c r="N116" s="1" t="str">
        <f ca="1">IFERROR(__xludf.DUMMYFUNCTION("""COMPUTED_VALUE"""),"+6.22")</f>
        <v>+6.22</v>
      </c>
      <c r="O116" s="1">
        <f ca="1">IFERROR(__xludf.DUMMYFUNCTION("""COMPUTED_VALUE"""),69)</f>
        <v>69</v>
      </c>
      <c r="P116" s="1">
        <f ca="1">IFERROR(__xludf.DUMMYFUNCTION("""COMPUTED_VALUE"""),107.7)</f>
        <v>107.7</v>
      </c>
      <c r="Q116" s="1">
        <f ca="1">IFERROR(__xludf.DUMMYFUNCTION("""COMPUTED_VALUE"""),63)</f>
        <v>63</v>
      </c>
      <c r="R116" s="1">
        <f ca="1">IFERROR(__xludf.DUMMYFUNCTION("""COMPUTED_VALUE"""),101.4)</f>
        <v>101.4</v>
      </c>
      <c r="S116" s="1">
        <f ca="1">IFERROR(__xludf.DUMMYFUNCTION("""COMPUTED_VALUE"""),68)</f>
        <v>68</v>
      </c>
      <c r="T116" s="1">
        <f ca="1">IFERROR(__xludf.DUMMYFUNCTION("""COMPUTED_VALUE"""),-5.09)</f>
        <v>-5.09</v>
      </c>
      <c r="U116" s="1">
        <f ca="1">IFERROR(__xludf.DUMMYFUNCTION("""COMPUTED_VALUE"""),280)</f>
        <v>280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IFERROR(__xludf.DUMMYFUNCTION("""COMPUTED_VALUE"""),"Toledo7")</f>
        <v>Toledo7</v>
      </c>
      <c r="C117" s="1" t="str">
        <f ca="1">IFERROR(__xludf.DUMMYFUNCTION("""COMPUTED_VALUE"""),"MAC")</f>
        <v>MAC</v>
      </c>
      <c r="D117" s="1" t="str">
        <f ca="1">IFERROR(__xludf.DUMMYFUNCTION("""COMPUTED_VALUE"""),"19-13")</f>
        <v>19-13</v>
      </c>
      <c r="E117" s="1" t="str">
        <f ca="1">IFERROR(__xludf.DUMMYFUNCTION("""COMPUTED_VALUE"""),"+5.61")</f>
        <v>+5.61</v>
      </c>
      <c r="F117" s="1">
        <f ca="1">IFERROR(__xludf.DUMMYFUNCTION("""COMPUTED_VALUE"""),105.7)</f>
        <v>105.7</v>
      </c>
      <c r="G117" s="1">
        <f ca="1">IFERROR(__xludf.DUMMYFUNCTION("""COMPUTED_VALUE"""),142)</f>
        <v>142</v>
      </c>
      <c r="H117" s="1">
        <f ca="1">IFERROR(__xludf.DUMMYFUNCTION("""COMPUTED_VALUE"""),100.1)</f>
        <v>100.1</v>
      </c>
      <c r="I117" s="1">
        <f ca="1">IFERROR(__xludf.DUMMYFUNCTION("""COMPUTED_VALUE"""),91)</f>
        <v>91</v>
      </c>
      <c r="J117" s="1">
        <f ca="1">IFERROR(__xludf.DUMMYFUNCTION("""COMPUTED_VALUE"""),66.9)</f>
        <v>66.900000000000006</v>
      </c>
      <c r="K117" s="1">
        <f ca="1">IFERROR(__xludf.DUMMYFUNCTION("""COMPUTED_VALUE"""),119)</f>
        <v>119</v>
      </c>
      <c r="L117" s="1" t="str">
        <f ca="1">IFERROR(__xludf.DUMMYFUNCTION("""COMPUTED_VALUE"""),"+.057")</f>
        <v>+.057</v>
      </c>
      <c r="M117" s="1">
        <f ca="1">IFERROR(__xludf.DUMMYFUNCTION("""COMPUTED_VALUE"""),44)</f>
        <v>44</v>
      </c>
      <c r="N117" s="1" t="str">
        <f ca="1">IFERROR(__xludf.DUMMYFUNCTION("""COMPUTED_VALUE"""),"+3.39")</f>
        <v>+3.39</v>
      </c>
      <c r="O117" s="1">
        <f ca="1">IFERROR(__xludf.DUMMYFUNCTION("""COMPUTED_VALUE"""),98)</f>
        <v>98</v>
      </c>
      <c r="P117" s="1">
        <f ca="1">IFERROR(__xludf.DUMMYFUNCTION("""COMPUTED_VALUE"""),105.6)</f>
        <v>105.6</v>
      </c>
      <c r="Q117" s="1">
        <f ca="1">IFERROR(__xludf.DUMMYFUNCTION("""COMPUTED_VALUE"""),121)</f>
        <v>121</v>
      </c>
      <c r="R117" s="1">
        <f ca="1">IFERROR(__xludf.DUMMYFUNCTION("""COMPUTED_VALUE"""),102.2)</f>
        <v>102.2</v>
      </c>
      <c r="S117" s="1">
        <f ca="1">IFERROR(__xludf.DUMMYFUNCTION("""COMPUTED_VALUE"""),92)</f>
        <v>92</v>
      </c>
      <c r="T117" s="1" t="str">
        <f ca="1">IFERROR(__xludf.DUMMYFUNCTION("""COMPUTED_VALUE"""),"+9.18")</f>
        <v>+9.18</v>
      </c>
      <c r="U117" s="1">
        <f ca="1">IFERROR(__xludf.DUMMYFUNCTION("""COMPUTED_VALUE"""),22)</f>
        <v>22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IFERROR(__xludf.DUMMYFUNCTION("""COMPUTED_VALUE"""),"UCF")</f>
        <v>UCF</v>
      </c>
      <c r="C118" s="1" t="str">
        <f ca="1">IFERROR(__xludf.DUMMYFUNCTION("""COMPUTED_VALUE"""),"CUSA")</f>
        <v>CUSA</v>
      </c>
      <c r="D118" s="1" t="str">
        <f ca="1">IFERROR(__xludf.DUMMYFUNCTION("""COMPUTED_VALUE"""),"22-9")</f>
        <v>22-9</v>
      </c>
      <c r="E118" s="1" t="str">
        <f ca="1">IFERROR(__xludf.DUMMYFUNCTION("""COMPUTED_VALUE"""),"+5.54")</f>
        <v>+5.54</v>
      </c>
      <c r="F118" s="1">
        <f ca="1">IFERROR(__xludf.DUMMYFUNCTION("""COMPUTED_VALUE"""),109.5)</f>
        <v>109.5</v>
      </c>
      <c r="G118" s="1">
        <f ca="1">IFERROR(__xludf.DUMMYFUNCTION("""COMPUTED_VALUE"""),89)</f>
        <v>89</v>
      </c>
      <c r="H118" s="1">
        <f ca="1">IFERROR(__xludf.DUMMYFUNCTION("""COMPUTED_VALUE"""),104)</f>
        <v>104</v>
      </c>
      <c r="I118" s="1">
        <f ca="1">IFERROR(__xludf.DUMMYFUNCTION("""COMPUTED_VALUE"""),152)</f>
        <v>152</v>
      </c>
      <c r="J118" s="1">
        <f ca="1">IFERROR(__xludf.DUMMYFUNCTION("""COMPUTED_VALUE"""),63.6)</f>
        <v>63.6</v>
      </c>
      <c r="K118" s="1">
        <f ca="1">IFERROR(__xludf.DUMMYFUNCTION("""COMPUTED_VALUE"""),256)</f>
        <v>256</v>
      </c>
      <c r="L118" s="1">
        <f ca="1">IFERROR(__xludf.DUMMYFUNCTION("""COMPUTED_VALUE"""),-0.003)</f>
        <v>-3.0000000000000001E-3</v>
      </c>
      <c r="M118" s="1">
        <f ca="1">IFERROR(__xludf.DUMMYFUNCTION("""COMPUTED_VALUE"""),186)</f>
        <v>186</v>
      </c>
      <c r="N118" s="1">
        <f ca="1">IFERROR(__xludf.DUMMYFUNCTION("""COMPUTED_VALUE"""),-3.89)</f>
        <v>-3.89</v>
      </c>
      <c r="O118" s="1">
        <f ca="1">IFERROR(__xludf.DUMMYFUNCTION("""COMPUTED_VALUE"""),218)</f>
        <v>218</v>
      </c>
      <c r="P118" s="1">
        <f ca="1">IFERROR(__xludf.DUMMYFUNCTION("""COMPUTED_VALUE"""),101.1)</f>
        <v>101.1</v>
      </c>
      <c r="Q118" s="1">
        <f ca="1">IFERROR(__xludf.DUMMYFUNCTION("""COMPUTED_VALUE"""),263)</f>
        <v>263</v>
      </c>
      <c r="R118" s="1">
        <f ca="1">IFERROR(__xludf.DUMMYFUNCTION("""COMPUTED_VALUE"""),105)</f>
        <v>105</v>
      </c>
      <c r="S118" s="1">
        <f ca="1">IFERROR(__xludf.DUMMYFUNCTION("""COMPUTED_VALUE"""),172)</f>
        <v>172</v>
      </c>
      <c r="T118" s="1">
        <f ca="1">IFERROR(__xludf.DUMMYFUNCTION("""COMPUTED_VALUE"""),-10.96)</f>
        <v>-10.96</v>
      </c>
      <c r="U118" s="1">
        <f ca="1">IFERROR(__xludf.DUMMYFUNCTION("""COMPUTED_VALUE"""),333)</f>
        <v>333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IFERROR(__xludf.DUMMYFUNCTION("""COMPUTED_VALUE"""),"Long Beach St.12")</f>
        <v>Long Beach St.12</v>
      </c>
      <c r="C119" s="1" t="str">
        <f ca="1">IFERROR(__xludf.DUMMYFUNCTION("""COMPUTED_VALUE"""),"BW")</f>
        <v>BW</v>
      </c>
      <c r="D119" s="1" t="str">
        <f ca="1">IFERROR(__xludf.DUMMYFUNCTION("""COMPUTED_VALUE"""),"24-8")</f>
        <v>24-8</v>
      </c>
      <c r="E119" s="1" t="str">
        <f ca="1">IFERROR(__xludf.DUMMYFUNCTION("""COMPUTED_VALUE"""),"+5.44")</f>
        <v>+5.44</v>
      </c>
      <c r="F119" s="1">
        <f ca="1">IFERROR(__xludf.DUMMYFUNCTION("""COMPUTED_VALUE"""),112.2)</f>
        <v>112.2</v>
      </c>
      <c r="G119" s="1">
        <f ca="1">IFERROR(__xludf.DUMMYFUNCTION("""COMPUTED_VALUE"""),58)</f>
        <v>58</v>
      </c>
      <c r="H119" s="1">
        <f ca="1">IFERROR(__xludf.DUMMYFUNCTION("""COMPUTED_VALUE"""),106.8)</f>
        <v>106.8</v>
      </c>
      <c r="I119" s="1">
        <f ca="1">IFERROR(__xludf.DUMMYFUNCTION("""COMPUTED_VALUE"""),210)</f>
        <v>210</v>
      </c>
      <c r="J119" s="1">
        <f ca="1">IFERROR(__xludf.DUMMYFUNCTION("""COMPUTED_VALUE"""),71)</f>
        <v>71</v>
      </c>
      <c r="K119" s="1">
        <f ca="1">IFERROR(__xludf.DUMMYFUNCTION("""COMPUTED_VALUE"""),22)</f>
        <v>22</v>
      </c>
      <c r="L119" s="1" t="str">
        <f ca="1">IFERROR(__xludf.DUMMYFUNCTION("""COMPUTED_VALUE"""),"+.110")</f>
        <v>+.110</v>
      </c>
      <c r="M119" s="1">
        <f ca="1">IFERROR(__xludf.DUMMYFUNCTION("""COMPUTED_VALUE"""),5)</f>
        <v>5</v>
      </c>
      <c r="N119" s="1">
        <f ca="1">IFERROR(__xludf.DUMMYFUNCTION("""COMPUTED_VALUE"""),-3.34)</f>
        <v>-3.34</v>
      </c>
      <c r="O119" s="1">
        <f ca="1">IFERROR(__xludf.DUMMYFUNCTION("""COMPUTED_VALUE"""),203)</f>
        <v>203</v>
      </c>
      <c r="P119" s="1">
        <f ca="1">IFERROR(__xludf.DUMMYFUNCTION("""COMPUTED_VALUE"""),102)</f>
        <v>102</v>
      </c>
      <c r="Q119" s="1">
        <f ca="1">IFERROR(__xludf.DUMMYFUNCTION("""COMPUTED_VALUE"""),236)</f>
        <v>236</v>
      </c>
      <c r="R119" s="1">
        <f ca="1">IFERROR(__xludf.DUMMYFUNCTION("""COMPUTED_VALUE"""),105.4)</f>
        <v>105.4</v>
      </c>
      <c r="S119" s="1">
        <f ca="1">IFERROR(__xludf.DUMMYFUNCTION("""COMPUTED_VALUE"""),182)</f>
        <v>182</v>
      </c>
      <c r="T119" s="1">
        <f ca="1">IFERROR(__xludf.DUMMYFUNCTION("""COMPUTED_VALUE"""),-2.96)</f>
        <v>-2.96</v>
      </c>
      <c r="U119" s="1">
        <f ca="1">IFERROR(__xludf.DUMMYFUNCTION("""COMPUTED_VALUE"""),228)</f>
        <v>228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IFERROR(__xludf.DUMMYFUNCTION("""COMPUTED_VALUE"""),"Boise St.")</f>
        <v>Boise St.</v>
      </c>
      <c r="C120" s="1" t="str">
        <f ca="1">IFERROR(__xludf.DUMMYFUNCTION("""COMPUTED_VALUE"""),"WAC")</f>
        <v>WAC</v>
      </c>
      <c r="D120" s="1" t="str">
        <f ca="1">IFERROR(__xludf.DUMMYFUNCTION("""COMPUTED_VALUE"""),"17-14")</f>
        <v>17-14</v>
      </c>
      <c r="E120" s="1" t="str">
        <f ca="1">IFERROR(__xludf.DUMMYFUNCTION("""COMPUTED_VALUE"""),"+5.37")</f>
        <v>+5.37</v>
      </c>
      <c r="F120" s="1">
        <f ca="1">IFERROR(__xludf.DUMMYFUNCTION("""COMPUTED_VALUE"""),106.8)</f>
        <v>106.8</v>
      </c>
      <c r="G120" s="1">
        <f ca="1">IFERROR(__xludf.DUMMYFUNCTION("""COMPUTED_VALUE"""),129)</f>
        <v>129</v>
      </c>
      <c r="H120" s="1">
        <f ca="1">IFERROR(__xludf.DUMMYFUNCTION("""COMPUTED_VALUE"""),101.4)</f>
        <v>101.4</v>
      </c>
      <c r="I120" s="1">
        <f ca="1">IFERROR(__xludf.DUMMYFUNCTION("""COMPUTED_VALUE"""),114)</f>
        <v>114</v>
      </c>
      <c r="J120" s="1">
        <f ca="1">IFERROR(__xludf.DUMMYFUNCTION("""COMPUTED_VALUE"""),70.5)</f>
        <v>70.5</v>
      </c>
      <c r="K120" s="1">
        <f ca="1">IFERROR(__xludf.DUMMYFUNCTION("""COMPUTED_VALUE"""),31)</f>
        <v>31</v>
      </c>
      <c r="L120" s="1">
        <f ca="1">IFERROR(__xludf.DUMMYFUNCTION("""COMPUTED_VALUE"""),-0.057)</f>
        <v>-5.7000000000000002E-2</v>
      </c>
      <c r="M120" s="1">
        <f ca="1">IFERROR(__xludf.DUMMYFUNCTION("""COMPUTED_VALUE"""),296)</f>
        <v>296</v>
      </c>
      <c r="N120" s="1" t="str">
        <f ca="1">IFERROR(__xludf.DUMMYFUNCTION("""COMPUTED_VALUE"""),"+1.45")</f>
        <v>+1.45</v>
      </c>
      <c r="O120" s="1">
        <f ca="1">IFERROR(__xludf.DUMMYFUNCTION("""COMPUTED_VALUE"""),129)</f>
        <v>129</v>
      </c>
      <c r="P120" s="1">
        <f ca="1">IFERROR(__xludf.DUMMYFUNCTION("""COMPUTED_VALUE"""),104.3)</f>
        <v>104.3</v>
      </c>
      <c r="Q120" s="1">
        <f ca="1">IFERROR(__xludf.DUMMYFUNCTION("""COMPUTED_VALUE"""),158)</f>
        <v>158</v>
      </c>
      <c r="R120" s="1">
        <f ca="1">IFERROR(__xludf.DUMMYFUNCTION("""COMPUTED_VALUE"""),102.8)</f>
        <v>102.8</v>
      </c>
      <c r="S120" s="1">
        <f ca="1">IFERROR(__xludf.DUMMYFUNCTION("""COMPUTED_VALUE"""),105)</f>
        <v>105</v>
      </c>
      <c r="T120" s="1">
        <f ca="1">IFERROR(__xludf.DUMMYFUNCTION("""COMPUTED_VALUE"""),-0.98)</f>
        <v>-0.98</v>
      </c>
      <c r="U120" s="1">
        <f ca="1">IFERROR(__xludf.DUMMYFUNCTION("""COMPUTED_VALUE"""),172)</f>
        <v>172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IFERROR(__xludf.DUMMYFUNCTION("""COMPUTED_VALUE"""),"Tulsa")</f>
        <v>Tulsa</v>
      </c>
      <c r="C121" s="1" t="str">
        <f ca="1">IFERROR(__xludf.DUMMYFUNCTION("""COMPUTED_VALUE"""),"CUSA")</f>
        <v>CUSA</v>
      </c>
      <c r="D121" s="1" t="str">
        <f ca="1">IFERROR(__xludf.DUMMYFUNCTION("""COMPUTED_VALUE"""),"20-11")</f>
        <v>20-11</v>
      </c>
      <c r="E121" s="1" t="str">
        <f ca="1">IFERROR(__xludf.DUMMYFUNCTION("""COMPUTED_VALUE"""),"+5.25")</f>
        <v>+5.25</v>
      </c>
      <c r="F121" s="1">
        <f ca="1">IFERROR(__xludf.DUMMYFUNCTION("""COMPUTED_VALUE"""),101.4)</f>
        <v>101.4</v>
      </c>
      <c r="G121" s="1">
        <f ca="1">IFERROR(__xludf.DUMMYFUNCTION("""COMPUTED_VALUE"""),212)</f>
        <v>212</v>
      </c>
      <c r="H121" s="1">
        <f ca="1">IFERROR(__xludf.DUMMYFUNCTION("""COMPUTED_VALUE"""),96.2)</f>
        <v>96.2</v>
      </c>
      <c r="I121" s="1">
        <f ca="1">IFERROR(__xludf.DUMMYFUNCTION("""COMPUTED_VALUE"""),43)</f>
        <v>43</v>
      </c>
      <c r="J121" s="1">
        <f ca="1">IFERROR(__xludf.DUMMYFUNCTION("""COMPUTED_VALUE"""),65.5)</f>
        <v>65.5</v>
      </c>
      <c r="K121" s="1">
        <f ca="1">IFERROR(__xludf.DUMMYFUNCTION("""COMPUTED_VALUE"""),176)</f>
        <v>176</v>
      </c>
      <c r="L121" s="1">
        <f ca="1">IFERROR(__xludf.DUMMYFUNCTION("""COMPUTED_VALUE"""),-0.02)</f>
        <v>-0.02</v>
      </c>
      <c r="M121" s="1">
        <f ca="1">IFERROR(__xludf.DUMMYFUNCTION("""COMPUTED_VALUE"""),229)</f>
        <v>229</v>
      </c>
      <c r="N121" s="1">
        <f ca="1">IFERROR(__xludf.DUMMYFUNCTION("""COMPUTED_VALUE"""),-1.67)</f>
        <v>-1.67</v>
      </c>
      <c r="O121" s="1">
        <f ca="1">IFERROR(__xludf.DUMMYFUNCTION("""COMPUTED_VALUE"""),181)</f>
        <v>181</v>
      </c>
      <c r="P121" s="1">
        <f ca="1">IFERROR(__xludf.DUMMYFUNCTION("""COMPUTED_VALUE"""),102)</f>
        <v>102</v>
      </c>
      <c r="Q121" s="1">
        <f ca="1">IFERROR(__xludf.DUMMYFUNCTION("""COMPUTED_VALUE"""),235)</f>
        <v>235</v>
      </c>
      <c r="R121" s="1">
        <f ca="1">IFERROR(__xludf.DUMMYFUNCTION("""COMPUTED_VALUE"""),103.7)</f>
        <v>103.7</v>
      </c>
      <c r="S121" s="1">
        <f ca="1">IFERROR(__xludf.DUMMYFUNCTION("""COMPUTED_VALUE"""),131)</f>
        <v>131</v>
      </c>
      <c r="T121" s="1">
        <f ca="1">IFERROR(__xludf.DUMMYFUNCTION("""COMPUTED_VALUE"""),-7.95)</f>
        <v>-7.95</v>
      </c>
      <c r="U121" s="1">
        <f ca="1">IFERROR(__xludf.DUMMYFUNCTION("""COMPUTED_VALUE"""),317)</f>
        <v>317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IFERROR(__xludf.DUMMYFUNCTION("""COMPUTED_VALUE"""),"Western Kentucky")</f>
        <v>Western Kentucky</v>
      </c>
      <c r="C122" s="1" t="str">
        <f ca="1">IFERROR(__xludf.DUMMYFUNCTION("""COMPUTED_VALUE"""),"SB")</f>
        <v>SB</v>
      </c>
      <c r="D122" s="1" t="str">
        <f ca="1">IFERROR(__xludf.DUMMYFUNCTION("""COMPUTED_VALUE"""),"22-11")</f>
        <v>22-11</v>
      </c>
      <c r="E122" s="1" t="str">
        <f ca="1">IFERROR(__xludf.DUMMYFUNCTION("""COMPUTED_VALUE"""),"+5.21")</f>
        <v>+5.21</v>
      </c>
      <c r="F122" s="1">
        <f ca="1">IFERROR(__xludf.DUMMYFUNCTION("""COMPUTED_VALUE"""),112.3)</f>
        <v>112.3</v>
      </c>
      <c r="G122" s="1">
        <f ca="1">IFERROR(__xludf.DUMMYFUNCTION("""COMPUTED_VALUE"""),56)</f>
        <v>56</v>
      </c>
      <c r="H122" s="1">
        <f ca="1">IFERROR(__xludf.DUMMYFUNCTION("""COMPUTED_VALUE"""),107.1)</f>
        <v>107.1</v>
      </c>
      <c r="I122" s="1">
        <f ca="1">IFERROR(__xludf.DUMMYFUNCTION("""COMPUTED_VALUE"""),216)</f>
        <v>216</v>
      </c>
      <c r="J122" s="1">
        <f ca="1">IFERROR(__xludf.DUMMYFUNCTION("""COMPUTED_VALUE"""),68.2)</f>
        <v>68.2</v>
      </c>
      <c r="K122" s="1">
        <f ca="1">IFERROR(__xludf.DUMMYFUNCTION("""COMPUTED_VALUE"""),75)</f>
        <v>75</v>
      </c>
      <c r="L122" s="1">
        <f ca="1">IFERROR(__xludf.DUMMYFUNCTION("""COMPUTED_VALUE"""),-0.016)</f>
        <v>-1.6E-2</v>
      </c>
      <c r="M122" s="1">
        <f ca="1">IFERROR(__xludf.DUMMYFUNCTION("""COMPUTED_VALUE"""),215)</f>
        <v>215</v>
      </c>
      <c r="N122" s="1">
        <f ca="1">IFERROR(__xludf.DUMMYFUNCTION("""COMPUTED_VALUE"""),-3.84)</f>
        <v>-3.84</v>
      </c>
      <c r="O122" s="1">
        <f ca="1">IFERROR(__xludf.DUMMYFUNCTION("""COMPUTED_VALUE"""),217)</f>
        <v>217</v>
      </c>
      <c r="P122" s="1">
        <f ca="1">IFERROR(__xludf.DUMMYFUNCTION("""COMPUTED_VALUE"""),103)</f>
        <v>103</v>
      </c>
      <c r="Q122" s="1">
        <f ca="1">IFERROR(__xludf.DUMMYFUNCTION("""COMPUTED_VALUE"""),200)</f>
        <v>200</v>
      </c>
      <c r="R122" s="1">
        <f ca="1">IFERROR(__xludf.DUMMYFUNCTION("""COMPUTED_VALUE"""),106.8)</f>
        <v>106.8</v>
      </c>
      <c r="S122" s="1">
        <f ca="1">IFERROR(__xludf.DUMMYFUNCTION("""COMPUTED_VALUE"""),247)</f>
        <v>247</v>
      </c>
      <c r="T122" s="1" t="str">
        <f ca="1">IFERROR(__xludf.DUMMYFUNCTION("""COMPUTED_VALUE"""),"+4.41")</f>
        <v>+4.41</v>
      </c>
      <c r="U122" s="1">
        <f ca="1">IFERROR(__xludf.DUMMYFUNCTION("""COMPUTED_VALUE"""),60)</f>
        <v>60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IFERROR(__xludf.DUMMYFUNCTION("""COMPUTED_VALUE"""),"UAB")</f>
        <v>UAB</v>
      </c>
      <c r="C123" s="1" t="str">
        <f ca="1">IFERROR(__xludf.DUMMYFUNCTION("""COMPUTED_VALUE"""),"CUSA")</f>
        <v>CUSA</v>
      </c>
      <c r="D123" s="1" t="str">
        <f ca="1">IFERROR(__xludf.DUMMYFUNCTION("""COMPUTED_VALUE"""),"15-16")</f>
        <v>15-16</v>
      </c>
      <c r="E123" s="1" t="str">
        <f ca="1">IFERROR(__xludf.DUMMYFUNCTION("""COMPUTED_VALUE"""),"+4.92")</f>
        <v>+4.92</v>
      </c>
      <c r="F123" s="1">
        <f ca="1">IFERROR(__xludf.DUMMYFUNCTION("""COMPUTED_VALUE"""),102.6)</f>
        <v>102.6</v>
      </c>
      <c r="G123" s="1">
        <f ca="1">IFERROR(__xludf.DUMMYFUNCTION("""COMPUTED_VALUE"""),194)</f>
        <v>194</v>
      </c>
      <c r="H123" s="1">
        <f ca="1">IFERROR(__xludf.DUMMYFUNCTION("""COMPUTED_VALUE"""),97.7)</f>
        <v>97.7</v>
      </c>
      <c r="I123" s="1">
        <f ca="1">IFERROR(__xludf.DUMMYFUNCTION("""COMPUTED_VALUE"""),57)</f>
        <v>57</v>
      </c>
      <c r="J123" s="1">
        <f ca="1">IFERROR(__xludf.DUMMYFUNCTION("""COMPUTED_VALUE"""),64)</f>
        <v>64</v>
      </c>
      <c r="K123" s="1">
        <f ca="1">IFERROR(__xludf.DUMMYFUNCTION("""COMPUTED_VALUE"""),236)</f>
        <v>236</v>
      </c>
      <c r="L123" s="1">
        <f ca="1">IFERROR(__xludf.DUMMYFUNCTION("""COMPUTED_VALUE"""),-0.042)</f>
        <v>-4.2000000000000003E-2</v>
      </c>
      <c r="M123" s="1">
        <f ca="1">IFERROR(__xludf.DUMMYFUNCTION("""COMPUTED_VALUE"""),273)</f>
        <v>273</v>
      </c>
      <c r="N123" s="1" t="str">
        <f ca="1">IFERROR(__xludf.DUMMYFUNCTION("""COMPUTED_VALUE"""),"+3.20")</f>
        <v>+3.20</v>
      </c>
      <c r="O123" s="1">
        <f ca="1">IFERROR(__xludf.DUMMYFUNCTION("""COMPUTED_VALUE"""),100)</f>
        <v>100</v>
      </c>
      <c r="P123" s="1">
        <f ca="1">IFERROR(__xludf.DUMMYFUNCTION("""COMPUTED_VALUE"""),105)</f>
        <v>105</v>
      </c>
      <c r="Q123" s="1">
        <f ca="1">IFERROR(__xludf.DUMMYFUNCTION("""COMPUTED_VALUE"""),136)</f>
        <v>136</v>
      </c>
      <c r="R123" s="1">
        <f ca="1">IFERROR(__xludf.DUMMYFUNCTION("""COMPUTED_VALUE"""),101.8)</f>
        <v>101.8</v>
      </c>
      <c r="S123" s="1">
        <f ca="1">IFERROR(__xludf.DUMMYFUNCTION("""COMPUTED_VALUE"""),80)</f>
        <v>80</v>
      </c>
      <c r="T123" s="1" t="str">
        <f ca="1">IFERROR(__xludf.DUMMYFUNCTION("""COMPUTED_VALUE"""),"+4.65")</f>
        <v>+4.65</v>
      </c>
      <c r="U123" s="1">
        <f ca="1">IFERROR(__xludf.DUMMYFUNCTION("""COMPUTED_VALUE"""),54)</f>
        <v>54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IFERROR(__xludf.DUMMYFUNCTION("""COMPUTED_VALUE"""),"Western Michigan")</f>
        <v>Western Michigan</v>
      </c>
      <c r="C124" s="1" t="str">
        <f ca="1">IFERROR(__xludf.DUMMYFUNCTION("""COMPUTED_VALUE"""),"MAC")</f>
        <v>MAC</v>
      </c>
      <c r="D124" s="1" t="str">
        <f ca="1">IFERROR(__xludf.DUMMYFUNCTION("""COMPUTED_VALUE"""),"16-16")</f>
        <v>16-16</v>
      </c>
      <c r="E124" s="1" t="str">
        <f ca="1">IFERROR(__xludf.DUMMYFUNCTION("""COMPUTED_VALUE"""),"+4.75")</f>
        <v>+4.75</v>
      </c>
      <c r="F124" s="1">
        <f ca="1">IFERROR(__xludf.DUMMYFUNCTION("""COMPUTED_VALUE"""),108.2)</f>
        <v>108.2</v>
      </c>
      <c r="G124" s="1">
        <f ca="1">IFERROR(__xludf.DUMMYFUNCTION("""COMPUTED_VALUE"""),104)</f>
        <v>104</v>
      </c>
      <c r="H124" s="1">
        <f ca="1">IFERROR(__xludf.DUMMYFUNCTION("""COMPUTED_VALUE"""),103.5)</f>
        <v>103.5</v>
      </c>
      <c r="I124" s="1">
        <f ca="1">IFERROR(__xludf.DUMMYFUNCTION("""COMPUTED_VALUE"""),148)</f>
        <v>148</v>
      </c>
      <c r="J124" s="1">
        <f ca="1">IFERROR(__xludf.DUMMYFUNCTION("""COMPUTED_VALUE"""),67.6)</f>
        <v>67.599999999999994</v>
      </c>
      <c r="K124" s="1">
        <f ca="1">IFERROR(__xludf.DUMMYFUNCTION("""COMPUTED_VALUE"""),89)</f>
        <v>89</v>
      </c>
      <c r="L124" s="1">
        <f ca="1">IFERROR(__xludf.DUMMYFUNCTION("""COMPUTED_VALUE"""),-0.024)</f>
        <v>-2.4E-2</v>
      </c>
      <c r="M124" s="1">
        <f ca="1">IFERROR(__xludf.DUMMYFUNCTION("""COMPUTED_VALUE"""),243)</f>
        <v>243</v>
      </c>
      <c r="N124" s="1" t="str">
        <f ca="1">IFERROR(__xludf.DUMMYFUNCTION("""COMPUTED_VALUE"""),"+2.96")</f>
        <v>+2.96</v>
      </c>
      <c r="O124" s="1">
        <f ca="1">IFERROR(__xludf.DUMMYFUNCTION("""COMPUTED_VALUE"""),105)</f>
        <v>105</v>
      </c>
      <c r="P124" s="1">
        <f ca="1">IFERROR(__xludf.DUMMYFUNCTION("""COMPUTED_VALUE"""),105.2)</f>
        <v>105.2</v>
      </c>
      <c r="Q124" s="1">
        <f ca="1">IFERROR(__xludf.DUMMYFUNCTION("""COMPUTED_VALUE"""),132)</f>
        <v>132</v>
      </c>
      <c r="R124" s="1">
        <f ca="1">IFERROR(__xludf.DUMMYFUNCTION("""COMPUTED_VALUE"""),102.2)</f>
        <v>102.2</v>
      </c>
      <c r="S124" s="1">
        <f ca="1">IFERROR(__xludf.DUMMYFUNCTION("""COMPUTED_VALUE"""),93)</f>
        <v>93</v>
      </c>
      <c r="T124" s="1" t="str">
        <f ca="1">IFERROR(__xludf.DUMMYFUNCTION("""COMPUTED_VALUE"""),"+9.34")</f>
        <v>+9.34</v>
      </c>
      <c r="U124" s="1">
        <f ca="1">IFERROR(__xludf.DUMMYFUNCTION("""COMPUTED_VALUE"""),20)</f>
        <v>20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IFERROR(__xludf.DUMMYFUNCTION("""COMPUTED_VALUE"""),"Marist7")</f>
        <v>Marist7</v>
      </c>
      <c r="C125" s="1" t="str">
        <f ca="1">IFERROR(__xludf.DUMMYFUNCTION("""COMPUTED_VALUE"""),"MAAC")</f>
        <v>MAAC</v>
      </c>
      <c r="D125" s="1" t="str">
        <f ca="1">IFERROR(__xludf.DUMMYFUNCTION("""COMPUTED_VALUE"""),"25-9")</f>
        <v>25-9</v>
      </c>
      <c r="E125" s="1" t="str">
        <f ca="1">IFERROR(__xludf.DUMMYFUNCTION("""COMPUTED_VALUE"""),"+4.56")</f>
        <v>+4.56</v>
      </c>
      <c r="F125" s="1">
        <f ca="1">IFERROR(__xludf.DUMMYFUNCTION("""COMPUTED_VALUE"""),109.5)</f>
        <v>109.5</v>
      </c>
      <c r="G125" s="1">
        <f ca="1">IFERROR(__xludf.DUMMYFUNCTION("""COMPUTED_VALUE"""),88)</f>
        <v>88</v>
      </c>
      <c r="H125" s="1">
        <f ca="1">IFERROR(__xludf.DUMMYFUNCTION("""COMPUTED_VALUE"""),104.9)</f>
        <v>104.9</v>
      </c>
      <c r="I125" s="1">
        <f ca="1">IFERROR(__xludf.DUMMYFUNCTION("""COMPUTED_VALUE"""),169)</f>
        <v>169</v>
      </c>
      <c r="J125" s="1">
        <f ca="1">IFERROR(__xludf.DUMMYFUNCTION("""COMPUTED_VALUE"""),66.5)</f>
        <v>66.5</v>
      </c>
      <c r="K125" s="1">
        <f ca="1">IFERROR(__xludf.DUMMYFUNCTION("""COMPUTED_VALUE"""),132)</f>
        <v>132</v>
      </c>
      <c r="L125" s="1" t="str">
        <f ca="1">IFERROR(__xludf.DUMMYFUNCTION("""COMPUTED_VALUE"""),"+.017")</f>
        <v>+.017</v>
      </c>
      <c r="M125" s="1">
        <f ca="1">IFERROR(__xludf.DUMMYFUNCTION("""COMPUTED_VALUE"""),136)</f>
        <v>136</v>
      </c>
      <c r="N125" s="1">
        <f ca="1">IFERROR(__xludf.DUMMYFUNCTION("""COMPUTED_VALUE"""),-5.33)</f>
        <v>-5.33</v>
      </c>
      <c r="O125" s="1">
        <f ca="1">IFERROR(__xludf.DUMMYFUNCTION("""COMPUTED_VALUE"""),252)</f>
        <v>252</v>
      </c>
      <c r="P125" s="1">
        <f ca="1">IFERROR(__xludf.DUMMYFUNCTION("""COMPUTED_VALUE"""),101.5)</f>
        <v>101.5</v>
      </c>
      <c r="Q125" s="1">
        <f ca="1">IFERROR(__xludf.DUMMYFUNCTION("""COMPUTED_VALUE"""),252)</f>
        <v>252</v>
      </c>
      <c r="R125" s="1">
        <f ca="1">IFERROR(__xludf.DUMMYFUNCTION("""COMPUTED_VALUE"""),106.9)</f>
        <v>106.9</v>
      </c>
      <c r="S125" s="1">
        <f ca="1">IFERROR(__xludf.DUMMYFUNCTION("""COMPUTED_VALUE"""),251)</f>
        <v>251</v>
      </c>
      <c r="T125" s="1">
        <f ca="1">IFERROR(__xludf.DUMMYFUNCTION("""COMPUTED_VALUE"""),-2.85)</f>
        <v>-2.85</v>
      </c>
      <c r="U125" s="1">
        <f ca="1">IFERROR(__xludf.DUMMYFUNCTION("""COMPUTED_VALUE"""),224)</f>
        <v>224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IFERROR(__xludf.DUMMYFUNCTION("""COMPUTED_VALUE"""),"Saint Louis")</f>
        <v>Saint Louis</v>
      </c>
      <c r="C126" s="1" t="str">
        <f ca="1">IFERROR(__xludf.DUMMYFUNCTION("""COMPUTED_VALUE"""),"A10")</f>
        <v>A10</v>
      </c>
      <c r="D126" s="1" t="str">
        <f ca="1">IFERROR(__xludf.DUMMYFUNCTION("""COMPUTED_VALUE"""),"20-13")</f>
        <v>20-13</v>
      </c>
      <c r="E126" s="1" t="str">
        <f ca="1">IFERROR(__xludf.DUMMYFUNCTION("""COMPUTED_VALUE"""),"+4.39")</f>
        <v>+4.39</v>
      </c>
      <c r="F126" s="1">
        <f ca="1">IFERROR(__xludf.DUMMYFUNCTION("""COMPUTED_VALUE"""),104.8)</f>
        <v>104.8</v>
      </c>
      <c r="G126" s="1">
        <f ca="1">IFERROR(__xludf.DUMMYFUNCTION("""COMPUTED_VALUE"""),157)</f>
        <v>157</v>
      </c>
      <c r="H126" s="1">
        <f ca="1">IFERROR(__xludf.DUMMYFUNCTION("""COMPUTED_VALUE"""),100.4)</f>
        <v>100.4</v>
      </c>
      <c r="I126" s="1">
        <f ca="1">IFERROR(__xludf.DUMMYFUNCTION("""COMPUTED_VALUE"""),94)</f>
        <v>94</v>
      </c>
      <c r="J126" s="1">
        <f ca="1">IFERROR(__xludf.DUMMYFUNCTION("""COMPUTED_VALUE"""),61.8)</f>
        <v>61.8</v>
      </c>
      <c r="K126" s="1">
        <f ca="1">IFERROR(__xludf.DUMMYFUNCTION("""COMPUTED_VALUE"""),303)</f>
        <v>303</v>
      </c>
      <c r="L126" s="1" t="str">
        <f ca="1">IFERROR(__xludf.DUMMYFUNCTION("""COMPUTED_VALUE"""),"+.096")</f>
        <v>+.096</v>
      </c>
      <c r="M126" s="1">
        <f ca="1">IFERROR(__xludf.DUMMYFUNCTION("""COMPUTED_VALUE"""),15)</f>
        <v>15</v>
      </c>
      <c r="N126" s="1" t="str">
        <f ca="1">IFERROR(__xludf.DUMMYFUNCTION("""COMPUTED_VALUE"""),"+3.49")</f>
        <v>+3.49</v>
      </c>
      <c r="O126" s="1">
        <f ca="1">IFERROR(__xludf.DUMMYFUNCTION("""COMPUTED_VALUE"""),97)</f>
        <v>97</v>
      </c>
      <c r="P126" s="1">
        <f ca="1">IFERROR(__xludf.DUMMYFUNCTION("""COMPUTED_VALUE"""),107.2)</f>
        <v>107.2</v>
      </c>
      <c r="Q126" s="1">
        <f ca="1">IFERROR(__xludf.DUMMYFUNCTION("""COMPUTED_VALUE"""),77)</f>
        <v>77</v>
      </c>
      <c r="R126" s="1">
        <f ca="1">IFERROR(__xludf.DUMMYFUNCTION("""COMPUTED_VALUE"""),103.7)</f>
        <v>103.7</v>
      </c>
      <c r="S126" s="1">
        <f ca="1">IFERROR(__xludf.DUMMYFUNCTION("""COMPUTED_VALUE"""),130)</f>
        <v>130</v>
      </c>
      <c r="T126" s="1" t="str">
        <f ca="1">IFERROR(__xludf.DUMMYFUNCTION("""COMPUTED_VALUE"""),"+5.86")</f>
        <v>+5.86</v>
      </c>
      <c r="U126" s="1">
        <f ca="1">IFERROR(__xludf.DUMMYFUNCTION("""COMPUTED_VALUE"""),42)</f>
        <v>42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IFERROR(__xludf.DUMMYFUNCTION("""COMPUTED_VALUE"""),"Belmont15")</f>
        <v>Belmont15</v>
      </c>
      <c r="C129" s="1" t="str">
        <f ca="1">IFERROR(__xludf.DUMMYFUNCTION("""COMPUTED_VALUE"""),"ASun")</f>
        <v>ASun</v>
      </c>
      <c r="D129" s="1" t="str">
        <f ca="1">IFERROR(__xludf.DUMMYFUNCTION("""COMPUTED_VALUE"""),"23-10")</f>
        <v>23-10</v>
      </c>
      <c r="E129" s="1" t="str">
        <f ca="1">IFERROR(__xludf.DUMMYFUNCTION("""COMPUTED_VALUE"""),"+4.38")</f>
        <v>+4.38</v>
      </c>
      <c r="F129" s="1">
        <f ca="1">IFERROR(__xludf.DUMMYFUNCTION("""COMPUTED_VALUE"""),106.6)</f>
        <v>106.6</v>
      </c>
      <c r="G129" s="1">
        <f ca="1">IFERROR(__xludf.DUMMYFUNCTION("""COMPUTED_VALUE"""),132)</f>
        <v>132</v>
      </c>
      <c r="H129" s="1">
        <f ca="1">IFERROR(__xludf.DUMMYFUNCTION("""COMPUTED_VALUE"""),102.2)</f>
        <v>102.2</v>
      </c>
      <c r="I129" s="1">
        <f ca="1">IFERROR(__xludf.DUMMYFUNCTION("""COMPUTED_VALUE"""),129)</f>
        <v>129</v>
      </c>
      <c r="J129" s="1">
        <f ca="1">IFERROR(__xludf.DUMMYFUNCTION("""COMPUTED_VALUE"""),66.1)</f>
        <v>66.099999999999994</v>
      </c>
      <c r="K129" s="1">
        <f ca="1">IFERROR(__xludf.DUMMYFUNCTION("""COMPUTED_VALUE"""),155)</f>
        <v>155</v>
      </c>
      <c r="L129" s="1" t="str">
        <f ca="1">IFERROR(__xludf.DUMMYFUNCTION("""COMPUTED_VALUE"""),"+.022")</f>
        <v>+.022</v>
      </c>
      <c r="M129" s="1">
        <f ca="1">IFERROR(__xludf.DUMMYFUNCTION("""COMPUTED_VALUE"""),125)</f>
        <v>125</v>
      </c>
      <c r="N129" s="1">
        <f ca="1">IFERROR(__xludf.DUMMYFUNCTION("""COMPUTED_VALUE"""),-6.74)</f>
        <v>-6.74</v>
      </c>
      <c r="O129" s="1">
        <f ca="1">IFERROR(__xludf.DUMMYFUNCTION("""COMPUTED_VALUE"""),286)</f>
        <v>286</v>
      </c>
      <c r="P129" s="1">
        <f ca="1">IFERROR(__xludf.DUMMYFUNCTION("""COMPUTED_VALUE"""),100)</f>
        <v>100</v>
      </c>
      <c r="Q129" s="1">
        <f ca="1">IFERROR(__xludf.DUMMYFUNCTION("""COMPUTED_VALUE"""),304)</f>
        <v>304</v>
      </c>
      <c r="R129" s="1">
        <f ca="1">IFERROR(__xludf.DUMMYFUNCTION("""COMPUTED_VALUE"""),106.8)</f>
        <v>106.8</v>
      </c>
      <c r="S129" s="1">
        <f ca="1">IFERROR(__xludf.DUMMYFUNCTION("""COMPUTED_VALUE"""),246)</f>
        <v>246</v>
      </c>
      <c r="T129" s="1" t="str">
        <f ca="1">IFERROR(__xludf.DUMMYFUNCTION("""COMPUTED_VALUE"""),"+2.22")</f>
        <v>+2.22</v>
      </c>
      <c r="U129" s="1">
        <f ca="1">IFERROR(__xludf.DUMMYFUNCTION("""COMPUTED_VALUE"""),96)</f>
        <v>96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IFERROR(__xludf.DUMMYFUNCTION("""COMPUTED_VALUE"""),"College of Charleston")</f>
        <v>College of Charleston</v>
      </c>
      <c r="C130" s="1" t="str">
        <f ca="1">IFERROR(__xludf.DUMMYFUNCTION("""COMPUTED_VALUE"""),"SC")</f>
        <v>SC</v>
      </c>
      <c r="D130" s="1" t="str">
        <f ca="1">IFERROR(__xludf.DUMMYFUNCTION("""COMPUTED_VALUE"""),"22-11")</f>
        <v>22-11</v>
      </c>
      <c r="E130" s="1" t="str">
        <f ca="1">IFERROR(__xludf.DUMMYFUNCTION("""COMPUTED_VALUE"""),"+4.19")</f>
        <v>+4.19</v>
      </c>
      <c r="F130" s="1">
        <f ca="1">IFERROR(__xludf.DUMMYFUNCTION("""COMPUTED_VALUE"""),103.8)</f>
        <v>103.8</v>
      </c>
      <c r="G130" s="1">
        <f ca="1">IFERROR(__xludf.DUMMYFUNCTION("""COMPUTED_VALUE"""),174)</f>
        <v>174</v>
      </c>
      <c r="H130" s="1">
        <f ca="1">IFERROR(__xludf.DUMMYFUNCTION("""COMPUTED_VALUE"""),99.6)</f>
        <v>99.6</v>
      </c>
      <c r="I130" s="1">
        <f ca="1">IFERROR(__xludf.DUMMYFUNCTION("""COMPUTED_VALUE"""),82)</f>
        <v>82</v>
      </c>
      <c r="J130" s="1">
        <f ca="1">IFERROR(__xludf.DUMMYFUNCTION("""COMPUTED_VALUE"""),65.4)</f>
        <v>65.400000000000006</v>
      </c>
      <c r="K130" s="1">
        <f ca="1">IFERROR(__xludf.DUMMYFUNCTION("""COMPUTED_VALUE"""),180)</f>
        <v>180</v>
      </c>
      <c r="L130" s="1" t="str">
        <f ca="1">IFERROR(__xludf.DUMMYFUNCTION("""COMPUTED_VALUE"""),"+.032")</f>
        <v>+.032</v>
      </c>
      <c r="M130" s="1">
        <f ca="1">IFERROR(__xludf.DUMMYFUNCTION("""COMPUTED_VALUE"""),97)</f>
        <v>97</v>
      </c>
      <c r="N130" s="1">
        <f ca="1">IFERROR(__xludf.DUMMYFUNCTION("""COMPUTED_VALUE"""),-2.6)</f>
        <v>-2.6</v>
      </c>
      <c r="O130" s="1">
        <f ca="1">IFERROR(__xludf.DUMMYFUNCTION("""COMPUTED_VALUE"""),189)</f>
        <v>189</v>
      </c>
      <c r="P130" s="1">
        <f ca="1">IFERROR(__xludf.DUMMYFUNCTION("""COMPUTED_VALUE"""),103.2)</f>
        <v>103.2</v>
      </c>
      <c r="Q130" s="1">
        <f ca="1">IFERROR(__xludf.DUMMYFUNCTION("""COMPUTED_VALUE"""),191)</f>
        <v>191</v>
      </c>
      <c r="R130" s="1">
        <f ca="1">IFERROR(__xludf.DUMMYFUNCTION("""COMPUTED_VALUE"""),105.8)</f>
        <v>105.8</v>
      </c>
      <c r="S130" s="1">
        <f ca="1">IFERROR(__xludf.DUMMYFUNCTION("""COMPUTED_VALUE"""),205)</f>
        <v>205</v>
      </c>
      <c r="T130" s="1">
        <f ca="1">IFERROR(__xludf.DUMMYFUNCTION("""COMPUTED_VALUE"""),-1.77)</f>
        <v>-1.77</v>
      </c>
      <c r="U130" s="1">
        <f ca="1">IFERROR(__xludf.DUMMYFUNCTION("""COMPUTED_VALUE"""),194)</f>
        <v>194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IFERROR(__xludf.DUMMYFUNCTION("""COMPUTED_VALUE"""),"Vermont7")</f>
        <v>Vermont7</v>
      </c>
      <c r="C131" s="1" t="str">
        <f ca="1">IFERROR(__xludf.DUMMYFUNCTION("""COMPUTED_VALUE"""),"AE")</f>
        <v>AE</v>
      </c>
      <c r="D131" s="1" t="str">
        <f ca="1">IFERROR(__xludf.DUMMYFUNCTION("""COMPUTED_VALUE"""),"25-8")</f>
        <v>25-8</v>
      </c>
      <c r="E131" s="1" t="str">
        <f ca="1">IFERROR(__xludf.DUMMYFUNCTION("""COMPUTED_VALUE"""),"+4.16")</f>
        <v>+4.16</v>
      </c>
      <c r="F131" s="1">
        <f ca="1">IFERROR(__xludf.DUMMYFUNCTION("""COMPUTED_VALUE"""),105.5)</f>
        <v>105.5</v>
      </c>
      <c r="G131" s="1">
        <f ca="1">IFERROR(__xludf.DUMMYFUNCTION("""COMPUTED_VALUE"""),146)</f>
        <v>146</v>
      </c>
      <c r="H131" s="1">
        <f ca="1">IFERROR(__xludf.DUMMYFUNCTION("""COMPUTED_VALUE"""),101.3)</f>
        <v>101.3</v>
      </c>
      <c r="I131" s="1">
        <f ca="1">IFERROR(__xludf.DUMMYFUNCTION("""COMPUTED_VALUE"""),112)</f>
        <v>112</v>
      </c>
      <c r="J131" s="1">
        <f ca="1">IFERROR(__xludf.DUMMYFUNCTION("""COMPUTED_VALUE"""),66.2)</f>
        <v>66.2</v>
      </c>
      <c r="K131" s="1">
        <f ca="1">IFERROR(__xludf.DUMMYFUNCTION("""COMPUTED_VALUE"""),146)</f>
        <v>146</v>
      </c>
      <c r="L131" s="1" t="str">
        <f ca="1">IFERROR(__xludf.DUMMYFUNCTION("""COMPUTED_VALUE"""),"+.055")</f>
        <v>+.055</v>
      </c>
      <c r="M131" s="1">
        <f ca="1">IFERROR(__xludf.DUMMYFUNCTION("""COMPUTED_VALUE"""),50)</f>
        <v>50</v>
      </c>
      <c r="N131" s="1">
        <f ca="1">IFERROR(__xludf.DUMMYFUNCTION("""COMPUTED_VALUE"""),-5.42)</f>
        <v>-5.42</v>
      </c>
      <c r="O131" s="1">
        <f ca="1">IFERROR(__xludf.DUMMYFUNCTION("""COMPUTED_VALUE"""),254)</f>
        <v>254</v>
      </c>
      <c r="P131" s="1">
        <f ca="1">IFERROR(__xludf.DUMMYFUNCTION("""COMPUTED_VALUE"""),100.9)</f>
        <v>100.9</v>
      </c>
      <c r="Q131" s="1">
        <f ca="1">IFERROR(__xludf.DUMMYFUNCTION("""COMPUTED_VALUE"""),271)</f>
        <v>271</v>
      </c>
      <c r="R131" s="1">
        <f ca="1">IFERROR(__xludf.DUMMYFUNCTION("""COMPUTED_VALUE"""),106.4)</f>
        <v>106.4</v>
      </c>
      <c r="S131" s="1">
        <f ca="1">IFERROR(__xludf.DUMMYFUNCTION("""COMPUTED_VALUE"""),234)</f>
        <v>234</v>
      </c>
      <c r="T131" s="1">
        <f ca="1">IFERROR(__xludf.DUMMYFUNCTION("""COMPUTED_VALUE"""),-1.39)</f>
        <v>-1.39</v>
      </c>
      <c r="U131" s="1">
        <f ca="1">IFERROR(__xludf.DUMMYFUNCTION("""COMPUTED_VALUE"""),181)</f>
        <v>181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IFERROR(__xludf.DUMMYFUNCTION("""COMPUTED_VALUE"""),"Dayton")</f>
        <v>Dayton</v>
      </c>
      <c r="C132" s="1" t="str">
        <f ca="1">IFERROR(__xludf.DUMMYFUNCTION("""COMPUTED_VALUE"""),"A10")</f>
        <v>A10</v>
      </c>
      <c r="D132" s="1" t="str">
        <f ca="1">IFERROR(__xludf.DUMMYFUNCTION("""COMPUTED_VALUE"""),"19-12")</f>
        <v>19-12</v>
      </c>
      <c r="E132" s="1" t="str">
        <f ca="1">IFERROR(__xludf.DUMMYFUNCTION("""COMPUTED_VALUE"""),"+4.12")</f>
        <v>+4.12</v>
      </c>
      <c r="F132" s="1">
        <f ca="1">IFERROR(__xludf.DUMMYFUNCTION("""COMPUTED_VALUE"""),104.9)</f>
        <v>104.9</v>
      </c>
      <c r="G132" s="1">
        <f ca="1">IFERROR(__xludf.DUMMYFUNCTION("""COMPUTED_VALUE"""),155)</f>
        <v>155</v>
      </c>
      <c r="H132" s="1">
        <f ca="1">IFERROR(__xludf.DUMMYFUNCTION("""COMPUTED_VALUE"""),100.7)</f>
        <v>100.7</v>
      </c>
      <c r="I132" s="1">
        <f ca="1">IFERROR(__xludf.DUMMYFUNCTION("""COMPUTED_VALUE"""),98)</f>
        <v>98</v>
      </c>
      <c r="J132" s="1">
        <f ca="1">IFERROR(__xludf.DUMMYFUNCTION("""COMPUTED_VALUE"""),64.4)</f>
        <v>64.400000000000006</v>
      </c>
      <c r="K132" s="1">
        <f ca="1">IFERROR(__xludf.DUMMYFUNCTION("""COMPUTED_VALUE"""),222)</f>
        <v>222</v>
      </c>
      <c r="L132" s="1" t="str">
        <f ca="1">IFERROR(__xludf.DUMMYFUNCTION("""COMPUTED_VALUE"""),"+.086")</f>
        <v>+.086</v>
      </c>
      <c r="M132" s="1">
        <f ca="1">IFERROR(__xludf.DUMMYFUNCTION("""COMPUTED_VALUE"""),22)</f>
        <v>22</v>
      </c>
      <c r="N132" s="1" t="str">
        <f ca="1">IFERROR(__xludf.DUMMYFUNCTION("""COMPUTED_VALUE"""),"+1.21")</f>
        <v>+1.21</v>
      </c>
      <c r="O132" s="1">
        <f ca="1">IFERROR(__xludf.DUMMYFUNCTION("""COMPUTED_VALUE"""),132)</f>
        <v>132</v>
      </c>
      <c r="P132" s="1">
        <f ca="1">IFERROR(__xludf.DUMMYFUNCTION("""COMPUTED_VALUE"""),105.7)</f>
        <v>105.7</v>
      </c>
      <c r="Q132" s="1">
        <f ca="1">IFERROR(__xludf.DUMMYFUNCTION("""COMPUTED_VALUE"""),113)</f>
        <v>113</v>
      </c>
      <c r="R132" s="1">
        <f ca="1">IFERROR(__xludf.DUMMYFUNCTION("""COMPUTED_VALUE"""),104.5)</f>
        <v>104.5</v>
      </c>
      <c r="S132" s="1">
        <f ca="1">IFERROR(__xludf.DUMMYFUNCTION("""COMPUTED_VALUE"""),159)</f>
        <v>159</v>
      </c>
      <c r="T132" s="1">
        <f ca="1">IFERROR(__xludf.DUMMYFUNCTION("""COMPUTED_VALUE"""),-1.02)</f>
        <v>-1.02</v>
      </c>
      <c r="U132" s="1">
        <f ca="1">IFERROR(__xludf.DUMMYFUNCTION("""COMPUTED_VALUE"""),173)</f>
        <v>173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IFERROR(__xludf.DUMMYFUNCTION("""COMPUTED_VALUE"""),"Ohio")</f>
        <v>Ohio</v>
      </c>
      <c r="C133" s="1" t="str">
        <f ca="1">IFERROR(__xludf.DUMMYFUNCTION("""COMPUTED_VALUE"""),"MAC")</f>
        <v>MAC</v>
      </c>
      <c r="D133" s="1" t="str">
        <f ca="1">IFERROR(__xludf.DUMMYFUNCTION("""COMPUTED_VALUE"""),"19-13")</f>
        <v>19-13</v>
      </c>
      <c r="E133" s="1" t="str">
        <f ca="1">IFERROR(__xludf.DUMMYFUNCTION("""COMPUTED_VALUE"""),"+4.08")</f>
        <v>+4.08</v>
      </c>
      <c r="F133" s="1">
        <f ca="1">IFERROR(__xludf.DUMMYFUNCTION("""COMPUTED_VALUE"""),109.4)</f>
        <v>109.4</v>
      </c>
      <c r="G133" s="1">
        <f ca="1">IFERROR(__xludf.DUMMYFUNCTION("""COMPUTED_VALUE"""),90)</f>
        <v>90</v>
      </c>
      <c r="H133" s="1">
        <f ca="1">IFERROR(__xludf.DUMMYFUNCTION("""COMPUTED_VALUE"""),105.3)</f>
        <v>105.3</v>
      </c>
      <c r="I133" s="1">
        <f ca="1">IFERROR(__xludf.DUMMYFUNCTION("""COMPUTED_VALUE"""),178)</f>
        <v>178</v>
      </c>
      <c r="J133" s="1">
        <f ca="1">IFERROR(__xludf.DUMMYFUNCTION("""COMPUTED_VALUE"""),66.2)</f>
        <v>66.2</v>
      </c>
      <c r="K133" s="1">
        <f ca="1">IFERROR(__xludf.DUMMYFUNCTION("""COMPUTED_VALUE"""),145)</f>
        <v>145</v>
      </c>
      <c r="L133" s="1" t="str">
        <f ca="1">IFERROR(__xludf.DUMMYFUNCTION("""COMPUTED_VALUE"""),"+.028")</f>
        <v>+.028</v>
      </c>
      <c r="M133" s="1">
        <f ca="1">IFERROR(__xludf.DUMMYFUNCTION("""COMPUTED_VALUE"""),109)</f>
        <v>109</v>
      </c>
      <c r="N133" s="1" t="str">
        <f ca="1">IFERROR(__xludf.DUMMYFUNCTION("""COMPUTED_VALUE"""),"+0.73")</f>
        <v>+0.73</v>
      </c>
      <c r="O133" s="1">
        <f ca="1">IFERROR(__xludf.DUMMYFUNCTION("""COMPUTED_VALUE"""),143)</f>
        <v>143</v>
      </c>
      <c r="P133" s="1">
        <f ca="1">IFERROR(__xludf.DUMMYFUNCTION("""COMPUTED_VALUE"""),104.2)</f>
        <v>104.2</v>
      </c>
      <c r="Q133" s="1">
        <f ca="1">IFERROR(__xludf.DUMMYFUNCTION("""COMPUTED_VALUE"""),166)</f>
        <v>166</v>
      </c>
      <c r="R133" s="1">
        <f ca="1">IFERROR(__xludf.DUMMYFUNCTION("""COMPUTED_VALUE"""),103.4)</f>
        <v>103.4</v>
      </c>
      <c r="S133" s="1">
        <f ca="1">IFERROR(__xludf.DUMMYFUNCTION("""COMPUTED_VALUE"""),121)</f>
        <v>121</v>
      </c>
      <c r="T133" s="1" t="str">
        <f ca="1">IFERROR(__xludf.DUMMYFUNCTION("""COMPUTED_VALUE"""),"+0.42")</f>
        <v>+0.42</v>
      </c>
      <c r="U133" s="1">
        <f ca="1">IFERROR(__xludf.DUMMYFUNCTION("""COMPUTED_VALUE"""),146)</f>
        <v>146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IFERROR(__xludf.DUMMYFUNCTION("""COMPUTED_VALUE"""),"South Carolina")</f>
        <v>South Carolina</v>
      </c>
      <c r="C134" s="1" t="str">
        <f ca="1">IFERROR(__xludf.DUMMYFUNCTION("""COMPUTED_VALUE"""),"SEC")</f>
        <v>SEC</v>
      </c>
      <c r="D134" s="1" t="str">
        <f ca="1">IFERROR(__xludf.DUMMYFUNCTION("""COMPUTED_VALUE"""),"14-16")</f>
        <v>14-16</v>
      </c>
      <c r="E134" s="1" t="str">
        <f ca="1">IFERROR(__xludf.DUMMYFUNCTION("""COMPUTED_VALUE"""),"+3.96")</f>
        <v>+3.96</v>
      </c>
      <c r="F134" s="1">
        <f ca="1">IFERROR(__xludf.DUMMYFUNCTION("""COMPUTED_VALUE"""),110.3)</f>
        <v>110.3</v>
      </c>
      <c r="G134" s="1">
        <f ca="1">IFERROR(__xludf.DUMMYFUNCTION("""COMPUTED_VALUE"""),79)</f>
        <v>79</v>
      </c>
      <c r="H134" s="1">
        <f ca="1">IFERROR(__xludf.DUMMYFUNCTION("""COMPUTED_VALUE"""),106.4)</f>
        <v>106.4</v>
      </c>
      <c r="I134" s="1">
        <f ca="1">IFERROR(__xludf.DUMMYFUNCTION("""COMPUTED_VALUE"""),199)</f>
        <v>199</v>
      </c>
      <c r="J134" s="1">
        <f ca="1">IFERROR(__xludf.DUMMYFUNCTION("""COMPUTED_VALUE"""),61)</f>
        <v>61</v>
      </c>
      <c r="K134" s="1">
        <f ca="1">IFERROR(__xludf.DUMMYFUNCTION("""COMPUTED_VALUE"""),314)</f>
        <v>314</v>
      </c>
      <c r="L134" s="1" t="str">
        <f ca="1">IFERROR(__xludf.DUMMYFUNCTION("""COMPUTED_VALUE"""),"+.068")</f>
        <v>+.068</v>
      </c>
      <c r="M134" s="1">
        <f ca="1">IFERROR(__xludf.DUMMYFUNCTION("""COMPUTED_VALUE"""),31)</f>
        <v>31</v>
      </c>
      <c r="N134" s="1" t="str">
        <f ca="1">IFERROR(__xludf.DUMMYFUNCTION("""COMPUTED_VALUE"""),"+9.41")</f>
        <v>+9.41</v>
      </c>
      <c r="O134" s="1">
        <f ca="1">IFERROR(__xludf.DUMMYFUNCTION("""COMPUTED_VALUE"""),24)</f>
        <v>24</v>
      </c>
      <c r="P134" s="1">
        <f ca="1">IFERROR(__xludf.DUMMYFUNCTION("""COMPUTED_VALUE"""),109)</f>
        <v>109</v>
      </c>
      <c r="Q134" s="1">
        <f ca="1">IFERROR(__xludf.DUMMYFUNCTION("""COMPUTED_VALUE"""),36)</f>
        <v>36</v>
      </c>
      <c r="R134" s="1">
        <f ca="1">IFERROR(__xludf.DUMMYFUNCTION("""COMPUTED_VALUE"""),99.6)</f>
        <v>99.6</v>
      </c>
      <c r="S134" s="1">
        <f ca="1">IFERROR(__xludf.DUMMYFUNCTION("""COMPUTED_VALUE"""),11)</f>
        <v>11</v>
      </c>
      <c r="T134" s="1">
        <f ca="1">IFERROR(__xludf.DUMMYFUNCTION("""COMPUTED_VALUE"""),-3.71)</f>
        <v>-3.71</v>
      </c>
      <c r="U134" s="1">
        <f ca="1">IFERROR(__xludf.DUMMYFUNCTION("""COMPUTED_VALUE"""),246)</f>
        <v>246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IFERROR(__xludf.DUMMYFUNCTION("""COMPUTED_VALUE"""),"Southern Miss")</f>
        <v>Southern Miss</v>
      </c>
      <c r="C135" s="1" t="str">
        <f ca="1">IFERROR(__xludf.DUMMYFUNCTION("""COMPUTED_VALUE"""),"CUSA")</f>
        <v>CUSA</v>
      </c>
      <c r="D135" s="1" t="str">
        <f ca="1">IFERROR(__xludf.DUMMYFUNCTION("""COMPUTED_VALUE"""),"20-11")</f>
        <v>20-11</v>
      </c>
      <c r="E135" s="1" t="str">
        <f ca="1">IFERROR(__xludf.DUMMYFUNCTION("""COMPUTED_VALUE"""),"+3.65")</f>
        <v>+3.65</v>
      </c>
      <c r="F135" s="1">
        <f ca="1">IFERROR(__xludf.DUMMYFUNCTION("""COMPUTED_VALUE"""),104)</f>
        <v>104</v>
      </c>
      <c r="G135" s="1">
        <f ca="1">IFERROR(__xludf.DUMMYFUNCTION("""COMPUTED_VALUE"""),172)</f>
        <v>172</v>
      </c>
      <c r="H135" s="1">
        <f ca="1">IFERROR(__xludf.DUMMYFUNCTION("""COMPUTED_VALUE"""),100.3)</f>
        <v>100.3</v>
      </c>
      <c r="I135" s="1">
        <f ca="1">IFERROR(__xludf.DUMMYFUNCTION("""COMPUTED_VALUE"""),93)</f>
        <v>93</v>
      </c>
      <c r="J135" s="1">
        <f ca="1">IFERROR(__xludf.DUMMYFUNCTION("""COMPUTED_VALUE"""),65.2)</f>
        <v>65.2</v>
      </c>
      <c r="K135" s="1">
        <f ca="1">IFERROR(__xludf.DUMMYFUNCTION("""COMPUTED_VALUE"""),188)</f>
        <v>188</v>
      </c>
      <c r="L135" s="1" t="str">
        <f ca="1">IFERROR(__xludf.DUMMYFUNCTION("""COMPUTED_VALUE"""),"+.001")</f>
        <v>+.001</v>
      </c>
      <c r="M135" s="1">
        <f ca="1">IFERROR(__xludf.DUMMYFUNCTION("""COMPUTED_VALUE"""),178)</f>
        <v>178</v>
      </c>
      <c r="N135" s="1">
        <f ca="1">IFERROR(__xludf.DUMMYFUNCTION("""COMPUTED_VALUE"""),-1)</f>
        <v>-1</v>
      </c>
      <c r="O135" s="1">
        <f ca="1">IFERROR(__xludf.DUMMYFUNCTION("""COMPUTED_VALUE"""),171)</f>
        <v>171</v>
      </c>
      <c r="P135" s="1">
        <f ca="1">IFERROR(__xludf.DUMMYFUNCTION("""COMPUTED_VALUE"""),101.8)</f>
        <v>101.8</v>
      </c>
      <c r="Q135" s="1">
        <f ca="1">IFERROR(__xludf.DUMMYFUNCTION("""COMPUTED_VALUE"""),241)</f>
        <v>241</v>
      </c>
      <c r="R135" s="1">
        <f ca="1">IFERROR(__xludf.DUMMYFUNCTION("""COMPUTED_VALUE"""),102.8)</f>
        <v>102.8</v>
      </c>
      <c r="S135" s="1">
        <f ca="1">IFERROR(__xludf.DUMMYFUNCTION("""COMPUTED_VALUE"""),104)</f>
        <v>104</v>
      </c>
      <c r="T135" s="1">
        <f ca="1">IFERROR(__xludf.DUMMYFUNCTION("""COMPUTED_VALUE"""),-9.27)</f>
        <v>-9.27</v>
      </c>
      <c r="U135" s="1">
        <f ca="1">IFERROR(__xludf.DUMMYFUNCTION("""COMPUTED_VALUE"""),324)</f>
        <v>324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IFERROR(__xludf.DUMMYFUNCTION("""COMPUTED_VALUE"""),"Oakland")</f>
        <v>Oakland</v>
      </c>
      <c r="C136" s="1" t="str">
        <f ca="1">IFERROR(__xludf.DUMMYFUNCTION("""COMPUTED_VALUE"""),"MCon")</f>
        <v>MCon</v>
      </c>
      <c r="D136" s="1" t="str">
        <f ca="1">IFERROR(__xludf.DUMMYFUNCTION("""COMPUTED_VALUE"""),"19-14")</f>
        <v>19-14</v>
      </c>
      <c r="E136" s="1" t="str">
        <f ca="1">IFERROR(__xludf.DUMMYFUNCTION("""COMPUTED_VALUE"""),"+3.45")</f>
        <v>+3.45</v>
      </c>
      <c r="F136" s="1">
        <f ca="1">IFERROR(__xludf.DUMMYFUNCTION("""COMPUTED_VALUE"""),110.2)</f>
        <v>110.2</v>
      </c>
      <c r="G136" s="1">
        <f ca="1">IFERROR(__xludf.DUMMYFUNCTION("""COMPUTED_VALUE"""),81)</f>
        <v>81</v>
      </c>
      <c r="H136" s="1">
        <f ca="1">IFERROR(__xludf.DUMMYFUNCTION("""COMPUTED_VALUE"""),106.7)</f>
        <v>106.7</v>
      </c>
      <c r="I136" s="1">
        <f ca="1">IFERROR(__xludf.DUMMYFUNCTION("""COMPUTED_VALUE"""),209)</f>
        <v>209</v>
      </c>
      <c r="J136" s="1">
        <f ca="1">IFERROR(__xludf.DUMMYFUNCTION("""COMPUTED_VALUE"""),63.9)</f>
        <v>63.9</v>
      </c>
      <c r="K136" s="1">
        <f ca="1">IFERROR(__xludf.DUMMYFUNCTION("""COMPUTED_VALUE"""),240)</f>
        <v>240</v>
      </c>
      <c r="L136" s="1" t="str">
        <f ca="1">IFERROR(__xludf.DUMMYFUNCTION("""COMPUTED_VALUE"""),"+.039")</f>
        <v>+.039</v>
      </c>
      <c r="M136" s="1">
        <f ca="1">IFERROR(__xludf.DUMMYFUNCTION("""COMPUTED_VALUE"""),77)</f>
        <v>77</v>
      </c>
      <c r="N136" s="1" t="str">
        <f ca="1">IFERROR(__xludf.DUMMYFUNCTION("""COMPUTED_VALUE"""),"+0.78")</f>
        <v>+0.78</v>
      </c>
      <c r="O136" s="1">
        <f ca="1">IFERROR(__xludf.DUMMYFUNCTION("""COMPUTED_VALUE"""),142)</f>
        <v>142</v>
      </c>
      <c r="P136" s="1">
        <f ca="1">IFERROR(__xludf.DUMMYFUNCTION("""COMPUTED_VALUE"""),104.9)</f>
        <v>104.9</v>
      </c>
      <c r="Q136" s="1">
        <f ca="1">IFERROR(__xludf.DUMMYFUNCTION("""COMPUTED_VALUE"""),138)</f>
        <v>138</v>
      </c>
      <c r="R136" s="1">
        <f ca="1">IFERROR(__xludf.DUMMYFUNCTION("""COMPUTED_VALUE"""),104.1)</f>
        <v>104.1</v>
      </c>
      <c r="S136" s="1">
        <f ca="1">IFERROR(__xludf.DUMMYFUNCTION("""COMPUTED_VALUE"""),145)</f>
        <v>145</v>
      </c>
      <c r="T136" s="1" t="str">
        <f ca="1">IFERROR(__xludf.DUMMYFUNCTION("""COMPUTED_VALUE"""),"+7.92")</f>
        <v>+7.92</v>
      </c>
      <c r="U136" s="1">
        <f ca="1">IFERROR(__xludf.DUMMYFUNCTION("""COMPUTED_VALUE"""),27)</f>
        <v>27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IFERROR(__xludf.DUMMYFUNCTION("""COMPUTED_VALUE"""),"St. John's")</f>
        <v>St. John's</v>
      </c>
      <c r="C137" s="1" t="str">
        <f ca="1">IFERROR(__xludf.DUMMYFUNCTION("""COMPUTED_VALUE"""),"BE")</f>
        <v>BE</v>
      </c>
      <c r="D137" s="1" t="str">
        <f ca="1">IFERROR(__xludf.DUMMYFUNCTION("""COMPUTED_VALUE"""),"16-15")</f>
        <v>16-15</v>
      </c>
      <c r="E137" s="1" t="str">
        <f ca="1">IFERROR(__xludf.DUMMYFUNCTION("""COMPUTED_VALUE"""),"+3.41")</f>
        <v>+3.41</v>
      </c>
      <c r="F137" s="1">
        <f ca="1">IFERROR(__xludf.DUMMYFUNCTION("""COMPUTED_VALUE"""),103.3)</f>
        <v>103.3</v>
      </c>
      <c r="G137" s="1">
        <f ca="1">IFERROR(__xludf.DUMMYFUNCTION("""COMPUTED_VALUE"""),184)</f>
        <v>184</v>
      </c>
      <c r="H137" s="1">
        <f ca="1">IFERROR(__xludf.DUMMYFUNCTION("""COMPUTED_VALUE"""),99.9)</f>
        <v>99.9</v>
      </c>
      <c r="I137" s="1">
        <f ca="1">IFERROR(__xludf.DUMMYFUNCTION("""COMPUTED_VALUE"""),86)</f>
        <v>86</v>
      </c>
      <c r="J137" s="1">
        <f ca="1">IFERROR(__xludf.DUMMYFUNCTION("""COMPUTED_VALUE"""),63.8)</f>
        <v>63.8</v>
      </c>
      <c r="K137" s="1">
        <f ca="1">IFERROR(__xludf.DUMMYFUNCTION("""COMPUTED_VALUE"""),242)</f>
        <v>242</v>
      </c>
      <c r="L137" s="1" t="str">
        <f ca="1">IFERROR(__xludf.DUMMYFUNCTION("""COMPUTED_VALUE"""),"+.039")</f>
        <v>+.039</v>
      </c>
      <c r="M137" s="1">
        <f ca="1">IFERROR(__xludf.DUMMYFUNCTION("""COMPUTED_VALUE"""),78)</f>
        <v>78</v>
      </c>
      <c r="N137" s="1" t="str">
        <f ca="1">IFERROR(__xludf.DUMMYFUNCTION("""COMPUTED_VALUE"""),"+4.48")</f>
        <v>+4.48</v>
      </c>
      <c r="O137" s="1">
        <f ca="1">IFERROR(__xludf.DUMMYFUNCTION("""COMPUTED_VALUE"""),87)</f>
        <v>87</v>
      </c>
      <c r="P137" s="1">
        <f ca="1">IFERROR(__xludf.DUMMYFUNCTION("""COMPUTED_VALUE"""),106.3)</f>
        <v>106.3</v>
      </c>
      <c r="Q137" s="1">
        <f ca="1">IFERROR(__xludf.DUMMYFUNCTION("""COMPUTED_VALUE"""),97)</f>
        <v>97</v>
      </c>
      <c r="R137" s="1">
        <f ca="1">IFERROR(__xludf.DUMMYFUNCTION("""COMPUTED_VALUE"""),101.8)</f>
        <v>101.8</v>
      </c>
      <c r="S137" s="1">
        <f ca="1">IFERROR(__xludf.DUMMYFUNCTION("""COMPUTED_VALUE"""),81)</f>
        <v>81</v>
      </c>
      <c r="T137" s="1">
        <f ca="1">IFERROR(__xludf.DUMMYFUNCTION("""COMPUTED_VALUE"""),-8.3)</f>
        <v>-8.3000000000000007</v>
      </c>
      <c r="U137" s="1">
        <f ca="1">IFERROR(__xludf.DUMMYFUNCTION("""COMPUTED_VALUE"""),319)</f>
        <v>319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IFERROR(__xludf.DUMMYFUNCTION("""COMPUTED_VALUE"""),"Wyoming")</f>
        <v>Wyoming</v>
      </c>
      <c r="C138" s="1" t="str">
        <f ca="1">IFERROR(__xludf.DUMMYFUNCTION("""COMPUTED_VALUE"""),"MWC")</f>
        <v>MWC</v>
      </c>
      <c r="D138" s="1" t="str">
        <f ca="1">IFERROR(__xludf.DUMMYFUNCTION("""COMPUTED_VALUE"""),"17-15")</f>
        <v>17-15</v>
      </c>
      <c r="E138" s="1" t="str">
        <f ca="1">IFERROR(__xludf.DUMMYFUNCTION("""COMPUTED_VALUE"""),"+3.34")</f>
        <v>+3.34</v>
      </c>
      <c r="F138" s="1">
        <f ca="1">IFERROR(__xludf.DUMMYFUNCTION("""COMPUTED_VALUE"""),109)</f>
        <v>109</v>
      </c>
      <c r="G138" s="1">
        <f ca="1">IFERROR(__xludf.DUMMYFUNCTION("""COMPUTED_VALUE"""),97)</f>
        <v>97</v>
      </c>
      <c r="H138" s="1">
        <f ca="1">IFERROR(__xludf.DUMMYFUNCTION("""COMPUTED_VALUE"""),105.6)</f>
        <v>105.6</v>
      </c>
      <c r="I138" s="1">
        <f ca="1">IFERROR(__xludf.DUMMYFUNCTION("""COMPUTED_VALUE"""),184)</f>
        <v>184</v>
      </c>
      <c r="J138" s="1">
        <f ca="1">IFERROR(__xludf.DUMMYFUNCTION("""COMPUTED_VALUE"""),68.9)</f>
        <v>68.900000000000006</v>
      </c>
      <c r="K138" s="1">
        <f ca="1">IFERROR(__xludf.DUMMYFUNCTION("""COMPUTED_VALUE"""),60)</f>
        <v>60</v>
      </c>
      <c r="L138" s="1" t="str">
        <f ca="1">IFERROR(__xludf.DUMMYFUNCTION("""COMPUTED_VALUE"""),"+.055")</f>
        <v>+.055</v>
      </c>
      <c r="M138" s="1">
        <f ca="1">IFERROR(__xludf.DUMMYFUNCTION("""COMPUTED_VALUE"""),49)</f>
        <v>49</v>
      </c>
      <c r="N138" s="1" t="str">
        <f ca="1">IFERROR(__xludf.DUMMYFUNCTION("""COMPUTED_VALUE"""),"+4.08")</f>
        <v>+4.08</v>
      </c>
      <c r="O138" s="1">
        <f ca="1">IFERROR(__xludf.DUMMYFUNCTION("""COMPUTED_VALUE"""),91)</f>
        <v>91</v>
      </c>
      <c r="P138" s="1">
        <f ca="1">IFERROR(__xludf.DUMMYFUNCTION("""COMPUTED_VALUE"""),107.2)</f>
        <v>107.2</v>
      </c>
      <c r="Q138" s="1">
        <f ca="1">IFERROR(__xludf.DUMMYFUNCTION("""COMPUTED_VALUE"""),76)</f>
        <v>76</v>
      </c>
      <c r="R138" s="1">
        <f ca="1">IFERROR(__xludf.DUMMYFUNCTION("""COMPUTED_VALUE"""),103.1)</f>
        <v>103.1</v>
      </c>
      <c r="S138" s="1">
        <f ca="1">IFERROR(__xludf.DUMMYFUNCTION("""COMPUTED_VALUE"""),114)</f>
        <v>114</v>
      </c>
      <c r="T138" s="1">
        <f ca="1">IFERROR(__xludf.DUMMYFUNCTION("""COMPUTED_VALUE"""),-2.72)</f>
        <v>-2.72</v>
      </c>
      <c r="U138" s="1">
        <f ca="1">IFERROR(__xludf.DUMMYFUNCTION("""COMPUTED_VALUE"""),218)</f>
        <v>218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IFERROR(__xludf.DUMMYFUNCTION("""COMPUTED_VALUE"""),"Temple")</f>
        <v>Temple</v>
      </c>
      <c r="C139" s="1" t="str">
        <f ca="1">IFERROR(__xludf.DUMMYFUNCTION("""COMPUTED_VALUE"""),"A10")</f>
        <v>A10</v>
      </c>
      <c r="D139" s="2">
        <f ca="1">IFERROR(__xludf.DUMMYFUNCTION("""COMPUTED_VALUE"""),44913)</f>
        <v>44913</v>
      </c>
      <c r="E139" s="1" t="str">
        <f ca="1">IFERROR(__xludf.DUMMYFUNCTION("""COMPUTED_VALUE"""),"+3.06")</f>
        <v>+3.06</v>
      </c>
      <c r="F139" s="1">
        <f ca="1">IFERROR(__xludf.DUMMYFUNCTION("""COMPUTED_VALUE"""),110.3)</f>
        <v>110.3</v>
      </c>
      <c r="G139" s="1">
        <f ca="1">IFERROR(__xludf.DUMMYFUNCTION("""COMPUTED_VALUE"""),80)</f>
        <v>80</v>
      </c>
      <c r="H139" s="1">
        <f ca="1">IFERROR(__xludf.DUMMYFUNCTION("""COMPUTED_VALUE"""),107.2)</f>
        <v>107.2</v>
      </c>
      <c r="I139" s="1">
        <f ca="1">IFERROR(__xludf.DUMMYFUNCTION("""COMPUTED_VALUE"""),219)</f>
        <v>219</v>
      </c>
      <c r="J139" s="1">
        <f ca="1">IFERROR(__xludf.DUMMYFUNCTION("""COMPUTED_VALUE"""),68.8)</f>
        <v>68.8</v>
      </c>
      <c r="K139" s="1">
        <f ca="1">IFERROR(__xludf.DUMMYFUNCTION("""COMPUTED_VALUE"""),61)</f>
        <v>61</v>
      </c>
      <c r="L139" s="1">
        <f ca="1">IFERROR(__xludf.DUMMYFUNCTION("""COMPUTED_VALUE"""),-0.123)</f>
        <v>-0.123</v>
      </c>
      <c r="M139" s="1">
        <f ca="1">IFERROR(__xludf.DUMMYFUNCTION("""COMPUTED_VALUE"""),334)</f>
        <v>334</v>
      </c>
      <c r="N139" s="1" t="str">
        <f ca="1">IFERROR(__xludf.DUMMYFUNCTION("""COMPUTED_VALUE"""),"+1.98")</f>
        <v>+1.98</v>
      </c>
      <c r="O139" s="1">
        <f ca="1">IFERROR(__xludf.DUMMYFUNCTION("""COMPUTED_VALUE"""),120)</f>
        <v>120</v>
      </c>
      <c r="P139" s="1">
        <f ca="1">IFERROR(__xludf.DUMMYFUNCTION("""COMPUTED_VALUE"""),105.7)</f>
        <v>105.7</v>
      </c>
      <c r="Q139" s="1">
        <f ca="1">IFERROR(__xludf.DUMMYFUNCTION("""COMPUTED_VALUE"""),117)</f>
        <v>117</v>
      </c>
      <c r="R139" s="1">
        <f ca="1">IFERROR(__xludf.DUMMYFUNCTION("""COMPUTED_VALUE"""),103.7)</f>
        <v>103.7</v>
      </c>
      <c r="S139" s="1">
        <f ca="1">IFERROR(__xludf.DUMMYFUNCTION("""COMPUTED_VALUE"""),132)</f>
        <v>132</v>
      </c>
      <c r="T139" s="1" t="str">
        <f ca="1">IFERROR(__xludf.DUMMYFUNCTION("""COMPUTED_VALUE"""),"+2.96")</f>
        <v>+2.96</v>
      </c>
      <c r="U139" s="1">
        <f ca="1">IFERROR(__xludf.DUMMYFUNCTION("""COMPUTED_VALUE"""),84)</f>
        <v>84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IFERROR(__xludf.DUMMYFUNCTION("""COMPUTED_VALUE"""),"Sam Houston St.")</f>
        <v>Sam Houston St.</v>
      </c>
      <c r="C140" s="1" t="str">
        <f ca="1">IFERROR(__xludf.DUMMYFUNCTION("""COMPUTED_VALUE"""),"Slnd")</f>
        <v>Slnd</v>
      </c>
      <c r="D140" s="1" t="str">
        <f ca="1">IFERROR(__xludf.DUMMYFUNCTION("""COMPUTED_VALUE"""),"21-10")</f>
        <v>21-10</v>
      </c>
      <c r="E140" s="1" t="str">
        <f ca="1">IFERROR(__xludf.DUMMYFUNCTION("""COMPUTED_VALUE"""),"+2.91")</f>
        <v>+2.91</v>
      </c>
      <c r="F140" s="1">
        <f ca="1">IFERROR(__xludf.DUMMYFUNCTION("""COMPUTED_VALUE"""),106.2)</f>
        <v>106.2</v>
      </c>
      <c r="G140" s="1">
        <f ca="1">IFERROR(__xludf.DUMMYFUNCTION("""COMPUTED_VALUE"""),139)</f>
        <v>139</v>
      </c>
      <c r="H140" s="1">
        <f ca="1">IFERROR(__xludf.DUMMYFUNCTION("""COMPUTED_VALUE"""),103.3)</f>
        <v>103.3</v>
      </c>
      <c r="I140" s="1">
        <f ca="1">IFERROR(__xludf.DUMMYFUNCTION("""COMPUTED_VALUE"""),145)</f>
        <v>145</v>
      </c>
      <c r="J140" s="1">
        <f ca="1">IFERROR(__xludf.DUMMYFUNCTION("""COMPUTED_VALUE"""),69.6)</f>
        <v>69.599999999999994</v>
      </c>
      <c r="K140" s="1">
        <f ca="1">IFERROR(__xludf.DUMMYFUNCTION("""COMPUTED_VALUE"""),43)</f>
        <v>43</v>
      </c>
      <c r="L140" s="1" t="str">
        <f ca="1">IFERROR(__xludf.DUMMYFUNCTION("""COMPUTED_VALUE"""),"+.008")</f>
        <v>+.008</v>
      </c>
      <c r="M140" s="1">
        <f ca="1">IFERROR(__xludf.DUMMYFUNCTION("""COMPUTED_VALUE"""),159)</f>
        <v>159</v>
      </c>
      <c r="N140" s="1">
        <f ca="1">IFERROR(__xludf.DUMMYFUNCTION("""COMPUTED_VALUE"""),-4.67)</f>
        <v>-4.67</v>
      </c>
      <c r="O140" s="1">
        <f ca="1">IFERROR(__xludf.DUMMYFUNCTION("""COMPUTED_VALUE"""),238)</f>
        <v>238</v>
      </c>
      <c r="P140" s="1">
        <f ca="1">IFERROR(__xludf.DUMMYFUNCTION("""COMPUTED_VALUE"""),101.1)</f>
        <v>101.1</v>
      </c>
      <c r="Q140" s="1">
        <f ca="1">IFERROR(__xludf.DUMMYFUNCTION("""COMPUTED_VALUE"""),266)</f>
        <v>266</v>
      </c>
      <c r="R140" s="1">
        <f ca="1">IFERROR(__xludf.DUMMYFUNCTION("""COMPUTED_VALUE"""),105.7)</f>
        <v>105.7</v>
      </c>
      <c r="S140" s="1">
        <f ca="1">IFERROR(__xludf.DUMMYFUNCTION("""COMPUTED_VALUE"""),197)</f>
        <v>197</v>
      </c>
      <c r="T140" s="1" t="str">
        <f ca="1">IFERROR(__xludf.DUMMYFUNCTION("""COMPUTED_VALUE"""),"+3.01")</f>
        <v>+3.01</v>
      </c>
      <c r="U140" s="1">
        <f ca="1">IFERROR(__xludf.DUMMYFUNCTION("""COMPUTED_VALUE"""),83)</f>
        <v>83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IFERROR(__xludf.DUMMYFUNCTION("""COMPUTED_VALUE"""),"UTEP")</f>
        <v>UTEP</v>
      </c>
      <c r="C141" s="1" t="str">
        <f ca="1">IFERROR(__xludf.DUMMYFUNCTION("""COMPUTED_VALUE"""),"CUSA")</f>
        <v>CUSA</v>
      </c>
      <c r="D141" s="1" t="str">
        <f ca="1">IFERROR(__xludf.DUMMYFUNCTION("""COMPUTED_VALUE"""),"14-17")</f>
        <v>14-17</v>
      </c>
      <c r="E141" s="1" t="str">
        <f ca="1">IFERROR(__xludf.DUMMYFUNCTION("""COMPUTED_VALUE"""),"+2.68")</f>
        <v>+2.68</v>
      </c>
      <c r="F141" s="1">
        <f ca="1">IFERROR(__xludf.DUMMYFUNCTION("""COMPUTED_VALUE"""),103.7)</f>
        <v>103.7</v>
      </c>
      <c r="G141" s="1">
        <f ca="1">IFERROR(__xludf.DUMMYFUNCTION("""COMPUTED_VALUE"""),178)</f>
        <v>178</v>
      </c>
      <c r="H141" s="1">
        <f ca="1">IFERROR(__xludf.DUMMYFUNCTION("""COMPUTED_VALUE"""),101)</f>
        <v>101</v>
      </c>
      <c r="I141" s="1">
        <f ca="1">IFERROR(__xludf.DUMMYFUNCTION("""COMPUTED_VALUE"""),103)</f>
        <v>103</v>
      </c>
      <c r="J141" s="1">
        <f ca="1">IFERROR(__xludf.DUMMYFUNCTION("""COMPUTED_VALUE"""),72.1)</f>
        <v>72.099999999999994</v>
      </c>
      <c r="K141" s="1">
        <f ca="1">IFERROR(__xludf.DUMMYFUNCTION("""COMPUTED_VALUE"""),11)</f>
        <v>11</v>
      </c>
      <c r="L141" s="1">
        <f ca="1">IFERROR(__xludf.DUMMYFUNCTION("""COMPUTED_VALUE"""),-0.137)</f>
        <v>-0.13700000000000001</v>
      </c>
      <c r="M141" s="1">
        <f ca="1">IFERROR(__xludf.DUMMYFUNCTION("""COMPUTED_VALUE"""),336)</f>
        <v>336</v>
      </c>
      <c r="N141" s="1">
        <f ca="1">IFERROR(__xludf.DUMMYFUNCTION("""COMPUTED_VALUE"""),-1.32)</f>
        <v>-1.32</v>
      </c>
      <c r="O141" s="1">
        <f ca="1">IFERROR(__xludf.DUMMYFUNCTION("""COMPUTED_VALUE"""),175)</f>
        <v>175</v>
      </c>
      <c r="P141" s="1">
        <f ca="1">IFERROR(__xludf.DUMMYFUNCTION("""COMPUTED_VALUE"""),102.5)</f>
        <v>102.5</v>
      </c>
      <c r="Q141" s="1">
        <f ca="1">IFERROR(__xludf.DUMMYFUNCTION("""COMPUTED_VALUE"""),212)</f>
        <v>212</v>
      </c>
      <c r="R141" s="1">
        <f ca="1">IFERROR(__xludf.DUMMYFUNCTION("""COMPUTED_VALUE"""),103.9)</f>
        <v>103.9</v>
      </c>
      <c r="S141" s="1">
        <f ca="1">IFERROR(__xludf.DUMMYFUNCTION("""COMPUTED_VALUE"""),139)</f>
        <v>139</v>
      </c>
      <c r="T141" s="1">
        <f ca="1">IFERROR(__xludf.DUMMYFUNCTION("""COMPUTED_VALUE"""),-6.61)</f>
        <v>-6.61</v>
      </c>
      <c r="U141" s="1">
        <f ca="1">IFERROR(__xludf.DUMMYFUNCTION("""COMPUTED_VALUE"""),306)</f>
        <v>306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IFERROR(__xludf.DUMMYFUNCTION("""COMPUTED_VALUE"""),"Iowa St.")</f>
        <v>Iowa St.</v>
      </c>
      <c r="C142" s="1" t="str">
        <f ca="1">IFERROR(__xludf.DUMMYFUNCTION("""COMPUTED_VALUE"""),"B12")</f>
        <v>B12</v>
      </c>
      <c r="D142" s="1" t="str">
        <f ca="1">IFERROR(__xludf.DUMMYFUNCTION("""COMPUTED_VALUE"""),"15-16")</f>
        <v>15-16</v>
      </c>
      <c r="E142" s="1" t="str">
        <f ca="1">IFERROR(__xludf.DUMMYFUNCTION("""COMPUTED_VALUE"""),"+2.67")</f>
        <v>+2.67</v>
      </c>
      <c r="F142" s="1">
        <f ca="1">IFERROR(__xludf.DUMMYFUNCTION("""COMPUTED_VALUE"""),101.4)</f>
        <v>101.4</v>
      </c>
      <c r="G142" s="1">
        <f ca="1">IFERROR(__xludf.DUMMYFUNCTION("""COMPUTED_VALUE"""),213)</f>
        <v>213</v>
      </c>
      <c r="H142" s="1">
        <f ca="1">IFERROR(__xludf.DUMMYFUNCTION("""COMPUTED_VALUE"""),98.7)</f>
        <v>98.7</v>
      </c>
      <c r="I142" s="1">
        <f ca="1">IFERROR(__xludf.DUMMYFUNCTION("""COMPUTED_VALUE"""),72)</f>
        <v>72</v>
      </c>
      <c r="J142" s="1">
        <f ca="1">IFERROR(__xludf.DUMMYFUNCTION("""COMPUTED_VALUE"""),63.3)</f>
        <v>63.3</v>
      </c>
      <c r="K142" s="1">
        <f ca="1">IFERROR(__xludf.DUMMYFUNCTION("""COMPUTED_VALUE"""),265)</f>
        <v>265</v>
      </c>
      <c r="L142" s="1" t="str">
        <f ca="1">IFERROR(__xludf.DUMMYFUNCTION("""COMPUTED_VALUE"""),"+.038")</f>
        <v>+.038</v>
      </c>
      <c r="M142" s="1">
        <f ca="1">IFERROR(__xludf.DUMMYFUNCTION("""COMPUTED_VALUE"""),80)</f>
        <v>80</v>
      </c>
      <c r="N142" s="1" t="str">
        <f ca="1">IFERROR(__xludf.DUMMYFUNCTION("""COMPUTED_VALUE"""),"+5.82")</f>
        <v>+5.82</v>
      </c>
      <c r="O142" s="1">
        <f ca="1">IFERROR(__xludf.DUMMYFUNCTION("""COMPUTED_VALUE"""),70)</f>
        <v>70</v>
      </c>
      <c r="P142" s="1">
        <f ca="1">IFERROR(__xludf.DUMMYFUNCTION("""COMPUTED_VALUE"""),107.5)</f>
        <v>107.5</v>
      </c>
      <c r="Q142" s="1">
        <f ca="1">IFERROR(__xludf.DUMMYFUNCTION("""COMPUTED_VALUE"""),71)</f>
        <v>71</v>
      </c>
      <c r="R142" s="1">
        <f ca="1">IFERROR(__xludf.DUMMYFUNCTION("""COMPUTED_VALUE"""),101.7)</f>
        <v>101.7</v>
      </c>
      <c r="S142" s="1">
        <f ca="1">IFERROR(__xludf.DUMMYFUNCTION("""COMPUTED_VALUE"""),73)</f>
        <v>73</v>
      </c>
      <c r="T142" s="1">
        <f ca="1">IFERROR(__xludf.DUMMYFUNCTION("""COMPUTED_VALUE"""),-5.14)</f>
        <v>-5.14</v>
      </c>
      <c r="U142" s="1">
        <f ca="1">IFERROR(__xludf.DUMMYFUNCTION("""COMPUTED_VALUE"""),282)</f>
        <v>282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IFERROR(__xludf.DUMMYFUNCTION("""COMPUTED_VALUE"""),"Rhode Island")</f>
        <v>Rhode Island</v>
      </c>
      <c r="C143" s="1" t="str">
        <f ca="1">IFERROR(__xludf.DUMMYFUNCTION("""COMPUTED_VALUE"""),"A10")</f>
        <v>A10</v>
      </c>
      <c r="D143" s="1" t="str">
        <f ca="1">IFERROR(__xludf.DUMMYFUNCTION("""COMPUTED_VALUE"""),"19-14")</f>
        <v>19-14</v>
      </c>
      <c r="E143" s="1" t="str">
        <f ca="1">IFERROR(__xludf.DUMMYFUNCTION("""COMPUTED_VALUE"""),"+2.55")</f>
        <v>+2.55</v>
      </c>
      <c r="F143" s="1">
        <f ca="1">IFERROR(__xludf.DUMMYFUNCTION("""COMPUTED_VALUE"""),113)</f>
        <v>113</v>
      </c>
      <c r="G143" s="1">
        <f ca="1">IFERROR(__xludf.DUMMYFUNCTION("""COMPUTED_VALUE"""),47)</f>
        <v>47</v>
      </c>
      <c r="H143" s="1">
        <f ca="1">IFERROR(__xludf.DUMMYFUNCTION("""COMPUTED_VALUE"""),110.5)</f>
        <v>110.5</v>
      </c>
      <c r="I143" s="1">
        <f ca="1">IFERROR(__xludf.DUMMYFUNCTION("""COMPUTED_VALUE"""),285)</f>
        <v>285</v>
      </c>
      <c r="J143" s="1">
        <f ca="1">IFERROR(__xludf.DUMMYFUNCTION("""COMPUTED_VALUE"""),67.6)</f>
        <v>67.599999999999994</v>
      </c>
      <c r="K143" s="1">
        <f ca="1">IFERROR(__xludf.DUMMYFUNCTION("""COMPUTED_VALUE"""),91)</f>
        <v>91</v>
      </c>
      <c r="L143" s="1" t="str">
        <f ca="1">IFERROR(__xludf.DUMMYFUNCTION("""COMPUTED_VALUE"""),"+.066")</f>
        <v>+.066</v>
      </c>
      <c r="M143" s="1">
        <f ca="1">IFERROR(__xludf.DUMMYFUNCTION("""COMPUTED_VALUE"""),34)</f>
        <v>34</v>
      </c>
      <c r="N143" s="1" t="str">
        <f ca="1">IFERROR(__xludf.DUMMYFUNCTION("""COMPUTED_VALUE"""),"+2.08")</f>
        <v>+2.08</v>
      </c>
      <c r="O143" s="1">
        <f ca="1">IFERROR(__xludf.DUMMYFUNCTION("""COMPUTED_VALUE"""),118)</f>
        <v>118</v>
      </c>
      <c r="P143" s="1">
        <f ca="1">IFERROR(__xludf.DUMMYFUNCTION("""COMPUTED_VALUE"""),105.8)</f>
        <v>105.8</v>
      </c>
      <c r="Q143" s="1">
        <f ca="1">IFERROR(__xludf.DUMMYFUNCTION("""COMPUTED_VALUE"""),110)</f>
        <v>110</v>
      </c>
      <c r="R143" s="1">
        <f ca="1">IFERROR(__xludf.DUMMYFUNCTION("""COMPUTED_VALUE"""),103.7)</f>
        <v>103.7</v>
      </c>
      <c r="S143" s="1">
        <f ca="1">IFERROR(__xludf.DUMMYFUNCTION("""COMPUTED_VALUE"""),127)</f>
        <v>127</v>
      </c>
      <c r="T143" s="1" t="str">
        <f ca="1">IFERROR(__xludf.DUMMYFUNCTION("""COMPUTED_VALUE"""),"+0.72")</f>
        <v>+0.72</v>
      </c>
      <c r="U143" s="1">
        <f ca="1">IFERROR(__xludf.DUMMYFUNCTION("""COMPUTED_VALUE"""),136)</f>
        <v>136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IFERROR(__xludf.DUMMYFUNCTION("""COMPUTED_VALUE"""),"Northwestern")</f>
        <v>Northwestern</v>
      </c>
      <c r="C144" s="1" t="str">
        <f ca="1">IFERROR(__xludf.DUMMYFUNCTION("""COMPUTED_VALUE"""),"B10")</f>
        <v>B10</v>
      </c>
      <c r="D144" s="1" t="str">
        <f ca="1">IFERROR(__xludf.DUMMYFUNCTION("""COMPUTED_VALUE"""),"13-18")</f>
        <v>13-18</v>
      </c>
      <c r="E144" s="1" t="str">
        <f ca="1">IFERROR(__xludf.DUMMYFUNCTION("""COMPUTED_VALUE"""),"+2.51")</f>
        <v>+2.51</v>
      </c>
      <c r="F144" s="1">
        <f ca="1">IFERROR(__xludf.DUMMYFUNCTION("""COMPUTED_VALUE"""),105.5)</f>
        <v>105.5</v>
      </c>
      <c r="G144" s="1">
        <f ca="1">IFERROR(__xludf.DUMMYFUNCTION("""COMPUTED_VALUE"""),144)</f>
        <v>144</v>
      </c>
      <c r="H144" s="1">
        <f ca="1">IFERROR(__xludf.DUMMYFUNCTION("""COMPUTED_VALUE"""),103)</f>
        <v>103</v>
      </c>
      <c r="I144" s="1">
        <f ca="1">IFERROR(__xludf.DUMMYFUNCTION("""COMPUTED_VALUE"""),139)</f>
        <v>139</v>
      </c>
      <c r="J144" s="1">
        <f ca="1">IFERROR(__xludf.DUMMYFUNCTION("""COMPUTED_VALUE"""),56.9)</f>
        <v>56.9</v>
      </c>
      <c r="K144" s="1">
        <f ca="1">IFERROR(__xludf.DUMMYFUNCTION("""COMPUTED_VALUE"""),333)</f>
        <v>333</v>
      </c>
      <c r="L144" s="1">
        <f ca="1">IFERROR(__xludf.DUMMYFUNCTION("""COMPUTED_VALUE"""),-0.049)</f>
        <v>-4.9000000000000002E-2</v>
      </c>
      <c r="M144" s="1">
        <f ca="1">IFERROR(__xludf.DUMMYFUNCTION("""COMPUTED_VALUE"""),285)</f>
        <v>285</v>
      </c>
      <c r="N144" s="1" t="str">
        <f ca="1">IFERROR(__xludf.DUMMYFUNCTION("""COMPUTED_VALUE"""),"+6.48")</f>
        <v>+6.48</v>
      </c>
      <c r="O144" s="1">
        <f ca="1">IFERROR(__xludf.DUMMYFUNCTION("""COMPUTED_VALUE"""),65)</f>
        <v>65</v>
      </c>
      <c r="P144" s="1">
        <f ca="1">IFERROR(__xludf.DUMMYFUNCTION("""COMPUTED_VALUE"""),107.4)</f>
        <v>107.4</v>
      </c>
      <c r="Q144" s="1">
        <f ca="1">IFERROR(__xludf.DUMMYFUNCTION("""COMPUTED_VALUE"""),72)</f>
        <v>72</v>
      </c>
      <c r="R144" s="1">
        <f ca="1">IFERROR(__xludf.DUMMYFUNCTION("""COMPUTED_VALUE"""),101)</f>
        <v>101</v>
      </c>
      <c r="S144" s="1">
        <f ca="1">IFERROR(__xludf.DUMMYFUNCTION("""COMPUTED_VALUE"""),59)</f>
        <v>59</v>
      </c>
      <c r="T144" s="1">
        <f ca="1">IFERROR(__xludf.DUMMYFUNCTION("""COMPUTED_VALUE"""),-6.14)</f>
        <v>-6.14</v>
      </c>
      <c r="U144" s="1">
        <f ca="1">IFERROR(__xludf.DUMMYFUNCTION("""COMPUTED_VALUE"""),301)</f>
        <v>301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IFERROR(__xludf.DUMMYFUNCTION("""COMPUTED_VALUE"""),"Fordham")</f>
        <v>Fordham</v>
      </c>
      <c r="C145" s="1" t="str">
        <f ca="1">IFERROR(__xludf.DUMMYFUNCTION("""COMPUTED_VALUE"""),"A10")</f>
        <v>A10</v>
      </c>
      <c r="D145" s="1" t="str">
        <f ca="1">IFERROR(__xludf.DUMMYFUNCTION("""COMPUTED_VALUE"""),"18-12")</f>
        <v>18-12</v>
      </c>
      <c r="E145" s="1" t="str">
        <f ca="1">IFERROR(__xludf.DUMMYFUNCTION("""COMPUTED_VALUE"""),"+2.32")</f>
        <v>+2.32</v>
      </c>
      <c r="F145" s="1">
        <f ca="1">IFERROR(__xludf.DUMMYFUNCTION("""COMPUTED_VALUE"""),100.8)</f>
        <v>100.8</v>
      </c>
      <c r="G145" s="1">
        <f ca="1">IFERROR(__xludf.DUMMYFUNCTION("""COMPUTED_VALUE"""),221)</f>
        <v>221</v>
      </c>
      <c r="H145" s="1">
        <f ca="1">IFERROR(__xludf.DUMMYFUNCTION("""COMPUTED_VALUE"""),98.5)</f>
        <v>98.5</v>
      </c>
      <c r="I145" s="1">
        <f ca="1">IFERROR(__xludf.DUMMYFUNCTION("""COMPUTED_VALUE"""),67)</f>
        <v>67</v>
      </c>
      <c r="J145" s="1">
        <f ca="1">IFERROR(__xludf.DUMMYFUNCTION("""COMPUTED_VALUE"""),62.9)</f>
        <v>62.9</v>
      </c>
      <c r="K145" s="1">
        <f ca="1">IFERROR(__xludf.DUMMYFUNCTION("""COMPUTED_VALUE"""),284)</f>
        <v>284</v>
      </c>
      <c r="L145" s="1" t="str">
        <f ca="1">IFERROR(__xludf.DUMMYFUNCTION("""COMPUTED_VALUE"""),"+.053")</f>
        <v>+.053</v>
      </c>
      <c r="M145" s="1">
        <f ca="1">IFERROR(__xludf.DUMMYFUNCTION("""COMPUTED_VALUE"""),56)</f>
        <v>56</v>
      </c>
      <c r="N145" s="1">
        <f ca="1">IFERROR(__xludf.DUMMYFUNCTION("""COMPUTED_VALUE"""),-0.67)</f>
        <v>-0.67</v>
      </c>
      <c r="O145" s="1">
        <f ca="1">IFERROR(__xludf.DUMMYFUNCTION("""COMPUTED_VALUE"""),165)</f>
        <v>165</v>
      </c>
      <c r="P145" s="1">
        <f ca="1">IFERROR(__xludf.DUMMYFUNCTION("""COMPUTED_VALUE"""),105.4)</f>
        <v>105.4</v>
      </c>
      <c r="Q145" s="1">
        <f ca="1">IFERROR(__xludf.DUMMYFUNCTION("""COMPUTED_VALUE"""),124)</f>
        <v>124</v>
      </c>
      <c r="R145" s="1">
        <f ca="1">IFERROR(__xludf.DUMMYFUNCTION("""COMPUTED_VALUE"""),106.1)</f>
        <v>106.1</v>
      </c>
      <c r="S145" s="1">
        <f ca="1">IFERROR(__xludf.DUMMYFUNCTION("""COMPUTED_VALUE"""),219)</f>
        <v>219</v>
      </c>
      <c r="T145" s="1" t="str">
        <f ca="1">IFERROR(__xludf.DUMMYFUNCTION("""COMPUTED_VALUE"""),"+0.56")</f>
        <v>+0.56</v>
      </c>
      <c r="U145" s="1">
        <f ca="1">IFERROR(__xludf.DUMMYFUNCTION("""COMPUTED_VALUE"""),144)</f>
        <v>144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IFERROR(__xludf.DUMMYFUNCTION("""COMPUTED_VALUE"""),"Albany13")</f>
        <v>Albany13</v>
      </c>
      <c r="C146" s="1" t="str">
        <f ca="1">IFERROR(__xludf.DUMMYFUNCTION("""COMPUTED_VALUE"""),"AE")</f>
        <v>AE</v>
      </c>
      <c r="D146" s="1" t="str">
        <f ca="1">IFERROR(__xludf.DUMMYFUNCTION("""COMPUTED_VALUE"""),"23-10")</f>
        <v>23-10</v>
      </c>
      <c r="E146" s="1" t="str">
        <f ca="1">IFERROR(__xludf.DUMMYFUNCTION("""COMPUTED_VALUE"""),"+2.25")</f>
        <v>+2.25</v>
      </c>
      <c r="F146" s="1">
        <f ca="1">IFERROR(__xludf.DUMMYFUNCTION("""COMPUTED_VALUE"""),107.4)</f>
        <v>107.4</v>
      </c>
      <c r="G146" s="1">
        <f ca="1">IFERROR(__xludf.DUMMYFUNCTION("""COMPUTED_VALUE"""),113)</f>
        <v>113</v>
      </c>
      <c r="H146" s="1">
        <f ca="1">IFERROR(__xludf.DUMMYFUNCTION("""COMPUTED_VALUE"""),105.2)</f>
        <v>105.2</v>
      </c>
      <c r="I146" s="1">
        <f ca="1">IFERROR(__xludf.DUMMYFUNCTION("""COMPUTED_VALUE"""),175)</f>
        <v>175</v>
      </c>
      <c r="J146" s="1">
        <f ca="1">IFERROR(__xludf.DUMMYFUNCTION("""COMPUTED_VALUE"""),63.7)</f>
        <v>63.7</v>
      </c>
      <c r="K146" s="1">
        <f ca="1">IFERROR(__xludf.DUMMYFUNCTION("""COMPUTED_VALUE"""),250)</f>
        <v>250</v>
      </c>
      <c r="L146" s="1" t="str">
        <f ca="1">IFERROR(__xludf.DUMMYFUNCTION("""COMPUTED_VALUE"""),"+.109")</f>
        <v>+.109</v>
      </c>
      <c r="M146" s="1">
        <f ca="1">IFERROR(__xludf.DUMMYFUNCTION("""COMPUTED_VALUE"""),6)</f>
        <v>6</v>
      </c>
      <c r="N146" s="1">
        <f ca="1">IFERROR(__xludf.DUMMYFUNCTION("""COMPUTED_VALUE"""),-3.47)</f>
        <v>-3.47</v>
      </c>
      <c r="O146" s="1">
        <f ca="1">IFERROR(__xludf.DUMMYFUNCTION("""COMPUTED_VALUE"""),206)</f>
        <v>206</v>
      </c>
      <c r="P146" s="1">
        <f ca="1">IFERROR(__xludf.DUMMYFUNCTION("""COMPUTED_VALUE"""),102.4)</f>
        <v>102.4</v>
      </c>
      <c r="Q146" s="1">
        <f ca="1">IFERROR(__xludf.DUMMYFUNCTION("""COMPUTED_VALUE"""),217)</f>
        <v>217</v>
      </c>
      <c r="R146" s="1">
        <f ca="1">IFERROR(__xludf.DUMMYFUNCTION("""COMPUTED_VALUE"""),105.9)</f>
        <v>105.9</v>
      </c>
      <c r="S146" s="1">
        <f ca="1">IFERROR(__xludf.DUMMYFUNCTION("""COMPUTED_VALUE"""),207)</f>
        <v>207</v>
      </c>
      <c r="T146" s="1" t="str">
        <f ca="1">IFERROR(__xludf.DUMMYFUNCTION("""COMPUTED_VALUE"""),"+0.94")</f>
        <v>+0.94</v>
      </c>
      <c r="U146" s="1">
        <f ca="1">IFERROR(__xludf.DUMMYFUNCTION("""COMPUTED_VALUE"""),131)</f>
        <v>131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IFERROR(__xludf.DUMMYFUNCTION("""COMPUTED_VALUE"""),"New Mexico")</f>
        <v>New Mexico</v>
      </c>
      <c r="C147" s="1" t="str">
        <f ca="1">IFERROR(__xludf.DUMMYFUNCTION("""COMPUTED_VALUE"""),"MWC")</f>
        <v>MWC</v>
      </c>
      <c r="D147" s="1" t="str">
        <f ca="1">IFERROR(__xludf.DUMMYFUNCTION("""COMPUTED_VALUE"""),"15-17")</f>
        <v>15-17</v>
      </c>
      <c r="E147" s="1" t="str">
        <f ca="1">IFERROR(__xludf.DUMMYFUNCTION("""COMPUTED_VALUE"""),"+2.18")</f>
        <v>+2.18</v>
      </c>
      <c r="F147" s="1">
        <f ca="1">IFERROR(__xludf.DUMMYFUNCTION("""COMPUTED_VALUE"""),110.7)</f>
        <v>110.7</v>
      </c>
      <c r="G147" s="1">
        <f ca="1">IFERROR(__xludf.DUMMYFUNCTION("""COMPUTED_VALUE"""),75)</f>
        <v>75</v>
      </c>
      <c r="H147" s="1">
        <f ca="1">IFERROR(__xludf.DUMMYFUNCTION("""COMPUTED_VALUE"""),108.5)</f>
        <v>108.5</v>
      </c>
      <c r="I147" s="1">
        <f ca="1">IFERROR(__xludf.DUMMYFUNCTION("""COMPUTED_VALUE"""),239)</f>
        <v>239</v>
      </c>
      <c r="J147" s="1">
        <f ca="1">IFERROR(__xludf.DUMMYFUNCTION("""COMPUTED_VALUE"""),65.3)</f>
        <v>65.3</v>
      </c>
      <c r="K147" s="1">
        <f ca="1">IFERROR(__xludf.DUMMYFUNCTION("""COMPUTED_VALUE"""),186)</f>
        <v>186</v>
      </c>
      <c r="L147" s="1">
        <f ca="1">IFERROR(__xludf.DUMMYFUNCTION("""COMPUTED_VALUE"""),-0.055)</f>
        <v>-5.5E-2</v>
      </c>
      <c r="M147" s="1">
        <f ca="1">IFERROR(__xludf.DUMMYFUNCTION("""COMPUTED_VALUE"""),294)</f>
        <v>294</v>
      </c>
      <c r="N147" s="1" t="str">
        <f ca="1">IFERROR(__xludf.DUMMYFUNCTION("""COMPUTED_VALUE"""),"+2.38")</f>
        <v>+2.38</v>
      </c>
      <c r="O147" s="1">
        <f ca="1">IFERROR(__xludf.DUMMYFUNCTION("""COMPUTED_VALUE"""),115)</f>
        <v>115</v>
      </c>
      <c r="P147" s="1">
        <f ca="1">IFERROR(__xludf.DUMMYFUNCTION("""COMPUTED_VALUE"""),105.6)</f>
        <v>105.6</v>
      </c>
      <c r="Q147" s="1">
        <f ca="1">IFERROR(__xludf.DUMMYFUNCTION("""COMPUTED_VALUE"""),120)</f>
        <v>120</v>
      </c>
      <c r="R147" s="1">
        <f ca="1">IFERROR(__xludf.DUMMYFUNCTION("""COMPUTED_VALUE"""),103.2)</f>
        <v>103.2</v>
      </c>
      <c r="S147" s="1">
        <f ca="1">IFERROR(__xludf.DUMMYFUNCTION("""COMPUTED_VALUE"""),116)</f>
        <v>116</v>
      </c>
      <c r="T147" s="1">
        <f ca="1">IFERROR(__xludf.DUMMYFUNCTION("""COMPUTED_VALUE"""),-5.36)</f>
        <v>-5.36</v>
      </c>
      <c r="U147" s="1">
        <f ca="1">IFERROR(__xludf.DUMMYFUNCTION("""COMPUTED_VALUE"""),285)</f>
        <v>285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IFERROR(__xludf.DUMMYFUNCTION("""COMPUTED_VALUE"""),"Indiana St.")</f>
        <v>Indiana St.</v>
      </c>
      <c r="C148" s="1" t="str">
        <f ca="1">IFERROR(__xludf.DUMMYFUNCTION("""COMPUTED_VALUE"""),"MVC")</f>
        <v>MVC</v>
      </c>
      <c r="D148" s="1" t="str">
        <f ca="1">IFERROR(__xludf.DUMMYFUNCTION("""COMPUTED_VALUE"""),"13-18")</f>
        <v>13-18</v>
      </c>
      <c r="E148" s="1" t="str">
        <f ca="1">IFERROR(__xludf.DUMMYFUNCTION("""COMPUTED_VALUE"""),"+1.94")</f>
        <v>+1.94</v>
      </c>
      <c r="F148" s="1">
        <f ca="1">IFERROR(__xludf.DUMMYFUNCTION("""COMPUTED_VALUE"""),104.1)</f>
        <v>104.1</v>
      </c>
      <c r="G148" s="1">
        <f ca="1">IFERROR(__xludf.DUMMYFUNCTION("""COMPUTED_VALUE"""),170)</f>
        <v>170</v>
      </c>
      <c r="H148" s="1">
        <f ca="1">IFERROR(__xludf.DUMMYFUNCTION("""COMPUTED_VALUE"""),102.1)</f>
        <v>102.1</v>
      </c>
      <c r="I148" s="1">
        <f ca="1">IFERROR(__xludf.DUMMYFUNCTION("""COMPUTED_VALUE"""),128)</f>
        <v>128</v>
      </c>
      <c r="J148" s="1">
        <f ca="1">IFERROR(__xludf.DUMMYFUNCTION("""COMPUTED_VALUE"""),62.5)</f>
        <v>62.5</v>
      </c>
      <c r="K148" s="1">
        <f ca="1">IFERROR(__xludf.DUMMYFUNCTION("""COMPUTED_VALUE"""),294)</f>
        <v>294</v>
      </c>
      <c r="L148" s="1" t="str">
        <f ca="1">IFERROR(__xludf.DUMMYFUNCTION("""COMPUTED_VALUE"""),"+.059")</f>
        <v>+.059</v>
      </c>
      <c r="M148" s="1">
        <f ca="1">IFERROR(__xludf.DUMMYFUNCTION("""COMPUTED_VALUE"""),43)</f>
        <v>43</v>
      </c>
      <c r="N148" s="1" t="str">
        <f ca="1">IFERROR(__xludf.DUMMYFUNCTION("""COMPUTED_VALUE"""),"+9.16")</f>
        <v>+9.16</v>
      </c>
      <c r="O148" s="1">
        <f ca="1">IFERROR(__xludf.DUMMYFUNCTION("""COMPUTED_VALUE"""),27)</f>
        <v>27</v>
      </c>
      <c r="P148" s="1">
        <f ca="1">IFERROR(__xludf.DUMMYFUNCTION("""COMPUTED_VALUE"""),109.2)</f>
        <v>109.2</v>
      </c>
      <c r="Q148" s="1">
        <f ca="1">IFERROR(__xludf.DUMMYFUNCTION("""COMPUTED_VALUE"""),30)</f>
        <v>30</v>
      </c>
      <c r="R148" s="1">
        <f ca="1">IFERROR(__xludf.DUMMYFUNCTION("""COMPUTED_VALUE"""),100)</f>
        <v>100</v>
      </c>
      <c r="S148" s="1">
        <f ca="1">IFERROR(__xludf.DUMMYFUNCTION("""COMPUTED_VALUE"""),24)</f>
        <v>24</v>
      </c>
      <c r="T148" s="1" t="str">
        <f ca="1">IFERROR(__xludf.DUMMYFUNCTION("""COMPUTED_VALUE"""),"+2.02")</f>
        <v>+2.02</v>
      </c>
      <c r="U148" s="1">
        <f ca="1">IFERROR(__xludf.DUMMYFUNCTION("""COMPUTED_VALUE"""),99)</f>
        <v>99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IFERROR(__xludf.DUMMYFUNCTION("""COMPUTED_VALUE"""),"Cincinnati")</f>
        <v>Cincinnati</v>
      </c>
      <c r="C149" s="1" t="str">
        <f ca="1">IFERROR(__xludf.DUMMYFUNCTION("""COMPUTED_VALUE"""),"BE")</f>
        <v>BE</v>
      </c>
      <c r="D149" s="2">
        <f ca="1">IFERROR(__xludf.DUMMYFUNCTION("""COMPUTED_VALUE"""),44884)</f>
        <v>44884</v>
      </c>
      <c r="E149" s="1" t="str">
        <f ca="1">IFERROR(__xludf.DUMMYFUNCTION("""COMPUTED_VALUE"""),"+1.87")</f>
        <v>+1.87</v>
      </c>
      <c r="F149" s="1">
        <f ca="1">IFERROR(__xludf.DUMMYFUNCTION("""COMPUTED_VALUE"""),103.7)</f>
        <v>103.7</v>
      </c>
      <c r="G149" s="1">
        <f ca="1">IFERROR(__xludf.DUMMYFUNCTION("""COMPUTED_VALUE"""),176)</f>
        <v>176</v>
      </c>
      <c r="H149" s="1">
        <f ca="1">IFERROR(__xludf.DUMMYFUNCTION("""COMPUTED_VALUE"""),101.9)</f>
        <v>101.9</v>
      </c>
      <c r="I149" s="1">
        <f ca="1">IFERROR(__xludf.DUMMYFUNCTION("""COMPUTED_VALUE"""),121)</f>
        <v>121</v>
      </c>
      <c r="J149" s="1">
        <f ca="1">IFERROR(__xludf.DUMMYFUNCTION("""COMPUTED_VALUE"""),64.8)</f>
        <v>64.8</v>
      </c>
      <c r="K149" s="1">
        <f ca="1">IFERROR(__xludf.DUMMYFUNCTION("""COMPUTED_VALUE"""),207)</f>
        <v>207</v>
      </c>
      <c r="L149" s="1">
        <f ca="1">IFERROR(__xludf.DUMMYFUNCTION("""COMPUTED_VALUE"""),-0.03)</f>
        <v>-0.03</v>
      </c>
      <c r="M149" s="1">
        <f ca="1">IFERROR(__xludf.DUMMYFUNCTION("""COMPUTED_VALUE"""),255)</f>
        <v>255</v>
      </c>
      <c r="N149" s="1" t="str">
        <f ca="1">IFERROR(__xludf.DUMMYFUNCTION("""COMPUTED_VALUE"""),"+6.99")</f>
        <v>+6.99</v>
      </c>
      <c r="O149" s="1">
        <f ca="1">IFERROR(__xludf.DUMMYFUNCTION("""COMPUTED_VALUE"""),57)</f>
        <v>57</v>
      </c>
      <c r="P149" s="1">
        <f ca="1">IFERROR(__xludf.DUMMYFUNCTION("""COMPUTED_VALUE"""),108.8)</f>
        <v>108.8</v>
      </c>
      <c r="Q149" s="1">
        <f ca="1">IFERROR(__xludf.DUMMYFUNCTION("""COMPUTED_VALUE"""),39)</f>
        <v>39</v>
      </c>
      <c r="R149" s="1">
        <f ca="1">IFERROR(__xludf.DUMMYFUNCTION("""COMPUTED_VALUE"""),101.8)</f>
        <v>101.8</v>
      </c>
      <c r="S149" s="1">
        <f ca="1">IFERROR(__xludf.DUMMYFUNCTION("""COMPUTED_VALUE"""),83)</f>
        <v>83</v>
      </c>
      <c r="T149" s="1">
        <f ca="1">IFERROR(__xludf.DUMMYFUNCTION("""COMPUTED_VALUE"""),-1.24)</f>
        <v>-1.24</v>
      </c>
      <c r="U149" s="1">
        <f ca="1">IFERROR(__xludf.DUMMYFUNCTION("""COMPUTED_VALUE"""),178)</f>
        <v>178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IFERROR(__xludf.DUMMYFUNCTION("""COMPUTED_VALUE"""),"Tulane")</f>
        <v>Tulane</v>
      </c>
      <c r="C150" s="1" t="str">
        <f ca="1">IFERROR(__xludf.DUMMYFUNCTION("""COMPUTED_VALUE"""),"CUSA")</f>
        <v>CUSA</v>
      </c>
      <c r="D150" s="1" t="str">
        <f ca="1">IFERROR(__xludf.DUMMYFUNCTION("""COMPUTED_VALUE"""),"17-13")</f>
        <v>17-13</v>
      </c>
      <c r="E150" s="1" t="str">
        <f ca="1">IFERROR(__xludf.DUMMYFUNCTION("""COMPUTED_VALUE"""),"+1.83")</f>
        <v>+1.83</v>
      </c>
      <c r="F150" s="1">
        <f ca="1">IFERROR(__xludf.DUMMYFUNCTION("""COMPUTED_VALUE"""),102.8)</f>
        <v>102.8</v>
      </c>
      <c r="G150" s="1">
        <f ca="1">IFERROR(__xludf.DUMMYFUNCTION("""COMPUTED_VALUE"""),190)</f>
        <v>190</v>
      </c>
      <c r="H150" s="1">
        <f ca="1">IFERROR(__xludf.DUMMYFUNCTION("""COMPUTED_VALUE"""),101)</f>
        <v>101</v>
      </c>
      <c r="I150" s="1">
        <f ca="1">IFERROR(__xludf.DUMMYFUNCTION("""COMPUTED_VALUE"""),101)</f>
        <v>101</v>
      </c>
      <c r="J150" s="1">
        <f ca="1">IFERROR(__xludf.DUMMYFUNCTION("""COMPUTED_VALUE"""),69.8)</f>
        <v>69.8</v>
      </c>
      <c r="K150" s="1">
        <f ca="1">IFERROR(__xludf.DUMMYFUNCTION("""COMPUTED_VALUE"""),38)</f>
        <v>38</v>
      </c>
      <c r="L150" s="1" t="str">
        <f ca="1">IFERROR(__xludf.DUMMYFUNCTION("""COMPUTED_VALUE"""),"+.046")</f>
        <v>+.046</v>
      </c>
      <c r="M150" s="1">
        <f ca="1">IFERROR(__xludf.DUMMYFUNCTION("""COMPUTED_VALUE"""),69)</f>
        <v>69</v>
      </c>
      <c r="N150" s="1">
        <f ca="1">IFERROR(__xludf.DUMMYFUNCTION("""COMPUTED_VALUE"""),-0.23)</f>
        <v>-0.23</v>
      </c>
      <c r="O150" s="1">
        <f ca="1">IFERROR(__xludf.DUMMYFUNCTION("""COMPUTED_VALUE"""),155)</f>
        <v>155</v>
      </c>
      <c r="P150" s="1">
        <f ca="1">IFERROR(__xludf.DUMMYFUNCTION("""COMPUTED_VALUE"""),102.7)</f>
        <v>102.7</v>
      </c>
      <c r="Q150" s="1">
        <f ca="1">IFERROR(__xludf.DUMMYFUNCTION("""COMPUTED_VALUE"""),209)</f>
        <v>209</v>
      </c>
      <c r="R150" s="1">
        <f ca="1">IFERROR(__xludf.DUMMYFUNCTION("""COMPUTED_VALUE"""),102.9)</f>
        <v>102.9</v>
      </c>
      <c r="S150" s="1">
        <f ca="1">IFERROR(__xludf.DUMMYFUNCTION("""COMPUTED_VALUE"""),108)</f>
        <v>108</v>
      </c>
      <c r="T150" s="1">
        <f ca="1">IFERROR(__xludf.DUMMYFUNCTION("""COMPUTED_VALUE"""),-4.31)</f>
        <v>-4.3099999999999996</v>
      </c>
      <c r="U150" s="1">
        <f ca="1">IFERROR(__xludf.DUMMYFUNCTION("""COMPUTED_VALUE"""),257)</f>
        <v>257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IFERROR(__xludf.DUMMYFUNCTION("""COMPUTED_VALUE"""),"Arizona St.")</f>
        <v>Arizona St.</v>
      </c>
      <c r="C151" s="1" t="str">
        <f ca="1">IFERROR(__xludf.DUMMYFUNCTION("""COMPUTED_VALUE"""),"P10")</f>
        <v>P10</v>
      </c>
      <c r="D151" s="2">
        <f ca="1">IFERROR(__xludf.DUMMYFUNCTION("""COMPUTED_VALUE"""),44795)</f>
        <v>44795</v>
      </c>
      <c r="E151" s="1" t="str">
        <f ca="1">IFERROR(__xludf.DUMMYFUNCTION("""COMPUTED_VALUE"""),"+1.83")</f>
        <v>+1.83</v>
      </c>
      <c r="F151" s="1">
        <f ca="1">IFERROR(__xludf.DUMMYFUNCTION("""COMPUTED_VALUE"""),101.3)</f>
        <v>101.3</v>
      </c>
      <c r="G151" s="1">
        <f ca="1">IFERROR(__xludf.DUMMYFUNCTION("""COMPUTED_VALUE"""),215)</f>
        <v>215</v>
      </c>
      <c r="H151" s="1">
        <f ca="1">IFERROR(__xludf.DUMMYFUNCTION("""COMPUTED_VALUE"""),99.5)</f>
        <v>99.5</v>
      </c>
      <c r="I151" s="1">
        <f ca="1">IFERROR(__xludf.DUMMYFUNCTION("""COMPUTED_VALUE"""),80)</f>
        <v>80</v>
      </c>
      <c r="J151" s="1">
        <f ca="1">IFERROR(__xludf.DUMMYFUNCTION("""COMPUTED_VALUE"""),58.5)</f>
        <v>58.5</v>
      </c>
      <c r="K151" s="1">
        <f ca="1">IFERROR(__xludf.DUMMYFUNCTION("""COMPUTED_VALUE"""),329)</f>
        <v>329</v>
      </c>
      <c r="L151" s="1">
        <f ca="1">IFERROR(__xludf.DUMMYFUNCTION("""COMPUTED_VALUE"""),-0.091)</f>
        <v>-9.0999999999999998E-2</v>
      </c>
      <c r="M151" s="1">
        <f ca="1">IFERROR(__xludf.DUMMYFUNCTION("""COMPUTED_VALUE"""),324)</f>
        <v>324</v>
      </c>
      <c r="N151" s="1" t="str">
        <f ca="1">IFERROR(__xludf.DUMMYFUNCTION("""COMPUTED_VALUE"""),"+7.90")</f>
        <v>+7.90</v>
      </c>
      <c r="O151" s="1">
        <f ca="1">IFERROR(__xludf.DUMMYFUNCTION("""COMPUTED_VALUE"""),45)</f>
        <v>45</v>
      </c>
      <c r="P151" s="1">
        <f ca="1">IFERROR(__xludf.DUMMYFUNCTION("""COMPUTED_VALUE"""),108.8)</f>
        <v>108.8</v>
      </c>
      <c r="Q151" s="1">
        <f ca="1">IFERROR(__xludf.DUMMYFUNCTION("""COMPUTED_VALUE"""),41)</f>
        <v>41</v>
      </c>
      <c r="R151" s="1">
        <f ca="1">IFERROR(__xludf.DUMMYFUNCTION("""COMPUTED_VALUE"""),100.9)</f>
        <v>100.9</v>
      </c>
      <c r="S151" s="1">
        <f ca="1">IFERROR(__xludf.DUMMYFUNCTION("""COMPUTED_VALUE"""),56)</f>
        <v>56</v>
      </c>
      <c r="T151" s="1">
        <f ca="1">IFERROR(__xludf.DUMMYFUNCTION("""COMPUTED_VALUE"""),-6.05)</f>
        <v>-6.05</v>
      </c>
      <c r="U151" s="1">
        <f ca="1">IFERROR(__xludf.DUMMYFUNCTION("""COMPUTED_VALUE"""),299)</f>
        <v>299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IFERROR(__xludf.DUMMYFUNCTION("""COMPUTED_VALUE"""),"Green Bay")</f>
        <v>Green Bay</v>
      </c>
      <c r="C152" s="1" t="str">
        <f ca="1">IFERROR(__xludf.DUMMYFUNCTION("""COMPUTED_VALUE"""),"Horz")</f>
        <v>Horz</v>
      </c>
      <c r="D152" s="1" t="str">
        <f ca="1">IFERROR(__xludf.DUMMYFUNCTION("""COMPUTED_VALUE"""),"18-15")</f>
        <v>18-15</v>
      </c>
      <c r="E152" s="1" t="str">
        <f ca="1">IFERROR(__xludf.DUMMYFUNCTION("""COMPUTED_VALUE"""),"+1.74")</f>
        <v>+1.74</v>
      </c>
      <c r="F152" s="1">
        <f ca="1">IFERROR(__xludf.DUMMYFUNCTION("""COMPUTED_VALUE"""),107.4)</f>
        <v>107.4</v>
      </c>
      <c r="G152" s="1">
        <f ca="1">IFERROR(__xludf.DUMMYFUNCTION("""COMPUTED_VALUE"""),114)</f>
        <v>114</v>
      </c>
      <c r="H152" s="1">
        <f ca="1">IFERROR(__xludf.DUMMYFUNCTION("""COMPUTED_VALUE"""),105.6)</f>
        <v>105.6</v>
      </c>
      <c r="I152" s="1">
        <f ca="1">IFERROR(__xludf.DUMMYFUNCTION("""COMPUTED_VALUE"""),185)</f>
        <v>185</v>
      </c>
      <c r="J152" s="1">
        <f ca="1">IFERROR(__xludf.DUMMYFUNCTION("""COMPUTED_VALUE"""),64.2)</f>
        <v>64.2</v>
      </c>
      <c r="K152" s="1">
        <f ca="1">IFERROR(__xludf.DUMMYFUNCTION("""COMPUTED_VALUE"""),227)</f>
        <v>227</v>
      </c>
      <c r="L152" s="1">
        <f ca="1">IFERROR(__xludf.DUMMYFUNCTION("""COMPUTED_VALUE"""),-0.005)</f>
        <v>-5.0000000000000001E-3</v>
      </c>
      <c r="M152" s="1">
        <f ca="1">IFERROR(__xludf.DUMMYFUNCTION("""COMPUTED_VALUE"""),188)</f>
        <v>188</v>
      </c>
      <c r="N152" s="1">
        <f ca="1">IFERROR(__xludf.DUMMYFUNCTION("""COMPUTED_VALUE"""),-0.52)</f>
        <v>-0.52</v>
      </c>
      <c r="O152" s="1">
        <f ca="1">IFERROR(__xludf.DUMMYFUNCTION("""COMPUTED_VALUE"""),162)</f>
        <v>162</v>
      </c>
      <c r="P152" s="1">
        <f ca="1">IFERROR(__xludf.DUMMYFUNCTION("""COMPUTED_VALUE"""),104.5)</f>
        <v>104.5</v>
      </c>
      <c r="Q152" s="1">
        <f ca="1">IFERROR(__xludf.DUMMYFUNCTION("""COMPUTED_VALUE"""),152)</f>
        <v>152</v>
      </c>
      <c r="R152" s="1">
        <f ca="1">IFERROR(__xludf.DUMMYFUNCTION("""COMPUTED_VALUE"""),105)</f>
        <v>105</v>
      </c>
      <c r="S152" s="1">
        <f ca="1">IFERROR(__xludf.DUMMYFUNCTION("""COMPUTED_VALUE"""),171)</f>
        <v>171</v>
      </c>
      <c r="T152" s="1">
        <f ca="1">IFERROR(__xludf.DUMMYFUNCTION("""COMPUTED_VALUE"""),-3.45)</f>
        <v>-3.45</v>
      </c>
      <c r="U152" s="1">
        <f ca="1">IFERROR(__xludf.DUMMYFUNCTION("""COMPUTED_VALUE"""),238)</f>
        <v>238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IFERROR(__xludf.DUMMYFUNCTION("""COMPUTED_VALUE"""),"Utah")</f>
        <v>Utah</v>
      </c>
      <c r="C153" s="1" t="str">
        <f ca="1">IFERROR(__xludf.DUMMYFUNCTION("""COMPUTED_VALUE"""),"MWC")</f>
        <v>MWC</v>
      </c>
      <c r="D153" s="2">
        <f ca="1">IFERROR(__xludf.DUMMYFUNCTION("""COMPUTED_VALUE"""),44884)</f>
        <v>44884</v>
      </c>
      <c r="E153" s="1" t="str">
        <f ca="1">IFERROR(__xludf.DUMMYFUNCTION("""COMPUTED_VALUE"""),"+1.63")</f>
        <v>+1.63</v>
      </c>
      <c r="F153" s="1">
        <f ca="1">IFERROR(__xludf.DUMMYFUNCTION("""COMPUTED_VALUE"""),113.7)</f>
        <v>113.7</v>
      </c>
      <c r="G153" s="1">
        <f ca="1">IFERROR(__xludf.DUMMYFUNCTION("""COMPUTED_VALUE"""),38)</f>
        <v>38</v>
      </c>
      <c r="H153" s="1">
        <f ca="1">IFERROR(__xludf.DUMMYFUNCTION("""COMPUTED_VALUE"""),112.1)</f>
        <v>112.1</v>
      </c>
      <c r="I153" s="1">
        <f ca="1">IFERROR(__xludf.DUMMYFUNCTION("""COMPUTED_VALUE"""),308)</f>
        <v>308</v>
      </c>
      <c r="J153" s="1">
        <f ca="1">IFERROR(__xludf.DUMMYFUNCTION("""COMPUTED_VALUE"""),61.2)</f>
        <v>61.2</v>
      </c>
      <c r="K153" s="1">
        <f ca="1">IFERROR(__xludf.DUMMYFUNCTION("""COMPUTED_VALUE"""),310)</f>
        <v>310</v>
      </c>
      <c r="L153" s="1">
        <f ca="1">IFERROR(__xludf.DUMMYFUNCTION("""COMPUTED_VALUE"""),-0.041)</f>
        <v>-4.1000000000000002E-2</v>
      </c>
      <c r="M153" s="1">
        <f ca="1">IFERROR(__xludf.DUMMYFUNCTION("""COMPUTED_VALUE"""),270)</f>
        <v>270</v>
      </c>
      <c r="N153" s="1" t="str">
        <f ca="1">IFERROR(__xludf.DUMMYFUNCTION("""COMPUTED_VALUE"""),"+5.65")</f>
        <v>+5.65</v>
      </c>
      <c r="O153" s="1">
        <f ca="1">IFERROR(__xludf.DUMMYFUNCTION("""COMPUTED_VALUE"""),72)</f>
        <v>72</v>
      </c>
      <c r="P153" s="1">
        <f ca="1">IFERROR(__xludf.DUMMYFUNCTION("""COMPUTED_VALUE"""),108)</f>
        <v>108</v>
      </c>
      <c r="Q153" s="1">
        <f ca="1">IFERROR(__xludf.DUMMYFUNCTION("""COMPUTED_VALUE"""),60)</f>
        <v>60</v>
      </c>
      <c r="R153" s="1">
        <f ca="1">IFERROR(__xludf.DUMMYFUNCTION("""COMPUTED_VALUE"""),102.3)</f>
        <v>102.3</v>
      </c>
      <c r="S153" s="1">
        <f ca="1">IFERROR(__xludf.DUMMYFUNCTION("""COMPUTED_VALUE"""),96)</f>
        <v>96</v>
      </c>
      <c r="T153" s="1" t="str">
        <f ca="1">IFERROR(__xludf.DUMMYFUNCTION("""COMPUTED_VALUE"""),"+1.16")</f>
        <v>+1.16</v>
      </c>
      <c r="U153" s="1">
        <f ca="1">IFERROR(__xludf.DUMMYFUNCTION("""COMPUTED_VALUE"""),126)</f>
        <v>126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IFERROR(__xludf.DUMMYFUNCTION("""COMPUTED_VALUE"""),"South Alabama7")</f>
        <v>South Alabama7</v>
      </c>
      <c r="C154" s="1" t="str">
        <f ca="1">IFERROR(__xludf.DUMMYFUNCTION("""COMPUTED_VALUE"""),"SB")</f>
        <v>SB</v>
      </c>
      <c r="D154" s="1" t="str">
        <f ca="1">IFERROR(__xludf.DUMMYFUNCTION("""COMPUTED_VALUE"""),"20-12")</f>
        <v>20-12</v>
      </c>
      <c r="E154" s="1" t="str">
        <f ca="1">IFERROR(__xludf.DUMMYFUNCTION("""COMPUTED_VALUE"""),"+1.55")</f>
        <v>+1.55</v>
      </c>
      <c r="F154" s="1">
        <f ca="1">IFERROR(__xludf.DUMMYFUNCTION("""COMPUTED_VALUE"""),104.5)</f>
        <v>104.5</v>
      </c>
      <c r="G154" s="1">
        <f ca="1">IFERROR(__xludf.DUMMYFUNCTION("""COMPUTED_VALUE"""),163)</f>
        <v>163</v>
      </c>
      <c r="H154" s="1">
        <f ca="1">IFERROR(__xludf.DUMMYFUNCTION("""COMPUTED_VALUE"""),103)</f>
        <v>103</v>
      </c>
      <c r="I154" s="1">
        <f ca="1">IFERROR(__xludf.DUMMYFUNCTION("""COMPUTED_VALUE"""),137)</f>
        <v>137</v>
      </c>
      <c r="J154" s="1">
        <f ca="1">IFERROR(__xludf.DUMMYFUNCTION("""COMPUTED_VALUE"""),64.6)</f>
        <v>64.599999999999994</v>
      </c>
      <c r="K154" s="1">
        <f ca="1">IFERROR(__xludf.DUMMYFUNCTION("""COMPUTED_VALUE"""),212)</f>
        <v>212</v>
      </c>
      <c r="L154" s="1" t="str">
        <f ca="1">IFERROR(__xludf.DUMMYFUNCTION("""COMPUTED_VALUE"""),"+.017")</f>
        <v>+.017</v>
      </c>
      <c r="M154" s="1">
        <f ca="1">IFERROR(__xludf.DUMMYFUNCTION("""COMPUTED_VALUE"""),137)</f>
        <v>137</v>
      </c>
      <c r="N154" s="1">
        <f ca="1">IFERROR(__xludf.DUMMYFUNCTION("""COMPUTED_VALUE"""),-4.17)</f>
        <v>-4.17</v>
      </c>
      <c r="O154" s="1">
        <f ca="1">IFERROR(__xludf.DUMMYFUNCTION("""COMPUTED_VALUE"""),226)</f>
        <v>226</v>
      </c>
      <c r="P154" s="1">
        <f ca="1">IFERROR(__xludf.DUMMYFUNCTION("""COMPUTED_VALUE"""),102.8)</f>
        <v>102.8</v>
      </c>
      <c r="Q154" s="1">
        <f ca="1">IFERROR(__xludf.DUMMYFUNCTION("""COMPUTED_VALUE"""),207)</f>
        <v>207</v>
      </c>
      <c r="R154" s="1">
        <f ca="1">IFERROR(__xludf.DUMMYFUNCTION("""COMPUTED_VALUE"""),106.9)</f>
        <v>106.9</v>
      </c>
      <c r="S154" s="1">
        <f ca="1">IFERROR(__xludf.DUMMYFUNCTION("""COMPUTED_VALUE"""),257)</f>
        <v>257</v>
      </c>
      <c r="T154" s="1" t="str">
        <f ca="1">IFERROR(__xludf.DUMMYFUNCTION("""COMPUTED_VALUE"""),"+1.75")</f>
        <v>+1.75</v>
      </c>
      <c r="U154" s="1">
        <f ca="1">IFERROR(__xludf.DUMMYFUNCTION("""COMPUTED_VALUE"""),107)</f>
        <v>107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IFERROR(__xludf.DUMMYFUNCTION("""COMPUTED_VALUE"""),"Penn St.")</f>
        <v>Penn St.</v>
      </c>
      <c r="C155" s="1" t="str">
        <f ca="1">IFERROR(__xludf.DUMMYFUNCTION("""COMPUTED_VALUE"""),"B10")</f>
        <v>B10</v>
      </c>
      <c r="D155" s="2">
        <f ca="1">IFERROR(__xludf.DUMMYFUNCTION("""COMPUTED_VALUE"""),44884)</f>
        <v>44884</v>
      </c>
      <c r="E155" s="1" t="str">
        <f ca="1">IFERROR(__xludf.DUMMYFUNCTION("""COMPUTED_VALUE"""),"+1.38")</f>
        <v>+1.38</v>
      </c>
      <c r="F155" s="1">
        <f ca="1">IFERROR(__xludf.DUMMYFUNCTION("""COMPUTED_VALUE"""),108.3)</f>
        <v>108.3</v>
      </c>
      <c r="G155" s="1">
        <f ca="1">IFERROR(__xludf.DUMMYFUNCTION("""COMPUTED_VALUE"""),103)</f>
        <v>103</v>
      </c>
      <c r="H155" s="1">
        <f ca="1">IFERROR(__xludf.DUMMYFUNCTION("""COMPUTED_VALUE"""),106.9)</f>
        <v>106.9</v>
      </c>
      <c r="I155" s="1">
        <f ca="1">IFERROR(__xludf.DUMMYFUNCTION("""COMPUTED_VALUE"""),214)</f>
        <v>214</v>
      </c>
      <c r="J155" s="1">
        <f ca="1">IFERROR(__xludf.DUMMYFUNCTION("""COMPUTED_VALUE"""),62.9)</f>
        <v>62.9</v>
      </c>
      <c r="K155" s="1">
        <f ca="1">IFERROR(__xludf.DUMMYFUNCTION("""COMPUTED_VALUE"""),286)</f>
        <v>286</v>
      </c>
      <c r="L155" s="1">
        <f ca="1">IFERROR(__xludf.DUMMYFUNCTION("""COMPUTED_VALUE"""),-0.055)</f>
        <v>-5.5E-2</v>
      </c>
      <c r="M155" s="1">
        <f ca="1">IFERROR(__xludf.DUMMYFUNCTION("""COMPUTED_VALUE"""),293)</f>
        <v>293</v>
      </c>
      <c r="N155" s="1" t="str">
        <f ca="1">IFERROR(__xludf.DUMMYFUNCTION("""COMPUTED_VALUE"""),"+5.65")</f>
        <v>+5.65</v>
      </c>
      <c r="O155" s="1">
        <f ca="1">IFERROR(__xludf.DUMMYFUNCTION("""COMPUTED_VALUE"""),73)</f>
        <v>73</v>
      </c>
      <c r="P155" s="1">
        <f ca="1">IFERROR(__xludf.DUMMYFUNCTION("""COMPUTED_VALUE"""),106.6)</f>
        <v>106.6</v>
      </c>
      <c r="Q155" s="1">
        <f ca="1">IFERROR(__xludf.DUMMYFUNCTION("""COMPUTED_VALUE"""),91)</f>
        <v>91</v>
      </c>
      <c r="R155" s="1">
        <f ca="1">IFERROR(__xludf.DUMMYFUNCTION("""COMPUTED_VALUE"""),101)</f>
        <v>101</v>
      </c>
      <c r="S155" s="1">
        <f ca="1">IFERROR(__xludf.DUMMYFUNCTION("""COMPUTED_VALUE"""),60)</f>
        <v>60</v>
      </c>
      <c r="T155" s="1">
        <f ca="1">IFERROR(__xludf.DUMMYFUNCTION("""COMPUTED_VALUE"""),-10)</f>
        <v>-10</v>
      </c>
      <c r="U155" s="1">
        <f ca="1">IFERROR(__xludf.DUMMYFUNCTION("""COMPUTED_VALUE"""),329)</f>
        <v>329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IFERROR(__xludf.DUMMYFUNCTION("""COMPUTED_VALUE"""),"Valparaiso")</f>
        <v>Valparaiso</v>
      </c>
      <c r="C156" s="1" t="str">
        <f ca="1">IFERROR(__xludf.DUMMYFUNCTION("""COMPUTED_VALUE"""),"MCon")</f>
        <v>MCon</v>
      </c>
      <c r="D156" s="1" t="str">
        <f ca="1">IFERROR(__xludf.DUMMYFUNCTION("""COMPUTED_VALUE"""),"16-15")</f>
        <v>16-15</v>
      </c>
      <c r="E156" s="1" t="str">
        <f ca="1">IFERROR(__xludf.DUMMYFUNCTION("""COMPUTED_VALUE"""),"+1.32")</f>
        <v>+1.32</v>
      </c>
      <c r="F156" s="1">
        <f ca="1">IFERROR(__xludf.DUMMYFUNCTION("""COMPUTED_VALUE"""),101.1)</f>
        <v>101.1</v>
      </c>
      <c r="G156" s="1">
        <f ca="1">IFERROR(__xludf.DUMMYFUNCTION("""COMPUTED_VALUE"""),219)</f>
        <v>219</v>
      </c>
      <c r="H156" s="1">
        <f ca="1">IFERROR(__xludf.DUMMYFUNCTION("""COMPUTED_VALUE"""),99.7)</f>
        <v>99.7</v>
      </c>
      <c r="I156" s="1">
        <f ca="1">IFERROR(__xludf.DUMMYFUNCTION("""COMPUTED_VALUE"""),84)</f>
        <v>84</v>
      </c>
      <c r="J156" s="1">
        <f ca="1">IFERROR(__xludf.DUMMYFUNCTION("""COMPUTED_VALUE"""),64.4)</f>
        <v>64.400000000000006</v>
      </c>
      <c r="K156" s="1">
        <f ca="1">IFERROR(__xludf.DUMMYFUNCTION("""COMPUTED_VALUE"""),224)</f>
        <v>224</v>
      </c>
      <c r="L156" s="1">
        <f ca="1">IFERROR(__xludf.DUMMYFUNCTION("""COMPUTED_VALUE"""),-0.003)</f>
        <v>-3.0000000000000001E-3</v>
      </c>
      <c r="M156" s="1">
        <f ca="1">IFERROR(__xludf.DUMMYFUNCTION("""COMPUTED_VALUE"""),185)</f>
        <v>185</v>
      </c>
      <c r="N156" s="1" t="str">
        <f ca="1">IFERROR(__xludf.DUMMYFUNCTION("""COMPUTED_VALUE"""),"+0.23")</f>
        <v>+0.23</v>
      </c>
      <c r="O156" s="1">
        <f ca="1">IFERROR(__xludf.DUMMYFUNCTION("""COMPUTED_VALUE"""),149)</f>
        <v>149</v>
      </c>
      <c r="P156" s="1">
        <f ca="1">IFERROR(__xludf.DUMMYFUNCTION("""COMPUTED_VALUE"""),106.2)</f>
        <v>106.2</v>
      </c>
      <c r="Q156" s="1">
        <f ca="1">IFERROR(__xludf.DUMMYFUNCTION("""COMPUTED_VALUE"""),101)</f>
        <v>101</v>
      </c>
      <c r="R156" s="1">
        <f ca="1">IFERROR(__xludf.DUMMYFUNCTION("""COMPUTED_VALUE"""),106)</f>
        <v>106</v>
      </c>
      <c r="S156" s="1">
        <f ca="1">IFERROR(__xludf.DUMMYFUNCTION("""COMPUTED_VALUE"""),213)</f>
        <v>213</v>
      </c>
      <c r="T156" s="1" t="str">
        <f ca="1">IFERROR(__xludf.DUMMYFUNCTION("""COMPUTED_VALUE"""),"+5.26")</f>
        <v>+5.26</v>
      </c>
      <c r="U156" s="1">
        <f ca="1">IFERROR(__xludf.DUMMYFUNCTION("""COMPUTED_VALUE"""),47)</f>
        <v>47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IFERROR(__xludf.DUMMYFUNCTION("""COMPUTED_VALUE"""),"Siena")</f>
        <v>Siena</v>
      </c>
      <c r="C157" s="1" t="str">
        <f ca="1">IFERROR(__xludf.DUMMYFUNCTION("""COMPUTED_VALUE"""),"MAAC")</f>
        <v>MAAC</v>
      </c>
      <c r="D157" s="1" t="str">
        <f ca="1">IFERROR(__xludf.DUMMYFUNCTION("""COMPUTED_VALUE"""),"20-12")</f>
        <v>20-12</v>
      </c>
      <c r="E157" s="1" t="str">
        <f ca="1">IFERROR(__xludf.DUMMYFUNCTION("""COMPUTED_VALUE"""),"+1.16")</f>
        <v>+1.16</v>
      </c>
      <c r="F157" s="1">
        <f ca="1">IFERROR(__xludf.DUMMYFUNCTION("""COMPUTED_VALUE"""),107.1)</f>
        <v>107.1</v>
      </c>
      <c r="G157" s="1">
        <f ca="1">IFERROR(__xludf.DUMMYFUNCTION("""COMPUTED_VALUE"""),124)</f>
        <v>124</v>
      </c>
      <c r="H157" s="1">
        <f ca="1">IFERROR(__xludf.DUMMYFUNCTION("""COMPUTED_VALUE"""),105.9)</f>
        <v>105.9</v>
      </c>
      <c r="I157" s="1">
        <f ca="1">IFERROR(__xludf.DUMMYFUNCTION("""COMPUTED_VALUE"""),189)</f>
        <v>189</v>
      </c>
      <c r="J157" s="1">
        <f ca="1">IFERROR(__xludf.DUMMYFUNCTION("""COMPUTED_VALUE"""),68.6)</f>
        <v>68.599999999999994</v>
      </c>
      <c r="K157" s="1">
        <f ca="1">IFERROR(__xludf.DUMMYFUNCTION("""COMPUTED_VALUE"""),67)</f>
        <v>67</v>
      </c>
      <c r="L157" s="1">
        <f ca="1">IFERROR(__xludf.DUMMYFUNCTION("""COMPUTED_VALUE"""),-0.046)</f>
        <v>-4.5999999999999999E-2</v>
      </c>
      <c r="M157" s="1">
        <f ca="1">IFERROR(__xludf.DUMMYFUNCTION("""COMPUTED_VALUE"""),278)</f>
        <v>278</v>
      </c>
      <c r="N157" s="1">
        <f ca="1">IFERROR(__xludf.DUMMYFUNCTION("""COMPUTED_VALUE"""),-6.99)</f>
        <v>-6.99</v>
      </c>
      <c r="O157" s="1">
        <f ca="1">IFERROR(__xludf.DUMMYFUNCTION("""COMPUTED_VALUE"""),292)</f>
        <v>292</v>
      </c>
      <c r="P157" s="1">
        <f ca="1">IFERROR(__xludf.DUMMYFUNCTION("""COMPUTED_VALUE"""),100.5)</f>
        <v>100.5</v>
      </c>
      <c r="Q157" s="1">
        <f ca="1">IFERROR(__xludf.DUMMYFUNCTION("""COMPUTED_VALUE"""),290)</f>
        <v>290</v>
      </c>
      <c r="R157" s="1">
        <f ca="1">IFERROR(__xludf.DUMMYFUNCTION("""COMPUTED_VALUE"""),107.5)</f>
        <v>107.5</v>
      </c>
      <c r="S157" s="1">
        <f ca="1">IFERROR(__xludf.DUMMYFUNCTION("""COMPUTED_VALUE"""),281)</f>
        <v>281</v>
      </c>
      <c r="T157" s="1">
        <f ca="1">IFERROR(__xludf.DUMMYFUNCTION("""COMPUTED_VALUE"""),-4.73)</f>
        <v>-4.7300000000000004</v>
      </c>
      <c r="U157" s="1">
        <f ca="1">IFERROR(__xludf.DUMMYFUNCTION("""COMPUTED_VALUE"""),271)</f>
        <v>271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IFERROR(__xludf.DUMMYFUNCTION("""COMPUTED_VALUE"""),"South Florida")</f>
        <v>South Florida</v>
      </c>
      <c r="C158" s="1" t="str">
        <f ca="1">IFERROR(__xludf.DUMMYFUNCTION("""COMPUTED_VALUE"""),"BE")</f>
        <v>BE</v>
      </c>
      <c r="D158" s="2">
        <f ca="1">IFERROR(__xludf.DUMMYFUNCTION("""COMPUTED_VALUE"""),44913)</f>
        <v>44913</v>
      </c>
      <c r="E158" s="1" t="str">
        <f ca="1">IFERROR(__xludf.DUMMYFUNCTION("""COMPUTED_VALUE"""),"+0.81")</f>
        <v>+0.81</v>
      </c>
      <c r="F158" s="1">
        <f ca="1">IFERROR(__xludf.DUMMYFUNCTION("""COMPUTED_VALUE"""),102.1)</f>
        <v>102.1</v>
      </c>
      <c r="G158" s="1">
        <f ca="1">IFERROR(__xludf.DUMMYFUNCTION("""COMPUTED_VALUE"""),205)</f>
        <v>205</v>
      </c>
      <c r="H158" s="1">
        <f ca="1">IFERROR(__xludf.DUMMYFUNCTION("""COMPUTED_VALUE"""),101.3)</f>
        <v>101.3</v>
      </c>
      <c r="I158" s="1">
        <f ca="1">IFERROR(__xludf.DUMMYFUNCTION("""COMPUTED_VALUE"""),111)</f>
        <v>111</v>
      </c>
      <c r="J158" s="1">
        <f ca="1">IFERROR(__xludf.DUMMYFUNCTION("""COMPUTED_VALUE"""),65.2)</f>
        <v>65.2</v>
      </c>
      <c r="K158" s="1">
        <f ca="1">IFERROR(__xludf.DUMMYFUNCTION("""COMPUTED_VALUE"""),189)</f>
        <v>189</v>
      </c>
      <c r="L158" s="1">
        <f ca="1">IFERROR(__xludf.DUMMYFUNCTION("""COMPUTED_VALUE"""),-0.064)</f>
        <v>-6.4000000000000001E-2</v>
      </c>
      <c r="M158" s="1">
        <f ca="1">IFERROR(__xludf.DUMMYFUNCTION("""COMPUTED_VALUE"""),307)</f>
        <v>307</v>
      </c>
      <c r="N158" s="1" t="str">
        <f ca="1">IFERROR(__xludf.DUMMYFUNCTION("""COMPUTED_VALUE"""),"+3.87")</f>
        <v>+3.87</v>
      </c>
      <c r="O158" s="1">
        <f ca="1">IFERROR(__xludf.DUMMYFUNCTION("""COMPUTED_VALUE"""),95)</f>
        <v>95</v>
      </c>
      <c r="P158" s="1">
        <f ca="1">IFERROR(__xludf.DUMMYFUNCTION("""COMPUTED_VALUE"""),105.7)</f>
        <v>105.7</v>
      </c>
      <c r="Q158" s="1">
        <f ca="1">IFERROR(__xludf.DUMMYFUNCTION("""COMPUTED_VALUE"""),111)</f>
        <v>111</v>
      </c>
      <c r="R158" s="1">
        <f ca="1">IFERROR(__xludf.DUMMYFUNCTION("""COMPUTED_VALUE"""),101.9)</f>
        <v>101.9</v>
      </c>
      <c r="S158" s="1">
        <f ca="1">IFERROR(__xludf.DUMMYFUNCTION("""COMPUTED_VALUE"""),86)</f>
        <v>86</v>
      </c>
      <c r="T158" s="1">
        <f ca="1">IFERROR(__xludf.DUMMYFUNCTION("""COMPUTED_VALUE"""),-9.2)</f>
        <v>-9.1999999999999993</v>
      </c>
      <c r="U158" s="1">
        <f ca="1">IFERROR(__xludf.DUMMYFUNCTION("""COMPUTED_VALUE"""),323)</f>
        <v>323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IFERROR(__xludf.DUMMYFUNCTION("""COMPUTED_VALUE"""),"Towson")</f>
        <v>Towson</v>
      </c>
      <c r="C159" s="1" t="str">
        <f ca="1">IFERROR(__xludf.DUMMYFUNCTION("""COMPUTED_VALUE"""),"CAA")</f>
        <v>CAA</v>
      </c>
      <c r="D159" s="1" t="str">
        <f ca="1">IFERROR(__xludf.DUMMYFUNCTION("""COMPUTED_VALUE"""),"15-17")</f>
        <v>15-17</v>
      </c>
      <c r="E159" s="1" t="str">
        <f ca="1">IFERROR(__xludf.DUMMYFUNCTION("""COMPUTED_VALUE"""),"+0.74")</f>
        <v>+0.74</v>
      </c>
      <c r="F159" s="1">
        <f ca="1">IFERROR(__xludf.DUMMYFUNCTION("""COMPUTED_VALUE"""),105.5)</f>
        <v>105.5</v>
      </c>
      <c r="G159" s="1">
        <f ca="1">IFERROR(__xludf.DUMMYFUNCTION("""COMPUTED_VALUE"""),145)</f>
        <v>145</v>
      </c>
      <c r="H159" s="1">
        <f ca="1">IFERROR(__xludf.DUMMYFUNCTION("""COMPUTED_VALUE"""),104.8)</f>
        <v>104.8</v>
      </c>
      <c r="I159" s="1">
        <f ca="1">IFERROR(__xludf.DUMMYFUNCTION("""COMPUTED_VALUE"""),165)</f>
        <v>165</v>
      </c>
      <c r="J159" s="1">
        <f ca="1">IFERROR(__xludf.DUMMYFUNCTION("""COMPUTED_VALUE"""),64.6)</f>
        <v>64.599999999999994</v>
      </c>
      <c r="K159" s="1">
        <f ca="1">IFERROR(__xludf.DUMMYFUNCTION("""COMPUTED_VALUE"""),210)</f>
        <v>210</v>
      </c>
      <c r="L159" s="1">
        <f ca="1">IFERROR(__xludf.DUMMYFUNCTION("""COMPUTED_VALUE"""),-0.03)</f>
        <v>-0.03</v>
      </c>
      <c r="M159" s="1">
        <f ca="1">IFERROR(__xludf.DUMMYFUNCTION("""COMPUTED_VALUE"""),256)</f>
        <v>256</v>
      </c>
      <c r="N159" s="1">
        <f ca="1">IFERROR(__xludf.DUMMYFUNCTION("""COMPUTED_VALUE"""),-0.58)</f>
        <v>-0.57999999999999996</v>
      </c>
      <c r="O159" s="1">
        <f ca="1">IFERROR(__xludf.DUMMYFUNCTION("""COMPUTED_VALUE"""),164)</f>
        <v>164</v>
      </c>
      <c r="P159" s="1">
        <f ca="1">IFERROR(__xludf.DUMMYFUNCTION("""COMPUTED_VALUE"""),104.8)</f>
        <v>104.8</v>
      </c>
      <c r="Q159" s="1">
        <f ca="1">IFERROR(__xludf.DUMMYFUNCTION("""COMPUTED_VALUE"""),141)</f>
        <v>141</v>
      </c>
      <c r="R159" s="1">
        <f ca="1">IFERROR(__xludf.DUMMYFUNCTION("""COMPUTED_VALUE"""),105.4)</f>
        <v>105.4</v>
      </c>
      <c r="S159" s="1">
        <f ca="1">IFERROR(__xludf.DUMMYFUNCTION("""COMPUTED_VALUE"""),183)</f>
        <v>183</v>
      </c>
      <c r="T159" s="1">
        <f ca="1">IFERROR(__xludf.DUMMYFUNCTION("""COMPUTED_VALUE"""),-0.37)</f>
        <v>-0.37</v>
      </c>
      <c r="U159" s="1">
        <f ca="1">IFERROR(__xludf.DUMMYFUNCTION("""COMPUTED_VALUE"""),161)</f>
        <v>161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IFERROR(__xludf.DUMMYFUNCTION("""COMPUTED_VALUE"""),"Illinois Chicago")</f>
        <v>Illinois Chicago</v>
      </c>
      <c r="C160" s="1" t="str">
        <f ca="1">IFERROR(__xludf.DUMMYFUNCTION("""COMPUTED_VALUE"""),"Horz")</f>
        <v>Horz</v>
      </c>
      <c r="D160" s="1" t="str">
        <f ca="1">IFERROR(__xludf.DUMMYFUNCTION("""COMPUTED_VALUE"""),"14-18")</f>
        <v>14-18</v>
      </c>
      <c r="E160" s="1" t="str">
        <f ca="1">IFERROR(__xludf.DUMMYFUNCTION("""COMPUTED_VALUE"""),"+0.71")</f>
        <v>+0.71</v>
      </c>
      <c r="F160" s="1">
        <f ca="1">IFERROR(__xludf.DUMMYFUNCTION("""COMPUTED_VALUE"""),107)</f>
        <v>107</v>
      </c>
      <c r="G160" s="1">
        <f ca="1">IFERROR(__xludf.DUMMYFUNCTION("""COMPUTED_VALUE"""),126)</f>
        <v>126</v>
      </c>
      <c r="H160" s="1">
        <f ca="1">IFERROR(__xludf.DUMMYFUNCTION("""COMPUTED_VALUE"""),106.3)</f>
        <v>106.3</v>
      </c>
      <c r="I160" s="1">
        <f ca="1">IFERROR(__xludf.DUMMYFUNCTION("""COMPUTED_VALUE"""),196)</f>
        <v>196</v>
      </c>
      <c r="J160" s="1">
        <f ca="1">IFERROR(__xludf.DUMMYFUNCTION("""COMPUTED_VALUE"""),66.2)</f>
        <v>66.2</v>
      </c>
      <c r="K160" s="1">
        <f ca="1">IFERROR(__xludf.DUMMYFUNCTION("""COMPUTED_VALUE"""),143)</f>
        <v>143</v>
      </c>
      <c r="L160" s="1">
        <f ca="1">IFERROR(__xludf.DUMMYFUNCTION("""COMPUTED_VALUE"""),-0.027)</f>
        <v>-2.7E-2</v>
      </c>
      <c r="M160" s="1">
        <f ca="1">IFERROR(__xludf.DUMMYFUNCTION("""COMPUTED_VALUE"""),248)</f>
        <v>248</v>
      </c>
      <c r="N160" s="1" t="str">
        <f ca="1">IFERROR(__xludf.DUMMYFUNCTION("""COMPUTED_VALUE"""),"+2.54")</f>
        <v>+2.54</v>
      </c>
      <c r="O160" s="1">
        <f ca="1">IFERROR(__xludf.DUMMYFUNCTION("""COMPUTED_VALUE"""),112)</f>
        <v>112</v>
      </c>
      <c r="P160" s="1">
        <f ca="1">IFERROR(__xludf.DUMMYFUNCTION("""COMPUTED_VALUE"""),106)</f>
        <v>106</v>
      </c>
      <c r="Q160" s="1">
        <f ca="1">IFERROR(__xludf.DUMMYFUNCTION("""COMPUTED_VALUE"""),104)</f>
        <v>104</v>
      </c>
      <c r="R160" s="1">
        <f ca="1">IFERROR(__xludf.DUMMYFUNCTION("""COMPUTED_VALUE"""),103.4)</f>
        <v>103.4</v>
      </c>
      <c r="S160" s="1">
        <f ca="1">IFERROR(__xludf.DUMMYFUNCTION("""COMPUTED_VALUE"""),122)</f>
        <v>122</v>
      </c>
      <c r="T160" s="1" t="str">
        <f ca="1">IFERROR(__xludf.DUMMYFUNCTION("""COMPUTED_VALUE"""),"+4.44")</f>
        <v>+4.44</v>
      </c>
      <c r="U160" s="1">
        <f ca="1">IFERROR(__xludf.DUMMYFUNCTION("""COMPUTED_VALUE"""),59)</f>
        <v>59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IFERROR(__xludf.DUMMYFUNCTION("""COMPUTED_VALUE"""),"UC Santa Barbara")</f>
        <v>UC Santa Barbara</v>
      </c>
      <c r="C161" s="1" t="str">
        <f ca="1">IFERROR(__xludf.DUMMYFUNCTION("""COMPUTED_VALUE"""),"BW")</f>
        <v>BW</v>
      </c>
      <c r="D161" s="1" t="str">
        <f ca="1">IFERROR(__xludf.DUMMYFUNCTION("""COMPUTED_VALUE"""),"18-11")</f>
        <v>18-11</v>
      </c>
      <c r="E161" s="1" t="str">
        <f ca="1">IFERROR(__xludf.DUMMYFUNCTION("""COMPUTED_VALUE"""),"+0.70")</f>
        <v>+0.70</v>
      </c>
      <c r="F161" s="1">
        <f ca="1">IFERROR(__xludf.DUMMYFUNCTION("""COMPUTED_VALUE"""),105.2)</f>
        <v>105.2</v>
      </c>
      <c r="G161" s="1">
        <f ca="1">IFERROR(__xludf.DUMMYFUNCTION("""COMPUTED_VALUE"""),150)</f>
        <v>150</v>
      </c>
      <c r="H161" s="1">
        <f ca="1">IFERROR(__xludf.DUMMYFUNCTION("""COMPUTED_VALUE"""),104.5)</f>
        <v>104.5</v>
      </c>
      <c r="I161" s="1">
        <f ca="1">IFERROR(__xludf.DUMMYFUNCTION("""COMPUTED_VALUE"""),160)</f>
        <v>160</v>
      </c>
      <c r="J161" s="1">
        <f ca="1">IFERROR(__xludf.DUMMYFUNCTION("""COMPUTED_VALUE"""),63.5)</f>
        <v>63.5</v>
      </c>
      <c r="K161" s="1">
        <f ca="1">IFERROR(__xludf.DUMMYFUNCTION("""COMPUTED_VALUE"""),258)</f>
        <v>258</v>
      </c>
      <c r="L161" s="1" t="str">
        <f ca="1">IFERROR(__xludf.DUMMYFUNCTION("""COMPUTED_VALUE"""),"+.017")</f>
        <v>+.017</v>
      </c>
      <c r="M161" s="1">
        <f ca="1">IFERROR(__xludf.DUMMYFUNCTION("""COMPUTED_VALUE"""),139)</f>
        <v>139</v>
      </c>
      <c r="N161" s="1">
        <f ca="1">IFERROR(__xludf.DUMMYFUNCTION("""COMPUTED_VALUE"""),-4.3)</f>
        <v>-4.3</v>
      </c>
      <c r="O161" s="1">
        <f ca="1">IFERROR(__xludf.DUMMYFUNCTION("""COMPUTED_VALUE"""),231)</f>
        <v>231</v>
      </c>
      <c r="P161" s="1">
        <f ca="1">IFERROR(__xludf.DUMMYFUNCTION("""COMPUTED_VALUE"""),102)</f>
        <v>102</v>
      </c>
      <c r="Q161" s="1">
        <f ca="1">IFERROR(__xludf.DUMMYFUNCTION("""COMPUTED_VALUE"""),238)</f>
        <v>238</v>
      </c>
      <c r="R161" s="1">
        <f ca="1">IFERROR(__xludf.DUMMYFUNCTION("""COMPUTED_VALUE"""),106.3)</f>
        <v>106.3</v>
      </c>
      <c r="S161" s="1">
        <f ca="1">IFERROR(__xludf.DUMMYFUNCTION("""COMPUTED_VALUE"""),228)</f>
        <v>228</v>
      </c>
      <c r="T161" s="1">
        <f ca="1">IFERROR(__xludf.DUMMYFUNCTION("""COMPUTED_VALUE"""),-4.24)</f>
        <v>-4.24</v>
      </c>
      <c r="U161" s="1">
        <f ca="1">IFERROR(__xludf.DUMMYFUNCTION("""COMPUTED_VALUE"""),254)</f>
        <v>254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IFERROR(__xludf.DUMMYFUNCTION("""COMPUTED_VALUE"""),"Detroit")</f>
        <v>Detroit</v>
      </c>
      <c r="C162" s="1" t="str">
        <f ca="1">IFERROR(__xludf.DUMMYFUNCTION("""COMPUTED_VALUE"""),"Horz")</f>
        <v>Horz</v>
      </c>
      <c r="D162" s="2">
        <f ca="1">IFERROR(__xludf.DUMMYFUNCTION("""COMPUTED_VALUE"""),44884)</f>
        <v>44884</v>
      </c>
      <c r="E162" s="1" t="str">
        <f ca="1">IFERROR(__xludf.DUMMYFUNCTION("""COMPUTED_VALUE"""),"+0.59")</f>
        <v>+0.59</v>
      </c>
      <c r="F162" s="1">
        <f ca="1">IFERROR(__xludf.DUMMYFUNCTION("""COMPUTED_VALUE"""),107)</f>
        <v>107</v>
      </c>
      <c r="G162" s="1">
        <f ca="1">IFERROR(__xludf.DUMMYFUNCTION("""COMPUTED_VALUE"""),125)</f>
        <v>125</v>
      </c>
      <c r="H162" s="1">
        <f ca="1">IFERROR(__xludf.DUMMYFUNCTION("""COMPUTED_VALUE"""),106.4)</f>
        <v>106.4</v>
      </c>
      <c r="I162" s="1">
        <f ca="1">IFERROR(__xludf.DUMMYFUNCTION("""COMPUTED_VALUE"""),201)</f>
        <v>201</v>
      </c>
      <c r="J162" s="1">
        <f ca="1">IFERROR(__xludf.DUMMYFUNCTION("""COMPUTED_VALUE"""),61.1)</f>
        <v>61.1</v>
      </c>
      <c r="K162" s="1">
        <f ca="1">IFERROR(__xludf.DUMMYFUNCTION("""COMPUTED_VALUE"""),311)</f>
        <v>311</v>
      </c>
      <c r="L162" s="1">
        <f ca="1">IFERROR(__xludf.DUMMYFUNCTION("""COMPUTED_VALUE"""),-0.053)</f>
        <v>-5.2999999999999999E-2</v>
      </c>
      <c r="M162" s="1">
        <f ca="1">IFERROR(__xludf.DUMMYFUNCTION("""COMPUTED_VALUE"""),290)</f>
        <v>290</v>
      </c>
      <c r="N162" s="1" t="str">
        <f ca="1">IFERROR(__xludf.DUMMYFUNCTION("""COMPUTED_VALUE"""),"+3.05")</f>
        <v>+3.05</v>
      </c>
      <c r="O162" s="1">
        <f ca="1">IFERROR(__xludf.DUMMYFUNCTION("""COMPUTED_VALUE"""),103)</f>
        <v>103</v>
      </c>
      <c r="P162" s="1">
        <f ca="1">IFERROR(__xludf.DUMMYFUNCTION("""COMPUTED_VALUE"""),106.2)</f>
        <v>106.2</v>
      </c>
      <c r="Q162" s="1">
        <f ca="1">IFERROR(__xludf.DUMMYFUNCTION("""COMPUTED_VALUE"""),102)</f>
        <v>102</v>
      </c>
      <c r="R162" s="1">
        <f ca="1">IFERROR(__xludf.DUMMYFUNCTION("""COMPUTED_VALUE"""),103.1)</f>
        <v>103.1</v>
      </c>
      <c r="S162" s="1">
        <f ca="1">IFERROR(__xludf.DUMMYFUNCTION("""COMPUTED_VALUE"""),113)</f>
        <v>113</v>
      </c>
      <c r="T162" s="1" t="str">
        <f ca="1">IFERROR(__xludf.DUMMYFUNCTION("""COMPUTED_VALUE"""),"+4.87")</f>
        <v>+4.87</v>
      </c>
      <c r="U162" s="1">
        <f ca="1">IFERROR(__xludf.DUMMYFUNCTION("""COMPUTED_VALUE"""),51)</f>
        <v>51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IFERROR(__xludf.DUMMYFUNCTION("""COMPUTED_VALUE"""),"Cal Poly")</f>
        <v>Cal Poly</v>
      </c>
      <c r="C163" s="1" t="str">
        <f ca="1">IFERROR(__xludf.DUMMYFUNCTION("""COMPUTED_VALUE"""),"BW")</f>
        <v>BW</v>
      </c>
      <c r="D163" s="1" t="str">
        <f ca="1">IFERROR(__xludf.DUMMYFUNCTION("""COMPUTED_VALUE"""),"19-11")</f>
        <v>19-11</v>
      </c>
      <c r="E163" s="1" t="str">
        <f ca="1">IFERROR(__xludf.DUMMYFUNCTION("""COMPUTED_VALUE"""),"+0.28")</f>
        <v>+0.28</v>
      </c>
      <c r="F163" s="1">
        <f ca="1">IFERROR(__xludf.DUMMYFUNCTION("""COMPUTED_VALUE"""),108.2)</f>
        <v>108.2</v>
      </c>
      <c r="G163" s="1">
        <f ca="1">IFERROR(__xludf.DUMMYFUNCTION("""COMPUTED_VALUE"""),105)</f>
        <v>105</v>
      </c>
      <c r="H163" s="1">
        <f ca="1">IFERROR(__xludf.DUMMYFUNCTION("""COMPUTED_VALUE"""),107.9)</f>
        <v>107.9</v>
      </c>
      <c r="I163" s="1">
        <f ca="1">IFERROR(__xludf.DUMMYFUNCTION("""COMPUTED_VALUE"""),228)</f>
        <v>228</v>
      </c>
      <c r="J163" s="1">
        <f ca="1">IFERROR(__xludf.DUMMYFUNCTION("""COMPUTED_VALUE"""),66.3)</f>
        <v>66.3</v>
      </c>
      <c r="K163" s="1">
        <f ca="1">IFERROR(__xludf.DUMMYFUNCTION("""COMPUTED_VALUE"""),142)</f>
        <v>142</v>
      </c>
      <c r="L163" s="1" t="str">
        <f ca="1">IFERROR(__xludf.DUMMYFUNCTION("""COMPUTED_VALUE"""),"+.029")</f>
        <v>+.029</v>
      </c>
      <c r="M163" s="1">
        <f ca="1">IFERROR(__xludf.DUMMYFUNCTION("""COMPUTED_VALUE"""),108)</f>
        <v>108</v>
      </c>
      <c r="N163" s="1">
        <f ca="1">IFERROR(__xludf.DUMMYFUNCTION("""COMPUTED_VALUE"""),-4.72)</f>
        <v>-4.72</v>
      </c>
      <c r="O163" s="1">
        <f ca="1">IFERROR(__xludf.DUMMYFUNCTION("""COMPUTED_VALUE"""),240)</f>
        <v>240</v>
      </c>
      <c r="P163" s="1">
        <f ca="1">IFERROR(__xludf.DUMMYFUNCTION("""COMPUTED_VALUE"""),102.3)</f>
        <v>102.3</v>
      </c>
      <c r="Q163" s="1">
        <f ca="1">IFERROR(__xludf.DUMMYFUNCTION("""COMPUTED_VALUE"""),223)</f>
        <v>223</v>
      </c>
      <c r="R163" s="1">
        <f ca="1">IFERROR(__xludf.DUMMYFUNCTION("""COMPUTED_VALUE"""),107)</f>
        <v>107</v>
      </c>
      <c r="S163" s="1">
        <f ca="1">IFERROR(__xludf.DUMMYFUNCTION("""COMPUTED_VALUE"""),259)</f>
        <v>259</v>
      </c>
      <c r="T163" s="1">
        <f ca="1">IFERROR(__xludf.DUMMYFUNCTION("""COMPUTED_VALUE"""),-6.11)</f>
        <v>-6.11</v>
      </c>
      <c r="U163" s="1">
        <f ca="1">IFERROR(__xludf.DUMMYFUNCTION("""COMPUTED_VALUE"""),300)</f>
        <v>300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IFERROR(__xludf.DUMMYFUNCTION("""COMPUTED_VALUE"""),"Charlotte")</f>
        <v>Charlotte</v>
      </c>
      <c r="C164" s="1" t="str">
        <f ca="1">IFERROR(__xludf.DUMMYFUNCTION("""COMPUTED_VALUE"""),"A10")</f>
        <v>A10</v>
      </c>
      <c r="D164" s="1" t="str">
        <f ca="1">IFERROR(__xludf.DUMMYFUNCTION("""COMPUTED_VALUE"""),"14-16")</f>
        <v>14-16</v>
      </c>
      <c r="E164" s="1" t="str">
        <f ca="1">IFERROR(__xludf.DUMMYFUNCTION("""COMPUTED_VALUE"""),"+0.13")</f>
        <v>+0.13</v>
      </c>
      <c r="F164" s="1">
        <f ca="1">IFERROR(__xludf.DUMMYFUNCTION("""COMPUTED_VALUE"""),106.2)</f>
        <v>106.2</v>
      </c>
      <c r="G164" s="1">
        <f ca="1">IFERROR(__xludf.DUMMYFUNCTION("""COMPUTED_VALUE"""),140)</f>
        <v>140</v>
      </c>
      <c r="H164" s="1">
        <f ca="1">IFERROR(__xludf.DUMMYFUNCTION("""COMPUTED_VALUE"""),106.1)</f>
        <v>106.1</v>
      </c>
      <c r="I164" s="1">
        <f ca="1">IFERROR(__xludf.DUMMYFUNCTION("""COMPUTED_VALUE"""),192)</f>
        <v>192</v>
      </c>
      <c r="J164" s="1">
        <f ca="1">IFERROR(__xludf.DUMMYFUNCTION("""COMPUTED_VALUE"""),66.2)</f>
        <v>66.2</v>
      </c>
      <c r="K164" s="1">
        <f ca="1">IFERROR(__xludf.DUMMYFUNCTION("""COMPUTED_VALUE"""),150)</f>
        <v>150</v>
      </c>
      <c r="L164" s="1" t="str">
        <f ca="1">IFERROR(__xludf.DUMMYFUNCTION("""COMPUTED_VALUE"""),"+.003")</f>
        <v>+.003</v>
      </c>
      <c r="M164" s="1">
        <f ca="1">IFERROR(__xludf.DUMMYFUNCTION("""COMPUTED_VALUE"""),171)</f>
        <v>171</v>
      </c>
      <c r="N164" s="1" t="str">
        <f ca="1">IFERROR(__xludf.DUMMYFUNCTION("""COMPUTED_VALUE"""),"+1.31")</f>
        <v>+1.31</v>
      </c>
      <c r="O164" s="1">
        <f ca="1">IFERROR(__xludf.DUMMYFUNCTION("""COMPUTED_VALUE"""),130)</f>
        <v>130</v>
      </c>
      <c r="P164" s="1">
        <f ca="1">IFERROR(__xludf.DUMMYFUNCTION("""COMPUTED_VALUE"""),105.8)</f>
        <v>105.8</v>
      </c>
      <c r="Q164" s="1">
        <f ca="1">IFERROR(__xludf.DUMMYFUNCTION("""COMPUTED_VALUE"""),109)</f>
        <v>109</v>
      </c>
      <c r="R164" s="1">
        <f ca="1">IFERROR(__xludf.DUMMYFUNCTION("""COMPUTED_VALUE"""),104.5)</f>
        <v>104.5</v>
      </c>
      <c r="S164" s="1">
        <f ca="1">IFERROR(__xludf.DUMMYFUNCTION("""COMPUTED_VALUE"""),157)</f>
        <v>157</v>
      </c>
      <c r="T164" s="1" t="str">
        <f ca="1">IFERROR(__xludf.DUMMYFUNCTION("""COMPUTED_VALUE"""),"+1.94")</f>
        <v>+1.94</v>
      </c>
      <c r="U164" s="1">
        <f ca="1">IFERROR(__xludf.DUMMYFUNCTION("""COMPUTED_VALUE"""),102)</f>
        <v>102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IFERROR(__xludf.DUMMYFUNCTION("""COMPUTED_VALUE"""),"San Francisco")</f>
        <v>San Francisco</v>
      </c>
      <c r="C165" s="1" t="str">
        <f ca="1">IFERROR(__xludf.DUMMYFUNCTION("""COMPUTED_VALUE"""),"WCC")</f>
        <v>WCC</v>
      </c>
      <c r="D165" s="1" t="str">
        <f ca="1">IFERROR(__xludf.DUMMYFUNCTION("""COMPUTED_VALUE"""),"13-18")</f>
        <v>13-18</v>
      </c>
      <c r="E165" s="1">
        <f ca="1">IFERROR(__xludf.DUMMYFUNCTION("""COMPUTED_VALUE"""),-0.15)</f>
        <v>-0.15</v>
      </c>
      <c r="F165" s="1">
        <f ca="1">IFERROR(__xludf.DUMMYFUNCTION("""COMPUTED_VALUE"""),105.2)</f>
        <v>105.2</v>
      </c>
      <c r="G165" s="1">
        <f ca="1">IFERROR(__xludf.DUMMYFUNCTION("""COMPUTED_VALUE"""),149)</f>
        <v>149</v>
      </c>
      <c r="H165" s="1">
        <f ca="1">IFERROR(__xludf.DUMMYFUNCTION("""COMPUTED_VALUE"""),105.3)</f>
        <v>105.3</v>
      </c>
      <c r="I165" s="1">
        <f ca="1">IFERROR(__xludf.DUMMYFUNCTION("""COMPUTED_VALUE"""),179)</f>
        <v>179</v>
      </c>
      <c r="J165" s="1">
        <f ca="1">IFERROR(__xludf.DUMMYFUNCTION("""COMPUTED_VALUE"""),68.3)</f>
        <v>68.3</v>
      </c>
      <c r="K165" s="1">
        <f ca="1">IFERROR(__xludf.DUMMYFUNCTION("""COMPUTED_VALUE"""),74)</f>
        <v>74</v>
      </c>
      <c r="L165" s="1">
        <f ca="1">IFERROR(__xludf.DUMMYFUNCTION("""COMPUTED_VALUE"""),-0.016)</f>
        <v>-1.6E-2</v>
      </c>
      <c r="M165" s="1">
        <f ca="1">IFERROR(__xludf.DUMMYFUNCTION("""COMPUTED_VALUE"""),216)</f>
        <v>216</v>
      </c>
      <c r="N165" s="1" t="str">
        <f ca="1">IFERROR(__xludf.DUMMYFUNCTION("""COMPUTED_VALUE"""),"+1.98")</f>
        <v>+1.98</v>
      </c>
      <c r="O165" s="1">
        <f ca="1">IFERROR(__xludf.DUMMYFUNCTION("""COMPUTED_VALUE"""),122)</f>
        <v>122</v>
      </c>
      <c r="P165" s="1">
        <f ca="1">IFERROR(__xludf.DUMMYFUNCTION("""COMPUTED_VALUE"""),105.4)</f>
        <v>105.4</v>
      </c>
      <c r="Q165" s="1">
        <f ca="1">IFERROR(__xludf.DUMMYFUNCTION("""COMPUTED_VALUE"""),126)</f>
        <v>126</v>
      </c>
      <c r="R165" s="1">
        <f ca="1">IFERROR(__xludf.DUMMYFUNCTION("""COMPUTED_VALUE"""),103.4)</f>
        <v>103.4</v>
      </c>
      <c r="S165" s="1">
        <f ca="1">IFERROR(__xludf.DUMMYFUNCTION("""COMPUTED_VALUE"""),120)</f>
        <v>120</v>
      </c>
      <c r="T165" s="1" t="str">
        <f ca="1">IFERROR(__xludf.DUMMYFUNCTION("""COMPUTED_VALUE"""),"+4.00")</f>
        <v>+4.00</v>
      </c>
      <c r="U165" s="1">
        <f ca="1">IFERROR(__xludf.DUMMYFUNCTION("""COMPUTED_VALUE"""),67)</f>
        <v>67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IFERROR(__xludf.DUMMYFUNCTION("""COMPUTED_VALUE"""),"Idaho St.")</f>
        <v>Idaho St.</v>
      </c>
      <c r="C166" s="1" t="str">
        <f ca="1">IFERROR(__xludf.DUMMYFUNCTION("""COMPUTED_VALUE"""),"BSky")</f>
        <v>BSky</v>
      </c>
      <c r="D166" s="1" t="str">
        <f ca="1">IFERROR(__xludf.DUMMYFUNCTION("""COMPUTED_VALUE"""),"13-17")</f>
        <v>13-17</v>
      </c>
      <c r="E166" s="1">
        <f ca="1">IFERROR(__xludf.DUMMYFUNCTION("""COMPUTED_VALUE"""),-0.26)</f>
        <v>-0.26</v>
      </c>
      <c r="F166" s="1">
        <f ca="1">IFERROR(__xludf.DUMMYFUNCTION("""COMPUTED_VALUE"""),104.7)</f>
        <v>104.7</v>
      </c>
      <c r="G166" s="1">
        <f ca="1">IFERROR(__xludf.DUMMYFUNCTION("""COMPUTED_VALUE"""),159)</f>
        <v>159</v>
      </c>
      <c r="H166" s="1">
        <f ca="1">IFERROR(__xludf.DUMMYFUNCTION("""COMPUTED_VALUE"""),105)</f>
        <v>105</v>
      </c>
      <c r="I166" s="1">
        <f ca="1">IFERROR(__xludf.DUMMYFUNCTION("""COMPUTED_VALUE"""),170)</f>
        <v>170</v>
      </c>
      <c r="J166" s="1">
        <f ca="1">IFERROR(__xludf.DUMMYFUNCTION("""COMPUTED_VALUE"""),60.2)</f>
        <v>60.2</v>
      </c>
      <c r="K166" s="1">
        <f ca="1">IFERROR(__xludf.DUMMYFUNCTION("""COMPUTED_VALUE"""),320)</f>
        <v>320</v>
      </c>
      <c r="L166" s="1">
        <f ca="1">IFERROR(__xludf.DUMMYFUNCTION("""COMPUTED_VALUE"""),-0.073)</f>
        <v>-7.2999999999999995E-2</v>
      </c>
      <c r="M166" s="1">
        <f ca="1">IFERROR(__xludf.DUMMYFUNCTION("""COMPUTED_VALUE"""),313)</f>
        <v>313</v>
      </c>
      <c r="N166" s="1">
        <f ca="1">IFERROR(__xludf.DUMMYFUNCTION("""COMPUTED_VALUE"""),-0.91)</f>
        <v>-0.91</v>
      </c>
      <c r="O166" s="1">
        <f ca="1">IFERROR(__xludf.DUMMYFUNCTION("""COMPUTED_VALUE"""),169)</f>
        <v>169</v>
      </c>
      <c r="P166" s="1">
        <f ca="1">IFERROR(__xludf.DUMMYFUNCTION("""COMPUTED_VALUE"""),105.3)</f>
        <v>105.3</v>
      </c>
      <c r="Q166" s="1">
        <f ca="1">IFERROR(__xludf.DUMMYFUNCTION("""COMPUTED_VALUE"""),127)</f>
        <v>127</v>
      </c>
      <c r="R166" s="1">
        <f ca="1">IFERROR(__xludf.DUMMYFUNCTION("""COMPUTED_VALUE"""),106.2)</f>
        <v>106.2</v>
      </c>
      <c r="S166" s="1">
        <f ca="1">IFERROR(__xludf.DUMMYFUNCTION("""COMPUTED_VALUE"""),227)</f>
        <v>227</v>
      </c>
      <c r="T166" s="1" t="str">
        <f ca="1">IFERROR(__xludf.DUMMYFUNCTION("""COMPUTED_VALUE"""),"+11.60")</f>
        <v>+11.60</v>
      </c>
      <c r="U166" s="1">
        <f ca="1">IFERROR(__xludf.DUMMYFUNCTION("""COMPUTED_VALUE"""),10)</f>
        <v>10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IFERROR(__xludf.DUMMYFUNCTION("""COMPUTED_VALUE"""),"San Diego")</f>
        <v>San Diego</v>
      </c>
      <c r="C167" s="1" t="str">
        <f ca="1">IFERROR(__xludf.DUMMYFUNCTION("""COMPUTED_VALUE"""),"WCC")</f>
        <v>WCC</v>
      </c>
      <c r="D167" s="1" t="str">
        <f ca="1">IFERROR(__xludf.DUMMYFUNCTION("""COMPUTED_VALUE"""),"18-14")</f>
        <v>18-14</v>
      </c>
      <c r="E167" s="1">
        <f ca="1">IFERROR(__xludf.DUMMYFUNCTION("""COMPUTED_VALUE"""),-0.45)</f>
        <v>-0.45</v>
      </c>
      <c r="F167" s="1">
        <f ca="1">IFERROR(__xludf.DUMMYFUNCTION("""COMPUTED_VALUE"""),107.5)</f>
        <v>107.5</v>
      </c>
      <c r="G167" s="1">
        <f ca="1">IFERROR(__xludf.DUMMYFUNCTION("""COMPUTED_VALUE"""),111)</f>
        <v>111</v>
      </c>
      <c r="H167" s="1">
        <f ca="1">IFERROR(__xludf.DUMMYFUNCTION("""COMPUTED_VALUE"""),108)</f>
        <v>108</v>
      </c>
      <c r="I167" s="1">
        <f ca="1">IFERROR(__xludf.DUMMYFUNCTION("""COMPUTED_VALUE"""),230)</f>
        <v>230</v>
      </c>
      <c r="J167" s="1">
        <f ca="1">IFERROR(__xludf.DUMMYFUNCTION("""COMPUTED_VALUE"""),69.1)</f>
        <v>69.099999999999994</v>
      </c>
      <c r="K167" s="1">
        <f ca="1">IFERROR(__xludf.DUMMYFUNCTION("""COMPUTED_VALUE"""),54)</f>
        <v>54</v>
      </c>
      <c r="L167" s="1" t="str">
        <f ca="1">IFERROR(__xludf.DUMMYFUNCTION("""COMPUTED_VALUE"""),"+.042")</f>
        <v>+.042</v>
      </c>
      <c r="M167" s="1">
        <f ca="1">IFERROR(__xludf.DUMMYFUNCTION("""COMPUTED_VALUE"""),75)</f>
        <v>75</v>
      </c>
      <c r="N167" s="1">
        <f ca="1">IFERROR(__xludf.DUMMYFUNCTION("""COMPUTED_VALUE"""),-0.38)</f>
        <v>-0.38</v>
      </c>
      <c r="O167" s="1">
        <f ca="1">IFERROR(__xludf.DUMMYFUNCTION("""COMPUTED_VALUE"""),159)</f>
        <v>159</v>
      </c>
      <c r="P167" s="1">
        <f ca="1">IFERROR(__xludf.DUMMYFUNCTION("""COMPUTED_VALUE"""),103.4)</f>
        <v>103.4</v>
      </c>
      <c r="Q167" s="1">
        <f ca="1">IFERROR(__xludf.DUMMYFUNCTION("""COMPUTED_VALUE"""),188)</f>
        <v>188</v>
      </c>
      <c r="R167" s="1">
        <f ca="1">IFERROR(__xludf.DUMMYFUNCTION("""COMPUTED_VALUE"""),103.7)</f>
        <v>103.7</v>
      </c>
      <c r="S167" s="1">
        <f ca="1">IFERROR(__xludf.DUMMYFUNCTION("""COMPUTED_VALUE"""),135)</f>
        <v>135</v>
      </c>
      <c r="T167" s="1">
        <f ca="1">IFERROR(__xludf.DUMMYFUNCTION("""COMPUTED_VALUE"""),-1.83)</f>
        <v>-1.83</v>
      </c>
      <c r="U167" s="1">
        <f ca="1">IFERROR(__xludf.DUMMYFUNCTION("""COMPUTED_VALUE"""),198)</f>
        <v>198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IFERROR(__xludf.DUMMYFUNCTION("""COMPUTED_VALUE"""),"Minnesota")</f>
        <v>Minnesota</v>
      </c>
      <c r="C168" s="1" t="str">
        <f ca="1">IFERROR(__xludf.DUMMYFUNCTION("""COMPUTED_VALUE"""),"B10")</f>
        <v>B10</v>
      </c>
      <c r="D168" s="2">
        <f ca="1">IFERROR(__xludf.DUMMYFUNCTION("""COMPUTED_VALUE"""),44826)</f>
        <v>44826</v>
      </c>
      <c r="E168" s="1">
        <f ca="1">IFERROR(__xludf.DUMMYFUNCTION("""COMPUTED_VALUE"""),-0.53)</f>
        <v>-0.53</v>
      </c>
      <c r="F168" s="1">
        <f ca="1">IFERROR(__xludf.DUMMYFUNCTION("""COMPUTED_VALUE"""),101.2)</f>
        <v>101.2</v>
      </c>
      <c r="G168" s="1">
        <f ca="1">IFERROR(__xludf.DUMMYFUNCTION("""COMPUTED_VALUE"""),216)</f>
        <v>216</v>
      </c>
      <c r="H168" s="1">
        <f ca="1">IFERROR(__xludf.DUMMYFUNCTION("""COMPUTED_VALUE"""),101.7)</f>
        <v>101.7</v>
      </c>
      <c r="I168" s="1">
        <f ca="1">IFERROR(__xludf.DUMMYFUNCTION("""COMPUTED_VALUE"""),118)</f>
        <v>118</v>
      </c>
      <c r="J168" s="1">
        <f ca="1">IFERROR(__xludf.DUMMYFUNCTION("""COMPUTED_VALUE"""),65.1)</f>
        <v>65.099999999999994</v>
      </c>
      <c r="K168" s="1">
        <f ca="1">IFERROR(__xludf.DUMMYFUNCTION("""COMPUTED_VALUE"""),195)</f>
        <v>195</v>
      </c>
      <c r="L168" s="1">
        <f ca="1">IFERROR(__xludf.DUMMYFUNCTION("""COMPUTED_VALUE"""),-0.029)</f>
        <v>-2.9000000000000001E-2</v>
      </c>
      <c r="M168" s="1">
        <f ca="1">IFERROR(__xludf.DUMMYFUNCTION("""COMPUTED_VALUE"""),253)</f>
        <v>253</v>
      </c>
      <c r="N168" s="1" t="str">
        <f ca="1">IFERROR(__xludf.DUMMYFUNCTION("""COMPUTED_VALUE"""),"+7.98")</f>
        <v>+7.98</v>
      </c>
      <c r="O168" s="1">
        <f ca="1">IFERROR(__xludf.DUMMYFUNCTION("""COMPUTED_VALUE"""),43)</f>
        <v>43</v>
      </c>
      <c r="P168" s="1">
        <f ca="1">IFERROR(__xludf.DUMMYFUNCTION("""COMPUTED_VALUE"""),107.6)</f>
        <v>107.6</v>
      </c>
      <c r="Q168" s="1">
        <f ca="1">IFERROR(__xludf.DUMMYFUNCTION("""COMPUTED_VALUE"""),66)</f>
        <v>66</v>
      </c>
      <c r="R168" s="1">
        <f ca="1">IFERROR(__xludf.DUMMYFUNCTION("""COMPUTED_VALUE"""),99.6)</f>
        <v>99.6</v>
      </c>
      <c r="S168" s="1">
        <f ca="1">IFERROR(__xludf.DUMMYFUNCTION("""COMPUTED_VALUE"""),10)</f>
        <v>10</v>
      </c>
      <c r="T168" s="1">
        <f ca="1">IFERROR(__xludf.DUMMYFUNCTION("""COMPUTED_VALUE"""),-1.79)</f>
        <v>-1.79</v>
      </c>
      <c r="U168" s="1">
        <f ca="1">IFERROR(__xludf.DUMMYFUNCTION("""COMPUTED_VALUE"""),195)</f>
        <v>195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IFERROR(__xludf.DUMMYFUNCTION("""COMPUTED_VALUE"""),"Northern Arizona")</f>
        <v>Northern Arizona</v>
      </c>
      <c r="C171" s="1" t="str">
        <f ca="1">IFERROR(__xludf.DUMMYFUNCTION("""COMPUTED_VALUE"""),"BSky")</f>
        <v>BSky</v>
      </c>
      <c r="D171" s="1" t="str">
        <f ca="1">IFERROR(__xludf.DUMMYFUNCTION("""COMPUTED_VALUE"""),"18-12")</f>
        <v>18-12</v>
      </c>
      <c r="E171" s="1">
        <f ca="1">IFERROR(__xludf.DUMMYFUNCTION("""COMPUTED_VALUE"""),-0.94)</f>
        <v>-0.94</v>
      </c>
      <c r="F171" s="1">
        <f ca="1">IFERROR(__xludf.DUMMYFUNCTION("""COMPUTED_VALUE"""),110.1)</f>
        <v>110.1</v>
      </c>
      <c r="G171" s="1">
        <f ca="1">IFERROR(__xludf.DUMMYFUNCTION("""COMPUTED_VALUE"""),82)</f>
        <v>82</v>
      </c>
      <c r="H171" s="1">
        <f ca="1">IFERROR(__xludf.DUMMYFUNCTION("""COMPUTED_VALUE"""),111.1)</f>
        <v>111.1</v>
      </c>
      <c r="I171" s="1">
        <f ca="1">IFERROR(__xludf.DUMMYFUNCTION("""COMPUTED_VALUE"""),291)</f>
        <v>291</v>
      </c>
      <c r="J171" s="1">
        <f ca="1">IFERROR(__xludf.DUMMYFUNCTION("""COMPUTED_VALUE"""),72.1)</f>
        <v>72.099999999999994</v>
      </c>
      <c r="K171" s="1">
        <f ca="1">IFERROR(__xludf.DUMMYFUNCTION("""COMPUTED_VALUE"""),10)</f>
        <v>10</v>
      </c>
      <c r="L171" s="1" t="str">
        <f ca="1">IFERROR(__xludf.DUMMYFUNCTION("""COMPUTED_VALUE"""),"+.070")</f>
        <v>+.070</v>
      </c>
      <c r="M171" s="1">
        <f ca="1">IFERROR(__xludf.DUMMYFUNCTION("""COMPUTED_VALUE"""),30)</f>
        <v>30</v>
      </c>
      <c r="N171" s="1">
        <f ca="1">IFERROR(__xludf.DUMMYFUNCTION("""COMPUTED_VALUE"""),-3.3)</f>
        <v>-3.3</v>
      </c>
      <c r="O171" s="1">
        <f ca="1">IFERROR(__xludf.DUMMYFUNCTION("""COMPUTED_VALUE"""),201)</f>
        <v>201</v>
      </c>
      <c r="P171" s="1">
        <f ca="1">IFERROR(__xludf.DUMMYFUNCTION("""COMPUTED_VALUE"""),103.5)</f>
        <v>103.5</v>
      </c>
      <c r="Q171" s="1">
        <f ca="1">IFERROR(__xludf.DUMMYFUNCTION("""COMPUTED_VALUE"""),182)</f>
        <v>182</v>
      </c>
      <c r="R171" s="1">
        <f ca="1">IFERROR(__xludf.DUMMYFUNCTION("""COMPUTED_VALUE"""),106.8)</f>
        <v>106.8</v>
      </c>
      <c r="S171" s="1">
        <f ca="1">IFERROR(__xludf.DUMMYFUNCTION("""COMPUTED_VALUE"""),249)</f>
        <v>249</v>
      </c>
      <c r="T171" s="1" t="str">
        <f ca="1">IFERROR(__xludf.DUMMYFUNCTION("""COMPUTED_VALUE"""),"+4.34")</f>
        <v>+4.34</v>
      </c>
      <c r="U171" s="1">
        <f ca="1">IFERROR(__xludf.DUMMYFUNCTION("""COMPUTED_VALUE"""),63)</f>
        <v>63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IFERROR(__xludf.DUMMYFUNCTION("""COMPUTED_VALUE"""),"North Texas15")</f>
        <v>North Texas15</v>
      </c>
      <c r="C172" s="1" t="str">
        <f ca="1">IFERROR(__xludf.DUMMYFUNCTION("""COMPUTED_VALUE"""),"SB")</f>
        <v>SB</v>
      </c>
      <c r="D172" s="1" t="str">
        <f ca="1">IFERROR(__xludf.DUMMYFUNCTION("""COMPUTED_VALUE"""),"23-11")</f>
        <v>23-11</v>
      </c>
      <c r="E172" s="1">
        <f ca="1">IFERROR(__xludf.DUMMYFUNCTION("""COMPUTED_VALUE"""),-0.98)</f>
        <v>-0.98</v>
      </c>
      <c r="F172" s="1">
        <f ca="1">IFERROR(__xludf.DUMMYFUNCTION("""COMPUTED_VALUE"""),103)</f>
        <v>103</v>
      </c>
      <c r="G172" s="1">
        <f ca="1">IFERROR(__xludf.DUMMYFUNCTION("""COMPUTED_VALUE"""),187)</f>
        <v>187</v>
      </c>
      <c r="H172" s="1">
        <f ca="1">IFERROR(__xludf.DUMMYFUNCTION("""COMPUTED_VALUE"""),104)</f>
        <v>104</v>
      </c>
      <c r="I172" s="1">
        <f ca="1">IFERROR(__xludf.DUMMYFUNCTION("""COMPUTED_VALUE"""),154)</f>
        <v>154</v>
      </c>
      <c r="J172" s="1">
        <f ca="1">IFERROR(__xludf.DUMMYFUNCTION("""COMPUTED_VALUE"""),69.1)</f>
        <v>69.099999999999994</v>
      </c>
      <c r="K172" s="1">
        <f ca="1">IFERROR(__xludf.DUMMYFUNCTION("""COMPUTED_VALUE"""),55)</f>
        <v>55</v>
      </c>
      <c r="L172" s="1" t="str">
        <f ca="1">IFERROR(__xludf.DUMMYFUNCTION("""COMPUTED_VALUE"""),"+.034")</f>
        <v>+.034</v>
      </c>
      <c r="M172" s="1">
        <f ca="1">IFERROR(__xludf.DUMMYFUNCTION("""COMPUTED_VALUE"""),92)</f>
        <v>92</v>
      </c>
      <c r="N172" s="1">
        <f ca="1">IFERROR(__xludf.DUMMYFUNCTION("""COMPUTED_VALUE"""),-6.4)</f>
        <v>-6.4</v>
      </c>
      <c r="O172" s="1">
        <f ca="1">IFERROR(__xludf.DUMMYFUNCTION("""COMPUTED_VALUE"""),282)</f>
        <v>282</v>
      </c>
      <c r="P172" s="1">
        <f ca="1">IFERROR(__xludf.DUMMYFUNCTION("""COMPUTED_VALUE"""),102.2)</f>
        <v>102.2</v>
      </c>
      <c r="Q172" s="1">
        <f ca="1">IFERROR(__xludf.DUMMYFUNCTION("""COMPUTED_VALUE"""),224)</f>
        <v>224</v>
      </c>
      <c r="R172" s="1">
        <f ca="1">IFERROR(__xludf.DUMMYFUNCTION("""COMPUTED_VALUE"""),108.6)</f>
        <v>108.6</v>
      </c>
      <c r="S172" s="1">
        <f ca="1">IFERROR(__xludf.DUMMYFUNCTION("""COMPUTED_VALUE"""),319)</f>
        <v>319</v>
      </c>
      <c r="T172" s="1">
        <f ca="1">IFERROR(__xludf.DUMMYFUNCTION("""COMPUTED_VALUE"""),-2.88)</f>
        <v>-2.88</v>
      </c>
      <c r="U172" s="1">
        <f ca="1">IFERROR(__xludf.DUMMYFUNCTION("""COMPUTED_VALUE"""),225)</f>
        <v>225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IFERROR(__xludf.DUMMYFUNCTION("""COMPUTED_VALUE"""),"Austin Peay8")</f>
        <v>Austin Peay8</v>
      </c>
      <c r="C173" s="1" t="str">
        <f ca="1">IFERROR(__xludf.DUMMYFUNCTION("""COMPUTED_VALUE"""),"OVC")</f>
        <v>OVC</v>
      </c>
      <c r="D173" s="1" t="str">
        <f ca="1">IFERROR(__xludf.DUMMYFUNCTION("""COMPUTED_VALUE"""),"21-12")</f>
        <v>21-12</v>
      </c>
      <c r="E173" s="1">
        <f ca="1">IFERROR(__xludf.DUMMYFUNCTION("""COMPUTED_VALUE"""),-1.08)</f>
        <v>-1.08</v>
      </c>
      <c r="F173" s="1">
        <f ca="1">IFERROR(__xludf.DUMMYFUNCTION("""COMPUTED_VALUE"""),105.3)</f>
        <v>105.3</v>
      </c>
      <c r="G173" s="1">
        <f ca="1">IFERROR(__xludf.DUMMYFUNCTION("""COMPUTED_VALUE"""),147)</f>
        <v>147</v>
      </c>
      <c r="H173" s="1">
        <f ca="1">IFERROR(__xludf.DUMMYFUNCTION("""COMPUTED_VALUE"""),106.4)</f>
        <v>106.4</v>
      </c>
      <c r="I173" s="1">
        <f ca="1">IFERROR(__xludf.DUMMYFUNCTION("""COMPUTED_VALUE"""),202)</f>
        <v>202</v>
      </c>
      <c r="J173" s="1">
        <f ca="1">IFERROR(__xludf.DUMMYFUNCTION("""COMPUTED_VALUE"""),66.2)</f>
        <v>66.2</v>
      </c>
      <c r="K173" s="1">
        <f ca="1">IFERROR(__xludf.DUMMYFUNCTION("""COMPUTED_VALUE"""),152)</f>
        <v>152</v>
      </c>
      <c r="L173" s="1" t="str">
        <f ca="1">IFERROR(__xludf.DUMMYFUNCTION("""COMPUTED_VALUE"""),"+.065")</f>
        <v>+.065</v>
      </c>
      <c r="M173" s="1">
        <f ca="1">IFERROR(__xludf.DUMMYFUNCTION("""COMPUTED_VALUE"""),36)</f>
        <v>36</v>
      </c>
      <c r="N173" s="1">
        <f ca="1">IFERROR(__xludf.DUMMYFUNCTION("""COMPUTED_VALUE"""),-6.06)</f>
        <v>-6.06</v>
      </c>
      <c r="O173" s="1">
        <f ca="1">IFERROR(__xludf.DUMMYFUNCTION("""COMPUTED_VALUE"""),274)</f>
        <v>274</v>
      </c>
      <c r="P173" s="1">
        <f ca="1">IFERROR(__xludf.DUMMYFUNCTION("""COMPUTED_VALUE"""),101.5)</f>
        <v>101.5</v>
      </c>
      <c r="Q173" s="1">
        <f ca="1">IFERROR(__xludf.DUMMYFUNCTION("""COMPUTED_VALUE"""),251)</f>
        <v>251</v>
      </c>
      <c r="R173" s="1">
        <f ca="1">IFERROR(__xludf.DUMMYFUNCTION("""COMPUTED_VALUE"""),107.6)</f>
        <v>107.6</v>
      </c>
      <c r="S173" s="1">
        <f ca="1">IFERROR(__xludf.DUMMYFUNCTION("""COMPUTED_VALUE"""),287)</f>
        <v>287</v>
      </c>
      <c r="T173" s="1" t="str">
        <f ca="1">IFERROR(__xludf.DUMMYFUNCTION("""COMPUTED_VALUE"""),"+10.70")</f>
        <v>+10.70</v>
      </c>
      <c r="U173" s="1">
        <f ca="1">IFERROR(__xludf.DUMMYFUNCTION("""COMPUTED_VALUE"""),12)</f>
        <v>12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IFERROR(__xludf.DUMMYFUNCTION("""COMPUTED_VALUE"""),"UNC Greensboro")</f>
        <v>UNC Greensboro</v>
      </c>
      <c r="C174" s="1" t="str">
        <f ca="1">IFERROR(__xludf.DUMMYFUNCTION("""COMPUTED_VALUE"""),"SC")</f>
        <v>SC</v>
      </c>
      <c r="D174" s="1" t="str">
        <f ca="1">IFERROR(__xludf.DUMMYFUNCTION("""COMPUTED_VALUE"""),"16-14")</f>
        <v>16-14</v>
      </c>
      <c r="E174" s="1">
        <f ca="1">IFERROR(__xludf.DUMMYFUNCTION("""COMPUTED_VALUE"""),-1.21)</f>
        <v>-1.21</v>
      </c>
      <c r="F174" s="1">
        <f ca="1">IFERROR(__xludf.DUMMYFUNCTION("""COMPUTED_VALUE"""),102.4)</f>
        <v>102.4</v>
      </c>
      <c r="G174" s="1">
        <f ca="1">IFERROR(__xludf.DUMMYFUNCTION("""COMPUTED_VALUE"""),198)</f>
        <v>198</v>
      </c>
      <c r="H174" s="1">
        <f ca="1">IFERROR(__xludf.DUMMYFUNCTION("""COMPUTED_VALUE"""),103.6)</f>
        <v>103.6</v>
      </c>
      <c r="I174" s="1">
        <f ca="1">IFERROR(__xludf.DUMMYFUNCTION("""COMPUTED_VALUE"""),149)</f>
        <v>149</v>
      </c>
      <c r="J174" s="1">
        <f ca="1">IFERROR(__xludf.DUMMYFUNCTION("""COMPUTED_VALUE"""),66.6)</f>
        <v>66.599999999999994</v>
      </c>
      <c r="K174" s="1">
        <f ca="1">IFERROR(__xludf.DUMMYFUNCTION("""COMPUTED_VALUE"""),125)</f>
        <v>125</v>
      </c>
      <c r="L174" s="1" t="str">
        <f ca="1">IFERROR(__xludf.DUMMYFUNCTION("""COMPUTED_VALUE"""),"+.005")</f>
        <v>+.005</v>
      </c>
      <c r="M174" s="1">
        <f ca="1">IFERROR(__xludf.DUMMYFUNCTION("""COMPUTED_VALUE"""),166)</f>
        <v>166</v>
      </c>
      <c r="N174" s="1">
        <f ca="1">IFERROR(__xludf.DUMMYFUNCTION("""COMPUTED_VALUE"""),-3.52)</f>
        <v>-3.52</v>
      </c>
      <c r="O174" s="1">
        <f ca="1">IFERROR(__xludf.DUMMYFUNCTION("""COMPUTED_VALUE"""),208)</f>
        <v>208</v>
      </c>
      <c r="P174" s="1">
        <f ca="1">IFERROR(__xludf.DUMMYFUNCTION("""COMPUTED_VALUE"""),102.1)</f>
        <v>102.1</v>
      </c>
      <c r="Q174" s="1">
        <f ca="1">IFERROR(__xludf.DUMMYFUNCTION("""COMPUTED_VALUE"""),227)</f>
        <v>227</v>
      </c>
      <c r="R174" s="1">
        <f ca="1">IFERROR(__xludf.DUMMYFUNCTION("""COMPUTED_VALUE"""),105.6)</f>
        <v>105.6</v>
      </c>
      <c r="S174" s="1">
        <f ca="1">IFERROR(__xludf.DUMMYFUNCTION("""COMPUTED_VALUE"""),193)</f>
        <v>193</v>
      </c>
      <c r="T174" s="1">
        <f ca="1">IFERROR(__xludf.DUMMYFUNCTION("""COMPUTED_VALUE"""),-3.15)</f>
        <v>-3.15</v>
      </c>
      <c r="U174" s="1">
        <f ca="1">IFERROR(__xludf.DUMMYFUNCTION("""COMPUTED_VALUE"""),233)</f>
        <v>233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IFERROR(__xludf.DUMMYFUNCTION("""COMPUTED_VALUE"""),"Northwestern St.")</f>
        <v>Northwestern St.</v>
      </c>
      <c r="C175" s="1" t="str">
        <f ca="1">IFERROR(__xludf.DUMMYFUNCTION("""COMPUTED_VALUE"""),"Slnd")</f>
        <v>Slnd</v>
      </c>
      <c r="D175" s="1" t="str">
        <f ca="1">IFERROR(__xludf.DUMMYFUNCTION("""COMPUTED_VALUE"""),"17-15")</f>
        <v>17-15</v>
      </c>
      <c r="E175" s="1">
        <f ca="1">IFERROR(__xludf.DUMMYFUNCTION("""COMPUTED_VALUE"""),-1.31)</f>
        <v>-1.31</v>
      </c>
      <c r="F175" s="1">
        <f ca="1">IFERROR(__xludf.DUMMYFUNCTION("""COMPUTED_VALUE"""),104.7)</f>
        <v>104.7</v>
      </c>
      <c r="G175" s="1">
        <f ca="1">IFERROR(__xludf.DUMMYFUNCTION("""COMPUTED_VALUE"""),160)</f>
        <v>160</v>
      </c>
      <c r="H175" s="1">
        <f ca="1">IFERROR(__xludf.DUMMYFUNCTION("""COMPUTED_VALUE"""),106)</f>
        <v>106</v>
      </c>
      <c r="I175" s="1">
        <f ca="1">IFERROR(__xludf.DUMMYFUNCTION("""COMPUTED_VALUE"""),190)</f>
        <v>190</v>
      </c>
      <c r="J175" s="1">
        <f ca="1">IFERROR(__xludf.DUMMYFUNCTION("""COMPUTED_VALUE"""),74.5)</f>
        <v>74.5</v>
      </c>
      <c r="K175" s="1">
        <f ca="1">IFERROR(__xludf.DUMMYFUNCTION("""COMPUTED_VALUE"""),4)</f>
        <v>4</v>
      </c>
      <c r="L175" s="1">
        <f ca="1">IFERROR(__xludf.DUMMYFUNCTION("""COMPUTED_VALUE"""),-0.001)</f>
        <v>-1E-3</v>
      </c>
      <c r="M175" s="1">
        <f ca="1">IFERROR(__xludf.DUMMYFUNCTION("""COMPUTED_VALUE"""),182)</f>
        <v>182</v>
      </c>
      <c r="N175" s="1">
        <f ca="1">IFERROR(__xludf.DUMMYFUNCTION("""COMPUTED_VALUE"""),-3.56)</f>
        <v>-3.56</v>
      </c>
      <c r="O175" s="1">
        <f ca="1">IFERROR(__xludf.DUMMYFUNCTION("""COMPUTED_VALUE"""),209)</f>
        <v>209</v>
      </c>
      <c r="P175" s="1">
        <f ca="1">IFERROR(__xludf.DUMMYFUNCTION("""COMPUTED_VALUE"""),102.1)</f>
        <v>102.1</v>
      </c>
      <c r="Q175" s="1">
        <f ca="1">IFERROR(__xludf.DUMMYFUNCTION("""COMPUTED_VALUE"""),233)</f>
        <v>233</v>
      </c>
      <c r="R175" s="1">
        <f ca="1">IFERROR(__xludf.DUMMYFUNCTION("""COMPUTED_VALUE"""),105.6)</f>
        <v>105.6</v>
      </c>
      <c r="S175" s="1">
        <f ca="1">IFERROR(__xludf.DUMMYFUNCTION("""COMPUTED_VALUE"""),192)</f>
        <v>192</v>
      </c>
      <c r="T175" s="1" t="str">
        <f ca="1">IFERROR(__xludf.DUMMYFUNCTION("""COMPUTED_VALUE"""),"+5.45")</f>
        <v>+5.45</v>
      </c>
      <c r="U175" s="1">
        <f ca="1">IFERROR(__xludf.DUMMYFUNCTION("""COMPUTED_VALUE"""),45)</f>
        <v>45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IFERROR(__xludf.DUMMYFUNCTION("""COMPUTED_VALUE"""),"East Tennessee St.8")</f>
        <v>East Tennessee St.8</v>
      </c>
      <c r="C176" s="1" t="str">
        <f ca="1">IFERROR(__xludf.DUMMYFUNCTION("""COMPUTED_VALUE"""),"ASun")</f>
        <v>ASun</v>
      </c>
      <c r="D176" s="1" t="str">
        <f ca="1">IFERROR(__xludf.DUMMYFUNCTION("""COMPUTED_VALUE"""),"24-10")</f>
        <v>24-10</v>
      </c>
      <c r="E176" s="1">
        <f ca="1">IFERROR(__xludf.DUMMYFUNCTION("""COMPUTED_VALUE"""),-1.49)</f>
        <v>-1.49</v>
      </c>
      <c r="F176" s="1">
        <f ca="1">IFERROR(__xludf.DUMMYFUNCTION("""COMPUTED_VALUE"""),98.9)</f>
        <v>98.9</v>
      </c>
      <c r="G176" s="1">
        <f ca="1">IFERROR(__xludf.DUMMYFUNCTION("""COMPUTED_VALUE"""),248)</f>
        <v>248</v>
      </c>
      <c r="H176" s="1">
        <f ca="1">IFERROR(__xludf.DUMMYFUNCTION("""COMPUTED_VALUE"""),100.4)</f>
        <v>100.4</v>
      </c>
      <c r="I176" s="1">
        <f ca="1">IFERROR(__xludf.DUMMYFUNCTION("""COMPUTED_VALUE"""),95)</f>
        <v>95</v>
      </c>
      <c r="J176" s="1">
        <f ca="1">IFERROR(__xludf.DUMMYFUNCTION("""COMPUTED_VALUE"""),69.8)</f>
        <v>69.8</v>
      </c>
      <c r="K176" s="1">
        <f ca="1">IFERROR(__xludf.DUMMYFUNCTION("""COMPUTED_VALUE"""),37)</f>
        <v>37</v>
      </c>
      <c r="L176" s="1" t="str">
        <f ca="1">IFERROR(__xludf.DUMMYFUNCTION("""COMPUTED_VALUE"""),"+.100")</f>
        <v>+.100</v>
      </c>
      <c r="M176" s="1">
        <f ca="1">IFERROR(__xludf.DUMMYFUNCTION("""COMPUTED_VALUE"""),12)</f>
        <v>12</v>
      </c>
      <c r="N176" s="1">
        <f ca="1">IFERROR(__xludf.DUMMYFUNCTION("""COMPUTED_VALUE"""),-8.04)</f>
        <v>-8.0399999999999991</v>
      </c>
      <c r="O176" s="1">
        <f ca="1">IFERROR(__xludf.DUMMYFUNCTION("""COMPUTED_VALUE"""),305)</f>
        <v>305</v>
      </c>
      <c r="P176" s="1">
        <f ca="1">IFERROR(__xludf.DUMMYFUNCTION("""COMPUTED_VALUE"""),99.7)</f>
        <v>99.7</v>
      </c>
      <c r="Q176" s="1">
        <f ca="1">IFERROR(__xludf.DUMMYFUNCTION("""COMPUTED_VALUE"""),311)</f>
        <v>311</v>
      </c>
      <c r="R176" s="1">
        <f ca="1">IFERROR(__xludf.DUMMYFUNCTION("""COMPUTED_VALUE"""),107.8)</f>
        <v>107.8</v>
      </c>
      <c r="S176" s="1">
        <f ca="1">IFERROR(__xludf.DUMMYFUNCTION("""COMPUTED_VALUE"""),295)</f>
        <v>295</v>
      </c>
      <c r="T176" s="1">
        <f ca="1">IFERROR(__xludf.DUMMYFUNCTION("""COMPUTED_VALUE"""),-1.41)</f>
        <v>-1.41</v>
      </c>
      <c r="U176" s="1">
        <f ca="1">IFERROR(__xludf.DUMMYFUNCTION("""COMPUTED_VALUE"""),182)</f>
        <v>182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IFERROR(__xludf.DUMMYFUNCTION("""COMPUTED_VALUE"""),"American")</f>
        <v>American</v>
      </c>
      <c r="C177" s="1" t="str">
        <f ca="1">IFERROR(__xludf.DUMMYFUNCTION("""COMPUTED_VALUE"""),"Pat")</f>
        <v>Pat</v>
      </c>
      <c r="D177" s="1" t="str">
        <f ca="1">IFERROR(__xludf.DUMMYFUNCTION("""COMPUTED_VALUE"""),"16-14")</f>
        <v>16-14</v>
      </c>
      <c r="E177" s="1">
        <f ca="1">IFERROR(__xludf.DUMMYFUNCTION("""COMPUTED_VALUE"""),-1.52)</f>
        <v>-1.52</v>
      </c>
      <c r="F177" s="1">
        <f ca="1">IFERROR(__xludf.DUMMYFUNCTION("""COMPUTED_VALUE"""),100.3)</f>
        <v>100.3</v>
      </c>
      <c r="G177" s="1">
        <f ca="1">IFERROR(__xludf.DUMMYFUNCTION("""COMPUTED_VALUE"""),228)</f>
        <v>228</v>
      </c>
      <c r="H177" s="1">
        <f ca="1">IFERROR(__xludf.DUMMYFUNCTION("""COMPUTED_VALUE"""),101.8)</f>
        <v>101.8</v>
      </c>
      <c r="I177" s="1">
        <f ca="1">IFERROR(__xludf.DUMMYFUNCTION("""COMPUTED_VALUE"""),120)</f>
        <v>120</v>
      </c>
      <c r="J177" s="1">
        <f ca="1">IFERROR(__xludf.DUMMYFUNCTION("""COMPUTED_VALUE"""),64.1)</f>
        <v>64.099999999999994</v>
      </c>
      <c r="K177" s="1">
        <f ca="1">IFERROR(__xludf.DUMMYFUNCTION("""COMPUTED_VALUE"""),232)</f>
        <v>232</v>
      </c>
      <c r="L177" s="1">
        <f ca="1">IFERROR(__xludf.DUMMYFUNCTION("""COMPUTED_VALUE"""),-0.051)</f>
        <v>-5.0999999999999997E-2</v>
      </c>
      <c r="M177" s="1">
        <f ca="1">IFERROR(__xludf.DUMMYFUNCTION("""COMPUTED_VALUE"""),288)</f>
        <v>288</v>
      </c>
      <c r="N177" s="1">
        <f ca="1">IFERROR(__xludf.DUMMYFUNCTION("""COMPUTED_VALUE"""),-6.96)</f>
        <v>-6.96</v>
      </c>
      <c r="O177" s="1">
        <f ca="1">IFERROR(__xludf.DUMMYFUNCTION("""COMPUTED_VALUE"""),290)</f>
        <v>290</v>
      </c>
      <c r="P177" s="1">
        <f ca="1">IFERROR(__xludf.DUMMYFUNCTION("""COMPUTED_VALUE"""),98.9)</f>
        <v>98.9</v>
      </c>
      <c r="Q177" s="1">
        <f ca="1">IFERROR(__xludf.DUMMYFUNCTION("""COMPUTED_VALUE"""),316)</f>
        <v>316</v>
      </c>
      <c r="R177" s="1">
        <f ca="1">IFERROR(__xludf.DUMMYFUNCTION("""COMPUTED_VALUE"""),105.9)</f>
        <v>105.9</v>
      </c>
      <c r="S177" s="1">
        <f ca="1">IFERROR(__xludf.DUMMYFUNCTION("""COMPUTED_VALUE"""),209)</f>
        <v>209</v>
      </c>
      <c r="T177" s="1">
        <f ca="1">IFERROR(__xludf.DUMMYFUNCTION("""COMPUTED_VALUE"""),-6.69)</f>
        <v>-6.69</v>
      </c>
      <c r="U177" s="1">
        <f ca="1">IFERROR(__xludf.DUMMYFUNCTION("""COMPUTED_VALUE"""),310)</f>
        <v>310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IFERROR(__xludf.DUMMYFUNCTION("""COMPUTED_VALUE"""),"UC Irvine")</f>
        <v>UC Irvine</v>
      </c>
      <c r="C178" s="1" t="str">
        <f ca="1">IFERROR(__xludf.DUMMYFUNCTION("""COMPUTED_VALUE"""),"BW")</f>
        <v>BW</v>
      </c>
      <c r="D178" s="1" t="str">
        <f ca="1">IFERROR(__xludf.DUMMYFUNCTION("""COMPUTED_VALUE"""),"15-18")</f>
        <v>15-18</v>
      </c>
      <c r="E178" s="1">
        <f ca="1">IFERROR(__xludf.DUMMYFUNCTION("""COMPUTED_VALUE"""),-1.56)</f>
        <v>-1.56</v>
      </c>
      <c r="F178" s="1">
        <f ca="1">IFERROR(__xludf.DUMMYFUNCTION("""COMPUTED_VALUE"""),99.5)</f>
        <v>99.5</v>
      </c>
      <c r="G178" s="1">
        <f ca="1">IFERROR(__xludf.DUMMYFUNCTION("""COMPUTED_VALUE"""),243)</f>
        <v>243</v>
      </c>
      <c r="H178" s="1">
        <f ca="1">IFERROR(__xludf.DUMMYFUNCTION("""COMPUTED_VALUE"""),101)</f>
        <v>101</v>
      </c>
      <c r="I178" s="1">
        <f ca="1">IFERROR(__xludf.DUMMYFUNCTION("""COMPUTED_VALUE"""),102)</f>
        <v>102</v>
      </c>
      <c r="J178" s="1">
        <f ca="1">IFERROR(__xludf.DUMMYFUNCTION("""COMPUTED_VALUE"""),64.4)</f>
        <v>64.400000000000006</v>
      </c>
      <c r="K178" s="1">
        <f ca="1">IFERROR(__xludf.DUMMYFUNCTION("""COMPUTED_VALUE"""),221)</f>
        <v>221</v>
      </c>
      <c r="L178" s="1">
        <f ca="1">IFERROR(__xludf.DUMMYFUNCTION("""COMPUTED_VALUE"""),-0.029)</f>
        <v>-2.9000000000000001E-2</v>
      </c>
      <c r="M178" s="1">
        <f ca="1">IFERROR(__xludf.DUMMYFUNCTION("""COMPUTED_VALUE"""),250)</f>
        <v>250</v>
      </c>
      <c r="N178" s="1">
        <f ca="1">IFERROR(__xludf.DUMMYFUNCTION("""COMPUTED_VALUE"""),-2.06)</f>
        <v>-2.06</v>
      </c>
      <c r="O178" s="1">
        <f ca="1">IFERROR(__xludf.DUMMYFUNCTION("""COMPUTED_VALUE"""),185)</f>
        <v>185</v>
      </c>
      <c r="P178" s="1">
        <f ca="1">IFERROR(__xludf.DUMMYFUNCTION("""COMPUTED_VALUE"""),104.4)</f>
        <v>104.4</v>
      </c>
      <c r="Q178" s="1">
        <f ca="1">IFERROR(__xludf.DUMMYFUNCTION("""COMPUTED_VALUE"""),154)</f>
        <v>154</v>
      </c>
      <c r="R178" s="1">
        <f ca="1">IFERROR(__xludf.DUMMYFUNCTION("""COMPUTED_VALUE"""),106.4)</f>
        <v>106.4</v>
      </c>
      <c r="S178" s="1">
        <f ca="1">IFERROR(__xludf.DUMMYFUNCTION("""COMPUTED_VALUE"""),238)</f>
        <v>238</v>
      </c>
      <c r="T178" s="1" t="str">
        <f ca="1">IFERROR(__xludf.DUMMYFUNCTION("""COMPUTED_VALUE"""),"+0.63")</f>
        <v>+0.63</v>
      </c>
      <c r="U178" s="1">
        <f ca="1">IFERROR(__xludf.DUMMYFUNCTION("""COMPUTED_VALUE"""),141)</f>
        <v>141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IFERROR(__xludf.DUMMYFUNCTION("""COMPUTED_VALUE"""),"SMU")</f>
        <v>SMU</v>
      </c>
      <c r="C179" s="1" t="str">
        <f ca="1">IFERROR(__xludf.DUMMYFUNCTION("""COMPUTED_VALUE"""),"CUSA")</f>
        <v>CUSA</v>
      </c>
      <c r="D179" s="1" t="str">
        <f ca="1">IFERROR(__xludf.DUMMYFUNCTION("""COMPUTED_VALUE"""),"14-17")</f>
        <v>14-17</v>
      </c>
      <c r="E179" s="1">
        <f ca="1">IFERROR(__xludf.DUMMYFUNCTION("""COMPUTED_VALUE"""),-1.56)</f>
        <v>-1.56</v>
      </c>
      <c r="F179" s="1">
        <f ca="1">IFERROR(__xludf.DUMMYFUNCTION("""COMPUTED_VALUE"""),101.5)</f>
        <v>101.5</v>
      </c>
      <c r="G179" s="1">
        <f ca="1">IFERROR(__xludf.DUMMYFUNCTION("""COMPUTED_VALUE"""),210)</f>
        <v>210</v>
      </c>
      <c r="H179" s="1">
        <f ca="1">IFERROR(__xludf.DUMMYFUNCTION("""COMPUTED_VALUE"""),103.1)</f>
        <v>103.1</v>
      </c>
      <c r="I179" s="1">
        <f ca="1">IFERROR(__xludf.DUMMYFUNCTION("""COMPUTED_VALUE"""),140)</f>
        <v>140</v>
      </c>
      <c r="J179" s="1">
        <f ca="1">IFERROR(__xludf.DUMMYFUNCTION("""COMPUTED_VALUE"""),61)</f>
        <v>61</v>
      </c>
      <c r="K179" s="1">
        <f ca="1">IFERROR(__xludf.DUMMYFUNCTION("""COMPUTED_VALUE"""),313)</f>
        <v>313</v>
      </c>
      <c r="L179" s="1">
        <f ca="1">IFERROR(__xludf.DUMMYFUNCTION("""COMPUTED_VALUE"""),-0.048)</f>
        <v>-4.8000000000000001E-2</v>
      </c>
      <c r="M179" s="1">
        <f ca="1">IFERROR(__xludf.DUMMYFUNCTION("""COMPUTED_VALUE"""),283)</f>
        <v>283</v>
      </c>
      <c r="N179" s="1" t="str">
        <f ca="1">IFERROR(__xludf.DUMMYFUNCTION("""COMPUTED_VALUE"""),"+0.16")</f>
        <v>+0.16</v>
      </c>
      <c r="O179" s="1">
        <f ca="1">IFERROR(__xludf.DUMMYFUNCTION("""COMPUTED_VALUE"""),152)</f>
        <v>152</v>
      </c>
      <c r="P179" s="1">
        <f ca="1">IFERROR(__xludf.DUMMYFUNCTION("""COMPUTED_VALUE"""),102.4)</f>
        <v>102.4</v>
      </c>
      <c r="Q179" s="1">
        <f ca="1">IFERROR(__xludf.DUMMYFUNCTION("""COMPUTED_VALUE"""),216)</f>
        <v>216</v>
      </c>
      <c r="R179" s="1">
        <f ca="1">IFERROR(__xludf.DUMMYFUNCTION("""COMPUTED_VALUE"""),102.3)</f>
        <v>102.3</v>
      </c>
      <c r="S179" s="1">
        <f ca="1">IFERROR(__xludf.DUMMYFUNCTION("""COMPUTED_VALUE"""),95)</f>
        <v>95</v>
      </c>
      <c r="T179" s="1">
        <f ca="1">IFERROR(__xludf.DUMMYFUNCTION("""COMPUTED_VALUE"""),-6.01)</f>
        <v>-6.01</v>
      </c>
      <c r="U179" s="1">
        <f ca="1">IFERROR(__xludf.DUMMYFUNCTION("""COMPUTED_VALUE"""),298)</f>
        <v>298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IFERROR(__xludf.DUMMYFUNCTION("""COMPUTED_VALUE"""),"Tennessee Tech")</f>
        <v>Tennessee Tech</v>
      </c>
      <c r="C180" s="1" t="str">
        <f ca="1">IFERROR(__xludf.DUMMYFUNCTION("""COMPUTED_VALUE"""),"OVC")</f>
        <v>OVC</v>
      </c>
      <c r="D180" s="1" t="str">
        <f ca="1">IFERROR(__xludf.DUMMYFUNCTION("""COMPUTED_VALUE"""),"19-13")</f>
        <v>19-13</v>
      </c>
      <c r="E180" s="1">
        <f ca="1">IFERROR(__xludf.DUMMYFUNCTION("""COMPUTED_VALUE"""),-1.67)</f>
        <v>-1.67</v>
      </c>
      <c r="F180" s="1">
        <f ca="1">IFERROR(__xludf.DUMMYFUNCTION("""COMPUTED_VALUE"""),103.4)</f>
        <v>103.4</v>
      </c>
      <c r="G180" s="1">
        <f ca="1">IFERROR(__xludf.DUMMYFUNCTION("""COMPUTED_VALUE"""),183)</f>
        <v>183</v>
      </c>
      <c r="H180" s="1">
        <f ca="1">IFERROR(__xludf.DUMMYFUNCTION("""COMPUTED_VALUE"""),105.1)</f>
        <v>105.1</v>
      </c>
      <c r="I180" s="1">
        <f ca="1">IFERROR(__xludf.DUMMYFUNCTION("""COMPUTED_VALUE"""),172)</f>
        <v>172</v>
      </c>
      <c r="J180" s="1">
        <f ca="1">IFERROR(__xludf.DUMMYFUNCTION("""COMPUTED_VALUE"""),69.4)</f>
        <v>69.400000000000006</v>
      </c>
      <c r="K180" s="1">
        <f ca="1">IFERROR(__xludf.DUMMYFUNCTION("""COMPUTED_VALUE"""),47)</f>
        <v>47</v>
      </c>
      <c r="L180" s="1" t="str">
        <f ca="1">IFERROR(__xludf.DUMMYFUNCTION("""COMPUTED_VALUE"""),"+.007")</f>
        <v>+.007</v>
      </c>
      <c r="M180" s="1">
        <f ca="1">IFERROR(__xludf.DUMMYFUNCTION("""COMPUTED_VALUE"""),162)</f>
        <v>162</v>
      </c>
      <c r="N180" s="1">
        <f ca="1">IFERROR(__xludf.DUMMYFUNCTION("""COMPUTED_VALUE"""),-5.81)</f>
        <v>-5.81</v>
      </c>
      <c r="O180" s="1">
        <f ca="1">IFERROR(__xludf.DUMMYFUNCTION("""COMPUTED_VALUE"""),265)</f>
        <v>265</v>
      </c>
      <c r="P180" s="1">
        <f ca="1">IFERROR(__xludf.DUMMYFUNCTION("""COMPUTED_VALUE"""),102.1)</f>
        <v>102.1</v>
      </c>
      <c r="Q180" s="1">
        <f ca="1">IFERROR(__xludf.DUMMYFUNCTION("""COMPUTED_VALUE"""),230)</f>
        <v>230</v>
      </c>
      <c r="R180" s="1">
        <f ca="1">IFERROR(__xludf.DUMMYFUNCTION("""COMPUTED_VALUE"""),107.9)</f>
        <v>107.9</v>
      </c>
      <c r="S180" s="1">
        <f ca="1">IFERROR(__xludf.DUMMYFUNCTION("""COMPUTED_VALUE"""),306)</f>
        <v>306</v>
      </c>
      <c r="T180" s="1" t="str">
        <f ca="1">IFERROR(__xludf.DUMMYFUNCTION("""COMPUTED_VALUE"""),"+9.26")</f>
        <v>+9.26</v>
      </c>
      <c r="U180" s="1">
        <f ca="1">IFERROR(__xludf.DUMMYFUNCTION("""COMPUTED_VALUE"""),21)</f>
        <v>21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IFERROR(__xludf.DUMMYFUNCTION("""COMPUTED_VALUE"""),"Rice")</f>
        <v>Rice</v>
      </c>
      <c r="C181" s="1" t="str">
        <f ca="1">IFERROR(__xludf.DUMMYFUNCTION("""COMPUTED_VALUE"""),"CUSA")</f>
        <v>CUSA</v>
      </c>
      <c r="D181" s="1" t="str">
        <f ca="1">IFERROR(__xludf.DUMMYFUNCTION("""COMPUTED_VALUE"""),"16-16")</f>
        <v>16-16</v>
      </c>
      <c r="E181" s="1">
        <f ca="1">IFERROR(__xludf.DUMMYFUNCTION("""COMPUTED_VALUE"""),-1.86)</f>
        <v>-1.86</v>
      </c>
      <c r="F181" s="1">
        <f ca="1">IFERROR(__xludf.DUMMYFUNCTION("""COMPUTED_VALUE"""),103.3)</f>
        <v>103.3</v>
      </c>
      <c r="G181" s="1">
        <f ca="1">IFERROR(__xludf.DUMMYFUNCTION("""COMPUTED_VALUE"""),185)</f>
        <v>185</v>
      </c>
      <c r="H181" s="1">
        <f ca="1">IFERROR(__xludf.DUMMYFUNCTION("""COMPUTED_VALUE"""),105.2)</f>
        <v>105.2</v>
      </c>
      <c r="I181" s="1">
        <f ca="1">IFERROR(__xludf.DUMMYFUNCTION("""COMPUTED_VALUE"""),174)</f>
        <v>174</v>
      </c>
      <c r="J181" s="1">
        <f ca="1">IFERROR(__xludf.DUMMYFUNCTION("""COMPUTED_VALUE"""),65.8)</f>
        <v>65.8</v>
      </c>
      <c r="K181" s="1">
        <f ca="1">IFERROR(__xludf.DUMMYFUNCTION("""COMPUTED_VALUE"""),167)</f>
        <v>167</v>
      </c>
      <c r="L181" s="1" t="str">
        <f ca="1">IFERROR(__xludf.DUMMYFUNCTION("""COMPUTED_VALUE"""),"+.054")</f>
        <v>+.054</v>
      </c>
      <c r="M181" s="1">
        <f ca="1">IFERROR(__xludf.DUMMYFUNCTION("""COMPUTED_VALUE"""),53)</f>
        <v>53</v>
      </c>
      <c r="N181" s="1" t="str">
        <f ca="1">IFERROR(__xludf.DUMMYFUNCTION("""COMPUTED_VALUE"""),"+1.30")</f>
        <v>+1.30</v>
      </c>
      <c r="O181" s="1">
        <f ca="1">IFERROR(__xludf.DUMMYFUNCTION("""COMPUTED_VALUE"""),131)</f>
        <v>131</v>
      </c>
      <c r="P181" s="1">
        <f ca="1">IFERROR(__xludf.DUMMYFUNCTION("""COMPUTED_VALUE"""),104.3)</f>
        <v>104.3</v>
      </c>
      <c r="Q181" s="1">
        <f ca="1">IFERROR(__xludf.DUMMYFUNCTION("""COMPUTED_VALUE"""),156)</f>
        <v>156</v>
      </c>
      <c r="R181" s="1">
        <f ca="1">IFERROR(__xludf.DUMMYFUNCTION("""COMPUTED_VALUE"""),103)</f>
        <v>103</v>
      </c>
      <c r="S181" s="1">
        <f ca="1">IFERROR(__xludf.DUMMYFUNCTION("""COMPUTED_VALUE"""),110)</f>
        <v>110</v>
      </c>
      <c r="T181" s="1" t="str">
        <f ca="1">IFERROR(__xludf.DUMMYFUNCTION("""COMPUTED_VALUE"""),"+0.35")</f>
        <v>+0.35</v>
      </c>
      <c r="U181" s="1">
        <f ca="1">IFERROR(__xludf.DUMMYFUNCTION("""COMPUTED_VALUE"""),148)</f>
        <v>148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IFERROR(__xludf.DUMMYFUNCTION("""COMPUTED_VALUE"""),"TCU")</f>
        <v>TCU</v>
      </c>
      <c r="C182" s="1" t="str">
        <f ca="1">IFERROR(__xludf.DUMMYFUNCTION("""COMPUTED_VALUE"""),"MWC")</f>
        <v>MWC</v>
      </c>
      <c r="D182" s="1" t="str">
        <f ca="1">IFERROR(__xludf.DUMMYFUNCTION("""COMPUTED_VALUE"""),"13-17")</f>
        <v>13-17</v>
      </c>
      <c r="E182" s="1">
        <f ca="1">IFERROR(__xludf.DUMMYFUNCTION("""COMPUTED_VALUE"""),-1.94)</f>
        <v>-1.94</v>
      </c>
      <c r="F182" s="1">
        <f ca="1">IFERROR(__xludf.DUMMYFUNCTION("""COMPUTED_VALUE"""),96.2)</f>
        <v>96.2</v>
      </c>
      <c r="G182" s="1">
        <f ca="1">IFERROR(__xludf.DUMMYFUNCTION("""COMPUTED_VALUE"""),283)</f>
        <v>283</v>
      </c>
      <c r="H182" s="1">
        <f ca="1">IFERROR(__xludf.DUMMYFUNCTION("""COMPUTED_VALUE"""),98.1)</f>
        <v>98.1</v>
      </c>
      <c r="I182" s="1">
        <f ca="1">IFERROR(__xludf.DUMMYFUNCTION("""COMPUTED_VALUE"""),61)</f>
        <v>61</v>
      </c>
      <c r="J182" s="1">
        <f ca="1">IFERROR(__xludf.DUMMYFUNCTION("""COMPUTED_VALUE"""),66.8)</f>
        <v>66.8</v>
      </c>
      <c r="K182" s="1">
        <f ca="1">IFERROR(__xludf.DUMMYFUNCTION("""COMPUTED_VALUE"""),120)</f>
        <v>120</v>
      </c>
      <c r="L182" s="1" t="str">
        <f ca="1">IFERROR(__xludf.DUMMYFUNCTION("""COMPUTED_VALUE"""),"+.037")</f>
        <v>+.037</v>
      </c>
      <c r="M182" s="1">
        <f ca="1">IFERROR(__xludf.DUMMYFUNCTION("""COMPUTED_VALUE"""),82)</f>
        <v>82</v>
      </c>
      <c r="N182" s="1" t="str">
        <f ca="1">IFERROR(__xludf.DUMMYFUNCTION("""COMPUTED_VALUE"""),"+2.18")</f>
        <v>+2.18</v>
      </c>
      <c r="O182" s="1">
        <f ca="1">IFERROR(__xludf.DUMMYFUNCTION("""COMPUTED_VALUE"""),116)</f>
        <v>116</v>
      </c>
      <c r="P182" s="1">
        <f ca="1">IFERROR(__xludf.DUMMYFUNCTION("""COMPUTED_VALUE"""),105.9)</f>
        <v>105.9</v>
      </c>
      <c r="Q182" s="1">
        <f ca="1">IFERROR(__xludf.DUMMYFUNCTION("""COMPUTED_VALUE"""),106)</f>
        <v>106</v>
      </c>
      <c r="R182" s="1">
        <f ca="1">IFERROR(__xludf.DUMMYFUNCTION("""COMPUTED_VALUE"""),103.8)</f>
        <v>103.8</v>
      </c>
      <c r="S182" s="1">
        <f ca="1">IFERROR(__xludf.DUMMYFUNCTION("""COMPUTED_VALUE"""),136)</f>
        <v>136</v>
      </c>
      <c r="T182" s="1">
        <f ca="1">IFERROR(__xludf.DUMMYFUNCTION("""COMPUTED_VALUE"""),-9.53)</f>
        <v>-9.5299999999999994</v>
      </c>
      <c r="U182" s="1">
        <f ca="1">IFERROR(__xludf.DUMMYFUNCTION("""COMPUTED_VALUE"""),325)</f>
        <v>325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IFERROR(__xludf.DUMMYFUNCTION("""COMPUTED_VALUE"""),"High Point")</f>
        <v>High Point</v>
      </c>
      <c r="C183" s="1" t="str">
        <f ca="1">IFERROR(__xludf.DUMMYFUNCTION("""COMPUTED_VALUE"""),"BSth")</f>
        <v>BSth</v>
      </c>
      <c r="D183" s="1" t="str">
        <f ca="1">IFERROR(__xludf.DUMMYFUNCTION("""COMPUTED_VALUE"""),"22-10")</f>
        <v>22-10</v>
      </c>
      <c r="E183" s="1">
        <f ca="1">IFERROR(__xludf.DUMMYFUNCTION("""COMPUTED_VALUE"""),-2.07)</f>
        <v>-2.0699999999999998</v>
      </c>
      <c r="F183" s="1">
        <f ca="1">IFERROR(__xludf.DUMMYFUNCTION("""COMPUTED_VALUE"""),101.1)</f>
        <v>101.1</v>
      </c>
      <c r="G183" s="1">
        <f ca="1">IFERROR(__xludf.DUMMYFUNCTION("""COMPUTED_VALUE"""),220)</f>
        <v>220</v>
      </c>
      <c r="H183" s="1">
        <f ca="1">IFERROR(__xludf.DUMMYFUNCTION("""COMPUTED_VALUE"""),103.1)</f>
        <v>103.1</v>
      </c>
      <c r="I183" s="1">
        <f ca="1">IFERROR(__xludf.DUMMYFUNCTION("""COMPUTED_VALUE"""),142)</f>
        <v>142</v>
      </c>
      <c r="J183" s="1">
        <f ca="1">IFERROR(__xludf.DUMMYFUNCTION("""COMPUTED_VALUE"""),66.4)</f>
        <v>66.400000000000006</v>
      </c>
      <c r="K183" s="1">
        <f ca="1">IFERROR(__xludf.DUMMYFUNCTION("""COMPUTED_VALUE"""),134)</f>
        <v>134</v>
      </c>
      <c r="L183" s="1" t="str">
        <f ca="1">IFERROR(__xludf.DUMMYFUNCTION("""COMPUTED_VALUE"""),"+.054")</f>
        <v>+.054</v>
      </c>
      <c r="M183" s="1">
        <f ca="1">IFERROR(__xludf.DUMMYFUNCTION("""COMPUTED_VALUE"""),54)</f>
        <v>54</v>
      </c>
      <c r="N183" s="1">
        <f ca="1">IFERROR(__xludf.DUMMYFUNCTION("""COMPUTED_VALUE"""),-8.72)</f>
        <v>-8.7200000000000006</v>
      </c>
      <c r="O183" s="1">
        <f ca="1">IFERROR(__xludf.DUMMYFUNCTION("""COMPUTED_VALUE"""),316)</f>
        <v>316</v>
      </c>
      <c r="P183" s="1">
        <f ca="1">IFERROR(__xludf.DUMMYFUNCTION("""COMPUTED_VALUE"""),100.2)</f>
        <v>100.2</v>
      </c>
      <c r="Q183" s="1">
        <f ca="1">IFERROR(__xludf.DUMMYFUNCTION("""COMPUTED_VALUE"""),298)</f>
        <v>298</v>
      </c>
      <c r="R183" s="1">
        <f ca="1">IFERROR(__xludf.DUMMYFUNCTION("""COMPUTED_VALUE"""),108.9)</f>
        <v>108.9</v>
      </c>
      <c r="S183" s="1">
        <f ca="1">IFERROR(__xludf.DUMMYFUNCTION("""COMPUTED_VALUE"""),328)</f>
        <v>328</v>
      </c>
      <c r="T183" s="1">
        <f ca="1">IFERROR(__xludf.DUMMYFUNCTION("""COMPUTED_VALUE"""),-7.62)</f>
        <v>-7.62</v>
      </c>
      <c r="U183" s="1">
        <f ca="1">IFERROR(__xludf.DUMMYFUNCTION("""COMPUTED_VALUE"""),316)</f>
        <v>316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IFERROR(__xludf.DUMMYFUNCTION("""COMPUTED_VALUE"""),"Oregon St.")</f>
        <v>Oregon St.</v>
      </c>
      <c r="C184" s="1" t="str">
        <f ca="1">IFERROR(__xludf.DUMMYFUNCTION("""COMPUTED_VALUE"""),"P10")</f>
        <v>P10</v>
      </c>
      <c r="D184" s="2">
        <f ca="1">IFERROR(__xludf.DUMMYFUNCTION("""COMPUTED_VALUE"""),44886)</f>
        <v>44886</v>
      </c>
      <c r="E184" s="1">
        <f ca="1">IFERROR(__xludf.DUMMYFUNCTION("""COMPUTED_VALUE"""),-2.09)</f>
        <v>-2.09</v>
      </c>
      <c r="F184" s="1">
        <f ca="1">IFERROR(__xludf.DUMMYFUNCTION("""COMPUTED_VALUE"""),102.6)</f>
        <v>102.6</v>
      </c>
      <c r="G184" s="1">
        <f ca="1">IFERROR(__xludf.DUMMYFUNCTION("""COMPUTED_VALUE"""),195)</f>
        <v>195</v>
      </c>
      <c r="H184" s="1">
        <f ca="1">IFERROR(__xludf.DUMMYFUNCTION("""COMPUTED_VALUE"""),104.6)</f>
        <v>104.6</v>
      </c>
      <c r="I184" s="1">
        <f ca="1">IFERROR(__xludf.DUMMYFUNCTION("""COMPUTED_VALUE"""),162)</f>
        <v>162</v>
      </c>
      <c r="J184" s="1">
        <f ca="1">IFERROR(__xludf.DUMMYFUNCTION("""COMPUTED_VALUE"""),65.1)</f>
        <v>65.099999999999994</v>
      </c>
      <c r="K184" s="1">
        <f ca="1">IFERROR(__xludf.DUMMYFUNCTION("""COMPUTED_VALUE"""),194)</f>
        <v>194</v>
      </c>
      <c r="L184" s="1">
        <f ca="1">IFERROR(__xludf.DUMMYFUNCTION("""COMPUTED_VALUE"""),-0.032)</f>
        <v>-3.2000000000000001E-2</v>
      </c>
      <c r="M184" s="1">
        <f ca="1">IFERROR(__xludf.DUMMYFUNCTION("""COMPUTED_VALUE"""),260)</f>
        <v>260</v>
      </c>
      <c r="N184" s="1" t="str">
        <f ca="1">IFERROR(__xludf.DUMMYFUNCTION("""COMPUTED_VALUE"""),"+6.64")</f>
        <v>+6.64</v>
      </c>
      <c r="O184" s="1">
        <f ca="1">IFERROR(__xludf.DUMMYFUNCTION("""COMPUTED_VALUE"""),64)</f>
        <v>64</v>
      </c>
      <c r="P184" s="1">
        <f ca="1">IFERROR(__xludf.DUMMYFUNCTION("""COMPUTED_VALUE"""),107.5)</f>
        <v>107.5</v>
      </c>
      <c r="Q184" s="1">
        <f ca="1">IFERROR(__xludf.DUMMYFUNCTION("""COMPUTED_VALUE"""),69)</f>
        <v>69</v>
      </c>
      <c r="R184" s="1">
        <f ca="1">IFERROR(__xludf.DUMMYFUNCTION("""COMPUTED_VALUE"""),100.9)</f>
        <v>100.9</v>
      </c>
      <c r="S184" s="1">
        <f ca="1">IFERROR(__xludf.DUMMYFUNCTION("""COMPUTED_VALUE"""),54)</f>
        <v>54</v>
      </c>
      <c r="T184" s="1">
        <f ca="1">IFERROR(__xludf.DUMMYFUNCTION("""COMPUTED_VALUE"""),-8.82)</f>
        <v>-8.82</v>
      </c>
      <c r="U184" s="1">
        <f ca="1">IFERROR(__xludf.DUMMYFUNCTION("""COMPUTED_VALUE"""),321)</f>
        <v>321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IFERROR(__xludf.DUMMYFUNCTION("""COMPUTED_VALUE"""),"Yale")</f>
        <v>Yale</v>
      </c>
      <c r="C185" s="1" t="str">
        <f ca="1">IFERROR(__xludf.DUMMYFUNCTION("""COMPUTED_VALUE"""),"Ivy")</f>
        <v>Ivy</v>
      </c>
      <c r="D185" s="1" t="str">
        <f ca="1">IFERROR(__xludf.DUMMYFUNCTION("""COMPUTED_VALUE"""),"14-13")</f>
        <v>14-13</v>
      </c>
      <c r="E185" s="1">
        <f ca="1">IFERROR(__xludf.DUMMYFUNCTION("""COMPUTED_VALUE"""),-2.09)</f>
        <v>-2.09</v>
      </c>
      <c r="F185" s="1">
        <f ca="1">IFERROR(__xludf.DUMMYFUNCTION("""COMPUTED_VALUE"""),102.6)</f>
        <v>102.6</v>
      </c>
      <c r="G185" s="1">
        <f ca="1">IFERROR(__xludf.DUMMYFUNCTION("""COMPUTED_VALUE"""),193)</f>
        <v>193</v>
      </c>
      <c r="H185" s="1">
        <f ca="1">IFERROR(__xludf.DUMMYFUNCTION("""COMPUTED_VALUE"""),104.7)</f>
        <v>104.7</v>
      </c>
      <c r="I185" s="1">
        <f ca="1">IFERROR(__xludf.DUMMYFUNCTION("""COMPUTED_VALUE"""),163)</f>
        <v>163</v>
      </c>
      <c r="J185" s="1">
        <f ca="1">IFERROR(__xludf.DUMMYFUNCTION("""COMPUTED_VALUE"""),66.3)</f>
        <v>66.3</v>
      </c>
      <c r="K185" s="1">
        <f ca="1">IFERROR(__xludf.DUMMYFUNCTION("""COMPUTED_VALUE"""),140)</f>
        <v>140</v>
      </c>
      <c r="L185" s="1">
        <f ca="1">IFERROR(__xludf.DUMMYFUNCTION("""COMPUTED_VALUE"""),-0.017)</f>
        <v>-1.7000000000000001E-2</v>
      </c>
      <c r="M185" s="1">
        <f ca="1">IFERROR(__xludf.DUMMYFUNCTION("""COMPUTED_VALUE"""),221)</f>
        <v>221</v>
      </c>
      <c r="N185" s="1">
        <f ca="1">IFERROR(__xludf.DUMMYFUNCTION("""COMPUTED_VALUE"""),-3.82)</f>
        <v>-3.82</v>
      </c>
      <c r="O185" s="1">
        <f ca="1">IFERROR(__xludf.DUMMYFUNCTION("""COMPUTED_VALUE"""),216)</f>
        <v>216</v>
      </c>
      <c r="P185" s="1">
        <f ca="1">IFERROR(__xludf.DUMMYFUNCTION("""COMPUTED_VALUE"""),102.1)</f>
        <v>102.1</v>
      </c>
      <c r="Q185" s="1">
        <f ca="1">IFERROR(__xludf.DUMMYFUNCTION("""COMPUTED_VALUE"""),231)</f>
        <v>231</v>
      </c>
      <c r="R185" s="1">
        <f ca="1">IFERROR(__xludf.DUMMYFUNCTION("""COMPUTED_VALUE"""),105.9)</f>
        <v>105.9</v>
      </c>
      <c r="S185" s="1">
        <f ca="1">IFERROR(__xludf.DUMMYFUNCTION("""COMPUTED_VALUE"""),210)</f>
        <v>210</v>
      </c>
      <c r="T185" s="1">
        <f ca="1">IFERROR(__xludf.DUMMYFUNCTION("""COMPUTED_VALUE"""),-0.13)</f>
        <v>-0.13</v>
      </c>
      <c r="U185" s="1">
        <f ca="1">IFERROR(__xludf.DUMMYFUNCTION("""COMPUTED_VALUE"""),155)</f>
        <v>155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IFERROR(__xludf.DUMMYFUNCTION("""COMPUTED_VALUE"""),"Portland St.")</f>
        <v>Portland St.</v>
      </c>
      <c r="C186" s="1" t="str">
        <f ca="1">IFERROR(__xludf.DUMMYFUNCTION("""COMPUTED_VALUE"""),"BSky")</f>
        <v>BSky</v>
      </c>
      <c r="D186" s="1" t="str">
        <f ca="1">IFERROR(__xludf.DUMMYFUNCTION("""COMPUTED_VALUE"""),"19-13")</f>
        <v>19-13</v>
      </c>
      <c r="E186" s="1">
        <f ca="1">IFERROR(__xludf.DUMMYFUNCTION("""COMPUTED_VALUE"""),-2.18)</f>
        <v>-2.1800000000000002</v>
      </c>
      <c r="F186" s="1">
        <f ca="1">IFERROR(__xludf.DUMMYFUNCTION("""COMPUTED_VALUE"""),104.7)</f>
        <v>104.7</v>
      </c>
      <c r="G186" s="1">
        <f ca="1">IFERROR(__xludf.DUMMYFUNCTION("""COMPUTED_VALUE"""),161)</f>
        <v>161</v>
      </c>
      <c r="H186" s="1">
        <f ca="1">IFERROR(__xludf.DUMMYFUNCTION("""COMPUTED_VALUE"""),106.8)</f>
        <v>106.8</v>
      </c>
      <c r="I186" s="1">
        <f ca="1">IFERROR(__xludf.DUMMYFUNCTION("""COMPUTED_VALUE"""),211)</f>
        <v>211</v>
      </c>
      <c r="J186" s="1">
        <f ca="1">IFERROR(__xludf.DUMMYFUNCTION("""COMPUTED_VALUE"""),70.9)</f>
        <v>70.900000000000006</v>
      </c>
      <c r="K186" s="1">
        <f ca="1">IFERROR(__xludf.DUMMYFUNCTION("""COMPUTED_VALUE"""),25)</f>
        <v>25</v>
      </c>
      <c r="L186" s="1" t="str">
        <f ca="1">IFERROR(__xludf.DUMMYFUNCTION("""COMPUTED_VALUE"""),"+.031")</f>
        <v>+.031</v>
      </c>
      <c r="M186" s="1">
        <f ca="1">IFERROR(__xludf.DUMMYFUNCTION("""COMPUTED_VALUE"""),101)</f>
        <v>101</v>
      </c>
      <c r="N186" s="1">
        <f ca="1">IFERROR(__xludf.DUMMYFUNCTION("""COMPUTED_VALUE"""),-5.58)</f>
        <v>-5.58</v>
      </c>
      <c r="O186" s="1">
        <f ca="1">IFERROR(__xludf.DUMMYFUNCTION("""COMPUTED_VALUE"""),257)</f>
        <v>257</v>
      </c>
      <c r="P186" s="1">
        <f ca="1">IFERROR(__xludf.DUMMYFUNCTION("""COMPUTED_VALUE"""),102.5)</f>
        <v>102.5</v>
      </c>
      <c r="Q186" s="1">
        <f ca="1">IFERROR(__xludf.DUMMYFUNCTION("""COMPUTED_VALUE"""),214)</f>
        <v>214</v>
      </c>
      <c r="R186" s="1">
        <f ca="1">IFERROR(__xludf.DUMMYFUNCTION("""COMPUTED_VALUE"""),108.1)</f>
        <v>108.1</v>
      </c>
      <c r="S186" s="1">
        <f ca="1">IFERROR(__xludf.DUMMYFUNCTION("""COMPUTED_VALUE"""),313)</f>
        <v>313</v>
      </c>
      <c r="T186" s="1">
        <f ca="1">IFERROR(__xludf.DUMMYFUNCTION("""COMPUTED_VALUE"""),-2.09)</f>
        <v>-2.09</v>
      </c>
      <c r="U186" s="1">
        <f ca="1">IFERROR(__xludf.DUMMYFUNCTION("""COMPUTED_VALUE"""),207)</f>
        <v>207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IFERROR(__xludf.DUMMYFUNCTION("""COMPUTED_VALUE"""),"Central Connecticut16")</f>
        <v>Central Connecticut16</v>
      </c>
      <c r="C187" s="1" t="str">
        <f ca="1">IFERROR(__xludf.DUMMYFUNCTION("""COMPUTED_VALUE"""),"NEC")</f>
        <v>NEC</v>
      </c>
      <c r="D187" s="1" t="str">
        <f ca="1">IFERROR(__xludf.DUMMYFUNCTION("""COMPUTED_VALUE"""),"22-12")</f>
        <v>22-12</v>
      </c>
      <c r="E187" s="1">
        <f ca="1">IFERROR(__xludf.DUMMYFUNCTION("""COMPUTED_VALUE"""),-2.24)</f>
        <v>-2.2400000000000002</v>
      </c>
      <c r="F187" s="1">
        <f ca="1">IFERROR(__xludf.DUMMYFUNCTION("""COMPUTED_VALUE"""),104.1)</f>
        <v>104.1</v>
      </c>
      <c r="G187" s="1">
        <f ca="1">IFERROR(__xludf.DUMMYFUNCTION("""COMPUTED_VALUE"""),169)</f>
        <v>169</v>
      </c>
      <c r="H187" s="1">
        <f ca="1">IFERROR(__xludf.DUMMYFUNCTION("""COMPUTED_VALUE"""),106.3)</f>
        <v>106.3</v>
      </c>
      <c r="I187" s="1">
        <f ca="1">IFERROR(__xludf.DUMMYFUNCTION("""COMPUTED_VALUE"""),198)</f>
        <v>198</v>
      </c>
      <c r="J187" s="1">
        <f ca="1">IFERROR(__xludf.DUMMYFUNCTION("""COMPUTED_VALUE"""),63.3)</f>
        <v>63.3</v>
      </c>
      <c r="K187" s="1">
        <f ca="1">IFERROR(__xludf.DUMMYFUNCTION("""COMPUTED_VALUE"""),266)</f>
        <v>266</v>
      </c>
      <c r="L187" s="1" t="str">
        <f ca="1">IFERROR(__xludf.DUMMYFUNCTION("""COMPUTED_VALUE"""),"+.060")</f>
        <v>+.060</v>
      </c>
      <c r="M187" s="1">
        <f ca="1">IFERROR(__xludf.DUMMYFUNCTION("""COMPUTED_VALUE"""),42)</f>
        <v>42</v>
      </c>
      <c r="N187" s="1">
        <f ca="1">IFERROR(__xludf.DUMMYFUNCTION("""COMPUTED_VALUE"""),-8.44)</f>
        <v>-8.44</v>
      </c>
      <c r="O187" s="1">
        <f ca="1">IFERROR(__xludf.DUMMYFUNCTION("""COMPUTED_VALUE"""),314)</f>
        <v>314</v>
      </c>
      <c r="P187" s="1">
        <f ca="1">IFERROR(__xludf.DUMMYFUNCTION("""COMPUTED_VALUE"""),100.4)</f>
        <v>100.4</v>
      </c>
      <c r="Q187" s="1">
        <f ca="1">IFERROR(__xludf.DUMMYFUNCTION("""COMPUTED_VALUE"""),294)</f>
        <v>294</v>
      </c>
      <c r="R187" s="1">
        <f ca="1">IFERROR(__xludf.DUMMYFUNCTION("""COMPUTED_VALUE"""),108.8)</f>
        <v>108.8</v>
      </c>
      <c r="S187" s="1">
        <f ca="1">IFERROR(__xludf.DUMMYFUNCTION("""COMPUTED_VALUE"""),324)</f>
        <v>324</v>
      </c>
      <c r="T187" s="1">
        <f ca="1">IFERROR(__xludf.DUMMYFUNCTION("""COMPUTED_VALUE"""),-5.1)</f>
        <v>-5.0999999999999996</v>
      </c>
      <c r="U187" s="1">
        <f ca="1">IFERROR(__xludf.DUMMYFUNCTION("""COMPUTED_VALUE"""),281)</f>
        <v>281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IFERROR(__xludf.DUMMYFUNCTION("""COMPUTED_VALUE"""),"Southern Utah")</f>
        <v>Southern Utah</v>
      </c>
      <c r="C188" s="1" t="str">
        <f ca="1">IFERROR(__xludf.DUMMYFUNCTION("""COMPUTED_VALUE"""),"MCon")</f>
        <v>MCon</v>
      </c>
      <c r="D188" s="1" t="str">
        <f ca="1">IFERROR(__xludf.DUMMYFUNCTION("""COMPUTED_VALUE"""),"16-14")</f>
        <v>16-14</v>
      </c>
      <c r="E188" s="1">
        <f ca="1">IFERROR(__xludf.DUMMYFUNCTION("""COMPUTED_VALUE"""),-2.55)</f>
        <v>-2.5499999999999998</v>
      </c>
      <c r="F188" s="1">
        <f ca="1">IFERROR(__xludf.DUMMYFUNCTION("""COMPUTED_VALUE"""),103.5)</f>
        <v>103.5</v>
      </c>
      <c r="G188" s="1">
        <f ca="1">IFERROR(__xludf.DUMMYFUNCTION("""COMPUTED_VALUE"""),181)</f>
        <v>181</v>
      </c>
      <c r="H188" s="1">
        <f ca="1">IFERROR(__xludf.DUMMYFUNCTION("""COMPUTED_VALUE"""),106.1)</f>
        <v>106.1</v>
      </c>
      <c r="I188" s="1">
        <f ca="1">IFERROR(__xludf.DUMMYFUNCTION("""COMPUTED_VALUE"""),193)</f>
        <v>193</v>
      </c>
      <c r="J188" s="1">
        <f ca="1">IFERROR(__xludf.DUMMYFUNCTION("""COMPUTED_VALUE"""),63)</f>
        <v>63</v>
      </c>
      <c r="K188" s="1">
        <f ca="1">IFERROR(__xludf.DUMMYFUNCTION("""COMPUTED_VALUE"""),277)</f>
        <v>277</v>
      </c>
      <c r="L188" s="1">
        <f ca="1">IFERROR(__xludf.DUMMYFUNCTION("""COMPUTED_VALUE"""),-0.005)</f>
        <v>-5.0000000000000001E-3</v>
      </c>
      <c r="M188" s="1">
        <f ca="1">IFERROR(__xludf.DUMMYFUNCTION("""COMPUTED_VALUE"""),190)</f>
        <v>190</v>
      </c>
      <c r="N188" s="1">
        <f ca="1">IFERROR(__xludf.DUMMYFUNCTION("""COMPUTED_VALUE"""),-3.02)</f>
        <v>-3.02</v>
      </c>
      <c r="O188" s="1">
        <f ca="1">IFERROR(__xludf.DUMMYFUNCTION("""COMPUTED_VALUE"""),199)</f>
        <v>199</v>
      </c>
      <c r="P188" s="1">
        <f ca="1">IFERROR(__xludf.DUMMYFUNCTION("""COMPUTED_VALUE"""),104.1)</f>
        <v>104.1</v>
      </c>
      <c r="Q188" s="1">
        <f ca="1">IFERROR(__xludf.DUMMYFUNCTION("""COMPUTED_VALUE"""),168)</f>
        <v>168</v>
      </c>
      <c r="R188" s="1">
        <f ca="1">IFERROR(__xludf.DUMMYFUNCTION("""COMPUTED_VALUE"""),107.2)</f>
        <v>107.2</v>
      </c>
      <c r="S188" s="1">
        <f ca="1">IFERROR(__xludf.DUMMYFUNCTION("""COMPUTED_VALUE"""),265)</f>
        <v>265</v>
      </c>
      <c r="T188" s="1">
        <f ca="1">IFERROR(__xludf.DUMMYFUNCTION("""COMPUTED_VALUE"""),-1.96)</f>
        <v>-1.96</v>
      </c>
      <c r="U188" s="1">
        <f ca="1">IFERROR(__xludf.DUMMYFUNCTION("""COMPUTED_VALUE"""),204)</f>
        <v>204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IFERROR(__xludf.DUMMYFUNCTION("""COMPUTED_VALUE"""),"Cal St. Fullerton")</f>
        <v>Cal St. Fullerton</v>
      </c>
      <c r="C189" s="1" t="str">
        <f ca="1">IFERROR(__xludf.DUMMYFUNCTION("""COMPUTED_VALUE"""),"BW")</f>
        <v>BW</v>
      </c>
      <c r="D189" s="1" t="str">
        <f ca="1">IFERROR(__xludf.DUMMYFUNCTION("""COMPUTED_VALUE"""),"20-10")</f>
        <v>20-10</v>
      </c>
      <c r="E189" s="1">
        <f ca="1">IFERROR(__xludf.DUMMYFUNCTION("""COMPUTED_VALUE"""),-2.55)</f>
        <v>-2.5499999999999998</v>
      </c>
      <c r="F189" s="1">
        <f ca="1">IFERROR(__xludf.DUMMYFUNCTION("""COMPUTED_VALUE"""),105.1)</f>
        <v>105.1</v>
      </c>
      <c r="G189" s="1">
        <f ca="1">IFERROR(__xludf.DUMMYFUNCTION("""COMPUTED_VALUE"""),151)</f>
        <v>151</v>
      </c>
      <c r="H189" s="1">
        <f ca="1">IFERROR(__xludf.DUMMYFUNCTION("""COMPUTED_VALUE"""),107.6)</f>
        <v>107.6</v>
      </c>
      <c r="I189" s="1">
        <f ca="1">IFERROR(__xludf.DUMMYFUNCTION("""COMPUTED_VALUE"""),224)</f>
        <v>224</v>
      </c>
      <c r="J189" s="1">
        <f ca="1">IFERROR(__xludf.DUMMYFUNCTION("""COMPUTED_VALUE"""),73.4)</f>
        <v>73.400000000000006</v>
      </c>
      <c r="K189" s="1">
        <f ca="1">IFERROR(__xludf.DUMMYFUNCTION("""COMPUTED_VALUE"""),5)</f>
        <v>5</v>
      </c>
      <c r="L189" s="1" t="str">
        <f ca="1">IFERROR(__xludf.DUMMYFUNCTION("""COMPUTED_VALUE"""),"+.065")</f>
        <v>+.065</v>
      </c>
      <c r="M189" s="1">
        <f ca="1">IFERROR(__xludf.DUMMYFUNCTION("""COMPUTED_VALUE"""),35)</f>
        <v>35</v>
      </c>
      <c r="N189" s="1">
        <f ca="1">IFERROR(__xludf.DUMMYFUNCTION("""COMPUTED_VALUE"""),-6.19)</f>
        <v>-6.19</v>
      </c>
      <c r="O189" s="1">
        <f ca="1">IFERROR(__xludf.DUMMYFUNCTION("""COMPUTED_VALUE"""),278)</f>
        <v>278</v>
      </c>
      <c r="P189" s="1">
        <f ca="1">IFERROR(__xludf.DUMMYFUNCTION("""COMPUTED_VALUE"""),100.7)</f>
        <v>100.7</v>
      </c>
      <c r="Q189" s="1">
        <f ca="1">IFERROR(__xludf.DUMMYFUNCTION("""COMPUTED_VALUE"""),284)</f>
        <v>284</v>
      </c>
      <c r="R189" s="1">
        <f ca="1">IFERROR(__xludf.DUMMYFUNCTION("""COMPUTED_VALUE"""),106.9)</f>
        <v>106.9</v>
      </c>
      <c r="S189" s="1">
        <f ca="1">IFERROR(__xludf.DUMMYFUNCTION("""COMPUTED_VALUE"""),256)</f>
        <v>256</v>
      </c>
      <c r="T189" s="1">
        <f ca="1">IFERROR(__xludf.DUMMYFUNCTION("""COMPUTED_VALUE"""),-9.95)</f>
        <v>-9.9499999999999993</v>
      </c>
      <c r="U189" s="1">
        <f ca="1">IFERROR(__xludf.DUMMYFUNCTION("""COMPUTED_VALUE"""),328)</f>
        <v>328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IFERROR(__xludf.DUMMYFUNCTION("""COMPUTED_VALUE"""),"Eastern Washington")</f>
        <v>Eastern Washington</v>
      </c>
      <c r="C190" s="1" t="str">
        <f ca="1">IFERROR(__xludf.DUMMYFUNCTION("""COMPUTED_VALUE"""),"BSky")</f>
        <v>BSky</v>
      </c>
      <c r="D190" s="1" t="str">
        <f ca="1">IFERROR(__xludf.DUMMYFUNCTION("""COMPUTED_VALUE"""),"15-14")</f>
        <v>15-14</v>
      </c>
      <c r="E190" s="1">
        <f ca="1">IFERROR(__xludf.DUMMYFUNCTION("""COMPUTED_VALUE"""),-2.57)</f>
        <v>-2.57</v>
      </c>
      <c r="F190" s="1">
        <f ca="1">IFERROR(__xludf.DUMMYFUNCTION("""COMPUTED_VALUE"""),112.4)</f>
        <v>112.4</v>
      </c>
      <c r="G190" s="1">
        <f ca="1">IFERROR(__xludf.DUMMYFUNCTION("""COMPUTED_VALUE"""),52)</f>
        <v>52</v>
      </c>
      <c r="H190" s="1">
        <f ca="1">IFERROR(__xludf.DUMMYFUNCTION("""COMPUTED_VALUE"""),115)</f>
        <v>115</v>
      </c>
      <c r="I190" s="1">
        <f ca="1">IFERROR(__xludf.DUMMYFUNCTION("""COMPUTED_VALUE"""),330)</f>
        <v>330</v>
      </c>
      <c r="J190" s="1">
        <f ca="1">IFERROR(__xludf.DUMMYFUNCTION("""COMPUTED_VALUE"""),71.9)</f>
        <v>71.900000000000006</v>
      </c>
      <c r="K190" s="1">
        <f ca="1">IFERROR(__xludf.DUMMYFUNCTION("""COMPUTED_VALUE"""),13)</f>
        <v>13</v>
      </c>
      <c r="L190" s="1">
        <f ca="1">IFERROR(__xludf.DUMMYFUNCTION("""COMPUTED_VALUE"""),-0.019)</f>
        <v>-1.9E-2</v>
      </c>
      <c r="M190" s="1">
        <f ca="1">IFERROR(__xludf.DUMMYFUNCTION("""COMPUTED_VALUE"""),226)</f>
        <v>226</v>
      </c>
      <c r="N190" s="1">
        <f ca="1">IFERROR(__xludf.DUMMYFUNCTION("""COMPUTED_VALUE"""),-2.69)</f>
        <v>-2.69</v>
      </c>
      <c r="O190" s="1">
        <f ca="1">IFERROR(__xludf.DUMMYFUNCTION("""COMPUTED_VALUE"""),190)</f>
        <v>190</v>
      </c>
      <c r="P190" s="1">
        <f ca="1">IFERROR(__xludf.DUMMYFUNCTION("""COMPUTED_VALUE"""),103.7)</f>
        <v>103.7</v>
      </c>
      <c r="Q190" s="1">
        <f ca="1">IFERROR(__xludf.DUMMYFUNCTION("""COMPUTED_VALUE"""),177)</f>
        <v>177</v>
      </c>
      <c r="R190" s="1">
        <f ca="1">IFERROR(__xludf.DUMMYFUNCTION("""COMPUTED_VALUE"""),106.4)</f>
        <v>106.4</v>
      </c>
      <c r="S190" s="1">
        <f ca="1">IFERROR(__xludf.DUMMYFUNCTION("""COMPUTED_VALUE"""),235)</f>
        <v>235</v>
      </c>
      <c r="T190" s="1" t="str">
        <f ca="1">IFERROR(__xludf.DUMMYFUNCTION("""COMPUTED_VALUE"""),"+6.93")</f>
        <v>+6.93</v>
      </c>
      <c r="U190" s="1">
        <f ca="1">IFERROR(__xludf.DUMMYFUNCTION("""COMPUTED_VALUE"""),33)</f>
        <v>33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IFERROR(__xludf.DUMMYFUNCTION("""COMPUTED_VALUE"""),"Youngstown St.")</f>
        <v>Youngstown St.</v>
      </c>
      <c r="C191" s="1" t="str">
        <f ca="1">IFERROR(__xludf.DUMMYFUNCTION("""COMPUTED_VALUE"""),"Horz")</f>
        <v>Horz</v>
      </c>
      <c r="D191" s="1" t="str">
        <f ca="1">IFERROR(__xludf.DUMMYFUNCTION("""COMPUTED_VALUE"""),"14-17")</f>
        <v>14-17</v>
      </c>
      <c r="E191" s="1">
        <f ca="1">IFERROR(__xludf.DUMMYFUNCTION("""COMPUTED_VALUE"""),-2.57)</f>
        <v>-2.57</v>
      </c>
      <c r="F191" s="1">
        <f ca="1">IFERROR(__xludf.DUMMYFUNCTION("""COMPUTED_VALUE"""),102.8)</f>
        <v>102.8</v>
      </c>
      <c r="G191" s="1">
        <f ca="1">IFERROR(__xludf.DUMMYFUNCTION("""COMPUTED_VALUE"""),189)</f>
        <v>189</v>
      </c>
      <c r="H191" s="1">
        <f ca="1">IFERROR(__xludf.DUMMYFUNCTION("""COMPUTED_VALUE"""),105.4)</f>
        <v>105.4</v>
      </c>
      <c r="I191" s="1">
        <f ca="1">IFERROR(__xludf.DUMMYFUNCTION("""COMPUTED_VALUE"""),180)</f>
        <v>180</v>
      </c>
      <c r="J191" s="1">
        <f ca="1">IFERROR(__xludf.DUMMYFUNCTION("""COMPUTED_VALUE"""),65.6)</f>
        <v>65.599999999999994</v>
      </c>
      <c r="K191" s="1">
        <f ca="1">IFERROR(__xludf.DUMMYFUNCTION("""COMPUTED_VALUE"""),175)</f>
        <v>175</v>
      </c>
      <c r="L191" s="1" t="str">
        <f ca="1">IFERROR(__xludf.DUMMYFUNCTION("""COMPUTED_VALUE"""),"+.036")</f>
        <v>+.036</v>
      </c>
      <c r="M191" s="1">
        <f ca="1">IFERROR(__xludf.DUMMYFUNCTION("""COMPUTED_VALUE"""),85)</f>
        <v>85</v>
      </c>
      <c r="N191" s="1" t="str">
        <f ca="1">IFERROR(__xludf.DUMMYFUNCTION("""COMPUTED_VALUE"""),"+2.60")</f>
        <v>+2.60</v>
      </c>
      <c r="O191" s="1">
        <f ca="1">IFERROR(__xludf.DUMMYFUNCTION("""COMPUTED_VALUE"""),110)</f>
        <v>110</v>
      </c>
      <c r="P191" s="1">
        <f ca="1">IFERROR(__xludf.DUMMYFUNCTION("""COMPUTED_VALUE"""),106.7)</f>
        <v>106.7</v>
      </c>
      <c r="Q191" s="1">
        <f ca="1">IFERROR(__xludf.DUMMYFUNCTION("""COMPUTED_VALUE"""),88)</f>
        <v>88</v>
      </c>
      <c r="R191" s="1">
        <f ca="1">IFERROR(__xludf.DUMMYFUNCTION("""COMPUTED_VALUE"""),104.1)</f>
        <v>104.1</v>
      </c>
      <c r="S191" s="1">
        <f ca="1">IFERROR(__xludf.DUMMYFUNCTION("""COMPUTED_VALUE"""),149)</f>
        <v>149</v>
      </c>
      <c r="T191" s="1" t="str">
        <f ca="1">IFERROR(__xludf.DUMMYFUNCTION("""COMPUTED_VALUE"""),"+4.51")</f>
        <v>+4.51</v>
      </c>
      <c r="U191" s="1">
        <f ca="1">IFERROR(__xludf.DUMMYFUNCTION("""COMPUTED_VALUE"""),56)</f>
        <v>56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IFERROR(__xludf.DUMMYFUNCTION("""COMPUTED_VALUE"""),"Eastern Kentucky16")</f>
        <v>Eastern Kentucky16</v>
      </c>
      <c r="C192" s="1" t="str">
        <f ca="1">IFERROR(__xludf.DUMMYFUNCTION("""COMPUTED_VALUE"""),"OVC")</f>
        <v>OVC</v>
      </c>
      <c r="D192" s="1" t="str">
        <f ca="1">IFERROR(__xludf.DUMMYFUNCTION("""COMPUTED_VALUE"""),"21-12")</f>
        <v>21-12</v>
      </c>
      <c r="E192" s="1">
        <f ca="1">IFERROR(__xludf.DUMMYFUNCTION("""COMPUTED_VALUE"""),-2.58)</f>
        <v>-2.58</v>
      </c>
      <c r="F192" s="1">
        <f ca="1">IFERROR(__xludf.DUMMYFUNCTION("""COMPUTED_VALUE"""),102.7)</f>
        <v>102.7</v>
      </c>
      <c r="G192" s="1">
        <f ca="1">IFERROR(__xludf.DUMMYFUNCTION("""COMPUTED_VALUE"""),191)</f>
        <v>191</v>
      </c>
      <c r="H192" s="1">
        <f ca="1">IFERROR(__xludf.DUMMYFUNCTION("""COMPUTED_VALUE"""),105.3)</f>
        <v>105.3</v>
      </c>
      <c r="I192" s="1">
        <f ca="1">IFERROR(__xludf.DUMMYFUNCTION("""COMPUTED_VALUE"""),177)</f>
        <v>177</v>
      </c>
      <c r="J192" s="1">
        <f ca="1">IFERROR(__xludf.DUMMYFUNCTION("""COMPUTED_VALUE"""),61.3)</f>
        <v>61.3</v>
      </c>
      <c r="K192" s="1">
        <f ca="1">IFERROR(__xludf.DUMMYFUNCTION("""COMPUTED_VALUE"""),309)</f>
        <v>309</v>
      </c>
      <c r="L192" s="1" t="str">
        <f ca="1">IFERROR(__xludf.DUMMYFUNCTION("""COMPUTED_VALUE"""),"+.078")</f>
        <v>+.078</v>
      </c>
      <c r="M192" s="1">
        <f ca="1">IFERROR(__xludf.DUMMYFUNCTION("""COMPUTED_VALUE"""),23)</f>
        <v>23</v>
      </c>
      <c r="N192" s="1">
        <f ca="1">IFERROR(__xludf.DUMMYFUNCTION("""COMPUTED_VALUE"""),-6.17)</f>
        <v>-6.17</v>
      </c>
      <c r="O192" s="1">
        <f ca="1">IFERROR(__xludf.DUMMYFUNCTION("""COMPUTED_VALUE"""),277)</f>
        <v>277</v>
      </c>
      <c r="P192" s="1">
        <f ca="1">IFERROR(__xludf.DUMMYFUNCTION("""COMPUTED_VALUE"""),101.8)</f>
        <v>101.8</v>
      </c>
      <c r="Q192" s="1">
        <f ca="1">IFERROR(__xludf.DUMMYFUNCTION("""COMPUTED_VALUE"""),245)</f>
        <v>245</v>
      </c>
      <c r="R192" s="1">
        <f ca="1">IFERROR(__xludf.DUMMYFUNCTION("""COMPUTED_VALUE"""),107.9)</f>
        <v>107.9</v>
      </c>
      <c r="S192" s="1">
        <f ca="1">IFERROR(__xludf.DUMMYFUNCTION("""COMPUTED_VALUE"""),307)</f>
        <v>307</v>
      </c>
      <c r="T192" s="1" t="str">
        <f ca="1">IFERROR(__xludf.DUMMYFUNCTION("""COMPUTED_VALUE"""),"+6.66")</f>
        <v>+6.66</v>
      </c>
      <c r="U192" s="1">
        <f ca="1">IFERROR(__xludf.DUMMYFUNCTION("""COMPUTED_VALUE"""),34)</f>
        <v>34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IFERROR(__xludf.DUMMYFUNCTION("""COMPUTED_VALUE"""),"IUPUI")</f>
        <v>IUPUI</v>
      </c>
      <c r="C193" s="1" t="str">
        <f ca="1">IFERROR(__xludf.DUMMYFUNCTION("""COMPUTED_VALUE"""),"MCon")</f>
        <v>MCon</v>
      </c>
      <c r="D193" s="1" t="str">
        <f ca="1">IFERROR(__xludf.DUMMYFUNCTION("""COMPUTED_VALUE"""),"15-15")</f>
        <v>15-15</v>
      </c>
      <c r="E193" s="1">
        <f ca="1">IFERROR(__xludf.DUMMYFUNCTION("""COMPUTED_VALUE"""),-2.62)</f>
        <v>-2.62</v>
      </c>
      <c r="F193" s="1">
        <f ca="1">IFERROR(__xludf.DUMMYFUNCTION("""COMPUTED_VALUE"""),106.9)</f>
        <v>106.9</v>
      </c>
      <c r="G193" s="1">
        <f ca="1">IFERROR(__xludf.DUMMYFUNCTION("""COMPUTED_VALUE"""),127)</f>
        <v>127</v>
      </c>
      <c r="H193" s="1">
        <f ca="1">IFERROR(__xludf.DUMMYFUNCTION("""COMPUTED_VALUE"""),109.5)</f>
        <v>109.5</v>
      </c>
      <c r="I193" s="1">
        <f ca="1">IFERROR(__xludf.DUMMYFUNCTION("""COMPUTED_VALUE"""),260)</f>
        <v>260</v>
      </c>
      <c r="J193" s="1">
        <f ca="1">IFERROR(__xludf.DUMMYFUNCTION("""COMPUTED_VALUE"""),63)</f>
        <v>63</v>
      </c>
      <c r="K193" s="1">
        <f ca="1">IFERROR(__xludf.DUMMYFUNCTION("""COMPUTED_VALUE"""),283)</f>
        <v>283</v>
      </c>
      <c r="L193" s="1">
        <f ca="1">IFERROR(__xludf.DUMMYFUNCTION("""COMPUTED_VALUE"""),-0.02)</f>
        <v>-0.02</v>
      </c>
      <c r="M193" s="1">
        <f ca="1">IFERROR(__xludf.DUMMYFUNCTION("""COMPUTED_VALUE"""),228)</f>
        <v>228</v>
      </c>
      <c r="N193" s="1">
        <f ca="1">IFERROR(__xludf.DUMMYFUNCTION("""COMPUTED_VALUE"""),-2.37)</f>
        <v>-2.37</v>
      </c>
      <c r="O193" s="1">
        <f ca="1">IFERROR(__xludf.DUMMYFUNCTION("""COMPUTED_VALUE"""),187)</f>
        <v>187</v>
      </c>
      <c r="P193" s="1">
        <f ca="1">IFERROR(__xludf.DUMMYFUNCTION("""COMPUTED_VALUE"""),102.9)</f>
        <v>102.9</v>
      </c>
      <c r="Q193" s="1">
        <f ca="1">IFERROR(__xludf.DUMMYFUNCTION("""COMPUTED_VALUE"""),203)</f>
        <v>203</v>
      </c>
      <c r="R193" s="1">
        <f ca="1">IFERROR(__xludf.DUMMYFUNCTION("""COMPUTED_VALUE"""),105.3)</f>
        <v>105.3</v>
      </c>
      <c r="S193" s="1">
        <f ca="1">IFERROR(__xludf.DUMMYFUNCTION("""COMPUTED_VALUE"""),179)</f>
        <v>179</v>
      </c>
      <c r="T193" s="1">
        <f ca="1">IFERROR(__xludf.DUMMYFUNCTION("""COMPUTED_VALUE"""),-1.67)</f>
        <v>-1.67</v>
      </c>
      <c r="U193" s="1">
        <f ca="1">IFERROR(__xludf.DUMMYFUNCTION("""COMPUTED_VALUE"""),189)</f>
        <v>189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IFERROR(__xludf.DUMMYFUNCTION("""COMPUTED_VALUE"""),"Weber St.15")</f>
        <v>Weber St.15</v>
      </c>
      <c r="C194" s="1" t="str">
        <f ca="1">IFERROR(__xludf.DUMMYFUNCTION("""COMPUTED_VALUE"""),"BSky")</f>
        <v>BSky</v>
      </c>
      <c r="D194" s="1" t="str">
        <f ca="1">IFERROR(__xludf.DUMMYFUNCTION("""COMPUTED_VALUE"""),"20-12")</f>
        <v>20-12</v>
      </c>
      <c r="E194" s="1">
        <f ca="1">IFERROR(__xludf.DUMMYFUNCTION("""COMPUTED_VALUE"""),-2.71)</f>
        <v>-2.71</v>
      </c>
      <c r="F194" s="1">
        <f ca="1">IFERROR(__xludf.DUMMYFUNCTION("""COMPUTED_VALUE"""),102.1)</f>
        <v>102.1</v>
      </c>
      <c r="G194" s="1">
        <f ca="1">IFERROR(__xludf.DUMMYFUNCTION("""COMPUTED_VALUE"""),203)</f>
        <v>203</v>
      </c>
      <c r="H194" s="1">
        <f ca="1">IFERROR(__xludf.DUMMYFUNCTION("""COMPUTED_VALUE"""),104.8)</f>
        <v>104.8</v>
      </c>
      <c r="I194" s="1">
        <f ca="1">IFERROR(__xludf.DUMMYFUNCTION("""COMPUTED_VALUE"""),168)</f>
        <v>168</v>
      </c>
      <c r="J194" s="1">
        <f ca="1">IFERROR(__xludf.DUMMYFUNCTION("""COMPUTED_VALUE"""),65.2)</f>
        <v>65.2</v>
      </c>
      <c r="K194" s="1">
        <f ca="1">IFERROR(__xludf.DUMMYFUNCTION("""COMPUTED_VALUE"""),191)</f>
        <v>191</v>
      </c>
      <c r="L194" s="1" t="str">
        <f ca="1">IFERROR(__xludf.DUMMYFUNCTION("""COMPUTED_VALUE"""),"+.098")</f>
        <v>+.098</v>
      </c>
      <c r="M194" s="1">
        <f ca="1">IFERROR(__xludf.DUMMYFUNCTION("""COMPUTED_VALUE"""),13)</f>
        <v>13</v>
      </c>
      <c r="N194" s="1">
        <f ca="1">IFERROR(__xludf.DUMMYFUNCTION("""COMPUTED_VALUE"""),-3.46)</f>
        <v>-3.46</v>
      </c>
      <c r="O194" s="1">
        <f ca="1">IFERROR(__xludf.DUMMYFUNCTION("""COMPUTED_VALUE"""),205)</f>
        <v>205</v>
      </c>
      <c r="P194" s="1">
        <f ca="1">IFERROR(__xludf.DUMMYFUNCTION("""COMPUTED_VALUE"""),104.8)</f>
        <v>104.8</v>
      </c>
      <c r="Q194" s="1">
        <f ca="1">IFERROR(__xludf.DUMMYFUNCTION("""COMPUTED_VALUE"""),143)</f>
        <v>143</v>
      </c>
      <c r="R194" s="1">
        <f ca="1">IFERROR(__xludf.DUMMYFUNCTION("""COMPUTED_VALUE"""),108.3)</f>
        <v>108.3</v>
      </c>
      <c r="S194" s="1">
        <f ca="1">IFERROR(__xludf.DUMMYFUNCTION("""COMPUTED_VALUE"""),314)</f>
        <v>314</v>
      </c>
      <c r="T194" s="1" t="str">
        <f ca="1">IFERROR(__xludf.DUMMYFUNCTION("""COMPUTED_VALUE"""),"+1.83")</f>
        <v>+1.83</v>
      </c>
      <c r="U194" s="1">
        <f ca="1">IFERROR(__xludf.DUMMYFUNCTION("""COMPUTED_VALUE"""),104)</f>
        <v>104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IFERROR(__xludf.DUMMYFUNCTION("""COMPUTED_VALUE"""),"Sacred Heart")</f>
        <v>Sacred Heart</v>
      </c>
      <c r="C195" s="1" t="str">
        <f ca="1">IFERROR(__xludf.DUMMYFUNCTION("""COMPUTED_VALUE"""),"NEC")</f>
        <v>NEC</v>
      </c>
      <c r="D195" s="1" t="str">
        <f ca="1">IFERROR(__xludf.DUMMYFUNCTION("""COMPUTED_VALUE"""),"18-14")</f>
        <v>18-14</v>
      </c>
      <c r="E195" s="1">
        <f ca="1">IFERROR(__xludf.DUMMYFUNCTION("""COMPUTED_VALUE"""),-2.75)</f>
        <v>-2.75</v>
      </c>
      <c r="F195" s="1">
        <f ca="1">IFERROR(__xludf.DUMMYFUNCTION("""COMPUTED_VALUE"""),107.6)</f>
        <v>107.6</v>
      </c>
      <c r="G195" s="1">
        <f ca="1">IFERROR(__xludf.DUMMYFUNCTION("""COMPUTED_VALUE"""),110)</f>
        <v>110</v>
      </c>
      <c r="H195" s="1">
        <f ca="1">IFERROR(__xludf.DUMMYFUNCTION("""COMPUTED_VALUE"""),110.3)</f>
        <v>110.3</v>
      </c>
      <c r="I195" s="1">
        <f ca="1">IFERROR(__xludf.DUMMYFUNCTION("""COMPUTED_VALUE"""),280)</f>
        <v>280</v>
      </c>
      <c r="J195" s="1">
        <f ca="1">IFERROR(__xludf.DUMMYFUNCTION("""COMPUTED_VALUE"""),71.3)</f>
        <v>71.3</v>
      </c>
      <c r="K195" s="1">
        <f ca="1">IFERROR(__xludf.DUMMYFUNCTION("""COMPUTED_VALUE"""),20)</f>
        <v>20</v>
      </c>
      <c r="L195" s="1" t="str">
        <f ca="1">IFERROR(__xludf.DUMMYFUNCTION("""COMPUTED_VALUE"""),"+.020")</f>
        <v>+.020</v>
      </c>
      <c r="M195" s="1">
        <f ca="1">IFERROR(__xludf.DUMMYFUNCTION("""COMPUTED_VALUE"""),128)</f>
        <v>128</v>
      </c>
      <c r="N195" s="1">
        <f ca="1">IFERROR(__xludf.DUMMYFUNCTION("""COMPUTED_VALUE"""),-7.06)</f>
        <v>-7.06</v>
      </c>
      <c r="O195" s="1">
        <f ca="1">IFERROR(__xludf.DUMMYFUNCTION("""COMPUTED_VALUE"""),293)</f>
        <v>293</v>
      </c>
      <c r="P195" s="1">
        <f ca="1">IFERROR(__xludf.DUMMYFUNCTION("""COMPUTED_VALUE"""),100.7)</f>
        <v>100.7</v>
      </c>
      <c r="Q195" s="1">
        <f ca="1">IFERROR(__xludf.DUMMYFUNCTION("""COMPUTED_VALUE"""),280)</f>
        <v>280</v>
      </c>
      <c r="R195" s="1">
        <f ca="1">IFERROR(__xludf.DUMMYFUNCTION("""COMPUTED_VALUE"""),107.8)</f>
        <v>107.8</v>
      </c>
      <c r="S195" s="1">
        <f ca="1">IFERROR(__xludf.DUMMYFUNCTION("""COMPUTED_VALUE"""),296)</f>
        <v>296</v>
      </c>
      <c r="T195" s="1" t="str">
        <f ca="1">IFERROR(__xludf.DUMMYFUNCTION("""COMPUTED_VALUE"""),"+1.73")</f>
        <v>+1.73</v>
      </c>
      <c r="U195" s="1">
        <f ca="1">IFERROR(__xludf.DUMMYFUNCTION("""COMPUTED_VALUE"""),108)</f>
        <v>108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IFERROR(__xludf.DUMMYFUNCTION("""COMPUTED_VALUE"""),"Niagara16")</f>
        <v>Niagara16</v>
      </c>
      <c r="C196" s="1" t="str">
        <f ca="1">IFERROR(__xludf.DUMMYFUNCTION("""COMPUTED_VALUE"""),"MAAC")</f>
        <v>MAAC</v>
      </c>
      <c r="D196" s="1" t="str">
        <f ca="1">IFERROR(__xludf.DUMMYFUNCTION("""COMPUTED_VALUE"""),"23-12")</f>
        <v>23-12</v>
      </c>
      <c r="E196" s="1">
        <f ca="1">IFERROR(__xludf.DUMMYFUNCTION("""COMPUTED_VALUE"""),-2.76)</f>
        <v>-2.76</v>
      </c>
      <c r="F196" s="1">
        <f ca="1">IFERROR(__xludf.DUMMYFUNCTION("""COMPUTED_VALUE"""),107.2)</f>
        <v>107.2</v>
      </c>
      <c r="G196" s="1">
        <f ca="1">IFERROR(__xludf.DUMMYFUNCTION("""COMPUTED_VALUE"""),119)</f>
        <v>119</v>
      </c>
      <c r="H196" s="1">
        <f ca="1">IFERROR(__xludf.DUMMYFUNCTION("""COMPUTED_VALUE"""),110)</f>
        <v>110</v>
      </c>
      <c r="I196" s="1">
        <f ca="1">IFERROR(__xludf.DUMMYFUNCTION("""COMPUTED_VALUE"""),271)</f>
        <v>271</v>
      </c>
      <c r="J196" s="1">
        <f ca="1">IFERROR(__xludf.DUMMYFUNCTION("""COMPUTED_VALUE"""),68.3)</f>
        <v>68.3</v>
      </c>
      <c r="K196" s="1">
        <f ca="1">IFERROR(__xludf.DUMMYFUNCTION("""COMPUTED_VALUE"""),72)</f>
        <v>72</v>
      </c>
      <c r="L196" s="1" t="str">
        <f ca="1">IFERROR(__xludf.DUMMYFUNCTION("""COMPUTED_VALUE"""),"+.118")</f>
        <v>+.118</v>
      </c>
      <c r="M196" s="1">
        <f ca="1">IFERROR(__xludf.DUMMYFUNCTION("""COMPUTED_VALUE"""),3)</f>
        <v>3</v>
      </c>
      <c r="N196" s="1">
        <f ca="1">IFERROR(__xludf.DUMMYFUNCTION("""COMPUTED_VALUE"""),-6.17)</f>
        <v>-6.17</v>
      </c>
      <c r="O196" s="1">
        <f ca="1">IFERROR(__xludf.DUMMYFUNCTION("""COMPUTED_VALUE"""),276)</f>
        <v>276</v>
      </c>
      <c r="P196" s="1">
        <f ca="1">IFERROR(__xludf.DUMMYFUNCTION("""COMPUTED_VALUE"""),101.3)</f>
        <v>101.3</v>
      </c>
      <c r="Q196" s="1">
        <f ca="1">IFERROR(__xludf.DUMMYFUNCTION("""COMPUTED_VALUE"""),260)</f>
        <v>260</v>
      </c>
      <c r="R196" s="1">
        <f ca="1">IFERROR(__xludf.DUMMYFUNCTION("""COMPUTED_VALUE"""),107.5)</f>
        <v>107.5</v>
      </c>
      <c r="S196" s="1">
        <f ca="1">IFERROR(__xludf.DUMMYFUNCTION("""COMPUTED_VALUE"""),278)</f>
        <v>278</v>
      </c>
      <c r="T196" s="1">
        <f ca="1">IFERROR(__xludf.DUMMYFUNCTION("""COMPUTED_VALUE"""),-5.19)</f>
        <v>-5.19</v>
      </c>
      <c r="U196" s="1">
        <f ca="1">IFERROR(__xludf.DUMMYFUNCTION("""COMPUTED_VALUE"""),284)</f>
        <v>284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IFERROR(__xludf.DUMMYFUNCTION("""COMPUTED_VALUE"""),"Lipscomb")</f>
        <v>Lipscomb</v>
      </c>
      <c r="C197" s="1" t="str">
        <f ca="1">IFERROR(__xludf.DUMMYFUNCTION("""COMPUTED_VALUE"""),"ASun")</f>
        <v>ASun</v>
      </c>
      <c r="D197" s="1" t="str">
        <f ca="1">IFERROR(__xludf.DUMMYFUNCTION("""COMPUTED_VALUE"""),"18-13")</f>
        <v>18-13</v>
      </c>
      <c r="E197" s="1">
        <f ca="1">IFERROR(__xludf.DUMMYFUNCTION("""COMPUTED_VALUE"""),-2.77)</f>
        <v>-2.77</v>
      </c>
      <c r="F197" s="1">
        <f ca="1">IFERROR(__xludf.DUMMYFUNCTION("""COMPUTED_VALUE"""),103.9)</f>
        <v>103.9</v>
      </c>
      <c r="G197" s="1">
        <f ca="1">IFERROR(__xludf.DUMMYFUNCTION("""COMPUTED_VALUE"""),173)</f>
        <v>173</v>
      </c>
      <c r="H197" s="1">
        <f ca="1">IFERROR(__xludf.DUMMYFUNCTION("""COMPUTED_VALUE"""),106.6)</f>
        <v>106.6</v>
      </c>
      <c r="I197" s="1">
        <f ca="1">IFERROR(__xludf.DUMMYFUNCTION("""COMPUTED_VALUE"""),205)</f>
        <v>205</v>
      </c>
      <c r="J197" s="1">
        <f ca="1">IFERROR(__xludf.DUMMYFUNCTION("""COMPUTED_VALUE"""),61.4)</f>
        <v>61.4</v>
      </c>
      <c r="K197" s="1">
        <f ca="1">IFERROR(__xludf.DUMMYFUNCTION("""COMPUTED_VALUE"""),307)</f>
        <v>307</v>
      </c>
      <c r="L197" s="1">
        <f ca="1">IFERROR(__xludf.DUMMYFUNCTION("""COMPUTED_VALUE"""),-0.017)</f>
        <v>-1.7000000000000001E-2</v>
      </c>
      <c r="M197" s="1">
        <f ca="1">IFERROR(__xludf.DUMMYFUNCTION("""COMPUTED_VALUE"""),219)</f>
        <v>219</v>
      </c>
      <c r="N197" s="1">
        <f ca="1">IFERROR(__xludf.DUMMYFUNCTION("""COMPUTED_VALUE"""),-6.77)</f>
        <v>-6.77</v>
      </c>
      <c r="O197" s="1">
        <f ca="1">IFERROR(__xludf.DUMMYFUNCTION("""COMPUTED_VALUE"""),288)</f>
        <v>288</v>
      </c>
      <c r="P197" s="1">
        <f ca="1">IFERROR(__xludf.DUMMYFUNCTION("""COMPUTED_VALUE"""),100.8)</f>
        <v>100.8</v>
      </c>
      <c r="Q197" s="1">
        <f ca="1">IFERROR(__xludf.DUMMYFUNCTION("""COMPUTED_VALUE"""),275)</f>
        <v>275</v>
      </c>
      <c r="R197" s="1">
        <f ca="1">IFERROR(__xludf.DUMMYFUNCTION("""COMPUTED_VALUE"""),107.6)</f>
        <v>107.6</v>
      </c>
      <c r="S197" s="1">
        <f ca="1">IFERROR(__xludf.DUMMYFUNCTION("""COMPUTED_VALUE"""),289)</f>
        <v>289</v>
      </c>
      <c r="T197" s="1" t="str">
        <f ca="1">IFERROR(__xludf.DUMMYFUNCTION("""COMPUTED_VALUE"""),"+5.49")</f>
        <v>+5.49</v>
      </c>
      <c r="U197" s="1">
        <f ca="1">IFERROR(__xludf.DUMMYFUNCTION("""COMPUTED_VALUE"""),44)</f>
        <v>44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IFERROR(__xludf.DUMMYFUNCTION("""COMPUTED_VALUE"""),"Northeastern")</f>
        <v>Northeastern</v>
      </c>
      <c r="C198" s="1" t="str">
        <f ca="1">IFERROR(__xludf.DUMMYFUNCTION("""COMPUTED_VALUE"""),"CAA")</f>
        <v>CAA</v>
      </c>
      <c r="D198" s="1" t="str">
        <f ca="1">IFERROR(__xludf.DUMMYFUNCTION("""COMPUTED_VALUE"""),"13-19")</f>
        <v>13-19</v>
      </c>
      <c r="E198" s="1">
        <f ca="1">IFERROR(__xludf.DUMMYFUNCTION("""COMPUTED_VALUE"""),-2.8)</f>
        <v>-2.8</v>
      </c>
      <c r="F198" s="1">
        <f ca="1">IFERROR(__xludf.DUMMYFUNCTION("""COMPUTED_VALUE"""),101.2)</f>
        <v>101.2</v>
      </c>
      <c r="G198" s="1">
        <f ca="1">IFERROR(__xludf.DUMMYFUNCTION("""COMPUTED_VALUE"""),218)</f>
        <v>218</v>
      </c>
      <c r="H198" s="1">
        <f ca="1">IFERROR(__xludf.DUMMYFUNCTION("""COMPUTED_VALUE"""),104)</f>
        <v>104</v>
      </c>
      <c r="I198" s="1">
        <f ca="1">IFERROR(__xludf.DUMMYFUNCTION("""COMPUTED_VALUE"""),153)</f>
        <v>153</v>
      </c>
      <c r="J198" s="1">
        <f ca="1">IFERROR(__xludf.DUMMYFUNCTION("""COMPUTED_VALUE"""),64.6)</f>
        <v>64.599999999999994</v>
      </c>
      <c r="K198" s="1">
        <f ca="1">IFERROR(__xludf.DUMMYFUNCTION("""COMPUTED_VALUE"""),211)</f>
        <v>211</v>
      </c>
      <c r="L198" s="1" t="str">
        <f ca="1">IFERROR(__xludf.DUMMYFUNCTION("""COMPUTED_VALUE"""),"+.014")</f>
        <v>+.014</v>
      </c>
      <c r="M198" s="1">
        <f ca="1">IFERROR(__xludf.DUMMYFUNCTION("""COMPUTED_VALUE"""),151)</f>
        <v>151</v>
      </c>
      <c r="N198" s="1" t="str">
        <f ca="1">IFERROR(__xludf.DUMMYFUNCTION("""COMPUTED_VALUE"""),"+1.98")</f>
        <v>+1.98</v>
      </c>
      <c r="O198" s="1">
        <f ca="1">IFERROR(__xludf.DUMMYFUNCTION("""COMPUTED_VALUE"""),123)</f>
        <v>123</v>
      </c>
      <c r="P198" s="1">
        <f ca="1">IFERROR(__xludf.DUMMYFUNCTION("""COMPUTED_VALUE"""),105.7)</f>
        <v>105.7</v>
      </c>
      <c r="Q198" s="1">
        <f ca="1">IFERROR(__xludf.DUMMYFUNCTION("""COMPUTED_VALUE"""),115)</f>
        <v>115</v>
      </c>
      <c r="R198" s="1">
        <f ca="1">IFERROR(__xludf.DUMMYFUNCTION("""COMPUTED_VALUE"""),103.7)</f>
        <v>103.7</v>
      </c>
      <c r="S198" s="1">
        <f ca="1">IFERROR(__xludf.DUMMYFUNCTION("""COMPUTED_VALUE"""),133)</f>
        <v>133</v>
      </c>
      <c r="T198" s="1" t="str">
        <f ca="1">IFERROR(__xludf.DUMMYFUNCTION("""COMPUTED_VALUE"""),"+7.94")</f>
        <v>+7.94</v>
      </c>
      <c r="U198" s="1">
        <f ca="1">IFERROR(__xludf.DUMMYFUNCTION("""COMPUTED_VALUE"""),26)</f>
        <v>26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IFERROR(__xludf.DUMMYFUNCTION("""COMPUTED_VALUE"""),"Cornell")</f>
        <v>Cornell</v>
      </c>
      <c r="C199" s="1" t="str">
        <f ca="1">IFERROR(__xludf.DUMMYFUNCTION("""COMPUTED_VALUE"""),"Ivy")</f>
        <v>Ivy</v>
      </c>
      <c r="D199" s="1" t="str">
        <f ca="1">IFERROR(__xludf.DUMMYFUNCTION("""COMPUTED_VALUE"""),"16-12")</f>
        <v>16-12</v>
      </c>
      <c r="E199" s="1">
        <f ca="1">IFERROR(__xludf.DUMMYFUNCTION("""COMPUTED_VALUE"""),-2.93)</f>
        <v>-2.93</v>
      </c>
      <c r="F199" s="1">
        <f ca="1">IFERROR(__xludf.DUMMYFUNCTION("""COMPUTED_VALUE"""),104.3)</f>
        <v>104.3</v>
      </c>
      <c r="G199" s="1">
        <f ca="1">IFERROR(__xludf.DUMMYFUNCTION("""COMPUTED_VALUE"""),168)</f>
        <v>168</v>
      </c>
      <c r="H199" s="1">
        <f ca="1">IFERROR(__xludf.DUMMYFUNCTION("""COMPUTED_VALUE"""),107.3)</f>
        <v>107.3</v>
      </c>
      <c r="I199" s="1">
        <f ca="1">IFERROR(__xludf.DUMMYFUNCTION("""COMPUTED_VALUE"""),220)</f>
        <v>220</v>
      </c>
      <c r="J199" s="1">
        <f ca="1">IFERROR(__xludf.DUMMYFUNCTION("""COMPUTED_VALUE"""),63.2)</f>
        <v>63.2</v>
      </c>
      <c r="K199" s="1">
        <f ca="1">IFERROR(__xludf.DUMMYFUNCTION("""COMPUTED_VALUE"""),268)</f>
        <v>268</v>
      </c>
      <c r="L199" s="1" t="str">
        <f ca="1">IFERROR(__xludf.DUMMYFUNCTION("""COMPUTED_VALUE"""),"+.000")</f>
        <v>+.000</v>
      </c>
      <c r="M199" s="1">
        <f ca="1">IFERROR(__xludf.DUMMYFUNCTION("""COMPUTED_VALUE"""),181)</f>
        <v>181</v>
      </c>
      <c r="N199" s="1">
        <f ca="1">IFERROR(__xludf.DUMMYFUNCTION("""COMPUTED_VALUE"""),-6)</f>
        <v>-6</v>
      </c>
      <c r="O199" s="1">
        <f ca="1">IFERROR(__xludf.DUMMYFUNCTION("""COMPUTED_VALUE"""),271)</f>
        <v>271</v>
      </c>
      <c r="P199" s="1">
        <f ca="1">IFERROR(__xludf.DUMMYFUNCTION("""COMPUTED_VALUE"""),100.3)</f>
        <v>100.3</v>
      </c>
      <c r="Q199" s="1">
        <f ca="1">IFERROR(__xludf.DUMMYFUNCTION("""COMPUTED_VALUE"""),296)</f>
        <v>296</v>
      </c>
      <c r="R199" s="1">
        <f ca="1">IFERROR(__xludf.DUMMYFUNCTION("""COMPUTED_VALUE"""),106.3)</f>
        <v>106.3</v>
      </c>
      <c r="S199" s="1">
        <f ca="1">IFERROR(__xludf.DUMMYFUNCTION("""COMPUTED_VALUE"""),231)</f>
        <v>231</v>
      </c>
      <c r="T199" s="1">
        <f ca="1">IFERROR(__xludf.DUMMYFUNCTION("""COMPUTED_VALUE"""),-5.38)</f>
        <v>-5.38</v>
      </c>
      <c r="U199" s="1">
        <f ca="1">IFERROR(__xludf.DUMMYFUNCTION("""COMPUTED_VALUE"""),287)</f>
        <v>287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IFERROR(__xludf.DUMMYFUNCTION("""COMPUTED_VALUE"""),"Marshall")</f>
        <v>Marshall</v>
      </c>
      <c r="C200" s="1" t="str">
        <f ca="1">IFERROR(__xludf.DUMMYFUNCTION("""COMPUTED_VALUE"""),"CUSA")</f>
        <v>CUSA</v>
      </c>
      <c r="D200" s="1" t="str">
        <f ca="1">IFERROR(__xludf.DUMMYFUNCTION("""COMPUTED_VALUE"""),"13-19")</f>
        <v>13-19</v>
      </c>
      <c r="E200" s="1">
        <f ca="1">IFERROR(__xludf.DUMMYFUNCTION("""COMPUTED_VALUE"""),-2.97)</f>
        <v>-2.97</v>
      </c>
      <c r="F200" s="1">
        <f ca="1">IFERROR(__xludf.DUMMYFUNCTION("""COMPUTED_VALUE"""),100.7)</f>
        <v>100.7</v>
      </c>
      <c r="G200" s="1">
        <f ca="1">IFERROR(__xludf.DUMMYFUNCTION("""COMPUTED_VALUE"""),223)</f>
        <v>223</v>
      </c>
      <c r="H200" s="1">
        <f ca="1">IFERROR(__xludf.DUMMYFUNCTION("""COMPUTED_VALUE"""),103.7)</f>
        <v>103.7</v>
      </c>
      <c r="I200" s="1">
        <f ca="1">IFERROR(__xludf.DUMMYFUNCTION("""COMPUTED_VALUE"""),151)</f>
        <v>151</v>
      </c>
      <c r="J200" s="1">
        <f ca="1">IFERROR(__xludf.DUMMYFUNCTION("""COMPUTED_VALUE"""),67.2)</f>
        <v>67.2</v>
      </c>
      <c r="K200" s="1">
        <f ca="1">IFERROR(__xludf.DUMMYFUNCTION("""COMPUTED_VALUE"""),108)</f>
        <v>108</v>
      </c>
      <c r="L200" s="1" t="str">
        <f ca="1">IFERROR(__xludf.DUMMYFUNCTION("""COMPUTED_VALUE"""),"+.074")</f>
        <v>+.074</v>
      </c>
      <c r="M200" s="1">
        <f ca="1">IFERROR(__xludf.DUMMYFUNCTION("""COMPUTED_VALUE"""),28)</f>
        <v>28</v>
      </c>
      <c r="N200" s="1" t="str">
        <f ca="1">IFERROR(__xludf.DUMMYFUNCTION("""COMPUTED_VALUE"""),"+2.07")</f>
        <v>+2.07</v>
      </c>
      <c r="O200" s="1">
        <f ca="1">IFERROR(__xludf.DUMMYFUNCTION("""COMPUTED_VALUE"""),119)</f>
        <v>119</v>
      </c>
      <c r="P200" s="1">
        <f ca="1">IFERROR(__xludf.DUMMYFUNCTION("""COMPUTED_VALUE"""),104.6)</f>
        <v>104.6</v>
      </c>
      <c r="Q200" s="1">
        <f ca="1">IFERROR(__xludf.DUMMYFUNCTION("""COMPUTED_VALUE"""),149)</f>
        <v>149</v>
      </c>
      <c r="R200" s="1">
        <f ca="1">IFERROR(__xludf.DUMMYFUNCTION("""COMPUTED_VALUE"""),102.5)</f>
        <v>102.5</v>
      </c>
      <c r="S200" s="1">
        <f ca="1">IFERROR(__xludf.DUMMYFUNCTION("""COMPUTED_VALUE"""),101)</f>
        <v>101</v>
      </c>
      <c r="T200" s="1" t="str">
        <f ca="1">IFERROR(__xludf.DUMMYFUNCTION("""COMPUTED_VALUE"""),"+0.83")</f>
        <v>+0.83</v>
      </c>
      <c r="U200" s="1">
        <f ca="1">IFERROR(__xludf.DUMMYFUNCTION("""COMPUTED_VALUE"""),133)</f>
        <v>133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IFERROR(__xludf.DUMMYFUNCTION("""COMPUTED_VALUE"""),"Loyola MD")</f>
        <v>Loyola MD</v>
      </c>
      <c r="C201" s="1" t="str">
        <f ca="1">IFERROR(__xludf.DUMMYFUNCTION("""COMPUTED_VALUE"""),"MAAC")</f>
        <v>MAAC</v>
      </c>
      <c r="D201" s="1" t="str">
        <f ca="1">IFERROR(__xludf.DUMMYFUNCTION("""COMPUTED_VALUE"""),"18-13")</f>
        <v>18-13</v>
      </c>
      <c r="E201" s="1">
        <f ca="1">IFERROR(__xludf.DUMMYFUNCTION("""COMPUTED_VALUE"""),-3.14)</f>
        <v>-3.14</v>
      </c>
      <c r="F201" s="1">
        <f ca="1">IFERROR(__xludf.DUMMYFUNCTION("""COMPUTED_VALUE"""),107.2)</f>
        <v>107.2</v>
      </c>
      <c r="G201" s="1">
        <f ca="1">IFERROR(__xludf.DUMMYFUNCTION("""COMPUTED_VALUE"""),120)</f>
        <v>120</v>
      </c>
      <c r="H201" s="1">
        <f ca="1">IFERROR(__xludf.DUMMYFUNCTION("""COMPUTED_VALUE"""),110.3)</f>
        <v>110.3</v>
      </c>
      <c r="I201" s="1">
        <f ca="1">IFERROR(__xludf.DUMMYFUNCTION("""COMPUTED_VALUE"""),278)</f>
        <v>278</v>
      </c>
      <c r="J201" s="1">
        <f ca="1">IFERROR(__xludf.DUMMYFUNCTION("""COMPUTED_VALUE"""),65.8)</f>
        <v>65.8</v>
      </c>
      <c r="K201" s="1">
        <f ca="1">IFERROR(__xludf.DUMMYFUNCTION("""COMPUTED_VALUE"""),164)</f>
        <v>164</v>
      </c>
      <c r="L201" s="1" t="str">
        <f ca="1">IFERROR(__xludf.DUMMYFUNCTION("""COMPUTED_VALUE"""),"+.002")</f>
        <v>+.002</v>
      </c>
      <c r="M201" s="1">
        <f ca="1">IFERROR(__xludf.DUMMYFUNCTION("""COMPUTED_VALUE"""),173)</f>
        <v>173</v>
      </c>
      <c r="N201" s="1">
        <f ca="1">IFERROR(__xludf.DUMMYFUNCTION("""COMPUTED_VALUE"""),-6.76)</f>
        <v>-6.76</v>
      </c>
      <c r="O201" s="1">
        <f ca="1">IFERROR(__xludf.DUMMYFUNCTION("""COMPUTED_VALUE"""),287)</f>
        <v>287</v>
      </c>
      <c r="P201" s="1">
        <f ca="1">IFERROR(__xludf.DUMMYFUNCTION("""COMPUTED_VALUE"""),100.2)</f>
        <v>100.2</v>
      </c>
      <c r="Q201" s="1">
        <f ca="1">IFERROR(__xludf.DUMMYFUNCTION("""COMPUTED_VALUE"""),299)</f>
        <v>299</v>
      </c>
      <c r="R201" s="1">
        <f ca="1">IFERROR(__xludf.DUMMYFUNCTION("""COMPUTED_VALUE"""),107)</f>
        <v>107</v>
      </c>
      <c r="S201" s="1">
        <f ca="1">IFERROR(__xludf.DUMMYFUNCTION("""COMPUTED_VALUE"""),258)</f>
        <v>258</v>
      </c>
      <c r="T201" s="1">
        <f ca="1">IFERROR(__xludf.DUMMYFUNCTION("""COMPUTED_VALUE"""),-5.36)</f>
        <v>-5.36</v>
      </c>
      <c r="U201" s="1">
        <f ca="1">IFERROR(__xludf.DUMMYFUNCTION("""COMPUTED_VALUE"""),286)</f>
        <v>286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IFERROR(__xludf.DUMMYFUNCTION("""COMPUTED_VALUE"""),"Montana")</f>
        <v>Montana</v>
      </c>
      <c r="C202" s="1" t="str">
        <f ca="1">IFERROR(__xludf.DUMMYFUNCTION("""COMPUTED_VALUE"""),"BSky")</f>
        <v>BSky</v>
      </c>
      <c r="D202" s="1" t="str">
        <f ca="1">IFERROR(__xludf.DUMMYFUNCTION("""COMPUTED_VALUE"""),"17-15")</f>
        <v>17-15</v>
      </c>
      <c r="E202" s="1">
        <f ca="1">IFERROR(__xludf.DUMMYFUNCTION("""COMPUTED_VALUE"""),-3.27)</f>
        <v>-3.27</v>
      </c>
      <c r="F202" s="1">
        <f ca="1">IFERROR(__xludf.DUMMYFUNCTION("""COMPUTED_VALUE"""),107.3)</f>
        <v>107.3</v>
      </c>
      <c r="G202" s="1">
        <f ca="1">IFERROR(__xludf.DUMMYFUNCTION("""COMPUTED_VALUE"""),118)</f>
        <v>118</v>
      </c>
      <c r="H202" s="1">
        <f ca="1">IFERROR(__xludf.DUMMYFUNCTION("""COMPUTED_VALUE"""),110.5)</f>
        <v>110.5</v>
      </c>
      <c r="I202" s="1">
        <f ca="1">IFERROR(__xludf.DUMMYFUNCTION("""COMPUTED_VALUE"""),287)</f>
        <v>287</v>
      </c>
      <c r="J202" s="1">
        <f ca="1">IFERROR(__xludf.DUMMYFUNCTION("""COMPUTED_VALUE"""),62.8)</f>
        <v>62.8</v>
      </c>
      <c r="K202" s="1">
        <f ca="1">IFERROR(__xludf.DUMMYFUNCTION("""COMPUTED_VALUE"""),288)</f>
        <v>288</v>
      </c>
      <c r="L202" s="1">
        <f ca="1">IFERROR(__xludf.DUMMYFUNCTION("""COMPUTED_VALUE"""),-0.008)</f>
        <v>-8.0000000000000002E-3</v>
      </c>
      <c r="M202" s="1">
        <f ca="1">IFERROR(__xludf.DUMMYFUNCTION("""COMPUTED_VALUE"""),198)</f>
        <v>198</v>
      </c>
      <c r="N202" s="1">
        <f ca="1">IFERROR(__xludf.DUMMYFUNCTION("""COMPUTED_VALUE"""),-4.19)</f>
        <v>-4.1900000000000004</v>
      </c>
      <c r="O202" s="1">
        <f ca="1">IFERROR(__xludf.DUMMYFUNCTION("""COMPUTED_VALUE"""),228)</f>
        <v>228</v>
      </c>
      <c r="P202" s="1">
        <f ca="1">IFERROR(__xludf.DUMMYFUNCTION("""COMPUTED_VALUE"""),103.5)</f>
        <v>103.5</v>
      </c>
      <c r="Q202" s="1">
        <f ca="1">IFERROR(__xludf.DUMMYFUNCTION("""COMPUTED_VALUE"""),183)</f>
        <v>183</v>
      </c>
      <c r="R202" s="1">
        <f ca="1">IFERROR(__xludf.DUMMYFUNCTION("""COMPUTED_VALUE"""),107.7)</f>
        <v>107.7</v>
      </c>
      <c r="S202" s="1">
        <f ca="1">IFERROR(__xludf.DUMMYFUNCTION("""COMPUTED_VALUE"""),293)</f>
        <v>293</v>
      </c>
      <c r="T202" s="1" t="str">
        <f ca="1">IFERROR(__xludf.DUMMYFUNCTION("""COMPUTED_VALUE"""),"+0.42")</f>
        <v>+0.42</v>
      </c>
      <c r="U202" s="1">
        <f ca="1">IFERROR(__xludf.DUMMYFUNCTION("""COMPUTED_VALUE"""),147)</f>
        <v>147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IFERROR(__xludf.DUMMYFUNCTION("""COMPUTED_VALUE"""),"Furman")</f>
        <v>Furman</v>
      </c>
      <c r="C203" s="1" t="str">
        <f ca="1">IFERROR(__xludf.DUMMYFUNCTION("""COMPUTED_VALUE"""),"SC")</f>
        <v>SC</v>
      </c>
      <c r="D203" s="1" t="str">
        <f ca="1">IFERROR(__xludf.DUMMYFUNCTION("""COMPUTED_VALUE"""),"15-16")</f>
        <v>15-16</v>
      </c>
      <c r="E203" s="1">
        <f ca="1">IFERROR(__xludf.DUMMYFUNCTION("""COMPUTED_VALUE"""),-3.55)</f>
        <v>-3.55</v>
      </c>
      <c r="F203" s="1">
        <f ca="1">IFERROR(__xludf.DUMMYFUNCTION("""COMPUTED_VALUE"""),103.8)</f>
        <v>103.8</v>
      </c>
      <c r="G203" s="1">
        <f ca="1">IFERROR(__xludf.DUMMYFUNCTION("""COMPUTED_VALUE"""),175)</f>
        <v>175</v>
      </c>
      <c r="H203" s="1">
        <f ca="1">IFERROR(__xludf.DUMMYFUNCTION("""COMPUTED_VALUE"""),107.4)</f>
        <v>107.4</v>
      </c>
      <c r="I203" s="1">
        <f ca="1">IFERROR(__xludf.DUMMYFUNCTION("""COMPUTED_VALUE"""),221)</f>
        <v>221</v>
      </c>
      <c r="J203" s="1">
        <f ca="1">IFERROR(__xludf.DUMMYFUNCTION("""COMPUTED_VALUE"""),63.1)</f>
        <v>63.1</v>
      </c>
      <c r="K203" s="1">
        <f ca="1">IFERROR(__xludf.DUMMYFUNCTION("""COMPUTED_VALUE"""),276)</f>
        <v>276</v>
      </c>
      <c r="L203" s="1" t="str">
        <f ca="1">IFERROR(__xludf.DUMMYFUNCTION("""COMPUTED_VALUE"""),"+.018")</f>
        <v>+.018</v>
      </c>
      <c r="M203" s="1">
        <f ca="1">IFERROR(__xludf.DUMMYFUNCTION("""COMPUTED_VALUE"""),135)</f>
        <v>135</v>
      </c>
      <c r="N203" s="1">
        <f ca="1">IFERROR(__xludf.DUMMYFUNCTION("""COMPUTED_VALUE"""),-0.88)</f>
        <v>-0.88</v>
      </c>
      <c r="O203" s="1">
        <f ca="1">IFERROR(__xludf.DUMMYFUNCTION("""COMPUTED_VALUE"""),168)</f>
        <v>168</v>
      </c>
      <c r="P203" s="1">
        <f ca="1">IFERROR(__xludf.DUMMYFUNCTION("""COMPUTED_VALUE"""),103.9)</f>
        <v>103.9</v>
      </c>
      <c r="Q203" s="1">
        <f ca="1">IFERROR(__xludf.DUMMYFUNCTION("""COMPUTED_VALUE"""),172)</f>
        <v>172</v>
      </c>
      <c r="R203" s="1">
        <f ca="1">IFERROR(__xludf.DUMMYFUNCTION("""COMPUTED_VALUE"""),104.8)</f>
        <v>104.8</v>
      </c>
      <c r="S203" s="1">
        <f ca="1">IFERROR(__xludf.DUMMYFUNCTION("""COMPUTED_VALUE"""),164)</f>
        <v>164</v>
      </c>
      <c r="T203" s="1" t="str">
        <f ca="1">IFERROR(__xludf.DUMMYFUNCTION("""COMPUTED_VALUE"""),"+2.06")</f>
        <v>+2.06</v>
      </c>
      <c r="U203" s="1">
        <f ca="1">IFERROR(__xludf.DUMMYFUNCTION("""COMPUTED_VALUE"""),98)</f>
        <v>98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IFERROR(__xludf.DUMMYFUNCTION("""COMPUTED_VALUE"""),"Boston University")</f>
        <v>Boston University</v>
      </c>
      <c r="C204" s="1" t="str">
        <f ca="1">IFERROR(__xludf.DUMMYFUNCTION("""COMPUTED_VALUE"""),"AE")</f>
        <v>AE</v>
      </c>
      <c r="D204" s="2">
        <f ca="1">IFERROR(__xludf.DUMMYFUNCTION("""COMPUTED_VALUE"""),44913)</f>
        <v>44913</v>
      </c>
      <c r="E204" s="1">
        <f ca="1">IFERROR(__xludf.DUMMYFUNCTION("""COMPUTED_VALUE"""),-3.78)</f>
        <v>-3.78</v>
      </c>
      <c r="F204" s="1">
        <f ca="1">IFERROR(__xludf.DUMMYFUNCTION("""COMPUTED_VALUE"""),99.4)</f>
        <v>99.4</v>
      </c>
      <c r="G204" s="1">
        <f ca="1">IFERROR(__xludf.DUMMYFUNCTION("""COMPUTED_VALUE"""),245)</f>
        <v>245</v>
      </c>
      <c r="H204" s="1">
        <f ca="1">IFERROR(__xludf.DUMMYFUNCTION("""COMPUTED_VALUE"""),103.2)</f>
        <v>103.2</v>
      </c>
      <c r="I204" s="1">
        <f ca="1">IFERROR(__xludf.DUMMYFUNCTION("""COMPUTED_VALUE"""),143)</f>
        <v>143</v>
      </c>
      <c r="J204" s="1">
        <f ca="1">IFERROR(__xludf.DUMMYFUNCTION("""COMPUTED_VALUE"""),59.4)</f>
        <v>59.4</v>
      </c>
      <c r="K204" s="1">
        <f ca="1">IFERROR(__xludf.DUMMYFUNCTION("""COMPUTED_VALUE"""),326)</f>
        <v>326</v>
      </c>
      <c r="L204" s="1">
        <f ca="1">IFERROR(__xludf.DUMMYFUNCTION("""COMPUTED_VALUE"""),-0.102)</f>
        <v>-0.10199999999999999</v>
      </c>
      <c r="M204" s="1">
        <f ca="1">IFERROR(__xludf.DUMMYFUNCTION("""COMPUTED_VALUE"""),330)</f>
        <v>330</v>
      </c>
      <c r="N204" s="1">
        <f ca="1">IFERROR(__xludf.DUMMYFUNCTION("""COMPUTED_VALUE"""),-4.33)</f>
        <v>-4.33</v>
      </c>
      <c r="O204" s="1">
        <f ca="1">IFERROR(__xludf.DUMMYFUNCTION("""COMPUTED_VALUE"""),232)</f>
        <v>232</v>
      </c>
      <c r="P204" s="1">
        <f ca="1">IFERROR(__xludf.DUMMYFUNCTION("""COMPUTED_VALUE"""),101.8)</f>
        <v>101.8</v>
      </c>
      <c r="Q204" s="1">
        <f ca="1">IFERROR(__xludf.DUMMYFUNCTION("""COMPUTED_VALUE"""),243)</f>
        <v>243</v>
      </c>
      <c r="R204" s="1">
        <f ca="1">IFERROR(__xludf.DUMMYFUNCTION("""COMPUTED_VALUE"""),106.1)</f>
        <v>106.1</v>
      </c>
      <c r="S204" s="1">
        <f ca="1">IFERROR(__xludf.DUMMYFUNCTION("""COMPUTED_VALUE"""),221)</f>
        <v>221</v>
      </c>
      <c r="T204" s="1" t="str">
        <f ca="1">IFERROR(__xludf.DUMMYFUNCTION("""COMPUTED_VALUE"""),"+0.82")</f>
        <v>+0.82</v>
      </c>
      <c r="U204" s="1">
        <f ca="1">IFERROR(__xludf.DUMMYFUNCTION("""COMPUTED_VALUE"""),134)</f>
        <v>134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IFERROR(__xludf.DUMMYFUNCTION("""COMPUTED_VALUE"""),"Stephen F. Austin")</f>
        <v>Stephen F. Austin</v>
      </c>
      <c r="C205" s="1" t="str">
        <f ca="1">IFERROR(__xludf.DUMMYFUNCTION("""COMPUTED_VALUE"""),"Slnd")</f>
        <v>Slnd</v>
      </c>
      <c r="D205" s="1" t="str">
        <f ca="1">IFERROR(__xludf.DUMMYFUNCTION("""COMPUTED_VALUE"""),"15-14")</f>
        <v>15-14</v>
      </c>
      <c r="E205" s="1">
        <f ca="1">IFERROR(__xludf.DUMMYFUNCTION("""COMPUTED_VALUE"""),-3.79)</f>
        <v>-3.79</v>
      </c>
      <c r="F205" s="1">
        <f ca="1">IFERROR(__xludf.DUMMYFUNCTION("""COMPUTED_VALUE"""),98.2)</f>
        <v>98.2</v>
      </c>
      <c r="G205" s="1">
        <f ca="1">IFERROR(__xludf.DUMMYFUNCTION("""COMPUTED_VALUE"""),262)</f>
        <v>262</v>
      </c>
      <c r="H205" s="1">
        <f ca="1">IFERROR(__xludf.DUMMYFUNCTION("""COMPUTED_VALUE"""),102)</f>
        <v>102</v>
      </c>
      <c r="I205" s="1">
        <f ca="1">IFERROR(__xludf.DUMMYFUNCTION("""COMPUTED_VALUE"""),123)</f>
        <v>123</v>
      </c>
      <c r="J205" s="1">
        <f ca="1">IFERROR(__xludf.DUMMYFUNCTION("""COMPUTED_VALUE"""),60.5)</f>
        <v>60.5</v>
      </c>
      <c r="K205" s="1">
        <f ca="1">IFERROR(__xludf.DUMMYFUNCTION("""COMPUTED_VALUE"""),318)</f>
        <v>318</v>
      </c>
      <c r="L205" s="1">
        <f ca="1">IFERROR(__xludf.DUMMYFUNCTION("""COMPUTED_VALUE"""),-0.077)</f>
        <v>-7.6999999999999999E-2</v>
      </c>
      <c r="M205" s="1">
        <f ca="1">IFERROR(__xludf.DUMMYFUNCTION("""COMPUTED_VALUE"""),316)</f>
        <v>316</v>
      </c>
      <c r="N205" s="1">
        <f ca="1">IFERROR(__xludf.DUMMYFUNCTION("""COMPUTED_VALUE"""),-6)</f>
        <v>-6</v>
      </c>
      <c r="O205" s="1">
        <f ca="1">IFERROR(__xludf.DUMMYFUNCTION("""COMPUTED_VALUE"""),272)</f>
        <v>272</v>
      </c>
      <c r="P205" s="1">
        <f ca="1">IFERROR(__xludf.DUMMYFUNCTION("""COMPUTED_VALUE"""),101.1)</f>
        <v>101.1</v>
      </c>
      <c r="Q205" s="1">
        <f ca="1">IFERROR(__xludf.DUMMYFUNCTION("""COMPUTED_VALUE"""),265)</f>
        <v>265</v>
      </c>
      <c r="R205" s="1">
        <f ca="1">IFERROR(__xludf.DUMMYFUNCTION("""COMPUTED_VALUE"""),107.1)</f>
        <v>107.1</v>
      </c>
      <c r="S205" s="1">
        <f ca="1">IFERROR(__xludf.DUMMYFUNCTION("""COMPUTED_VALUE"""),262)</f>
        <v>262</v>
      </c>
      <c r="T205" s="1">
        <f ca="1">IFERROR(__xludf.DUMMYFUNCTION("""COMPUTED_VALUE"""),-2.78)</f>
        <v>-2.78</v>
      </c>
      <c r="U205" s="1">
        <f ca="1">IFERROR(__xludf.DUMMYFUNCTION("""COMPUTED_VALUE"""),222)</f>
        <v>222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IFERROR(__xludf.DUMMYFUNCTION("""COMPUTED_VALUE"""),"William &amp; Mary")</f>
        <v>William &amp; Mary</v>
      </c>
      <c r="C206" s="1" t="str">
        <f ca="1">IFERROR(__xludf.DUMMYFUNCTION("""COMPUTED_VALUE"""),"CAA")</f>
        <v>CAA</v>
      </c>
      <c r="D206" s="1" t="str">
        <f ca="1">IFERROR(__xludf.DUMMYFUNCTION("""COMPUTED_VALUE"""),"15-15")</f>
        <v>15-15</v>
      </c>
      <c r="E206" s="1">
        <f ca="1">IFERROR(__xludf.DUMMYFUNCTION("""COMPUTED_VALUE"""),-3.83)</f>
        <v>-3.83</v>
      </c>
      <c r="F206" s="1">
        <f ca="1">IFERROR(__xludf.DUMMYFUNCTION("""COMPUTED_VALUE"""),102.8)</f>
        <v>102.8</v>
      </c>
      <c r="G206" s="1">
        <f ca="1">IFERROR(__xludf.DUMMYFUNCTION("""COMPUTED_VALUE"""),188)</f>
        <v>188</v>
      </c>
      <c r="H206" s="1">
        <f ca="1">IFERROR(__xludf.DUMMYFUNCTION("""COMPUTED_VALUE"""),106.6)</f>
        <v>106.6</v>
      </c>
      <c r="I206" s="1">
        <f ca="1">IFERROR(__xludf.DUMMYFUNCTION("""COMPUTED_VALUE"""),204)</f>
        <v>204</v>
      </c>
      <c r="J206" s="1">
        <f ca="1">IFERROR(__xludf.DUMMYFUNCTION("""COMPUTED_VALUE"""),63.1)</f>
        <v>63.1</v>
      </c>
      <c r="K206" s="1">
        <f ca="1">IFERROR(__xludf.DUMMYFUNCTION("""COMPUTED_VALUE"""),272)</f>
        <v>272</v>
      </c>
      <c r="L206" s="1" t="str">
        <f ca="1">IFERROR(__xludf.DUMMYFUNCTION("""COMPUTED_VALUE"""),"+.019")</f>
        <v>+.019</v>
      </c>
      <c r="M206" s="1">
        <f ca="1">IFERROR(__xludf.DUMMYFUNCTION("""COMPUTED_VALUE"""),131)</f>
        <v>131</v>
      </c>
      <c r="N206" s="1">
        <f ca="1">IFERROR(__xludf.DUMMYFUNCTION("""COMPUTED_VALUE"""),-3.77)</f>
        <v>-3.77</v>
      </c>
      <c r="O206" s="1">
        <f ca="1">IFERROR(__xludf.DUMMYFUNCTION("""COMPUTED_VALUE"""),215)</f>
        <v>215</v>
      </c>
      <c r="P206" s="1">
        <f ca="1">IFERROR(__xludf.DUMMYFUNCTION("""COMPUTED_VALUE"""),102)</f>
        <v>102</v>
      </c>
      <c r="Q206" s="1">
        <f ca="1">IFERROR(__xludf.DUMMYFUNCTION("""COMPUTED_VALUE"""),234)</f>
        <v>234</v>
      </c>
      <c r="R206" s="1">
        <f ca="1">IFERROR(__xludf.DUMMYFUNCTION("""COMPUTED_VALUE"""),105.8)</f>
        <v>105.8</v>
      </c>
      <c r="S206" s="1">
        <f ca="1">IFERROR(__xludf.DUMMYFUNCTION("""COMPUTED_VALUE"""),202)</f>
        <v>202</v>
      </c>
      <c r="T206" s="1">
        <f ca="1">IFERROR(__xludf.DUMMYFUNCTION("""COMPUTED_VALUE"""),-10.88)</f>
        <v>-10.88</v>
      </c>
      <c r="U206" s="1">
        <f ca="1">IFERROR(__xludf.DUMMYFUNCTION("""COMPUTED_VALUE"""),332)</f>
        <v>332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IFERROR(__xludf.DUMMYFUNCTION("""COMPUTED_VALUE"""),"Louisiana Tech")</f>
        <v>Louisiana Tech</v>
      </c>
      <c r="C207" s="1" t="str">
        <f ca="1">IFERROR(__xludf.DUMMYFUNCTION("""COMPUTED_VALUE"""),"WAC")</f>
        <v>WAC</v>
      </c>
      <c r="D207" s="2">
        <f ca="1">IFERROR(__xludf.DUMMYFUNCTION("""COMPUTED_VALUE"""),44854)</f>
        <v>44854</v>
      </c>
      <c r="E207" s="1">
        <f ca="1">IFERROR(__xludf.DUMMYFUNCTION("""COMPUTED_VALUE"""),-3.89)</f>
        <v>-3.89</v>
      </c>
      <c r="F207" s="1">
        <f ca="1">IFERROR(__xludf.DUMMYFUNCTION("""COMPUTED_VALUE"""),99.8)</f>
        <v>99.8</v>
      </c>
      <c r="G207" s="1">
        <f ca="1">IFERROR(__xludf.DUMMYFUNCTION("""COMPUTED_VALUE"""),233)</f>
        <v>233</v>
      </c>
      <c r="H207" s="1">
        <f ca="1">IFERROR(__xludf.DUMMYFUNCTION("""COMPUTED_VALUE"""),103.7)</f>
        <v>103.7</v>
      </c>
      <c r="I207" s="1">
        <f ca="1">IFERROR(__xludf.DUMMYFUNCTION("""COMPUTED_VALUE"""),150)</f>
        <v>150</v>
      </c>
      <c r="J207" s="1">
        <f ca="1">IFERROR(__xludf.DUMMYFUNCTION("""COMPUTED_VALUE"""),65.8)</f>
        <v>65.8</v>
      </c>
      <c r="K207" s="1">
        <f ca="1">IFERROR(__xludf.DUMMYFUNCTION("""COMPUTED_VALUE"""),163)</f>
        <v>163</v>
      </c>
      <c r="L207" s="1">
        <f ca="1">IFERROR(__xludf.DUMMYFUNCTION("""COMPUTED_VALUE"""),-0.011)</f>
        <v>-1.0999999999999999E-2</v>
      </c>
      <c r="M207" s="1">
        <f ca="1">IFERROR(__xludf.DUMMYFUNCTION("""COMPUTED_VALUE"""),206)</f>
        <v>206</v>
      </c>
      <c r="N207" s="1" t="str">
        <f ca="1">IFERROR(__xludf.DUMMYFUNCTION("""COMPUTED_VALUE"""),"+2.90")</f>
        <v>+2.90</v>
      </c>
      <c r="O207" s="1">
        <f ca="1">IFERROR(__xludf.DUMMYFUNCTION("""COMPUTED_VALUE"""),107)</f>
        <v>107</v>
      </c>
      <c r="P207" s="1">
        <f ca="1">IFERROR(__xludf.DUMMYFUNCTION("""COMPUTED_VALUE"""),104.3)</f>
        <v>104.3</v>
      </c>
      <c r="Q207" s="1">
        <f ca="1">IFERROR(__xludf.DUMMYFUNCTION("""COMPUTED_VALUE"""),155)</f>
        <v>155</v>
      </c>
      <c r="R207" s="1">
        <f ca="1">IFERROR(__xludf.DUMMYFUNCTION("""COMPUTED_VALUE"""),101.5)</f>
        <v>101.5</v>
      </c>
      <c r="S207" s="1">
        <f ca="1">IFERROR(__xludf.DUMMYFUNCTION("""COMPUTED_VALUE"""),69)</f>
        <v>69</v>
      </c>
      <c r="T207" s="1" t="str">
        <f ca="1">IFERROR(__xludf.DUMMYFUNCTION("""COMPUTED_VALUE"""),"+1.19")</f>
        <v>+1.19</v>
      </c>
      <c r="U207" s="1">
        <f ca="1">IFERROR(__xludf.DUMMYFUNCTION("""COMPUTED_VALUE"""),123)</f>
        <v>123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IFERROR(__xludf.DUMMYFUNCTION("""COMPUTED_VALUE"""),"Buffalo")</f>
        <v>Buffalo</v>
      </c>
      <c r="C208" s="1" t="str">
        <f ca="1">IFERROR(__xludf.DUMMYFUNCTION("""COMPUTED_VALUE"""),"MAC")</f>
        <v>MAC</v>
      </c>
      <c r="D208" s="2">
        <f ca="1">IFERROR(__xludf.DUMMYFUNCTION("""COMPUTED_VALUE"""),44914)</f>
        <v>44914</v>
      </c>
      <c r="E208" s="1">
        <f ca="1">IFERROR(__xludf.DUMMYFUNCTION("""COMPUTED_VALUE"""),-4)</f>
        <v>-4</v>
      </c>
      <c r="F208" s="1">
        <f ca="1">IFERROR(__xludf.DUMMYFUNCTION("""COMPUTED_VALUE"""),98.5)</f>
        <v>98.5</v>
      </c>
      <c r="G208" s="1">
        <f ca="1">IFERROR(__xludf.DUMMYFUNCTION("""COMPUTED_VALUE"""),254)</f>
        <v>254</v>
      </c>
      <c r="H208" s="1">
        <f ca="1">IFERROR(__xludf.DUMMYFUNCTION("""COMPUTED_VALUE"""),102.5)</f>
        <v>102.5</v>
      </c>
      <c r="I208" s="1">
        <f ca="1">IFERROR(__xludf.DUMMYFUNCTION("""COMPUTED_VALUE"""),131)</f>
        <v>131</v>
      </c>
      <c r="J208" s="1">
        <f ca="1">IFERROR(__xludf.DUMMYFUNCTION("""COMPUTED_VALUE"""),70.6)</f>
        <v>70.599999999999994</v>
      </c>
      <c r="K208" s="1">
        <f ca="1">IFERROR(__xludf.DUMMYFUNCTION("""COMPUTED_VALUE"""),30)</f>
        <v>30</v>
      </c>
      <c r="L208" s="1" t="str">
        <f ca="1">IFERROR(__xludf.DUMMYFUNCTION("""COMPUTED_VALUE"""),"+.015")</f>
        <v>+.015</v>
      </c>
      <c r="M208" s="1">
        <f ca="1">IFERROR(__xludf.DUMMYFUNCTION("""COMPUTED_VALUE"""),150)</f>
        <v>150</v>
      </c>
      <c r="N208" s="1" t="str">
        <f ca="1">IFERROR(__xludf.DUMMYFUNCTION("""COMPUTED_VALUE"""),"+0.15")</f>
        <v>+0.15</v>
      </c>
      <c r="O208" s="1">
        <f ca="1">IFERROR(__xludf.DUMMYFUNCTION("""COMPUTED_VALUE"""),154)</f>
        <v>154</v>
      </c>
      <c r="P208" s="1">
        <f ca="1">IFERROR(__xludf.DUMMYFUNCTION("""COMPUTED_VALUE"""),104.7)</f>
        <v>104.7</v>
      </c>
      <c r="Q208" s="1">
        <f ca="1">IFERROR(__xludf.DUMMYFUNCTION("""COMPUTED_VALUE"""),147)</f>
        <v>147</v>
      </c>
      <c r="R208" s="1">
        <f ca="1">IFERROR(__xludf.DUMMYFUNCTION("""COMPUTED_VALUE"""),104.5)</f>
        <v>104.5</v>
      </c>
      <c r="S208" s="1">
        <f ca="1">IFERROR(__xludf.DUMMYFUNCTION("""COMPUTED_VALUE"""),160)</f>
        <v>160</v>
      </c>
      <c r="T208" s="1">
        <f ca="1">IFERROR(__xludf.DUMMYFUNCTION("""COMPUTED_VALUE"""),-1.76)</f>
        <v>-1.76</v>
      </c>
      <c r="U208" s="1">
        <f ca="1">IFERROR(__xludf.DUMMYFUNCTION("""COMPUTED_VALUE"""),193)</f>
        <v>193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IFERROR(__xludf.DUMMYFUNCTION("""COMPUTED_VALUE"""),"Georgia Southern")</f>
        <v>Georgia Southern</v>
      </c>
      <c r="C209" s="1" t="str">
        <f ca="1">IFERROR(__xludf.DUMMYFUNCTION("""COMPUTED_VALUE"""),"SC")</f>
        <v>SC</v>
      </c>
      <c r="D209" s="1" t="str">
        <f ca="1">IFERROR(__xludf.DUMMYFUNCTION("""COMPUTED_VALUE"""),"15-16")</f>
        <v>15-16</v>
      </c>
      <c r="E209" s="1">
        <f ca="1">IFERROR(__xludf.DUMMYFUNCTION("""COMPUTED_VALUE"""),-4.1)</f>
        <v>-4.0999999999999996</v>
      </c>
      <c r="F209" s="1">
        <f ca="1">IFERROR(__xludf.DUMMYFUNCTION("""COMPUTED_VALUE"""),98)</f>
        <v>98</v>
      </c>
      <c r="G209" s="1">
        <f ca="1">IFERROR(__xludf.DUMMYFUNCTION("""COMPUTED_VALUE"""),264)</f>
        <v>264</v>
      </c>
      <c r="H209" s="1">
        <f ca="1">IFERROR(__xludf.DUMMYFUNCTION("""COMPUTED_VALUE"""),102.1)</f>
        <v>102.1</v>
      </c>
      <c r="I209" s="1">
        <f ca="1">IFERROR(__xludf.DUMMYFUNCTION("""COMPUTED_VALUE"""),127)</f>
        <v>127</v>
      </c>
      <c r="J209" s="1">
        <f ca="1">IFERROR(__xludf.DUMMYFUNCTION("""COMPUTED_VALUE"""),68.3)</f>
        <v>68.3</v>
      </c>
      <c r="K209" s="1">
        <f ca="1">IFERROR(__xludf.DUMMYFUNCTION("""COMPUTED_VALUE"""),70)</f>
        <v>70</v>
      </c>
      <c r="L209" s="1">
        <f ca="1">IFERROR(__xludf.DUMMYFUNCTION("""COMPUTED_VALUE"""),-0.027)</f>
        <v>-2.7E-2</v>
      </c>
      <c r="M209" s="1">
        <f ca="1">IFERROR(__xludf.DUMMYFUNCTION("""COMPUTED_VALUE"""),245)</f>
        <v>245</v>
      </c>
      <c r="N209" s="1">
        <f ca="1">IFERROR(__xludf.DUMMYFUNCTION("""COMPUTED_VALUE"""),-3.51)</f>
        <v>-3.51</v>
      </c>
      <c r="O209" s="1">
        <f ca="1">IFERROR(__xludf.DUMMYFUNCTION("""COMPUTED_VALUE"""),207)</f>
        <v>207</v>
      </c>
      <c r="P209" s="1">
        <f ca="1">IFERROR(__xludf.DUMMYFUNCTION("""COMPUTED_VALUE"""),102.2)</f>
        <v>102.2</v>
      </c>
      <c r="Q209" s="1">
        <f ca="1">IFERROR(__xludf.DUMMYFUNCTION("""COMPUTED_VALUE"""),226)</f>
        <v>226</v>
      </c>
      <c r="R209" s="1">
        <f ca="1">IFERROR(__xludf.DUMMYFUNCTION("""COMPUTED_VALUE"""),105.7)</f>
        <v>105.7</v>
      </c>
      <c r="S209" s="1">
        <f ca="1">IFERROR(__xludf.DUMMYFUNCTION("""COMPUTED_VALUE"""),196)</f>
        <v>196</v>
      </c>
      <c r="T209" s="1">
        <f ca="1">IFERROR(__xludf.DUMMYFUNCTION("""COMPUTED_VALUE"""),-1.17)</f>
        <v>-1.17</v>
      </c>
      <c r="U209" s="1">
        <f ca="1">IFERROR(__xludf.DUMMYFUNCTION("""COMPUTED_VALUE"""),176)</f>
        <v>176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IFERROR(__xludf.DUMMYFUNCTION("""COMPUTED_VALUE"""),"Delaware St.8")</f>
        <v>Delaware St.8</v>
      </c>
      <c r="C210" s="1" t="str">
        <f ca="1">IFERROR(__xludf.DUMMYFUNCTION("""COMPUTED_VALUE"""),"MEAC")</f>
        <v>MEAC</v>
      </c>
      <c r="D210" s="1" t="str">
        <f ca="1">IFERROR(__xludf.DUMMYFUNCTION("""COMPUTED_VALUE"""),"21-13")</f>
        <v>21-13</v>
      </c>
      <c r="E210" s="1">
        <f ca="1">IFERROR(__xludf.DUMMYFUNCTION("""COMPUTED_VALUE"""),-4.16)</f>
        <v>-4.16</v>
      </c>
      <c r="F210" s="1">
        <f ca="1">IFERROR(__xludf.DUMMYFUNCTION("""COMPUTED_VALUE"""),106.5)</f>
        <v>106.5</v>
      </c>
      <c r="G210" s="1">
        <f ca="1">IFERROR(__xludf.DUMMYFUNCTION("""COMPUTED_VALUE"""),136)</f>
        <v>136</v>
      </c>
      <c r="H210" s="1">
        <f ca="1">IFERROR(__xludf.DUMMYFUNCTION("""COMPUTED_VALUE"""),110.7)</f>
        <v>110.7</v>
      </c>
      <c r="I210" s="1">
        <f ca="1">IFERROR(__xludf.DUMMYFUNCTION("""COMPUTED_VALUE"""),289)</f>
        <v>289</v>
      </c>
      <c r="J210" s="1">
        <f ca="1">IFERROR(__xludf.DUMMYFUNCTION("""COMPUTED_VALUE"""),54.5)</f>
        <v>54.5</v>
      </c>
      <c r="K210" s="1">
        <f ca="1">IFERROR(__xludf.DUMMYFUNCTION("""COMPUTED_VALUE"""),335)</f>
        <v>335</v>
      </c>
      <c r="L210" s="1" t="str">
        <f ca="1">IFERROR(__xludf.DUMMYFUNCTION("""COMPUTED_VALUE"""),"+.109")</f>
        <v>+.109</v>
      </c>
      <c r="M210" s="1">
        <f ca="1">IFERROR(__xludf.DUMMYFUNCTION("""COMPUTED_VALUE"""),7)</f>
        <v>7</v>
      </c>
      <c r="N210" s="1">
        <f ca="1">IFERROR(__xludf.DUMMYFUNCTION("""COMPUTED_VALUE"""),-6.4)</f>
        <v>-6.4</v>
      </c>
      <c r="O210" s="1">
        <f ca="1">IFERROR(__xludf.DUMMYFUNCTION("""COMPUTED_VALUE"""),281)</f>
        <v>281</v>
      </c>
      <c r="P210" s="1">
        <f ca="1">IFERROR(__xludf.DUMMYFUNCTION("""COMPUTED_VALUE"""),99.8)</f>
        <v>99.8</v>
      </c>
      <c r="Q210" s="1">
        <f ca="1">IFERROR(__xludf.DUMMYFUNCTION("""COMPUTED_VALUE"""),307)</f>
        <v>307</v>
      </c>
      <c r="R210" s="1">
        <f ca="1">IFERROR(__xludf.DUMMYFUNCTION("""COMPUTED_VALUE"""),106.2)</f>
        <v>106.2</v>
      </c>
      <c r="S210" s="1">
        <f ca="1">IFERROR(__xludf.DUMMYFUNCTION("""COMPUTED_VALUE"""),226)</f>
        <v>226</v>
      </c>
      <c r="T210" s="1" t="str">
        <f ca="1">IFERROR(__xludf.DUMMYFUNCTION("""COMPUTED_VALUE"""),"+15.86")</f>
        <v>+15.86</v>
      </c>
      <c r="U210" s="1">
        <f ca="1">IFERROR(__xludf.DUMMYFUNCTION("""COMPUTED_VALUE"""),2)</f>
        <v>2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IFERROR(__xludf.DUMMYFUNCTION("""COMPUTED_VALUE"""),"Middle Tennessee")</f>
        <v>Middle Tennessee</v>
      </c>
      <c r="C213" s="1" t="str">
        <f ca="1">IFERROR(__xludf.DUMMYFUNCTION("""COMPUTED_VALUE"""),"SB")</f>
        <v>SB</v>
      </c>
      <c r="D213" s="1" t="str">
        <f ca="1">IFERROR(__xludf.DUMMYFUNCTION("""COMPUTED_VALUE"""),"15-17")</f>
        <v>15-17</v>
      </c>
      <c r="E213" s="1">
        <f ca="1">IFERROR(__xludf.DUMMYFUNCTION("""COMPUTED_VALUE"""),-4.24)</f>
        <v>-4.24</v>
      </c>
      <c r="F213" s="1">
        <f ca="1">IFERROR(__xludf.DUMMYFUNCTION("""COMPUTED_VALUE"""),98.5)</f>
        <v>98.5</v>
      </c>
      <c r="G213" s="1">
        <f ca="1">IFERROR(__xludf.DUMMYFUNCTION("""COMPUTED_VALUE"""),256)</f>
        <v>256</v>
      </c>
      <c r="H213" s="1">
        <f ca="1">IFERROR(__xludf.DUMMYFUNCTION("""COMPUTED_VALUE"""),102.7)</f>
        <v>102.7</v>
      </c>
      <c r="I213" s="1">
        <f ca="1">IFERROR(__xludf.DUMMYFUNCTION("""COMPUTED_VALUE"""),135)</f>
        <v>135</v>
      </c>
      <c r="J213" s="1">
        <f ca="1">IFERROR(__xludf.DUMMYFUNCTION("""COMPUTED_VALUE"""),60.7)</f>
        <v>60.7</v>
      </c>
      <c r="K213" s="1">
        <f ca="1">IFERROR(__xludf.DUMMYFUNCTION("""COMPUTED_VALUE"""),317)</f>
        <v>317</v>
      </c>
      <c r="L213" s="1" t="str">
        <f ca="1">IFERROR(__xludf.DUMMYFUNCTION("""COMPUTED_VALUE"""),"+.001")</f>
        <v>+.001</v>
      </c>
      <c r="M213" s="1">
        <f ca="1">IFERROR(__xludf.DUMMYFUNCTION("""COMPUTED_VALUE"""),177)</f>
        <v>177</v>
      </c>
      <c r="N213" s="1">
        <f ca="1">IFERROR(__xludf.DUMMYFUNCTION("""COMPUTED_VALUE"""),-2.98)</f>
        <v>-2.98</v>
      </c>
      <c r="O213" s="1">
        <f ca="1">IFERROR(__xludf.DUMMYFUNCTION("""COMPUTED_VALUE"""),198)</f>
        <v>198</v>
      </c>
      <c r="P213" s="1">
        <f ca="1">IFERROR(__xludf.DUMMYFUNCTION("""COMPUTED_VALUE"""),104.1)</f>
        <v>104.1</v>
      </c>
      <c r="Q213" s="1">
        <f ca="1">IFERROR(__xludf.DUMMYFUNCTION("""COMPUTED_VALUE"""),167)</f>
        <v>167</v>
      </c>
      <c r="R213" s="1">
        <f ca="1">IFERROR(__xludf.DUMMYFUNCTION("""COMPUTED_VALUE"""),107.1)</f>
        <v>107.1</v>
      </c>
      <c r="S213" s="1">
        <f ca="1">IFERROR(__xludf.DUMMYFUNCTION("""COMPUTED_VALUE"""),263)</f>
        <v>263</v>
      </c>
      <c r="T213" s="1" t="str">
        <f ca="1">IFERROR(__xludf.DUMMYFUNCTION("""COMPUTED_VALUE"""),"+3.75")</f>
        <v>+3.75</v>
      </c>
      <c r="U213" s="1">
        <f ca="1">IFERROR(__xludf.DUMMYFUNCTION("""COMPUTED_VALUE"""),72)</f>
        <v>72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IFERROR(__xludf.DUMMYFUNCTION("""COMPUTED_VALUE"""),"Chattanooga")</f>
        <v>Chattanooga</v>
      </c>
      <c r="C214" s="1" t="str">
        <f ca="1">IFERROR(__xludf.DUMMYFUNCTION("""COMPUTED_VALUE"""),"SC")</f>
        <v>SC</v>
      </c>
      <c r="D214" s="1" t="str">
        <f ca="1">IFERROR(__xludf.DUMMYFUNCTION("""COMPUTED_VALUE"""),"15-18")</f>
        <v>15-18</v>
      </c>
      <c r="E214" s="1">
        <f ca="1">IFERROR(__xludf.DUMMYFUNCTION("""COMPUTED_VALUE"""),-4.26)</f>
        <v>-4.26</v>
      </c>
      <c r="F214" s="1">
        <f ca="1">IFERROR(__xludf.DUMMYFUNCTION("""COMPUTED_VALUE"""),99.7)</f>
        <v>99.7</v>
      </c>
      <c r="G214" s="1">
        <f ca="1">IFERROR(__xludf.DUMMYFUNCTION("""COMPUTED_VALUE"""),235)</f>
        <v>235</v>
      </c>
      <c r="H214" s="1">
        <f ca="1">IFERROR(__xludf.DUMMYFUNCTION("""COMPUTED_VALUE"""),104)</f>
        <v>104</v>
      </c>
      <c r="I214" s="1">
        <f ca="1">IFERROR(__xludf.DUMMYFUNCTION("""COMPUTED_VALUE"""),155)</f>
        <v>155</v>
      </c>
      <c r="J214" s="1">
        <f ca="1">IFERROR(__xludf.DUMMYFUNCTION("""COMPUTED_VALUE"""),65.4)</f>
        <v>65.400000000000006</v>
      </c>
      <c r="K214" s="1">
        <f ca="1">IFERROR(__xludf.DUMMYFUNCTION("""COMPUTED_VALUE"""),182)</f>
        <v>182</v>
      </c>
      <c r="L214" s="1">
        <f ca="1">IFERROR(__xludf.DUMMYFUNCTION("""COMPUTED_VALUE"""),-0.027)</f>
        <v>-2.7E-2</v>
      </c>
      <c r="M214" s="1">
        <f ca="1">IFERROR(__xludf.DUMMYFUNCTION("""COMPUTED_VALUE"""),246)</f>
        <v>246</v>
      </c>
      <c r="N214" s="1">
        <f ca="1">IFERROR(__xludf.DUMMYFUNCTION("""COMPUTED_VALUE"""),-1.56)</f>
        <v>-1.56</v>
      </c>
      <c r="O214" s="1">
        <f ca="1">IFERROR(__xludf.DUMMYFUNCTION("""COMPUTED_VALUE"""),179)</f>
        <v>179</v>
      </c>
      <c r="P214" s="1">
        <f ca="1">IFERROR(__xludf.DUMMYFUNCTION("""COMPUTED_VALUE"""),103.3)</f>
        <v>103.3</v>
      </c>
      <c r="Q214" s="1">
        <f ca="1">IFERROR(__xludf.DUMMYFUNCTION("""COMPUTED_VALUE"""),190)</f>
        <v>190</v>
      </c>
      <c r="R214" s="1">
        <f ca="1">IFERROR(__xludf.DUMMYFUNCTION("""COMPUTED_VALUE"""),104.8)</f>
        <v>104.8</v>
      </c>
      <c r="S214" s="1">
        <f ca="1">IFERROR(__xludf.DUMMYFUNCTION("""COMPUTED_VALUE"""),167)</f>
        <v>167</v>
      </c>
      <c r="T214" s="1">
        <f ca="1">IFERROR(__xludf.DUMMYFUNCTION("""COMPUTED_VALUE"""),-0.85)</f>
        <v>-0.85</v>
      </c>
      <c r="U214" s="1">
        <f ca="1">IFERROR(__xludf.DUMMYFUNCTION("""COMPUTED_VALUE"""),169)</f>
        <v>169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IFERROR(__xludf.DUMMYFUNCTION("""COMPUTED_VALUE"""),"Chicago St.")</f>
        <v>Chicago St.</v>
      </c>
      <c r="C215" s="1" t="str">
        <f ca="1">IFERROR(__xludf.DUMMYFUNCTION("""COMPUTED_VALUE"""),"ind")</f>
        <v>ind</v>
      </c>
      <c r="D215" s="2">
        <f ca="1">IFERROR(__xludf.DUMMYFUNCTION("""COMPUTED_VALUE"""),44824)</f>
        <v>44824</v>
      </c>
      <c r="E215" s="1">
        <f ca="1">IFERROR(__xludf.DUMMYFUNCTION("""COMPUTED_VALUE"""),-4.73)</f>
        <v>-4.7300000000000004</v>
      </c>
      <c r="F215" s="1">
        <f ca="1">IFERROR(__xludf.DUMMYFUNCTION("""COMPUTED_VALUE"""),107.3)</f>
        <v>107.3</v>
      </c>
      <c r="G215" s="1">
        <f ca="1">IFERROR(__xludf.DUMMYFUNCTION("""COMPUTED_VALUE"""),115)</f>
        <v>115</v>
      </c>
      <c r="H215" s="1">
        <f ca="1">IFERROR(__xludf.DUMMYFUNCTION("""COMPUTED_VALUE"""),112.1)</f>
        <v>112.1</v>
      </c>
      <c r="I215" s="1">
        <f ca="1">IFERROR(__xludf.DUMMYFUNCTION("""COMPUTED_VALUE"""),306)</f>
        <v>306</v>
      </c>
      <c r="J215" s="1">
        <f ca="1">IFERROR(__xludf.DUMMYFUNCTION("""COMPUTED_VALUE"""),68.2)</f>
        <v>68.2</v>
      </c>
      <c r="K215" s="1">
        <f ca="1">IFERROR(__xludf.DUMMYFUNCTION("""COMPUTED_VALUE"""),77)</f>
        <v>77</v>
      </c>
      <c r="L215" s="1">
        <f ca="1">IFERROR(__xludf.DUMMYFUNCTION("""COMPUTED_VALUE"""),-0.009)</f>
        <v>-8.9999999999999993E-3</v>
      </c>
      <c r="M215" s="1">
        <f ca="1">IFERROR(__xludf.DUMMYFUNCTION("""COMPUTED_VALUE"""),202)</f>
        <v>202</v>
      </c>
      <c r="N215" s="1" t="str">
        <f ca="1">IFERROR(__xludf.DUMMYFUNCTION("""COMPUTED_VALUE"""),"+5.64")</f>
        <v>+5.64</v>
      </c>
      <c r="O215" s="1">
        <f ca="1">IFERROR(__xludf.DUMMYFUNCTION("""COMPUTED_VALUE"""),74)</f>
        <v>74</v>
      </c>
      <c r="P215" s="1">
        <f ca="1">IFERROR(__xludf.DUMMYFUNCTION("""COMPUTED_VALUE"""),107.4)</f>
        <v>107.4</v>
      </c>
      <c r="Q215" s="1">
        <f ca="1">IFERROR(__xludf.DUMMYFUNCTION("""COMPUTED_VALUE"""),73)</f>
        <v>73</v>
      </c>
      <c r="R215" s="1">
        <f ca="1">IFERROR(__xludf.DUMMYFUNCTION("""COMPUTED_VALUE"""),101.7)</f>
        <v>101.7</v>
      </c>
      <c r="S215" s="1">
        <f ca="1">IFERROR(__xludf.DUMMYFUNCTION("""COMPUTED_VALUE"""),77)</f>
        <v>77</v>
      </c>
      <c r="T215" s="1" t="str">
        <f ca="1">IFERROR(__xludf.DUMMYFUNCTION("""COMPUTED_VALUE"""),"+5.64")</f>
        <v>+5.64</v>
      </c>
      <c r="U215" s="1">
        <f ca="1">IFERROR(__xludf.DUMMYFUNCTION("""COMPUTED_VALUE"""),43)</f>
        <v>43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IFERROR(__xludf.DUMMYFUNCTION("""COMPUTED_VALUE"""),"Arkansas St.")</f>
        <v>Arkansas St.</v>
      </c>
      <c r="C216" s="1" t="str">
        <f ca="1">IFERROR(__xludf.DUMMYFUNCTION("""COMPUTED_VALUE"""),"SB")</f>
        <v>SB</v>
      </c>
      <c r="D216" s="1" t="str">
        <f ca="1">IFERROR(__xludf.DUMMYFUNCTION("""COMPUTED_VALUE"""),"18-15")</f>
        <v>18-15</v>
      </c>
      <c r="E216" s="1">
        <f ca="1">IFERROR(__xludf.DUMMYFUNCTION("""COMPUTED_VALUE"""),-4.94)</f>
        <v>-4.9400000000000004</v>
      </c>
      <c r="F216" s="1">
        <f ca="1">IFERROR(__xludf.DUMMYFUNCTION("""COMPUTED_VALUE"""),103.7)</f>
        <v>103.7</v>
      </c>
      <c r="G216" s="1">
        <f ca="1">IFERROR(__xludf.DUMMYFUNCTION("""COMPUTED_VALUE"""),177)</f>
        <v>177</v>
      </c>
      <c r="H216" s="1">
        <f ca="1">IFERROR(__xludf.DUMMYFUNCTION("""COMPUTED_VALUE"""),108.7)</f>
        <v>108.7</v>
      </c>
      <c r="I216" s="1">
        <f ca="1">IFERROR(__xludf.DUMMYFUNCTION("""COMPUTED_VALUE"""),243)</f>
        <v>243</v>
      </c>
      <c r="J216" s="1">
        <f ca="1">IFERROR(__xludf.DUMMYFUNCTION("""COMPUTED_VALUE"""),67.5)</f>
        <v>67.5</v>
      </c>
      <c r="K216" s="1">
        <f ca="1">IFERROR(__xludf.DUMMYFUNCTION("""COMPUTED_VALUE"""),98)</f>
        <v>98</v>
      </c>
      <c r="L216" s="1" t="str">
        <f ca="1">IFERROR(__xludf.DUMMYFUNCTION("""COMPUTED_VALUE"""),"+.037")</f>
        <v>+.037</v>
      </c>
      <c r="M216" s="1">
        <f ca="1">IFERROR(__xludf.DUMMYFUNCTION("""COMPUTED_VALUE"""),81)</f>
        <v>81</v>
      </c>
      <c r="N216" s="1">
        <f ca="1">IFERROR(__xludf.DUMMYFUNCTION("""COMPUTED_VALUE"""),-5.64)</f>
        <v>-5.64</v>
      </c>
      <c r="O216" s="1">
        <f ca="1">IFERROR(__xludf.DUMMYFUNCTION("""COMPUTED_VALUE"""),259)</f>
        <v>259</v>
      </c>
      <c r="P216" s="1">
        <f ca="1">IFERROR(__xludf.DUMMYFUNCTION("""COMPUTED_VALUE"""),102.2)</f>
        <v>102.2</v>
      </c>
      <c r="Q216" s="1">
        <f ca="1">IFERROR(__xludf.DUMMYFUNCTION("""COMPUTED_VALUE"""),225)</f>
        <v>225</v>
      </c>
      <c r="R216" s="1">
        <f ca="1">IFERROR(__xludf.DUMMYFUNCTION("""COMPUTED_VALUE"""),107.8)</f>
        <v>107.8</v>
      </c>
      <c r="S216" s="1">
        <f ca="1">IFERROR(__xludf.DUMMYFUNCTION("""COMPUTED_VALUE"""),298)</f>
        <v>298</v>
      </c>
      <c r="T216" s="1">
        <f ca="1">IFERROR(__xludf.DUMMYFUNCTION("""COMPUTED_VALUE"""),-1.93)</f>
        <v>-1.93</v>
      </c>
      <c r="U216" s="1">
        <f ca="1">IFERROR(__xludf.DUMMYFUNCTION("""COMPUTED_VALUE"""),201)</f>
        <v>201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IFERROR(__xludf.DUMMYFUNCTION("""COMPUTED_VALUE"""),"Ball St.")</f>
        <v>Ball St.</v>
      </c>
      <c r="C217" s="1" t="str">
        <f ca="1">IFERROR(__xludf.DUMMYFUNCTION("""COMPUTED_VALUE"""),"MAC")</f>
        <v>MAC</v>
      </c>
      <c r="D217" s="2">
        <f ca="1">IFERROR(__xludf.DUMMYFUNCTION("""COMPUTED_VALUE"""),44826)</f>
        <v>44826</v>
      </c>
      <c r="E217" s="1">
        <f ca="1">IFERROR(__xludf.DUMMYFUNCTION("""COMPUTED_VALUE"""),-5.03)</f>
        <v>-5.03</v>
      </c>
      <c r="F217" s="1">
        <f ca="1">IFERROR(__xludf.DUMMYFUNCTION("""COMPUTED_VALUE"""),96.4)</f>
        <v>96.4</v>
      </c>
      <c r="G217" s="1">
        <f ca="1">IFERROR(__xludf.DUMMYFUNCTION("""COMPUTED_VALUE"""),282)</f>
        <v>282</v>
      </c>
      <c r="H217" s="1">
        <f ca="1">IFERROR(__xludf.DUMMYFUNCTION("""COMPUTED_VALUE"""),101.4)</f>
        <v>101.4</v>
      </c>
      <c r="I217" s="1">
        <f ca="1">IFERROR(__xludf.DUMMYFUNCTION("""COMPUTED_VALUE"""),113)</f>
        <v>113</v>
      </c>
      <c r="J217" s="1">
        <f ca="1">IFERROR(__xludf.DUMMYFUNCTION("""COMPUTED_VALUE"""),63.1)</f>
        <v>63.1</v>
      </c>
      <c r="K217" s="1">
        <f ca="1">IFERROR(__xludf.DUMMYFUNCTION("""COMPUTED_VALUE"""),271)</f>
        <v>271</v>
      </c>
      <c r="L217" s="1">
        <f ca="1">IFERROR(__xludf.DUMMYFUNCTION("""COMPUTED_VALUE"""),-0.089)</f>
        <v>-8.8999999999999996E-2</v>
      </c>
      <c r="M217" s="1">
        <f ca="1">IFERROR(__xludf.DUMMYFUNCTION("""COMPUTED_VALUE"""),322)</f>
        <v>322</v>
      </c>
      <c r="N217" s="1" t="str">
        <f ca="1">IFERROR(__xludf.DUMMYFUNCTION("""COMPUTED_VALUE"""),"+0.85")</f>
        <v>+0.85</v>
      </c>
      <c r="O217" s="1">
        <f ca="1">IFERROR(__xludf.DUMMYFUNCTION("""COMPUTED_VALUE"""),140)</f>
        <v>140</v>
      </c>
      <c r="P217" s="1">
        <f ca="1">IFERROR(__xludf.DUMMYFUNCTION("""COMPUTED_VALUE"""),104.2)</f>
        <v>104.2</v>
      </c>
      <c r="Q217" s="1">
        <f ca="1">IFERROR(__xludf.DUMMYFUNCTION("""COMPUTED_VALUE"""),160)</f>
        <v>160</v>
      </c>
      <c r="R217" s="1">
        <f ca="1">IFERROR(__xludf.DUMMYFUNCTION("""COMPUTED_VALUE"""),103.4)</f>
        <v>103.4</v>
      </c>
      <c r="S217" s="1">
        <f ca="1">IFERROR(__xludf.DUMMYFUNCTION("""COMPUTED_VALUE"""),118)</f>
        <v>118</v>
      </c>
      <c r="T217" s="1" t="str">
        <f ca="1">IFERROR(__xludf.DUMMYFUNCTION("""COMPUTED_VALUE"""),"+3.84")</f>
        <v>+3.84</v>
      </c>
      <c r="U217" s="1">
        <f ca="1">IFERROR(__xludf.DUMMYFUNCTION("""COMPUTED_VALUE"""),69)</f>
        <v>69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IFERROR(__xludf.DUMMYFUNCTION("""COMPUTED_VALUE"""),"Columbia")</f>
        <v>Columbia</v>
      </c>
      <c r="C218" s="1" t="str">
        <f ca="1">IFERROR(__xludf.DUMMYFUNCTION("""COMPUTED_VALUE"""),"Ivy")</f>
        <v>Ivy</v>
      </c>
      <c r="D218" s="1" t="str">
        <f ca="1">IFERROR(__xludf.DUMMYFUNCTION("""COMPUTED_VALUE"""),"16-12")</f>
        <v>16-12</v>
      </c>
      <c r="E218" s="1">
        <f ca="1">IFERROR(__xludf.DUMMYFUNCTION("""COMPUTED_VALUE"""),-5.23)</f>
        <v>-5.23</v>
      </c>
      <c r="F218" s="1">
        <f ca="1">IFERROR(__xludf.DUMMYFUNCTION("""COMPUTED_VALUE"""),104.7)</f>
        <v>104.7</v>
      </c>
      <c r="G218" s="1">
        <f ca="1">IFERROR(__xludf.DUMMYFUNCTION("""COMPUTED_VALUE"""),158)</f>
        <v>158</v>
      </c>
      <c r="H218" s="1">
        <f ca="1">IFERROR(__xludf.DUMMYFUNCTION("""COMPUTED_VALUE"""),110)</f>
        <v>110</v>
      </c>
      <c r="I218" s="1">
        <f ca="1">IFERROR(__xludf.DUMMYFUNCTION("""COMPUTED_VALUE"""),272)</f>
        <v>272</v>
      </c>
      <c r="J218" s="1">
        <f ca="1">IFERROR(__xludf.DUMMYFUNCTION("""COMPUTED_VALUE"""),61.9)</f>
        <v>61.9</v>
      </c>
      <c r="K218" s="1">
        <f ca="1">IFERROR(__xludf.DUMMYFUNCTION("""COMPUTED_VALUE"""),302)</f>
        <v>302</v>
      </c>
      <c r="L218" s="1" t="str">
        <f ca="1">IFERROR(__xludf.DUMMYFUNCTION("""COMPUTED_VALUE"""),"+.047")</f>
        <v>+.047</v>
      </c>
      <c r="M218" s="1">
        <f ca="1">IFERROR(__xludf.DUMMYFUNCTION("""COMPUTED_VALUE"""),67)</f>
        <v>67</v>
      </c>
      <c r="N218" s="1">
        <f ca="1">IFERROR(__xludf.DUMMYFUNCTION("""COMPUTED_VALUE"""),-7.81)</f>
        <v>-7.81</v>
      </c>
      <c r="O218" s="1">
        <f ca="1">IFERROR(__xludf.DUMMYFUNCTION("""COMPUTED_VALUE"""),301)</f>
        <v>301</v>
      </c>
      <c r="P218" s="1">
        <f ca="1">IFERROR(__xludf.DUMMYFUNCTION("""COMPUTED_VALUE"""),99.5)</f>
        <v>99.5</v>
      </c>
      <c r="Q218" s="1">
        <f ca="1">IFERROR(__xludf.DUMMYFUNCTION("""COMPUTED_VALUE"""),312)</f>
        <v>312</v>
      </c>
      <c r="R218" s="1">
        <f ca="1">IFERROR(__xludf.DUMMYFUNCTION("""COMPUTED_VALUE"""),107.4)</f>
        <v>107.4</v>
      </c>
      <c r="S218" s="1">
        <f ca="1">IFERROR(__xludf.DUMMYFUNCTION("""COMPUTED_VALUE"""),276)</f>
        <v>276</v>
      </c>
      <c r="T218" s="1">
        <f ca="1">IFERROR(__xludf.DUMMYFUNCTION("""COMPUTED_VALUE"""),-9.77)</f>
        <v>-9.77</v>
      </c>
      <c r="U218" s="1">
        <f ca="1">IFERROR(__xludf.DUMMYFUNCTION("""COMPUTED_VALUE"""),327)</f>
        <v>327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IFERROR(__xludf.DUMMYFUNCTION("""COMPUTED_VALUE"""),"Fairfield")</f>
        <v>Fairfield</v>
      </c>
      <c r="C219" s="1" t="str">
        <f ca="1">IFERROR(__xludf.DUMMYFUNCTION("""COMPUTED_VALUE"""),"MAAC")</f>
        <v>MAAC</v>
      </c>
      <c r="D219" s="1" t="str">
        <f ca="1">IFERROR(__xludf.DUMMYFUNCTION("""COMPUTED_VALUE"""),"13-19")</f>
        <v>13-19</v>
      </c>
      <c r="E219" s="1">
        <f ca="1">IFERROR(__xludf.DUMMYFUNCTION("""COMPUTED_VALUE"""),-5.23)</f>
        <v>-5.23</v>
      </c>
      <c r="F219" s="1">
        <f ca="1">IFERROR(__xludf.DUMMYFUNCTION("""COMPUTED_VALUE"""),102.3)</f>
        <v>102.3</v>
      </c>
      <c r="G219" s="1">
        <f ca="1">IFERROR(__xludf.DUMMYFUNCTION("""COMPUTED_VALUE"""),199)</f>
        <v>199</v>
      </c>
      <c r="H219" s="1">
        <f ca="1">IFERROR(__xludf.DUMMYFUNCTION("""COMPUTED_VALUE"""),107.5)</f>
        <v>107.5</v>
      </c>
      <c r="I219" s="1">
        <f ca="1">IFERROR(__xludf.DUMMYFUNCTION("""COMPUTED_VALUE"""),223)</f>
        <v>223</v>
      </c>
      <c r="J219" s="1">
        <f ca="1">IFERROR(__xludf.DUMMYFUNCTION("""COMPUTED_VALUE"""),59.8)</f>
        <v>59.8</v>
      </c>
      <c r="K219" s="1">
        <f ca="1">IFERROR(__xludf.DUMMYFUNCTION("""COMPUTED_VALUE"""),324)</f>
        <v>324</v>
      </c>
      <c r="L219" s="1" t="str">
        <f ca="1">IFERROR(__xludf.DUMMYFUNCTION("""COMPUTED_VALUE"""),"+.000")</f>
        <v>+.000</v>
      </c>
      <c r="M219" s="1">
        <f ca="1">IFERROR(__xludf.DUMMYFUNCTION("""COMPUTED_VALUE"""),179)</f>
        <v>179</v>
      </c>
      <c r="N219" s="1">
        <f ca="1">IFERROR(__xludf.DUMMYFUNCTION("""COMPUTED_VALUE"""),-2.93)</f>
        <v>-2.93</v>
      </c>
      <c r="O219" s="1">
        <f ca="1">IFERROR(__xludf.DUMMYFUNCTION("""COMPUTED_VALUE"""),197)</f>
        <v>197</v>
      </c>
      <c r="P219" s="1">
        <f ca="1">IFERROR(__xludf.DUMMYFUNCTION("""COMPUTED_VALUE"""),102.7)</f>
        <v>102.7</v>
      </c>
      <c r="Q219" s="1">
        <f ca="1">IFERROR(__xludf.DUMMYFUNCTION("""COMPUTED_VALUE"""),208)</f>
        <v>208</v>
      </c>
      <c r="R219" s="1">
        <f ca="1">IFERROR(__xludf.DUMMYFUNCTION("""COMPUTED_VALUE"""),105.7)</f>
        <v>105.7</v>
      </c>
      <c r="S219" s="1">
        <f ca="1">IFERROR(__xludf.DUMMYFUNCTION("""COMPUTED_VALUE"""),194)</f>
        <v>194</v>
      </c>
      <c r="T219" s="1" t="str">
        <f ca="1">IFERROR(__xludf.DUMMYFUNCTION("""COMPUTED_VALUE"""),"+5.93")</f>
        <v>+5.93</v>
      </c>
      <c r="U219" s="1">
        <f ca="1">IFERROR(__xludf.DUMMYFUNCTION("""COMPUTED_VALUE"""),40)</f>
        <v>40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IFERROR(__xludf.DUMMYFUNCTION("""COMPUTED_VALUE"""),"Rutgers")</f>
        <v>Rutgers</v>
      </c>
      <c r="C220" s="1" t="str">
        <f ca="1">IFERROR(__xludf.DUMMYFUNCTION("""COMPUTED_VALUE"""),"BE")</f>
        <v>BE</v>
      </c>
      <c r="D220" s="2">
        <f ca="1">IFERROR(__xludf.DUMMYFUNCTION("""COMPUTED_VALUE"""),44853)</f>
        <v>44853</v>
      </c>
      <c r="E220" s="1">
        <f ca="1">IFERROR(__xludf.DUMMYFUNCTION("""COMPUTED_VALUE"""),-5.32)</f>
        <v>-5.32</v>
      </c>
      <c r="F220" s="1">
        <f ca="1">IFERROR(__xludf.DUMMYFUNCTION("""COMPUTED_VALUE"""),101.3)</f>
        <v>101.3</v>
      </c>
      <c r="G220" s="1">
        <f ca="1">IFERROR(__xludf.DUMMYFUNCTION("""COMPUTED_VALUE"""),214)</f>
        <v>214</v>
      </c>
      <c r="H220" s="1">
        <f ca="1">IFERROR(__xludf.DUMMYFUNCTION("""COMPUTED_VALUE"""),106.7)</f>
        <v>106.7</v>
      </c>
      <c r="I220" s="1">
        <f ca="1">IFERROR(__xludf.DUMMYFUNCTION("""COMPUTED_VALUE"""),206)</f>
        <v>206</v>
      </c>
      <c r="J220" s="1">
        <f ca="1">IFERROR(__xludf.DUMMYFUNCTION("""COMPUTED_VALUE"""),60.9)</f>
        <v>60.9</v>
      </c>
      <c r="K220" s="1">
        <f ca="1">IFERROR(__xludf.DUMMYFUNCTION("""COMPUTED_VALUE"""),315)</f>
        <v>315</v>
      </c>
      <c r="L220" s="1" t="str">
        <f ca="1">IFERROR(__xludf.DUMMYFUNCTION("""COMPUTED_VALUE"""),"+.050")</f>
        <v>+.050</v>
      </c>
      <c r="M220" s="1">
        <f ca="1">IFERROR(__xludf.DUMMYFUNCTION("""COMPUTED_VALUE"""),62)</f>
        <v>62</v>
      </c>
      <c r="N220" s="1" t="str">
        <f ca="1">IFERROR(__xludf.DUMMYFUNCTION("""COMPUTED_VALUE"""),"+6.44")</f>
        <v>+6.44</v>
      </c>
      <c r="O220" s="1">
        <f ca="1">IFERROR(__xludf.DUMMYFUNCTION("""COMPUTED_VALUE"""),66)</f>
        <v>66</v>
      </c>
      <c r="P220" s="1">
        <f ca="1">IFERROR(__xludf.DUMMYFUNCTION("""COMPUTED_VALUE"""),106.8)</f>
        <v>106.8</v>
      </c>
      <c r="Q220" s="1">
        <f ca="1">IFERROR(__xludf.DUMMYFUNCTION("""COMPUTED_VALUE"""),84)</f>
        <v>84</v>
      </c>
      <c r="R220" s="1">
        <f ca="1">IFERROR(__xludf.DUMMYFUNCTION("""COMPUTED_VALUE"""),100.4)</f>
        <v>100.4</v>
      </c>
      <c r="S220" s="1">
        <f ca="1">IFERROR(__xludf.DUMMYFUNCTION("""COMPUTED_VALUE"""),42)</f>
        <v>42</v>
      </c>
      <c r="T220" s="1">
        <f ca="1">IFERROR(__xludf.DUMMYFUNCTION("""COMPUTED_VALUE"""),-2.94)</f>
        <v>-2.94</v>
      </c>
      <c r="U220" s="1">
        <f ca="1">IFERROR(__xludf.DUMMYFUNCTION("""COMPUTED_VALUE"""),226)</f>
        <v>226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IFERROR(__xludf.DUMMYFUNCTION("""COMPUTED_VALUE"""),"Pacific")</f>
        <v>Pacific</v>
      </c>
      <c r="C221" s="1" t="str">
        <f ca="1">IFERROR(__xludf.DUMMYFUNCTION("""COMPUTED_VALUE"""),"BW")</f>
        <v>BW</v>
      </c>
      <c r="D221" s="2">
        <f ca="1">IFERROR(__xludf.DUMMYFUNCTION("""COMPUTED_VALUE"""),44914)</f>
        <v>44914</v>
      </c>
      <c r="E221" s="1">
        <f ca="1">IFERROR(__xludf.DUMMYFUNCTION("""COMPUTED_VALUE"""),-5.34)</f>
        <v>-5.34</v>
      </c>
      <c r="F221" s="1">
        <f ca="1">IFERROR(__xludf.DUMMYFUNCTION("""COMPUTED_VALUE"""),104.6)</f>
        <v>104.6</v>
      </c>
      <c r="G221" s="1">
        <f ca="1">IFERROR(__xludf.DUMMYFUNCTION("""COMPUTED_VALUE"""),162)</f>
        <v>162</v>
      </c>
      <c r="H221" s="1">
        <f ca="1">IFERROR(__xludf.DUMMYFUNCTION("""COMPUTED_VALUE"""),109.9)</f>
        <v>109.9</v>
      </c>
      <c r="I221" s="1">
        <f ca="1">IFERROR(__xludf.DUMMYFUNCTION("""COMPUTED_VALUE"""),269)</f>
        <v>269</v>
      </c>
      <c r="J221" s="1">
        <f ca="1">IFERROR(__xludf.DUMMYFUNCTION("""COMPUTED_VALUE"""),62.3)</f>
        <v>62.3</v>
      </c>
      <c r="K221" s="1">
        <f ca="1">IFERROR(__xludf.DUMMYFUNCTION("""COMPUTED_VALUE"""),296)</f>
        <v>296</v>
      </c>
      <c r="L221" s="1">
        <f ca="1">IFERROR(__xludf.DUMMYFUNCTION("""COMPUTED_VALUE"""),-0.029)</f>
        <v>-2.9000000000000001E-2</v>
      </c>
      <c r="M221" s="1">
        <f ca="1">IFERROR(__xludf.DUMMYFUNCTION("""COMPUTED_VALUE"""),251)</f>
        <v>251</v>
      </c>
      <c r="N221" s="1">
        <f ca="1">IFERROR(__xludf.DUMMYFUNCTION("""COMPUTED_VALUE"""),-1.53)</f>
        <v>-1.53</v>
      </c>
      <c r="O221" s="1">
        <f ca="1">IFERROR(__xludf.DUMMYFUNCTION("""COMPUTED_VALUE"""),178)</f>
        <v>178</v>
      </c>
      <c r="P221" s="1">
        <f ca="1">IFERROR(__xludf.DUMMYFUNCTION("""COMPUTED_VALUE"""),103.6)</f>
        <v>103.6</v>
      </c>
      <c r="Q221" s="1">
        <f ca="1">IFERROR(__xludf.DUMMYFUNCTION("""COMPUTED_VALUE"""),178)</f>
        <v>178</v>
      </c>
      <c r="R221" s="1">
        <f ca="1">IFERROR(__xludf.DUMMYFUNCTION("""COMPUTED_VALUE"""),105.1)</f>
        <v>105.1</v>
      </c>
      <c r="S221" s="1">
        <f ca="1">IFERROR(__xludf.DUMMYFUNCTION("""COMPUTED_VALUE"""),173)</f>
        <v>173</v>
      </c>
      <c r="T221" s="1" t="str">
        <f ca="1">IFERROR(__xludf.DUMMYFUNCTION("""COMPUTED_VALUE"""),"+2.00")</f>
        <v>+2.00</v>
      </c>
      <c r="U221" s="1">
        <f ca="1">IFERROR(__xludf.DUMMYFUNCTION("""COMPUTED_VALUE"""),100)</f>
        <v>100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IFERROR(__xludf.DUMMYFUNCTION("""COMPUTED_VALUE"""),"Milwaukee")</f>
        <v>Milwaukee</v>
      </c>
      <c r="C222" s="1" t="str">
        <f ca="1">IFERROR(__xludf.DUMMYFUNCTION("""COMPUTED_VALUE"""),"Horz")</f>
        <v>Horz</v>
      </c>
      <c r="D222" s="2">
        <f ca="1">IFERROR(__xludf.DUMMYFUNCTION("""COMPUTED_VALUE"""),44826)</f>
        <v>44826</v>
      </c>
      <c r="E222" s="1">
        <f ca="1">IFERROR(__xludf.DUMMYFUNCTION("""COMPUTED_VALUE"""),-5.38)</f>
        <v>-5.38</v>
      </c>
      <c r="F222" s="1">
        <f ca="1">IFERROR(__xludf.DUMMYFUNCTION("""COMPUTED_VALUE"""),100.1)</f>
        <v>100.1</v>
      </c>
      <c r="G222" s="1">
        <f ca="1">IFERROR(__xludf.DUMMYFUNCTION("""COMPUTED_VALUE"""),232)</f>
        <v>232</v>
      </c>
      <c r="H222" s="1">
        <f ca="1">IFERROR(__xludf.DUMMYFUNCTION("""COMPUTED_VALUE"""),105.5)</f>
        <v>105.5</v>
      </c>
      <c r="I222" s="1">
        <f ca="1">IFERROR(__xludf.DUMMYFUNCTION("""COMPUTED_VALUE"""),182)</f>
        <v>182</v>
      </c>
      <c r="J222" s="1">
        <f ca="1">IFERROR(__xludf.DUMMYFUNCTION("""COMPUTED_VALUE"""),66.9)</f>
        <v>66.900000000000006</v>
      </c>
      <c r="K222" s="1">
        <f ca="1">IFERROR(__xludf.DUMMYFUNCTION("""COMPUTED_VALUE"""),118)</f>
        <v>118</v>
      </c>
      <c r="L222" s="1" t="str">
        <f ca="1">IFERROR(__xludf.DUMMYFUNCTION("""COMPUTED_VALUE"""),"+.032")</f>
        <v>+.032</v>
      </c>
      <c r="M222" s="1">
        <f ca="1">IFERROR(__xludf.DUMMYFUNCTION("""COMPUTED_VALUE"""),94)</f>
        <v>94</v>
      </c>
      <c r="N222" s="1" t="str">
        <f ca="1">IFERROR(__xludf.DUMMYFUNCTION("""COMPUTED_VALUE"""),"+3.82")</f>
        <v>+3.82</v>
      </c>
      <c r="O222" s="1">
        <f ca="1">IFERROR(__xludf.DUMMYFUNCTION("""COMPUTED_VALUE"""),96)</f>
        <v>96</v>
      </c>
      <c r="P222" s="1">
        <f ca="1">IFERROR(__xludf.DUMMYFUNCTION("""COMPUTED_VALUE"""),106.9)</f>
        <v>106.9</v>
      </c>
      <c r="Q222" s="1">
        <f ca="1">IFERROR(__xludf.DUMMYFUNCTION("""COMPUTED_VALUE"""),83)</f>
        <v>83</v>
      </c>
      <c r="R222" s="1">
        <f ca="1">IFERROR(__xludf.DUMMYFUNCTION("""COMPUTED_VALUE"""),103.1)</f>
        <v>103.1</v>
      </c>
      <c r="S222" s="1">
        <f ca="1">IFERROR(__xludf.DUMMYFUNCTION("""COMPUTED_VALUE"""),111)</f>
        <v>111</v>
      </c>
      <c r="T222" s="1" t="str">
        <f ca="1">IFERROR(__xludf.DUMMYFUNCTION("""COMPUTED_VALUE"""),"+5.28")</f>
        <v>+5.28</v>
      </c>
      <c r="U222" s="1">
        <f ca="1">IFERROR(__xludf.DUMMYFUNCTION("""COMPUTED_VALUE"""),46)</f>
        <v>46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IFERROR(__xludf.DUMMYFUNCTION("""COMPUTED_VALUE"""),"Loyola Marymount")</f>
        <v>Loyola Marymount</v>
      </c>
      <c r="C223" s="1" t="str">
        <f ca="1">IFERROR(__xludf.DUMMYFUNCTION("""COMPUTED_VALUE"""),"WCC")</f>
        <v>WCC</v>
      </c>
      <c r="D223" s="1" t="str">
        <f ca="1">IFERROR(__xludf.DUMMYFUNCTION("""COMPUTED_VALUE"""),"13-18")</f>
        <v>13-18</v>
      </c>
      <c r="E223" s="1">
        <f ca="1">IFERROR(__xludf.DUMMYFUNCTION("""COMPUTED_VALUE"""),-5.5)</f>
        <v>-5.5</v>
      </c>
      <c r="F223" s="1">
        <f ca="1">IFERROR(__xludf.DUMMYFUNCTION("""COMPUTED_VALUE"""),95)</f>
        <v>95</v>
      </c>
      <c r="G223" s="1">
        <f ca="1">IFERROR(__xludf.DUMMYFUNCTION("""COMPUTED_VALUE"""),294)</f>
        <v>294</v>
      </c>
      <c r="H223" s="1">
        <f ca="1">IFERROR(__xludf.DUMMYFUNCTION("""COMPUTED_VALUE"""),100.5)</f>
        <v>100.5</v>
      </c>
      <c r="I223" s="1">
        <f ca="1">IFERROR(__xludf.DUMMYFUNCTION("""COMPUTED_VALUE"""),96)</f>
        <v>96</v>
      </c>
      <c r="J223" s="1">
        <f ca="1">IFERROR(__xludf.DUMMYFUNCTION("""COMPUTED_VALUE"""),67.8)</f>
        <v>67.8</v>
      </c>
      <c r="K223" s="1">
        <f ca="1">IFERROR(__xludf.DUMMYFUNCTION("""COMPUTED_VALUE"""),85)</f>
        <v>85</v>
      </c>
      <c r="L223" s="1" t="str">
        <f ca="1">IFERROR(__xludf.DUMMYFUNCTION("""COMPUTED_VALUE"""),"+.095")</f>
        <v>+.095</v>
      </c>
      <c r="M223" s="1">
        <f ca="1">IFERROR(__xludf.DUMMYFUNCTION("""COMPUTED_VALUE"""),16)</f>
        <v>16</v>
      </c>
      <c r="N223" s="1" t="str">
        <f ca="1">IFERROR(__xludf.DUMMYFUNCTION("""COMPUTED_VALUE"""),"+3.16")</f>
        <v>+3.16</v>
      </c>
      <c r="O223" s="1">
        <f ca="1">IFERROR(__xludf.DUMMYFUNCTION("""COMPUTED_VALUE"""),101)</f>
        <v>101</v>
      </c>
      <c r="P223" s="1">
        <f ca="1">IFERROR(__xludf.DUMMYFUNCTION("""COMPUTED_VALUE"""),106.3)</f>
        <v>106.3</v>
      </c>
      <c r="Q223" s="1">
        <f ca="1">IFERROR(__xludf.DUMMYFUNCTION("""COMPUTED_VALUE"""),99)</f>
        <v>99</v>
      </c>
      <c r="R223" s="1">
        <f ca="1">IFERROR(__xludf.DUMMYFUNCTION("""COMPUTED_VALUE"""),103.1)</f>
        <v>103.1</v>
      </c>
      <c r="S223" s="1">
        <f ca="1">IFERROR(__xludf.DUMMYFUNCTION("""COMPUTED_VALUE"""),112)</f>
        <v>112</v>
      </c>
      <c r="T223" s="1" t="str">
        <f ca="1">IFERROR(__xludf.DUMMYFUNCTION("""COMPUTED_VALUE"""),"+5.98")</f>
        <v>+5.98</v>
      </c>
      <c r="U223" s="1">
        <f ca="1">IFERROR(__xludf.DUMMYFUNCTION("""COMPUTED_VALUE"""),38)</f>
        <v>38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IFERROR(__xludf.DUMMYFUNCTION("""COMPUTED_VALUE"""),"Robert Morris")</f>
        <v>Robert Morris</v>
      </c>
      <c r="C224" s="1" t="str">
        <f ca="1">IFERROR(__xludf.DUMMYFUNCTION("""COMPUTED_VALUE"""),"NEC")</f>
        <v>NEC</v>
      </c>
      <c r="D224" s="1" t="str">
        <f ca="1">IFERROR(__xludf.DUMMYFUNCTION("""COMPUTED_VALUE"""),"17-11")</f>
        <v>17-11</v>
      </c>
      <c r="E224" s="1">
        <f ca="1">IFERROR(__xludf.DUMMYFUNCTION("""COMPUTED_VALUE"""),-5.54)</f>
        <v>-5.54</v>
      </c>
      <c r="F224" s="1">
        <f ca="1">IFERROR(__xludf.DUMMYFUNCTION("""COMPUTED_VALUE"""),106.7)</f>
        <v>106.7</v>
      </c>
      <c r="G224" s="1">
        <f ca="1">IFERROR(__xludf.DUMMYFUNCTION("""COMPUTED_VALUE"""),130)</f>
        <v>130</v>
      </c>
      <c r="H224" s="1">
        <f ca="1">IFERROR(__xludf.DUMMYFUNCTION("""COMPUTED_VALUE"""),112.3)</f>
        <v>112.3</v>
      </c>
      <c r="I224" s="1">
        <f ca="1">IFERROR(__xludf.DUMMYFUNCTION("""COMPUTED_VALUE"""),310)</f>
        <v>310</v>
      </c>
      <c r="J224" s="1">
        <f ca="1">IFERROR(__xludf.DUMMYFUNCTION("""COMPUTED_VALUE"""),66.1)</f>
        <v>66.099999999999994</v>
      </c>
      <c r="K224" s="1">
        <f ca="1">IFERROR(__xludf.DUMMYFUNCTION("""COMPUTED_VALUE"""),154)</f>
        <v>154</v>
      </c>
      <c r="L224" s="1" t="str">
        <f ca="1">IFERROR(__xludf.DUMMYFUNCTION("""COMPUTED_VALUE"""),"+.004")</f>
        <v>+.004</v>
      </c>
      <c r="M224" s="1">
        <f ca="1">IFERROR(__xludf.DUMMYFUNCTION("""COMPUTED_VALUE"""),169)</f>
        <v>169</v>
      </c>
      <c r="N224" s="1">
        <f ca="1">IFERROR(__xludf.DUMMYFUNCTION("""COMPUTED_VALUE"""),-9.72)</f>
        <v>-9.7200000000000006</v>
      </c>
      <c r="O224" s="1">
        <f ca="1">IFERROR(__xludf.DUMMYFUNCTION("""COMPUTED_VALUE"""),318)</f>
        <v>318</v>
      </c>
      <c r="P224" s="1">
        <f ca="1">IFERROR(__xludf.DUMMYFUNCTION("""COMPUTED_VALUE"""),99.7)</f>
        <v>99.7</v>
      </c>
      <c r="Q224" s="1">
        <f ca="1">IFERROR(__xludf.DUMMYFUNCTION("""COMPUTED_VALUE"""),309)</f>
        <v>309</v>
      </c>
      <c r="R224" s="1">
        <f ca="1">IFERROR(__xludf.DUMMYFUNCTION("""COMPUTED_VALUE"""),109.5)</f>
        <v>109.5</v>
      </c>
      <c r="S224" s="1">
        <f ca="1">IFERROR(__xludf.DUMMYFUNCTION("""COMPUTED_VALUE"""),335)</f>
        <v>335</v>
      </c>
      <c r="T224" s="1">
        <f ca="1">IFERROR(__xludf.DUMMYFUNCTION("""COMPUTED_VALUE"""),-6.67)</f>
        <v>-6.67</v>
      </c>
      <c r="U224" s="1">
        <f ca="1">IFERROR(__xludf.DUMMYFUNCTION("""COMPUTED_VALUE"""),309)</f>
        <v>309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IFERROR(__xludf.DUMMYFUNCTION("""COMPUTED_VALUE"""),"UMKC")</f>
        <v>UMKC</v>
      </c>
      <c r="C225" s="1" t="str">
        <f ca="1">IFERROR(__xludf.DUMMYFUNCTION("""COMPUTED_VALUE"""),"MCon")</f>
        <v>MCon</v>
      </c>
      <c r="D225" s="2">
        <f ca="1">IFERROR(__xludf.DUMMYFUNCTION("""COMPUTED_VALUE"""),44915)</f>
        <v>44915</v>
      </c>
      <c r="E225" s="1">
        <f ca="1">IFERROR(__xludf.DUMMYFUNCTION("""COMPUTED_VALUE"""),-5.66)</f>
        <v>-5.66</v>
      </c>
      <c r="F225" s="1">
        <f ca="1">IFERROR(__xludf.DUMMYFUNCTION("""COMPUTED_VALUE"""),107.3)</f>
        <v>107.3</v>
      </c>
      <c r="G225" s="1">
        <f ca="1">IFERROR(__xludf.DUMMYFUNCTION("""COMPUTED_VALUE"""),117)</f>
        <v>117</v>
      </c>
      <c r="H225" s="1">
        <f ca="1">IFERROR(__xludf.DUMMYFUNCTION("""COMPUTED_VALUE"""),112.9)</f>
        <v>112.9</v>
      </c>
      <c r="I225" s="1">
        <f ca="1">IFERROR(__xludf.DUMMYFUNCTION("""COMPUTED_VALUE"""),315)</f>
        <v>315</v>
      </c>
      <c r="J225" s="1">
        <f ca="1">IFERROR(__xludf.DUMMYFUNCTION("""COMPUTED_VALUE"""),66)</f>
        <v>66</v>
      </c>
      <c r="K225" s="1">
        <f ca="1">IFERROR(__xludf.DUMMYFUNCTION("""COMPUTED_VALUE"""),157)</f>
        <v>157</v>
      </c>
      <c r="L225" s="1">
        <f ca="1">IFERROR(__xludf.DUMMYFUNCTION("""COMPUTED_VALUE"""),-0.015)</f>
        <v>-1.4999999999999999E-2</v>
      </c>
      <c r="M225" s="1">
        <f ca="1">IFERROR(__xludf.DUMMYFUNCTION("""COMPUTED_VALUE"""),214)</f>
        <v>214</v>
      </c>
      <c r="N225" s="1">
        <f ca="1">IFERROR(__xludf.DUMMYFUNCTION("""COMPUTED_VALUE"""),-1.28)</f>
        <v>-1.28</v>
      </c>
      <c r="O225" s="1">
        <f ca="1">IFERROR(__xludf.DUMMYFUNCTION("""COMPUTED_VALUE"""),173)</f>
        <v>173</v>
      </c>
      <c r="P225" s="1">
        <f ca="1">IFERROR(__xludf.DUMMYFUNCTION("""COMPUTED_VALUE"""),104.1)</f>
        <v>104.1</v>
      </c>
      <c r="Q225" s="1">
        <f ca="1">IFERROR(__xludf.DUMMYFUNCTION("""COMPUTED_VALUE"""),170)</f>
        <v>170</v>
      </c>
      <c r="R225" s="1">
        <f ca="1">IFERROR(__xludf.DUMMYFUNCTION("""COMPUTED_VALUE"""),105.4)</f>
        <v>105.4</v>
      </c>
      <c r="S225" s="1">
        <f ca="1">IFERROR(__xludf.DUMMYFUNCTION("""COMPUTED_VALUE"""),186)</f>
        <v>186</v>
      </c>
      <c r="T225" s="1" t="str">
        <f ca="1">IFERROR(__xludf.DUMMYFUNCTION("""COMPUTED_VALUE"""),"+0.59")</f>
        <v>+0.59</v>
      </c>
      <c r="U225" s="1">
        <f ca="1">IFERROR(__xludf.DUMMYFUNCTION("""COMPUTED_VALUE"""),143)</f>
        <v>143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IFERROR(__xludf.DUMMYFUNCTION("""COMPUTED_VALUE"""),"Lamar")</f>
        <v>Lamar</v>
      </c>
      <c r="C226" s="1" t="str">
        <f ca="1">IFERROR(__xludf.DUMMYFUNCTION("""COMPUTED_VALUE"""),"Slnd")</f>
        <v>Slnd</v>
      </c>
      <c r="D226" s="1" t="str">
        <f ca="1">IFERROR(__xludf.DUMMYFUNCTION("""COMPUTED_VALUE"""),"15-17")</f>
        <v>15-17</v>
      </c>
      <c r="E226" s="1">
        <f ca="1">IFERROR(__xludf.DUMMYFUNCTION("""COMPUTED_VALUE"""),-5.97)</f>
        <v>-5.97</v>
      </c>
      <c r="F226" s="1">
        <f ca="1">IFERROR(__xludf.DUMMYFUNCTION("""COMPUTED_VALUE"""),103.6)</f>
        <v>103.6</v>
      </c>
      <c r="G226" s="1">
        <f ca="1">IFERROR(__xludf.DUMMYFUNCTION("""COMPUTED_VALUE"""),179)</f>
        <v>179</v>
      </c>
      <c r="H226" s="1">
        <f ca="1">IFERROR(__xludf.DUMMYFUNCTION("""COMPUTED_VALUE"""),109.6)</f>
        <v>109.6</v>
      </c>
      <c r="I226" s="1">
        <f ca="1">IFERROR(__xludf.DUMMYFUNCTION("""COMPUTED_VALUE"""),261)</f>
        <v>261</v>
      </c>
      <c r="J226" s="1">
        <f ca="1">IFERROR(__xludf.DUMMYFUNCTION("""COMPUTED_VALUE"""),68.9)</f>
        <v>68.900000000000006</v>
      </c>
      <c r="K226" s="1">
        <f ca="1">IFERROR(__xludf.DUMMYFUNCTION("""COMPUTED_VALUE"""),59)</f>
        <v>59</v>
      </c>
      <c r="L226" s="1" t="str">
        <f ca="1">IFERROR(__xludf.DUMMYFUNCTION("""COMPUTED_VALUE"""),"+.015")</f>
        <v>+.015</v>
      </c>
      <c r="M226" s="1">
        <f ca="1">IFERROR(__xludf.DUMMYFUNCTION("""COMPUTED_VALUE"""),147)</f>
        <v>147</v>
      </c>
      <c r="N226" s="1">
        <f ca="1">IFERROR(__xludf.DUMMYFUNCTION("""COMPUTED_VALUE"""),-3.32)</f>
        <v>-3.32</v>
      </c>
      <c r="O226" s="1">
        <f ca="1">IFERROR(__xludf.DUMMYFUNCTION("""COMPUTED_VALUE"""),202)</f>
        <v>202</v>
      </c>
      <c r="P226" s="1">
        <f ca="1">IFERROR(__xludf.DUMMYFUNCTION("""COMPUTED_VALUE"""),102.3)</f>
        <v>102.3</v>
      </c>
      <c r="Q226" s="1">
        <f ca="1">IFERROR(__xludf.DUMMYFUNCTION("""COMPUTED_VALUE"""),218)</f>
        <v>218</v>
      </c>
      <c r="R226" s="1">
        <f ca="1">IFERROR(__xludf.DUMMYFUNCTION("""COMPUTED_VALUE"""),105.7)</f>
        <v>105.7</v>
      </c>
      <c r="S226" s="1">
        <f ca="1">IFERROR(__xludf.DUMMYFUNCTION("""COMPUTED_VALUE"""),195)</f>
        <v>195</v>
      </c>
      <c r="T226" s="1" t="str">
        <f ca="1">IFERROR(__xludf.DUMMYFUNCTION("""COMPUTED_VALUE"""),"+4.39")</f>
        <v>+4.39</v>
      </c>
      <c r="U226" s="1">
        <f ca="1">IFERROR(__xludf.DUMMYFUNCTION("""COMPUTED_VALUE"""),61)</f>
        <v>61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IFERROR(__xludf.DUMMYFUNCTION("""COMPUTED_VALUE"""),"Central Michigan")</f>
        <v>Central Michigan</v>
      </c>
      <c r="C227" s="1" t="str">
        <f ca="1">IFERROR(__xludf.DUMMYFUNCTION("""COMPUTED_VALUE"""),"MAC")</f>
        <v>MAC</v>
      </c>
      <c r="D227" s="1" t="str">
        <f ca="1">IFERROR(__xludf.DUMMYFUNCTION("""COMPUTED_VALUE"""),"13-18")</f>
        <v>13-18</v>
      </c>
      <c r="E227" s="1">
        <f ca="1">IFERROR(__xludf.DUMMYFUNCTION("""COMPUTED_VALUE"""),-6.03)</f>
        <v>-6.03</v>
      </c>
      <c r="F227" s="1">
        <f ca="1">IFERROR(__xludf.DUMMYFUNCTION("""COMPUTED_VALUE"""),100.3)</f>
        <v>100.3</v>
      </c>
      <c r="G227" s="1">
        <f ca="1">IFERROR(__xludf.DUMMYFUNCTION("""COMPUTED_VALUE"""),229)</f>
        <v>229</v>
      </c>
      <c r="H227" s="1">
        <f ca="1">IFERROR(__xludf.DUMMYFUNCTION("""COMPUTED_VALUE"""),106.3)</f>
        <v>106.3</v>
      </c>
      <c r="I227" s="1">
        <f ca="1">IFERROR(__xludf.DUMMYFUNCTION("""COMPUTED_VALUE"""),197)</f>
        <v>197</v>
      </c>
      <c r="J227" s="1">
        <f ca="1">IFERROR(__xludf.DUMMYFUNCTION("""COMPUTED_VALUE"""),65.6)</f>
        <v>65.599999999999994</v>
      </c>
      <c r="K227" s="1">
        <f ca="1">IFERROR(__xludf.DUMMYFUNCTION("""COMPUTED_VALUE"""),174)</f>
        <v>174</v>
      </c>
      <c r="L227" s="1" t="str">
        <f ca="1">IFERROR(__xludf.DUMMYFUNCTION("""COMPUTED_VALUE"""),"+.076")</f>
        <v>+.076</v>
      </c>
      <c r="M227" s="1">
        <f ca="1">IFERROR(__xludf.DUMMYFUNCTION("""COMPUTED_VALUE"""),26)</f>
        <v>26</v>
      </c>
      <c r="N227" s="1">
        <f ca="1">IFERROR(__xludf.DUMMYFUNCTION("""COMPUTED_VALUE"""),-0.39)</f>
        <v>-0.39</v>
      </c>
      <c r="O227" s="1">
        <f ca="1">IFERROR(__xludf.DUMMYFUNCTION("""COMPUTED_VALUE"""),160)</f>
        <v>160</v>
      </c>
      <c r="P227" s="1">
        <f ca="1">IFERROR(__xludf.DUMMYFUNCTION("""COMPUTED_VALUE"""),103.7)</f>
        <v>103.7</v>
      </c>
      <c r="Q227" s="1">
        <f ca="1">IFERROR(__xludf.DUMMYFUNCTION("""COMPUTED_VALUE"""),175)</f>
        <v>175</v>
      </c>
      <c r="R227" s="1">
        <f ca="1">IFERROR(__xludf.DUMMYFUNCTION("""COMPUTED_VALUE"""),104.1)</f>
        <v>104.1</v>
      </c>
      <c r="S227" s="1">
        <f ca="1">IFERROR(__xludf.DUMMYFUNCTION("""COMPUTED_VALUE"""),147)</f>
        <v>147</v>
      </c>
      <c r="T227" s="1">
        <f ca="1">IFERROR(__xludf.DUMMYFUNCTION("""COMPUTED_VALUE"""),-1.3)</f>
        <v>-1.3</v>
      </c>
      <c r="U227" s="1">
        <f ca="1">IFERROR(__xludf.DUMMYFUNCTION("""COMPUTED_VALUE"""),179)</f>
        <v>179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IFERROR(__xludf.DUMMYFUNCTION("""COMPUTED_VALUE"""),"Colorado")</f>
        <v>Colorado</v>
      </c>
      <c r="C228" s="1" t="str">
        <f ca="1">IFERROR(__xludf.DUMMYFUNCTION("""COMPUTED_VALUE"""),"B12")</f>
        <v>B12</v>
      </c>
      <c r="D228" s="2">
        <f ca="1">IFERROR(__xludf.DUMMYFUNCTION("""COMPUTED_VALUE"""),44762)</f>
        <v>44762</v>
      </c>
      <c r="E228" s="1">
        <f ca="1">IFERROR(__xludf.DUMMYFUNCTION("""COMPUTED_VALUE"""),-6.04)</f>
        <v>-6.04</v>
      </c>
      <c r="F228" s="1">
        <f ca="1">IFERROR(__xludf.DUMMYFUNCTION("""COMPUTED_VALUE"""),100.7)</f>
        <v>100.7</v>
      </c>
      <c r="G228" s="1">
        <f ca="1">IFERROR(__xludf.DUMMYFUNCTION("""COMPUTED_VALUE"""),224)</f>
        <v>224</v>
      </c>
      <c r="H228" s="1">
        <f ca="1">IFERROR(__xludf.DUMMYFUNCTION("""COMPUTED_VALUE"""),106.7)</f>
        <v>106.7</v>
      </c>
      <c r="I228" s="1">
        <f ca="1">IFERROR(__xludf.DUMMYFUNCTION("""COMPUTED_VALUE"""),208)</f>
        <v>208</v>
      </c>
      <c r="J228" s="1">
        <f ca="1">IFERROR(__xludf.DUMMYFUNCTION("""COMPUTED_VALUE"""),71.6)</f>
        <v>71.599999999999994</v>
      </c>
      <c r="K228" s="1">
        <f ca="1">IFERROR(__xludf.DUMMYFUNCTION("""COMPUTED_VALUE"""),16)</f>
        <v>16</v>
      </c>
      <c r="L228" s="1" t="str">
        <f ca="1">IFERROR(__xludf.DUMMYFUNCTION("""COMPUTED_VALUE"""),"+.037")</f>
        <v>+.037</v>
      </c>
      <c r="M228" s="1">
        <f ca="1">IFERROR(__xludf.DUMMYFUNCTION("""COMPUTED_VALUE"""),84)</f>
        <v>84</v>
      </c>
      <c r="N228" s="1" t="str">
        <f ca="1">IFERROR(__xludf.DUMMYFUNCTION("""COMPUTED_VALUE"""),"+7.25")</f>
        <v>+7.25</v>
      </c>
      <c r="O228" s="1">
        <f ca="1">IFERROR(__xludf.DUMMYFUNCTION("""COMPUTED_VALUE"""),54)</f>
        <v>54</v>
      </c>
      <c r="P228" s="1">
        <f ca="1">IFERROR(__xludf.DUMMYFUNCTION("""COMPUTED_VALUE"""),108.8)</f>
        <v>108.8</v>
      </c>
      <c r="Q228" s="1">
        <f ca="1">IFERROR(__xludf.DUMMYFUNCTION("""COMPUTED_VALUE"""),42)</f>
        <v>42</v>
      </c>
      <c r="R228" s="1">
        <f ca="1">IFERROR(__xludf.DUMMYFUNCTION("""COMPUTED_VALUE"""),101.5)</f>
        <v>101.5</v>
      </c>
      <c r="S228" s="1">
        <f ca="1">IFERROR(__xludf.DUMMYFUNCTION("""COMPUTED_VALUE"""),71)</f>
        <v>71</v>
      </c>
      <c r="T228" s="1">
        <f ca="1">IFERROR(__xludf.DUMMYFUNCTION("""COMPUTED_VALUE"""),-3.71)</f>
        <v>-3.71</v>
      </c>
      <c r="U228" s="1">
        <f ca="1">IFERROR(__xludf.DUMMYFUNCTION("""COMPUTED_VALUE"""),245)</f>
        <v>245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IFERROR(__xludf.DUMMYFUNCTION("""COMPUTED_VALUE"""),"Bowling Green")</f>
        <v>Bowling Green</v>
      </c>
      <c r="C229" s="1" t="str">
        <f ca="1">IFERROR(__xludf.DUMMYFUNCTION("""COMPUTED_VALUE"""),"MAC")</f>
        <v>MAC</v>
      </c>
      <c r="D229" s="1" t="str">
        <f ca="1">IFERROR(__xludf.DUMMYFUNCTION("""COMPUTED_VALUE"""),"13-18")</f>
        <v>13-18</v>
      </c>
      <c r="E229" s="1">
        <f ca="1">IFERROR(__xludf.DUMMYFUNCTION("""COMPUTED_VALUE"""),-6.18)</f>
        <v>-6.18</v>
      </c>
      <c r="F229" s="1">
        <f ca="1">IFERROR(__xludf.DUMMYFUNCTION("""COMPUTED_VALUE"""),99.6)</f>
        <v>99.6</v>
      </c>
      <c r="G229" s="1">
        <f ca="1">IFERROR(__xludf.DUMMYFUNCTION("""COMPUTED_VALUE"""),236)</f>
        <v>236</v>
      </c>
      <c r="H229" s="1">
        <f ca="1">IFERROR(__xludf.DUMMYFUNCTION("""COMPUTED_VALUE"""),105.8)</f>
        <v>105.8</v>
      </c>
      <c r="I229" s="1">
        <f ca="1">IFERROR(__xludf.DUMMYFUNCTION("""COMPUTED_VALUE"""),187)</f>
        <v>187</v>
      </c>
      <c r="J229" s="1">
        <f ca="1">IFERROR(__xludf.DUMMYFUNCTION("""COMPUTED_VALUE"""),67.6)</f>
        <v>67.599999999999994</v>
      </c>
      <c r="K229" s="1">
        <f ca="1">IFERROR(__xludf.DUMMYFUNCTION("""COMPUTED_VALUE"""),94)</f>
        <v>94</v>
      </c>
      <c r="L229" s="1" t="str">
        <f ca="1">IFERROR(__xludf.DUMMYFUNCTION("""COMPUTED_VALUE"""),"+.028")</f>
        <v>+.028</v>
      </c>
      <c r="M229" s="1">
        <f ca="1">IFERROR(__xludf.DUMMYFUNCTION("""COMPUTED_VALUE"""),111)</f>
        <v>111</v>
      </c>
      <c r="N229" s="1">
        <f ca="1">IFERROR(__xludf.DUMMYFUNCTION("""COMPUTED_VALUE"""),-1.39)</f>
        <v>-1.39</v>
      </c>
      <c r="O229" s="1">
        <f ca="1">IFERROR(__xludf.DUMMYFUNCTION("""COMPUTED_VALUE"""),176)</f>
        <v>176</v>
      </c>
      <c r="P229" s="1">
        <f ca="1">IFERROR(__xludf.DUMMYFUNCTION("""COMPUTED_VALUE"""),103.3)</f>
        <v>103.3</v>
      </c>
      <c r="Q229" s="1">
        <f ca="1">IFERROR(__xludf.DUMMYFUNCTION("""COMPUTED_VALUE"""),189)</f>
        <v>189</v>
      </c>
      <c r="R229" s="1">
        <f ca="1">IFERROR(__xludf.DUMMYFUNCTION("""COMPUTED_VALUE"""),104.7)</f>
        <v>104.7</v>
      </c>
      <c r="S229" s="1">
        <f ca="1">IFERROR(__xludf.DUMMYFUNCTION("""COMPUTED_VALUE"""),162)</f>
        <v>162</v>
      </c>
      <c r="T229" s="1">
        <f ca="1">IFERROR(__xludf.DUMMYFUNCTION("""COMPUTED_VALUE"""),-7.09)</f>
        <v>-7.09</v>
      </c>
      <c r="U229" s="1">
        <f ca="1">IFERROR(__xludf.DUMMYFUNCTION("""COMPUTED_VALUE"""),315)</f>
        <v>315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IFERROR(__xludf.DUMMYFUNCTION("""COMPUTED_VALUE"""),"Murray St.")</f>
        <v>Murray St.</v>
      </c>
      <c r="C230" s="1" t="str">
        <f ca="1">IFERROR(__xludf.DUMMYFUNCTION("""COMPUTED_VALUE"""),"OVC")</f>
        <v>OVC</v>
      </c>
      <c r="D230" s="1" t="str">
        <f ca="1">IFERROR(__xludf.DUMMYFUNCTION("""COMPUTED_VALUE"""),"16-14")</f>
        <v>16-14</v>
      </c>
      <c r="E230" s="1">
        <f ca="1">IFERROR(__xludf.DUMMYFUNCTION("""COMPUTED_VALUE"""),-6.31)</f>
        <v>-6.31</v>
      </c>
      <c r="F230" s="1">
        <f ca="1">IFERROR(__xludf.DUMMYFUNCTION("""COMPUTED_VALUE"""),98.4)</f>
        <v>98.4</v>
      </c>
      <c r="G230" s="1">
        <f ca="1">IFERROR(__xludf.DUMMYFUNCTION("""COMPUTED_VALUE"""),259)</f>
        <v>259</v>
      </c>
      <c r="H230" s="1">
        <f ca="1">IFERROR(__xludf.DUMMYFUNCTION("""COMPUTED_VALUE"""),104.7)</f>
        <v>104.7</v>
      </c>
      <c r="I230" s="1">
        <f ca="1">IFERROR(__xludf.DUMMYFUNCTION("""COMPUTED_VALUE"""),164)</f>
        <v>164</v>
      </c>
      <c r="J230" s="1">
        <f ca="1">IFERROR(__xludf.DUMMYFUNCTION("""COMPUTED_VALUE"""),64.9)</f>
        <v>64.900000000000006</v>
      </c>
      <c r="K230" s="1">
        <f ca="1">IFERROR(__xludf.DUMMYFUNCTION("""COMPUTED_VALUE"""),202)</f>
        <v>202</v>
      </c>
      <c r="L230" s="1" t="str">
        <f ca="1">IFERROR(__xludf.DUMMYFUNCTION("""COMPUTED_VALUE"""),"+.052")</f>
        <v>+.052</v>
      </c>
      <c r="M230" s="1">
        <f ca="1">IFERROR(__xludf.DUMMYFUNCTION("""COMPUTED_VALUE"""),59)</f>
        <v>59</v>
      </c>
      <c r="N230" s="1">
        <f ca="1">IFERROR(__xludf.DUMMYFUNCTION("""COMPUTED_VALUE"""),-6.27)</f>
        <v>-6.27</v>
      </c>
      <c r="O230" s="1">
        <f ca="1">IFERROR(__xludf.DUMMYFUNCTION("""COMPUTED_VALUE"""),280)</f>
        <v>280</v>
      </c>
      <c r="P230" s="1">
        <f ca="1">IFERROR(__xludf.DUMMYFUNCTION("""COMPUTED_VALUE"""),101.7)</f>
        <v>101.7</v>
      </c>
      <c r="Q230" s="1">
        <f ca="1">IFERROR(__xludf.DUMMYFUNCTION("""COMPUTED_VALUE"""),246)</f>
        <v>246</v>
      </c>
      <c r="R230" s="1">
        <f ca="1">IFERROR(__xludf.DUMMYFUNCTION("""COMPUTED_VALUE"""),108)</f>
        <v>108</v>
      </c>
      <c r="S230" s="1">
        <f ca="1">IFERROR(__xludf.DUMMYFUNCTION("""COMPUTED_VALUE"""),309)</f>
        <v>309</v>
      </c>
      <c r="T230" s="1" t="str">
        <f ca="1">IFERROR(__xludf.DUMMYFUNCTION("""COMPUTED_VALUE"""),"+11.85")</f>
        <v>+11.85</v>
      </c>
      <c r="U230" s="1">
        <f ca="1">IFERROR(__xludf.DUMMYFUNCTION("""COMPUTED_VALUE"""),8)</f>
        <v>8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IFERROR(__xludf.DUMMYFUNCTION("""COMPUTED_VALUE"""),"Liberty")</f>
        <v>Liberty</v>
      </c>
      <c r="C231" s="1" t="str">
        <f ca="1">IFERROR(__xludf.DUMMYFUNCTION("""COMPUTED_VALUE"""),"BSth")</f>
        <v>BSth</v>
      </c>
      <c r="D231" s="1" t="str">
        <f ca="1">IFERROR(__xludf.DUMMYFUNCTION("""COMPUTED_VALUE"""),"14-17")</f>
        <v>14-17</v>
      </c>
      <c r="E231" s="1">
        <f ca="1">IFERROR(__xludf.DUMMYFUNCTION("""COMPUTED_VALUE"""),-6.34)</f>
        <v>-6.34</v>
      </c>
      <c r="F231" s="1">
        <f ca="1">IFERROR(__xludf.DUMMYFUNCTION("""COMPUTED_VALUE"""),102.1)</f>
        <v>102.1</v>
      </c>
      <c r="G231" s="1">
        <f ca="1">IFERROR(__xludf.DUMMYFUNCTION("""COMPUTED_VALUE"""),204)</f>
        <v>204</v>
      </c>
      <c r="H231" s="1">
        <f ca="1">IFERROR(__xludf.DUMMYFUNCTION("""COMPUTED_VALUE"""),108.4)</f>
        <v>108.4</v>
      </c>
      <c r="I231" s="1">
        <f ca="1">IFERROR(__xludf.DUMMYFUNCTION("""COMPUTED_VALUE"""),237)</f>
        <v>237</v>
      </c>
      <c r="J231" s="1">
        <f ca="1">IFERROR(__xludf.DUMMYFUNCTION("""COMPUTED_VALUE"""),68.3)</f>
        <v>68.3</v>
      </c>
      <c r="K231" s="1">
        <f ca="1">IFERROR(__xludf.DUMMYFUNCTION("""COMPUTED_VALUE"""),71)</f>
        <v>71</v>
      </c>
      <c r="L231" s="1">
        <f ca="1">IFERROR(__xludf.DUMMYFUNCTION("""COMPUTED_VALUE"""),-0.054)</f>
        <v>-5.3999999999999999E-2</v>
      </c>
      <c r="M231" s="1">
        <f ca="1">IFERROR(__xludf.DUMMYFUNCTION("""COMPUTED_VALUE"""),292)</f>
        <v>292</v>
      </c>
      <c r="N231" s="1">
        <f ca="1">IFERROR(__xludf.DUMMYFUNCTION("""COMPUTED_VALUE"""),-5.87)</f>
        <v>-5.87</v>
      </c>
      <c r="O231" s="1">
        <f ca="1">IFERROR(__xludf.DUMMYFUNCTION("""COMPUTED_VALUE"""),268)</f>
        <v>268</v>
      </c>
      <c r="P231" s="1">
        <f ca="1">IFERROR(__xludf.DUMMYFUNCTION("""COMPUTED_VALUE"""),101.9)</f>
        <v>101.9</v>
      </c>
      <c r="Q231" s="1">
        <f ca="1">IFERROR(__xludf.DUMMYFUNCTION("""COMPUTED_VALUE"""),240)</f>
        <v>240</v>
      </c>
      <c r="R231" s="1">
        <f ca="1">IFERROR(__xludf.DUMMYFUNCTION("""COMPUTED_VALUE"""),107.7)</f>
        <v>107.7</v>
      </c>
      <c r="S231" s="1">
        <f ca="1">IFERROR(__xludf.DUMMYFUNCTION("""COMPUTED_VALUE"""),294)</f>
        <v>294</v>
      </c>
      <c r="T231" s="1">
        <f ca="1">IFERROR(__xludf.DUMMYFUNCTION("""COMPUTED_VALUE"""),-1.91)</f>
        <v>-1.91</v>
      </c>
      <c r="U231" s="1">
        <f ca="1">IFERROR(__xludf.DUMMYFUNCTION("""COMPUTED_VALUE"""),199)</f>
        <v>199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IFERROR(__xludf.DUMMYFUNCTION("""COMPUTED_VALUE"""),"Pepperdine")</f>
        <v>Pepperdine</v>
      </c>
      <c r="C232" s="1" t="str">
        <f ca="1">IFERROR(__xludf.DUMMYFUNCTION("""COMPUTED_VALUE"""),"WCC")</f>
        <v>WCC</v>
      </c>
      <c r="D232" s="2">
        <f ca="1">IFERROR(__xludf.DUMMYFUNCTION("""COMPUTED_VALUE"""),44796)</f>
        <v>44796</v>
      </c>
      <c r="E232" s="1">
        <f ca="1">IFERROR(__xludf.DUMMYFUNCTION("""COMPUTED_VALUE"""),-6.57)</f>
        <v>-6.57</v>
      </c>
      <c r="F232" s="1">
        <f ca="1">IFERROR(__xludf.DUMMYFUNCTION("""COMPUTED_VALUE"""),105)</f>
        <v>105</v>
      </c>
      <c r="G232" s="1">
        <f ca="1">IFERROR(__xludf.DUMMYFUNCTION("""COMPUTED_VALUE"""),152)</f>
        <v>152</v>
      </c>
      <c r="H232" s="1">
        <f ca="1">IFERROR(__xludf.DUMMYFUNCTION("""COMPUTED_VALUE"""),111.6)</f>
        <v>111.6</v>
      </c>
      <c r="I232" s="1">
        <f ca="1">IFERROR(__xludf.DUMMYFUNCTION("""COMPUTED_VALUE"""),300)</f>
        <v>300</v>
      </c>
      <c r="J232" s="1">
        <f ca="1">IFERROR(__xludf.DUMMYFUNCTION("""COMPUTED_VALUE"""),72.4)</f>
        <v>72.400000000000006</v>
      </c>
      <c r="K232" s="1">
        <f ca="1">IFERROR(__xludf.DUMMYFUNCTION("""COMPUTED_VALUE"""),9)</f>
        <v>9</v>
      </c>
      <c r="L232" s="1">
        <f ca="1">IFERROR(__xludf.DUMMYFUNCTION("""COMPUTED_VALUE"""),-0.024)</f>
        <v>-2.4E-2</v>
      </c>
      <c r="M232" s="1">
        <f ca="1">IFERROR(__xludf.DUMMYFUNCTION("""COMPUTED_VALUE"""),244)</f>
        <v>244</v>
      </c>
      <c r="N232" s="1" t="str">
        <f ca="1">IFERROR(__xludf.DUMMYFUNCTION("""COMPUTED_VALUE"""),"+1.04")</f>
        <v>+1.04</v>
      </c>
      <c r="O232" s="1">
        <f ca="1">IFERROR(__xludf.DUMMYFUNCTION("""COMPUTED_VALUE"""),134)</f>
        <v>134</v>
      </c>
      <c r="P232" s="1">
        <f ca="1">IFERROR(__xludf.DUMMYFUNCTION("""COMPUTED_VALUE"""),104.8)</f>
        <v>104.8</v>
      </c>
      <c r="Q232" s="1">
        <f ca="1">IFERROR(__xludf.DUMMYFUNCTION("""COMPUTED_VALUE"""),140)</f>
        <v>140</v>
      </c>
      <c r="R232" s="1">
        <f ca="1">IFERROR(__xludf.DUMMYFUNCTION("""COMPUTED_VALUE"""),103.8)</f>
        <v>103.8</v>
      </c>
      <c r="S232" s="1">
        <f ca="1">IFERROR(__xludf.DUMMYFUNCTION("""COMPUTED_VALUE"""),138)</f>
        <v>138</v>
      </c>
      <c r="T232" s="1" t="str">
        <f ca="1">IFERROR(__xludf.DUMMYFUNCTION("""COMPUTED_VALUE"""),"+0.99")</f>
        <v>+0.99</v>
      </c>
      <c r="U232" s="1">
        <f ca="1">IFERROR(__xludf.DUMMYFUNCTION("""COMPUTED_VALUE"""),129)</f>
        <v>129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IFERROR(__xludf.DUMMYFUNCTION("""COMPUTED_VALUE"""),"Samford")</f>
        <v>Samford</v>
      </c>
      <c r="C233" s="1" t="str">
        <f ca="1">IFERROR(__xludf.DUMMYFUNCTION("""COMPUTED_VALUE"""),"OVC")</f>
        <v>OVC</v>
      </c>
      <c r="D233" s="1" t="str">
        <f ca="1">IFERROR(__xludf.DUMMYFUNCTION("""COMPUTED_VALUE"""),"16-16")</f>
        <v>16-16</v>
      </c>
      <c r="E233" s="1">
        <f ca="1">IFERROR(__xludf.DUMMYFUNCTION("""COMPUTED_VALUE"""),-6.62)</f>
        <v>-6.62</v>
      </c>
      <c r="F233" s="1">
        <f ca="1">IFERROR(__xludf.DUMMYFUNCTION("""COMPUTED_VALUE"""),106.2)</f>
        <v>106.2</v>
      </c>
      <c r="G233" s="1">
        <f ca="1">IFERROR(__xludf.DUMMYFUNCTION("""COMPUTED_VALUE"""),138)</f>
        <v>138</v>
      </c>
      <c r="H233" s="1">
        <f ca="1">IFERROR(__xludf.DUMMYFUNCTION("""COMPUTED_VALUE"""),112.8)</f>
        <v>112.8</v>
      </c>
      <c r="I233" s="1">
        <f ca="1">IFERROR(__xludf.DUMMYFUNCTION("""COMPUTED_VALUE"""),314)</f>
        <v>314</v>
      </c>
      <c r="J233" s="1">
        <f ca="1">IFERROR(__xludf.DUMMYFUNCTION("""COMPUTED_VALUE"""),54.5)</f>
        <v>54.5</v>
      </c>
      <c r="K233" s="1">
        <f ca="1">IFERROR(__xludf.DUMMYFUNCTION("""COMPUTED_VALUE"""),334)</f>
        <v>334</v>
      </c>
      <c r="L233" s="1" t="str">
        <f ca="1">IFERROR(__xludf.DUMMYFUNCTION("""COMPUTED_VALUE"""),"+.043")</f>
        <v>+.043</v>
      </c>
      <c r="M233" s="1">
        <f ca="1">IFERROR(__xludf.DUMMYFUNCTION("""COMPUTED_VALUE"""),73)</f>
        <v>73</v>
      </c>
      <c r="N233" s="1">
        <f ca="1">IFERROR(__xludf.DUMMYFUNCTION("""COMPUTED_VALUE"""),-4.58)</f>
        <v>-4.58</v>
      </c>
      <c r="O233" s="1">
        <f ca="1">IFERROR(__xludf.DUMMYFUNCTION("""COMPUTED_VALUE"""),235)</f>
        <v>235</v>
      </c>
      <c r="P233" s="1">
        <f ca="1">IFERROR(__xludf.DUMMYFUNCTION("""COMPUTED_VALUE"""),102)</f>
        <v>102</v>
      </c>
      <c r="Q233" s="1">
        <f ca="1">IFERROR(__xludf.DUMMYFUNCTION("""COMPUTED_VALUE"""),237)</f>
        <v>237</v>
      </c>
      <c r="R233" s="1">
        <f ca="1">IFERROR(__xludf.DUMMYFUNCTION("""COMPUTED_VALUE"""),106.6)</f>
        <v>106.6</v>
      </c>
      <c r="S233" s="1">
        <f ca="1">IFERROR(__xludf.DUMMYFUNCTION("""COMPUTED_VALUE"""),242)</f>
        <v>242</v>
      </c>
      <c r="T233" s="1" t="str">
        <f ca="1">IFERROR(__xludf.DUMMYFUNCTION("""COMPUTED_VALUE"""),"+9.75")</f>
        <v>+9.75</v>
      </c>
      <c r="U233" s="1">
        <f ca="1">IFERROR(__xludf.DUMMYFUNCTION("""COMPUTED_VALUE"""),16)</f>
        <v>16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IFERROR(__xludf.DUMMYFUNCTION("""COMPUTED_VALUE"""),"Binghamton")</f>
        <v>Binghamton</v>
      </c>
      <c r="C234" s="1" t="str">
        <f ca="1">IFERROR(__xludf.DUMMYFUNCTION("""COMPUTED_VALUE"""),"AE")</f>
        <v>AE</v>
      </c>
      <c r="D234" s="1" t="str">
        <f ca="1">IFERROR(__xludf.DUMMYFUNCTION("""COMPUTED_VALUE"""),"13-16")</f>
        <v>13-16</v>
      </c>
      <c r="E234" s="1">
        <f ca="1">IFERROR(__xludf.DUMMYFUNCTION("""COMPUTED_VALUE"""),-6.74)</f>
        <v>-6.74</v>
      </c>
      <c r="F234" s="1">
        <f ca="1">IFERROR(__xludf.DUMMYFUNCTION("""COMPUTED_VALUE"""),98.7)</f>
        <v>98.7</v>
      </c>
      <c r="G234" s="1">
        <f ca="1">IFERROR(__xludf.DUMMYFUNCTION("""COMPUTED_VALUE"""),252)</f>
        <v>252</v>
      </c>
      <c r="H234" s="1">
        <f ca="1">IFERROR(__xludf.DUMMYFUNCTION("""COMPUTED_VALUE"""),105.4)</f>
        <v>105.4</v>
      </c>
      <c r="I234" s="1">
        <f ca="1">IFERROR(__xludf.DUMMYFUNCTION("""COMPUTED_VALUE"""),181)</f>
        <v>181</v>
      </c>
      <c r="J234" s="1">
        <f ca="1">IFERROR(__xludf.DUMMYFUNCTION("""COMPUTED_VALUE"""),66.7)</f>
        <v>66.7</v>
      </c>
      <c r="K234" s="1">
        <f ca="1">IFERROR(__xludf.DUMMYFUNCTION("""COMPUTED_VALUE"""),123)</f>
        <v>123</v>
      </c>
      <c r="L234" s="1">
        <f ca="1">IFERROR(__xludf.DUMMYFUNCTION("""COMPUTED_VALUE"""),-0.047)</f>
        <v>-4.7E-2</v>
      </c>
      <c r="M234" s="1">
        <f ca="1">IFERROR(__xludf.DUMMYFUNCTION("""COMPUTED_VALUE"""),282)</f>
        <v>282</v>
      </c>
      <c r="N234" s="1">
        <f ca="1">IFERROR(__xludf.DUMMYFUNCTION("""COMPUTED_VALUE"""),-7.91)</f>
        <v>-7.91</v>
      </c>
      <c r="O234" s="1">
        <f ca="1">IFERROR(__xludf.DUMMYFUNCTION("""COMPUTED_VALUE"""),304)</f>
        <v>304</v>
      </c>
      <c r="P234" s="1">
        <f ca="1">IFERROR(__xludf.DUMMYFUNCTION("""COMPUTED_VALUE"""),99.7)</f>
        <v>99.7</v>
      </c>
      <c r="Q234" s="1">
        <f ca="1">IFERROR(__xludf.DUMMYFUNCTION("""COMPUTED_VALUE"""),310)</f>
        <v>310</v>
      </c>
      <c r="R234" s="1">
        <f ca="1">IFERROR(__xludf.DUMMYFUNCTION("""COMPUTED_VALUE"""),107.6)</f>
        <v>107.6</v>
      </c>
      <c r="S234" s="1">
        <f ca="1">IFERROR(__xludf.DUMMYFUNCTION("""COMPUTED_VALUE"""),290)</f>
        <v>290</v>
      </c>
      <c r="T234" s="1">
        <f ca="1">IFERROR(__xludf.DUMMYFUNCTION("""COMPUTED_VALUE"""),-9.55)</f>
        <v>-9.5500000000000007</v>
      </c>
      <c r="U234" s="1">
        <f ca="1">IFERROR(__xludf.DUMMYFUNCTION("""COMPUTED_VALUE"""),326)</f>
        <v>326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IFERROR(__xludf.DUMMYFUNCTION("""COMPUTED_VALUE"""),"Duquesne")</f>
        <v>Duquesne</v>
      </c>
      <c r="C235" s="1" t="str">
        <f ca="1">IFERROR(__xludf.DUMMYFUNCTION("""COMPUTED_VALUE"""),"A10")</f>
        <v>A10</v>
      </c>
      <c r="D235" s="2">
        <f ca="1">IFERROR(__xludf.DUMMYFUNCTION("""COMPUTED_VALUE"""),44853)</f>
        <v>44853</v>
      </c>
      <c r="E235" s="1">
        <f ca="1">IFERROR(__xludf.DUMMYFUNCTION("""COMPUTED_VALUE"""),-6.78)</f>
        <v>-6.78</v>
      </c>
      <c r="F235" s="1">
        <f ca="1">IFERROR(__xludf.DUMMYFUNCTION("""COMPUTED_VALUE"""),107.7)</f>
        <v>107.7</v>
      </c>
      <c r="G235" s="1">
        <f ca="1">IFERROR(__xludf.DUMMYFUNCTION("""COMPUTED_VALUE"""),108)</f>
        <v>108</v>
      </c>
      <c r="H235" s="1">
        <f ca="1">IFERROR(__xludf.DUMMYFUNCTION("""COMPUTED_VALUE"""),114.5)</f>
        <v>114.5</v>
      </c>
      <c r="I235" s="1">
        <f ca="1">IFERROR(__xludf.DUMMYFUNCTION("""COMPUTED_VALUE"""),327)</f>
        <v>327</v>
      </c>
      <c r="J235" s="1">
        <f ca="1">IFERROR(__xludf.DUMMYFUNCTION("""COMPUTED_VALUE"""),73.3)</f>
        <v>73.3</v>
      </c>
      <c r="K235" s="1">
        <f ca="1">IFERROR(__xludf.DUMMYFUNCTION("""COMPUTED_VALUE"""),6)</f>
        <v>6</v>
      </c>
      <c r="L235" s="1" t="str">
        <f ca="1">IFERROR(__xludf.DUMMYFUNCTION("""COMPUTED_VALUE"""),"+.029")</f>
        <v>+.029</v>
      </c>
      <c r="M235" s="1">
        <f ca="1">IFERROR(__xludf.DUMMYFUNCTION("""COMPUTED_VALUE"""),107)</f>
        <v>107</v>
      </c>
      <c r="N235" s="1" t="str">
        <f ca="1">IFERROR(__xludf.DUMMYFUNCTION("""COMPUTED_VALUE"""),"+0.15")</f>
        <v>+0.15</v>
      </c>
      <c r="O235" s="1">
        <f ca="1">IFERROR(__xludf.DUMMYFUNCTION("""COMPUTED_VALUE"""),153)</f>
        <v>153</v>
      </c>
      <c r="P235" s="1">
        <f ca="1">IFERROR(__xludf.DUMMYFUNCTION("""COMPUTED_VALUE"""),106)</f>
        <v>106</v>
      </c>
      <c r="Q235" s="1">
        <f ca="1">IFERROR(__xludf.DUMMYFUNCTION("""COMPUTED_VALUE"""),105)</f>
        <v>105</v>
      </c>
      <c r="R235" s="1">
        <f ca="1">IFERROR(__xludf.DUMMYFUNCTION("""COMPUTED_VALUE"""),105.8)</f>
        <v>105.8</v>
      </c>
      <c r="S235" s="1">
        <f ca="1">IFERROR(__xludf.DUMMYFUNCTION("""COMPUTED_VALUE"""),203)</f>
        <v>203</v>
      </c>
      <c r="T235" s="1" t="str">
        <f ca="1">IFERROR(__xludf.DUMMYFUNCTION("""COMPUTED_VALUE"""),"+0.53")</f>
        <v>+0.53</v>
      </c>
      <c r="U235" s="1">
        <f ca="1">IFERROR(__xludf.DUMMYFUNCTION("""COMPUTED_VALUE"""),145)</f>
        <v>145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IFERROR(__xludf.DUMMYFUNCTION("""COMPUTED_VALUE"""),"Eastern Michigan")</f>
        <v>Eastern Michigan</v>
      </c>
      <c r="C236" s="1" t="str">
        <f ca="1">IFERROR(__xludf.DUMMYFUNCTION("""COMPUTED_VALUE"""),"MAC")</f>
        <v>MAC</v>
      </c>
      <c r="D236" s="1" t="str">
        <f ca="1">IFERROR(__xludf.DUMMYFUNCTION("""COMPUTED_VALUE"""),"13-19")</f>
        <v>13-19</v>
      </c>
      <c r="E236" s="1">
        <f ca="1">IFERROR(__xludf.DUMMYFUNCTION("""COMPUTED_VALUE"""),-6.85)</f>
        <v>-6.85</v>
      </c>
      <c r="F236" s="1">
        <f ca="1">IFERROR(__xludf.DUMMYFUNCTION("""COMPUTED_VALUE"""),98)</f>
        <v>98</v>
      </c>
      <c r="G236" s="1">
        <f ca="1">IFERROR(__xludf.DUMMYFUNCTION("""COMPUTED_VALUE"""),265)</f>
        <v>265</v>
      </c>
      <c r="H236" s="1">
        <f ca="1">IFERROR(__xludf.DUMMYFUNCTION("""COMPUTED_VALUE"""),104.8)</f>
        <v>104.8</v>
      </c>
      <c r="I236" s="1">
        <f ca="1">IFERROR(__xludf.DUMMYFUNCTION("""COMPUTED_VALUE"""),167)</f>
        <v>167</v>
      </c>
      <c r="J236" s="1">
        <f ca="1">IFERROR(__xludf.DUMMYFUNCTION("""COMPUTED_VALUE"""),65.7)</f>
        <v>65.7</v>
      </c>
      <c r="K236" s="1">
        <f ca="1">IFERROR(__xludf.DUMMYFUNCTION("""COMPUTED_VALUE"""),172)</f>
        <v>172</v>
      </c>
      <c r="L236" s="1" t="str">
        <f ca="1">IFERROR(__xludf.DUMMYFUNCTION("""COMPUTED_VALUE"""),"+.065")</f>
        <v>+.065</v>
      </c>
      <c r="M236" s="1">
        <f ca="1">IFERROR(__xludf.DUMMYFUNCTION("""COMPUTED_VALUE"""),38)</f>
        <v>38</v>
      </c>
      <c r="N236" s="1">
        <f ca="1">IFERROR(__xludf.DUMMYFUNCTION("""COMPUTED_VALUE"""),-0.82)</f>
        <v>-0.82</v>
      </c>
      <c r="O236" s="1">
        <f ca="1">IFERROR(__xludf.DUMMYFUNCTION("""COMPUTED_VALUE"""),167)</f>
        <v>167</v>
      </c>
      <c r="P236" s="1">
        <f ca="1">IFERROR(__xludf.DUMMYFUNCTION("""COMPUTED_VALUE"""),103.5)</f>
        <v>103.5</v>
      </c>
      <c r="Q236" s="1">
        <f ca="1">IFERROR(__xludf.DUMMYFUNCTION("""COMPUTED_VALUE"""),185)</f>
        <v>185</v>
      </c>
      <c r="R236" s="1">
        <f ca="1">IFERROR(__xludf.DUMMYFUNCTION("""COMPUTED_VALUE"""),104.3)</f>
        <v>104.3</v>
      </c>
      <c r="S236" s="1">
        <f ca="1">IFERROR(__xludf.DUMMYFUNCTION("""COMPUTED_VALUE"""),153)</f>
        <v>153</v>
      </c>
      <c r="T236" s="1">
        <f ca="1">IFERROR(__xludf.DUMMYFUNCTION("""COMPUTED_VALUE"""),-1.96)</f>
        <v>-1.96</v>
      </c>
      <c r="U236" s="1">
        <f ca="1">IFERROR(__xludf.DUMMYFUNCTION("""COMPUTED_VALUE"""),203)</f>
        <v>203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IFERROR(__xludf.DUMMYFUNCTION("""COMPUTED_VALUE"""),"UNC Wilmington")</f>
        <v>UNC Wilmington</v>
      </c>
      <c r="C237" s="1" t="str">
        <f ca="1">IFERROR(__xludf.DUMMYFUNCTION("""COMPUTED_VALUE"""),"CAA")</f>
        <v>CAA</v>
      </c>
      <c r="D237" s="2">
        <f ca="1">IFERROR(__xludf.DUMMYFUNCTION("""COMPUTED_VALUE"""),44764)</f>
        <v>44764</v>
      </c>
      <c r="E237" s="1">
        <f ca="1">IFERROR(__xludf.DUMMYFUNCTION("""COMPUTED_VALUE"""),-6.96)</f>
        <v>-6.96</v>
      </c>
      <c r="F237" s="1">
        <f ca="1">IFERROR(__xludf.DUMMYFUNCTION("""COMPUTED_VALUE"""),99.5)</f>
        <v>99.5</v>
      </c>
      <c r="G237" s="1">
        <f ca="1">IFERROR(__xludf.DUMMYFUNCTION("""COMPUTED_VALUE"""),239)</f>
        <v>239</v>
      </c>
      <c r="H237" s="1">
        <f ca="1">IFERROR(__xludf.DUMMYFUNCTION("""COMPUTED_VALUE"""),106.5)</f>
        <v>106.5</v>
      </c>
      <c r="I237" s="1">
        <f ca="1">IFERROR(__xludf.DUMMYFUNCTION("""COMPUTED_VALUE"""),203)</f>
        <v>203</v>
      </c>
      <c r="J237" s="1">
        <f ca="1">IFERROR(__xludf.DUMMYFUNCTION("""COMPUTED_VALUE"""),65.6)</f>
        <v>65.599999999999994</v>
      </c>
      <c r="K237" s="1">
        <f ca="1">IFERROR(__xludf.DUMMYFUNCTION("""COMPUTED_VALUE"""),173)</f>
        <v>173</v>
      </c>
      <c r="L237" s="1">
        <f ca="1">IFERROR(__xludf.DUMMYFUNCTION("""COMPUTED_VALUE"""),-0.044)</f>
        <v>-4.3999999999999997E-2</v>
      </c>
      <c r="M237" s="1">
        <f ca="1">IFERROR(__xludf.DUMMYFUNCTION("""COMPUTED_VALUE"""),275)</f>
        <v>275</v>
      </c>
      <c r="N237" s="1" t="str">
        <f ca="1">IFERROR(__xludf.DUMMYFUNCTION("""COMPUTED_VALUE"""),"+2.16")</f>
        <v>+2.16</v>
      </c>
      <c r="O237" s="1">
        <f ca="1">IFERROR(__xludf.DUMMYFUNCTION("""COMPUTED_VALUE"""),117)</f>
        <v>117</v>
      </c>
      <c r="P237" s="1">
        <f ca="1">IFERROR(__xludf.DUMMYFUNCTION("""COMPUTED_VALUE"""),105.9)</f>
        <v>105.9</v>
      </c>
      <c r="Q237" s="1">
        <f ca="1">IFERROR(__xludf.DUMMYFUNCTION("""COMPUTED_VALUE"""),108)</f>
        <v>108</v>
      </c>
      <c r="R237" s="1">
        <f ca="1">IFERROR(__xludf.DUMMYFUNCTION("""COMPUTED_VALUE"""),103.7)</f>
        <v>103.7</v>
      </c>
      <c r="S237" s="1">
        <f ca="1">IFERROR(__xludf.DUMMYFUNCTION("""COMPUTED_VALUE"""),128)</f>
        <v>128</v>
      </c>
      <c r="T237" s="1" t="str">
        <f ca="1">IFERROR(__xludf.DUMMYFUNCTION("""COMPUTED_VALUE"""),"+4.70")</f>
        <v>+4.70</v>
      </c>
      <c r="U237" s="1">
        <f ca="1">IFERROR(__xludf.DUMMYFUNCTION("""COMPUTED_VALUE"""),52)</f>
        <v>52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IFERROR(__xludf.DUMMYFUNCTION("""COMPUTED_VALUE"""),"Florida Atlantic")</f>
        <v>Florida Atlantic</v>
      </c>
      <c r="C238" s="1" t="str">
        <f ca="1">IFERROR(__xludf.DUMMYFUNCTION("""COMPUTED_VALUE"""),"SB")</f>
        <v>SB</v>
      </c>
      <c r="D238" s="1" t="str">
        <f ca="1">IFERROR(__xludf.DUMMYFUNCTION("""COMPUTED_VALUE"""),"16-15")</f>
        <v>16-15</v>
      </c>
      <c r="E238" s="1">
        <f ca="1">IFERROR(__xludf.DUMMYFUNCTION("""COMPUTED_VALUE"""),-7.11)</f>
        <v>-7.11</v>
      </c>
      <c r="F238" s="1">
        <f ca="1">IFERROR(__xludf.DUMMYFUNCTION("""COMPUTED_VALUE"""),104.9)</f>
        <v>104.9</v>
      </c>
      <c r="G238" s="1">
        <f ca="1">IFERROR(__xludf.DUMMYFUNCTION("""COMPUTED_VALUE"""),154)</f>
        <v>154</v>
      </c>
      <c r="H238" s="1">
        <f ca="1">IFERROR(__xludf.DUMMYFUNCTION("""COMPUTED_VALUE"""),112)</f>
        <v>112</v>
      </c>
      <c r="I238" s="1">
        <f ca="1">IFERROR(__xludf.DUMMYFUNCTION("""COMPUTED_VALUE"""),305)</f>
        <v>305</v>
      </c>
      <c r="J238" s="1">
        <f ca="1">IFERROR(__xludf.DUMMYFUNCTION("""COMPUTED_VALUE"""),69.4)</f>
        <v>69.400000000000006</v>
      </c>
      <c r="K238" s="1">
        <f ca="1">IFERROR(__xludf.DUMMYFUNCTION("""COMPUTED_VALUE"""),46)</f>
        <v>46</v>
      </c>
      <c r="L238" s="1" t="str">
        <f ca="1">IFERROR(__xludf.DUMMYFUNCTION("""COMPUTED_VALUE"""),"+.095")</f>
        <v>+.095</v>
      </c>
      <c r="M238" s="1">
        <f ca="1">IFERROR(__xludf.DUMMYFUNCTION("""COMPUTED_VALUE"""),17)</f>
        <v>17</v>
      </c>
      <c r="N238" s="1">
        <f ca="1">IFERROR(__xludf.DUMMYFUNCTION("""COMPUTED_VALUE"""),-4.68)</f>
        <v>-4.68</v>
      </c>
      <c r="O238" s="1">
        <f ca="1">IFERROR(__xludf.DUMMYFUNCTION("""COMPUTED_VALUE"""),239)</f>
        <v>239</v>
      </c>
      <c r="P238" s="1">
        <f ca="1">IFERROR(__xludf.DUMMYFUNCTION("""COMPUTED_VALUE"""),103.1)</f>
        <v>103.1</v>
      </c>
      <c r="Q238" s="1">
        <f ca="1">IFERROR(__xludf.DUMMYFUNCTION("""COMPUTED_VALUE"""),195)</f>
        <v>195</v>
      </c>
      <c r="R238" s="1">
        <f ca="1">IFERROR(__xludf.DUMMYFUNCTION("""COMPUTED_VALUE"""),107.8)</f>
        <v>107.8</v>
      </c>
      <c r="S238" s="1">
        <f ca="1">IFERROR(__xludf.DUMMYFUNCTION("""COMPUTED_VALUE"""),297)</f>
        <v>297</v>
      </c>
      <c r="T238" s="1" t="str">
        <f ca="1">IFERROR(__xludf.DUMMYFUNCTION("""COMPUTED_VALUE"""),"+1.18")</f>
        <v>+1.18</v>
      </c>
      <c r="U238" s="1">
        <f ca="1">IFERROR(__xludf.DUMMYFUNCTION("""COMPUTED_VALUE"""),124)</f>
        <v>124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IFERROR(__xludf.DUMMYFUNCTION("""COMPUTED_VALUE"""),"Brown")</f>
        <v>Brown</v>
      </c>
      <c r="C239" s="1" t="str">
        <f ca="1">IFERROR(__xludf.DUMMYFUNCTION("""COMPUTED_VALUE"""),"Ivy")</f>
        <v>Ivy</v>
      </c>
      <c r="D239" s="2">
        <f ca="1">IFERROR(__xludf.DUMMYFUNCTION("""COMPUTED_VALUE"""),44883)</f>
        <v>44883</v>
      </c>
      <c r="E239" s="1">
        <f ca="1">IFERROR(__xludf.DUMMYFUNCTION("""COMPUTED_VALUE"""),-7.19)</f>
        <v>-7.19</v>
      </c>
      <c r="F239" s="1">
        <f ca="1">IFERROR(__xludf.DUMMYFUNCTION("""COMPUTED_VALUE"""),98.5)</f>
        <v>98.5</v>
      </c>
      <c r="G239" s="1">
        <f ca="1">IFERROR(__xludf.DUMMYFUNCTION("""COMPUTED_VALUE"""),257)</f>
        <v>257</v>
      </c>
      <c r="H239" s="1">
        <f ca="1">IFERROR(__xludf.DUMMYFUNCTION("""COMPUTED_VALUE"""),105.7)</f>
        <v>105.7</v>
      </c>
      <c r="I239" s="1">
        <f ca="1">IFERROR(__xludf.DUMMYFUNCTION("""COMPUTED_VALUE"""),186)</f>
        <v>186</v>
      </c>
      <c r="J239" s="1">
        <f ca="1">IFERROR(__xludf.DUMMYFUNCTION("""COMPUTED_VALUE"""),62.1)</f>
        <v>62.1</v>
      </c>
      <c r="K239" s="1">
        <f ca="1">IFERROR(__xludf.DUMMYFUNCTION("""COMPUTED_VALUE"""),299)</f>
        <v>299</v>
      </c>
      <c r="L239" s="1">
        <f ca="1">IFERROR(__xludf.DUMMYFUNCTION("""COMPUTED_VALUE"""),-0.024)</f>
        <v>-2.4E-2</v>
      </c>
      <c r="M239" s="1">
        <f ca="1">IFERROR(__xludf.DUMMYFUNCTION("""COMPUTED_VALUE"""),242)</f>
        <v>242</v>
      </c>
      <c r="N239" s="1">
        <f ca="1">IFERROR(__xludf.DUMMYFUNCTION("""COMPUTED_VALUE"""),-3.9)</f>
        <v>-3.9</v>
      </c>
      <c r="O239" s="1">
        <f ca="1">IFERROR(__xludf.DUMMYFUNCTION("""COMPUTED_VALUE"""),219)</f>
        <v>219</v>
      </c>
      <c r="P239" s="1">
        <f ca="1">IFERROR(__xludf.DUMMYFUNCTION("""COMPUTED_VALUE"""),102.3)</f>
        <v>102.3</v>
      </c>
      <c r="Q239" s="1">
        <f ca="1">IFERROR(__xludf.DUMMYFUNCTION("""COMPUTED_VALUE"""),220)</f>
        <v>220</v>
      </c>
      <c r="R239" s="1">
        <f ca="1">IFERROR(__xludf.DUMMYFUNCTION("""COMPUTED_VALUE"""),106.2)</f>
        <v>106.2</v>
      </c>
      <c r="S239" s="1">
        <f ca="1">IFERROR(__xludf.DUMMYFUNCTION("""COMPUTED_VALUE"""),225)</f>
        <v>225</v>
      </c>
      <c r="T239" s="1">
        <f ca="1">IFERROR(__xludf.DUMMYFUNCTION("""COMPUTED_VALUE"""),-1.8)</f>
        <v>-1.8</v>
      </c>
      <c r="U239" s="1">
        <f ca="1">IFERROR(__xludf.DUMMYFUNCTION("""COMPUTED_VALUE"""),196)</f>
        <v>196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IFERROR(__xludf.DUMMYFUNCTION("""COMPUTED_VALUE"""),"Troy")</f>
        <v>Troy</v>
      </c>
      <c r="C240" s="1" t="str">
        <f ca="1">IFERROR(__xludf.DUMMYFUNCTION("""COMPUTED_VALUE"""),"SB")</f>
        <v>SB</v>
      </c>
      <c r="D240" s="1" t="str">
        <f ca="1">IFERROR(__xludf.DUMMYFUNCTION("""COMPUTED_VALUE"""),"13-17")</f>
        <v>13-17</v>
      </c>
      <c r="E240" s="1">
        <f ca="1">IFERROR(__xludf.DUMMYFUNCTION("""COMPUTED_VALUE"""),-7.26)</f>
        <v>-7.26</v>
      </c>
      <c r="F240" s="1">
        <f ca="1">IFERROR(__xludf.DUMMYFUNCTION("""COMPUTED_VALUE"""),105.7)</f>
        <v>105.7</v>
      </c>
      <c r="G240" s="1">
        <f ca="1">IFERROR(__xludf.DUMMYFUNCTION("""COMPUTED_VALUE"""),143)</f>
        <v>143</v>
      </c>
      <c r="H240" s="1">
        <f ca="1">IFERROR(__xludf.DUMMYFUNCTION("""COMPUTED_VALUE"""),113)</f>
        <v>113</v>
      </c>
      <c r="I240" s="1">
        <f ca="1">IFERROR(__xludf.DUMMYFUNCTION("""COMPUTED_VALUE"""),316)</f>
        <v>316</v>
      </c>
      <c r="J240" s="1">
        <f ca="1">IFERROR(__xludf.DUMMYFUNCTION("""COMPUTED_VALUE"""),67.2)</f>
        <v>67.2</v>
      </c>
      <c r="K240" s="1">
        <f ca="1">IFERROR(__xludf.DUMMYFUNCTION("""COMPUTED_VALUE"""),109)</f>
        <v>109</v>
      </c>
      <c r="L240" s="1" t="str">
        <f ca="1">IFERROR(__xludf.DUMMYFUNCTION("""COMPUTED_VALUE"""),"+.018")</f>
        <v>+.018</v>
      </c>
      <c r="M240" s="1">
        <f ca="1">IFERROR(__xludf.DUMMYFUNCTION("""COMPUTED_VALUE"""),133)</f>
        <v>133</v>
      </c>
      <c r="N240" s="1">
        <f ca="1">IFERROR(__xludf.DUMMYFUNCTION("""COMPUTED_VALUE"""),-4.17)</f>
        <v>-4.17</v>
      </c>
      <c r="O240" s="1">
        <f ca="1">IFERROR(__xludf.DUMMYFUNCTION("""COMPUTED_VALUE"""),227)</f>
        <v>227</v>
      </c>
      <c r="P240" s="1">
        <f ca="1">IFERROR(__xludf.DUMMYFUNCTION("""COMPUTED_VALUE"""),103.4)</f>
        <v>103.4</v>
      </c>
      <c r="Q240" s="1">
        <f ca="1">IFERROR(__xludf.DUMMYFUNCTION("""COMPUTED_VALUE"""),186)</f>
        <v>186</v>
      </c>
      <c r="R240" s="1">
        <f ca="1">IFERROR(__xludf.DUMMYFUNCTION("""COMPUTED_VALUE"""),107.6)</f>
        <v>107.6</v>
      </c>
      <c r="S240" s="1">
        <f ca="1">IFERROR(__xludf.DUMMYFUNCTION("""COMPUTED_VALUE"""),284)</f>
        <v>284</v>
      </c>
      <c r="T240" s="1" t="str">
        <f ca="1">IFERROR(__xludf.DUMMYFUNCTION("""COMPUTED_VALUE"""),"+1.35")</f>
        <v>+1.35</v>
      </c>
      <c r="U240" s="1">
        <f ca="1">IFERROR(__xludf.DUMMYFUNCTION("""COMPUTED_VALUE"""),117)</f>
        <v>117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IFERROR(__xludf.DUMMYFUNCTION("""COMPUTED_VALUE"""),"Southeastern Louisiana")</f>
        <v>Southeastern Louisiana</v>
      </c>
      <c r="C241" s="1" t="str">
        <f ca="1">IFERROR(__xludf.DUMMYFUNCTION("""COMPUTED_VALUE"""),"Slnd")</f>
        <v>Slnd</v>
      </c>
      <c r="D241" s="1" t="str">
        <f ca="1">IFERROR(__xludf.DUMMYFUNCTION("""COMPUTED_VALUE"""),"16-14")</f>
        <v>16-14</v>
      </c>
      <c r="E241" s="1">
        <f ca="1">IFERROR(__xludf.DUMMYFUNCTION("""COMPUTED_VALUE"""),-7.27)</f>
        <v>-7.27</v>
      </c>
      <c r="F241" s="1">
        <f ca="1">IFERROR(__xludf.DUMMYFUNCTION("""COMPUTED_VALUE"""),102.1)</f>
        <v>102.1</v>
      </c>
      <c r="G241" s="1">
        <f ca="1">IFERROR(__xludf.DUMMYFUNCTION("""COMPUTED_VALUE"""),202)</f>
        <v>202</v>
      </c>
      <c r="H241" s="1">
        <f ca="1">IFERROR(__xludf.DUMMYFUNCTION("""COMPUTED_VALUE"""),109.4)</f>
        <v>109.4</v>
      </c>
      <c r="I241" s="1">
        <f ca="1">IFERROR(__xludf.DUMMYFUNCTION("""COMPUTED_VALUE"""),253)</f>
        <v>253</v>
      </c>
      <c r="J241" s="1">
        <f ca="1">IFERROR(__xludf.DUMMYFUNCTION("""COMPUTED_VALUE"""),63.1)</f>
        <v>63.1</v>
      </c>
      <c r="K241" s="1">
        <f ca="1">IFERROR(__xludf.DUMMYFUNCTION("""COMPUTED_VALUE"""),273)</f>
        <v>273</v>
      </c>
      <c r="L241" s="1" t="str">
        <f ca="1">IFERROR(__xludf.DUMMYFUNCTION("""COMPUTED_VALUE"""),"+.078")</f>
        <v>+.078</v>
      </c>
      <c r="M241" s="1">
        <f ca="1">IFERROR(__xludf.DUMMYFUNCTION("""COMPUTED_VALUE"""),24)</f>
        <v>24</v>
      </c>
      <c r="N241" s="1">
        <f ca="1">IFERROR(__xludf.DUMMYFUNCTION("""COMPUTED_VALUE"""),-4.82)</f>
        <v>-4.82</v>
      </c>
      <c r="O241" s="1">
        <f ca="1">IFERROR(__xludf.DUMMYFUNCTION("""COMPUTED_VALUE"""),241)</f>
        <v>241</v>
      </c>
      <c r="P241" s="1">
        <f ca="1">IFERROR(__xludf.DUMMYFUNCTION("""COMPUTED_VALUE"""),102.1)</f>
        <v>102.1</v>
      </c>
      <c r="Q241" s="1">
        <f ca="1">IFERROR(__xludf.DUMMYFUNCTION("""COMPUTED_VALUE"""),232)</f>
        <v>232</v>
      </c>
      <c r="R241" s="1">
        <f ca="1">IFERROR(__xludf.DUMMYFUNCTION("""COMPUTED_VALUE"""),106.9)</f>
        <v>106.9</v>
      </c>
      <c r="S241" s="1">
        <f ca="1">IFERROR(__xludf.DUMMYFUNCTION("""COMPUTED_VALUE"""),252)</f>
        <v>252</v>
      </c>
      <c r="T241" s="1">
        <f ca="1">IFERROR(__xludf.DUMMYFUNCTION("""COMPUTED_VALUE"""),-1.02)</f>
        <v>-1.02</v>
      </c>
      <c r="U241" s="1">
        <f ca="1">IFERROR(__xludf.DUMMYFUNCTION("""COMPUTED_VALUE"""),175)</f>
        <v>175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IFERROR(__xludf.DUMMYFUNCTION("""COMPUTED_VALUE"""),"Northern Illinois")</f>
        <v>Northern Illinois</v>
      </c>
      <c r="C242" s="1" t="str">
        <f ca="1">IFERROR(__xludf.DUMMYFUNCTION("""COMPUTED_VALUE"""),"MAC")</f>
        <v>MAC</v>
      </c>
      <c r="D242" s="2">
        <f ca="1">IFERROR(__xludf.DUMMYFUNCTION("""COMPUTED_VALUE"""),44765)</f>
        <v>44765</v>
      </c>
      <c r="E242" s="1">
        <f ca="1">IFERROR(__xludf.DUMMYFUNCTION("""COMPUTED_VALUE"""),-7.32)</f>
        <v>-7.32</v>
      </c>
      <c r="F242" s="1">
        <f ca="1">IFERROR(__xludf.DUMMYFUNCTION("""COMPUTED_VALUE"""),102.2)</f>
        <v>102.2</v>
      </c>
      <c r="G242" s="1">
        <f ca="1">IFERROR(__xludf.DUMMYFUNCTION("""COMPUTED_VALUE"""),201)</f>
        <v>201</v>
      </c>
      <c r="H242" s="1">
        <f ca="1">IFERROR(__xludf.DUMMYFUNCTION("""COMPUTED_VALUE"""),109.5)</f>
        <v>109.5</v>
      </c>
      <c r="I242" s="1">
        <f ca="1">IFERROR(__xludf.DUMMYFUNCTION("""COMPUTED_VALUE"""),255)</f>
        <v>255</v>
      </c>
      <c r="J242" s="1">
        <f ca="1">IFERROR(__xludf.DUMMYFUNCTION("""COMPUTED_VALUE"""),65.7)</f>
        <v>65.7</v>
      </c>
      <c r="K242" s="1">
        <f ca="1">IFERROR(__xludf.DUMMYFUNCTION("""COMPUTED_VALUE"""),171)</f>
        <v>171</v>
      </c>
      <c r="L242" s="1">
        <f ca="1">IFERROR(__xludf.DUMMYFUNCTION("""COMPUTED_VALUE"""),-0.083)</f>
        <v>-8.3000000000000004E-2</v>
      </c>
      <c r="M242" s="1">
        <f ca="1">IFERROR(__xludf.DUMMYFUNCTION("""COMPUTED_VALUE"""),321)</f>
        <v>321</v>
      </c>
      <c r="N242" s="1" t="str">
        <f ca="1">IFERROR(__xludf.DUMMYFUNCTION("""COMPUTED_VALUE"""),"+0.17")</f>
        <v>+0.17</v>
      </c>
      <c r="O242" s="1">
        <f ca="1">IFERROR(__xludf.DUMMYFUNCTION("""COMPUTED_VALUE"""),151)</f>
        <v>151</v>
      </c>
      <c r="P242" s="1">
        <f ca="1">IFERROR(__xludf.DUMMYFUNCTION("""COMPUTED_VALUE"""),104.3)</f>
        <v>104.3</v>
      </c>
      <c r="Q242" s="1">
        <f ca="1">IFERROR(__xludf.DUMMYFUNCTION("""COMPUTED_VALUE"""),157)</f>
        <v>157</v>
      </c>
      <c r="R242" s="1">
        <f ca="1">IFERROR(__xludf.DUMMYFUNCTION("""COMPUTED_VALUE"""),104.2)</f>
        <v>104.2</v>
      </c>
      <c r="S242" s="1">
        <f ca="1">IFERROR(__xludf.DUMMYFUNCTION("""COMPUTED_VALUE"""),150)</f>
        <v>150</v>
      </c>
      <c r="T242" s="1">
        <f ca="1">IFERROR(__xludf.DUMMYFUNCTION("""COMPUTED_VALUE"""),-0.1)</f>
        <v>-0.1</v>
      </c>
      <c r="U242" s="1">
        <f ca="1">IFERROR(__xludf.DUMMYFUNCTION("""COMPUTED_VALUE"""),154)</f>
        <v>154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IFERROR(__xludf.DUMMYFUNCTION("""COMPUTED_VALUE"""),"New Orleans")</f>
        <v>New Orleans</v>
      </c>
      <c r="C243" s="1" t="str">
        <f ca="1">IFERROR(__xludf.DUMMYFUNCTION("""COMPUTED_VALUE"""),"SB")</f>
        <v>SB</v>
      </c>
      <c r="D243" s="1" t="str">
        <f ca="1">IFERROR(__xludf.DUMMYFUNCTION("""COMPUTED_VALUE"""),"14-17")</f>
        <v>14-17</v>
      </c>
      <c r="E243" s="1">
        <f ca="1">IFERROR(__xludf.DUMMYFUNCTION("""COMPUTED_VALUE"""),-7.33)</f>
        <v>-7.33</v>
      </c>
      <c r="F243" s="1">
        <f ca="1">IFERROR(__xludf.DUMMYFUNCTION("""COMPUTED_VALUE"""),107.8)</f>
        <v>107.8</v>
      </c>
      <c r="G243" s="1">
        <f ca="1">IFERROR(__xludf.DUMMYFUNCTION("""COMPUTED_VALUE"""),107)</f>
        <v>107</v>
      </c>
      <c r="H243" s="1">
        <f ca="1">IFERROR(__xludf.DUMMYFUNCTION("""COMPUTED_VALUE"""),115.1)</f>
        <v>115.1</v>
      </c>
      <c r="I243" s="1">
        <f ca="1">IFERROR(__xludf.DUMMYFUNCTION("""COMPUTED_VALUE"""),332)</f>
        <v>332</v>
      </c>
      <c r="J243" s="1">
        <f ca="1">IFERROR(__xludf.DUMMYFUNCTION("""COMPUTED_VALUE"""),64.1)</f>
        <v>64.099999999999994</v>
      </c>
      <c r="K243" s="1">
        <f ca="1">IFERROR(__xludf.DUMMYFUNCTION("""COMPUTED_VALUE"""),230)</f>
        <v>230</v>
      </c>
      <c r="L243" s="1" t="str">
        <f ca="1">IFERROR(__xludf.DUMMYFUNCTION("""COMPUTED_VALUE"""),"+.004")</f>
        <v>+.004</v>
      </c>
      <c r="M243" s="1">
        <f ca="1">IFERROR(__xludf.DUMMYFUNCTION("""COMPUTED_VALUE"""),167)</f>
        <v>167</v>
      </c>
      <c r="N243" s="1">
        <f ca="1">IFERROR(__xludf.DUMMYFUNCTION("""COMPUTED_VALUE"""),-5.28)</f>
        <v>-5.28</v>
      </c>
      <c r="O243" s="1">
        <f ca="1">IFERROR(__xludf.DUMMYFUNCTION("""COMPUTED_VALUE"""),251)</f>
        <v>251</v>
      </c>
      <c r="P243" s="1">
        <f ca="1">IFERROR(__xludf.DUMMYFUNCTION("""COMPUTED_VALUE"""),102.3)</f>
        <v>102.3</v>
      </c>
      <c r="Q243" s="1">
        <f ca="1">IFERROR(__xludf.DUMMYFUNCTION("""COMPUTED_VALUE"""),221)</f>
        <v>221</v>
      </c>
      <c r="R243" s="1">
        <f ca="1">IFERROR(__xludf.DUMMYFUNCTION("""COMPUTED_VALUE"""),107.5)</f>
        <v>107.5</v>
      </c>
      <c r="S243" s="1">
        <f ca="1">IFERROR(__xludf.DUMMYFUNCTION("""COMPUTED_VALUE"""),283)</f>
        <v>283</v>
      </c>
      <c r="T243" s="1" t="str">
        <f ca="1">IFERROR(__xludf.DUMMYFUNCTION("""COMPUTED_VALUE"""),"+2.65")</f>
        <v>+2.65</v>
      </c>
      <c r="U243" s="1">
        <f ca="1">IFERROR(__xludf.DUMMYFUNCTION("""COMPUTED_VALUE"""),90)</f>
        <v>90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IFERROR(__xludf.DUMMYFUNCTION("""COMPUTED_VALUE"""),"Cleveland St.")</f>
        <v>Cleveland St.</v>
      </c>
      <c r="C244" s="1" t="str">
        <f ca="1">IFERROR(__xludf.DUMMYFUNCTION("""COMPUTED_VALUE"""),"Horz")</f>
        <v>Horz</v>
      </c>
      <c r="D244" s="2">
        <f ca="1">IFERROR(__xludf.DUMMYFUNCTION("""COMPUTED_VALUE"""),44855)</f>
        <v>44855</v>
      </c>
      <c r="E244" s="1">
        <f ca="1">IFERROR(__xludf.DUMMYFUNCTION("""COMPUTED_VALUE"""),-7.45)</f>
        <v>-7.45</v>
      </c>
      <c r="F244" s="1">
        <f ca="1">IFERROR(__xludf.DUMMYFUNCTION("""COMPUTED_VALUE"""),99.8)</f>
        <v>99.8</v>
      </c>
      <c r="G244" s="1">
        <f ca="1">IFERROR(__xludf.DUMMYFUNCTION("""COMPUTED_VALUE"""),234)</f>
        <v>234</v>
      </c>
      <c r="H244" s="1">
        <f ca="1">IFERROR(__xludf.DUMMYFUNCTION("""COMPUTED_VALUE"""),107.2)</f>
        <v>107.2</v>
      </c>
      <c r="I244" s="1">
        <f ca="1">IFERROR(__xludf.DUMMYFUNCTION("""COMPUTED_VALUE"""),218)</f>
        <v>218</v>
      </c>
      <c r="J244" s="1">
        <f ca="1">IFERROR(__xludf.DUMMYFUNCTION("""COMPUTED_VALUE"""),63.4)</f>
        <v>63.4</v>
      </c>
      <c r="K244" s="1">
        <f ca="1">IFERROR(__xludf.DUMMYFUNCTION("""COMPUTED_VALUE"""),262)</f>
        <v>262</v>
      </c>
      <c r="L244" s="1">
        <f ca="1">IFERROR(__xludf.DUMMYFUNCTION("""COMPUTED_VALUE"""),-0.023)</f>
        <v>-2.3E-2</v>
      </c>
      <c r="M244" s="1">
        <f ca="1">IFERROR(__xludf.DUMMYFUNCTION("""COMPUTED_VALUE"""),238)</f>
        <v>238</v>
      </c>
      <c r="N244" s="1" t="str">
        <f ca="1">IFERROR(__xludf.DUMMYFUNCTION("""COMPUTED_VALUE"""),"+3.13")</f>
        <v>+3.13</v>
      </c>
      <c r="O244" s="1">
        <f ca="1">IFERROR(__xludf.DUMMYFUNCTION("""COMPUTED_VALUE"""),102)</f>
        <v>102</v>
      </c>
      <c r="P244" s="1">
        <f ca="1">IFERROR(__xludf.DUMMYFUNCTION("""COMPUTED_VALUE"""),106.6)</f>
        <v>106.6</v>
      </c>
      <c r="Q244" s="1">
        <f ca="1">IFERROR(__xludf.DUMMYFUNCTION("""COMPUTED_VALUE"""),92)</f>
        <v>92</v>
      </c>
      <c r="R244" s="1">
        <f ca="1">IFERROR(__xludf.DUMMYFUNCTION("""COMPUTED_VALUE"""),103.5)</f>
        <v>103.5</v>
      </c>
      <c r="S244" s="1">
        <f ca="1">IFERROR(__xludf.DUMMYFUNCTION("""COMPUTED_VALUE"""),124)</f>
        <v>124</v>
      </c>
      <c r="T244" s="1" t="str">
        <f ca="1">IFERROR(__xludf.DUMMYFUNCTION("""COMPUTED_VALUE"""),"+3.25")</f>
        <v>+3.25</v>
      </c>
      <c r="U244" s="1">
        <f ca="1">IFERROR(__xludf.DUMMYFUNCTION("""COMPUTED_VALUE"""),78)</f>
        <v>78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IFERROR(__xludf.DUMMYFUNCTION("""COMPUTED_VALUE"""),"San Jose St.")</f>
        <v>San Jose St.</v>
      </c>
      <c r="C245" s="1" t="str">
        <f ca="1">IFERROR(__xludf.DUMMYFUNCTION("""COMPUTED_VALUE"""),"WAC")</f>
        <v>WAC</v>
      </c>
      <c r="D245" s="2">
        <f ca="1">IFERROR(__xludf.DUMMYFUNCTION("""COMPUTED_VALUE"""),44706)</f>
        <v>44706</v>
      </c>
      <c r="E245" s="1">
        <f ca="1">IFERROR(__xludf.DUMMYFUNCTION("""COMPUTED_VALUE"""),-7.57)</f>
        <v>-7.57</v>
      </c>
      <c r="F245" s="1">
        <f ca="1">IFERROR(__xludf.DUMMYFUNCTION("""COMPUTED_VALUE"""),95)</f>
        <v>95</v>
      </c>
      <c r="G245" s="1">
        <f ca="1">IFERROR(__xludf.DUMMYFUNCTION("""COMPUTED_VALUE"""),295)</f>
        <v>295</v>
      </c>
      <c r="H245" s="1">
        <f ca="1">IFERROR(__xludf.DUMMYFUNCTION("""COMPUTED_VALUE"""),102.5)</f>
        <v>102.5</v>
      </c>
      <c r="I245" s="1">
        <f ca="1">IFERROR(__xludf.DUMMYFUNCTION("""COMPUTED_VALUE"""),132)</f>
        <v>132</v>
      </c>
      <c r="J245" s="1">
        <f ca="1">IFERROR(__xludf.DUMMYFUNCTION("""COMPUTED_VALUE"""),65.8)</f>
        <v>65.8</v>
      </c>
      <c r="K245" s="1">
        <f ca="1">IFERROR(__xludf.DUMMYFUNCTION("""COMPUTED_VALUE"""),166)</f>
        <v>166</v>
      </c>
      <c r="L245" s="1">
        <f ca="1">IFERROR(__xludf.DUMMYFUNCTION("""COMPUTED_VALUE"""),-0.018)</f>
        <v>-1.7999999999999999E-2</v>
      </c>
      <c r="M245" s="1">
        <f ca="1">IFERROR(__xludf.DUMMYFUNCTION("""COMPUTED_VALUE"""),224)</f>
        <v>224</v>
      </c>
      <c r="N245" s="1" t="str">
        <f ca="1">IFERROR(__xludf.DUMMYFUNCTION("""COMPUTED_VALUE"""),"+4.78")</f>
        <v>+4.78</v>
      </c>
      <c r="O245" s="1">
        <f ca="1">IFERROR(__xludf.DUMMYFUNCTION("""COMPUTED_VALUE"""),84)</f>
        <v>84</v>
      </c>
      <c r="P245" s="1">
        <f ca="1">IFERROR(__xludf.DUMMYFUNCTION("""COMPUTED_VALUE"""),106.9)</f>
        <v>106.9</v>
      </c>
      <c r="Q245" s="1">
        <f ca="1">IFERROR(__xludf.DUMMYFUNCTION("""COMPUTED_VALUE"""),82)</f>
        <v>82</v>
      </c>
      <c r="R245" s="1">
        <f ca="1">IFERROR(__xludf.DUMMYFUNCTION("""COMPUTED_VALUE"""),102.1)</f>
        <v>102.1</v>
      </c>
      <c r="S245" s="1">
        <f ca="1">IFERROR(__xludf.DUMMYFUNCTION("""COMPUTED_VALUE"""),91)</f>
        <v>91</v>
      </c>
      <c r="T245" s="1" t="str">
        <f ca="1">IFERROR(__xludf.DUMMYFUNCTION("""COMPUTED_VALUE"""),"+7.42")</f>
        <v>+7.42</v>
      </c>
      <c r="U245" s="1">
        <f ca="1">IFERROR(__xludf.DUMMYFUNCTION("""COMPUTED_VALUE"""),29)</f>
        <v>29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IFERROR(__xludf.DUMMYFUNCTION("""COMPUTED_VALUE"""),"Cal St. Northridge")</f>
        <v>Cal St. Northridge</v>
      </c>
      <c r="C246" s="1" t="str">
        <f ca="1">IFERROR(__xludf.DUMMYFUNCTION("""COMPUTED_VALUE"""),"BW")</f>
        <v>BW</v>
      </c>
      <c r="D246" s="1" t="str">
        <f ca="1">IFERROR(__xludf.DUMMYFUNCTION("""COMPUTED_VALUE"""),"14-17")</f>
        <v>14-17</v>
      </c>
      <c r="E246" s="1">
        <f ca="1">IFERROR(__xludf.DUMMYFUNCTION("""COMPUTED_VALUE"""),-7.74)</f>
        <v>-7.74</v>
      </c>
      <c r="F246" s="1">
        <f ca="1">IFERROR(__xludf.DUMMYFUNCTION("""COMPUTED_VALUE"""),97.6)</f>
        <v>97.6</v>
      </c>
      <c r="G246" s="1">
        <f ca="1">IFERROR(__xludf.DUMMYFUNCTION("""COMPUTED_VALUE"""),271)</f>
        <v>271</v>
      </c>
      <c r="H246" s="1">
        <f ca="1">IFERROR(__xludf.DUMMYFUNCTION("""COMPUTED_VALUE"""),105.3)</f>
        <v>105.3</v>
      </c>
      <c r="I246" s="1">
        <f ca="1">IFERROR(__xludf.DUMMYFUNCTION("""COMPUTED_VALUE"""),176)</f>
        <v>176</v>
      </c>
      <c r="J246" s="1">
        <f ca="1">IFERROR(__xludf.DUMMYFUNCTION("""COMPUTED_VALUE"""),71.3)</f>
        <v>71.3</v>
      </c>
      <c r="K246" s="1">
        <f ca="1">IFERROR(__xludf.DUMMYFUNCTION("""COMPUTED_VALUE"""),18)</f>
        <v>18</v>
      </c>
      <c r="L246" s="1" t="str">
        <f ca="1">IFERROR(__xludf.DUMMYFUNCTION("""COMPUTED_VALUE"""),"+.017")</f>
        <v>+.017</v>
      </c>
      <c r="M246" s="1">
        <f ca="1">IFERROR(__xludf.DUMMYFUNCTION("""COMPUTED_VALUE"""),140)</f>
        <v>140</v>
      </c>
      <c r="N246" s="1">
        <f ca="1">IFERROR(__xludf.DUMMYFUNCTION("""COMPUTED_VALUE"""),-4.01)</f>
        <v>-4.01</v>
      </c>
      <c r="O246" s="1">
        <f ca="1">IFERROR(__xludf.DUMMYFUNCTION("""COMPUTED_VALUE"""),221)</f>
        <v>221</v>
      </c>
      <c r="P246" s="1">
        <f ca="1">IFERROR(__xludf.DUMMYFUNCTION("""COMPUTED_VALUE"""),103.1)</f>
        <v>103.1</v>
      </c>
      <c r="Q246" s="1">
        <f ca="1">IFERROR(__xludf.DUMMYFUNCTION("""COMPUTED_VALUE"""),194)</f>
        <v>194</v>
      </c>
      <c r="R246" s="1">
        <f ca="1">IFERROR(__xludf.DUMMYFUNCTION("""COMPUTED_VALUE"""),107.1)</f>
        <v>107.1</v>
      </c>
      <c r="S246" s="1">
        <f ca="1">IFERROR(__xludf.DUMMYFUNCTION("""COMPUTED_VALUE"""),264)</f>
        <v>264</v>
      </c>
      <c r="T246" s="1">
        <f ca="1">IFERROR(__xludf.DUMMYFUNCTION("""COMPUTED_VALUE"""),-4.81)</f>
        <v>-4.8099999999999996</v>
      </c>
      <c r="U246" s="1">
        <f ca="1">IFERROR(__xludf.DUMMYFUNCTION("""COMPUTED_VALUE"""),275)</f>
        <v>275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IFERROR(__xludf.DUMMYFUNCTION("""COMPUTED_VALUE"""),"Coastal Carolina")</f>
        <v>Coastal Carolina</v>
      </c>
      <c r="C247" s="1" t="str">
        <f ca="1">IFERROR(__xludf.DUMMYFUNCTION("""COMPUTED_VALUE"""),"BSth")</f>
        <v>BSth</v>
      </c>
      <c r="D247" s="1" t="str">
        <f ca="1">IFERROR(__xludf.DUMMYFUNCTION("""COMPUTED_VALUE"""),"15-15")</f>
        <v>15-15</v>
      </c>
      <c r="E247" s="1">
        <f ca="1">IFERROR(__xludf.DUMMYFUNCTION("""COMPUTED_VALUE"""),-7.88)</f>
        <v>-7.88</v>
      </c>
      <c r="F247" s="1">
        <f ca="1">IFERROR(__xludf.DUMMYFUNCTION("""COMPUTED_VALUE"""),102.5)</f>
        <v>102.5</v>
      </c>
      <c r="G247" s="1">
        <f ca="1">IFERROR(__xludf.DUMMYFUNCTION("""COMPUTED_VALUE"""),197)</f>
        <v>197</v>
      </c>
      <c r="H247" s="1">
        <f ca="1">IFERROR(__xludf.DUMMYFUNCTION("""COMPUTED_VALUE"""),110.4)</f>
        <v>110.4</v>
      </c>
      <c r="I247" s="1">
        <f ca="1">IFERROR(__xludf.DUMMYFUNCTION("""COMPUTED_VALUE"""),281)</f>
        <v>281</v>
      </c>
      <c r="J247" s="1">
        <f ca="1">IFERROR(__xludf.DUMMYFUNCTION("""COMPUTED_VALUE"""),66.4)</f>
        <v>66.400000000000006</v>
      </c>
      <c r="K247" s="1">
        <f ca="1">IFERROR(__xludf.DUMMYFUNCTION("""COMPUTED_VALUE"""),136)</f>
        <v>136</v>
      </c>
      <c r="L247" s="1">
        <f ca="1">IFERROR(__xludf.DUMMYFUNCTION("""COMPUTED_VALUE"""),-0.031)</f>
        <v>-3.1E-2</v>
      </c>
      <c r="M247" s="1">
        <f ca="1">IFERROR(__xludf.DUMMYFUNCTION("""COMPUTED_VALUE"""),259)</f>
        <v>259</v>
      </c>
      <c r="N247" s="1">
        <f ca="1">IFERROR(__xludf.DUMMYFUNCTION("""COMPUTED_VALUE"""),-7.22)</f>
        <v>-7.22</v>
      </c>
      <c r="O247" s="1">
        <f ca="1">IFERROR(__xludf.DUMMYFUNCTION("""COMPUTED_VALUE"""),296)</f>
        <v>296</v>
      </c>
      <c r="P247" s="1">
        <f ca="1">IFERROR(__xludf.DUMMYFUNCTION("""COMPUTED_VALUE"""),100.1)</f>
        <v>100.1</v>
      </c>
      <c r="Q247" s="1">
        <f ca="1">IFERROR(__xludf.DUMMYFUNCTION("""COMPUTED_VALUE"""),302)</f>
        <v>302</v>
      </c>
      <c r="R247" s="1">
        <f ca="1">IFERROR(__xludf.DUMMYFUNCTION("""COMPUTED_VALUE"""),107.3)</f>
        <v>107.3</v>
      </c>
      <c r="S247" s="1">
        <f ca="1">IFERROR(__xludf.DUMMYFUNCTION("""COMPUTED_VALUE"""),273)</f>
        <v>273</v>
      </c>
      <c r="T247" s="1">
        <f ca="1">IFERROR(__xludf.DUMMYFUNCTION("""COMPUTED_VALUE"""),-5.68)</f>
        <v>-5.68</v>
      </c>
      <c r="U247" s="1">
        <f ca="1">IFERROR(__xludf.DUMMYFUNCTION("""COMPUTED_VALUE"""),293)</f>
        <v>293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IFERROR(__xludf.DUMMYFUNCTION("""COMPUTED_VALUE"""),"La Salle")</f>
        <v>La Salle</v>
      </c>
      <c r="C248" s="1" t="str">
        <f ca="1">IFERROR(__xludf.DUMMYFUNCTION("""COMPUTED_VALUE"""),"A10")</f>
        <v>A10</v>
      </c>
      <c r="D248" s="2">
        <f ca="1">IFERROR(__xludf.DUMMYFUNCTION("""COMPUTED_VALUE"""),44854)</f>
        <v>44854</v>
      </c>
      <c r="E248" s="1">
        <f ca="1">IFERROR(__xludf.DUMMYFUNCTION("""COMPUTED_VALUE"""),-8.07)</f>
        <v>-8.07</v>
      </c>
      <c r="F248" s="1">
        <f ca="1">IFERROR(__xludf.DUMMYFUNCTION("""COMPUTED_VALUE"""),104.5)</f>
        <v>104.5</v>
      </c>
      <c r="G248" s="1">
        <f ca="1">IFERROR(__xludf.DUMMYFUNCTION("""COMPUTED_VALUE"""),166)</f>
        <v>166</v>
      </c>
      <c r="H248" s="1">
        <f ca="1">IFERROR(__xludf.DUMMYFUNCTION("""COMPUTED_VALUE"""),112.5)</f>
        <v>112.5</v>
      </c>
      <c r="I248" s="1">
        <f ca="1">IFERROR(__xludf.DUMMYFUNCTION("""COMPUTED_VALUE"""),311)</f>
        <v>311</v>
      </c>
      <c r="J248" s="1">
        <f ca="1">IFERROR(__xludf.DUMMYFUNCTION("""COMPUTED_VALUE"""),66.9)</f>
        <v>66.900000000000006</v>
      </c>
      <c r="K248" s="1">
        <f ca="1">IFERROR(__xludf.DUMMYFUNCTION("""COMPUTED_VALUE"""),116)</f>
        <v>116</v>
      </c>
      <c r="L248" s="1">
        <f ca="1">IFERROR(__xludf.DUMMYFUNCTION("""COMPUTED_VALUE"""),-0.077)</f>
        <v>-7.6999999999999999E-2</v>
      </c>
      <c r="M248" s="1">
        <f ca="1">IFERROR(__xludf.DUMMYFUNCTION("""COMPUTED_VALUE"""),317)</f>
        <v>317</v>
      </c>
      <c r="N248" s="1">
        <f ca="1">IFERROR(__xludf.DUMMYFUNCTION("""COMPUTED_VALUE"""),-4.21)</f>
        <v>-4.21</v>
      </c>
      <c r="O248" s="1">
        <f ca="1">IFERROR(__xludf.DUMMYFUNCTION("""COMPUTED_VALUE"""),229)</f>
        <v>229</v>
      </c>
      <c r="P248" s="1">
        <f ca="1">IFERROR(__xludf.DUMMYFUNCTION("""COMPUTED_VALUE"""),103)</f>
        <v>103</v>
      </c>
      <c r="Q248" s="1">
        <f ca="1">IFERROR(__xludf.DUMMYFUNCTION("""COMPUTED_VALUE"""),198)</f>
        <v>198</v>
      </c>
      <c r="R248" s="1">
        <f ca="1">IFERROR(__xludf.DUMMYFUNCTION("""COMPUTED_VALUE"""),107.2)</f>
        <v>107.2</v>
      </c>
      <c r="S248" s="1">
        <f ca="1">IFERROR(__xludf.DUMMYFUNCTION("""COMPUTED_VALUE"""),267)</f>
        <v>267</v>
      </c>
      <c r="T248" s="1">
        <f ca="1">IFERROR(__xludf.DUMMYFUNCTION("""COMPUTED_VALUE"""),-11.8)</f>
        <v>-11.8</v>
      </c>
      <c r="U248" s="1">
        <f ca="1">IFERROR(__xludf.DUMMYFUNCTION("""COMPUTED_VALUE"""),334)</f>
        <v>334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IFERROR(__xludf.DUMMYFUNCTION("""COMPUTED_VALUE"""),"VMI")</f>
        <v>VMI</v>
      </c>
      <c r="C249" s="1" t="str">
        <f ca="1">IFERROR(__xludf.DUMMYFUNCTION("""COMPUTED_VALUE"""),"BSth")</f>
        <v>BSth</v>
      </c>
      <c r="D249" s="1" t="str">
        <f ca="1">IFERROR(__xludf.DUMMYFUNCTION("""COMPUTED_VALUE"""),"14-19")</f>
        <v>14-19</v>
      </c>
      <c r="E249" s="1">
        <f ca="1">IFERROR(__xludf.DUMMYFUNCTION("""COMPUTED_VALUE"""),-8.16)</f>
        <v>-8.16</v>
      </c>
      <c r="F249" s="1">
        <f ca="1">IFERROR(__xludf.DUMMYFUNCTION("""COMPUTED_VALUE"""),106.4)</f>
        <v>106.4</v>
      </c>
      <c r="G249" s="1">
        <f ca="1">IFERROR(__xludf.DUMMYFUNCTION("""COMPUTED_VALUE"""),137)</f>
        <v>137</v>
      </c>
      <c r="H249" s="1">
        <f ca="1">IFERROR(__xludf.DUMMYFUNCTION("""COMPUTED_VALUE"""),114.6)</f>
        <v>114.6</v>
      </c>
      <c r="I249" s="1">
        <f ca="1">IFERROR(__xludf.DUMMYFUNCTION("""COMPUTED_VALUE"""),328)</f>
        <v>328</v>
      </c>
      <c r="J249" s="1">
        <f ca="1">IFERROR(__xludf.DUMMYFUNCTION("""COMPUTED_VALUE"""),89.7)</f>
        <v>89.7</v>
      </c>
      <c r="K249" s="1">
        <f ca="1">IFERROR(__xludf.DUMMYFUNCTION("""COMPUTED_VALUE"""),1)</f>
        <v>1</v>
      </c>
      <c r="L249" s="1">
        <f ca="1">IFERROR(__xludf.DUMMYFUNCTION("""COMPUTED_VALUE"""),-0.079)</f>
        <v>-7.9000000000000001E-2</v>
      </c>
      <c r="M249" s="1">
        <f ca="1">IFERROR(__xludf.DUMMYFUNCTION("""COMPUTED_VALUE"""),320)</f>
        <v>320</v>
      </c>
      <c r="N249" s="1">
        <f ca="1">IFERROR(__xludf.DUMMYFUNCTION("""COMPUTED_VALUE"""),-7.56)</f>
        <v>-7.56</v>
      </c>
      <c r="O249" s="1">
        <f ca="1">IFERROR(__xludf.DUMMYFUNCTION("""COMPUTED_VALUE"""),299)</f>
        <v>299</v>
      </c>
      <c r="P249" s="1">
        <f ca="1">IFERROR(__xludf.DUMMYFUNCTION("""COMPUTED_VALUE"""),100.4)</f>
        <v>100.4</v>
      </c>
      <c r="Q249" s="1">
        <f ca="1">IFERROR(__xludf.DUMMYFUNCTION("""COMPUTED_VALUE"""),292)</f>
        <v>292</v>
      </c>
      <c r="R249" s="1">
        <f ca="1">IFERROR(__xludf.DUMMYFUNCTION("""COMPUTED_VALUE"""),108)</f>
        <v>108</v>
      </c>
      <c r="S249" s="1">
        <f ca="1">IFERROR(__xludf.DUMMYFUNCTION("""COMPUTED_VALUE"""),310)</f>
        <v>310</v>
      </c>
      <c r="T249" s="1">
        <f ca="1">IFERROR(__xludf.DUMMYFUNCTION("""COMPUTED_VALUE"""),-10.06)</f>
        <v>-10.06</v>
      </c>
      <c r="U249" s="1">
        <f ca="1">IFERROR(__xludf.DUMMYFUNCTION("""COMPUTED_VALUE"""),330)</f>
        <v>330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IFERROR(__xludf.DUMMYFUNCTION("""COMPUTED_VALUE"""),"Western Carolina")</f>
        <v>Western Carolina</v>
      </c>
      <c r="C250" s="1" t="str">
        <f ca="1">IFERROR(__xludf.DUMMYFUNCTION("""COMPUTED_VALUE"""),"SC")</f>
        <v>SC</v>
      </c>
      <c r="D250" s="2">
        <f ca="1">IFERROR(__xludf.DUMMYFUNCTION("""COMPUTED_VALUE"""),44885)</f>
        <v>44885</v>
      </c>
      <c r="E250" s="1">
        <f ca="1">IFERROR(__xludf.DUMMYFUNCTION("""COMPUTED_VALUE"""),-8.33)</f>
        <v>-8.33</v>
      </c>
      <c r="F250" s="1">
        <f ca="1">IFERROR(__xludf.DUMMYFUNCTION("""COMPUTED_VALUE"""),101.6)</f>
        <v>101.6</v>
      </c>
      <c r="G250" s="1">
        <f ca="1">IFERROR(__xludf.DUMMYFUNCTION("""COMPUTED_VALUE"""),208)</f>
        <v>208</v>
      </c>
      <c r="H250" s="1">
        <f ca="1">IFERROR(__xludf.DUMMYFUNCTION("""COMPUTED_VALUE"""),109.9)</f>
        <v>109.9</v>
      </c>
      <c r="I250" s="1">
        <f ca="1">IFERROR(__xludf.DUMMYFUNCTION("""COMPUTED_VALUE"""),268)</f>
        <v>268</v>
      </c>
      <c r="J250" s="1">
        <f ca="1">IFERROR(__xludf.DUMMYFUNCTION("""COMPUTED_VALUE"""),67.5)</f>
        <v>67.5</v>
      </c>
      <c r="K250" s="1">
        <f ca="1">IFERROR(__xludf.DUMMYFUNCTION("""COMPUTED_VALUE"""),97)</f>
        <v>97</v>
      </c>
      <c r="L250" s="1" t="str">
        <f ca="1">IFERROR(__xludf.DUMMYFUNCTION("""COMPUTED_VALUE"""),"+.005")</f>
        <v>+.005</v>
      </c>
      <c r="M250" s="1">
        <f ca="1">IFERROR(__xludf.DUMMYFUNCTION("""COMPUTED_VALUE"""),165)</f>
        <v>165</v>
      </c>
      <c r="N250" s="1" t="str">
        <f ca="1">IFERROR(__xludf.DUMMYFUNCTION("""COMPUTED_VALUE"""),"+0.91")</f>
        <v>+0.91</v>
      </c>
      <c r="O250" s="1">
        <f ca="1">IFERROR(__xludf.DUMMYFUNCTION("""COMPUTED_VALUE"""),138)</f>
        <v>138</v>
      </c>
      <c r="P250" s="1">
        <f ca="1">IFERROR(__xludf.DUMMYFUNCTION("""COMPUTED_VALUE"""),104.6)</f>
        <v>104.6</v>
      </c>
      <c r="Q250" s="1">
        <f ca="1">IFERROR(__xludf.DUMMYFUNCTION("""COMPUTED_VALUE"""),150)</f>
        <v>150</v>
      </c>
      <c r="R250" s="1">
        <f ca="1">IFERROR(__xludf.DUMMYFUNCTION("""COMPUTED_VALUE"""),103.7)</f>
        <v>103.7</v>
      </c>
      <c r="S250" s="1">
        <f ca="1">IFERROR(__xludf.DUMMYFUNCTION("""COMPUTED_VALUE"""),129)</f>
        <v>129</v>
      </c>
      <c r="T250" s="1" t="str">
        <f ca="1">IFERROR(__xludf.DUMMYFUNCTION("""COMPUTED_VALUE"""),"+9.56")</f>
        <v>+9.56</v>
      </c>
      <c r="U250" s="1">
        <f ca="1">IFERROR(__xludf.DUMMYFUNCTION("""COMPUTED_VALUE"""),18)</f>
        <v>18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IFERROR(__xludf.DUMMYFUNCTION("""COMPUTED_VALUE"""),"Hartford")</f>
        <v>Hartford</v>
      </c>
      <c r="C251" s="1" t="str">
        <f ca="1">IFERROR(__xludf.DUMMYFUNCTION("""COMPUTED_VALUE"""),"AE")</f>
        <v>AE</v>
      </c>
      <c r="D251" s="1" t="str">
        <f ca="1">IFERROR(__xludf.DUMMYFUNCTION("""COMPUTED_VALUE"""),"13-18")</f>
        <v>13-18</v>
      </c>
      <c r="E251" s="1">
        <f ca="1">IFERROR(__xludf.DUMMYFUNCTION("""COMPUTED_VALUE"""),-8.35)</f>
        <v>-8.35</v>
      </c>
      <c r="F251" s="1">
        <f ca="1">IFERROR(__xludf.DUMMYFUNCTION("""COMPUTED_VALUE"""),98.3)</f>
        <v>98.3</v>
      </c>
      <c r="G251" s="1">
        <f ca="1">IFERROR(__xludf.DUMMYFUNCTION("""COMPUTED_VALUE"""),260)</f>
        <v>260</v>
      </c>
      <c r="H251" s="1">
        <f ca="1">IFERROR(__xludf.DUMMYFUNCTION("""COMPUTED_VALUE"""),106.7)</f>
        <v>106.7</v>
      </c>
      <c r="I251" s="1">
        <f ca="1">IFERROR(__xludf.DUMMYFUNCTION("""COMPUTED_VALUE"""),207)</f>
        <v>207</v>
      </c>
      <c r="J251" s="1">
        <f ca="1">IFERROR(__xludf.DUMMYFUNCTION("""COMPUTED_VALUE"""),63.8)</f>
        <v>63.8</v>
      </c>
      <c r="K251" s="1">
        <f ca="1">IFERROR(__xludf.DUMMYFUNCTION("""COMPUTED_VALUE"""),246)</f>
        <v>246</v>
      </c>
      <c r="L251" s="1" t="str">
        <f ca="1">IFERROR(__xludf.DUMMYFUNCTION("""COMPUTED_VALUE"""),"+.024")</f>
        <v>+.024</v>
      </c>
      <c r="M251" s="1">
        <f ca="1">IFERROR(__xludf.DUMMYFUNCTION("""COMPUTED_VALUE"""),122)</f>
        <v>122</v>
      </c>
      <c r="N251" s="1">
        <f ca="1">IFERROR(__xludf.DUMMYFUNCTION("""COMPUTED_VALUE"""),-5.01)</f>
        <v>-5.01</v>
      </c>
      <c r="O251" s="1">
        <f ca="1">IFERROR(__xludf.DUMMYFUNCTION("""COMPUTED_VALUE"""),245)</f>
        <v>245</v>
      </c>
      <c r="P251" s="1">
        <f ca="1">IFERROR(__xludf.DUMMYFUNCTION("""COMPUTED_VALUE"""),101)</f>
        <v>101</v>
      </c>
      <c r="Q251" s="1">
        <f ca="1">IFERROR(__xludf.DUMMYFUNCTION("""COMPUTED_VALUE"""),270)</f>
        <v>270</v>
      </c>
      <c r="R251" s="1">
        <f ca="1">IFERROR(__xludf.DUMMYFUNCTION("""COMPUTED_VALUE"""),106)</f>
        <v>106</v>
      </c>
      <c r="S251" s="1">
        <f ca="1">IFERROR(__xludf.DUMMYFUNCTION("""COMPUTED_VALUE"""),216)</f>
        <v>216</v>
      </c>
      <c r="T251" s="1">
        <f ca="1">IFERROR(__xludf.DUMMYFUNCTION("""COMPUTED_VALUE"""),-2.06)</f>
        <v>-2.06</v>
      </c>
      <c r="U251" s="1">
        <f ca="1">IFERROR(__xludf.DUMMYFUNCTION("""COMPUTED_VALUE"""),206)</f>
        <v>206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IFERROR(__xludf.DUMMYFUNCTION("""COMPUTED_VALUE"""),"Mount St. Mary's")</f>
        <v>Mount St. Mary's</v>
      </c>
      <c r="C252" s="1" t="str">
        <f ca="1">IFERROR(__xludf.DUMMYFUNCTION("""COMPUTED_VALUE"""),"NEC")</f>
        <v>NEC</v>
      </c>
      <c r="D252" s="2">
        <f ca="1">IFERROR(__xludf.DUMMYFUNCTION("""COMPUTED_VALUE"""),44885)</f>
        <v>44885</v>
      </c>
      <c r="E252" s="1">
        <f ca="1">IFERROR(__xludf.DUMMYFUNCTION("""COMPUTED_VALUE"""),-8.52)</f>
        <v>-8.52</v>
      </c>
      <c r="F252" s="1">
        <f ca="1">IFERROR(__xludf.DUMMYFUNCTION("""COMPUTED_VALUE"""),95.6)</f>
        <v>95.6</v>
      </c>
      <c r="G252" s="1">
        <f ca="1">IFERROR(__xludf.DUMMYFUNCTION("""COMPUTED_VALUE"""),288)</f>
        <v>288</v>
      </c>
      <c r="H252" s="1">
        <f ca="1">IFERROR(__xludf.DUMMYFUNCTION("""COMPUTED_VALUE"""),104.1)</f>
        <v>104.1</v>
      </c>
      <c r="I252" s="1">
        <f ca="1">IFERROR(__xludf.DUMMYFUNCTION("""COMPUTED_VALUE"""),156)</f>
        <v>156</v>
      </c>
      <c r="J252" s="1">
        <f ca="1">IFERROR(__xludf.DUMMYFUNCTION("""COMPUTED_VALUE"""),64.5)</f>
        <v>64.5</v>
      </c>
      <c r="K252" s="1">
        <f ca="1">IFERROR(__xludf.DUMMYFUNCTION("""COMPUTED_VALUE"""),216)</f>
        <v>216</v>
      </c>
      <c r="L252" s="1">
        <f ca="1">IFERROR(__xludf.DUMMYFUNCTION("""COMPUTED_VALUE"""),-0.041)</f>
        <v>-4.1000000000000002E-2</v>
      </c>
      <c r="M252" s="1">
        <f ca="1">IFERROR(__xludf.DUMMYFUNCTION("""COMPUTED_VALUE"""),268)</f>
        <v>268</v>
      </c>
      <c r="N252" s="1">
        <f ca="1">IFERROR(__xludf.DUMMYFUNCTION("""COMPUTED_VALUE"""),-5.78)</f>
        <v>-5.78</v>
      </c>
      <c r="O252" s="1">
        <f ca="1">IFERROR(__xludf.DUMMYFUNCTION("""COMPUTED_VALUE"""),264)</f>
        <v>264</v>
      </c>
      <c r="P252" s="1">
        <f ca="1">IFERROR(__xludf.DUMMYFUNCTION("""COMPUTED_VALUE"""),102.8)</f>
        <v>102.8</v>
      </c>
      <c r="Q252" s="1">
        <f ca="1">IFERROR(__xludf.DUMMYFUNCTION("""COMPUTED_VALUE"""),206)</f>
        <v>206</v>
      </c>
      <c r="R252" s="1">
        <f ca="1">IFERROR(__xludf.DUMMYFUNCTION("""COMPUTED_VALUE"""),108.6)</f>
        <v>108.6</v>
      </c>
      <c r="S252" s="1">
        <f ca="1">IFERROR(__xludf.DUMMYFUNCTION("""COMPUTED_VALUE"""),318)</f>
        <v>318</v>
      </c>
      <c r="T252" s="1" t="str">
        <f ca="1">IFERROR(__xludf.DUMMYFUNCTION("""COMPUTED_VALUE"""),"+1.85")</f>
        <v>+1.85</v>
      </c>
      <c r="U252" s="1">
        <f ca="1">IFERROR(__xludf.DUMMYFUNCTION("""COMPUTED_VALUE"""),103)</f>
        <v>103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IFERROR(__xludf.DUMMYFUNCTION("""COMPUTED_VALUE"""),"Georgia St.")</f>
        <v>Georgia St.</v>
      </c>
      <c r="C255" s="1" t="str">
        <f ca="1">IFERROR(__xludf.DUMMYFUNCTION("""COMPUTED_VALUE"""),"CAA")</f>
        <v>CAA</v>
      </c>
      <c r="D255" s="2">
        <f ca="1">IFERROR(__xludf.DUMMYFUNCTION("""COMPUTED_VALUE"""),44885)</f>
        <v>44885</v>
      </c>
      <c r="E255" s="1">
        <f ca="1">IFERROR(__xludf.DUMMYFUNCTION("""COMPUTED_VALUE"""),-8.69)</f>
        <v>-8.69</v>
      </c>
      <c r="F255" s="1">
        <f ca="1">IFERROR(__xludf.DUMMYFUNCTION("""COMPUTED_VALUE"""),100.8)</f>
        <v>100.8</v>
      </c>
      <c r="G255" s="1">
        <f ca="1">IFERROR(__xludf.DUMMYFUNCTION("""COMPUTED_VALUE"""),222)</f>
        <v>222</v>
      </c>
      <c r="H255" s="1">
        <f ca="1">IFERROR(__xludf.DUMMYFUNCTION("""COMPUTED_VALUE"""),109.5)</f>
        <v>109.5</v>
      </c>
      <c r="I255" s="1">
        <f ca="1">IFERROR(__xludf.DUMMYFUNCTION("""COMPUTED_VALUE"""),259)</f>
        <v>259</v>
      </c>
      <c r="J255" s="1">
        <f ca="1">IFERROR(__xludf.DUMMYFUNCTION("""COMPUTED_VALUE"""),64.2)</f>
        <v>64.2</v>
      </c>
      <c r="K255" s="1">
        <f ca="1">IFERROR(__xludf.DUMMYFUNCTION("""COMPUTED_VALUE"""),228)</f>
        <v>228</v>
      </c>
      <c r="L255" s="1" t="str">
        <f ca="1">IFERROR(__xludf.DUMMYFUNCTION("""COMPUTED_VALUE"""),"+.046")</f>
        <v>+.046</v>
      </c>
      <c r="M255" s="1">
        <f ca="1">IFERROR(__xludf.DUMMYFUNCTION("""COMPUTED_VALUE"""),70)</f>
        <v>70</v>
      </c>
      <c r="N255" s="1" t="str">
        <f ca="1">IFERROR(__xludf.DUMMYFUNCTION("""COMPUTED_VALUE"""),"+0.39")</f>
        <v>+0.39</v>
      </c>
      <c r="O255" s="1">
        <f ca="1">IFERROR(__xludf.DUMMYFUNCTION("""COMPUTED_VALUE"""),146)</f>
        <v>146</v>
      </c>
      <c r="P255" s="1">
        <f ca="1">IFERROR(__xludf.DUMMYFUNCTION("""COMPUTED_VALUE"""),104.8)</f>
        <v>104.8</v>
      </c>
      <c r="Q255" s="1">
        <f ca="1">IFERROR(__xludf.DUMMYFUNCTION("""COMPUTED_VALUE"""),144)</f>
        <v>144</v>
      </c>
      <c r="R255" s="1">
        <f ca="1">IFERROR(__xludf.DUMMYFUNCTION("""COMPUTED_VALUE"""),104.4)</f>
        <v>104.4</v>
      </c>
      <c r="S255" s="1">
        <f ca="1">IFERROR(__xludf.DUMMYFUNCTION("""COMPUTED_VALUE"""),155)</f>
        <v>155</v>
      </c>
      <c r="T255" s="1">
        <f ca="1">IFERROR(__xludf.DUMMYFUNCTION("""COMPUTED_VALUE"""),-2.97)</f>
        <v>-2.97</v>
      </c>
      <c r="U255" s="1">
        <f ca="1">IFERROR(__xludf.DUMMYFUNCTION("""COMPUTED_VALUE"""),229)</f>
        <v>229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IFERROR(__xludf.DUMMYFUNCTION("""COMPUTED_VALUE"""),"UNC Asheville")</f>
        <v>UNC Asheville</v>
      </c>
      <c r="C256" s="1" t="str">
        <f ca="1">IFERROR(__xludf.DUMMYFUNCTION("""COMPUTED_VALUE"""),"BSth")</f>
        <v>BSth</v>
      </c>
      <c r="D256" s="2">
        <f ca="1">IFERROR(__xludf.DUMMYFUNCTION("""COMPUTED_VALUE"""),44914)</f>
        <v>44914</v>
      </c>
      <c r="E256" s="1">
        <f ca="1">IFERROR(__xludf.DUMMYFUNCTION("""COMPUTED_VALUE"""),-8.93)</f>
        <v>-8.93</v>
      </c>
      <c r="F256" s="1">
        <f ca="1">IFERROR(__xludf.DUMMYFUNCTION("""COMPUTED_VALUE"""),96.9)</f>
        <v>96.9</v>
      </c>
      <c r="G256" s="1">
        <f ca="1">IFERROR(__xludf.DUMMYFUNCTION("""COMPUTED_VALUE"""),278)</f>
        <v>278</v>
      </c>
      <c r="H256" s="1">
        <f ca="1">IFERROR(__xludf.DUMMYFUNCTION("""COMPUTED_VALUE"""),105.9)</f>
        <v>105.9</v>
      </c>
      <c r="I256" s="1">
        <f ca="1">IFERROR(__xludf.DUMMYFUNCTION("""COMPUTED_VALUE"""),188)</f>
        <v>188</v>
      </c>
      <c r="J256" s="1">
        <f ca="1">IFERROR(__xludf.DUMMYFUNCTION("""COMPUTED_VALUE"""),68)</f>
        <v>68</v>
      </c>
      <c r="K256" s="1">
        <f ca="1">IFERROR(__xludf.DUMMYFUNCTION("""COMPUTED_VALUE"""),79)</f>
        <v>79</v>
      </c>
      <c r="L256" s="1">
        <f ca="1">IFERROR(__xludf.DUMMYFUNCTION("""COMPUTED_VALUE"""),-0.018)</f>
        <v>-1.7999999999999999E-2</v>
      </c>
      <c r="M256" s="1">
        <f ca="1">IFERROR(__xludf.DUMMYFUNCTION("""COMPUTED_VALUE"""),222)</f>
        <v>222</v>
      </c>
      <c r="N256" s="1">
        <f ca="1">IFERROR(__xludf.DUMMYFUNCTION("""COMPUTED_VALUE"""),-1.75)</f>
        <v>-1.75</v>
      </c>
      <c r="O256" s="1">
        <f ca="1">IFERROR(__xludf.DUMMYFUNCTION("""COMPUTED_VALUE"""),183)</f>
        <v>183</v>
      </c>
      <c r="P256" s="1">
        <f ca="1">IFERROR(__xludf.DUMMYFUNCTION("""COMPUTED_VALUE"""),104.6)</f>
        <v>104.6</v>
      </c>
      <c r="Q256" s="1">
        <f ca="1">IFERROR(__xludf.DUMMYFUNCTION("""COMPUTED_VALUE"""),151)</f>
        <v>151</v>
      </c>
      <c r="R256" s="1">
        <f ca="1">IFERROR(__xludf.DUMMYFUNCTION("""COMPUTED_VALUE"""),106.3)</f>
        <v>106.3</v>
      </c>
      <c r="S256" s="1">
        <f ca="1">IFERROR(__xludf.DUMMYFUNCTION("""COMPUTED_VALUE"""),230)</f>
        <v>230</v>
      </c>
      <c r="T256" s="1" t="str">
        <f ca="1">IFERROR(__xludf.DUMMYFUNCTION("""COMPUTED_VALUE"""),"+4.97")</f>
        <v>+4.97</v>
      </c>
      <c r="U256" s="1">
        <f ca="1">IFERROR(__xludf.DUMMYFUNCTION("""COMPUTED_VALUE"""),49)</f>
        <v>49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IFERROR(__xludf.DUMMYFUNCTION("""COMPUTED_VALUE"""),"Louisiana Monroe")</f>
        <v>Louisiana Monroe</v>
      </c>
      <c r="C257" s="1" t="str">
        <f ca="1">IFERROR(__xludf.DUMMYFUNCTION("""COMPUTED_VALUE"""),"SB")</f>
        <v>SB</v>
      </c>
      <c r="D257" s="1" t="str">
        <f ca="1">IFERROR(__xludf.DUMMYFUNCTION("""COMPUTED_VALUE"""),"18-14")</f>
        <v>18-14</v>
      </c>
      <c r="E257" s="1">
        <f ca="1">IFERROR(__xludf.DUMMYFUNCTION("""COMPUTED_VALUE"""),-8.99)</f>
        <v>-8.99</v>
      </c>
      <c r="F257" s="1">
        <f ca="1">IFERROR(__xludf.DUMMYFUNCTION("""COMPUTED_VALUE"""),101.5)</f>
        <v>101.5</v>
      </c>
      <c r="G257" s="1">
        <f ca="1">IFERROR(__xludf.DUMMYFUNCTION("""COMPUTED_VALUE"""),209)</f>
        <v>209</v>
      </c>
      <c r="H257" s="1">
        <f ca="1">IFERROR(__xludf.DUMMYFUNCTION("""COMPUTED_VALUE"""),110.5)</f>
        <v>110.5</v>
      </c>
      <c r="I257" s="1">
        <f ca="1">IFERROR(__xludf.DUMMYFUNCTION("""COMPUTED_VALUE"""),286)</f>
        <v>286</v>
      </c>
      <c r="J257" s="1">
        <f ca="1">IFERROR(__xludf.DUMMYFUNCTION("""COMPUTED_VALUE"""),67.3)</f>
        <v>67.3</v>
      </c>
      <c r="K257" s="1">
        <f ca="1">IFERROR(__xludf.DUMMYFUNCTION("""COMPUTED_VALUE"""),105)</f>
        <v>105</v>
      </c>
      <c r="L257" s="1" t="str">
        <f ca="1">IFERROR(__xludf.DUMMYFUNCTION("""COMPUTED_VALUE"""),"+.102")</f>
        <v>+.102</v>
      </c>
      <c r="M257" s="1">
        <f ca="1">IFERROR(__xludf.DUMMYFUNCTION("""COMPUTED_VALUE"""),9)</f>
        <v>9</v>
      </c>
      <c r="N257" s="1">
        <f ca="1">IFERROR(__xludf.DUMMYFUNCTION("""COMPUTED_VALUE"""),-5.57)</f>
        <v>-5.57</v>
      </c>
      <c r="O257" s="1">
        <f ca="1">IFERROR(__xludf.DUMMYFUNCTION("""COMPUTED_VALUE"""),256)</f>
        <v>256</v>
      </c>
      <c r="P257" s="1">
        <f ca="1">IFERROR(__xludf.DUMMYFUNCTION("""COMPUTED_VALUE"""),102.1)</f>
        <v>102.1</v>
      </c>
      <c r="Q257" s="1">
        <f ca="1">IFERROR(__xludf.DUMMYFUNCTION("""COMPUTED_VALUE"""),229)</f>
        <v>229</v>
      </c>
      <c r="R257" s="1">
        <f ca="1">IFERROR(__xludf.DUMMYFUNCTION("""COMPUTED_VALUE"""),107.7)</f>
        <v>107.7</v>
      </c>
      <c r="S257" s="1">
        <f ca="1">IFERROR(__xludf.DUMMYFUNCTION("""COMPUTED_VALUE"""),291)</f>
        <v>291</v>
      </c>
      <c r="T257" s="1" t="str">
        <f ca="1">IFERROR(__xludf.DUMMYFUNCTION("""COMPUTED_VALUE"""),"+4.25")</f>
        <v>+4.25</v>
      </c>
      <c r="U257" s="1">
        <f ca="1">IFERROR(__xludf.DUMMYFUNCTION("""COMPUTED_VALUE"""),64)</f>
        <v>64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IFERROR(__xludf.DUMMYFUNCTION("""COMPUTED_VALUE"""),"Rider")</f>
        <v>Rider</v>
      </c>
      <c r="C258" s="1" t="str">
        <f ca="1">IFERROR(__xludf.DUMMYFUNCTION("""COMPUTED_VALUE"""),"MAAC")</f>
        <v>MAAC</v>
      </c>
      <c r="D258" s="1" t="str">
        <f ca="1">IFERROR(__xludf.DUMMYFUNCTION("""COMPUTED_VALUE"""),"16-15")</f>
        <v>16-15</v>
      </c>
      <c r="E258" s="1">
        <f ca="1">IFERROR(__xludf.DUMMYFUNCTION("""COMPUTED_VALUE"""),-9.08)</f>
        <v>-9.08</v>
      </c>
      <c r="F258" s="1">
        <f ca="1">IFERROR(__xludf.DUMMYFUNCTION("""COMPUTED_VALUE"""),102.1)</f>
        <v>102.1</v>
      </c>
      <c r="G258" s="1">
        <f ca="1">IFERROR(__xludf.DUMMYFUNCTION("""COMPUTED_VALUE"""),206)</f>
        <v>206</v>
      </c>
      <c r="H258" s="1">
        <f ca="1">IFERROR(__xludf.DUMMYFUNCTION("""COMPUTED_VALUE"""),111.2)</f>
        <v>111.2</v>
      </c>
      <c r="I258" s="1">
        <f ca="1">IFERROR(__xludf.DUMMYFUNCTION("""COMPUTED_VALUE"""),292)</f>
        <v>292</v>
      </c>
      <c r="J258" s="1">
        <f ca="1">IFERROR(__xludf.DUMMYFUNCTION("""COMPUTED_VALUE"""),67.7)</f>
        <v>67.7</v>
      </c>
      <c r="K258" s="1">
        <f ca="1">IFERROR(__xludf.DUMMYFUNCTION("""COMPUTED_VALUE"""),87)</f>
        <v>87</v>
      </c>
      <c r="L258" s="1" t="str">
        <f ca="1">IFERROR(__xludf.DUMMYFUNCTION("""COMPUTED_VALUE"""),"+.111")</f>
        <v>+.111</v>
      </c>
      <c r="M258" s="1">
        <f ca="1">IFERROR(__xludf.DUMMYFUNCTION("""COMPUTED_VALUE"""),4)</f>
        <v>4</v>
      </c>
      <c r="N258" s="1">
        <f ca="1">IFERROR(__xludf.DUMMYFUNCTION("""COMPUTED_VALUE"""),-6.26)</f>
        <v>-6.26</v>
      </c>
      <c r="O258" s="1">
        <f ca="1">IFERROR(__xludf.DUMMYFUNCTION("""COMPUTED_VALUE"""),279)</f>
        <v>279</v>
      </c>
      <c r="P258" s="1">
        <f ca="1">IFERROR(__xludf.DUMMYFUNCTION("""COMPUTED_VALUE"""),100.6)</f>
        <v>100.6</v>
      </c>
      <c r="Q258" s="1">
        <f ca="1">IFERROR(__xludf.DUMMYFUNCTION("""COMPUTED_VALUE"""),288)</f>
        <v>288</v>
      </c>
      <c r="R258" s="1">
        <f ca="1">IFERROR(__xludf.DUMMYFUNCTION("""COMPUTED_VALUE"""),106.8)</f>
        <v>106.8</v>
      </c>
      <c r="S258" s="1">
        <f ca="1">IFERROR(__xludf.DUMMYFUNCTION("""COMPUTED_VALUE"""),248)</f>
        <v>248</v>
      </c>
      <c r="T258" s="1">
        <f ca="1">IFERROR(__xludf.DUMMYFUNCTION("""COMPUTED_VALUE"""),-2.96)</f>
        <v>-2.96</v>
      </c>
      <c r="U258" s="1">
        <f ca="1">IFERROR(__xludf.DUMMYFUNCTION("""COMPUTED_VALUE"""),227)</f>
        <v>227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IFERROR(__xludf.DUMMYFUNCTION("""COMPUTED_VALUE"""),"Canisius")</f>
        <v>Canisius</v>
      </c>
      <c r="C259" s="1" t="str">
        <f ca="1">IFERROR(__xludf.DUMMYFUNCTION("""COMPUTED_VALUE"""),"MAAC")</f>
        <v>MAAC</v>
      </c>
      <c r="D259" s="2">
        <f ca="1">IFERROR(__xludf.DUMMYFUNCTION("""COMPUTED_VALUE"""),44914)</f>
        <v>44914</v>
      </c>
      <c r="E259" s="1">
        <f ca="1">IFERROR(__xludf.DUMMYFUNCTION("""COMPUTED_VALUE"""),-9.13)</f>
        <v>-9.1300000000000008</v>
      </c>
      <c r="F259" s="1">
        <f ca="1">IFERROR(__xludf.DUMMYFUNCTION("""COMPUTED_VALUE"""),100.2)</f>
        <v>100.2</v>
      </c>
      <c r="G259" s="1">
        <f ca="1">IFERROR(__xludf.DUMMYFUNCTION("""COMPUTED_VALUE"""),231)</f>
        <v>231</v>
      </c>
      <c r="H259" s="1">
        <f ca="1">IFERROR(__xludf.DUMMYFUNCTION("""COMPUTED_VALUE"""),109.4)</f>
        <v>109.4</v>
      </c>
      <c r="I259" s="1">
        <f ca="1">IFERROR(__xludf.DUMMYFUNCTION("""COMPUTED_VALUE"""),252)</f>
        <v>252</v>
      </c>
      <c r="J259" s="1">
        <f ca="1">IFERROR(__xludf.DUMMYFUNCTION("""COMPUTED_VALUE"""),67)</f>
        <v>67</v>
      </c>
      <c r="K259" s="1">
        <f ca="1">IFERROR(__xludf.DUMMYFUNCTION("""COMPUTED_VALUE"""),115)</f>
        <v>115</v>
      </c>
      <c r="L259" s="1">
        <f ca="1">IFERROR(__xludf.DUMMYFUNCTION("""COMPUTED_VALUE"""),-0.015)</f>
        <v>-1.4999999999999999E-2</v>
      </c>
      <c r="M259" s="1">
        <f ca="1">IFERROR(__xludf.DUMMYFUNCTION("""COMPUTED_VALUE"""),213)</f>
        <v>213</v>
      </c>
      <c r="N259" s="1">
        <f ca="1">IFERROR(__xludf.DUMMYFUNCTION("""COMPUTED_VALUE"""),-5.62)</f>
        <v>-5.62</v>
      </c>
      <c r="O259" s="1">
        <f ca="1">IFERROR(__xludf.DUMMYFUNCTION("""COMPUTED_VALUE"""),258)</f>
        <v>258</v>
      </c>
      <c r="P259" s="1">
        <f ca="1">IFERROR(__xludf.DUMMYFUNCTION("""COMPUTED_VALUE"""),101.7)</f>
        <v>101.7</v>
      </c>
      <c r="Q259" s="1">
        <f ca="1">IFERROR(__xludf.DUMMYFUNCTION("""COMPUTED_VALUE"""),247)</f>
        <v>247</v>
      </c>
      <c r="R259" s="1">
        <f ca="1">IFERROR(__xludf.DUMMYFUNCTION("""COMPUTED_VALUE"""),107.3)</f>
        <v>107.3</v>
      </c>
      <c r="S259" s="1">
        <f ca="1">IFERROR(__xludf.DUMMYFUNCTION("""COMPUTED_VALUE"""),270)</f>
        <v>270</v>
      </c>
      <c r="T259" s="1">
        <f ca="1">IFERROR(__xludf.DUMMYFUNCTION("""COMPUTED_VALUE"""),-2.32)</f>
        <v>-2.3199999999999998</v>
      </c>
      <c r="U259" s="1">
        <f ca="1">IFERROR(__xludf.DUMMYFUNCTION("""COMPUTED_VALUE"""),209)</f>
        <v>209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IFERROR(__xludf.DUMMYFUNCTION("""COMPUTED_VALUE"""),"Jacksonville")</f>
        <v>Jacksonville</v>
      </c>
      <c r="C260" s="1" t="str">
        <f ca="1">IFERROR(__xludf.DUMMYFUNCTION("""COMPUTED_VALUE"""),"ASun")</f>
        <v>ASun</v>
      </c>
      <c r="D260" s="1" t="str">
        <f ca="1">IFERROR(__xludf.DUMMYFUNCTION("""COMPUTED_VALUE"""),"15-14")</f>
        <v>15-14</v>
      </c>
      <c r="E260" s="1">
        <f ca="1">IFERROR(__xludf.DUMMYFUNCTION("""COMPUTED_VALUE"""),-9.33)</f>
        <v>-9.33</v>
      </c>
      <c r="F260" s="1">
        <f ca="1">IFERROR(__xludf.DUMMYFUNCTION("""COMPUTED_VALUE"""),100.5)</f>
        <v>100.5</v>
      </c>
      <c r="G260" s="1">
        <f ca="1">IFERROR(__xludf.DUMMYFUNCTION("""COMPUTED_VALUE"""),226)</f>
        <v>226</v>
      </c>
      <c r="H260" s="1">
        <f ca="1">IFERROR(__xludf.DUMMYFUNCTION("""COMPUTED_VALUE"""),109.8)</f>
        <v>109.8</v>
      </c>
      <c r="I260" s="1">
        <f ca="1">IFERROR(__xludf.DUMMYFUNCTION("""COMPUTED_VALUE"""),264)</f>
        <v>264</v>
      </c>
      <c r="J260" s="1">
        <f ca="1">IFERROR(__xludf.DUMMYFUNCTION("""COMPUTED_VALUE"""),70.2)</f>
        <v>70.2</v>
      </c>
      <c r="K260" s="1">
        <f ca="1">IFERROR(__xludf.DUMMYFUNCTION("""COMPUTED_VALUE"""),35)</f>
        <v>35</v>
      </c>
      <c r="L260" s="1" t="str">
        <f ca="1">IFERROR(__xludf.DUMMYFUNCTION("""COMPUTED_VALUE"""),"+.076")</f>
        <v>+.076</v>
      </c>
      <c r="M260" s="1">
        <f ca="1">IFERROR(__xludf.DUMMYFUNCTION("""COMPUTED_VALUE"""),25)</f>
        <v>25</v>
      </c>
      <c r="N260" s="1">
        <f ca="1">IFERROR(__xludf.DUMMYFUNCTION("""COMPUTED_VALUE"""),-7.19)</f>
        <v>-7.19</v>
      </c>
      <c r="O260" s="1">
        <f ca="1">IFERROR(__xludf.DUMMYFUNCTION("""COMPUTED_VALUE"""),295)</f>
        <v>295</v>
      </c>
      <c r="P260" s="1">
        <f ca="1">IFERROR(__xludf.DUMMYFUNCTION("""COMPUTED_VALUE"""),100.2)</f>
        <v>100.2</v>
      </c>
      <c r="Q260" s="1">
        <f ca="1">IFERROR(__xludf.DUMMYFUNCTION("""COMPUTED_VALUE"""),300)</f>
        <v>300</v>
      </c>
      <c r="R260" s="1">
        <f ca="1">IFERROR(__xludf.DUMMYFUNCTION("""COMPUTED_VALUE"""),107.3)</f>
        <v>107.3</v>
      </c>
      <c r="S260" s="1">
        <f ca="1">IFERROR(__xludf.DUMMYFUNCTION("""COMPUTED_VALUE"""),275)</f>
        <v>275</v>
      </c>
      <c r="T260" s="1" t="str">
        <f ca="1">IFERROR(__xludf.DUMMYFUNCTION("""COMPUTED_VALUE"""),"+7.29")</f>
        <v>+7.29</v>
      </c>
      <c r="U260" s="1">
        <f ca="1">IFERROR(__xludf.DUMMYFUNCTION("""COMPUTED_VALUE"""),31)</f>
        <v>31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IFERROR(__xludf.DUMMYFUNCTION("""COMPUTED_VALUE"""),"Hampton")</f>
        <v>Hampton</v>
      </c>
      <c r="C261" s="1" t="str">
        <f ca="1">IFERROR(__xludf.DUMMYFUNCTION("""COMPUTED_VALUE"""),"MEAC")</f>
        <v>MEAC</v>
      </c>
      <c r="D261" s="1" t="str">
        <f ca="1">IFERROR(__xludf.DUMMYFUNCTION("""COMPUTED_VALUE"""),"15-16")</f>
        <v>15-16</v>
      </c>
      <c r="E261" s="1">
        <f ca="1">IFERROR(__xludf.DUMMYFUNCTION("""COMPUTED_VALUE"""),-9.33)</f>
        <v>-9.33</v>
      </c>
      <c r="F261" s="1">
        <f ca="1">IFERROR(__xludf.DUMMYFUNCTION("""COMPUTED_VALUE"""),93.7)</f>
        <v>93.7</v>
      </c>
      <c r="G261" s="1">
        <f ca="1">IFERROR(__xludf.DUMMYFUNCTION("""COMPUTED_VALUE"""),306)</f>
        <v>306</v>
      </c>
      <c r="H261" s="1">
        <f ca="1">IFERROR(__xludf.DUMMYFUNCTION("""COMPUTED_VALUE"""),103)</f>
        <v>103</v>
      </c>
      <c r="I261" s="1">
        <f ca="1">IFERROR(__xludf.DUMMYFUNCTION("""COMPUTED_VALUE"""),138)</f>
        <v>138</v>
      </c>
      <c r="J261" s="1">
        <f ca="1">IFERROR(__xludf.DUMMYFUNCTION("""COMPUTED_VALUE"""),69.1)</f>
        <v>69.099999999999994</v>
      </c>
      <c r="K261" s="1">
        <f ca="1">IFERROR(__xludf.DUMMYFUNCTION("""COMPUTED_VALUE"""),56)</f>
        <v>56</v>
      </c>
      <c r="L261" s="1">
        <f ca="1">IFERROR(__xludf.DUMMYFUNCTION("""COMPUTED_VALUE"""),-0.016)</f>
        <v>-1.6E-2</v>
      </c>
      <c r="M261" s="1">
        <f ca="1">IFERROR(__xludf.DUMMYFUNCTION("""COMPUTED_VALUE"""),217)</f>
        <v>217</v>
      </c>
      <c r="N261" s="1">
        <f ca="1">IFERROR(__xludf.DUMMYFUNCTION("""COMPUTED_VALUE"""),-10.88)</f>
        <v>-10.88</v>
      </c>
      <c r="O261" s="1">
        <f ca="1">IFERROR(__xludf.DUMMYFUNCTION("""COMPUTED_VALUE"""),326)</f>
        <v>326</v>
      </c>
      <c r="P261" s="1">
        <f ca="1">IFERROR(__xludf.DUMMYFUNCTION("""COMPUTED_VALUE"""),98.5)</f>
        <v>98.5</v>
      </c>
      <c r="Q261" s="1">
        <f ca="1">IFERROR(__xludf.DUMMYFUNCTION("""COMPUTED_VALUE"""),318)</f>
        <v>318</v>
      </c>
      <c r="R261" s="1">
        <f ca="1">IFERROR(__xludf.DUMMYFUNCTION("""COMPUTED_VALUE"""),109.4)</f>
        <v>109.4</v>
      </c>
      <c r="S261" s="1">
        <f ca="1">IFERROR(__xludf.DUMMYFUNCTION("""COMPUTED_VALUE"""),334)</f>
        <v>334</v>
      </c>
      <c r="T261" s="1" t="str">
        <f ca="1">IFERROR(__xludf.DUMMYFUNCTION("""COMPUTED_VALUE"""),"+1.50")</f>
        <v>+1.50</v>
      </c>
      <c r="U261" s="1">
        <f ca="1">IFERROR(__xludf.DUMMYFUNCTION("""COMPUTED_VALUE"""),112)</f>
        <v>112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IFERROR(__xludf.DUMMYFUNCTION("""COMPUTED_VALUE"""),"IPFW")</f>
        <v>IPFW</v>
      </c>
      <c r="C262" s="1" t="str">
        <f ca="1">IFERROR(__xludf.DUMMYFUNCTION("""COMPUTED_VALUE"""),"ind")</f>
        <v>ind</v>
      </c>
      <c r="D262" s="2">
        <f ca="1">IFERROR(__xludf.DUMMYFUNCTION("""COMPUTED_VALUE"""),44912)</f>
        <v>44912</v>
      </c>
      <c r="E262" s="1">
        <f ca="1">IFERROR(__xludf.DUMMYFUNCTION("""COMPUTED_VALUE"""),-9.34)</f>
        <v>-9.34</v>
      </c>
      <c r="F262" s="1">
        <f ca="1">IFERROR(__xludf.DUMMYFUNCTION("""COMPUTED_VALUE"""),98.8)</f>
        <v>98.8</v>
      </c>
      <c r="G262" s="1">
        <f ca="1">IFERROR(__xludf.DUMMYFUNCTION("""COMPUTED_VALUE"""),250)</f>
        <v>250</v>
      </c>
      <c r="H262" s="1">
        <f ca="1">IFERROR(__xludf.DUMMYFUNCTION("""COMPUTED_VALUE"""),108.2)</f>
        <v>108.2</v>
      </c>
      <c r="I262" s="1">
        <f ca="1">IFERROR(__xludf.DUMMYFUNCTION("""COMPUTED_VALUE"""),231)</f>
        <v>231</v>
      </c>
      <c r="J262" s="1">
        <f ca="1">IFERROR(__xludf.DUMMYFUNCTION("""COMPUTED_VALUE"""),66.8)</f>
        <v>66.8</v>
      </c>
      <c r="K262" s="1">
        <f ca="1">IFERROR(__xludf.DUMMYFUNCTION("""COMPUTED_VALUE"""),122)</f>
        <v>122</v>
      </c>
      <c r="L262" s="1" t="str">
        <f ca="1">IFERROR(__xludf.DUMMYFUNCTION("""COMPUTED_VALUE"""),"+.015")</f>
        <v>+.015</v>
      </c>
      <c r="M262" s="1">
        <f ca="1">IFERROR(__xludf.DUMMYFUNCTION("""COMPUTED_VALUE"""),148)</f>
        <v>148</v>
      </c>
      <c r="N262" s="1">
        <f ca="1">IFERROR(__xludf.DUMMYFUNCTION("""COMPUTED_VALUE"""),-1.23)</f>
        <v>-1.23</v>
      </c>
      <c r="O262" s="1">
        <f ca="1">IFERROR(__xludf.DUMMYFUNCTION("""COMPUTED_VALUE"""),172)</f>
        <v>172</v>
      </c>
      <c r="P262" s="1">
        <f ca="1">IFERROR(__xludf.DUMMYFUNCTION("""COMPUTED_VALUE"""),103.6)</f>
        <v>103.6</v>
      </c>
      <c r="Q262" s="1">
        <f ca="1">IFERROR(__xludf.DUMMYFUNCTION("""COMPUTED_VALUE"""),180)</f>
        <v>180</v>
      </c>
      <c r="R262" s="1">
        <f ca="1">IFERROR(__xludf.DUMMYFUNCTION("""COMPUTED_VALUE"""),104.8)</f>
        <v>104.8</v>
      </c>
      <c r="S262" s="1">
        <f ca="1">IFERROR(__xludf.DUMMYFUNCTION("""COMPUTED_VALUE"""),166)</f>
        <v>166</v>
      </c>
      <c r="T262" s="1" t="str">
        <f ca="1">IFERROR(__xludf.DUMMYFUNCTION("""COMPUTED_VALUE"""),"+3.51")</f>
        <v>+3.51</v>
      </c>
      <c r="U262" s="1">
        <f ca="1">IFERROR(__xludf.DUMMYFUNCTION("""COMPUTED_VALUE"""),75)</f>
        <v>75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IFERROR(__xludf.DUMMYFUNCTION("""COMPUTED_VALUE"""),"Wofford")</f>
        <v>Wofford</v>
      </c>
      <c r="C263" s="1" t="str">
        <f ca="1">IFERROR(__xludf.DUMMYFUNCTION("""COMPUTED_VALUE"""),"SC")</f>
        <v>SC</v>
      </c>
      <c r="D263" s="2">
        <f ca="1">IFERROR(__xludf.DUMMYFUNCTION("""COMPUTED_VALUE"""),44854)</f>
        <v>44854</v>
      </c>
      <c r="E263" s="1">
        <f ca="1">IFERROR(__xludf.DUMMYFUNCTION("""COMPUTED_VALUE"""),-9.41)</f>
        <v>-9.41</v>
      </c>
      <c r="F263" s="1">
        <f ca="1">IFERROR(__xludf.DUMMYFUNCTION("""COMPUTED_VALUE"""),104.8)</f>
        <v>104.8</v>
      </c>
      <c r="G263" s="1">
        <f ca="1">IFERROR(__xludf.DUMMYFUNCTION("""COMPUTED_VALUE"""),156)</f>
        <v>156</v>
      </c>
      <c r="H263" s="1">
        <f ca="1">IFERROR(__xludf.DUMMYFUNCTION("""COMPUTED_VALUE"""),114.2)</f>
        <v>114.2</v>
      </c>
      <c r="I263" s="1">
        <f ca="1">IFERROR(__xludf.DUMMYFUNCTION("""COMPUTED_VALUE"""),324)</f>
        <v>324</v>
      </c>
      <c r="J263" s="1">
        <f ca="1">IFERROR(__xludf.DUMMYFUNCTION("""COMPUTED_VALUE"""),66)</f>
        <v>66</v>
      </c>
      <c r="K263" s="1">
        <f ca="1">IFERROR(__xludf.DUMMYFUNCTION("""COMPUTED_VALUE"""),159)</f>
        <v>159</v>
      </c>
      <c r="L263" s="1">
        <f ca="1">IFERROR(__xludf.DUMMYFUNCTION("""COMPUTED_VALUE"""),-0.016)</f>
        <v>-1.6E-2</v>
      </c>
      <c r="M263" s="1">
        <f ca="1">IFERROR(__xludf.DUMMYFUNCTION("""COMPUTED_VALUE"""),218)</f>
        <v>218</v>
      </c>
      <c r="N263" s="1">
        <f ca="1">IFERROR(__xludf.DUMMYFUNCTION("""COMPUTED_VALUE"""),-0.29)</f>
        <v>-0.28999999999999998</v>
      </c>
      <c r="O263" s="1">
        <f ca="1">IFERROR(__xludf.DUMMYFUNCTION("""COMPUTED_VALUE"""),157)</f>
        <v>157</v>
      </c>
      <c r="P263" s="1">
        <f ca="1">IFERROR(__xludf.DUMMYFUNCTION("""COMPUTED_VALUE"""),103.7)</f>
        <v>103.7</v>
      </c>
      <c r="Q263" s="1">
        <f ca="1">IFERROR(__xludf.DUMMYFUNCTION("""COMPUTED_VALUE"""),174)</f>
        <v>174</v>
      </c>
      <c r="R263" s="1">
        <f ca="1">IFERROR(__xludf.DUMMYFUNCTION("""COMPUTED_VALUE"""),104)</f>
        <v>104</v>
      </c>
      <c r="S263" s="1">
        <f ca="1">IFERROR(__xludf.DUMMYFUNCTION("""COMPUTED_VALUE"""),144)</f>
        <v>144</v>
      </c>
      <c r="T263" s="1" t="str">
        <f ca="1">IFERROR(__xludf.DUMMYFUNCTION("""COMPUTED_VALUE"""),"+8.54")</f>
        <v>+8.54</v>
      </c>
      <c r="U263" s="1">
        <f ca="1">IFERROR(__xludf.DUMMYFUNCTION("""COMPUTED_VALUE"""),24)</f>
        <v>24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IFERROR(__xludf.DUMMYFUNCTION("""COMPUTED_VALUE"""),"Mississippi Valley St.8")</f>
        <v>Mississippi Valley St.8</v>
      </c>
      <c r="C264" s="1" t="str">
        <f ca="1">IFERROR(__xludf.DUMMYFUNCTION("""COMPUTED_VALUE"""),"SWAC")</f>
        <v>SWAC</v>
      </c>
      <c r="D264" s="1" t="str">
        <f ca="1">IFERROR(__xludf.DUMMYFUNCTION("""COMPUTED_VALUE"""),"18-16")</f>
        <v>18-16</v>
      </c>
      <c r="E264" s="1">
        <f ca="1">IFERROR(__xludf.DUMMYFUNCTION("""COMPUTED_VALUE"""),-9.45)</f>
        <v>-9.4499999999999993</v>
      </c>
      <c r="F264" s="1">
        <f ca="1">IFERROR(__xludf.DUMMYFUNCTION("""COMPUTED_VALUE"""),93.4)</f>
        <v>93.4</v>
      </c>
      <c r="G264" s="1">
        <f ca="1">IFERROR(__xludf.DUMMYFUNCTION("""COMPUTED_VALUE"""),308)</f>
        <v>308</v>
      </c>
      <c r="H264" s="1">
        <f ca="1">IFERROR(__xludf.DUMMYFUNCTION("""COMPUTED_VALUE"""),102.9)</f>
        <v>102.9</v>
      </c>
      <c r="I264" s="1">
        <f ca="1">IFERROR(__xludf.DUMMYFUNCTION("""COMPUTED_VALUE"""),136)</f>
        <v>136</v>
      </c>
      <c r="J264" s="1">
        <f ca="1">IFERROR(__xludf.DUMMYFUNCTION("""COMPUTED_VALUE"""),63.6)</f>
        <v>63.6</v>
      </c>
      <c r="K264" s="1">
        <f ca="1">IFERROR(__xludf.DUMMYFUNCTION("""COMPUTED_VALUE"""),254)</f>
        <v>254</v>
      </c>
      <c r="L264" s="1" t="str">
        <f ca="1">IFERROR(__xludf.DUMMYFUNCTION("""COMPUTED_VALUE"""),"+.062")</f>
        <v>+.062</v>
      </c>
      <c r="M264" s="1">
        <f ca="1">IFERROR(__xludf.DUMMYFUNCTION("""COMPUTED_VALUE"""),41)</f>
        <v>41</v>
      </c>
      <c r="N264" s="1">
        <f ca="1">IFERROR(__xludf.DUMMYFUNCTION("""COMPUTED_VALUE"""),-10.79)</f>
        <v>-10.79</v>
      </c>
      <c r="O264" s="1">
        <f ca="1">IFERROR(__xludf.DUMMYFUNCTION("""COMPUTED_VALUE"""),325)</f>
        <v>325</v>
      </c>
      <c r="P264" s="1">
        <f ca="1">IFERROR(__xludf.DUMMYFUNCTION("""COMPUTED_VALUE"""),95.7)</f>
        <v>95.7</v>
      </c>
      <c r="Q264" s="1">
        <f ca="1">IFERROR(__xludf.DUMMYFUNCTION("""COMPUTED_VALUE"""),330)</f>
        <v>330</v>
      </c>
      <c r="R264" s="1">
        <f ca="1">IFERROR(__xludf.DUMMYFUNCTION("""COMPUTED_VALUE"""),106.4)</f>
        <v>106.4</v>
      </c>
      <c r="S264" s="1">
        <f ca="1">IFERROR(__xludf.DUMMYFUNCTION("""COMPUTED_VALUE"""),239)</f>
        <v>239</v>
      </c>
      <c r="T264" s="1" t="str">
        <f ca="1">IFERROR(__xludf.DUMMYFUNCTION("""COMPUTED_VALUE"""),"+5.93")</f>
        <v>+5.93</v>
      </c>
      <c r="U264" s="1">
        <f ca="1">IFERROR(__xludf.DUMMYFUNCTION("""COMPUTED_VALUE"""),41)</f>
        <v>41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IFERROR(__xludf.DUMMYFUNCTION("""COMPUTED_VALUE"""),"Jackson St.16")</f>
        <v>Jackson St.16</v>
      </c>
      <c r="C265" s="1" t="str">
        <f ca="1">IFERROR(__xludf.DUMMYFUNCTION("""COMPUTED_VALUE"""),"SWAC")</f>
        <v>SWAC</v>
      </c>
      <c r="D265" s="1" t="str">
        <f ca="1">IFERROR(__xludf.DUMMYFUNCTION("""COMPUTED_VALUE"""),"21-14")</f>
        <v>21-14</v>
      </c>
      <c r="E265" s="1">
        <f ca="1">IFERROR(__xludf.DUMMYFUNCTION("""COMPUTED_VALUE"""),-9.48)</f>
        <v>-9.48</v>
      </c>
      <c r="F265" s="1">
        <f ca="1">IFERROR(__xludf.DUMMYFUNCTION("""COMPUTED_VALUE"""),100.2)</f>
        <v>100.2</v>
      </c>
      <c r="G265" s="1">
        <f ca="1">IFERROR(__xludf.DUMMYFUNCTION("""COMPUTED_VALUE"""),230)</f>
        <v>230</v>
      </c>
      <c r="H265" s="1">
        <f ca="1">IFERROR(__xludf.DUMMYFUNCTION("""COMPUTED_VALUE"""),109.7)</f>
        <v>109.7</v>
      </c>
      <c r="I265" s="1">
        <f ca="1">IFERROR(__xludf.DUMMYFUNCTION("""COMPUTED_VALUE"""),262)</f>
        <v>262</v>
      </c>
      <c r="J265" s="1">
        <f ca="1">IFERROR(__xludf.DUMMYFUNCTION("""COMPUTED_VALUE"""),69.7)</f>
        <v>69.7</v>
      </c>
      <c r="K265" s="1">
        <f ca="1">IFERROR(__xludf.DUMMYFUNCTION("""COMPUTED_VALUE"""),40)</f>
        <v>40</v>
      </c>
      <c r="L265" s="1" t="str">
        <f ca="1">IFERROR(__xludf.DUMMYFUNCTION("""COMPUTED_VALUE"""),"+.140")</f>
        <v>+.140</v>
      </c>
      <c r="M265" s="1">
        <f ca="1">IFERROR(__xludf.DUMMYFUNCTION("""COMPUTED_VALUE"""),1)</f>
        <v>1</v>
      </c>
      <c r="N265" s="1">
        <f ca="1">IFERROR(__xludf.DUMMYFUNCTION("""COMPUTED_VALUE"""),-10.16)</f>
        <v>-10.16</v>
      </c>
      <c r="O265" s="1">
        <f ca="1">IFERROR(__xludf.DUMMYFUNCTION("""COMPUTED_VALUE"""),321)</f>
        <v>321</v>
      </c>
      <c r="P265" s="1">
        <f ca="1">IFERROR(__xludf.DUMMYFUNCTION("""COMPUTED_VALUE"""),95.6)</f>
        <v>95.6</v>
      </c>
      <c r="Q265" s="1">
        <f ca="1">IFERROR(__xludf.DUMMYFUNCTION("""COMPUTED_VALUE"""),331)</f>
        <v>331</v>
      </c>
      <c r="R265" s="1">
        <f ca="1">IFERROR(__xludf.DUMMYFUNCTION("""COMPUTED_VALUE"""),105.8)</f>
        <v>105.8</v>
      </c>
      <c r="S265" s="1">
        <f ca="1">IFERROR(__xludf.DUMMYFUNCTION("""COMPUTED_VALUE"""),200)</f>
        <v>200</v>
      </c>
      <c r="T265" s="1" t="str">
        <f ca="1">IFERROR(__xludf.DUMMYFUNCTION("""COMPUTED_VALUE"""),"+7.09")</f>
        <v>+7.09</v>
      </c>
      <c r="U265" s="1">
        <f ca="1">IFERROR(__xludf.DUMMYFUNCTION("""COMPUTED_VALUE"""),32)</f>
        <v>32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IFERROR(__xludf.DUMMYFUNCTION("""COMPUTED_VALUE"""),"Lehigh")</f>
        <v>Lehigh</v>
      </c>
      <c r="C266" s="1" t="str">
        <f ca="1">IFERROR(__xludf.DUMMYFUNCTION("""COMPUTED_VALUE"""),"Pat")</f>
        <v>Pat</v>
      </c>
      <c r="D266" s="2">
        <f ca="1">IFERROR(__xludf.DUMMYFUNCTION("""COMPUTED_VALUE"""),44914)</f>
        <v>44914</v>
      </c>
      <c r="E266" s="1">
        <f ca="1">IFERROR(__xludf.DUMMYFUNCTION("""COMPUTED_VALUE"""),-9.49)</f>
        <v>-9.49</v>
      </c>
      <c r="F266" s="1">
        <f ca="1">IFERROR(__xludf.DUMMYFUNCTION("""COMPUTED_VALUE"""),98.3)</f>
        <v>98.3</v>
      </c>
      <c r="G266" s="1">
        <f ca="1">IFERROR(__xludf.DUMMYFUNCTION("""COMPUTED_VALUE"""),261)</f>
        <v>261</v>
      </c>
      <c r="H266" s="1">
        <f ca="1">IFERROR(__xludf.DUMMYFUNCTION("""COMPUTED_VALUE"""),107.8)</f>
        <v>107.8</v>
      </c>
      <c r="I266" s="1">
        <f ca="1">IFERROR(__xludf.DUMMYFUNCTION("""COMPUTED_VALUE"""),227)</f>
        <v>227</v>
      </c>
      <c r="J266" s="1">
        <f ca="1">IFERROR(__xludf.DUMMYFUNCTION("""COMPUTED_VALUE"""),63)</f>
        <v>63</v>
      </c>
      <c r="K266" s="1">
        <f ca="1">IFERROR(__xludf.DUMMYFUNCTION("""COMPUTED_VALUE"""),282)</f>
        <v>282</v>
      </c>
      <c r="L266" s="1">
        <f ca="1">IFERROR(__xludf.DUMMYFUNCTION("""COMPUTED_VALUE"""),-0.005)</f>
        <v>-5.0000000000000001E-3</v>
      </c>
      <c r="M266" s="1">
        <f ca="1">IFERROR(__xludf.DUMMYFUNCTION("""COMPUTED_VALUE"""),189)</f>
        <v>189</v>
      </c>
      <c r="N266" s="1">
        <f ca="1">IFERROR(__xludf.DUMMYFUNCTION("""COMPUTED_VALUE"""),-4.27)</f>
        <v>-4.2699999999999996</v>
      </c>
      <c r="O266" s="1">
        <f ca="1">IFERROR(__xludf.DUMMYFUNCTION("""COMPUTED_VALUE"""),230)</f>
        <v>230</v>
      </c>
      <c r="P266" s="1">
        <f ca="1">IFERROR(__xludf.DUMMYFUNCTION("""COMPUTED_VALUE"""),101.1)</f>
        <v>101.1</v>
      </c>
      <c r="Q266" s="1">
        <f ca="1">IFERROR(__xludf.DUMMYFUNCTION("""COMPUTED_VALUE"""),264)</f>
        <v>264</v>
      </c>
      <c r="R266" s="1">
        <f ca="1">IFERROR(__xludf.DUMMYFUNCTION("""COMPUTED_VALUE"""),105.4)</f>
        <v>105.4</v>
      </c>
      <c r="S266" s="1">
        <f ca="1">IFERROR(__xludf.DUMMYFUNCTION("""COMPUTED_VALUE"""),184)</f>
        <v>184</v>
      </c>
      <c r="T266" s="1">
        <f ca="1">IFERROR(__xludf.DUMMYFUNCTION("""COMPUTED_VALUE"""),-1.3)</f>
        <v>-1.3</v>
      </c>
      <c r="U266" s="1">
        <f ca="1">IFERROR(__xludf.DUMMYFUNCTION("""COMPUTED_VALUE"""),180)</f>
        <v>180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IFERROR(__xludf.DUMMYFUNCTION("""COMPUTED_VALUE"""),"Quinnipiac")</f>
        <v>Quinnipiac</v>
      </c>
      <c r="C267" s="1" t="str">
        <f ca="1">IFERROR(__xludf.DUMMYFUNCTION("""COMPUTED_VALUE"""),"NEC")</f>
        <v>NEC</v>
      </c>
      <c r="D267" s="1" t="str">
        <f ca="1">IFERROR(__xludf.DUMMYFUNCTION("""COMPUTED_VALUE"""),"14-15")</f>
        <v>14-15</v>
      </c>
      <c r="E267" s="1">
        <f ca="1">IFERROR(__xludf.DUMMYFUNCTION("""COMPUTED_VALUE"""),-9.51)</f>
        <v>-9.51</v>
      </c>
      <c r="F267" s="1">
        <f ca="1">IFERROR(__xludf.DUMMYFUNCTION("""COMPUTED_VALUE"""),98.9)</f>
        <v>98.9</v>
      </c>
      <c r="G267" s="1">
        <f ca="1">IFERROR(__xludf.DUMMYFUNCTION("""COMPUTED_VALUE"""),249)</f>
        <v>249</v>
      </c>
      <c r="H267" s="1">
        <f ca="1">IFERROR(__xludf.DUMMYFUNCTION("""COMPUTED_VALUE"""),108.4)</f>
        <v>108.4</v>
      </c>
      <c r="I267" s="1">
        <f ca="1">IFERROR(__xludf.DUMMYFUNCTION("""COMPUTED_VALUE"""),236)</f>
        <v>236</v>
      </c>
      <c r="J267" s="1">
        <f ca="1">IFERROR(__xludf.DUMMYFUNCTION("""COMPUTED_VALUE"""),69.5)</f>
        <v>69.5</v>
      </c>
      <c r="K267" s="1">
        <f ca="1">IFERROR(__xludf.DUMMYFUNCTION("""COMPUTED_VALUE"""),45)</f>
        <v>45</v>
      </c>
      <c r="L267" s="1" t="str">
        <f ca="1">IFERROR(__xludf.DUMMYFUNCTION("""COMPUTED_VALUE"""),"+.023")</f>
        <v>+.023</v>
      </c>
      <c r="M267" s="1">
        <f ca="1">IFERROR(__xludf.DUMMYFUNCTION("""COMPUTED_VALUE"""),124)</f>
        <v>124</v>
      </c>
      <c r="N267" s="1">
        <f ca="1">IFERROR(__xludf.DUMMYFUNCTION("""COMPUTED_VALUE"""),-8.38)</f>
        <v>-8.3800000000000008</v>
      </c>
      <c r="O267" s="1">
        <f ca="1">IFERROR(__xludf.DUMMYFUNCTION("""COMPUTED_VALUE"""),313)</f>
        <v>313</v>
      </c>
      <c r="P267" s="1">
        <f ca="1">IFERROR(__xludf.DUMMYFUNCTION("""COMPUTED_VALUE"""),100)</f>
        <v>100</v>
      </c>
      <c r="Q267" s="1">
        <f ca="1">IFERROR(__xludf.DUMMYFUNCTION("""COMPUTED_VALUE"""),306)</f>
        <v>306</v>
      </c>
      <c r="R267" s="1">
        <f ca="1">IFERROR(__xludf.DUMMYFUNCTION("""COMPUTED_VALUE"""),108.3)</f>
        <v>108.3</v>
      </c>
      <c r="S267" s="1">
        <f ca="1">IFERROR(__xludf.DUMMYFUNCTION("""COMPUTED_VALUE"""),315)</f>
        <v>315</v>
      </c>
      <c r="T267" s="1">
        <f ca="1">IFERROR(__xludf.DUMMYFUNCTION("""COMPUTED_VALUE"""),-4.2)</f>
        <v>-4.2</v>
      </c>
      <c r="U267" s="1">
        <f ca="1">IFERROR(__xludf.DUMMYFUNCTION("""COMPUTED_VALUE"""),253)</f>
        <v>253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IFERROR(__xludf.DUMMYFUNCTION("""COMPUTED_VALUE"""),"Florida A&amp;M16")</f>
        <v>Florida A&amp;M16</v>
      </c>
      <c r="C268" s="1" t="str">
        <f ca="1">IFERROR(__xludf.DUMMYFUNCTION("""COMPUTED_VALUE"""),"MEAC")</f>
        <v>MEAC</v>
      </c>
      <c r="D268" s="1" t="str">
        <f ca="1">IFERROR(__xludf.DUMMYFUNCTION("""COMPUTED_VALUE"""),"21-14")</f>
        <v>21-14</v>
      </c>
      <c r="E268" s="1">
        <f ca="1">IFERROR(__xludf.DUMMYFUNCTION("""COMPUTED_VALUE"""),-9.57)</f>
        <v>-9.57</v>
      </c>
      <c r="F268" s="1">
        <f ca="1">IFERROR(__xludf.DUMMYFUNCTION("""COMPUTED_VALUE"""),100.6)</f>
        <v>100.6</v>
      </c>
      <c r="G268" s="1">
        <f ca="1">IFERROR(__xludf.DUMMYFUNCTION("""COMPUTED_VALUE"""),225)</f>
        <v>225</v>
      </c>
      <c r="H268" s="1">
        <f ca="1">IFERROR(__xludf.DUMMYFUNCTION("""COMPUTED_VALUE"""),110.2)</f>
        <v>110.2</v>
      </c>
      <c r="I268" s="1">
        <f ca="1">IFERROR(__xludf.DUMMYFUNCTION("""COMPUTED_VALUE"""),276)</f>
        <v>276</v>
      </c>
      <c r="J268" s="1">
        <f ca="1">IFERROR(__xludf.DUMMYFUNCTION("""COMPUTED_VALUE"""),67.6)</f>
        <v>67.599999999999994</v>
      </c>
      <c r="K268" s="1">
        <f ca="1">IFERROR(__xludf.DUMMYFUNCTION("""COMPUTED_VALUE"""),96)</f>
        <v>96</v>
      </c>
      <c r="L268" s="1" t="str">
        <f ca="1">IFERROR(__xludf.DUMMYFUNCTION("""COMPUTED_VALUE"""),"+.104")</f>
        <v>+.104</v>
      </c>
      <c r="M268" s="1">
        <f ca="1">IFERROR(__xludf.DUMMYFUNCTION("""COMPUTED_VALUE"""),8)</f>
        <v>8</v>
      </c>
      <c r="N268" s="1">
        <f ca="1">IFERROR(__xludf.DUMMYFUNCTION("""COMPUTED_VALUE"""),-10.39)</f>
        <v>-10.39</v>
      </c>
      <c r="O268" s="1">
        <f ca="1">IFERROR(__xludf.DUMMYFUNCTION("""COMPUTED_VALUE"""),323)</f>
        <v>323</v>
      </c>
      <c r="P268" s="1">
        <f ca="1">IFERROR(__xludf.DUMMYFUNCTION("""COMPUTED_VALUE"""),97.7)</f>
        <v>97.7</v>
      </c>
      <c r="Q268" s="1">
        <f ca="1">IFERROR(__xludf.DUMMYFUNCTION("""COMPUTED_VALUE"""),322)</f>
        <v>322</v>
      </c>
      <c r="R268" s="1">
        <f ca="1">IFERROR(__xludf.DUMMYFUNCTION("""COMPUTED_VALUE"""),108)</f>
        <v>108</v>
      </c>
      <c r="S268" s="1">
        <f ca="1">IFERROR(__xludf.DUMMYFUNCTION("""COMPUTED_VALUE"""),312)</f>
        <v>312</v>
      </c>
      <c r="T268" s="1" t="str">
        <f ca="1">IFERROR(__xludf.DUMMYFUNCTION("""COMPUTED_VALUE"""),"+10.61")</f>
        <v>+10.61</v>
      </c>
      <c r="U268" s="1">
        <f ca="1">IFERROR(__xludf.DUMMYFUNCTION("""COMPUTED_VALUE"""),13)</f>
        <v>13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IFERROR(__xludf.DUMMYFUNCTION("""COMPUTED_VALUE"""),"Arkansas Little Rock")</f>
        <v>Arkansas Little Rock</v>
      </c>
      <c r="C269" s="1" t="str">
        <f ca="1">IFERROR(__xludf.DUMMYFUNCTION("""COMPUTED_VALUE"""),"SB")</f>
        <v>SB</v>
      </c>
      <c r="D269" s="1" t="str">
        <f ca="1">IFERROR(__xludf.DUMMYFUNCTION("""COMPUTED_VALUE"""),"13-17")</f>
        <v>13-17</v>
      </c>
      <c r="E269" s="1">
        <f ca="1">IFERROR(__xludf.DUMMYFUNCTION("""COMPUTED_VALUE"""),-9.73)</f>
        <v>-9.73</v>
      </c>
      <c r="F269" s="1">
        <f ca="1">IFERROR(__xludf.DUMMYFUNCTION("""COMPUTED_VALUE"""),100.4)</f>
        <v>100.4</v>
      </c>
      <c r="G269" s="1">
        <f ca="1">IFERROR(__xludf.DUMMYFUNCTION("""COMPUTED_VALUE"""),227)</f>
        <v>227</v>
      </c>
      <c r="H269" s="1">
        <f ca="1">IFERROR(__xludf.DUMMYFUNCTION("""COMPUTED_VALUE"""),110.1)</f>
        <v>110.1</v>
      </c>
      <c r="I269" s="1">
        <f ca="1">IFERROR(__xludf.DUMMYFUNCTION("""COMPUTED_VALUE"""),275)</f>
        <v>275</v>
      </c>
      <c r="J269" s="1">
        <f ca="1">IFERROR(__xludf.DUMMYFUNCTION("""COMPUTED_VALUE"""),63)</f>
        <v>63</v>
      </c>
      <c r="K269" s="1">
        <f ca="1">IFERROR(__xludf.DUMMYFUNCTION("""COMPUTED_VALUE"""),278)</f>
        <v>278</v>
      </c>
      <c r="L269" s="1" t="str">
        <f ca="1">IFERROR(__xludf.DUMMYFUNCTION("""COMPUTED_VALUE"""),"+.041")</f>
        <v>+.041</v>
      </c>
      <c r="M269" s="1">
        <f ca="1">IFERROR(__xludf.DUMMYFUNCTION("""COMPUTED_VALUE"""),76)</f>
        <v>76</v>
      </c>
      <c r="N269" s="1">
        <f ca="1">IFERROR(__xludf.DUMMYFUNCTION("""COMPUTED_VALUE"""),-4.88)</f>
        <v>-4.88</v>
      </c>
      <c r="O269" s="1">
        <f ca="1">IFERROR(__xludf.DUMMYFUNCTION("""COMPUTED_VALUE"""),243)</f>
        <v>243</v>
      </c>
      <c r="P269" s="1">
        <f ca="1">IFERROR(__xludf.DUMMYFUNCTION("""COMPUTED_VALUE"""),103)</f>
        <v>103</v>
      </c>
      <c r="Q269" s="1">
        <f ca="1">IFERROR(__xludf.DUMMYFUNCTION("""COMPUTED_VALUE"""),199)</f>
        <v>199</v>
      </c>
      <c r="R269" s="1">
        <f ca="1">IFERROR(__xludf.DUMMYFUNCTION("""COMPUTED_VALUE"""),107.8)</f>
        <v>107.8</v>
      </c>
      <c r="S269" s="1">
        <f ca="1">IFERROR(__xludf.DUMMYFUNCTION("""COMPUTED_VALUE"""),300)</f>
        <v>300</v>
      </c>
      <c r="T269" s="1" t="str">
        <f ca="1">IFERROR(__xludf.DUMMYFUNCTION("""COMPUTED_VALUE"""),"+1.38")</f>
        <v>+1.38</v>
      </c>
      <c r="U269" s="1">
        <f ca="1">IFERROR(__xludf.DUMMYFUNCTION("""COMPUTED_VALUE"""),115)</f>
        <v>115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IFERROR(__xludf.DUMMYFUNCTION("""COMPUTED_VALUE"""),"Centenary")</f>
        <v>Centenary</v>
      </c>
      <c r="C270" s="1" t="str">
        <f ca="1">IFERROR(__xludf.DUMMYFUNCTION("""COMPUTED_VALUE"""),"MCon")</f>
        <v>MCon</v>
      </c>
      <c r="D270" s="2">
        <f ca="1">IFERROR(__xludf.DUMMYFUNCTION("""COMPUTED_VALUE"""),44855)</f>
        <v>44855</v>
      </c>
      <c r="E270" s="1">
        <f ca="1">IFERROR(__xludf.DUMMYFUNCTION("""COMPUTED_VALUE"""),-9.83)</f>
        <v>-9.83</v>
      </c>
      <c r="F270" s="1">
        <f ca="1">IFERROR(__xludf.DUMMYFUNCTION("""COMPUTED_VALUE"""),99.6)</f>
        <v>99.6</v>
      </c>
      <c r="G270" s="1">
        <f ca="1">IFERROR(__xludf.DUMMYFUNCTION("""COMPUTED_VALUE"""),237)</f>
        <v>237</v>
      </c>
      <c r="H270" s="1">
        <f ca="1">IFERROR(__xludf.DUMMYFUNCTION("""COMPUTED_VALUE"""),109.4)</f>
        <v>109.4</v>
      </c>
      <c r="I270" s="1">
        <f ca="1">IFERROR(__xludf.DUMMYFUNCTION("""COMPUTED_VALUE"""),254)</f>
        <v>254</v>
      </c>
      <c r="J270" s="1">
        <f ca="1">IFERROR(__xludf.DUMMYFUNCTION("""COMPUTED_VALUE"""),67.1)</f>
        <v>67.099999999999994</v>
      </c>
      <c r="K270" s="1">
        <f ca="1">IFERROR(__xludf.DUMMYFUNCTION("""COMPUTED_VALUE"""),112)</f>
        <v>112</v>
      </c>
      <c r="L270" s="1">
        <f ca="1">IFERROR(__xludf.DUMMYFUNCTION("""COMPUTED_VALUE"""),-0.007)</f>
        <v>-7.0000000000000001E-3</v>
      </c>
      <c r="M270" s="1">
        <f ca="1">IFERROR(__xludf.DUMMYFUNCTION("""COMPUTED_VALUE"""),195)</f>
        <v>195</v>
      </c>
      <c r="N270" s="1">
        <f ca="1">IFERROR(__xludf.DUMMYFUNCTION("""COMPUTED_VALUE"""),-1.98)</f>
        <v>-1.98</v>
      </c>
      <c r="O270" s="1">
        <f ca="1">IFERROR(__xludf.DUMMYFUNCTION("""COMPUTED_VALUE"""),184)</f>
        <v>184</v>
      </c>
      <c r="P270" s="1">
        <f ca="1">IFERROR(__xludf.DUMMYFUNCTION("""COMPUTED_VALUE"""),104.8)</f>
        <v>104.8</v>
      </c>
      <c r="Q270" s="1">
        <f ca="1">IFERROR(__xludf.DUMMYFUNCTION("""COMPUTED_VALUE"""),145)</f>
        <v>145</v>
      </c>
      <c r="R270" s="1">
        <f ca="1">IFERROR(__xludf.DUMMYFUNCTION("""COMPUTED_VALUE"""),106.7)</f>
        <v>106.7</v>
      </c>
      <c r="S270" s="1">
        <f ca="1">IFERROR(__xludf.DUMMYFUNCTION("""COMPUTED_VALUE"""),245)</f>
        <v>245</v>
      </c>
      <c r="T270" s="1">
        <f ca="1">IFERROR(__xludf.DUMMYFUNCTION("""COMPUTED_VALUE"""),-2.24)</f>
        <v>-2.2400000000000002</v>
      </c>
      <c r="U270" s="1">
        <f ca="1">IFERROR(__xludf.DUMMYFUNCTION("""COMPUTED_VALUE"""),208)</f>
        <v>208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IFERROR(__xludf.DUMMYFUNCTION("""COMPUTED_VALUE"""),"Harvard")</f>
        <v>Harvard</v>
      </c>
      <c r="C271" s="1" t="str">
        <f ca="1">IFERROR(__xludf.DUMMYFUNCTION("""COMPUTED_VALUE"""),"Ivy")</f>
        <v>Ivy</v>
      </c>
      <c r="D271" s="2">
        <f ca="1">IFERROR(__xludf.DUMMYFUNCTION("""COMPUTED_VALUE"""),44911)</f>
        <v>44911</v>
      </c>
      <c r="E271" s="1">
        <f ca="1">IFERROR(__xludf.DUMMYFUNCTION("""COMPUTED_VALUE"""),-9.9)</f>
        <v>-9.9</v>
      </c>
      <c r="F271" s="1">
        <f ca="1">IFERROR(__xludf.DUMMYFUNCTION("""COMPUTED_VALUE"""),103.4)</f>
        <v>103.4</v>
      </c>
      <c r="G271" s="1">
        <f ca="1">IFERROR(__xludf.DUMMYFUNCTION("""COMPUTED_VALUE"""),182)</f>
        <v>182</v>
      </c>
      <c r="H271" s="1">
        <f ca="1">IFERROR(__xludf.DUMMYFUNCTION("""COMPUTED_VALUE"""),113.3)</f>
        <v>113.3</v>
      </c>
      <c r="I271" s="1">
        <f ca="1">IFERROR(__xludf.DUMMYFUNCTION("""COMPUTED_VALUE"""),317)</f>
        <v>317</v>
      </c>
      <c r="J271" s="1">
        <f ca="1">IFERROR(__xludf.DUMMYFUNCTION("""COMPUTED_VALUE"""),71.1)</f>
        <v>71.099999999999994</v>
      </c>
      <c r="K271" s="1">
        <f ca="1">IFERROR(__xludf.DUMMYFUNCTION("""COMPUTED_VALUE"""),21)</f>
        <v>21</v>
      </c>
      <c r="L271" s="1" t="str">
        <f ca="1">IFERROR(__xludf.DUMMYFUNCTION("""COMPUTED_VALUE"""),"+.089")</f>
        <v>+.089</v>
      </c>
      <c r="M271" s="1">
        <f ca="1">IFERROR(__xludf.DUMMYFUNCTION("""COMPUTED_VALUE"""),21)</f>
        <v>21</v>
      </c>
      <c r="N271" s="1">
        <f ca="1">IFERROR(__xludf.DUMMYFUNCTION("""COMPUTED_VALUE"""),-4.15)</f>
        <v>-4.1500000000000004</v>
      </c>
      <c r="O271" s="1">
        <f ca="1">IFERROR(__xludf.DUMMYFUNCTION("""COMPUTED_VALUE"""),225)</f>
        <v>225</v>
      </c>
      <c r="P271" s="1">
        <f ca="1">IFERROR(__xludf.DUMMYFUNCTION("""COMPUTED_VALUE"""),101.4)</f>
        <v>101.4</v>
      </c>
      <c r="Q271" s="1">
        <f ca="1">IFERROR(__xludf.DUMMYFUNCTION("""COMPUTED_VALUE"""),256)</f>
        <v>256</v>
      </c>
      <c r="R271" s="1">
        <f ca="1">IFERROR(__xludf.DUMMYFUNCTION("""COMPUTED_VALUE"""),105.6)</f>
        <v>105.6</v>
      </c>
      <c r="S271" s="1">
        <f ca="1">IFERROR(__xludf.DUMMYFUNCTION("""COMPUTED_VALUE"""),190)</f>
        <v>190</v>
      </c>
      <c r="T271" s="1">
        <f ca="1">IFERROR(__xludf.DUMMYFUNCTION("""COMPUTED_VALUE"""),-2.76)</f>
        <v>-2.76</v>
      </c>
      <c r="U271" s="1">
        <f ca="1">IFERROR(__xludf.DUMMYFUNCTION("""COMPUTED_VALUE"""),221)</f>
        <v>221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IFERROR(__xludf.DUMMYFUNCTION("""COMPUTED_VALUE"""),"Fairleigh Dickinson")</f>
        <v>Fairleigh Dickinson</v>
      </c>
      <c r="C272" s="1" t="str">
        <f ca="1">IFERROR(__xludf.DUMMYFUNCTION("""COMPUTED_VALUE"""),"NEC")</f>
        <v>NEC</v>
      </c>
      <c r="D272" s="1" t="str">
        <f ca="1">IFERROR(__xludf.DUMMYFUNCTION("""COMPUTED_VALUE"""),"14-16")</f>
        <v>14-16</v>
      </c>
      <c r="E272" s="1">
        <f ca="1">IFERROR(__xludf.DUMMYFUNCTION("""COMPUTED_VALUE"""),-9.9)</f>
        <v>-9.9</v>
      </c>
      <c r="F272" s="1">
        <f ca="1">IFERROR(__xludf.DUMMYFUNCTION("""COMPUTED_VALUE"""),101.5)</f>
        <v>101.5</v>
      </c>
      <c r="G272" s="1">
        <f ca="1">IFERROR(__xludf.DUMMYFUNCTION("""COMPUTED_VALUE"""),211)</f>
        <v>211</v>
      </c>
      <c r="H272" s="1">
        <f ca="1">IFERROR(__xludf.DUMMYFUNCTION("""COMPUTED_VALUE"""),111.4)</f>
        <v>111.4</v>
      </c>
      <c r="I272" s="1">
        <f ca="1">IFERROR(__xludf.DUMMYFUNCTION("""COMPUTED_VALUE"""),296)</f>
        <v>296</v>
      </c>
      <c r="J272" s="1">
        <f ca="1">IFERROR(__xludf.DUMMYFUNCTION("""COMPUTED_VALUE"""),68.7)</f>
        <v>68.7</v>
      </c>
      <c r="K272" s="1">
        <f ca="1">IFERROR(__xludf.DUMMYFUNCTION("""COMPUTED_VALUE"""),65)</f>
        <v>65</v>
      </c>
      <c r="L272" s="1" t="str">
        <f ca="1">IFERROR(__xludf.DUMMYFUNCTION("""COMPUTED_VALUE"""),"+.064")</f>
        <v>+.064</v>
      </c>
      <c r="M272" s="1">
        <f ca="1">IFERROR(__xludf.DUMMYFUNCTION("""COMPUTED_VALUE"""),39)</f>
        <v>39</v>
      </c>
      <c r="N272" s="1">
        <f ca="1">IFERROR(__xludf.DUMMYFUNCTION("""COMPUTED_VALUE"""),-6.97)</f>
        <v>-6.97</v>
      </c>
      <c r="O272" s="1">
        <f ca="1">IFERROR(__xludf.DUMMYFUNCTION("""COMPUTED_VALUE"""),291)</f>
        <v>291</v>
      </c>
      <c r="P272" s="1">
        <f ca="1">IFERROR(__xludf.DUMMYFUNCTION("""COMPUTED_VALUE"""),100.9)</f>
        <v>100.9</v>
      </c>
      <c r="Q272" s="1">
        <f ca="1">IFERROR(__xludf.DUMMYFUNCTION("""COMPUTED_VALUE"""),272)</f>
        <v>272</v>
      </c>
      <c r="R272" s="1">
        <f ca="1">IFERROR(__xludf.DUMMYFUNCTION("""COMPUTED_VALUE"""),107.9)</f>
        <v>107.9</v>
      </c>
      <c r="S272" s="1">
        <f ca="1">IFERROR(__xludf.DUMMYFUNCTION("""COMPUTED_VALUE"""),303)</f>
        <v>303</v>
      </c>
      <c r="T272" s="1">
        <f ca="1">IFERROR(__xludf.DUMMYFUNCTION("""COMPUTED_VALUE"""),-0.81)</f>
        <v>-0.81</v>
      </c>
      <c r="U272" s="1">
        <f ca="1">IFERROR(__xludf.DUMMYFUNCTION("""COMPUTED_VALUE"""),168)</f>
        <v>168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IFERROR(__xludf.DUMMYFUNCTION("""COMPUTED_VALUE"""),"Army")</f>
        <v>Army</v>
      </c>
      <c r="C273" s="1" t="str">
        <f ca="1">IFERROR(__xludf.DUMMYFUNCTION("""COMPUTED_VALUE"""),"Pat")</f>
        <v>Pat</v>
      </c>
      <c r="D273" s="1" t="str">
        <f ca="1">IFERROR(__xludf.DUMMYFUNCTION("""COMPUTED_VALUE"""),"15-16")</f>
        <v>15-16</v>
      </c>
      <c r="E273" s="1">
        <f ca="1">IFERROR(__xludf.DUMMYFUNCTION("""COMPUTED_VALUE"""),-9.95)</f>
        <v>-9.9499999999999993</v>
      </c>
      <c r="F273" s="1">
        <f ca="1">IFERROR(__xludf.DUMMYFUNCTION("""COMPUTED_VALUE"""),92.7)</f>
        <v>92.7</v>
      </c>
      <c r="G273" s="1">
        <f ca="1">IFERROR(__xludf.DUMMYFUNCTION("""COMPUTED_VALUE"""),315)</f>
        <v>315</v>
      </c>
      <c r="H273" s="1">
        <f ca="1">IFERROR(__xludf.DUMMYFUNCTION("""COMPUTED_VALUE"""),102.6)</f>
        <v>102.6</v>
      </c>
      <c r="I273" s="1">
        <f ca="1">IFERROR(__xludf.DUMMYFUNCTION("""COMPUTED_VALUE"""),134)</f>
        <v>134</v>
      </c>
      <c r="J273" s="1">
        <f ca="1">IFERROR(__xludf.DUMMYFUNCTION("""COMPUTED_VALUE"""),63)</f>
        <v>63</v>
      </c>
      <c r="K273" s="1">
        <f ca="1">IFERROR(__xludf.DUMMYFUNCTION("""COMPUTED_VALUE"""),280)</f>
        <v>280</v>
      </c>
      <c r="L273" s="1" t="str">
        <f ca="1">IFERROR(__xludf.DUMMYFUNCTION("""COMPUTED_VALUE"""),"+.056")</f>
        <v>+.056</v>
      </c>
      <c r="M273" s="1">
        <f ca="1">IFERROR(__xludf.DUMMYFUNCTION("""COMPUTED_VALUE"""),48)</f>
        <v>48</v>
      </c>
      <c r="N273" s="1">
        <f ca="1">IFERROR(__xludf.DUMMYFUNCTION("""COMPUTED_VALUE"""),-5.81)</f>
        <v>-5.81</v>
      </c>
      <c r="O273" s="1">
        <f ca="1">IFERROR(__xludf.DUMMYFUNCTION("""COMPUTED_VALUE"""),266)</f>
        <v>266</v>
      </c>
      <c r="P273" s="1">
        <f ca="1">IFERROR(__xludf.DUMMYFUNCTION("""COMPUTED_VALUE"""),100.2)</f>
        <v>100.2</v>
      </c>
      <c r="Q273" s="1">
        <f ca="1">IFERROR(__xludf.DUMMYFUNCTION("""COMPUTED_VALUE"""),301)</f>
        <v>301</v>
      </c>
      <c r="R273" s="1">
        <f ca="1">IFERROR(__xludf.DUMMYFUNCTION("""COMPUTED_VALUE"""),106)</f>
        <v>106</v>
      </c>
      <c r="S273" s="1">
        <f ca="1">IFERROR(__xludf.DUMMYFUNCTION("""COMPUTED_VALUE"""),212)</f>
        <v>212</v>
      </c>
      <c r="T273" s="1">
        <f ca="1">IFERROR(__xludf.DUMMYFUNCTION("""COMPUTED_VALUE"""),-6.98)</f>
        <v>-6.98</v>
      </c>
      <c r="U273" s="1">
        <f ca="1">IFERROR(__xludf.DUMMYFUNCTION("""COMPUTED_VALUE"""),313)</f>
        <v>313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IFERROR(__xludf.DUMMYFUNCTION("""COMPUTED_VALUE"""),"Monmouth")</f>
        <v>Monmouth</v>
      </c>
      <c r="C274" s="1" t="str">
        <f ca="1">IFERROR(__xludf.DUMMYFUNCTION("""COMPUTED_VALUE"""),"NEC")</f>
        <v>NEC</v>
      </c>
      <c r="D274" s="2">
        <f ca="1">IFERROR(__xludf.DUMMYFUNCTION("""COMPUTED_VALUE"""),44913)</f>
        <v>44913</v>
      </c>
      <c r="E274" s="1">
        <f ca="1">IFERROR(__xludf.DUMMYFUNCTION("""COMPUTED_VALUE"""),-9.99)</f>
        <v>-9.99</v>
      </c>
      <c r="F274" s="1">
        <f ca="1">IFERROR(__xludf.DUMMYFUNCTION("""COMPUTED_VALUE"""),99.5)</f>
        <v>99.5</v>
      </c>
      <c r="G274" s="1">
        <f ca="1">IFERROR(__xludf.DUMMYFUNCTION("""COMPUTED_VALUE"""),240)</f>
        <v>240</v>
      </c>
      <c r="H274" s="1">
        <f ca="1">IFERROR(__xludf.DUMMYFUNCTION("""COMPUTED_VALUE"""),109.5)</f>
        <v>109.5</v>
      </c>
      <c r="I274" s="1">
        <f ca="1">IFERROR(__xludf.DUMMYFUNCTION("""COMPUTED_VALUE"""),257)</f>
        <v>257</v>
      </c>
      <c r="J274" s="1">
        <f ca="1">IFERROR(__xludf.DUMMYFUNCTION("""COMPUTED_VALUE"""),62.7)</f>
        <v>62.7</v>
      </c>
      <c r="K274" s="1">
        <f ca="1">IFERROR(__xludf.DUMMYFUNCTION("""COMPUTED_VALUE"""),290)</f>
        <v>290</v>
      </c>
      <c r="L274" s="1">
        <f ca="1">IFERROR(__xludf.DUMMYFUNCTION("""COMPUTED_VALUE"""),-0.013)</f>
        <v>-1.2999999999999999E-2</v>
      </c>
      <c r="M274" s="1">
        <f ca="1">IFERROR(__xludf.DUMMYFUNCTION("""COMPUTED_VALUE"""),210)</f>
        <v>210</v>
      </c>
      <c r="N274" s="1">
        <f ca="1">IFERROR(__xludf.DUMMYFUNCTION("""COMPUTED_VALUE"""),-6.46)</f>
        <v>-6.46</v>
      </c>
      <c r="O274" s="1">
        <f ca="1">IFERROR(__xludf.DUMMYFUNCTION("""COMPUTED_VALUE"""),283)</f>
        <v>283</v>
      </c>
      <c r="P274" s="1">
        <f ca="1">IFERROR(__xludf.DUMMYFUNCTION("""COMPUTED_VALUE"""),101.1)</f>
        <v>101.1</v>
      </c>
      <c r="Q274" s="1">
        <f ca="1">IFERROR(__xludf.DUMMYFUNCTION("""COMPUTED_VALUE"""),262)</f>
        <v>262</v>
      </c>
      <c r="R274" s="1">
        <f ca="1">IFERROR(__xludf.DUMMYFUNCTION("""COMPUTED_VALUE"""),107.6)</f>
        <v>107.6</v>
      </c>
      <c r="S274" s="1">
        <f ca="1">IFERROR(__xludf.DUMMYFUNCTION("""COMPUTED_VALUE"""),288)</f>
        <v>288</v>
      </c>
      <c r="T274" s="1" t="str">
        <f ca="1">IFERROR(__xludf.DUMMYFUNCTION("""COMPUTED_VALUE"""),"+1.25")</f>
        <v>+1.25</v>
      </c>
      <c r="U274" s="1">
        <f ca="1">IFERROR(__xludf.DUMMYFUNCTION("""COMPUTED_VALUE"""),121)</f>
        <v>121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IFERROR(__xludf.DUMMYFUNCTION("""COMPUTED_VALUE"""),"UT Arlington")</f>
        <v>UT Arlington</v>
      </c>
      <c r="C275" s="1" t="str">
        <f ca="1">IFERROR(__xludf.DUMMYFUNCTION("""COMPUTED_VALUE"""),"Slnd")</f>
        <v>Slnd</v>
      </c>
      <c r="D275" s="1" t="str">
        <f ca="1">IFERROR(__xludf.DUMMYFUNCTION("""COMPUTED_VALUE"""),"13-17")</f>
        <v>13-17</v>
      </c>
      <c r="E275" s="1">
        <f ca="1">IFERROR(__xludf.DUMMYFUNCTION("""COMPUTED_VALUE"""),-10.06)</f>
        <v>-10.06</v>
      </c>
      <c r="F275" s="1">
        <f ca="1">IFERROR(__xludf.DUMMYFUNCTION("""COMPUTED_VALUE"""),101.2)</f>
        <v>101.2</v>
      </c>
      <c r="G275" s="1">
        <f ca="1">IFERROR(__xludf.DUMMYFUNCTION("""COMPUTED_VALUE"""),217)</f>
        <v>217</v>
      </c>
      <c r="H275" s="1">
        <f ca="1">IFERROR(__xludf.DUMMYFUNCTION("""COMPUTED_VALUE"""),111.3)</f>
        <v>111.3</v>
      </c>
      <c r="I275" s="1">
        <f ca="1">IFERROR(__xludf.DUMMYFUNCTION("""COMPUTED_VALUE"""),293)</f>
        <v>293</v>
      </c>
      <c r="J275" s="1">
        <f ca="1">IFERROR(__xludf.DUMMYFUNCTION("""COMPUTED_VALUE"""),69.9)</f>
        <v>69.900000000000006</v>
      </c>
      <c r="K275" s="1">
        <f ca="1">IFERROR(__xludf.DUMMYFUNCTION("""COMPUTED_VALUE"""),36)</f>
        <v>36</v>
      </c>
      <c r="L275" s="1" t="str">
        <f ca="1">IFERROR(__xludf.DUMMYFUNCTION("""COMPUTED_VALUE"""),"+.045")</f>
        <v>+.045</v>
      </c>
      <c r="M275" s="1">
        <f ca="1">IFERROR(__xludf.DUMMYFUNCTION("""COMPUTED_VALUE"""),71)</f>
        <v>71</v>
      </c>
      <c r="N275" s="1">
        <f ca="1">IFERROR(__xludf.DUMMYFUNCTION("""COMPUTED_VALUE"""),-5.15)</f>
        <v>-5.15</v>
      </c>
      <c r="O275" s="1">
        <f ca="1">IFERROR(__xludf.DUMMYFUNCTION("""COMPUTED_VALUE"""),249)</f>
        <v>249</v>
      </c>
      <c r="P275" s="1">
        <f ca="1">IFERROR(__xludf.DUMMYFUNCTION("""COMPUTED_VALUE"""),100.6)</f>
        <v>100.6</v>
      </c>
      <c r="Q275" s="1">
        <f ca="1">IFERROR(__xludf.DUMMYFUNCTION("""COMPUTED_VALUE"""),285)</f>
        <v>285</v>
      </c>
      <c r="R275" s="1">
        <f ca="1">IFERROR(__xludf.DUMMYFUNCTION("""COMPUTED_VALUE"""),105.7)</f>
        <v>105.7</v>
      </c>
      <c r="S275" s="1">
        <f ca="1">IFERROR(__xludf.DUMMYFUNCTION("""COMPUTED_VALUE"""),198)</f>
        <v>198</v>
      </c>
      <c r="T275" s="1">
        <f ca="1">IFERROR(__xludf.DUMMYFUNCTION("""COMPUTED_VALUE"""),-0.53)</f>
        <v>-0.53</v>
      </c>
      <c r="U275" s="1">
        <f ca="1">IFERROR(__xludf.DUMMYFUNCTION("""COMPUTED_VALUE"""),163)</f>
        <v>163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IFERROR(__xludf.DUMMYFUNCTION("""COMPUTED_VALUE"""),"Manhattan")</f>
        <v>Manhattan</v>
      </c>
      <c r="C276" s="1" t="str">
        <f ca="1">IFERROR(__xludf.DUMMYFUNCTION("""COMPUTED_VALUE"""),"MAAC")</f>
        <v>MAAC</v>
      </c>
      <c r="D276" s="1" t="str">
        <f ca="1">IFERROR(__xludf.DUMMYFUNCTION("""COMPUTED_VALUE"""),"13-17")</f>
        <v>13-17</v>
      </c>
      <c r="E276" s="1">
        <f ca="1">IFERROR(__xludf.DUMMYFUNCTION("""COMPUTED_VALUE"""),-10.08)</f>
        <v>-10.08</v>
      </c>
      <c r="F276" s="1">
        <f ca="1">IFERROR(__xludf.DUMMYFUNCTION("""COMPUTED_VALUE"""),96.8)</f>
        <v>96.8</v>
      </c>
      <c r="G276" s="1">
        <f ca="1">IFERROR(__xludf.DUMMYFUNCTION("""COMPUTED_VALUE"""),279)</f>
        <v>279</v>
      </c>
      <c r="H276" s="1">
        <f ca="1">IFERROR(__xludf.DUMMYFUNCTION("""COMPUTED_VALUE"""),106.9)</f>
        <v>106.9</v>
      </c>
      <c r="I276" s="1">
        <f ca="1">IFERROR(__xludf.DUMMYFUNCTION("""COMPUTED_VALUE"""),213)</f>
        <v>213</v>
      </c>
      <c r="J276" s="1">
        <f ca="1">IFERROR(__xludf.DUMMYFUNCTION("""COMPUTED_VALUE"""),66.5)</f>
        <v>66.5</v>
      </c>
      <c r="K276" s="1">
        <f ca="1">IFERROR(__xludf.DUMMYFUNCTION("""COMPUTED_VALUE"""),128)</f>
        <v>128</v>
      </c>
      <c r="L276" s="1" t="str">
        <f ca="1">IFERROR(__xludf.DUMMYFUNCTION("""COMPUTED_VALUE"""),"+.076")</f>
        <v>+.076</v>
      </c>
      <c r="M276" s="1">
        <f ca="1">IFERROR(__xludf.DUMMYFUNCTION("""COMPUTED_VALUE"""),27)</f>
        <v>27</v>
      </c>
      <c r="N276" s="1">
        <f ca="1">IFERROR(__xludf.DUMMYFUNCTION("""COMPUTED_VALUE"""),-5.93)</f>
        <v>-5.93</v>
      </c>
      <c r="O276" s="1">
        <f ca="1">IFERROR(__xludf.DUMMYFUNCTION("""COMPUTED_VALUE"""),269)</f>
        <v>269</v>
      </c>
      <c r="P276" s="1">
        <f ca="1">IFERROR(__xludf.DUMMYFUNCTION("""COMPUTED_VALUE"""),101.3)</f>
        <v>101.3</v>
      </c>
      <c r="Q276" s="1">
        <f ca="1">IFERROR(__xludf.DUMMYFUNCTION("""COMPUTED_VALUE"""),258)</f>
        <v>258</v>
      </c>
      <c r="R276" s="1">
        <f ca="1">IFERROR(__xludf.DUMMYFUNCTION("""COMPUTED_VALUE"""),107.3)</f>
        <v>107.3</v>
      </c>
      <c r="S276" s="1">
        <f ca="1">IFERROR(__xludf.DUMMYFUNCTION("""COMPUTED_VALUE"""),271)</f>
        <v>271</v>
      </c>
      <c r="T276" s="1">
        <f ca="1">IFERROR(__xludf.DUMMYFUNCTION("""COMPUTED_VALUE"""),-4.07)</f>
        <v>-4.07</v>
      </c>
      <c r="U276" s="1">
        <f ca="1">IFERROR(__xludf.DUMMYFUNCTION("""COMPUTED_VALUE"""),252)</f>
        <v>252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IFERROR(__xludf.DUMMYFUNCTION("""COMPUTED_VALUE"""),"Kennesaw St.")</f>
        <v>Kennesaw St.</v>
      </c>
      <c r="C277" s="1" t="str">
        <f ca="1">IFERROR(__xludf.DUMMYFUNCTION("""COMPUTED_VALUE"""),"ASun")</f>
        <v>ASun</v>
      </c>
      <c r="D277" s="1" t="str">
        <f ca="1">IFERROR(__xludf.DUMMYFUNCTION("""COMPUTED_VALUE"""),"13-18")</f>
        <v>13-18</v>
      </c>
      <c r="E277" s="1">
        <f ca="1">IFERROR(__xludf.DUMMYFUNCTION("""COMPUTED_VALUE"""),-10.17)</f>
        <v>-10.17</v>
      </c>
      <c r="F277" s="1">
        <f ca="1">IFERROR(__xludf.DUMMYFUNCTION("""COMPUTED_VALUE"""),99.3)</f>
        <v>99.3</v>
      </c>
      <c r="G277" s="1">
        <f ca="1">IFERROR(__xludf.DUMMYFUNCTION("""COMPUTED_VALUE"""),246)</f>
        <v>246</v>
      </c>
      <c r="H277" s="1">
        <f ca="1">IFERROR(__xludf.DUMMYFUNCTION("""COMPUTED_VALUE"""),109.5)</f>
        <v>109.5</v>
      </c>
      <c r="I277" s="1">
        <f ca="1">IFERROR(__xludf.DUMMYFUNCTION("""COMPUTED_VALUE"""),256)</f>
        <v>256</v>
      </c>
      <c r="J277" s="1">
        <f ca="1">IFERROR(__xludf.DUMMYFUNCTION("""COMPUTED_VALUE"""),65.1)</f>
        <v>65.099999999999994</v>
      </c>
      <c r="K277" s="1">
        <f ca="1">IFERROR(__xludf.DUMMYFUNCTION("""COMPUTED_VALUE"""),193)</f>
        <v>193</v>
      </c>
      <c r="L277" s="1">
        <f ca="1">IFERROR(__xludf.DUMMYFUNCTION("""COMPUTED_VALUE"""),-0.036)</f>
        <v>-3.5999999999999997E-2</v>
      </c>
      <c r="M277" s="1">
        <f ca="1">IFERROR(__xludf.DUMMYFUNCTION("""COMPUTED_VALUE"""),264)</f>
        <v>264</v>
      </c>
      <c r="N277" s="1">
        <f ca="1">IFERROR(__xludf.DUMMYFUNCTION("""COMPUTED_VALUE"""),-8.35)</f>
        <v>-8.35</v>
      </c>
      <c r="O277" s="1">
        <f ca="1">IFERROR(__xludf.DUMMYFUNCTION("""COMPUTED_VALUE"""),312)</f>
        <v>312</v>
      </c>
      <c r="P277" s="1">
        <f ca="1">IFERROR(__xludf.DUMMYFUNCTION("""COMPUTED_VALUE"""),98.9)</f>
        <v>98.9</v>
      </c>
      <c r="Q277" s="1">
        <f ca="1">IFERROR(__xludf.DUMMYFUNCTION("""COMPUTED_VALUE"""),317)</f>
        <v>317</v>
      </c>
      <c r="R277" s="1">
        <f ca="1">IFERROR(__xludf.DUMMYFUNCTION("""COMPUTED_VALUE"""),107.2)</f>
        <v>107.2</v>
      </c>
      <c r="S277" s="1">
        <f ca="1">IFERROR(__xludf.DUMMYFUNCTION("""COMPUTED_VALUE"""),268)</f>
        <v>268</v>
      </c>
      <c r="T277" s="1">
        <f ca="1">IFERROR(__xludf.DUMMYFUNCTION("""COMPUTED_VALUE"""),-3.98)</f>
        <v>-3.98</v>
      </c>
      <c r="U277" s="1">
        <f ca="1">IFERROR(__xludf.DUMMYFUNCTION("""COMPUTED_VALUE"""),251)</f>
        <v>251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IFERROR(__xludf.DUMMYFUNCTION("""COMPUTED_VALUE"""),"Texas Pan American")</f>
        <v>Texas Pan American</v>
      </c>
      <c r="C278" s="1" t="str">
        <f ca="1">IFERROR(__xludf.DUMMYFUNCTION("""COMPUTED_VALUE"""),"ind")</f>
        <v>ind</v>
      </c>
      <c r="D278" s="1" t="str">
        <f ca="1">IFERROR(__xludf.DUMMYFUNCTION("""COMPUTED_VALUE"""),"14-15")</f>
        <v>14-15</v>
      </c>
      <c r="E278" s="1">
        <f ca="1">IFERROR(__xludf.DUMMYFUNCTION("""COMPUTED_VALUE"""),-10.43)</f>
        <v>-10.43</v>
      </c>
      <c r="F278" s="1">
        <f ca="1">IFERROR(__xludf.DUMMYFUNCTION("""COMPUTED_VALUE"""),101.8)</f>
        <v>101.8</v>
      </c>
      <c r="G278" s="1">
        <f ca="1">IFERROR(__xludf.DUMMYFUNCTION("""COMPUTED_VALUE"""),207)</f>
        <v>207</v>
      </c>
      <c r="H278" s="1">
        <f ca="1">IFERROR(__xludf.DUMMYFUNCTION("""COMPUTED_VALUE"""),112.2)</f>
        <v>112.2</v>
      </c>
      <c r="I278" s="1">
        <f ca="1">IFERROR(__xludf.DUMMYFUNCTION("""COMPUTED_VALUE"""),309)</f>
        <v>309</v>
      </c>
      <c r="J278" s="1">
        <f ca="1">IFERROR(__xludf.DUMMYFUNCTION("""COMPUTED_VALUE"""),64.1)</f>
        <v>64.099999999999994</v>
      </c>
      <c r="K278" s="1">
        <f ca="1">IFERROR(__xludf.DUMMYFUNCTION("""COMPUTED_VALUE"""),231)</f>
        <v>231</v>
      </c>
      <c r="L278" s="1" t="str">
        <f ca="1">IFERROR(__xludf.DUMMYFUNCTION("""COMPUTED_VALUE"""),"+.015")</f>
        <v>+.015</v>
      </c>
      <c r="M278" s="1">
        <f ca="1">IFERROR(__xludf.DUMMYFUNCTION("""COMPUTED_VALUE"""),146)</f>
        <v>146</v>
      </c>
      <c r="N278" s="1">
        <f ca="1">IFERROR(__xludf.DUMMYFUNCTION("""COMPUTED_VALUE"""),-6.16)</f>
        <v>-6.16</v>
      </c>
      <c r="O278" s="1">
        <f ca="1">IFERROR(__xludf.DUMMYFUNCTION("""COMPUTED_VALUE"""),275)</f>
        <v>275</v>
      </c>
      <c r="P278" s="1">
        <f ca="1">IFERROR(__xludf.DUMMYFUNCTION("""COMPUTED_VALUE"""),100.8)</f>
        <v>100.8</v>
      </c>
      <c r="Q278" s="1">
        <f ca="1">IFERROR(__xludf.DUMMYFUNCTION("""COMPUTED_VALUE"""),277)</f>
        <v>277</v>
      </c>
      <c r="R278" s="1">
        <f ca="1">IFERROR(__xludf.DUMMYFUNCTION("""COMPUTED_VALUE"""),106.9)</f>
        <v>106.9</v>
      </c>
      <c r="S278" s="1">
        <f ca="1">IFERROR(__xludf.DUMMYFUNCTION("""COMPUTED_VALUE"""),254)</f>
        <v>254</v>
      </c>
      <c r="T278" s="1">
        <f ca="1">IFERROR(__xludf.DUMMYFUNCTION("""COMPUTED_VALUE"""),-4.43)</f>
        <v>-4.43</v>
      </c>
      <c r="U278" s="1">
        <f ca="1">IFERROR(__xludf.DUMMYFUNCTION("""COMPUTED_VALUE"""),263)</f>
        <v>263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IFERROR(__xludf.DUMMYFUNCTION("""COMPUTED_VALUE"""),"Maine")</f>
        <v>Maine</v>
      </c>
      <c r="C279" s="1" t="str">
        <f ca="1">IFERROR(__xludf.DUMMYFUNCTION("""COMPUTED_VALUE"""),"AE")</f>
        <v>AE</v>
      </c>
      <c r="D279" s="2">
        <f ca="1">IFERROR(__xludf.DUMMYFUNCTION("""COMPUTED_VALUE"""),44913)</f>
        <v>44913</v>
      </c>
      <c r="E279" s="1">
        <f ca="1">IFERROR(__xludf.DUMMYFUNCTION("""COMPUTED_VALUE"""),-10.46)</f>
        <v>-10.46</v>
      </c>
      <c r="F279" s="1">
        <f ca="1">IFERROR(__xludf.DUMMYFUNCTION("""COMPUTED_VALUE"""),99.5)</f>
        <v>99.5</v>
      </c>
      <c r="G279" s="1">
        <f ca="1">IFERROR(__xludf.DUMMYFUNCTION("""COMPUTED_VALUE"""),242)</f>
        <v>242</v>
      </c>
      <c r="H279" s="1">
        <f ca="1">IFERROR(__xludf.DUMMYFUNCTION("""COMPUTED_VALUE"""),109.9)</f>
        <v>109.9</v>
      </c>
      <c r="I279" s="1">
        <f ca="1">IFERROR(__xludf.DUMMYFUNCTION("""COMPUTED_VALUE"""),267)</f>
        <v>267</v>
      </c>
      <c r="J279" s="1">
        <f ca="1">IFERROR(__xludf.DUMMYFUNCTION("""COMPUTED_VALUE"""),66.1)</f>
        <v>66.099999999999994</v>
      </c>
      <c r="K279" s="1">
        <f ca="1">IFERROR(__xludf.DUMMYFUNCTION("""COMPUTED_VALUE"""),153)</f>
        <v>153</v>
      </c>
      <c r="L279" s="1" t="str">
        <f ca="1">IFERROR(__xludf.DUMMYFUNCTION("""COMPUTED_VALUE"""),"+.008")</f>
        <v>+.008</v>
      </c>
      <c r="M279" s="1">
        <f ca="1">IFERROR(__xludf.DUMMYFUNCTION("""COMPUTED_VALUE"""),161)</f>
        <v>161</v>
      </c>
      <c r="N279" s="1">
        <f ca="1">IFERROR(__xludf.DUMMYFUNCTION("""COMPUTED_VALUE"""),-4.63)</f>
        <v>-4.63</v>
      </c>
      <c r="O279" s="1">
        <f ca="1">IFERROR(__xludf.DUMMYFUNCTION("""COMPUTED_VALUE"""),237)</f>
        <v>237</v>
      </c>
      <c r="P279" s="1">
        <f ca="1">IFERROR(__xludf.DUMMYFUNCTION("""COMPUTED_VALUE"""),101.5)</f>
        <v>101.5</v>
      </c>
      <c r="Q279" s="1">
        <f ca="1">IFERROR(__xludf.DUMMYFUNCTION("""COMPUTED_VALUE"""),253)</f>
        <v>253</v>
      </c>
      <c r="R279" s="1">
        <f ca="1">IFERROR(__xludf.DUMMYFUNCTION("""COMPUTED_VALUE"""),106.1)</f>
        <v>106.1</v>
      </c>
      <c r="S279" s="1">
        <f ca="1">IFERROR(__xludf.DUMMYFUNCTION("""COMPUTED_VALUE"""),220)</f>
        <v>220</v>
      </c>
      <c r="T279" s="1">
        <f ca="1">IFERROR(__xludf.DUMMYFUNCTION("""COMPUTED_VALUE"""),-0.56)</f>
        <v>-0.56000000000000005</v>
      </c>
      <c r="U279" s="1">
        <f ca="1">IFERROR(__xludf.DUMMYFUNCTION("""COMPUTED_VALUE"""),164)</f>
        <v>164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IFERROR(__xludf.DUMMYFUNCTION("""COMPUTED_VALUE"""),"Navy")</f>
        <v>Navy</v>
      </c>
      <c r="C280" s="1" t="str">
        <f ca="1">IFERROR(__xludf.DUMMYFUNCTION("""COMPUTED_VALUE"""),"Pat")</f>
        <v>Pat</v>
      </c>
      <c r="D280" s="1" t="str">
        <f ca="1">IFERROR(__xludf.DUMMYFUNCTION("""COMPUTED_VALUE"""),"14-16")</f>
        <v>14-16</v>
      </c>
      <c r="E280" s="1">
        <f ca="1">IFERROR(__xludf.DUMMYFUNCTION("""COMPUTED_VALUE"""),-10.55)</f>
        <v>-10.55</v>
      </c>
      <c r="F280" s="1">
        <f ca="1">IFERROR(__xludf.DUMMYFUNCTION("""COMPUTED_VALUE"""),95.5)</f>
        <v>95.5</v>
      </c>
      <c r="G280" s="1">
        <f ca="1">IFERROR(__xludf.DUMMYFUNCTION("""COMPUTED_VALUE"""),289)</f>
        <v>289</v>
      </c>
      <c r="H280" s="1">
        <f ca="1">IFERROR(__xludf.DUMMYFUNCTION("""COMPUTED_VALUE"""),106)</f>
        <v>106</v>
      </c>
      <c r="I280" s="1">
        <f ca="1">IFERROR(__xludf.DUMMYFUNCTION("""COMPUTED_VALUE"""),191)</f>
        <v>191</v>
      </c>
      <c r="J280" s="1">
        <f ca="1">IFERROR(__xludf.DUMMYFUNCTION("""COMPUTED_VALUE"""),64.8)</f>
        <v>64.8</v>
      </c>
      <c r="K280" s="1">
        <f ca="1">IFERROR(__xludf.DUMMYFUNCTION("""COMPUTED_VALUE"""),208)</f>
        <v>208</v>
      </c>
      <c r="L280" s="1" t="str">
        <f ca="1">IFERROR(__xludf.DUMMYFUNCTION("""COMPUTED_VALUE"""),"+.032")</f>
        <v>+.032</v>
      </c>
      <c r="M280" s="1">
        <f ca="1">IFERROR(__xludf.DUMMYFUNCTION("""COMPUTED_VALUE"""),95)</f>
        <v>95</v>
      </c>
      <c r="N280" s="1">
        <f ca="1">IFERROR(__xludf.DUMMYFUNCTION("""COMPUTED_VALUE"""),-5.69)</f>
        <v>-5.69</v>
      </c>
      <c r="O280" s="1">
        <f ca="1">IFERROR(__xludf.DUMMYFUNCTION("""COMPUTED_VALUE"""),262)</f>
        <v>262</v>
      </c>
      <c r="P280" s="1">
        <f ca="1">IFERROR(__xludf.DUMMYFUNCTION("""COMPUTED_VALUE"""),99.5)</f>
        <v>99.5</v>
      </c>
      <c r="Q280" s="1">
        <f ca="1">IFERROR(__xludf.DUMMYFUNCTION("""COMPUTED_VALUE"""),313)</f>
        <v>313</v>
      </c>
      <c r="R280" s="1">
        <f ca="1">IFERROR(__xludf.DUMMYFUNCTION("""COMPUTED_VALUE"""),105.2)</f>
        <v>105.2</v>
      </c>
      <c r="S280" s="1">
        <f ca="1">IFERROR(__xludf.DUMMYFUNCTION("""COMPUTED_VALUE"""),176)</f>
        <v>176</v>
      </c>
      <c r="T280" s="1">
        <f ca="1">IFERROR(__xludf.DUMMYFUNCTION("""COMPUTED_VALUE"""),-6.73)</f>
        <v>-6.73</v>
      </c>
      <c r="U280" s="1">
        <f ca="1">IFERROR(__xludf.DUMMYFUNCTION("""COMPUTED_VALUE"""),311)</f>
        <v>311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IFERROR(__xludf.DUMMYFUNCTION("""COMPUTED_VALUE"""),"McNeese St.")</f>
        <v>McNeese St.</v>
      </c>
      <c r="C281" s="1" t="str">
        <f ca="1">IFERROR(__xludf.DUMMYFUNCTION("""COMPUTED_VALUE"""),"Slnd")</f>
        <v>Slnd</v>
      </c>
      <c r="D281" s="1" t="str">
        <f ca="1">IFERROR(__xludf.DUMMYFUNCTION("""COMPUTED_VALUE"""),"15-17")</f>
        <v>15-17</v>
      </c>
      <c r="E281" s="1">
        <f ca="1">IFERROR(__xludf.DUMMYFUNCTION("""COMPUTED_VALUE"""),-10.58)</f>
        <v>-10.58</v>
      </c>
      <c r="F281" s="1">
        <f ca="1">IFERROR(__xludf.DUMMYFUNCTION("""COMPUTED_VALUE"""),90.5)</f>
        <v>90.5</v>
      </c>
      <c r="G281" s="1">
        <f ca="1">IFERROR(__xludf.DUMMYFUNCTION("""COMPUTED_VALUE"""),322)</f>
        <v>322</v>
      </c>
      <c r="H281" s="1">
        <f ca="1">IFERROR(__xludf.DUMMYFUNCTION("""COMPUTED_VALUE"""),101.1)</f>
        <v>101.1</v>
      </c>
      <c r="I281" s="1">
        <f ca="1">IFERROR(__xludf.DUMMYFUNCTION("""COMPUTED_VALUE"""),106)</f>
        <v>106</v>
      </c>
      <c r="J281" s="1">
        <f ca="1">IFERROR(__xludf.DUMMYFUNCTION("""COMPUTED_VALUE"""),65.5)</f>
        <v>65.5</v>
      </c>
      <c r="K281" s="1">
        <f ca="1">IFERROR(__xludf.DUMMYFUNCTION("""COMPUTED_VALUE"""),179)</f>
        <v>179</v>
      </c>
      <c r="L281" s="1" t="str">
        <f ca="1">IFERROR(__xludf.DUMMYFUNCTION("""COMPUTED_VALUE"""),"+.100")</f>
        <v>+.100</v>
      </c>
      <c r="M281" s="1">
        <f ca="1">IFERROR(__xludf.DUMMYFUNCTION("""COMPUTED_VALUE"""),11)</f>
        <v>11</v>
      </c>
      <c r="N281" s="1">
        <f ca="1">IFERROR(__xludf.DUMMYFUNCTION("""COMPUTED_VALUE"""),-4.01)</f>
        <v>-4.01</v>
      </c>
      <c r="O281" s="1">
        <f ca="1">IFERROR(__xludf.DUMMYFUNCTION("""COMPUTED_VALUE"""),220)</f>
        <v>220</v>
      </c>
      <c r="P281" s="1">
        <f ca="1">IFERROR(__xludf.DUMMYFUNCTION("""COMPUTED_VALUE"""),102.3)</f>
        <v>102.3</v>
      </c>
      <c r="Q281" s="1">
        <f ca="1">IFERROR(__xludf.DUMMYFUNCTION("""COMPUTED_VALUE"""),219)</f>
        <v>219</v>
      </c>
      <c r="R281" s="1">
        <f ca="1">IFERROR(__xludf.DUMMYFUNCTION("""COMPUTED_VALUE"""),106.3)</f>
        <v>106.3</v>
      </c>
      <c r="S281" s="1">
        <f ca="1">IFERROR(__xludf.DUMMYFUNCTION("""COMPUTED_VALUE"""),232)</f>
        <v>232</v>
      </c>
      <c r="T281" s="1" t="str">
        <f ca="1">IFERROR(__xludf.DUMMYFUNCTION("""COMPUTED_VALUE"""),"+1.75")</f>
        <v>+1.75</v>
      </c>
      <c r="U281" s="1">
        <f ca="1">IFERROR(__xludf.DUMMYFUNCTION("""COMPUTED_VALUE"""),106)</f>
        <v>106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IFERROR(__xludf.DUMMYFUNCTION("""COMPUTED_VALUE"""),"Campbell")</f>
        <v>Campbell</v>
      </c>
      <c r="C282" s="1" t="str">
        <f ca="1">IFERROR(__xludf.DUMMYFUNCTION("""COMPUTED_VALUE"""),"ASun")</f>
        <v>ASun</v>
      </c>
      <c r="D282" s="1" t="str">
        <f ca="1">IFERROR(__xludf.DUMMYFUNCTION("""COMPUTED_VALUE"""),"14-17")</f>
        <v>14-17</v>
      </c>
      <c r="E282" s="1">
        <f ca="1">IFERROR(__xludf.DUMMYFUNCTION("""COMPUTED_VALUE"""),-10.63)</f>
        <v>-10.63</v>
      </c>
      <c r="F282" s="1">
        <f ca="1">IFERROR(__xludf.DUMMYFUNCTION("""COMPUTED_VALUE"""),99.6)</f>
        <v>99.6</v>
      </c>
      <c r="G282" s="1">
        <f ca="1">IFERROR(__xludf.DUMMYFUNCTION("""COMPUTED_VALUE"""),238)</f>
        <v>238</v>
      </c>
      <c r="H282" s="1">
        <f ca="1">IFERROR(__xludf.DUMMYFUNCTION("""COMPUTED_VALUE"""),110.2)</f>
        <v>110.2</v>
      </c>
      <c r="I282" s="1">
        <f ca="1">IFERROR(__xludf.DUMMYFUNCTION("""COMPUTED_VALUE"""),277)</f>
        <v>277</v>
      </c>
      <c r="J282" s="1">
        <f ca="1">IFERROR(__xludf.DUMMYFUNCTION("""COMPUTED_VALUE"""),73)</f>
        <v>73</v>
      </c>
      <c r="K282" s="1">
        <f ca="1">IFERROR(__xludf.DUMMYFUNCTION("""COMPUTED_VALUE"""),7)</f>
        <v>7</v>
      </c>
      <c r="L282" s="1">
        <f ca="1">IFERROR(__xludf.DUMMYFUNCTION("""COMPUTED_VALUE"""),-0.012)</f>
        <v>-1.2E-2</v>
      </c>
      <c r="M282" s="1">
        <f ca="1">IFERROR(__xludf.DUMMYFUNCTION("""COMPUTED_VALUE"""),209)</f>
        <v>209</v>
      </c>
      <c r="N282" s="1">
        <f ca="1">IFERROR(__xludf.DUMMYFUNCTION("""COMPUTED_VALUE"""),-8.23)</f>
        <v>-8.23</v>
      </c>
      <c r="O282" s="1">
        <f ca="1">IFERROR(__xludf.DUMMYFUNCTION("""COMPUTED_VALUE"""),309)</f>
        <v>309</v>
      </c>
      <c r="P282" s="1">
        <f ca="1">IFERROR(__xludf.DUMMYFUNCTION("""COMPUTED_VALUE"""),99.3)</f>
        <v>99.3</v>
      </c>
      <c r="Q282" s="1">
        <f ca="1">IFERROR(__xludf.DUMMYFUNCTION("""COMPUTED_VALUE"""),315)</f>
        <v>315</v>
      </c>
      <c r="R282" s="1">
        <f ca="1">IFERROR(__xludf.DUMMYFUNCTION("""COMPUTED_VALUE"""),107.5)</f>
        <v>107.5</v>
      </c>
      <c r="S282" s="1">
        <f ca="1">IFERROR(__xludf.DUMMYFUNCTION("""COMPUTED_VALUE"""),282)</f>
        <v>282</v>
      </c>
      <c r="T282" s="1">
        <f ca="1">IFERROR(__xludf.DUMMYFUNCTION("""COMPUTED_VALUE"""),-3.6)</f>
        <v>-3.6</v>
      </c>
      <c r="U282" s="1">
        <f ca="1">IFERROR(__xludf.DUMMYFUNCTION("""COMPUTED_VALUE"""),243)</f>
        <v>243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IFERROR(__xludf.DUMMYFUNCTION("""COMPUTED_VALUE"""),"Princeton")</f>
        <v>Princeton</v>
      </c>
      <c r="C283" s="1" t="str">
        <f ca="1">IFERROR(__xludf.DUMMYFUNCTION("""COMPUTED_VALUE"""),"Ivy")</f>
        <v>Ivy</v>
      </c>
      <c r="D283" s="2">
        <f ca="1">IFERROR(__xludf.DUMMYFUNCTION("""COMPUTED_VALUE"""),44882)</f>
        <v>44882</v>
      </c>
      <c r="E283" s="1">
        <f ca="1">IFERROR(__xludf.DUMMYFUNCTION("""COMPUTED_VALUE"""),-10.68)</f>
        <v>-10.68</v>
      </c>
      <c r="F283" s="1">
        <f ca="1">IFERROR(__xludf.DUMMYFUNCTION("""COMPUTED_VALUE"""),92.5)</f>
        <v>92.5</v>
      </c>
      <c r="G283" s="1">
        <f ca="1">IFERROR(__xludf.DUMMYFUNCTION("""COMPUTED_VALUE"""),316)</f>
        <v>316</v>
      </c>
      <c r="H283" s="1">
        <f ca="1">IFERROR(__xludf.DUMMYFUNCTION("""COMPUTED_VALUE"""),103.1)</f>
        <v>103.1</v>
      </c>
      <c r="I283" s="1">
        <f ca="1">IFERROR(__xludf.DUMMYFUNCTION("""COMPUTED_VALUE"""),141)</f>
        <v>141</v>
      </c>
      <c r="J283" s="1">
        <f ca="1">IFERROR(__xludf.DUMMYFUNCTION("""COMPUTED_VALUE"""),51.6)</f>
        <v>51.6</v>
      </c>
      <c r="K283" s="1">
        <f ca="1">IFERROR(__xludf.DUMMYFUNCTION("""COMPUTED_VALUE"""),336)</f>
        <v>336</v>
      </c>
      <c r="L283" s="1">
        <f ca="1">IFERROR(__xludf.DUMMYFUNCTION("""COMPUTED_VALUE"""),-0.007)</f>
        <v>-7.0000000000000001E-3</v>
      </c>
      <c r="M283" s="1">
        <f ca="1">IFERROR(__xludf.DUMMYFUNCTION("""COMPUTED_VALUE"""),196)</f>
        <v>196</v>
      </c>
      <c r="N283" s="1">
        <f ca="1">IFERROR(__xludf.DUMMYFUNCTION("""COMPUTED_VALUE"""),-5.64)</f>
        <v>-5.64</v>
      </c>
      <c r="O283" s="1">
        <f ca="1">IFERROR(__xludf.DUMMYFUNCTION("""COMPUTED_VALUE"""),260)</f>
        <v>260</v>
      </c>
      <c r="P283" s="1">
        <f ca="1">IFERROR(__xludf.DUMMYFUNCTION("""COMPUTED_VALUE"""),101.8)</f>
        <v>101.8</v>
      </c>
      <c r="Q283" s="1">
        <f ca="1">IFERROR(__xludf.DUMMYFUNCTION("""COMPUTED_VALUE"""),242)</f>
        <v>242</v>
      </c>
      <c r="R283" s="1">
        <f ca="1">IFERROR(__xludf.DUMMYFUNCTION("""COMPUTED_VALUE"""),107.4)</f>
        <v>107.4</v>
      </c>
      <c r="S283" s="1">
        <f ca="1">IFERROR(__xludf.DUMMYFUNCTION("""COMPUTED_VALUE"""),277)</f>
        <v>277</v>
      </c>
      <c r="T283" s="1">
        <f ca="1">IFERROR(__xludf.DUMMYFUNCTION("""COMPUTED_VALUE"""),-5.75)</f>
        <v>-5.75</v>
      </c>
      <c r="U283" s="1">
        <f ca="1">IFERROR(__xludf.DUMMYFUNCTION("""COMPUTED_VALUE"""),294)</f>
        <v>294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IFERROR(__xludf.DUMMYFUNCTION("""COMPUTED_VALUE"""),"UMBC")</f>
        <v>UMBC</v>
      </c>
      <c r="C284" s="1" t="str">
        <f ca="1">IFERROR(__xludf.DUMMYFUNCTION("""COMPUTED_VALUE"""),"AE")</f>
        <v>AE</v>
      </c>
      <c r="D284" s="2">
        <f ca="1">IFERROR(__xludf.DUMMYFUNCTION("""COMPUTED_VALUE"""),44914)</f>
        <v>44914</v>
      </c>
      <c r="E284" s="1">
        <f ca="1">IFERROR(__xludf.DUMMYFUNCTION("""COMPUTED_VALUE"""),-10.81)</f>
        <v>-10.81</v>
      </c>
      <c r="F284" s="1">
        <f ca="1">IFERROR(__xludf.DUMMYFUNCTION("""COMPUTED_VALUE"""),99.5)</f>
        <v>99.5</v>
      </c>
      <c r="G284" s="1">
        <f ca="1">IFERROR(__xludf.DUMMYFUNCTION("""COMPUTED_VALUE"""),241)</f>
        <v>241</v>
      </c>
      <c r="H284" s="1">
        <f ca="1">IFERROR(__xludf.DUMMYFUNCTION("""COMPUTED_VALUE"""),110.3)</f>
        <v>110.3</v>
      </c>
      <c r="I284" s="1">
        <f ca="1">IFERROR(__xludf.DUMMYFUNCTION("""COMPUTED_VALUE"""),279)</f>
        <v>279</v>
      </c>
      <c r="J284" s="1">
        <f ca="1">IFERROR(__xludf.DUMMYFUNCTION("""COMPUTED_VALUE"""),61.6)</f>
        <v>61.6</v>
      </c>
      <c r="K284" s="1">
        <f ca="1">IFERROR(__xludf.DUMMYFUNCTION("""COMPUTED_VALUE"""),304)</f>
        <v>304</v>
      </c>
      <c r="L284" s="1" t="str">
        <f ca="1">IFERROR(__xludf.DUMMYFUNCTION("""COMPUTED_VALUE"""),"+.016")</f>
        <v>+.016</v>
      </c>
      <c r="M284" s="1">
        <f ca="1">IFERROR(__xludf.DUMMYFUNCTION("""COMPUTED_VALUE"""),144)</f>
        <v>144</v>
      </c>
      <c r="N284" s="1">
        <f ca="1">IFERROR(__xludf.DUMMYFUNCTION("""COMPUTED_VALUE"""),-4.15)</f>
        <v>-4.1500000000000004</v>
      </c>
      <c r="O284" s="1">
        <f ca="1">IFERROR(__xludf.DUMMYFUNCTION("""COMPUTED_VALUE"""),224)</f>
        <v>224</v>
      </c>
      <c r="P284" s="1">
        <f ca="1">IFERROR(__xludf.DUMMYFUNCTION("""COMPUTED_VALUE"""),101.4)</f>
        <v>101.4</v>
      </c>
      <c r="Q284" s="1">
        <f ca="1">IFERROR(__xludf.DUMMYFUNCTION("""COMPUTED_VALUE"""),255)</f>
        <v>255</v>
      </c>
      <c r="R284" s="1">
        <f ca="1">IFERROR(__xludf.DUMMYFUNCTION("""COMPUTED_VALUE"""),105.6)</f>
        <v>105.6</v>
      </c>
      <c r="S284" s="1">
        <f ca="1">IFERROR(__xludf.DUMMYFUNCTION("""COMPUTED_VALUE"""),191)</f>
        <v>191</v>
      </c>
      <c r="T284" s="1">
        <f ca="1">IFERROR(__xludf.DUMMYFUNCTION("""COMPUTED_VALUE"""),-0.71)</f>
        <v>-0.71</v>
      </c>
      <c r="U284" s="1">
        <f ca="1">IFERROR(__xludf.DUMMYFUNCTION("""COMPUTED_VALUE"""),165)</f>
        <v>165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IFERROR(__xludf.DUMMYFUNCTION("""COMPUTED_VALUE"""),"Louisiana Lafayette")</f>
        <v>Louisiana Lafayette</v>
      </c>
      <c r="C285" s="1" t="str">
        <f ca="1">IFERROR(__xludf.DUMMYFUNCTION("""COMPUTED_VALUE"""),"SB")</f>
        <v>SB</v>
      </c>
      <c r="D285" s="2">
        <f ca="1">IFERROR(__xludf.DUMMYFUNCTION("""COMPUTED_VALUE"""),44825)</f>
        <v>44825</v>
      </c>
      <c r="E285" s="1">
        <f ca="1">IFERROR(__xludf.DUMMYFUNCTION("""COMPUTED_VALUE"""),-10.85)</f>
        <v>-10.85</v>
      </c>
      <c r="F285" s="1">
        <f ca="1">IFERROR(__xludf.DUMMYFUNCTION("""COMPUTED_VALUE"""),98.4)</f>
        <v>98.4</v>
      </c>
      <c r="G285" s="1">
        <f ca="1">IFERROR(__xludf.DUMMYFUNCTION("""COMPUTED_VALUE"""),258)</f>
        <v>258</v>
      </c>
      <c r="H285" s="1">
        <f ca="1">IFERROR(__xludf.DUMMYFUNCTION("""COMPUTED_VALUE"""),109.3)</f>
        <v>109.3</v>
      </c>
      <c r="I285" s="1">
        <f ca="1">IFERROR(__xludf.DUMMYFUNCTION("""COMPUTED_VALUE"""),250)</f>
        <v>250</v>
      </c>
      <c r="J285" s="1">
        <f ca="1">IFERROR(__xludf.DUMMYFUNCTION("""COMPUTED_VALUE"""),65.5)</f>
        <v>65.5</v>
      </c>
      <c r="K285" s="1">
        <f ca="1">IFERROR(__xludf.DUMMYFUNCTION("""COMPUTED_VALUE"""),177)</f>
        <v>177</v>
      </c>
      <c r="L285" s="1">
        <f ca="1">IFERROR(__xludf.DUMMYFUNCTION("""COMPUTED_VALUE"""),-0.046)</f>
        <v>-4.5999999999999999E-2</v>
      </c>
      <c r="M285" s="1">
        <f ca="1">IFERROR(__xludf.DUMMYFUNCTION("""COMPUTED_VALUE"""),276)</f>
        <v>276</v>
      </c>
      <c r="N285" s="1">
        <f ca="1">IFERROR(__xludf.DUMMYFUNCTION("""COMPUTED_VALUE"""),-3.61)</f>
        <v>-3.61</v>
      </c>
      <c r="O285" s="1">
        <f ca="1">IFERROR(__xludf.DUMMYFUNCTION("""COMPUTED_VALUE"""),210)</f>
        <v>210</v>
      </c>
      <c r="P285" s="1">
        <f ca="1">IFERROR(__xludf.DUMMYFUNCTION("""COMPUTED_VALUE"""),103.4)</f>
        <v>103.4</v>
      </c>
      <c r="Q285" s="1">
        <f ca="1">IFERROR(__xludf.DUMMYFUNCTION("""COMPUTED_VALUE"""),187)</f>
        <v>187</v>
      </c>
      <c r="R285" s="1">
        <f ca="1">IFERROR(__xludf.DUMMYFUNCTION("""COMPUTED_VALUE"""),107)</f>
        <v>107</v>
      </c>
      <c r="S285" s="1">
        <f ca="1">IFERROR(__xludf.DUMMYFUNCTION("""COMPUTED_VALUE"""),260)</f>
        <v>260</v>
      </c>
      <c r="T285" s="1" t="str">
        <f ca="1">IFERROR(__xludf.DUMMYFUNCTION("""COMPUTED_VALUE"""),"+3.83")</f>
        <v>+3.83</v>
      </c>
      <c r="U285" s="1">
        <f ca="1">IFERROR(__xludf.DUMMYFUNCTION("""COMPUTED_VALUE"""),70)</f>
        <v>70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IFERROR(__xludf.DUMMYFUNCTION("""COMPUTED_VALUE"""),"Nicholls St.")</f>
        <v>Nicholls St.</v>
      </c>
      <c r="C286" s="1" t="str">
        <f ca="1">IFERROR(__xludf.DUMMYFUNCTION("""COMPUTED_VALUE"""),"Slnd")</f>
        <v>Slnd</v>
      </c>
      <c r="D286" s="2">
        <f ca="1">IFERROR(__xludf.DUMMYFUNCTION("""COMPUTED_VALUE"""),44795)</f>
        <v>44795</v>
      </c>
      <c r="E286" s="1">
        <f ca="1">IFERROR(__xludf.DUMMYFUNCTION("""COMPUTED_VALUE"""),-10.94)</f>
        <v>-10.94</v>
      </c>
      <c r="F286" s="1">
        <f ca="1">IFERROR(__xludf.DUMMYFUNCTION("""COMPUTED_VALUE"""),102.7)</f>
        <v>102.7</v>
      </c>
      <c r="G286" s="1">
        <f ca="1">IFERROR(__xludf.DUMMYFUNCTION("""COMPUTED_VALUE"""),192)</f>
        <v>192</v>
      </c>
      <c r="H286" s="1">
        <f ca="1">IFERROR(__xludf.DUMMYFUNCTION("""COMPUTED_VALUE"""),113.6)</f>
        <v>113.6</v>
      </c>
      <c r="I286" s="1">
        <f ca="1">IFERROR(__xludf.DUMMYFUNCTION("""COMPUTED_VALUE"""),319)</f>
        <v>319</v>
      </c>
      <c r="J286" s="1">
        <f ca="1">IFERROR(__xludf.DUMMYFUNCTION("""COMPUTED_VALUE"""),69)</f>
        <v>69</v>
      </c>
      <c r="K286" s="1">
        <f ca="1">IFERROR(__xludf.DUMMYFUNCTION("""COMPUTED_VALUE"""),57)</f>
        <v>57</v>
      </c>
      <c r="L286" s="1">
        <f ca="1">IFERROR(__xludf.DUMMYFUNCTION("""COMPUTED_VALUE"""),-0.019)</f>
        <v>-1.9E-2</v>
      </c>
      <c r="M286" s="1">
        <f ca="1">IFERROR(__xludf.DUMMYFUNCTION("""COMPUTED_VALUE"""),227)</f>
        <v>227</v>
      </c>
      <c r="N286" s="1">
        <f ca="1">IFERROR(__xludf.DUMMYFUNCTION("""COMPUTED_VALUE"""),-0.44)</f>
        <v>-0.44</v>
      </c>
      <c r="O286" s="1">
        <f ca="1">IFERROR(__xludf.DUMMYFUNCTION("""COMPUTED_VALUE"""),161)</f>
        <v>161</v>
      </c>
      <c r="P286" s="1">
        <f ca="1">IFERROR(__xludf.DUMMYFUNCTION("""COMPUTED_VALUE"""),104.1)</f>
        <v>104.1</v>
      </c>
      <c r="Q286" s="1">
        <f ca="1">IFERROR(__xludf.DUMMYFUNCTION("""COMPUTED_VALUE"""),171)</f>
        <v>171</v>
      </c>
      <c r="R286" s="1">
        <f ca="1">IFERROR(__xludf.DUMMYFUNCTION("""COMPUTED_VALUE"""),104.5)</f>
        <v>104.5</v>
      </c>
      <c r="S286" s="1">
        <f ca="1">IFERROR(__xludf.DUMMYFUNCTION("""COMPUTED_VALUE"""),158)</f>
        <v>158</v>
      </c>
      <c r="T286" s="1" t="str">
        <f ca="1">IFERROR(__xludf.DUMMYFUNCTION("""COMPUTED_VALUE"""),"+9.88")</f>
        <v>+9.88</v>
      </c>
      <c r="U286" s="1">
        <f ca="1">IFERROR(__xludf.DUMMYFUNCTION("""COMPUTED_VALUE"""),15)</f>
        <v>15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IFERROR(__xludf.DUMMYFUNCTION("""COMPUTED_VALUE"""),"Montana St.")</f>
        <v>Montana St.</v>
      </c>
      <c r="C287" s="1" t="str">
        <f ca="1">IFERROR(__xludf.DUMMYFUNCTION("""COMPUTED_VALUE"""),"BSky")</f>
        <v>BSky</v>
      </c>
      <c r="D287" s="2">
        <f ca="1">IFERROR(__xludf.DUMMYFUNCTION("""COMPUTED_VALUE"""),44884)</f>
        <v>44884</v>
      </c>
      <c r="E287" s="1">
        <f ca="1">IFERROR(__xludf.DUMMYFUNCTION("""COMPUTED_VALUE"""),-11.13)</f>
        <v>-11.13</v>
      </c>
      <c r="F287" s="1">
        <f ca="1">IFERROR(__xludf.DUMMYFUNCTION("""COMPUTED_VALUE"""),97.6)</f>
        <v>97.6</v>
      </c>
      <c r="G287" s="1">
        <f ca="1">IFERROR(__xludf.DUMMYFUNCTION("""COMPUTED_VALUE"""),269)</f>
        <v>269</v>
      </c>
      <c r="H287" s="1">
        <f ca="1">IFERROR(__xludf.DUMMYFUNCTION("""COMPUTED_VALUE"""),108.7)</f>
        <v>108.7</v>
      </c>
      <c r="I287" s="1">
        <f ca="1">IFERROR(__xludf.DUMMYFUNCTION("""COMPUTED_VALUE"""),245)</f>
        <v>245</v>
      </c>
      <c r="J287" s="1">
        <f ca="1">IFERROR(__xludf.DUMMYFUNCTION("""COMPUTED_VALUE"""),65)</f>
        <v>65</v>
      </c>
      <c r="K287" s="1">
        <f ca="1">IFERROR(__xludf.DUMMYFUNCTION("""COMPUTED_VALUE"""),199)</f>
        <v>199</v>
      </c>
      <c r="L287" s="1">
        <f ca="1">IFERROR(__xludf.DUMMYFUNCTION("""COMPUTED_VALUE"""),-0.007)</f>
        <v>-7.0000000000000001E-3</v>
      </c>
      <c r="M287" s="1">
        <f ca="1">IFERROR(__xludf.DUMMYFUNCTION("""COMPUTED_VALUE"""),192)</f>
        <v>192</v>
      </c>
      <c r="N287" s="1">
        <f ca="1">IFERROR(__xludf.DUMMYFUNCTION("""COMPUTED_VALUE"""),-3.69)</f>
        <v>-3.69</v>
      </c>
      <c r="O287" s="1">
        <f ca="1">IFERROR(__xludf.DUMMYFUNCTION("""COMPUTED_VALUE"""),212)</f>
        <v>212</v>
      </c>
      <c r="P287" s="1">
        <f ca="1">IFERROR(__xludf.DUMMYFUNCTION("""COMPUTED_VALUE"""),103.6)</f>
        <v>103.6</v>
      </c>
      <c r="Q287" s="1">
        <f ca="1">IFERROR(__xludf.DUMMYFUNCTION("""COMPUTED_VALUE"""),179)</f>
        <v>179</v>
      </c>
      <c r="R287" s="1">
        <f ca="1">IFERROR(__xludf.DUMMYFUNCTION("""COMPUTED_VALUE"""),107.3)</f>
        <v>107.3</v>
      </c>
      <c r="S287" s="1">
        <f ca="1">IFERROR(__xludf.DUMMYFUNCTION("""COMPUTED_VALUE"""),272)</f>
        <v>272</v>
      </c>
      <c r="T287" s="1">
        <f ca="1">IFERROR(__xludf.DUMMYFUNCTION("""COMPUTED_VALUE"""),-0.78)</f>
        <v>-0.78</v>
      </c>
      <c r="U287" s="1">
        <f ca="1">IFERROR(__xludf.DUMMYFUNCTION("""COMPUTED_VALUE"""),167)</f>
        <v>167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IFERROR(__xludf.DUMMYFUNCTION("""COMPUTED_VALUE"""),"Portland")</f>
        <v>Portland</v>
      </c>
      <c r="C288" s="1" t="str">
        <f ca="1">IFERROR(__xludf.DUMMYFUNCTION("""COMPUTED_VALUE"""),"WCC")</f>
        <v>WCC</v>
      </c>
      <c r="D288" s="2">
        <f ca="1">IFERROR(__xludf.DUMMYFUNCTION("""COMPUTED_VALUE"""),44827)</f>
        <v>44827</v>
      </c>
      <c r="E288" s="1">
        <f ca="1">IFERROR(__xludf.DUMMYFUNCTION("""COMPUTED_VALUE"""),-11.21)</f>
        <v>-11.21</v>
      </c>
      <c r="F288" s="1">
        <f ca="1">IFERROR(__xludf.DUMMYFUNCTION("""COMPUTED_VALUE"""),94.9)</f>
        <v>94.9</v>
      </c>
      <c r="G288" s="1">
        <f ca="1">IFERROR(__xludf.DUMMYFUNCTION("""COMPUTED_VALUE"""),297)</f>
        <v>297</v>
      </c>
      <c r="H288" s="1">
        <f ca="1">IFERROR(__xludf.DUMMYFUNCTION("""COMPUTED_VALUE"""),106.1)</f>
        <v>106.1</v>
      </c>
      <c r="I288" s="1">
        <f ca="1">IFERROR(__xludf.DUMMYFUNCTION("""COMPUTED_VALUE"""),194)</f>
        <v>194</v>
      </c>
      <c r="J288" s="1">
        <f ca="1">IFERROR(__xludf.DUMMYFUNCTION("""COMPUTED_VALUE"""),63.7)</f>
        <v>63.7</v>
      </c>
      <c r="K288" s="1">
        <f ca="1">IFERROR(__xludf.DUMMYFUNCTION("""COMPUTED_VALUE"""),248)</f>
        <v>248</v>
      </c>
      <c r="L288" s="1" t="str">
        <f ca="1">IFERROR(__xludf.DUMMYFUNCTION("""COMPUTED_VALUE"""),"+.010")</f>
        <v>+.010</v>
      </c>
      <c r="M288" s="1">
        <f ca="1">IFERROR(__xludf.DUMMYFUNCTION("""COMPUTED_VALUE"""),154)</f>
        <v>154</v>
      </c>
      <c r="N288" s="1" t="str">
        <f ca="1">IFERROR(__xludf.DUMMYFUNCTION("""COMPUTED_VALUE"""),"+0.42")</f>
        <v>+0.42</v>
      </c>
      <c r="O288" s="1">
        <f ca="1">IFERROR(__xludf.DUMMYFUNCTION("""COMPUTED_VALUE"""),145)</f>
        <v>145</v>
      </c>
      <c r="P288" s="1">
        <f ca="1">IFERROR(__xludf.DUMMYFUNCTION("""COMPUTED_VALUE"""),105.3)</f>
        <v>105.3</v>
      </c>
      <c r="Q288" s="1">
        <f ca="1">IFERROR(__xludf.DUMMYFUNCTION("""COMPUTED_VALUE"""),129)</f>
        <v>129</v>
      </c>
      <c r="R288" s="1">
        <f ca="1">IFERROR(__xludf.DUMMYFUNCTION("""COMPUTED_VALUE"""),104.9)</f>
        <v>104.9</v>
      </c>
      <c r="S288" s="1">
        <f ca="1">IFERROR(__xludf.DUMMYFUNCTION("""COMPUTED_VALUE"""),169)</f>
        <v>169</v>
      </c>
      <c r="T288" s="1" t="str">
        <f ca="1">IFERROR(__xludf.DUMMYFUNCTION("""COMPUTED_VALUE"""),"+0.06")</f>
        <v>+0.06</v>
      </c>
      <c r="U288" s="1">
        <f ca="1">IFERROR(__xludf.DUMMYFUNCTION("""COMPUTED_VALUE"""),152)</f>
        <v>152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IFERROR(__xludf.DUMMYFUNCTION("""COMPUTED_VALUE"""),"Central Arkansas")</f>
        <v>Central Arkansas</v>
      </c>
      <c r="C289" s="1" t="str">
        <f ca="1">IFERROR(__xludf.DUMMYFUNCTION("""COMPUTED_VALUE"""),"Slnd")</f>
        <v>Slnd</v>
      </c>
      <c r="D289" s="2">
        <f ca="1">IFERROR(__xludf.DUMMYFUNCTION("""COMPUTED_VALUE"""),44854)</f>
        <v>44854</v>
      </c>
      <c r="E289" s="1">
        <f ca="1">IFERROR(__xludf.DUMMYFUNCTION("""COMPUTED_VALUE"""),-11.51)</f>
        <v>-11.51</v>
      </c>
      <c r="F289" s="1">
        <f ca="1">IFERROR(__xludf.DUMMYFUNCTION("""COMPUTED_VALUE"""),95.4)</f>
        <v>95.4</v>
      </c>
      <c r="G289" s="1">
        <f ca="1">IFERROR(__xludf.DUMMYFUNCTION("""COMPUTED_VALUE"""),290)</f>
        <v>290</v>
      </c>
      <c r="H289" s="1">
        <f ca="1">IFERROR(__xludf.DUMMYFUNCTION("""COMPUTED_VALUE"""),106.9)</f>
        <v>106.9</v>
      </c>
      <c r="I289" s="1">
        <f ca="1">IFERROR(__xludf.DUMMYFUNCTION("""COMPUTED_VALUE"""),215)</f>
        <v>215</v>
      </c>
      <c r="J289" s="1">
        <f ca="1">IFERROR(__xludf.DUMMYFUNCTION("""COMPUTED_VALUE"""),63.7)</f>
        <v>63.7</v>
      </c>
      <c r="K289" s="1">
        <f ca="1">IFERROR(__xludf.DUMMYFUNCTION("""COMPUTED_VALUE"""),249)</f>
        <v>249</v>
      </c>
      <c r="L289" s="1">
        <f ca="1">IFERROR(__xludf.DUMMYFUNCTION("""COMPUTED_VALUE"""),-0.049)</f>
        <v>-4.9000000000000002E-2</v>
      </c>
      <c r="M289" s="1">
        <f ca="1">IFERROR(__xludf.DUMMYFUNCTION("""COMPUTED_VALUE"""),286)</f>
        <v>286</v>
      </c>
      <c r="N289" s="1">
        <f ca="1">IFERROR(__xludf.DUMMYFUNCTION("""COMPUTED_VALUE"""),-4.35)</f>
        <v>-4.3499999999999996</v>
      </c>
      <c r="O289" s="1">
        <f ca="1">IFERROR(__xludf.DUMMYFUNCTION("""COMPUTED_VALUE"""),234)</f>
        <v>234</v>
      </c>
      <c r="P289" s="1">
        <f ca="1">IFERROR(__xludf.DUMMYFUNCTION("""COMPUTED_VALUE"""),101.8)</f>
        <v>101.8</v>
      </c>
      <c r="Q289" s="1">
        <f ca="1">IFERROR(__xludf.DUMMYFUNCTION("""COMPUTED_VALUE"""),244)</f>
        <v>244</v>
      </c>
      <c r="R289" s="1">
        <f ca="1">IFERROR(__xludf.DUMMYFUNCTION("""COMPUTED_VALUE"""),106.1)</f>
        <v>106.1</v>
      </c>
      <c r="S289" s="1">
        <f ca="1">IFERROR(__xludf.DUMMYFUNCTION("""COMPUTED_VALUE"""),222)</f>
        <v>222</v>
      </c>
      <c r="T289" s="1" t="str">
        <f ca="1">IFERROR(__xludf.DUMMYFUNCTION("""COMPUTED_VALUE"""),"+1.29")</f>
        <v>+1.29</v>
      </c>
      <c r="U289" s="1">
        <f ca="1">IFERROR(__xludf.DUMMYFUNCTION("""COMPUTED_VALUE"""),118)</f>
        <v>118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IFERROR(__xludf.DUMMYFUNCTION("""COMPUTED_VALUE"""),"Elon")</f>
        <v>Elon</v>
      </c>
      <c r="C290" s="1" t="str">
        <f ca="1">IFERROR(__xludf.DUMMYFUNCTION("""COMPUTED_VALUE"""),"SC")</f>
        <v>SC</v>
      </c>
      <c r="D290" s="2">
        <f ca="1">IFERROR(__xludf.DUMMYFUNCTION("""COMPUTED_VALUE"""),44765)</f>
        <v>44765</v>
      </c>
      <c r="E290" s="1">
        <f ca="1">IFERROR(__xludf.DUMMYFUNCTION("""COMPUTED_VALUE"""),-11.8)</f>
        <v>-11.8</v>
      </c>
      <c r="F290" s="1">
        <f ca="1">IFERROR(__xludf.DUMMYFUNCTION("""COMPUTED_VALUE"""),97.3)</f>
        <v>97.3</v>
      </c>
      <c r="G290" s="1">
        <f ca="1">IFERROR(__xludf.DUMMYFUNCTION("""COMPUTED_VALUE"""),272)</f>
        <v>272</v>
      </c>
      <c r="H290" s="1">
        <f ca="1">IFERROR(__xludf.DUMMYFUNCTION("""COMPUTED_VALUE"""),109.1)</f>
        <v>109.1</v>
      </c>
      <c r="I290" s="1">
        <f ca="1">IFERROR(__xludf.DUMMYFUNCTION("""COMPUTED_VALUE"""),249)</f>
        <v>249</v>
      </c>
      <c r="J290" s="1">
        <f ca="1">IFERROR(__xludf.DUMMYFUNCTION("""COMPUTED_VALUE"""),63.3)</f>
        <v>63.3</v>
      </c>
      <c r="K290" s="1">
        <f ca="1">IFERROR(__xludf.DUMMYFUNCTION("""COMPUTED_VALUE"""),264)</f>
        <v>264</v>
      </c>
      <c r="L290" s="1">
        <f ca="1">IFERROR(__xludf.DUMMYFUNCTION("""COMPUTED_VALUE"""),-0.052)</f>
        <v>-5.1999999999999998E-2</v>
      </c>
      <c r="M290" s="1">
        <f ca="1">IFERROR(__xludf.DUMMYFUNCTION("""COMPUTED_VALUE"""),289)</f>
        <v>289</v>
      </c>
      <c r="N290" s="1" t="str">
        <f ca="1">IFERROR(__xludf.DUMMYFUNCTION("""COMPUTED_VALUE"""),"+0.32")</f>
        <v>+0.32</v>
      </c>
      <c r="O290" s="1">
        <f ca="1">IFERROR(__xludf.DUMMYFUNCTION("""COMPUTED_VALUE"""),147)</f>
        <v>147</v>
      </c>
      <c r="P290" s="1">
        <f ca="1">IFERROR(__xludf.DUMMYFUNCTION("""COMPUTED_VALUE"""),105.1)</f>
        <v>105.1</v>
      </c>
      <c r="Q290" s="1">
        <f ca="1">IFERROR(__xludf.DUMMYFUNCTION("""COMPUTED_VALUE"""),135)</f>
        <v>135</v>
      </c>
      <c r="R290" s="1">
        <f ca="1">IFERROR(__xludf.DUMMYFUNCTION("""COMPUTED_VALUE"""),104.8)</f>
        <v>104.8</v>
      </c>
      <c r="S290" s="1">
        <f ca="1">IFERROR(__xludf.DUMMYFUNCTION("""COMPUTED_VALUE"""),163)</f>
        <v>163</v>
      </c>
      <c r="T290" s="1" t="str">
        <f ca="1">IFERROR(__xludf.DUMMYFUNCTION("""COMPUTED_VALUE"""),"+8.97")</f>
        <v>+8.97</v>
      </c>
      <c r="U290" s="1">
        <f ca="1">IFERROR(__xludf.DUMMYFUNCTION("""COMPUTED_VALUE"""),23)</f>
        <v>23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IFERROR(__xludf.DUMMYFUNCTION("""COMPUTED_VALUE"""),"Stony Brook")</f>
        <v>Stony Brook</v>
      </c>
      <c r="C291" s="1" t="str">
        <f ca="1">IFERROR(__xludf.DUMMYFUNCTION("""COMPUTED_VALUE"""),"AE")</f>
        <v>AE</v>
      </c>
      <c r="D291" s="2">
        <f ca="1">IFERROR(__xludf.DUMMYFUNCTION("""COMPUTED_VALUE"""),44824)</f>
        <v>44824</v>
      </c>
      <c r="E291" s="1">
        <f ca="1">IFERROR(__xludf.DUMMYFUNCTION("""COMPUTED_VALUE"""),-11.89)</f>
        <v>-11.89</v>
      </c>
      <c r="F291" s="1">
        <f ca="1">IFERROR(__xludf.DUMMYFUNCTION("""COMPUTED_VALUE"""),92.9)</f>
        <v>92.9</v>
      </c>
      <c r="G291" s="1">
        <f ca="1">IFERROR(__xludf.DUMMYFUNCTION("""COMPUTED_VALUE"""),312)</f>
        <v>312</v>
      </c>
      <c r="H291" s="1">
        <f ca="1">IFERROR(__xludf.DUMMYFUNCTION("""COMPUTED_VALUE"""),104.8)</f>
        <v>104.8</v>
      </c>
      <c r="I291" s="1">
        <f ca="1">IFERROR(__xludf.DUMMYFUNCTION("""COMPUTED_VALUE"""),166)</f>
        <v>166</v>
      </c>
      <c r="J291" s="1">
        <f ca="1">IFERROR(__xludf.DUMMYFUNCTION("""COMPUTED_VALUE"""),64.5)</f>
        <v>64.5</v>
      </c>
      <c r="K291" s="1">
        <f ca="1">IFERROR(__xludf.DUMMYFUNCTION("""COMPUTED_VALUE"""),219)</f>
        <v>219</v>
      </c>
      <c r="L291" s="1">
        <f ca="1">IFERROR(__xludf.DUMMYFUNCTION("""COMPUTED_VALUE"""),-0.061)</f>
        <v>-6.0999999999999999E-2</v>
      </c>
      <c r="M291" s="1">
        <f ca="1">IFERROR(__xludf.DUMMYFUNCTION("""COMPUTED_VALUE"""),302)</f>
        <v>302</v>
      </c>
      <c r="N291" s="1">
        <f ca="1">IFERROR(__xludf.DUMMYFUNCTION("""COMPUTED_VALUE"""),-6.04)</f>
        <v>-6.04</v>
      </c>
      <c r="O291" s="1">
        <f ca="1">IFERROR(__xludf.DUMMYFUNCTION("""COMPUTED_VALUE"""),273)</f>
        <v>273</v>
      </c>
      <c r="P291" s="1">
        <f ca="1">IFERROR(__xludf.DUMMYFUNCTION("""COMPUTED_VALUE"""),100.9)</f>
        <v>100.9</v>
      </c>
      <c r="Q291" s="1">
        <f ca="1">IFERROR(__xludf.DUMMYFUNCTION("""COMPUTED_VALUE"""),274)</f>
        <v>274</v>
      </c>
      <c r="R291" s="1">
        <f ca="1">IFERROR(__xludf.DUMMYFUNCTION("""COMPUTED_VALUE"""),106.9)</f>
        <v>106.9</v>
      </c>
      <c r="S291" s="1">
        <f ca="1">IFERROR(__xludf.DUMMYFUNCTION("""COMPUTED_VALUE"""),253)</f>
        <v>253</v>
      </c>
      <c r="T291" s="1">
        <f ca="1">IFERROR(__xludf.DUMMYFUNCTION("""COMPUTED_VALUE"""),-4.74)</f>
        <v>-4.74</v>
      </c>
      <c r="U291" s="1">
        <f ca="1">IFERROR(__xludf.DUMMYFUNCTION("""COMPUTED_VALUE"""),273)</f>
        <v>273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IFERROR(__xludf.DUMMYFUNCTION("""COMPUTED_VALUE"""),"Richmond")</f>
        <v>Richmond</v>
      </c>
      <c r="C292" s="1" t="str">
        <f ca="1">IFERROR(__xludf.DUMMYFUNCTION("""COMPUTED_VALUE"""),"A10")</f>
        <v>A10</v>
      </c>
      <c r="D292" s="2">
        <f ca="1">IFERROR(__xludf.DUMMYFUNCTION("""COMPUTED_VALUE"""),44795)</f>
        <v>44795</v>
      </c>
      <c r="E292" s="1">
        <f ca="1">IFERROR(__xludf.DUMMYFUNCTION("""COMPUTED_VALUE"""),-11.97)</f>
        <v>-11.97</v>
      </c>
      <c r="F292" s="1">
        <f ca="1">IFERROR(__xludf.DUMMYFUNCTION("""COMPUTED_VALUE"""),99.4)</f>
        <v>99.4</v>
      </c>
      <c r="G292" s="1">
        <f ca="1">IFERROR(__xludf.DUMMYFUNCTION("""COMPUTED_VALUE"""),244)</f>
        <v>244</v>
      </c>
      <c r="H292" s="1">
        <f ca="1">IFERROR(__xludf.DUMMYFUNCTION("""COMPUTED_VALUE"""),111.4)</f>
        <v>111.4</v>
      </c>
      <c r="I292" s="1">
        <f ca="1">IFERROR(__xludf.DUMMYFUNCTION("""COMPUTED_VALUE"""),297)</f>
        <v>297</v>
      </c>
      <c r="J292" s="1">
        <f ca="1">IFERROR(__xludf.DUMMYFUNCTION("""COMPUTED_VALUE"""),59.2)</f>
        <v>59.2</v>
      </c>
      <c r="K292" s="1">
        <f ca="1">IFERROR(__xludf.DUMMYFUNCTION("""COMPUTED_VALUE"""),328)</f>
        <v>328</v>
      </c>
      <c r="L292" s="1" t="str">
        <f ca="1">IFERROR(__xludf.DUMMYFUNCTION("""COMPUTED_VALUE"""),"+.032")</f>
        <v>+.032</v>
      </c>
      <c r="M292" s="1">
        <f ca="1">IFERROR(__xludf.DUMMYFUNCTION("""COMPUTED_VALUE"""),98)</f>
        <v>98</v>
      </c>
      <c r="N292" s="1">
        <f ca="1">IFERROR(__xludf.DUMMYFUNCTION("""COMPUTED_VALUE"""),-0.73)</f>
        <v>-0.73</v>
      </c>
      <c r="O292" s="1">
        <f ca="1">IFERROR(__xludf.DUMMYFUNCTION("""COMPUTED_VALUE"""),166)</f>
        <v>166</v>
      </c>
      <c r="P292" s="1">
        <f ca="1">IFERROR(__xludf.DUMMYFUNCTION("""COMPUTED_VALUE"""),104.4)</f>
        <v>104.4</v>
      </c>
      <c r="Q292" s="1">
        <f ca="1">IFERROR(__xludf.DUMMYFUNCTION("""COMPUTED_VALUE"""),153)</f>
        <v>153</v>
      </c>
      <c r="R292" s="1">
        <f ca="1">IFERROR(__xludf.DUMMYFUNCTION("""COMPUTED_VALUE"""),105.1)</f>
        <v>105.1</v>
      </c>
      <c r="S292" s="1">
        <f ca="1">IFERROR(__xludf.DUMMYFUNCTION("""COMPUTED_VALUE"""),174)</f>
        <v>174</v>
      </c>
      <c r="T292" s="1">
        <f ca="1">IFERROR(__xludf.DUMMYFUNCTION("""COMPUTED_VALUE"""),-2.65)</f>
        <v>-2.65</v>
      </c>
      <c r="U292" s="1">
        <f ca="1">IFERROR(__xludf.DUMMYFUNCTION("""COMPUTED_VALUE"""),216)</f>
        <v>216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IFERROR(__xludf.DUMMYFUNCTION("""COMPUTED_VALUE"""),"St. Francis NY")</f>
        <v>St. Francis NY</v>
      </c>
      <c r="C293" s="1" t="str">
        <f ca="1">IFERROR(__xludf.DUMMYFUNCTION("""COMPUTED_VALUE"""),"NEC")</f>
        <v>NEC</v>
      </c>
      <c r="D293" s="2">
        <f ca="1">IFERROR(__xludf.DUMMYFUNCTION("""COMPUTED_VALUE"""),44826)</f>
        <v>44826</v>
      </c>
      <c r="E293" s="1">
        <f ca="1">IFERROR(__xludf.DUMMYFUNCTION("""COMPUTED_VALUE"""),-12.23)</f>
        <v>-12.23</v>
      </c>
      <c r="F293" s="1">
        <f ca="1">IFERROR(__xludf.DUMMYFUNCTION("""COMPUTED_VALUE"""),93.3)</f>
        <v>93.3</v>
      </c>
      <c r="G293" s="1">
        <f ca="1">IFERROR(__xludf.DUMMYFUNCTION("""COMPUTED_VALUE"""),309)</f>
        <v>309</v>
      </c>
      <c r="H293" s="1">
        <f ca="1">IFERROR(__xludf.DUMMYFUNCTION("""COMPUTED_VALUE"""),105.6)</f>
        <v>105.6</v>
      </c>
      <c r="I293" s="1">
        <f ca="1">IFERROR(__xludf.DUMMYFUNCTION("""COMPUTED_VALUE"""),183)</f>
        <v>183</v>
      </c>
      <c r="J293" s="1">
        <f ca="1">IFERROR(__xludf.DUMMYFUNCTION("""COMPUTED_VALUE"""),65)</f>
        <v>65</v>
      </c>
      <c r="K293" s="1">
        <f ca="1">IFERROR(__xludf.DUMMYFUNCTION("""COMPUTED_VALUE"""),200)</f>
        <v>200</v>
      </c>
      <c r="L293" s="1">
        <f ca="1">IFERROR(__xludf.DUMMYFUNCTION("""COMPUTED_VALUE"""),-0.023)</f>
        <v>-2.3E-2</v>
      </c>
      <c r="M293" s="1">
        <f ca="1">IFERROR(__xludf.DUMMYFUNCTION("""COMPUTED_VALUE"""),239)</f>
        <v>239</v>
      </c>
      <c r="N293" s="1">
        <f ca="1">IFERROR(__xludf.DUMMYFUNCTION("""COMPUTED_VALUE"""),-5.54)</f>
        <v>-5.54</v>
      </c>
      <c r="O293" s="1">
        <f ca="1">IFERROR(__xludf.DUMMYFUNCTION("""COMPUTED_VALUE"""),255)</f>
        <v>255</v>
      </c>
      <c r="P293" s="1">
        <f ca="1">IFERROR(__xludf.DUMMYFUNCTION("""COMPUTED_VALUE"""),102)</f>
        <v>102</v>
      </c>
      <c r="Q293" s="1">
        <f ca="1">IFERROR(__xludf.DUMMYFUNCTION("""COMPUTED_VALUE"""),239)</f>
        <v>239</v>
      </c>
      <c r="R293" s="1">
        <f ca="1">IFERROR(__xludf.DUMMYFUNCTION("""COMPUTED_VALUE"""),107.5)</f>
        <v>107.5</v>
      </c>
      <c r="S293" s="1">
        <f ca="1">IFERROR(__xludf.DUMMYFUNCTION("""COMPUTED_VALUE"""),280)</f>
        <v>280</v>
      </c>
      <c r="T293" s="1" t="str">
        <f ca="1">IFERROR(__xludf.DUMMYFUNCTION("""COMPUTED_VALUE"""),"+2.71")</f>
        <v>+2.71</v>
      </c>
      <c r="U293" s="1">
        <f ca="1">IFERROR(__xludf.DUMMYFUNCTION("""COMPUTED_VALUE"""),89)</f>
        <v>89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IFERROR(__xludf.DUMMYFUNCTION("""COMPUTED_VALUE"""),"Gardner Webb")</f>
        <v>Gardner Webb</v>
      </c>
      <c r="C294" s="1" t="str">
        <f ca="1">IFERROR(__xludf.DUMMYFUNCTION("""COMPUTED_VALUE"""),"ASun")</f>
        <v>ASun</v>
      </c>
      <c r="D294" s="2">
        <f ca="1">IFERROR(__xludf.DUMMYFUNCTION("""COMPUTED_VALUE"""),44825)</f>
        <v>44825</v>
      </c>
      <c r="E294" s="1">
        <f ca="1">IFERROR(__xludf.DUMMYFUNCTION("""COMPUTED_VALUE"""),-12.24)</f>
        <v>-12.24</v>
      </c>
      <c r="F294" s="1">
        <f ca="1">IFERROR(__xludf.DUMMYFUNCTION("""COMPUTED_VALUE"""),97.3)</f>
        <v>97.3</v>
      </c>
      <c r="G294" s="1">
        <f ca="1">IFERROR(__xludf.DUMMYFUNCTION("""COMPUTED_VALUE"""),274)</f>
        <v>274</v>
      </c>
      <c r="H294" s="1">
        <f ca="1">IFERROR(__xludf.DUMMYFUNCTION("""COMPUTED_VALUE"""),109.5)</f>
        <v>109.5</v>
      </c>
      <c r="I294" s="1">
        <f ca="1">IFERROR(__xludf.DUMMYFUNCTION("""COMPUTED_VALUE"""),258)</f>
        <v>258</v>
      </c>
      <c r="J294" s="1">
        <f ca="1">IFERROR(__xludf.DUMMYFUNCTION("""COMPUTED_VALUE"""),63.6)</f>
        <v>63.6</v>
      </c>
      <c r="K294" s="1">
        <f ca="1">IFERROR(__xludf.DUMMYFUNCTION("""COMPUTED_VALUE"""),253)</f>
        <v>253</v>
      </c>
      <c r="L294" s="1">
        <f ca="1">IFERROR(__xludf.DUMMYFUNCTION("""COMPUTED_VALUE"""),-0.05)</f>
        <v>-0.05</v>
      </c>
      <c r="M294" s="1">
        <f ca="1">IFERROR(__xludf.DUMMYFUNCTION("""COMPUTED_VALUE"""),287)</f>
        <v>287</v>
      </c>
      <c r="N294" s="1">
        <f ca="1">IFERROR(__xludf.DUMMYFUNCTION("""COMPUTED_VALUE"""),-2.92)</f>
        <v>-2.92</v>
      </c>
      <c r="O294" s="1">
        <f ca="1">IFERROR(__xludf.DUMMYFUNCTION("""COMPUTED_VALUE"""),195)</f>
        <v>195</v>
      </c>
      <c r="P294" s="1">
        <f ca="1">IFERROR(__xludf.DUMMYFUNCTION("""COMPUTED_VALUE"""),102.5)</f>
        <v>102.5</v>
      </c>
      <c r="Q294" s="1">
        <f ca="1">IFERROR(__xludf.DUMMYFUNCTION("""COMPUTED_VALUE"""),215)</f>
        <v>215</v>
      </c>
      <c r="R294" s="1">
        <f ca="1">IFERROR(__xludf.DUMMYFUNCTION("""COMPUTED_VALUE"""),105.4)</f>
        <v>105.4</v>
      </c>
      <c r="S294" s="1">
        <f ca="1">IFERROR(__xludf.DUMMYFUNCTION("""COMPUTED_VALUE"""),185)</f>
        <v>185</v>
      </c>
      <c r="T294" s="1" t="str">
        <f ca="1">IFERROR(__xludf.DUMMYFUNCTION("""COMPUTED_VALUE"""),"+13.01")</f>
        <v>+13.01</v>
      </c>
      <c r="U294" s="1">
        <f ca="1">IFERROR(__xludf.DUMMYFUNCTION("""COMPUTED_VALUE"""),6)</f>
        <v>6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IFERROR(__xludf.DUMMYFUNCTION("""COMPUTED_VALUE"""),"Morehead St.")</f>
        <v>Morehead St.</v>
      </c>
      <c r="C297" s="1" t="str">
        <f ca="1">IFERROR(__xludf.DUMMYFUNCTION("""COMPUTED_VALUE"""),"OVC")</f>
        <v>OVC</v>
      </c>
      <c r="D297" s="2">
        <f ca="1">IFERROR(__xludf.DUMMYFUNCTION("""COMPUTED_VALUE"""),44913)</f>
        <v>44913</v>
      </c>
      <c r="E297" s="1">
        <f ca="1">IFERROR(__xludf.DUMMYFUNCTION("""COMPUTED_VALUE"""),-12.27)</f>
        <v>-12.27</v>
      </c>
      <c r="F297" s="1">
        <f ca="1">IFERROR(__xludf.DUMMYFUNCTION("""COMPUTED_VALUE"""),97.8)</f>
        <v>97.8</v>
      </c>
      <c r="G297" s="1">
        <f ca="1">IFERROR(__xludf.DUMMYFUNCTION("""COMPUTED_VALUE"""),267)</f>
        <v>267</v>
      </c>
      <c r="H297" s="1">
        <f ca="1">IFERROR(__xludf.DUMMYFUNCTION("""COMPUTED_VALUE"""),110.1)</f>
        <v>110.1</v>
      </c>
      <c r="I297" s="1">
        <f ca="1">IFERROR(__xludf.DUMMYFUNCTION("""COMPUTED_VALUE"""),274)</f>
        <v>274</v>
      </c>
      <c r="J297" s="1">
        <f ca="1">IFERROR(__xludf.DUMMYFUNCTION("""COMPUTED_VALUE"""),63.5)</f>
        <v>63.5</v>
      </c>
      <c r="K297" s="1">
        <f ca="1">IFERROR(__xludf.DUMMYFUNCTION("""COMPUTED_VALUE"""),259)</f>
        <v>259</v>
      </c>
      <c r="L297" s="1">
        <f ca="1">IFERROR(__xludf.DUMMYFUNCTION("""COMPUTED_VALUE"""),-0.048)</f>
        <v>-4.8000000000000001E-2</v>
      </c>
      <c r="M297" s="1">
        <f ca="1">IFERROR(__xludf.DUMMYFUNCTION("""COMPUTED_VALUE"""),284)</f>
        <v>284</v>
      </c>
      <c r="N297" s="1">
        <f ca="1">IFERROR(__xludf.DUMMYFUNCTION("""COMPUTED_VALUE"""),-8.57)</f>
        <v>-8.57</v>
      </c>
      <c r="O297" s="1">
        <f ca="1">IFERROR(__xludf.DUMMYFUNCTION("""COMPUTED_VALUE"""),315)</f>
        <v>315</v>
      </c>
      <c r="P297" s="1">
        <f ca="1">IFERROR(__xludf.DUMMYFUNCTION("""COMPUTED_VALUE"""),100)</f>
        <v>100</v>
      </c>
      <c r="Q297" s="1">
        <f ca="1">IFERROR(__xludf.DUMMYFUNCTION("""COMPUTED_VALUE"""),305)</f>
        <v>305</v>
      </c>
      <c r="R297" s="1">
        <f ca="1">IFERROR(__xludf.DUMMYFUNCTION("""COMPUTED_VALUE"""),108.5)</f>
        <v>108.5</v>
      </c>
      <c r="S297" s="1">
        <f ca="1">IFERROR(__xludf.DUMMYFUNCTION("""COMPUTED_VALUE"""),317)</f>
        <v>317</v>
      </c>
      <c r="T297" s="1">
        <f ca="1">IFERROR(__xludf.DUMMYFUNCTION("""COMPUTED_VALUE"""),-6.21)</f>
        <v>-6.21</v>
      </c>
      <c r="U297" s="1">
        <f ca="1">IFERROR(__xludf.DUMMYFUNCTION("""COMPUTED_VALUE"""),302)</f>
        <v>302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IFERROR(__xludf.DUMMYFUNCTION("""COMPUTED_VALUE"""),"Tennessee St.")</f>
        <v>Tennessee St.</v>
      </c>
      <c r="C298" s="1" t="str">
        <f ca="1">IFERROR(__xludf.DUMMYFUNCTION("""COMPUTED_VALUE"""),"OVC")</f>
        <v>OVC</v>
      </c>
      <c r="D298" s="2">
        <f ca="1">IFERROR(__xludf.DUMMYFUNCTION("""COMPUTED_VALUE"""),44915)</f>
        <v>44915</v>
      </c>
      <c r="E298" s="1">
        <f ca="1">IFERROR(__xludf.DUMMYFUNCTION("""COMPUTED_VALUE"""),-12.31)</f>
        <v>-12.31</v>
      </c>
      <c r="F298" s="1">
        <f ca="1">IFERROR(__xludf.DUMMYFUNCTION("""COMPUTED_VALUE"""),97.6)</f>
        <v>97.6</v>
      </c>
      <c r="G298" s="1">
        <f ca="1">IFERROR(__xludf.DUMMYFUNCTION("""COMPUTED_VALUE"""),270)</f>
        <v>270</v>
      </c>
      <c r="H298" s="1">
        <f ca="1">IFERROR(__xludf.DUMMYFUNCTION("""COMPUTED_VALUE"""),109.9)</f>
        <v>109.9</v>
      </c>
      <c r="I298" s="1">
        <f ca="1">IFERROR(__xludf.DUMMYFUNCTION("""COMPUTED_VALUE"""),265)</f>
        <v>265</v>
      </c>
      <c r="J298" s="1">
        <f ca="1">IFERROR(__xludf.DUMMYFUNCTION("""COMPUTED_VALUE"""),64.5)</f>
        <v>64.5</v>
      </c>
      <c r="K298" s="1">
        <f ca="1">IFERROR(__xludf.DUMMYFUNCTION("""COMPUTED_VALUE"""),215)</f>
        <v>215</v>
      </c>
      <c r="L298" s="1" t="str">
        <f ca="1">IFERROR(__xludf.DUMMYFUNCTION("""COMPUTED_VALUE"""),"+.015")</f>
        <v>+.015</v>
      </c>
      <c r="M298" s="1">
        <f ca="1">IFERROR(__xludf.DUMMYFUNCTION("""COMPUTED_VALUE"""),149)</f>
        <v>149</v>
      </c>
      <c r="N298" s="1">
        <f ca="1">IFERROR(__xludf.DUMMYFUNCTION("""COMPUTED_VALUE"""),-5.65)</f>
        <v>-5.65</v>
      </c>
      <c r="O298" s="1">
        <f ca="1">IFERROR(__xludf.DUMMYFUNCTION("""COMPUTED_VALUE"""),261)</f>
        <v>261</v>
      </c>
      <c r="P298" s="1">
        <f ca="1">IFERROR(__xludf.DUMMYFUNCTION("""COMPUTED_VALUE"""),101.7)</f>
        <v>101.7</v>
      </c>
      <c r="Q298" s="1">
        <f ca="1">IFERROR(__xludf.DUMMYFUNCTION("""COMPUTED_VALUE"""),248)</f>
        <v>248</v>
      </c>
      <c r="R298" s="1">
        <f ca="1">IFERROR(__xludf.DUMMYFUNCTION("""COMPUTED_VALUE"""),107.3)</f>
        <v>107.3</v>
      </c>
      <c r="S298" s="1">
        <f ca="1">IFERROR(__xludf.DUMMYFUNCTION("""COMPUTED_VALUE"""),274)</f>
        <v>274</v>
      </c>
      <c r="T298" s="1" t="str">
        <f ca="1">IFERROR(__xludf.DUMMYFUNCTION("""COMPUTED_VALUE"""),"+3.73")</f>
        <v>+3.73</v>
      </c>
      <c r="U298" s="1">
        <f ca="1">IFERROR(__xludf.DUMMYFUNCTION("""COMPUTED_VALUE"""),73)</f>
        <v>73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IFERROR(__xludf.DUMMYFUNCTION("""COMPUTED_VALUE"""),"North Carolina A&amp;T")</f>
        <v>North Carolina A&amp;T</v>
      </c>
      <c r="C299" s="1" t="str">
        <f ca="1">IFERROR(__xludf.DUMMYFUNCTION("""COMPUTED_VALUE"""),"MEAC")</f>
        <v>MEAC</v>
      </c>
      <c r="D299" s="1" t="str">
        <f ca="1">IFERROR(__xludf.DUMMYFUNCTION("""COMPUTED_VALUE"""),"15-17")</f>
        <v>15-17</v>
      </c>
      <c r="E299" s="1">
        <f ca="1">IFERROR(__xludf.DUMMYFUNCTION("""COMPUTED_VALUE"""),-12.6)</f>
        <v>-12.6</v>
      </c>
      <c r="F299" s="1">
        <f ca="1">IFERROR(__xludf.DUMMYFUNCTION("""COMPUTED_VALUE"""),96.1)</f>
        <v>96.1</v>
      </c>
      <c r="G299" s="1">
        <f ca="1">IFERROR(__xludf.DUMMYFUNCTION("""COMPUTED_VALUE"""),285)</f>
        <v>285</v>
      </c>
      <c r="H299" s="1">
        <f ca="1">IFERROR(__xludf.DUMMYFUNCTION("""COMPUTED_VALUE"""),108.7)</f>
        <v>108.7</v>
      </c>
      <c r="I299" s="1">
        <f ca="1">IFERROR(__xludf.DUMMYFUNCTION("""COMPUTED_VALUE"""),244)</f>
        <v>244</v>
      </c>
      <c r="J299" s="1">
        <f ca="1">IFERROR(__xludf.DUMMYFUNCTION("""COMPUTED_VALUE"""),70.9)</f>
        <v>70.900000000000006</v>
      </c>
      <c r="K299" s="1">
        <f ca="1">IFERROR(__xludf.DUMMYFUNCTION("""COMPUTED_VALUE"""),24)</f>
        <v>24</v>
      </c>
      <c r="L299" s="1">
        <f ca="1">IFERROR(__xludf.DUMMYFUNCTION("""COMPUTED_VALUE"""),-0.014)</f>
        <v>-1.4E-2</v>
      </c>
      <c r="M299" s="1">
        <f ca="1">IFERROR(__xludf.DUMMYFUNCTION("""COMPUTED_VALUE"""),212)</f>
        <v>212</v>
      </c>
      <c r="N299" s="1">
        <f ca="1">IFERROR(__xludf.DUMMYFUNCTION("""COMPUTED_VALUE"""),-11.87)</f>
        <v>-11.87</v>
      </c>
      <c r="O299" s="1">
        <f ca="1">IFERROR(__xludf.DUMMYFUNCTION("""COMPUTED_VALUE"""),332)</f>
        <v>332</v>
      </c>
      <c r="P299" s="1">
        <f ca="1">IFERROR(__xludf.DUMMYFUNCTION("""COMPUTED_VALUE"""),97.4)</f>
        <v>97.4</v>
      </c>
      <c r="Q299" s="1">
        <f ca="1">IFERROR(__xludf.DUMMYFUNCTION("""COMPUTED_VALUE"""),325)</f>
        <v>325</v>
      </c>
      <c r="R299" s="1">
        <f ca="1">IFERROR(__xludf.DUMMYFUNCTION("""COMPUTED_VALUE"""),109.3)</f>
        <v>109.3</v>
      </c>
      <c r="S299" s="1">
        <f ca="1">IFERROR(__xludf.DUMMYFUNCTION("""COMPUTED_VALUE"""),332)</f>
        <v>332</v>
      </c>
      <c r="T299" s="1" t="str">
        <f ca="1">IFERROR(__xludf.DUMMYFUNCTION("""COMPUTED_VALUE"""),"+1.45")</f>
        <v>+1.45</v>
      </c>
      <c r="U299" s="1">
        <f ca="1">IFERROR(__xludf.DUMMYFUNCTION("""COMPUTED_VALUE"""),113)</f>
        <v>113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IFERROR(__xludf.DUMMYFUNCTION("""COMPUTED_VALUE"""),"FIU")</f>
        <v>FIU</v>
      </c>
      <c r="C300" s="1" t="str">
        <f ca="1">IFERROR(__xludf.DUMMYFUNCTION("""COMPUTED_VALUE"""),"SB")</f>
        <v>SB</v>
      </c>
      <c r="D300" s="2">
        <f ca="1">IFERROR(__xludf.DUMMYFUNCTION("""COMPUTED_VALUE"""),44912)</f>
        <v>44912</v>
      </c>
      <c r="E300" s="1">
        <f ca="1">IFERROR(__xludf.DUMMYFUNCTION("""COMPUTED_VALUE"""),-12.61)</f>
        <v>-12.61</v>
      </c>
      <c r="F300" s="1">
        <f ca="1">IFERROR(__xludf.DUMMYFUNCTION("""COMPUTED_VALUE"""),95.1)</f>
        <v>95.1</v>
      </c>
      <c r="G300" s="1">
        <f ca="1">IFERROR(__xludf.DUMMYFUNCTION("""COMPUTED_VALUE"""),293)</f>
        <v>293</v>
      </c>
      <c r="H300" s="1">
        <f ca="1">IFERROR(__xludf.DUMMYFUNCTION("""COMPUTED_VALUE"""),107.7)</f>
        <v>107.7</v>
      </c>
      <c r="I300" s="1">
        <f ca="1">IFERROR(__xludf.DUMMYFUNCTION("""COMPUTED_VALUE"""),225)</f>
        <v>225</v>
      </c>
      <c r="J300" s="1">
        <f ca="1">IFERROR(__xludf.DUMMYFUNCTION("""COMPUTED_VALUE"""),66.8)</f>
        <v>66.8</v>
      </c>
      <c r="K300" s="1">
        <f ca="1">IFERROR(__xludf.DUMMYFUNCTION("""COMPUTED_VALUE"""),121)</f>
        <v>121</v>
      </c>
      <c r="L300" s="1" t="str">
        <f ca="1">IFERROR(__xludf.DUMMYFUNCTION("""COMPUTED_VALUE"""),"+.090")</f>
        <v>+.090</v>
      </c>
      <c r="M300" s="1">
        <f ca="1">IFERROR(__xludf.DUMMYFUNCTION("""COMPUTED_VALUE"""),19)</f>
        <v>19</v>
      </c>
      <c r="N300" s="1">
        <f ca="1">IFERROR(__xludf.DUMMYFUNCTION("""COMPUTED_VALUE"""),-4.34)</f>
        <v>-4.34</v>
      </c>
      <c r="O300" s="1">
        <f ca="1">IFERROR(__xludf.DUMMYFUNCTION("""COMPUTED_VALUE"""),233)</f>
        <v>233</v>
      </c>
      <c r="P300" s="1">
        <f ca="1">IFERROR(__xludf.DUMMYFUNCTION("""COMPUTED_VALUE"""),103.6)</f>
        <v>103.6</v>
      </c>
      <c r="Q300" s="1">
        <f ca="1">IFERROR(__xludf.DUMMYFUNCTION("""COMPUTED_VALUE"""),181)</f>
        <v>181</v>
      </c>
      <c r="R300" s="1">
        <f ca="1">IFERROR(__xludf.DUMMYFUNCTION("""COMPUTED_VALUE"""),107.9)</f>
        <v>107.9</v>
      </c>
      <c r="S300" s="1">
        <f ca="1">IFERROR(__xludf.DUMMYFUNCTION("""COMPUTED_VALUE"""),304)</f>
        <v>304</v>
      </c>
      <c r="T300" s="1" t="str">
        <f ca="1">IFERROR(__xludf.DUMMYFUNCTION("""COMPUTED_VALUE"""),"+0.71")</f>
        <v>+0.71</v>
      </c>
      <c r="U300" s="1">
        <f ca="1">IFERROR(__xludf.DUMMYFUNCTION("""COMPUTED_VALUE"""),138)</f>
        <v>138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IFERROR(__xludf.DUMMYFUNCTION("""COMPUTED_VALUE"""),"Colgate")</f>
        <v>Colgate</v>
      </c>
      <c r="C301" s="1" t="str">
        <f ca="1">IFERROR(__xludf.DUMMYFUNCTION("""COMPUTED_VALUE"""),"Pat")</f>
        <v>Pat</v>
      </c>
      <c r="D301" s="2">
        <f ca="1">IFERROR(__xludf.DUMMYFUNCTION("""COMPUTED_VALUE"""),44853)</f>
        <v>44853</v>
      </c>
      <c r="E301" s="1">
        <f ca="1">IFERROR(__xludf.DUMMYFUNCTION("""COMPUTED_VALUE"""),-12.77)</f>
        <v>-12.77</v>
      </c>
      <c r="F301" s="1">
        <f ca="1">IFERROR(__xludf.DUMMYFUNCTION("""COMPUTED_VALUE"""),91.6)</f>
        <v>91.6</v>
      </c>
      <c r="G301" s="1">
        <f ca="1">IFERROR(__xludf.DUMMYFUNCTION("""COMPUTED_VALUE"""),319)</f>
        <v>319</v>
      </c>
      <c r="H301" s="1">
        <f ca="1">IFERROR(__xludf.DUMMYFUNCTION("""COMPUTED_VALUE"""),104.4)</f>
        <v>104.4</v>
      </c>
      <c r="I301" s="1">
        <f ca="1">IFERROR(__xludf.DUMMYFUNCTION("""COMPUTED_VALUE"""),158)</f>
        <v>158</v>
      </c>
      <c r="J301" s="1">
        <f ca="1">IFERROR(__xludf.DUMMYFUNCTION("""COMPUTED_VALUE"""),61.6)</f>
        <v>61.6</v>
      </c>
      <c r="K301" s="1">
        <f ca="1">IFERROR(__xludf.DUMMYFUNCTION("""COMPUTED_VALUE"""),306)</f>
        <v>306</v>
      </c>
      <c r="L301" s="1" t="str">
        <f ca="1">IFERROR(__xludf.DUMMYFUNCTION("""COMPUTED_VALUE"""),"+.030")</f>
        <v>+.030</v>
      </c>
      <c r="M301" s="1">
        <f ca="1">IFERROR(__xludf.DUMMYFUNCTION("""COMPUTED_VALUE"""),103)</f>
        <v>103</v>
      </c>
      <c r="N301" s="1">
        <f ca="1">IFERROR(__xludf.DUMMYFUNCTION("""COMPUTED_VALUE"""),-4.85)</f>
        <v>-4.8499999999999996</v>
      </c>
      <c r="O301" s="1">
        <f ca="1">IFERROR(__xludf.DUMMYFUNCTION("""COMPUTED_VALUE"""),242)</f>
        <v>242</v>
      </c>
      <c r="P301" s="1">
        <f ca="1">IFERROR(__xludf.DUMMYFUNCTION("""COMPUTED_VALUE"""),100)</f>
        <v>100</v>
      </c>
      <c r="Q301" s="1">
        <f ca="1">IFERROR(__xludf.DUMMYFUNCTION("""COMPUTED_VALUE"""),303)</f>
        <v>303</v>
      </c>
      <c r="R301" s="1">
        <f ca="1">IFERROR(__xludf.DUMMYFUNCTION("""COMPUTED_VALUE"""),104.9)</f>
        <v>104.9</v>
      </c>
      <c r="S301" s="1">
        <f ca="1">IFERROR(__xludf.DUMMYFUNCTION("""COMPUTED_VALUE"""),170)</f>
        <v>170</v>
      </c>
      <c r="T301" s="1">
        <f ca="1">IFERROR(__xludf.DUMMYFUNCTION("""COMPUTED_VALUE"""),-4.53)</f>
        <v>-4.53</v>
      </c>
      <c r="U301" s="1">
        <f ca="1">IFERROR(__xludf.DUMMYFUNCTION("""COMPUTED_VALUE"""),266)</f>
        <v>266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IFERROR(__xludf.DUMMYFUNCTION("""COMPUTED_VALUE"""),"South Carolina St.")</f>
        <v>South Carolina St.</v>
      </c>
      <c r="C302" s="1" t="str">
        <f ca="1">IFERROR(__xludf.DUMMYFUNCTION("""COMPUTED_VALUE"""),"MEAC")</f>
        <v>MEAC</v>
      </c>
      <c r="D302" s="1" t="str">
        <f ca="1">IFERROR(__xludf.DUMMYFUNCTION("""COMPUTED_VALUE"""),"13-17")</f>
        <v>13-17</v>
      </c>
      <c r="E302" s="1">
        <f ca="1">IFERROR(__xludf.DUMMYFUNCTION("""COMPUTED_VALUE"""),-12.92)</f>
        <v>-12.92</v>
      </c>
      <c r="F302" s="1">
        <f ca="1">IFERROR(__xludf.DUMMYFUNCTION("""COMPUTED_VALUE"""),95.6)</f>
        <v>95.6</v>
      </c>
      <c r="G302" s="1">
        <f ca="1">IFERROR(__xludf.DUMMYFUNCTION("""COMPUTED_VALUE"""),286)</f>
        <v>286</v>
      </c>
      <c r="H302" s="1">
        <f ca="1">IFERROR(__xludf.DUMMYFUNCTION("""COMPUTED_VALUE"""),108.5)</f>
        <v>108.5</v>
      </c>
      <c r="I302" s="1">
        <f ca="1">IFERROR(__xludf.DUMMYFUNCTION("""COMPUTED_VALUE"""),240)</f>
        <v>240</v>
      </c>
      <c r="J302" s="1">
        <f ca="1">IFERROR(__xludf.DUMMYFUNCTION("""COMPUTED_VALUE"""),64.5)</f>
        <v>64.5</v>
      </c>
      <c r="K302" s="1">
        <f ca="1">IFERROR(__xludf.DUMMYFUNCTION("""COMPUTED_VALUE"""),213)</f>
        <v>213</v>
      </c>
      <c r="L302" s="1" t="str">
        <f ca="1">IFERROR(__xludf.DUMMYFUNCTION("""COMPUTED_VALUE"""),"+.000")</f>
        <v>+.000</v>
      </c>
      <c r="M302" s="1">
        <f ca="1">IFERROR(__xludf.DUMMYFUNCTION("""COMPUTED_VALUE"""),180)</f>
        <v>180</v>
      </c>
      <c r="N302" s="1">
        <f ca="1">IFERROR(__xludf.DUMMYFUNCTION("""COMPUTED_VALUE"""),-11.53)</f>
        <v>-11.53</v>
      </c>
      <c r="O302" s="1">
        <f ca="1">IFERROR(__xludf.DUMMYFUNCTION("""COMPUTED_VALUE"""),331)</f>
        <v>331</v>
      </c>
      <c r="P302" s="1">
        <f ca="1">IFERROR(__xludf.DUMMYFUNCTION("""COMPUTED_VALUE"""),97.6)</f>
        <v>97.6</v>
      </c>
      <c r="Q302" s="1">
        <f ca="1">IFERROR(__xludf.DUMMYFUNCTION("""COMPUTED_VALUE"""),324)</f>
        <v>324</v>
      </c>
      <c r="R302" s="1">
        <f ca="1">IFERROR(__xludf.DUMMYFUNCTION("""COMPUTED_VALUE"""),109.1)</f>
        <v>109.1</v>
      </c>
      <c r="S302" s="1">
        <f ca="1">IFERROR(__xludf.DUMMYFUNCTION("""COMPUTED_VALUE"""),331)</f>
        <v>331</v>
      </c>
      <c r="T302" s="1">
        <f ca="1">IFERROR(__xludf.DUMMYFUNCTION("""COMPUTED_VALUE"""),-0.35)</f>
        <v>-0.35</v>
      </c>
      <c r="U302" s="1">
        <f ca="1">IFERROR(__xludf.DUMMYFUNCTION("""COMPUTED_VALUE"""),160)</f>
        <v>160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IFERROR(__xludf.DUMMYFUNCTION("""COMPUTED_VALUE"""),"Morgan St.")</f>
        <v>Morgan St.</v>
      </c>
      <c r="C303" s="1" t="str">
        <f ca="1">IFERROR(__xludf.DUMMYFUNCTION("""COMPUTED_VALUE"""),"MEAC")</f>
        <v>MEAC</v>
      </c>
      <c r="D303" s="1" t="str">
        <f ca="1">IFERROR(__xludf.DUMMYFUNCTION("""COMPUTED_VALUE"""),"13-18")</f>
        <v>13-18</v>
      </c>
      <c r="E303" s="1">
        <f ca="1">IFERROR(__xludf.DUMMYFUNCTION("""COMPUTED_VALUE"""),-13.15)</f>
        <v>-13.15</v>
      </c>
      <c r="F303" s="1">
        <f ca="1">IFERROR(__xludf.DUMMYFUNCTION("""COMPUTED_VALUE"""),97.3)</f>
        <v>97.3</v>
      </c>
      <c r="G303" s="1">
        <f ca="1">IFERROR(__xludf.DUMMYFUNCTION("""COMPUTED_VALUE"""),273)</f>
        <v>273</v>
      </c>
      <c r="H303" s="1">
        <f ca="1">IFERROR(__xludf.DUMMYFUNCTION("""COMPUTED_VALUE"""),110.4)</f>
        <v>110.4</v>
      </c>
      <c r="I303" s="1">
        <f ca="1">IFERROR(__xludf.DUMMYFUNCTION("""COMPUTED_VALUE"""),283)</f>
        <v>283</v>
      </c>
      <c r="J303" s="1">
        <f ca="1">IFERROR(__xludf.DUMMYFUNCTION("""COMPUTED_VALUE"""),66.4)</f>
        <v>66.400000000000006</v>
      </c>
      <c r="K303" s="1">
        <f ca="1">IFERROR(__xludf.DUMMYFUNCTION("""COMPUTED_VALUE"""),133)</f>
        <v>133</v>
      </c>
      <c r="L303" s="1">
        <f ca="1">IFERROR(__xludf.DUMMYFUNCTION("""COMPUTED_VALUE"""),-0.036)</f>
        <v>-3.5999999999999997E-2</v>
      </c>
      <c r="M303" s="1">
        <f ca="1">IFERROR(__xludf.DUMMYFUNCTION("""COMPUTED_VALUE"""),267)</f>
        <v>267</v>
      </c>
      <c r="N303" s="1">
        <f ca="1">IFERROR(__xludf.DUMMYFUNCTION("""COMPUTED_VALUE"""),-12.27)</f>
        <v>-12.27</v>
      </c>
      <c r="O303" s="1">
        <f ca="1">IFERROR(__xludf.DUMMYFUNCTION("""COMPUTED_VALUE"""),333)</f>
        <v>333</v>
      </c>
      <c r="P303" s="1">
        <f ca="1">IFERROR(__xludf.DUMMYFUNCTION("""COMPUTED_VALUE"""),97.3)</f>
        <v>97.3</v>
      </c>
      <c r="Q303" s="1">
        <f ca="1">IFERROR(__xludf.DUMMYFUNCTION("""COMPUTED_VALUE"""),326)</f>
        <v>326</v>
      </c>
      <c r="R303" s="1">
        <f ca="1">IFERROR(__xludf.DUMMYFUNCTION("""COMPUTED_VALUE"""),109.6)</f>
        <v>109.6</v>
      </c>
      <c r="S303" s="1">
        <f ca="1">IFERROR(__xludf.DUMMYFUNCTION("""COMPUTED_VALUE"""),336)</f>
        <v>336</v>
      </c>
      <c r="T303" s="1">
        <f ca="1">IFERROR(__xludf.DUMMYFUNCTION("""COMPUTED_VALUE"""),-4.26)</f>
        <v>-4.26</v>
      </c>
      <c r="U303" s="1">
        <f ca="1">IFERROR(__xludf.DUMMYFUNCTION("""COMPUTED_VALUE"""),255)</f>
        <v>255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IFERROR(__xludf.DUMMYFUNCTION("""COMPUTED_VALUE"""),"Wagner")</f>
        <v>Wagner</v>
      </c>
      <c r="C304" s="1" t="str">
        <f ca="1">IFERROR(__xludf.DUMMYFUNCTION("""COMPUTED_VALUE"""),"NEC")</f>
        <v>NEC</v>
      </c>
      <c r="D304" s="2">
        <f ca="1">IFERROR(__xludf.DUMMYFUNCTION("""COMPUTED_VALUE"""),44884)</f>
        <v>44884</v>
      </c>
      <c r="E304" s="1">
        <f ca="1">IFERROR(__xludf.DUMMYFUNCTION("""COMPUTED_VALUE"""),-13.16)</f>
        <v>-13.16</v>
      </c>
      <c r="F304" s="1">
        <f ca="1">IFERROR(__xludf.DUMMYFUNCTION("""COMPUTED_VALUE"""),98.2)</f>
        <v>98.2</v>
      </c>
      <c r="G304" s="1">
        <f ca="1">IFERROR(__xludf.DUMMYFUNCTION("""COMPUTED_VALUE"""),263)</f>
        <v>263</v>
      </c>
      <c r="H304" s="1">
        <f ca="1">IFERROR(__xludf.DUMMYFUNCTION("""COMPUTED_VALUE"""),111.4)</f>
        <v>111.4</v>
      </c>
      <c r="I304" s="1">
        <f ca="1">IFERROR(__xludf.DUMMYFUNCTION("""COMPUTED_VALUE"""),295)</f>
        <v>295</v>
      </c>
      <c r="J304" s="1">
        <f ca="1">IFERROR(__xludf.DUMMYFUNCTION("""COMPUTED_VALUE"""),68.2)</f>
        <v>68.2</v>
      </c>
      <c r="K304" s="1">
        <f ca="1">IFERROR(__xludf.DUMMYFUNCTION("""COMPUTED_VALUE"""),76)</f>
        <v>76</v>
      </c>
      <c r="L304" s="1">
        <f ca="1">IFERROR(__xludf.DUMMYFUNCTION("""COMPUTED_VALUE"""),-0.02)</f>
        <v>-0.02</v>
      </c>
      <c r="M304" s="1">
        <f ca="1">IFERROR(__xludf.DUMMYFUNCTION("""COMPUTED_VALUE"""),231)</f>
        <v>231</v>
      </c>
      <c r="N304" s="1">
        <f ca="1">IFERROR(__xludf.DUMMYFUNCTION("""COMPUTED_VALUE"""),-8.18)</f>
        <v>-8.18</v>
      </c>
      <c r="O304" s="1">
        <f ca="1">IFERROR(__xludf.DUMMYFUNCTION("""COMPUTED_VALUE"""),307)</f>
        <v>307</v>
      </c>
      <c r="P304" s="1">
        <f ca="1">IFERROR(__xludf.DUMMYFUNCTION("""COMPUTED_VALUE"""),100.6)</f>
        <v>100.6</v>
      </c>
      <c r="Q304" s="1">
        <f ca="1">IFERROR(__xludf.DUMMYFUNCTION("""COMPUTED_VALUE"""),287)</f>
        <v>287</v>
      </c>
      <c r="R304" s="1">
        <f ca="1">IFERROR(__xludf.DUMMYFUNCTION("""COMPUTED_VALUE"""),108.7)</f>
        <v>108.7</v>
      </c>
      <c r="S304" s="1">
        <f ca="1">IFERROR(__xludf.DUMMYFUNCTION("""COMPUTED_VALUE"""),322)</f>
        <v>322</v>
      </c>
      <c r="T304" s="1">
        <f ca="1">IFERROR(__xludf.DUMMYFUNCTION("""COMPUTED_VALUE"""),-4.86)</f>
        <v>-4.8600000000000003</v>
      </c>
      <c r="U304" s="1">
        <f ca="1">IFERROR(__xludf.DUMMYFUNCTION("""COMPUTED_VALUE"""),278)</f>
        <v>278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IFERROR(__xludf.DUMMYFUNCTION("""COMPUTED_VALUE"""),"Radford")</f>
        <v>Radford</v>
      </c>
      <c r="C305" s="1" t="str">
        <f ca="1">IFERROR(__xludf.DUMMYFUNCTION("""COMPUTED_VALUE"""),"BSth")</f>
        <v>BSth</v>
      </c>
      <c r="D305" s="2">
        <f ca="1">IFERROR(__xludf.DUMMYFUNCTION("""COMPUTED_VALUE"""),44795)</f>
        <v>44795</v>
      </c>
      <c r="E305" s="1">
        <f ca="1">IFERROR(__xludf.DUMMYFUNCTION("""COMPUTED_VALUE"""),-13.6)</f>
        <v>-13.6</v>
      </c>
      <c r="F305" s="1">
        <f ca="1">IFERROR(__xludf.DUMMYFUNCTION("""COMPUTED_VALUE"""),95.1)</f>
        <v>95.1</v>
      </c>
      <c r="G305" s="1">
        <f ca="1">IFERROR(__xludf.DUMMYFUNCTION("""COMPUTED_VALUE"""),291)</f>
        <v>291</v>
      </c>
      <c r="H305" s="1">
        <f ca="1">IFERROR(__xludf.DUMMYFUNCTION("""COMPUTED_VALUE"""),108.7)</f>
        <v>108.7</v>
      </c>
      <c r="I305" s="1">
        <f ca="1">IFERROR(__xludf.DUMMYFUNCTION("""COMPUTED_VALUE"""),246)</f>
        <v>246</v>
      </c>
      <c r="J305" s="1">
        <f ca="1">IFERROR(__xludf.DUMMYFUNCTION("""COMPUTED_VALUE"""),69.6)</f>
        <v>69.599999999999994</v>
      </c>
      <c r="K305" s="1">
        <f ca="1">IFERROR(__xludf.DUMMYFUNCTION("""COMPUTED_VALUE"""),44)</f>
        <v>44</v>
      </c>
      <c r="L305" s="1">
        <f ca="1">IFERROR(__xludf.DUMMYFUNCTION("""COMPUTED_VALUE"""),-0.064)</f>
        <v>-6.4000000000000001E-2</v>
      </c>
      <c r="M305" s="1">
        <f ca="1">IFERROR(__xludf.DUMMYFUNCTION("""COMPUTED_VALUE"""),305)</f>
        <v>305</v>
      </c>
      <c r="N305" s="1">
        <f ca="1">IFERROR(__xludf.DUMMYFUNCTION("""COMPUTED_VALUE"""),-4.14)</f>
        <v>-4.1399999999999997</v>
      </c>
      <c r="O305" s="1">
        <f ca="1">IFERROR(__xludf.DUMMYFUNCTION("""COMPUTED_VALUE"""),223)</f>
        <v>223</v>
      </c>
      <c r="P305" s="1">
        <f ca="1">IFERROR(__xludf.DUMMYFUNCTION("""COMPUTED_VALUE"""),102.3)</f>
        <v>102.3</v>
      </c>
      <c r="Q305" s="1">
        <f ca="1">IFERROR(__xludf.DUMMYFUNCTION("""COMPUTED_VALUE"""),222)</f>
        <v>222</v>
      </c>
      <c r="R305" s="1">
        <f ca="1">IFERROR(__xludf.DUMMYFUNCTION("""COMPUTED_VALUE"""),106.4)</f>
        <v>106.4</v>
      </c>
      <c r="S305" s="1">
        <f ca="1">IFERROR(__xludf.DUMMYFUNCTION("""COMPUTED_VALUE"""),237)</f>
        <v>237</v>
      </c>
      <c r="T305" s="1">
        <f ca="1">IFERROR(__xludf.DUMMYFUNCTION("""COMPUTED_VALUE"""),-1.57)</f>
        <v>-1.57</v>
      </c>
      <c r="U305" s="1">
        <f ca="1">IFERROR(__xludf.DUMMYFUNCTION("""COMPUTED_VALUE"""),185)</f>
        <v>185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IFERROR(__xludf.DUMMYFUNCTION("""COMPUTED_VALUE"""),"New Hampshire")</f>
        <v>New Hampshire</v>
      </c>
      <c r="C306" s="1" t="str">
        <f ca="1">IFERROR(__xludf.DUMMYFUNCTION("""COMPUTED_VALUE"""),"AE")</f>
        <v>AE</v>
      </c>
      <c r="D306" s="2">
        <f ca="1">IFERROR(__xludf.DUMMYFUNCTION("""COMPUTED_VALUE"""),44854)</f>
        <v>44854</v>
      </c>
      <c r="E306" s="1">
        <f ca="1">IFERROR(__xludf.DUMMYFUNCTION("""COMPUTED_VALUE"""),-13.67)</f>
        <v>-13.67</v>
      </c>
      <c r="F306" s="1">
        <f ca="1">IFERROR(__xludf.DUMMYFUNCTION("""COMPUTED_VALUE"""),97)</f>
        <v>97</v>
      </c>
      <c r="G306" s="1">
        <f ca="1">IFERROR(__xludf.DUMMYFUNCTION("""COMPUTED_VALUE"""),277)</f>
        <v>277</v>
      </c>
      <c r="H306" s="1">
        <f ca="1">IFERROR(__xludf.DUMMYFUNCTION("""COMPUTED_VALUE"""),110.6)</f>
        <v>110.6</v>
      </c>
      <c r="I306" s="1">
        <f ca="1">IFERROR(__xludf.DUMMYFUNCTION("""COMPUTED_VALUE"""),288)</f>
        <v>288</v>
      </c>
      <c r="J306" s="1">
        <f ca="1">IFERROR(__xludf.DUMMYFUNCTION("""COMPUTED_VALUE"""),60.1)</f>
        <v>60.1</v>
      </c>
      <c r="K306" s="1">
        <f ca="1">IFERROR(__xludf.DUMMYFUNCTION("""COMPUTED_VALUE"""),321)</f>
        <v>321</v>
      </c>
      <c r="L306" s="1" t="str">
        <f ca="1">IFERROR(__xludf.DUMMYFUNCTION("""COMPUTED_VALUE"""),"+.024")</f>
        <v>+.024</v>
      </c>
      <c r="M306" s="1">
        <f ca="1">IFERROR(__xludf.DUMMYFUNCTION("""COMPUTED_VALUE"""),120)</f>
        <v>120</v>
      </c>
      <c r="N306" s="1">
        <f ca="1">IFERROR(__xludf.DUMMYFUNCTION("""COMPUTED_VALUE"""),-5)</f>
        <v>-5</v>
      </c>
      <c r="O306" s="1">
        <f ca="1">IFERROR(__xludf.DUMMYFUNCTION("""COMPUTED_VALUE"""),244)</f>
        <v>244</v>
      </c>
      <c r="P306" s="1">
        <f ca="1">IFERROR(__xludf.DUMMYFUNCTION("""COMPUTED_VALUE"""),101.2)</f>
        <v>101.2</v>
      </c>
      <c r="Q306" s="1">
        <f ca="1">IFERROR(__xludf.DUMMYFUNCTION("""COMPUTED_VALUE"""),261)</f>
        <v>261</v>
      </c>
      <c r="R306" s="1">
        <f ca="1">IFERROR(__xludf.DUMMYFUNCTION("""COMPUTED_VALUE"""),106.2)</f>
        <v>106.2</v>
      </c>
      <c r="S306" s="1">
        <f ca="1">IFERROR(__xludf.DUMMYFUNCTION("""COMPUTED_VALUE"""),223)</f>
        <v>223</v>
      </c>
      <c r="T306" s="1">
        <f ca="1">IFERROR(__xludf.DUMMYFUNCTION("""COMPUTED_VALUE"""),-3.58)</f>
        <v>-3.58</v>
      </c>
      <c r="U306" s="1">
        <f ca="1">IFERROR(__xludf.DUMMYFUNCTION("""COMPUTED_VALUE"""),242)</f>
        <v>242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IFERROR(__xludf.DUMMYFUNCTION("""COMPUTED_VALUE"""),"Sacramento St.")</f>
        <v>Sacramento St.</v>
      </c>
      <c r="C307" s="1" t="str">
        <f ca="1">IFERROR(__xludf.DUMMYFUNCTION("""COMPUTED_VALUE"""),"BSky")</f>
        <v>BSky</v>
      </c>
      <c r="D307" s="2">
        <f ca="1">IFERROR(__xludf.DUMMYFUNCTION("""COMPUTED_VALUE"""),44853)</f>
        <v>44853</v>
      </c>
      <c r="E307" s="1">
        <f ca="1">IFERROR(__xludf.DUMMYFUNCTION("""COMPUTED_VALUE"""),-13.74)</f>
        <v>-13.74</v>
      </c>
      <c r="F307" s="1">
        <f ca="1">IFERROR(__xludf.DUMMYFUNCTION("""COMPUTED_VALUE"""),95.1)</f>
        <v>95.1</v>
      </c>
      <c r="G307" s="1">
        <f ca="1">IFERROR(__xludf.DUMMYFUNCTION("""COMPUTED_VALUE"""),292)</f>
        <v>292</v>
      </c>
      <c r="H307" s="1">
        <f ca="1">IFERROR(__xludf.DUMMYFUNCTION("""COMPUTED_VALUE"""),108.8)</f>
        <v>108.8</v>
      </c>
      <c r="I307" s="1">
        <f ca="1">IFERROR(__xludf.DUMMYFUNCTION("""COMPUTED_VALUE"""),247)</f>
        <v>247</v>
      </c>
      <c r="J307" s="1">
        <f ca="1">IFERROR(__xludf.DUMMYFUNCTION("""COMPUTED_VALUE"""),74.8)</f>
        <v>74.8</v>
      </c>
      <c r="K307" s="1">
        <f ca="1">IFERROR(__xludf.DUMMYFUNCTION("""COMPUTED_VALUE"""),3)</f>
        <v>3</v>
      </c>
      <c r="L307" s="1" t="str">
        <f ca="1">IFERROR(__xludf.DUMMYFUNCTION("""COMPUTED_VALUE"""),"+.029")</f>
        <v>+.029</v>
      </c>
      <c r="M307" s="1">
        <f ca="1">IFERROR(__xludf.DUMMYFUNCTION("""COMPUTED_VALUE"""),106)</f>
        <v>106</v>
      </c>
      <c r="N307" s="1">
        <f ca="1">IFERROR(__xludf.DUMMYFUNCTION("""COMPUTED_VALUE"""),-2.55)</f>
        <v>-2.5499999999999998</v>
      </c>
      <c r="O307" s="1">
        <f ca="1">IFERROR(__xludf.DUMMYFUNCTION("""COMPUTED_VALUE"""),188)</f>
        <v>188</v>
      </c>
      <c r="P307" s="1">
        <f ca="1">IFERROR(__xludf.DUMMYFUNCTION("""COMPUTED_VALUE"""),105.2)</f>
        <v>105.2</v>
      </c>
      <c r="Q307" s="1">
        <f ca="1">IFERROR(__xludf.DUMMYFUNCTION("""COMPUTED_VALUE"""),133)</f>
        <v>133</v>
      </c>
      <c r="R307" s="1">
        <f ca="1">IFERROR(__xludf.DUMMYFUNCTION("""COMPUTED_VALUE"""),107.7)</f>
        <v>107.7</v>
      </c>
      <c r="S307" s="1">
        <f ca="1">IFERROR(__xludf.DUMMYFUNCTION("""COMPUTED_VALUE"""),292)</f>
        <v>292</v>
      </c>
      <c r="T307" s="1" t="str">
        <f ca="1">IFERROR(__xludf.DUMMYFUNCTION("""COMPUTED_VALUE"""),"+3.23")</f>
        <v>+3.23</v>
      </c>
      <c r="U307" s="1">
        <f ca="1">IFERROR(__xludf.DUMMYFUNCTION("""COMPUTED_VALUE"""),79)</f>
        <v>79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IFERROR(__xludf.DUMMYFUNCTION("""COMPUTED_VALUE"""),"James Madison")</f>
        <v>James Madison</v>
      </c>
      <c r="C308" s="1" t="str">
        <f ca="1">IFERROR(__xludf.DUMMYFUNCTION("""COMPUTED_VALUE"""),"CAA")</f>
        <v>CAA</v>
      </c>
      <c r="D308" s="2">
        <f ca="1">IFERROR(__xludf.DUMMYFUNCTION("""COMPUTED_VALUE"""),44765)</f>
        <v>44765</v>
      </c>
      <c r="E308" s="1">
        <f ca="1">IFERROR(__xludf.DUMMYFUNCTION("""COMPUTED_VALUE"""),-13.74)</f>
        <v>-13.74</v>
      </c>
      <c r="F308" s="1">
        <f ca="1">IFERROR(__xludf.DUMMYFUNCTION("""COMPUTED_VALUE"""),102.2)</f>
        <v>102.2</v>
      </c>
      <c r="G308" s="1">
        <f ca="1">IFERROR(__xludf.DUMMYFUNCTION("""COMPUTED_VALUE"""),200)</f>
        <v>200</v>
      </c>
      <c r="H308" s="1">
        <f ca="1">IFERROR(__xludf.DUMMYFUNCTION("""COMPUTED_VALUE"""),115.9)</f>
        <v>115.9</v>
      </c>
      <c r="I308" s="1">
        <f ca="1">IFERROR(__xludf.DUMMYFUNCTION("""COMPUTED_VALUE"""),334)</f>
        <v>334</v>
      </c>
      <c r="J308" s="1">
        <f ca="1">IFERROR(__xludf.DUMMYFUNCTION("""COMPUTED_VALUE"""),63)</f>
        <v>63</v>
      </c>
      <c r="K308" s="1">
        <f ca="1">IFERROR(__xludf.DUMMYFUNCTION("""COMPUTED_VALUE"""),279)</f>
        <v>279</v>
      </c>
      <c r="L308" s="1" t="str">
        <f ca="1">IFERROR(__xludf.DUMMYFUNCTION("""COMPUTED_VALUE"""),"+.020")</f>
        <v>+.020</v>
      </c>
      <c r="M308" s="1">
        <f ca="1">IFERROR(__xludf.DUMMYFUNCTION("""COMPUTED_VALUE"""),129)</f>
        <v>129</v>
      </c>
      <c r="N308" s="1">
        <f ca="1">IFERROR(__xludf.DUMMYFUNCTION("""COMPUTED_VALUE"""),-1.46)</f>
        <v>-1.46</v>
      </c>
      <c r="O308" s="1">
        <f ca="1">IFERROR(__xludf.DUMMYFUNCTION("""COMPUTED_VALUE"""),177)</f>
        <v>177</v>
      </c>
      <c r="P308" s="1">
        <f ca="1">IFERROR(__xludf.DUMMYFUNCTION("""COMPUTED_VALUE"""),103.9)</f>
        <v>103.9</v>
      </c>
      <c r="Q308" s="1">
        <f ca="1">IFERROR(__xludf.DUMMYFUNCTION("""COMPUTED_VALUE"""),173)</f>
        <v>173</v>
      </c>
      <c r="R308" s="1">
        <f ca="1">IFERROR(__xludf.DUMMYFUNCTION("""COMPUTED_VALUE"""),105.3)</f>
        <v>105.3</v>
      </c>
      <c r="S308" s="1">
        <f ca="1">IFERROR(__xludf.DUMMYFUNCTION("""COMPUTED_VALUE"""),181)</f>
        <v>181</v>
      </c>
      <c r="T308" s="1">
        <f ca="1">IFERROR(__xludf.DUMMYFUNCTION("""COMPUTED_VALUE"""),-7.02)</f>
        <v>-7.02</v>
      </c>
      <c r="U308" s="1">
        <f ca="1">IFERROR(__xludf.DUMMYFUNCTION("""COMPUTED_VALUE"""),314)</f>
        <v>314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IFERROR(__xludf.DUMMYFUNCTION("""COMPUTED_VALUE"""),"Dartmouth")</f>
        <v>Dartmouth</v>
      </c>
      <c r="C309" s="1" t="str">
        <f ca="1">IFERROR(__xludf.DUMMYFUNCTION("""COMPUTED_VALUE"""),"Ivy")</f>
        <v>Ivy</v>
      </c>
      <c r="D309" s="2">
        <f ca="1">IFERROR(__xludf.DUMMYFUNCTION("""COMPUTED_VALUE"""),44822)</f>
        <v>44822</v>
      </c>
      <c r="E309" s="1">
        <f ca="1">IFERROR(__xludf.DUMMYFUNCTION("""COMPUTED_VALUE"""),-14.04)</f>
        <v>-14.04</v>
      </c>
      <c r="F309" s="1">
        <f ca="1">IFERROR(__xludf.DUMMYFUNCTION("""COMPUTED_VALUE"""),94.2)</f>
        <v>94.2</v>
      </c>
      <c r="G309" s="1">
        <f ca="1">IFERROR(__xludf.DUMMYFUNCTION("""COMPUTED_VALUE"""),303)</f>
        <v>303</v>
      </c>
      <c r="H309" s="1">
        <f ca="1">IFERROR(__xludf.DUMMYFUNCTION("""COMPUTED_VALUE"""),108.2)</f>
        <v>108.2</v>
      </c>
      <c r="I309" s="1">
        <f ca="1">IFERROR(__xludf.DUMMYFUNCTION("""COMPUTED_VALUE"""),233)</f>
        <v>233</v>
      </c>
      <c r="J309" s="1">
        <f ca="1">IFERROR(__xludf.DUMMYFUNCTION("""COMPUTED_VALUE"""),63.9)</f>
        <v>63.9</v>
      </c>
      <c r="K309" s="1">
        <f ca="1">IFERROR(__xludf.DUMMYFUNCTION("""COMPUTED_VALUE"""),237)</f>
        <v>237</v>
      </c>
      <c r="L309" s="1" t="str">
        <f ca="1">IFERROR(__xludf.DUMMYFUNCTION("""COMPUTED_VALUE"""),"+.026")</f>
        <v>+.026</v>
      </c>
      <c r="M309" s="1">
        <f ca="1">IFERROR(__xludf.DUMMYFUNCTION("""COMPUTED_VALUE"""),115)</f>
        <v>115</v>
      </c>
      <c r="N309" s="1">
        <f ca="1">IFERROR(__xludf.DUMMYFUNCTION("""COMPUTED_VALUE"""),-5.35)</f>
        <v>-5.35</v>
      </c>
      <c r="O309" s="1">
        <f ca="1">IFERROR(__xludf.DUMMYFUNCTION("""COMPUTED_VALUE"""),253)</f>
        <v>253</v>
      </c>
      <c r="P309" s="1">
        <f ca="1">IFERROR(__xludf.DUMMYFUNCTION("""COMPUTED_VALUE"""),100.8)</f>
        <v>100.8</v>
      </c>
      <c r="Q309" s="1">
        <f ca="1">IFERROR(__xludf.DUMMYFUNCTION("""COMPUTED_VALUE"""),276)</f>
        <v>276</v>
      </c>
      <c r="R309" s="1">
        <f ca="1">IFERROR(__xludf.DUMMYFUNCTION("""COMPUTED_VALUE"""),106.2)</f>
        <v>106.2</v>
      </c>
      <c r="S309" s="1">
        <f ca="1">IFERROR(__xludf.DUMMYFUNCTION("""COMPUTED_VALUE"""),224)</f>
        <v>224</v>
      </c>
      <c r="T309" s="1">
        <f ca="1">IFERROR(__xludf.DUMMYFUNCTION("""COMPUTED_VALUE"""),-5.9)</f>
        <v>-5.9</v>
      </c>
      <c r="U309" s="1">
        <f ca="1">IFERROR(__xludf.DUMMYFUNCTION("""COMPUTED_VALUE"""),295)</f>
        <v>295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IFERROR(__xludf.DUMMYFUNCTION("""COMPUTED_VALUE"""),"Jacksonville St.")</f>
        <v>Jacksonville St.</v>
      </c>
      <c r="C310" s="1" t="str">
        <f ca="1">IFERROR(__xludf.DUMMYFUNCTION("""COMPUTED_VALUE"""),"OVC")</f>
        <v>OVC</v>
      </c>
      <c r="D310" s="2">
        <f ca="1">IFERROR(__xludf.DUMMYFUNCTION("""COMPUTED_VALUE"""),44825)</f>
        <v>44825</v>
      </c>
      <c r="E310" s="1">
        <f ca="1">IFERROR(__xludf.DUMMYFUNCTION("""COMPUTED_VALUE"""),-14.11)</f>
        <v>-14.11</v>
      </c>
      <c r="F310" s="1">
        <f ca="1">IFERROR(__xludf.DUMMYFUNCTION("""COMPUTED_VALUE"""),97.7)</f>
        <v>97.7</v>
      </c>
      <c r="G310" s="1">
        <f ca="1">IFERROR(__xludf.DUMMYFUNCTION("""COMPUTED_VALUE"""),268)</f>
        <v>268</v>
      </c>
      <c r="H310" s="1">
        <f ca="1">IFERROR(__xludf.DUMMYFUNCTION("""COMPUTED_VALUE"""),111.8)</f>
        <v>111.8</v>
      </c>
      <c r="I310" s="1">
        <f ca="1">IFERROR(__xludf.DUMMYFUNCTION("""COMPUTED_VALUE"""),303)</f>
        <v>303</v>
      </c>
      <c r="J310" s="1">
        <f ca="1">IFERROR(__xludf.DUMMYFUNCTION("""COMPUTED_VALUE"""),65.2)</f>
        <v>65.2</v>
      </c>
      <c r="K310" s="1">
        <f ca="1">IFERROR(__xludf.DUMMYFUNCTION("""COMPUTED_VALUE"""),187)</f>
        <v>187</v>
      </c>
      <c r="L310" s="1">
        <f ca="1">IFERROR(__xludf.DUMMYFUNCTION("""COMPUTED_VALUE"""),-0.011)</f>
        <v>-1.0999999999999999E-2</v>
      </c>
      <c r="M310" s="1">
        <f ca="1">IFERROR(__xludf.DUMMYFUNCTION("""COMPUTED_VALUE"""),207)</f>
        <v>207</v>
      </c>
      <c r="N310" s="1">
        <f ca="1">IFERROR(__xludf.DUMMYFUNCTION("""COMPUTED_VALUE"""),-7.6)</f>
        <v>-7.6</v>
      </c>
      <c r="O310" s="1">
        <f ca="1">IFERROR(__xludf.DUMMYFUNCTION("""COMPUTED_VALUE"""),300)</f>
        <v>300</v>
      </c>
      <c r="P310" s="1">
        <f ca="1">IFERROR(__xludf.DUMMYFUNCTION("""COMPUTED_VALUE"""),101.3)</f>
        <v>101.3</v>
      </c>
      <c r="Q310" s="1">
        <f ca="1">IFERROR(__xludf.DUMMYFUNCTION("""COMPUTED_VALUE"""),259)</f>
        <v>259</v>
      </c>
      <c r="R310" s="1">
        <f ca="1">IFERROR(__xludf.DUMMYFUNCTION("""COMPUTED_VALUE"""),108.9)</f>
        <v>108.9</v>
      </c>
      <c r="S310" s="1">
        <f ca="1">IFERROR(__xludf.DUMMYFUNCTION("""COMPUTED_VALUE"""),327)</f>
        <v>327</v>
      </c>
      <c r="T310" s="1">
        <f ca="1">IFERROR(__xludf.DUMMYFUNCTION("""COMPUTED_VALUE"""),-2.49)</f>
        <v>-2.4900000000000002</v>
      </c>
      <c r="U310" s="1">
        <f ca="1">IFERROR(__xludf.DUMMYFUNCTION("""COMPUTED_VALUE"""),213)</f>
        <v>213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IFERROR(__xludf.DUMMYFUNCTION("""COMPUTED_VALUE"""),"Delaware")</f>
        <v>Delaware</v>
      </c>
      <c r="C311" s="1" t="str">
        <f ca="1">IFERROR(__xludf.DUMMYFUNCTION("""COMPUTED_VALUE"""),"CAA")</f>
        <v>CAA</v>
      </c>
      <c r="D311" s="2">
        <f ca="1">IFERROR(__xludf.DUMMYFUNCTION("""COMPUTED_VALUE"""),44707)</f>
        <v>44707</v>
      </c>
      <c r="E311" s="1">
        <f ca="1">IFERROR(__xludf.DUMMYFUNCTION("""COMPUTED_VALUE"""),-14.22)</f>
        <v>-14.22</v>
      </c>
      <c r="F311" s="1">
        <f ca="1">IFERROR(__xludf.DUMMYFUNCTION("""COMPUTED_VALUE"""),96.8)</f>
        <v>96.8</v>
      </c>
      <c r="G311" s="1">
        <f ca="1">IFERROR(__xludf.DUMMYFUNCTION("""COMPUTED_VALUE"""),280)</f>
        <v>280</v>
      </c>
      <c r="H311" s="1">
        <f ca="1">IFERROR(__xludf.DUMMYFUNCTION("""COMPUTED_VALUE"""),111)</f>
        <v>111</v>
      </c>
      <c r="I311" s="1">
        <f ca="1">IFERROR(__xludf.DUMMYFUNCTION("""COMPUTED_VALUE"""),290)</f>
        <v>290</v>
      </c>
      <c r="J311" s="1">
        <f ca="1">IFERROR(__xludf.DUMMYFUNCTION("""COMPUTED_VALUE"""),63.5)</f>
        <v>63.5</v>
      </c>
      <c r="K311" s="1">
        <f ca="1">IFERROR(__xludf.DUMMYFUNCTION("""COMPUTED_VALUE"""),260)</f>
        <v>260</v>
      </c>
      <c r="L311" s="1">
        <f ca="1">IFERROR(__xludf.DUMMYFUNCTION("""COMPUTED_VALUE"""),-0.059)</f>
        <v>-5.8999999999999997E-2</v>
      </c>
      <c r="M311" s="1">
        <f ca="1">IFERROR(__xludf.DUMMYFUNCTION("""COMPUTED_VALUE"""),300)</f>
        <v>300</v>
      </c>
      <c r="N311" s="1">
        <f ca="1">IFERROR(__xludf.DUMMYFUNCTION("""COMPUTED_VALUE"""),-1.29)</f>
        <v>-1.29</v>
      </c>
      <c r="O311" s="1">
        <f ca="1">IFERROR(__xludf.DUMMYFUNCTION("""COMPUTED_VALUE"""),174)</f>
        <v>174</v>
      </c>
      <c r="P311" s="1">
        <f ca="1">IFERROR(__xludf.DUMMYFUNCTION("""COMPUTED_VALUE"""),104.2)</f>
        <v>104.2</v>
      </c>
      <c r="Q311" s="1">
        <f ca="1">IFERROR(__xludf.DUMMYFUNCTION("""COMPUTED_VALUE"""),163)</f>
        <v>163</v>
      </c>
      <c r="R311" s="1">
        <f ca="1">IFERROR(__xludf.DUMMYFUNCTION("""COMPUTED_VALUE"""),105.5)</f>
        <v>105.5</v>
      </c>
      <c r="S311" s="1">
        <f ca="1">IFERROR(__xludf.DUMMYFUNCTION("""COMPUTED_VALUE"""),188)</f>
        <v>188</v>
      </c>
      <c r="T311" s="1">
        <f ca="1">IFERROR(__xludf.DUMMYFUNCTION("""COMPUTED_VALUE"""),-3.26)</f>
        <v>-3.26</v>
      </c>
      <c r="U311" s="1">
        <f ca="1">IFERROR(__xludf.DUMMYFUNCTION("""COMPUTED_VALUE"""),235)</f>
        <v>235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IFERROR(__xludf.DUMMYFUNCTION("""COMPUTED_VALUE"""),"Southeast Missouri St.")</f>
        <v>Southeast Missouri St.</v>
      </c>
      <c r="C312" s="1" t="str">
        <f ca="1">IFERROR(__xludf.DUMMYFUNCTION("""COMPUTED_VALUE"""),"OVC")</f>
        <v>OVC</v>
      </c>
      <c r="D312" s="2">
        <f ca="1">IFERROR(__xludf.DUMMYFUNCTION("""COMPUTED_VALUE"""),44885)</f>
        <v>44885</v>
      </c>
      <c r="E312" s="1">
        <f ca="1">IFERROR(__xludf.DUMMYFUNCTION("""COMPUTED_VALUE"""),-14.4)</f>
        <v>-14.4</v>
      </c>
      <c r="F312" s="1">
        <f ca="1">IFERROR(__xludf.DUMMYFUNCTION("""COMPUTED_VALUE"""),99.3)</f>
        <v>99.3</v>
      </c>
      <c r="G312" s="1">
        <f ca="1">IFERROR(__xludf.DUMMYFUNCTION("""COMPUTED_VALUE"""),247)</f>
        <v>247</v>
      </c>
      <c r="H312" s="1">
        <f ca="1">IFERROR(__xludf.DUMMYFUNCTION("""COMPUTED_VALUE"""),113.7)</f>
        <v>113.7</v>
      </c>
      <c r="I312" s="1">
        <f ca="1">IFERROR(__xludf.DUMMYFUNCTION("""COMPUTED_VALUE"""),321)</f>
        <v>321</v>
      </c>
      <c r="J312" s="1">
        <f ca="1">IFERROR(__xludf.DUMMYFUNCTION("""COMPUTED_VALUE"""),71)</f>
        <v>71</v>
      </c>
      <c r="K312" s="1">
        <f ca="1">IFERROR(__xludf.DUMMYFUNCTION("""COMPUTED_VALUE"""),23)</f>
        <v>23</v>
      </c>
      <c r="L312" s="1" t="str">
        <f ca="1">IFERROR(__xludf.DUMMYFUNCTION("""COMPUTED_VALUE"""),"+.032")</f>
        <v>+.032</v>
      </c>
      <c r="M312" s="1">
        <f ca="1">IFERROR(__xludf.DUMMYFUNCTION("""COMPUTED_VALUE"""),99)</f>
        <v>99</v>
      </c>
      <c r="N312" s="1">
        <f ca="1">IFERROR(__xludf.DUMMYFUNCTION("""COMPUTED_VALUE"""),-6.55)</f>
        <v>-6.55</v>
      </c>
      <c r="O312" s="1">
        <f ca="1">IFERROR(__xludf.DUMMYFUNCTION("""COMPUTED_VALUE"""),284)</f>
        <v>284</v>
      </c>
      <c r="P312" s="1">
        <f ca="1">IFERROR(__xludf.DUMMYFUNCTION("""COMPUTED_VALUE"""),101)</f>
        <v>101</v>
      </c>
      <c r="Q312" s="1">
        <f ca="1">IFERROR(__xludf.DUMMYFUNCTION("""COMPUTED_VALUE"""),269)</f>
        <v>269</v>
      </c>
      <c r="R312" s="1">
        <f ca="1">IFERROR(__xludf.DUMMYFUNCTION("""COMPUTED_VALUE"""),107.6)</f>
        <v>107.6</v>
      </c>
      <c r="S312" s="1">
        <f ca="1">IFERROR(__xludf.DUMMYFUNCTION("""COMPUTED_VALUE"""),286)</f>
        <v>286</v>
      </c>
      <c r="T312" s="1" t="str">
        <f ca="1">IFERROR(__xludf.DUMMYFUNCTION("""COMPUTED_VALUE"""),"+1.26")</f>
        <v>+1.26</v>
      </c>
      <c r="U312" s="1">
        <f ca="1">IFERROR(__xludf.DUMMYFUNCTION("""COMPUTED_VALUE"""),120)</f>
        <v>120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IFERROR(__xludf.DUMMYFUNCTION("""COMPUTED_VALUE"""),"St. Bonaventure")</f>
        <v>St. Bonaventure</v>
      </c>
      <c r="C313" s="1" t="str">
        <f ca="1">IFERROR(__xludf.DUMMYFUNCTION("""COMPUTED_VALUE"""),"A10")</f>
        <v>A10</v>
      </c>
      <c r="D313" s="2">
        <f ca="1">IFERROR(__xludf.DUMMYFUNCTION("""COMPUTED_VALUE"""),44764)</f>
        <v>44764</v>
      </c>
      <c r="E313" s="1">
        <f ca="1">IFERROR(__xludf.DUMMYFUNCTION("""COMPUTED_VALUE"""),-15.3)</f>
        <v>-15.3</v>
      </c>
      <c r="F313" s="1">
        <f ca="1">IFERROR(__xludf.DUMMYFUNCTION("""COMPUTED_VALUE"""),98.6)</f>
        <v>98.6</v>
      </c>
      <c r="G313" s="1">
        <f ca="1">IFERROR(__xludf.DUMMYFUNCTION("""COMPUTED_VALUE"""),253)</f>
        <v>253</v>
      </c>
      <c r="H313" s="1">
        <f ca="1">IFERROR(__xludf.DUMMYFUNCTION("""COMPUTED_VALUE"""),113.9)</f>
        <v>113.9</v>
      </c>
      <c r="I313" s="1">
        <f ca="1">IFERROR(__xludf.DUMMYFUNCTION("""COMPUTED_VALUE"""),322)</f>
        <v>322</v>
      </c>
      <c r="J313" s="1">
        <f ca="1">IFERROR(__xludf.DUMMYFUNCTION("""COMPUTED_VALUE"""),68)</f>
        <v>68</v>
      </c>
      <c r="K313" s="1">
        <f ca="1">IFERROR(__xludf.DUMMYFUNCTION("""COMPUTED_VALUE"""),81)</f>
        <v>81</v>
      </c>
      <c r="L313" s="1" t="str">
        <f ca="1">IFERROR(__xludf.DUMMYFUNCTION("""COMPUTED_VALUE"""),"+.016")</f>
        <v>+.016</v>
      </c>
      <c r="M313" s="1">
        <f ca="1">IFERROR(__xludf.DUMMYFUNCTION("""COMPUTED_VALUE"""),142)</f>
        <v>142</v>
      </c>
      <c r="N313" s="1">
        <f ca="1">IFERROR(__xludf.DUMMYFUNCTION("""COMPUTED_VALUE"""),-2.17)</f>
        <v>-2.17</v>
      </c>
      <c r="O313" s="1">
        <f ca="1">IFERROR(__xludf.DUMMYFUNCTION("""COMPUTED_VALUE"""),186)</f>
        <v>186</v>
      </c>
      <c r="P313" s="1">
        <f ca="1">IFERROR(__xludf.DUMMYFUNCTION("""COMPUTED_VALUE"""),104.1)</f>
        <v>104.1</v>
      </c>
      <c r="Q313" s="1">
        <f ca="1">IFERROR(__xludf.DUMMYFUNCTION("""COMPUTED_VALUE"""),169)</f>
        <v>169</v>
      </c>
      <c r="R313" s="1">
        <f ca="1">IFERROR(__xludf.DUMMYFUNCTION("""COMPUTED_VALUE"""),106.3)</f>
        <v>106.3</v>
      </c>
      <c r="S313" s="1">
        <f ca="1">IFERROR(__xludf.DUMMYFUNCTION("""COMPUTED_VALUE"""),229)</f>
        <v>229</v>
      </c>
      <c r="T313" s="1">
        <f ca="1">IFERROR(__xludf.DUMMYFUNCTION("""COMPUTED_VALUE"""),-5.61)</f>
        <v>-5.61</v>
      </c>
      <c r="U313" s="1">
        <f ca="1">IFERROR(__xludf.DUMMYFUNCTION("""COMPUTED_VALUE"""),291)</f>
        <v>291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IFERROR(__xludf.DUMMYFUNCTION("""COMPUTED_VALUE"""),"Mercer")</f>
        <v>Mercer</v>
      </c>
      <c r="C314" s="1" t="str">
        <f ca="1">IFERROR(__xludf.DUMMYFUNCTION("""COMPUTED_VALUE"""),"ASun")</f>
        <v>ASun</v>
      </c>
      <c r="D314" s="1" t="str">
        <f ca="1">IFERROR(__xludf.DUMMYFUNCTION("""COMPUTED_VALUE"""),"13-17")</f>
        <v>13-17</v>
      </c>
      <c r="E314" s="1">
        <f ca="1">IFERROR(__xludf.DUMMYFUNCTION("""COMPUTED_VALUE"""),-15.3)</f>
        <v>-15.3</v>
      </c>
      <c r="F314" s="1">
        <f ca="1">IFERROR(__xludf.DUMMYFUNCTION("""COMPUTED_VALUE"""),96.6)</f>
        <v>96.6</v>
      </c>
      <c r="G314" s="1">
        <f ca="1">IFERROR(__xludf.DUMMYFUNCTION("""COMPUTED_VALUE"""),281)</f>
        <v>281</v>
      </c>
      <c r="H314" s="1">
        <f ca="1">IFERROR(__xludf.DUMMYFUNCTION("""COMPUTED_VALUE"""),111.9)</f>
        <v>111.9</v>
      </c>
      <c r="I314" s="1">
        <f ca="1">IFERROR(__xludf.DUMMYFUNCTION("""COMPUTED_VALUE"""),304)</f>
        <v>304</v>
      </c>
      <c r="J314" s="1">
        <f ca="1">IFERROR(__xludf.DUMMYFUNCTION("""COMPUTED_VALUE"""),71.9)</f>
        <v>71.900000000000006</v>
      </c>
      <c r="K314" s="1">
        <f ca="1">IFERROR(__xludf.DUMMYFUNCTION("""COMPUTED_VALUE"""),15)</f>
        <v>15</v>
      </c>
      <c r="L314" s="1" t="str">
        <f ca="1">IFERROR(__xludf.DUMMYFUNCTION("""COMPUTED_VALUE"""),"+.042")</f>
        <v>+.042</v>
      </c>
      <c r="M314" s="1">
        <f ca="1">IFERROR(__xludf.DUMMYFUNCTION("""COMPUTED_VALUE"""),74)</f>
        <v>74</v>
      </c>
      <c r="N314" s="1">
        <f ca="1">IFERROR(__xludf.DUMMYFUNCTION("""COMPUTED_VALUE"""),-8.21)</f>
        <v>-8.2100000000000009</v>
      </c>
      <c r="O314" s="1">
        <f ca="1">IFERROR(__xludf.DUMMYFUNCTION("""COMPUTED_VALUE"""),308)</f>
        <v>308</v>
      </c>
      <c r="P314" s="1">
        <f ca="1">IFERROR(__xludf.DUMMYFUNCTION("""COMPUTED_VALUE"""),99.4)</f>
        <v>99.4</v>
      </c>
      <c r="Q314" s="1">
        <f ca="1">IFERROR(__xludf.DUMMYFUNCTION("""COMPUTED_VALUE"""),314)</f>
        <v>314</v>
      </c>
      <c r="R314" s="1">
        <f ca="1">IFERROR(__xludf.DUMMYFUNCTION("""COMPUTED_VALUE"""),107.6)</f>
        <v>107.6</v>
      </c>
      <c r="S314" s="1">
        <f ca="1">IFERROR(__xludf.DUMMYFUNCTION("""COMPUTED_VALUE"""),285)</f>
        <v>285</v>
      </c>
      <c r="T314" s="1">
        <f ca="1">IFERROR(__xludf.DUMMYFUNCTION("""COMPUTED_VALUE"""),-4.35)</f>
        <v>-4.3499999999999996</v>
      </c>
      <c r="U314" s="1">
        <f ca="1">IFERROR(__xludf.DUMMYFUNCTION("""COMPUTED_VALUE"""),260)</f>
        <v>260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IFERROR(__xludf.DUMMYFUNCTION("""COMPUTED_VALUE"""),"Idaho")</f>
        <v>Idaho</v>
      </c>
      <c r="C315" s="1" t="str">
        <f ca="1">IFERROR(__xludf.DUMMYFUNCTION("""COMPUTED_VALUE"""),"WAC")</f>
        <v>WAC</v>
      </c>
      <c r="D315" s="2">
        <f ca="1">IFERROR(__xludf.DUMMYFUNCTION("""COMPUTED_VALUE"""),44678)</f>
        <v>44678</v>
      </c>
      <c r="E315" s="1">
        <f ca="1">IFERROR(__xludf.DUMMYFUNCTION("""COMPUTED_VALUE"""),-15.54)</f>
        <v>-15.54</v>
      </c>
      <c r="F315" s="1">
        <f ca="1">IFERROR(__xludf.DUMMYFUNCTION("""COMPUTED_VALUE"""),94.3)</f>
        <v>94.3</v>
      </c>
      <c r="G315" s="1">
        <f ca="1">IFERROR(__xludf.DUMMYFUNCTION("""COMPUTED_VALUE"""),301)</f>
        <v>301</v>
      </c>
      <c r="H315" s="1">
        <f ca="1">IFERROR(__xludf.DUMMYFUNCTION("""COMPUTED_VALUE"""),109.9)</f>
        <v>109.9</v>
      </c>
      <c r="I315" s="1">
        <f ca="1">IFERROR(__xludf.DUMMYFUNCTION("""COMPUTED_VALUE"""),266)</f>
        <v>266</v>
      </c>
      <c r="J315" s="1">
        <f ca="1">IFERROR(__xludf.DUMMYFUNCTION("""COMPUTED_VALUE"""),66.2)</f>
        <v>66.2</v>
      </c>
      <c r="K315" s="1">
        <f ca="1">IFERROR(__xludf.DUMMYFUNCTION("""COMPUTED_VALUE"""),148)</f>
        <v>148</v>
      </c>
      <c r="L315" s="1" t="str">
        <f ca="1">IFERROR(__xludf.DUMMYFUNCTION("""COMPUTED_VALUE"""),"+.024")</f>
        <v>+.024</v>
      </c>
      <c r="M315" s="1">
        <f ca="1">IFERROR(__xludf.DUMMYFUNCTION("""COMPUTED_VALUE"""),121)</f>
        <v>121</v>
      </c>
      <c r="N315" s="1" t="str">
        <f ca="1">IFERROR(__xludf.DUMMYFUNCTION("""COMPUTED_VALUE"""),"+2.43")</f>
        <v>+2.43</v>
      </c>
      <c r="O315" s="1">
        <f ca="1">IFERROR(__xludf.DUMMYFUNCTION("""COMPUTED_VALUE"""),114)</f>
        <v>114</v>
      </c>
      <c r="P315" s="1">
        <f ca="1">IFERROR(__xludf.DUMMYFUNCTION("""COMPUTED_VALUE"""),105.5)</f>
        <v>105.5</v>
      </c>
      <c r="Q315" s="1">
        <f ca="1">IFERROR(__xludf.DUMMYFUNCTION("""COMPUTED_VALUE"""),123)</f>
        <v>123</v>
      </c>
      <c r="R315" s="1">
        <f ca="1">IFERROR(__xludf.DUMMYFUNCTION("""COMPUTED_VALUE"""),103)</f>
        <v>103</v>
      </c>
      <c r="S315" s="1">
        <f ca="1">IFERROR(__xludf.DUMMYFUNCTION("""COMPUTED_VALUE"""),109)</f>
        <v>109</v>
      </c>
      <c r="T315" s="1">
        <f ca="1">IFERROR(__xludf.DUMMYFUNCTION("""COMPUTED_VALUE"""),-0.96)</f>
        <v>-0.96</v>
      </c>
      <c r="U315" s="1">
        <f ca="1">IFERROR(__xludf.DUMMYFUNCTION("""COMPUTED_VALUE"""),171)</f>
        <v>171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IFERROR(__xludf.DUMMYFUNCTION("""COMPUTED_VALUE"""),"Arkansas Pine Bluff")</f>
        <v>Arkansas Pine Bluff</v>
      </c>
      <c r="C316" s="1" t="str">
        <f ca="1">IFERROR(__xludf.DUMMYFUNCTION("""COMPUTED_VALUE"""),"SWAC")</f>
        <v>SWAC</v>
      </c>
      <c r="D316" s="2">
        <f ca="1">IFERROR(__xludf.DUMMYFUNCTION("""COMPUTED_VALUE"""),44914)</f>
        <v>44914</v>
      </c>
      <c r="E316" s="1">
        <f ca="1">IFERROR(__xludf.DUMMYFUNCTION("""COMPUTED_VALUE"""),-15.54)</f>
        <v>-15.54</v>
      </c>
      <c r="F316" s="1">
        <f ca="1">IFERROR(__xludf.DUMMYFUNCTION("""COMPUTED_VALUE"""),88.7)</f>
        <v>88.7</v>
      </c>
      <c r="G316" s="1">
        <f ca="1">IFERROR(__xludf.DUMMYFUNCTION("""COMPUTED_VALUE"""),327)</f>
        <v>327</v>
      </c>
      <c r="H316" s="1">
        <f ca="1">IFERROR(__xludf.DUMMYFUNCTION("""COMPUTED_VALUE"""),104.3)</f>
        <v>104.3</v>
      </c>
      <c r="I316" s="1">
        <f ca="1">IFERROR(__xludf.DUMMYFUNCTION("""COMPUTED_VALUE"""),157)</f>
        <v>157</v>
      </c>
      <c r="J316" s="1">
        <f ca="1">IFERROR(__xludf.DUMMYFUNCTION("""COMPUTED_VALUE"""),64.1)</f>
        <v>64.099999999999994</v>
      </c>
      <c r="K316" s="1">
        <f ca="1">IFERROR(__xludf.DUMMYFUNCTION("""COMPUTED_VALUE"""),234)</f>
        <v>234</v>
      </c>
      <c r="L316" s="1" t="str">
        <f ca="1">IFERROR(__xludf.DUMMYFUNCTION("""COMPUTED_VALUE"""),"+.014")</f>
        <v>+.014</v>
      </c>
      <c r="M316" s="1">
        <f ca="1">IFERROR(__xludf.DUMMYFUNCTION("""COMPUTED_VALUE"""),152)</f>
        <v>152</v>
      </c>
      <c r="N316" s="1">
        <f ca="1">IFERROR(__xludf.DUMMYFUNCTION("""COMPUTED_VALUE"""),-9.4)</f>
        <v>-9.4</v>
      </c>
      <c r="O316" s="1">
        <f ca="1">IFERROR(__xludf.DUMMYFUNCTION("""COMPUTED_VALUE"""),317)</f>
        <v>317</v>
      </c>
      <c r="P316" s="1">
        <f ca="1">IFERROR(__xludf.DUMMYFUNCTION("""COMPUTED_VALUE"""),96.5)</f>
        <v>96.5</v>
      </c>
      <c r="Q316" s="1">
        <f ca="1">IFERROR(__xludf.DUMMYFUNCTION("""COMPUTED_VALUE"""),327)</f>
        <v>327</v>
      </c>
      <c r="R316" s="1">
        <f ca="1">IFERROR(__xludf.DUMMYFUNCTION("""COMPUTED_VALUE"""),105.8)</f>
        <v>105.8</v>
      </c>
      <c r="S316" s="1">
        <f ca="1">IFERROR(__xludf.DUMMYFUNCTION("""COMPUTED_VALUE"""),206)</f>
        <v>206</v>
      </c>
      <c r="T316" s="1" t="str">
        <f ca="1">IFERROR(__xludf.DUMMYFUNCTION("""COMPUTED_VALUE"""),"+13.56")</f>
        <v>+13.56</v>
      </c>
      <c r="U316" s="1">
        <f ca="1">IFERROR(__xludf.DUMMYFUNCTION("""COMPUTED_VALUE"""),4)</f>
        <v>4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IFERROR(__xludf.DUMMYFUNCTION("""COMPUTED_VALUE"""),"Coppin St.")</f>
        <v>Coppin St.</v>
      </c>
      <c r="C317" s="1" t="str">
        <f ca="1">IFERROR(__xludf.DUMMYFUNCTION("""COMPUTED_VALUE"""),"MEAC")</f>
        <v>MEAC</v>
      </c>
      <c r="D317" s="2">
        <f ca="1">IFERROR(__xludf.DUMMYFUNCTION("""COMPUTED_VALUE"""),44915)</f>
        <v>44915</v>
      </c>
      <c r="E317" s="1">
        <f ca="1">IFERROR(__xludf.DUMMYFUNCTION("""COMPUTED_VALUE"""),-15.69)</f>
        <v>-15.69</v>
      </c>
      <c r="F317" s="1">
        <f ca="1">IFERROR(__xludf.DUMMYFUNCTION("""COMPUTED_VALUE"""),93.6)</f>
        <v>93.6</v>
      </c>
      <c r="G317" s="1">
        <f ca="1">IFERROR(__xludf.DUMMYFUNCTION("""COMPUTED_VALUE"""),307)</f>
        <v>307</v>
      </c>
      <c r="H317" s="1">
        <f ca="1">IFERROR(__xludf.DUMMYFUNCTION("""COMPUTED_VALUE"""),109.3)</f>
        <v>109.3</v>
      </c>
      <c r="I317" s="1">
        <f ca="1">IFERROR(__xludf.DUMMYFUNCTION("""COMPUTED_VALUE"""),251)</f>
        <v>251</v>
      </c>
      <c r="J317" s="1">
        <f ca="1">IFERROR(__xludf.DUMMYFUNCTION("""COMPUTED_VALUE"""),65.1)</f>
        <v>65.099999999999994</v>
      </c>
      <c r="K317" s="1">
        <f ca="1">IFERROR(__xludf.DUMMYFUNCTION("""COMPUTED_VALUE"""),192)</f>
        <v>192</v>
      </c>
      <c r="L317" s="1" t="str">
        <f ca="1">IFERROR(__xludf.DUMMYFUNCTION("""COMPUTED_VALUE"""),"+.063")</f>
        <v>+.063</v>
      </c>
      <c r="M317" s="1">
        <f ca="1">IFERROR(__xludf.DUMMYFUNCTION("""COMPUTED_VALUE"""),40)</f>
        <v>40</v>
      </c>
      <c r="N317" s="1">
        <f ca="1">IFERROR(__xludf.DUMMYFUNCTION("""COMPUTED_VALUE"""),-5.98)</f>
        <v>-5.98</v>
      </c>
      <c r="O317" s="1">
        <f ca="1">IFERROR(__xludf.DUMMYFUNCTION("""COMPUTED_VALUE"""),270)</f>
        <v>270</v>
      </c>
      <c r="P317" s="1">
        <f ca="1">IFERROR(__xludf.DUMMYFUNCTION("""COMPUTED_VALUE"""),100.4)</f>
        <v>100.4</v>
      </c>
      <c r="Q317" s="1">
        <f ca="1">IFERROR(__xludf.DUMMYFUNCTION("""COMPUTED_VALUE"""),293)</f>
        <v>293</v>
      </c>
      <c r="R317" s="1">
        <f ca="1">IFERROR(__xludf.DUMMYFUNCTION("""COMPUTED_VALUE"""),106.4)</f>
        <v>106.4</v>
      </c>
      <c r="S317" s="1">
        <f ca="1">IFERROR(__xludf.DUMMYFUNCTION("""COMPUTED_VALUE"""),236)</f>
        <v>236</v>
      </c>
      <c r="T317" s="1" t="str">
        <f ca="1">IFERROR(__xludf.DUMMYFUNCTION("""COMPUTED_VALUE"""),"+15.97")</f>
        <v>+15.97</v>
      </c>
      <c r="U317" s="1">
        <f ca="1">IFERROR(__xludf.DUMMYFUNCTION("""COMPUTED_VALUE"""),1)</f>
        <v>1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IFERROR(__xludf.DUMMYFUNCTION("""COMPUTED_VALUE"""),"East Carolina")</f>
        <v>East Carolina</v>
      </c>
      <c r="C318" s="1" t="str">
        <f ca="1">IFERROR(__xludf.DUMMYFUNCTION("""COMPUTED_VALUE"""),"CUSA")</f>
        <v>CUSA</v>
      </c>
      <c r="D318" s="2">
        <f ca="1">IFERROR(__xludf.DUMMYFUNCTION("""COMPUTED_VALUE"""),44736)</f>
        <v>44736</v>
      </c>
      <c r="E318" s="1">
        <f ca="1">IFERROR(__xludf.DUMMYFUNCTION("""COMPUTED_VALUE"""),-15.71)</f>
        <v>-15.71</v>
      </c>
      <c r="F318" s="1">
        <f ca="1">IFERROR(__xludf.DUMMYFUNCTION("""COMPUTED_VALUE"""),92.8)</f>
        <v>92.8</v>
      </c>
      <c r="G318" s="1">
        <f ca="1">IFERROR(__xludf.DUMMYFUNCTION("""COMPUTED_VALUE"""),313)</f>
        <v>313</v>
      </c>
      <c r="H318" s="1">
        <f ca="1">IFERROR(__xludf.DUMMYFUNCTION("""COMPUTED_VALUE"""),108.5)</f>
        <v>108.5</v>
      </c>
      <c r="I318" s="1">
        <f ca="1">IFERROR(__xludf.DUMMYFUNCTION("""COMPUTED_VALUE"""),241)</f>
        <v>241</v>
      </c>
      <c r="J318" s="1">
        <f ca="1">IFERROR(__xludf.DUMMYFUNCTION("""COMPUTED_VALUE"""),63.6)</f>
        <v>63.6</v>
      </c>
      <c r="K318" s="1">
        <f ca="1">IFERROR(__xludf.DUMMYFUNCTION("""COMPUTED_VALUE"""),255)</f>
        <v>255</v>
      </c>
      <c r="L318" s="1">
        <f ca="1">IFERROR(__xludf.DUMMYFUNCTION("""COMPUTED_VALUE"""),-0.022)</f>
        <v>-2.1999999999999999E-2</v>
      </c>
      <c r="M318" s="1">
        <f ca="1">IFERROR(__xludf.DUMMYFUNCTION("""COMPUTED_VALUE"""),235)</f>
        <v>235</v>
      </c>
      <c r="N318" s="1" t="str">
        <f ca="1">IFERROR(__xludf.DUMMYFUNCTION("""COMPUTED_VALUE"""),"+1.74")</f>
        <v>+1.74</v>
      </c>
      <c r="O318" s="1">
        <f ca="1">IFERROR(__xludf.DUMMYFUNCTION("""COMPUTED_VALUE"""),125)</f>
        <v>125</v>
      </c>
      <c r="P318" s="1">
        <f ca="1">IFERROR(__xludf.DUMMYFUNCTION("""COMPUTED_VALUE"""),104.2)</f>
        <v>104.2</v>
      </c>
      <c r="Q318" s="1">
        <f ca="1">IFERROR(__xludf.DUMMYFUNCTION("""COMPUTED_VALUE"""),165)</f>
        <v>165</v>
      </c>
      <c r="R318" s="1">
        <f ca="1">IFERROR(__xludf.DUMMYFUNCTION("""COMPUTED_VALUE"""),102.4)</f>
        <v>102.4</v>
      </c>
      <c r="S318" s="1">
        <f ca="1">IFERROR(__xludf.DUMMYFUNCTION("""COMPUTED_VALUE"""),98)</f>
        <v>98</v>
      </c>
      <c r="T318" s="1">
        <f ca="1">IFERROR(__xludf.DUMMYFUNCTION("""COMPUTED_VALUE"""),-0.28)</f>
        <v>-0.28000000000000003</v>
      </c>
      <c r="U318" s="1">
        <f ca="1">IFERROR(__xludf.DUMMYFUNCTION("""COMPUTED_VALUE"""),157)</f>
        <v>157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IFERROR(__xludf.DUMMYFUNCTION("""COMPUTED_VALUE"""),"Eastern Illinois")</f>
        <v>Eastern Illinois</v>
      </c>
      <c r="C319" s="1" t="str">
        <f ca="1">IFERROR(__xludf.DUMMYFUNCTION("""COMPUTED_VALUE"""),"OVC")</f>
        <v>OVC</v>
      </c>
      <c r="D319" s="2">
        <f ca="1">IFERROR(__xludf.DUMMYFUNCTION("""COMPUTED_VALUE"""),44854)</f>
        <v>44854</v>
      </c>
      <c r="E319" s="1">
        <f ca="1">IFERROR(__xludf.DUMMYFUNCTION("""COMPUTED_VALUE"""),-15.74)</f>
        <v>-15.74</v>
      </c>
      <c r="F319" s="1">
        <f ca="1">IFERROR(__xludf.DUMMYFUNCTION("""COMPUTED_VALUE"""),94.7)</f>
        <v>94.7</v>
      </c>
      <c r="G319" s="1">
        <f ca="1">IFERROR(__xludf.DUMMYFUNCTION("""COMPUTED_VALUE"""),298)</f>
        <v>298</v>
      </c>
      <c r="H319" s="1">
        <f ca="1">IFERROR(__xludf.DUMMYFUNCTION("""COMPUTED_VALUE"""),110.5)</f>
        <v>110.5</v>
      </c>
      <c r="I319" s="1">
        <f ca="1">IFERROR(__xludf.DUMMYFUNCTION("""COMPUTED_VALUE"""),284)</f>
        <v>284</v>
      </c>
      <c r="J319" s="1">
        <f ca="1">IFERROR(__xludf.DUMMYFUNCTION("""COMPUTED_VALUE"""),63.2)</f>
        <v>63.2</v>
      </c>
      <c r="K319" s="1">
        <f ca="1">IFERROR(__xludf.DUMMYFUNCTION("""COMPUTED_VALUE"""),269)</f>
        <v>269</v>
      </c>
      <c r="L319" s="1">
        <f ca="1">IFERROR(__xludf.DUMMYFUNCTION("""COMPUTED_VALUE"""),-0.009)</f>
        <v>-8.9999999999999993E-3</v>
      </c>
      <c r="M319" s="1">
        <f ca="1">IFERROR(__xludf.DUMMYFUNCTION("""COMPUTED_VALUE"""),200)</f>
        <v>200</v>
      </c>
      <c r="N319" s="1">
        <f ca="1">IFERROR(__xludf.DUMMYFUNCTION("""COMPUTED_VALUE"""),-7.9)</f>
        <v>-7.9</v>
      </c>
      <c r="O319" s="1">
        <f ca="1">IFERROR(__xludf.DUMMYFUNCTION("""COMPUTED_VALUE"""),303)</f>
        <v>303</v>
      </c>
      <c r="P319" s="1">
        <f ca="1">IFERROR(__xludf.DUMMYFUNCTION("""COMPUTED_VALUE"""),100.6)</f>
        <v>100.6</v>
      </c>
      <c r="Q319" s="1">
        <f ca="1">IFERROR(__xludf.DUMMYFUNCTION("""COMPUTED_VALUE"""),289)</f>
        <v>289</v>
      </c>
      <c r="R319" s="1">
        <f ca="1">IFERROR(__xludf.DUMMYFUNCTION("""COMPUTED_VALUE"""),108.4)</f>
        <v>108.4</v>
      </c>
      <c r="S319" s="1">
        <f ca="1">IFERROR(__xludf.DUMMYFUNCTION("""COMPUTED_VALUE"""),316)</f>
        <v>316</v>
      </c>
      <c r="T319" s="1">
        <f ca="1">IFERROR(__xludf.DUMMYFUNCTION("""COMPUTED_VALUE"""),-3.4)</f>
        <v>-3.4</v>
      </c>
      <c r="U319" s="1">
        <f ca="1">IFERROR(__xludf.DUMMYFUNCTION("""COMPUTED_VALUE"""),237)</f>
        <v>237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IFERROR(__xludf.DUMMYFUNCTION("""COMPUTED_VALUE"""),"Southern")</f>
        <v>Southern</v>
      </c>
      <c r="C320" s="1" t="str">
        <f ca="1">IFERROR(__xludf.DUMMYFUNCTION("""COMPUTED_VALUE"""),"SWAC")</f>
        <v>SWAC</v>
      </c>
      <c r="D320" s="2">
        <f ca="1">IFERROR(__xludf.DUMMYFUNCTION("""COMPUTED_VALUE"""),44855)</f>
        <v>44855</v>
      </c>
      <c r="E320" s="1">
        <f ca="1">IFERROR(__xludf.DUMMYFUNCTION("""COMPUTED_VALUE"""),-15.77)</f>
        <v>-15.77</v>
      </c>
      <c r="F320" s="1">
        <f ca="1">IFERROR(__xludf.DUMMYFUNCTION("""COMPUTED_VALUE"""),89.2)</f>
        <v>89.2</v>
      </c>
      <c r="G320" s="1">
        <f ca="1">IFERROR(__xludf.DUMMYFUNCTION("""COMPUTED_VALUE"""),325)</f>
        <v>325</v>
      </c>
      <c r="H320" s="1">
        <f ca="1">IFERROR(__xludf.DUMMYFUNCTION("""COMPUTED_VALUE"""),105)</f>
        <v>105</v>
      </c>
      <c r="I320" s="1">
        <f ca="1">IFERROR(__xludf.DUMMYFUNCTION("""COMPUTED_VALUE"""),171)</f>
        <v>171</v>
      </c>
      <c r="J320" s="1">
        <f ca="1">IFERROR(__xludf.DUMMYFUNCTION("""COMPUTED_VALUE"""),66.4)</f>
        <v>66.400000000000006</v>
      </c>
      <c r="K320" s="1">
        <f ca="1">IFERROR(__xludf.DUMMYFUNCTION("""COMPUTED_VALUE"""),137)</f>
        <v>137</v>
      </c>
      <c r="L320" s="1">
        <f ca="1">IFERROR(__xludf.DUMMYFUNCTION("""COMPUTED_VALUE"""),-0.029)</f>
        <v>-2.9000000000000001E-2</v>
      </c>
      <c r="M320" s="1">
        <f ca="1">IFERROR(__xludf.DUMMYFUNCTION("""COMPUTED_VALUE"""),252)</f>
        <v>252</v>
      </c>
      <c r="N320" s="1">
        <f ca="1">IFERROR(__xludf.DUMMYFUNCTION("""COMPUTED_VALUE"""),-10.22)</f>
        <v>-10.220000000000001</v>
      </c>
      <c r="O320" s="1">
        <f ca="1">IFERROR(__xludf.DUMMYFUNCTION("""COMPUTED_VALUE"""),322)</f>
        <v>322</v>
      </c>
      <c r="P320" s="1">
        <f ca="1">IFERROR(__xludf.DUMMYFUNCTION("""COMPUTED_VALUE"""),96.4)</f>
        <v>96.4</v>
      </c>
      <c r="Q320" s="1">
        <f ca="1">IFERROR(__xludf.DUMMYFUNCTION("""COMPUTED_VALUE"""),328)</f>
        <v>328</v>
      </c>
      <c r="R320" s="1">
        <f ca="1">IFERROR(__xludf.DUMMYFUNCTION("""COMPUTED_VALUE"""),106.6)</f>
        <v>106.6</v>
      </c>
      <c r="S320" s="1">
        <f ca="1">IFERROR(__xludf.DUMMYFUNCTION("""COMPUTED_VALUE"""),241)</f>
        <v>241</v>
      </c>
      <c r="T320" s="1" t="str">
        <f ca="1">IFERROR(__xludf.DUMMYFUNCTION("""COMPUTED_VALUE"""),"+6.13")</f>
        <v>+6.13</v>
      </c>
      <c r="U320" s="1">
        <f ca="1">IFERROR(__xludf.DUMMYFUNCTION("""COMPUTED_VALUE"""),37)</f>
        <v>37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IFERROR(__xludf.DUMMYFUNCTION("""COMPUTED_VALUE"""),"St. Francis PA")</f>
        <v>St. Francis PA</v>
      </c>
      <c r="C321" s="1" t="str">
        <f ca="1">IFERROR(__xludf.DUMMYFUNCTION("""COMPUTED_VALUE"""),"NEC")</f>
        <v>NEC</v>
      </c>
      <c r="D321" s="2">
        <f ca="1">IFERROR(__xludf.DUMMYFUNCTION("""COMPUTED_VALUE"""),44794)</f>
        <v>44794</v>
      </c>
      <c r="E321" s="1">
        <f ca="1">IFERROR(__xludf.DUMMYFUNCTION("""COMPUTED_VALUE"""),-15.79)</f>
        <v>-15.79</v>
      </c>
      <c r="F321" s="1">
        <f ca="1">IFERROR(__xludf.DUMMYFUNCTION("""COMPUTED_VALUE"""),98.5)</f>
        <v>98.5</v>
      </c>
      <c r="G321" s="1">
        <f ca="1">IFERROR(__xludf.DUMMYFUNCTION("""COMPUTED_VALUE"""),255)</f>
        <v>255</v>
      </c>
      <c r="H321" s="1">
        <f ca="1">IFERROR(__xludf.DUMMYFUNCTION("""COMPUTED_VALUE"""),114.3)</f>
        <v>114.3</v>
      </c>
      <c r="I321" s="1">
        <f ca="1">IFERROR(__xludf.DUMMYFUNCTION("""COMPUTED_VALUE"""),325)</f>
        <v>325</v>
      </c>
      <c r="J321" s="1">
        <f ca="1">IFERROR(__xludf.DUMMYFUNCTION("""COMPUTED_VALUE"""),64.5)</f>
        <v>64.5</v>
      </c>
      <c r="K321" s="1">
        <f ca="1">IFERROR(__xludf.DUMMYFUNCTION("""COMPUTED_VALUE"""),214)</f>
        <v>214</v>
      </c>
      <c r="L321" s="1">
        <f ca="1">IFERROR(__xludf.DUMMYFUNCTION("""COMPUTED_VALUE"""),-0.064)</f>
        <v>-6.4000000000000001E-2</v>
      </c>
      <c r="M321" s="1">
        <f ca="1">IFERROR(__xludf.DUMMYFUNCTION("""COMPUTED_VALUE"""),306)</f>
        <v>306</v>
      </c>
      <c r="N321" s="1">
        <f ca="1">IFERROR(__xludf.DUMMYFUNCTION("""COMPUTED_VALUE"""),-8.29)</f>
        <v>-8.2899999999999991</v>
      </c>
      <c r="O321" s="1">
        <f ca="1">IFERROR(__xludf.DUMMYFUNCTION("""COMPUTED_VALUE"""),310)</f>
        <v>310</v>
      </c>
      <c r="P321" s="1">
        <f ca="1">IFERROR(__xludf.DUMMYFUNCTION("""COMPUTED_VALUE"""),101)</f>
        <v>101</v>
      </c>
      <c r="Q321" s="1">
        <f ca="1">IFERROR(__xludf.DUMMYFUNCTION("""COMPUTED_VALUE"""),268)</f>
        <v>268</v>
      </c>
      <c r="R321" s="1">
        <f ca="1">IFERROR(__xludf.DUMMYFUNCTION("""COMPUTED_VALUE"""),109.3)</f>
        <v>109.3</v>
      </c>
      <c r="S321" s="1">
        <f ca="1">IFERROR(__xludf.DUMMYFUNCTION("""COMPUTED_VALUE"""),333)</f>
        <v>333</v>
      </c>
      <c r="T321" s="1">
        <f ca="1">IFERROR(__xludf.DUMMYFUNCTION("""COMPUTED_VALUE"""),-4.47)</f>
        <v>-4.47</v>
      </c>
      <c r="U321" s="1">
        <f ca="1">IFERROR(__xludf.DUMMYFUNCTION("""COMPUTED_VALUE"""),264)</f>
        <v>264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IFERROR(__xludf.DUMMYFUNCTION("""COMPUTED_VALUE"""),"UC Riverside")</f>
        <v>UC Riverside</v>
      </c>
      <c r="C322" s="1" t="str">
        <f ca="1">IFERROR(__xludf.DUMMYFUNCTION("""COMPUTED_VALUE"""),"BW")</f>
        <v>BW</v>
      </c>
      <c r="D322" s="2">
        <f ca="1">IFERROR(__xludf.DUMMYFUNCTION("""COMPUTED_VALUE"""),44766)</f>
        <v>44766</v>
      </c>
      <c r="E322" s="1">
        <f ca="1">IFERROR(__xludf.DUMMYFUNCTION("""COMPUTED_VALUE"""),-15.84)</f>
        <v>-15.84</v>
      </c>
      <c r="F322" s="1">
        <f ca="1">IFERROR(__xludf.DUMMYFUNCTION("""COMPUTED_VALUE"""),93.9)</f>
        <v>93.9</v>
      </c>
      <c r="G322" s="1">
        <f ca="1">IFERROR(__xludf.DUMMYFUNCTION("""COMPUTED_VALUE"""),305)</f>
        <v>305</v>
      </c>
      <c r="H322" s="1">
        <f ca="1">IFERROR(__xludf.DUMMYFUNCTION("""COMPUTED_VALUE"""),109.7)</f>
        <v>109.7</v>
      </c>
      <c r="I322" s="1">
        <f ca="1">IFERROR(__xludf.DUMMYFUNCTION("""COMPUTED_VALUE"""),263)</f>
        <v>263</v>
      </c>
      <c r="J322" s="1">
        <f ca="1">IFERROR(__xludf.DUMMYFUNCTION("""COMPUTED_VALUE"""),66.2)</f>
        <v>66.2</v>
      </c>
      <c r="K322" s="1">
        <f ca="1">IFERROR(__xludf.DUMMYFUNCTION("""COMPUTED_VALUE"""),144)</f>
        <v>144</v>
      </c>
      <c r="L322" s="1">
        <f ca="1">IFERROR(__xludf.DUMMYFUNCTION("""COMPUTED_VALUE"""),-0.057)</f>
        <v>-5.7000000000000002E-2</v>
      </c>
      <c r="M322" s="1">
        <f ca="1">IFERROR(__xludf.DUMMYFUNCTION("""COMPUTED_VALUE"""),297)</f>
        <v>297</v>
      </c>
      <c r="N322" s="1">
        <f ca="1">IFERROR(__xludf.DUMMYFUNCTION("""COMPUTED_VALUE"""),-3.35)</f>
        <v>-3.35</v>
      </c>
      <c r="O322" s="1">
        <f ca="1">IFERROR(__xludf.DUMMYFUNCTION("""COMPUTED_VALUE"""),204)</f>
        <v>204</v>
      </c>
      <c r="P322" s="1">
        <f ca="1">IFERROR(__xludf.DUMMYFUNCTION("""COMPUTED_VALUE"""),102.6)</f>
        <v>102.6</v>
      </c>
      <c r="Q322" s="1">
        <f ca="1">IFERROR(__xludf.DUMMYFUNCTION("""COMPUTED_VALUE"""),210)</f>
        <v>210</v>
      </c>
      <c r="R322" s="1">
        <f ca="1">IFERROR(__xludf.DUMMYFUNCTION("""COMPUTED_VALUE"""),106)</f>
        <v>106</v>
      </c>
      <c r="S322" s="1">
        <f ca="1">IFERROR(__xludf.DUMMYFUNCTION("""COMPUTED_VALUE"""),214)</f>
        <v>214</v>
      </c>
      <c r="T322" s="1">
        <f ca="1">IFERROR(__xludf.DUMMYFUNCTION("""COMPUTED_VALUE"""),-4.81)</f>
        <v>-4.8099999999999996</v>
      </c>
      <c r="U322" s="1">
        <f ca="1">IFERROR(__xludf.DUMMYFUNCTION("""COMPUTED_VALUE"""),274)</f>
        <v>274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IFERROR(__xludf.DUMMYFUNCTION("""COMPUTED_VALUE"""),"LIU Brooklyn")</f>
        <v>LIU Brooklyn</v>
      </c>
      <c r="C323" s="1" t="str">
        <f ca="1">IFERROR(__xludf.DUMMYFUNCTION("""COMPUTED_VALUE"""),"NEC")</f>
        <v>NEC</v>
      </c>
      <c r="D323" s="2">
        <f ca="1">IFERROR(__xludf.DUMMYFUNCTION("""COMPUTED_VALUE"""),44853)</f>
        <v>44853</v>
      </c>
      <c r="E323" s="1">
        <f ca="1">IFERROR(__xludf.DUMMYFUNCTION("""COMPUTED_VALUE"""),-15.92)</f>
        <v>-15.92</v>
      </c>
      <c r="F323" s="1">
        <f ca="1">IFERROR(__xludf.DUMMYFUNCTION("""COMPUTED_VALUE"""),96.2)</f>
        <v>96.2</v>
      </c>
      <c r="G323" s="1">
        <f ca="1">IFERROR(__xludf.DUMMYFUNCTION("""COMPUTED_VALUE"""),284)</f>
        <v>284</v>
      </c>
      <c r="H323" s="1">
        <f ca="1">IFERROR(__xludf.DUMMYFUNCTION("""COMPUTED_VALUE"""),112.1)</f>
        <v>112.1</v>
      </c>
      <c r="I323" s="1">
        <f ca="1">IFERROR(__xludf.DUMMYFUNCTION("""COMPUTED_VALUE"""),307)</f>
        <v>307</v>
      </c>
      <c r="J323" s="1">
        <f ca="1">IFERROR(__xludf.DUMMYFUNCTION("""COMPUTED_VALUE"""),67.3)</f>
        <v>67.3</v>
      </c>
      <c r="K323" s="1">
        <f ca="1">IFERROR(__xludf.DUMMYFUNCTION("""COMPUTED_VALUE"""),103)</f>
        <v>103</v>
      </c>
      <c r="L323" s="1" t="str">
        <f ca="1">IFERROR(__xludf.DUMMYFUNCTION("""COMPUTED_VALUE"""),"+.024")</f>
        <v>+.024</v>
      </c>
      <c r="M323" s="1">
        <f ca="1">IFERROR(__xludf.DUMMYFUNCTION("""COMPUTED_VALUE"""),123)</f>
        <v>123</v>
      </c>
      <c r="N323" s="1">
        <f ca="1">IFERROR(__xludf.DUMMYFUNCTION("""COMPUTED_VALUE"""),-8.3)</f>
        <v>-8.3000000000000007</v>
      </c>
      <c r="O323" s="1">
        <f ca="1">IFERROR(__xludf.DUMMYFUNCTION("""COMPUTED_VALUE"""),311)</f>
        <v>311</v>
      </c>
      <c r="P323" s="1">
        <f ca="1">IFERROR(__xludf.DUMMYFUNCTION("""COMPUTED_VALUE"""),100.4)</f>
        <v>100.4</v>
      </c>
      <c r="Q323" s="1">
        <f ca="1">IFERROR(__xludf.DUMMYFUNCTION("""COMPUTED_VALUE"""),295)</f>
        <v>295</v>
      </c>
      <c r="R323" s="1">
        <f ca="1">IFERROR(__xludf.DUMMYFUNCTION("""COMPUTED_VALUE"""),108.7)</f>
        <v>108.7</v>
      </c>
      <c r="S323" s="1">
        <f ca="1">IFERROR(__xludf.DUMMYFUNCTION("""COMPUTED_VALUE"""),320)</f>
        <v>320</v>
      </c>
      <c r="T323" s="1">
        <f ca="1">IFERROR(__xludf.DUMMYFUNCTION("""COMPUTED_VALUE"""),-4.74)</f>
        <v>-4.74</v>
      </c>
      <c r="U323" s="1">
        <f ca="1">IFERROR(__xludf.DUMMYFUNCTION("""COMPUTED_VALUE"""),272)</f>
        <v>272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IFERROR(__xludf.DUMMYFUNCTION("""COMPUTED_VALUE"""),"Stetson")</f>
        <v>Stetson</v>
      </c>
      <c r="C324" s="1" t="str">
        <f ca="1">IFERROR(__xludf.DUMMYFUNCTION("""COMPUTED_VALUE"""),"ASun")</f>
        <v>ASun</v>
      </c>
      <c r="D324" s="2">
        <f ca="1">IFERROR(__xludf.DUMMYFUNCTION("""COMPUTED_VALUE"""),44885)</f>
        <v>44885</v>
      </c>
      <c r="E324" s="1">
        <f ca="1">IFERROR(__xludf.DUMMYFUNCTION("""COMPUTED_VALUE"""),-16.38)</f>
        <v>-16.38</v>
      </c>
      <c r="F324" s="1">
        <f ca="1">IFERROR(__xludf.DUMMYFUNCTION("""COMPUTED_VALUE"""),97.2)</f>
        <v>97.2</v>
      </c>
      <c r="G324" s="1">
        <f ca="1">IFERROR(__xludf.DUMMYFUNCTION("""COMPUTED_VALUE"""),275)</f>
        <v>275</v>
      </c>
      <c r="H324" s="1">
        <f ca="1">IFERROR(__xludf.DUMMYFUNCTION("""COMPUTED_VALUE"""),113.6)</f>
        <v>113.6</v>
      </c>
      <c r="I324" s="1">
        <f ca="1">IFERROR(__xludf.DUMMYFUNCTION("""COMPUTED_VALUE"""),320)</f>
        <v>320</v>
      </c>
      <c r="J324" s="1">
        <f ca="1">IFERROR(__xludf.DUMMYFUNCTION("""COMPUTED_VALUE"""),65.1)</f>
        <v>65.099999999999994</v>
      </c>
      <c r="K324" s="1">
        <f ca="1">IFERROR(__xludf.DUMMYFUNCTION("""COMPUTED_VALUE"""),197)</f>
        <v>197</v>
      </c>
      <c r="L324" s="1" t="str">
        <f ca="1">IFERROR(__xludf.DUMMYFUNCTION("""COMPUTED_VALUE"""),"+.048")</f>
        <v>+.048</v>
      </c>
      <c r="M324" s="1">
        <f ca="1">IFERROR(__xludf.DUMMYFUNCTION("""COMPUTED_VALUE"""),66)</f>
        <v>66</v>
      </c>
      <c r="N324" s="1">
        <f ca="1">IFERROR(__xludf.DUMMYFUNCTION("""COMPUTED_VALUE"""),-5.84)</f>
        <v>-5.84</v>
      </c>
      <c r="O324" s="1">
        <f ca="1">IFERROR(__xludf.DUMMYFUNCTION("""COMPUTED_VALUE"""),267)</f>
        <v>267</v>
      </c>
      <c r="P324" s="1">
        <f ca="1">IFERROR(__xludf.DUMMYFUNCTION("""COMPUTED_VALUE"""),100.2)</f>
        <v>100.2</v>
      </c>
      <c r="Q324" s="1">
        <f ca="1">IFERROR(__xludf.DUMMYFUNCTION("""COMPUTED_VALUE"""),297)</f>
        <v>297</v>
      </c>
      <c r="R324" s="1">
        <f ca="1">IFERROR(__xludf.DUMMYFUNCTION("""COMPUTED_VALUE"""),106.1)</f>
        <v>106.1</v>
      </c>
      <c r="S324" s="1">
        <f ca="1">IFERROR(__xludf.DUMMYFUNCTION("""COMPUTED_VALUE"""),218)</f>
        <v>218</v>
      </c>
      <c r="T324" s="1" t="str">
        <f ca="1">IFERROR(__xludf.DUMMYFUNCTION("""COMPUTED_VALUE"""),"+2.74")</f>
        <v>+2.74</v>
      </c>
      <c r="U324" s="1">
        <f ca="1">IFERROR(__xludf.DUMMYFUNCTION("""COMPUTED_VALUE"""),87)</f>
        <v>87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IFERROR(__xludf.DUMMYFUNCTION("""COMPUTED_VALUE"""),"Texas St.")</f>
        <v>Texas St.</v>
      </c>
      <c r="C325" s="1" t="str">
        <f ca="1">IFERROR(__xludf.DUMMYFUNCTION("""COMPUTED_VALUE"""),"Slnd")</f>
        <v>Slnd</v>
      </c>
      <c r="D325" s="2">
        <f ca="1">IFERROR(__xludf.DUMMYFUNCTION("""COMPUTED_VALUE"""),44824)</f>
        <v>44824</v>
      </c>
      <c r="E325" s="1">
        <f ca="1">IFERROR(__xludf.DUMMYFUNCTION("""COMPUTED_VALUE"""),-16.42)</f>
        <v>-16.420000000000002</v>
      </c>
      <c r="F325" s="1">
        <f ca="1">IFERROR(__xludf.DUMMYFUNCTION("""COMPUTED_VALUE"""),97.9)</f>
        <v>97.9</v>
      </c>
      <c r="G325" s="1">
        <f ca="1">IFERROR(__xludf.DUMMYFUNCTION("""COMPUTED_VALUE"""),266)</f>
        <v>266</v>
      </c>
      <c r="H325" s="1">
        <f ca="1">IFERROR(__xludf.DUMMYFUNCTION("""COMPUTED_VALUE"""),114.3)</f>
        <v>114.3</v>
      </c>
      <c r="I325" s="1">
        <f ca="1">IFERROR(__xludf.DUMMYFUNCTION("""COMPUTED_VALUE"""),326)</f>
        <v>326</v>
      </c>
      <c r="J325" s="1">
        <f ca="1">IFERROR(__xludf.DUMMYFUNCTION("""COMPUTED_VALUE"""),75)</f>
        <v>75</v>
      </c>
      <c r="K325" s="1">
        <f ca="1">IFERROR(__xludf.DUMMYFUNCTION("""COMPUTED_VALUE"""),2)</f>
        <v>2</v>
      </c>
      <c r="L325" s="1">
        <f ca="1">IFERROR(__xludf.DUMMYFUNCTION("""COMPUTED_VALUE"""),-0.022)</f>
        <v>-2.1999999999999999E-2</v>
      </c>
      <c r="M325" s="1">
        <f ca="1">IFERROR(__xludf.DUMMYFUNCTION("""COMPUTED_VALUE"""),234)</f>
        <v>234</v>
      </c>
      <c r="N325" s="1">
        <f ca="1">IFERROR(__xludf.DUMMYFUNCTION("""COMPUTED_VALUE"""),-5.71)</f>
        <v>-5.71</v>
      </c>
      <c r="O325" s="1">
        <f ca="1">IFERROR(__xludf.DUMMYFUNCTION("""COMPUTED_VALUE"""),263)</f>
        <v>263</v>
      </c>
      <c r="P325" s="1">
        <f ca="1">IFERROR(__xludf.DUMMYFUNCTION("""COMPUTED_VALUE"""),101.5)</f>
        <v>101.5</v>
      </c>
      <c r="Q325" s="1">
        <f ca="1">IFERROR(__xludf.DUMMYFUNCTION("""COMPUTED_VALUE"""),250)</f>
        <v>250</v>
      </c>
      <c r="R325" s="1">
        <f ca="1">IFERROR(__xludf.DUMMYFUNCTION("""COMPUTED_VALUE"""),107.3)</f>
        <v>107.3</v>
      </c>
      <c r="S325" s="1">
        <f ca="1">IFERROR(__xludf.DUMMYFUNCTION("""COMPUTED_VALUE"""),269)</f>
        <v>269</v>
      </c>
      <c r="T325" s="1">
        <f ca="1">IFERROR(__xludf.DUMMYFUNCTION("""COMPUTED_VALUE"""),-4.66)</f>
        <v>-4.66</v>
      </c>
      <c r="U325" s="1">
        <f ca="1">IFERROR(__xludf.DUMMYFUNCTION("""COMPUTED_VALUE"""),268)</f>
        <v>268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IFERROR(__xludf.DUMMYFUNCTION("""COMPUTED_VALUE"""),"Lafayette")</f>
        <v>Lafayette</v>
      </c>
      <c r="C326" s="1" t="str">
        <f ca="1">IFERROR(__xludf.DUMMYFUNCTION("""COMPUTED_VALUE"""),"Pat")</f>
        <v>Pat</v>
      </c>
      <c r="D326" s="2">
        <f ca="1">IFERROR(__xludf.DUMMYFUNCTION("""COMPUTED_VALUE"""),44825)</f>
        <v>44825</v>
      </c>
      <c r="E326" s="1">
        <f ca="1">IFERROR(__xludf.DUMMYFUNCTION("""COMPUTED_VALUE"""),-16.67)</f>
        <v>-16.670000000000002</v>
      </c>
      <c r="F326" s="1">
        <f ca="1">IFERROR(__xludf.DUMMYFUNCTION("""COMPUTED_VALUE"""),98.7)</f>
        <v>98.7</v>
      </c>
      <c r="G326" s="1">
        <f ca="1">IFERROR(__xludf.DUMMYFUNCTION("""COMPUTED_VALUE"""),251)</f>
        <v>251</v>
      </c>
      <c r="H326" s="1">
        <f ca="1">IFERROR(__xludf.DUMMYFUNCTION("""COMPUTED_VALUE"""),115.4)</f>
        <v>115.4</v>
      </c>
      <c r="I326" s="1">
        <f ca="1">IFERROR(__xludf.DUMMYFUNCTION("""COMPUTED_VALUE"""),333)</f>
        <v>333</v>
      </c>
      <c r="J326" s="1">
        <f ca="1">IFERROR(__xludf.DUMMYFUNCTION("""COMPUTED_VALUE"""),67.3)</f>
        <v>67.3</v>
      </c>
      <c r="K326" s="1">
        <f ca="1">IFERROR(__xludf.DUMMYFUNCTION("""COMPUTED_VALUE"""),102)</f>
        <v>102</v>
      </c>
      <c r="L326" s="1" t="str">
        <f ca="1">IFERROR(__xludf.DUMMYFUNCTION("""COMPUTED_VALUE"""),"+.032")</f>
        <v>+.032</v>
      </c>
      <c r="M326" s="1">
        <f ca="1">IFERROR(__xludf.DUMMYFUNCTION("""COMPUTED_VALUE"""),96)</f>
        <v>96</v>
      </c>
      <c r="N326" s="1">
        <f ca="1">IFERROR(__xludf.DUMMYFUNCTION("""COMPUTED_VALUE"""),-2.81)</f>
        <v>-2.81</v>
      </c>
      <c r="O326" s="1">
        <f ca="1">IFERROR(__xludf.DUMMYFUNCTION("""COMPUTED_VALUE"""),193)</f>
        <v>193</v>
      </c>
      <c r="P326" s="1">
        <f ca="1">IFERROR(__xludf.DUMMYFUNCTION("""COMPUTED_VALUE"""),100.6)</f>
        <v>100.6</v>
      </c>
      <c r="Q326" s="1">
        <f ca="1">IFERROR(__xludf.DUMMYFUNCTION("""COMPUTED_VALUE"""),286)</f>
        <v>286</v>
      </c>
      <c r="R326" s="1">
        <f ca="1">IFERROR(__xludf.DUMMYFUNCTION("""COMPUTED_VALUE"""),103.4)</f>
        <v>103.4</v>
      </c>
      <c r="S326" s="1">
        <f ca="1">IFERROR(__xludf.DUMMYFUNCTION("""COMPUTED_VALUE"""),119)</f>
        <v>119</v>
      </c>
      <c r="T326" s="1">
        <f ca="1">IFERROR(__xludf.DUMMYFUNCTION("""COMPUTED_VALUE"""),-1.19)</f>
        <v>-1.19</v>
      </c>
      <c r="U326" s="1">
        <f ca="1">IFERROR(__xludf.DUMMYFUNCTION("""COMPUTED_VALUE"""),177)</f>
        <v>177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IFERROR(__xludf.DUMMYFUNCTION("""COMPUTED_VALUE"""),"Northern Colorado")</f>
        <v>Northern Colorado</v>
      </c>
      <c r="C327" s="1" t="str">
        <f ca="1">IFERROR(__xludf.DUMMYFUNCTION("""COMPUTED_VALUE"""),"BSky")</f>
        <v>BSky</v>
      </c>
      <c r="D327" s="2">
        <f ca="1">IFERROR(__xludf.DUMMYFUNCTION("""COMPUTED_VALUE"""),44675)</f>
        <v>44675</v>
      </c>
      <c r="E327" s="1">
        <f ca="1">IFERROR(__xludf.DUMMYFUNCTION("""COMPUTED_VALUE"""),-16.8)</f>
        <v>-16.8</v>
      </c>
      <c r="F327" s="1">
        <f ca="1">IFERROR(__xludf.DUMMYFUNCTION("""COMPUTED_VALUE"""),94.9)</f>
        <v>94.9</v>
      </c>
      <c r="G327" s="1">
        <f ca="1">IFERROR(__xludf.DUMMYFUNCTION("""COMPUTED_VALUE"""),296)</f>
        <v>296</v>
      </c>
      <c r="H327" s="1">
        <f ca="1">IFERROR(__xludf.DUMMYFUNCTION("""COMPUTED_VALUE"""),111.7)</f>
        <v>111.7</v>
      </c>
      <c r="I327" s="1">
        <f ca="1">IFERROR(__xludf.DUMMYFUNCTION("""COMPUTED_VALUE"""),302)</f>
        <v>302</v>
      </c>
      <c r="J327" s="1">
        <f ca="1">IFERROR(__xludf.DUMMYFUNCTION("""COMPUTED_VALUE"""),67.4)</f>
        <v>67.400000000000006</v>
      </c>
      <c r="K327" s="1">
        <f ca="1">IFERROR(__xludf.DUMMYFUNCTION("""COMPUTED_VALUE"""),100)</f>
        <v>100</v>
      </c>
      <c r="L327" s="1">
        <f ca="1">IFERROR(__xludf.DUMMYFUNCTION("""COMPUTED_VALUE"""),-0.079)</f>
        <v>-7.9000000000000001E-2</v>
      </c>
      <c r="M327" s="1">
        <f ca="1">IFERROR(__xludf.DUMMYFUNCTION("""COMPUTED_VALUE"""),319)</f>
        <v>319</v>
      </c>
      <c r="N327" s="1">
        <f ca="1">IFERROR(__xludf.DUMMYFUNCTION("""COMPUTED_VALUE"""),-4.07)</f>
        <v>-4.07</v>
      </c>
      <c r="O327" s="1">
        <f ca="1">IFERROR(__xludf.DUMMYFUNCTION("""COMPUTED_VALUE"""),222)</f>
        <v>222</v>
      </c>
      <c r="P327" s="1">
        <f ca="1">IFERROR(__xludf.DUMMYFUNCTION("""COMPUTED_VALUE"""),103.1)</f>
        <v>103.1</v>
      </c>
      <c r="Q327" s="1">
        <f ca="1">IFERROR(__xludf.DUMMYFUNCTION("""COMPUTED_VALUE"""),196)</f>
        <v>196</v>
      </c>
      <c r="R327" s="1">
        <f ca="1">IFERROR(__xludf.DUMMYFUNCTION("""COMPUTED_VALUE"""),107.2)</f>
        <v>107.2</v>
      </c>
      <c r="S327" s="1">
        <f ca="1">IFERROR(__xludf.DUMMYFUNCTION("""COMPUTED_VALUE"""),266)</f>
        <v>266</v>
      </c>
      <c r="T327" s="1">
        <f ca="1">IFERROR(__xludf.DUMMYFUNCTION("""COMPUTED_VALUE"""),-1.58)</f>
        <v>-1.58</v>
      </c>
      <c r="U327" s="1">
        <f ca="1">IFERROR(__xludf.DUMMYFUNCTION("""COMPUTED_VALUE"""),186)</f>
        <v>186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IFERROR(__xludf.DUMMYFUNCTION("""COMPUTED_VALUE"""),"Tennessee Martin")</f>
        <v>Tennessee Martin</v>
      </c>
      <c r="C328" s="1" t="str">
        <f ca="1">IFERROR(__xludf.DUMMYFUNCTION("""COMPUTED_VALUE"""),"OVC")</f>
        <v>OVC</v>
      </c>
      <c r="D328" s="2">
        <f ca="1">IFERROR(__xludf.DUMMYFUNCTION("""COMPUTED_VALUE"""),44796)</f>
        <v>44796</v>
      </c>
      <c r="E328" s="1">
        <f ca="1">IFERROR(__xludf.DUMMYFUNCTION("""COMPUTED_VALUE"""),-16.96)</f>
        <v>-16.96</v>
      </c>
      <c r="F328" s="1">
        <f ca="1">IFERROR(__xludf.DUMMYFUNCTION("""COMPUTED_VALUE"""),94.3)</f>
        <v>94.3</v>
      </c>
      <c r="G328" s="1">
        <f ca="1">IFERROR(__xludf.DUMMYFUNCTION("""COMPUTED_VALUE"""),302)</f>
        <v>302</v>
      </c>
      <c r="H328" s="1">
        <f ca="1">IFERROR(__xludf.DUMMYFUNCTION("""COMPUTED_VALUE"""),111.3)</f>
        <v>111.3</v>
      </c>
      <c r="I328" s="1">
        <f ca="1">IFERROR(__xludf.DUMMYFUNCTION("""COMPUTED_VALUE"""),294)</f>
        <v>294</v>
      </c>
      <c r="J328" s="1">
        <f ca="1">IFERROR(__xludf.DUMMYFUNCTION("""COMPUTED_VALUE"""),66.6)</f>
        <v>66.599999999999994</v>
      </c>
      <c r="K328" s="1">
        <f ca="1">IFERROR(__xludf.DUMMYFUNCTION("""COMPUTED_VALUE"""),127)</f>
        <v>127</v>
      </c>
      <c r="L328" s="1">
        <f ca="1">IFERROR(__xludf.DUMMYFUNCTION("""COMPUTED_VALUE"""),-0.06)</f>
        <v>-0.06</v>
      </c>
      <c r="M328" s="1">
        <f ca="1">IFERROR(__xludf.DUMMYFUNCTION("""COMPUTED_VALUE"""),301)</f>
        <v>301</v>
      </c>
      <c r="N328" s="1">
        <f ca="1">IFERROR(__xludf.DUMMYFUNCTION("""COMPUTED_VALUE"""),-7.16)</f>
        <v>-7.16</v>
      </c>
      <c r="O328" s="1">
        <f ca="1">IFERROR(__xludf.DUMMYFUNCTION("""COMPUTED_VALUE"""),294)</f>
        <v>294</v>
      </c>
      <c r="P328" s="1">
        <f ca="1">IFERROR(__xludf.DUMMYFUNCTION("""COMPUTED_VALUE"""),100.7)</f>
        <v>100.7</v>
      </c>
      <c r="Q328" s="1">
        <f ca="1">IFERROR(__xludf.DUMMYFUNCTION("""COMPUTED_VALUE"""),281)</f>
        <v>281</v>
      </c>
      <c r="R328" s="1">
        <f ca="1">IFERROR(__xludf.DUMMYFUNCTION("""COMPUTED_VALUE"""),107.9)</f>
        <v>107.9</v>
      </c>
      <c r="S328" s="1">
        <f ca="1">IFERROR(__xludf.DUMMYFUNCTION("""COMPUTED_VALUE"""),305)</f>
        <v>305</v>
      </c>
      <c r="T328" s="1">
        <f ca="1">IFERROR(__xludf.DUMMYFUNCTION("""COMPUTED_VALUE"""),-1.75)</f>
        <v>-1.75</v>
      </c>
      <c r="U328" s="1">
        <f ca="1">IFERROR(__xludf.DUMMYFUNCTION("""COMPUTED_VALUE"""),192)</f>
        <v>192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IFERROR(__xludf.DUMMYFUNCTION("""COMPUTED_VALUE"""),"Western Illinois")</f>
        <v>Western Illinois</v>
      </c>
      <c r="C329" s="1" t="str">
        <f ca="1">IFERROR(__xludf.DUMMYFUNCTION("""COMPUTED_VALUE"""),"MCon")</f>
        <v>MCon</v>
      </c>
      <c r="D329" s="2">
        <f ca="1">IFERROR(__xludf.DUMMYFUNCTION("""COMPUTED_VALUE"""),44765)</f>
        <v>44765</v>
      </c>
      <c r="E329" s="1">
        <f ca="1">IFERROR(__xludf.DUMMYFUNCTION("""COMPUTED_VALUE"""),-17.19)</f>
        <v>-17.190000000000001</v>
      </c>
      <c r="F329" s="1">
        <f ca="1">IFERROR(__xludf.DUMMYFUNCTION("""COMPUTED_VALUE"""),92.7)</f>
        <v>92.7</v>
      </c>
      <c r="G329" s="1">
        <f ca="1">IFERROR(__xludf.DUMMYFUNCTION("""COMPUTED_VALUE"""),314)</f>
        <v>314</v>
      </c>
      <c r="H329" s="1">
        <f ca="1">IFERROR(__xludf.DUMMYFUNCTION("""COMPUTED_VALUE"""),109.9)</f>
        <v>109.9</v>
      </c>
      <c r="I329" s="1">
        <f ca="1">IFERROR(__xludf.DUMMYFUNCTION("""COMPUTED_VALUE"""),270)</f>
        <v>270</v>
      </c>
      <c r="J329" s="1">
        <f ca="1">IFERROR(__xludf.DUMMYFUNCTION("""COMPUTED_VALUE"""),63.9)</f>
        <v>63.9</v>
      </c>
      <c r="K329" s="1">
        <f ca="1">IFERROR(__xludf.DUMMYFUNCTION("""COMPUTED_VALUE"""),241)</f>
        <v>241</v>
      </c>
      <c r="L329" s="1">
        <f ca="1">IFERROR(__xludf.DUMMYFUNCTION("""COMPUTED_VALUE"""),-0.064)</f>
        <v>-6.4000000000000001E-2</v>
      </c>
      <c r="M329" s="1">
        <f ca="1">IFERROR(__xludf.DUMMYFUNCTION("""COMPUTED_VALUE"""),304)</f>
        <v>304</v>
      </c>
      <c r="N329" s="1">
        <f ca="1">IFERROR(__xludf.DUMMYFUNCTION("""COMPUTED_VALUE"""),-4.6)</f>
        <v>-4.5999999999999996</v>
      </c>
      <c r="O329" s="1">
        <f ca="1">IFERROR(__xludf.DUMMYFUNCTION("""COMPUTED_VALUE"""),236)</f>
        <v>236</v>
      </c>
      <c r="P329" s="1">
        <f ca="1">IFERROR(__xludf.DUMMYFUNCTION("""COMPUTED_VALUE"""),102.9)</f>
        <v>102.9</v>
      </c>
      <c r="Q329" s="1">
        <f ca="1">IFERROR(__xludf.DUMMYFUNCTION("""COMPUTED_VALUE"""),204)</f>
        <v>204</v>
      </c>
      <c r="R329" s="1">
        <f ca="1">IFERROR(__xludf.DUMMYFUNCTION("""COMPUTED_VALUE"""),107.5)</f>
        <v>107.5</v>
      </c>
      <c r="S329" s="1">
        <f ca="1">IFERROR(__xludf.DUMMYFUNCTION("""COMPUTED_VALUE"""),279)</f>
        <v>279</v>
      </c>
      <c r="T329" s="1">
        <f ca="1">IFERROR(__xludf.DUMMYFUNCTION("""COMPUTED_VALUE"""),-8.44)</f>
        <v>-8.44</v>
      </c>
      <c r="U329" s="1">
        <f ca="1">IFERROR(__xludf.DUMMYFUNCTION("""COMPUTED_VALUE"""),320)</f>
        <v>320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IFERROR(__xludf.DUMMYFUNCTION("""COMPUTED_VALUE"""),"Saint Peter's")</f>
        <v>Saint Peter's</v>
      </c>
      <c r="C330" s="1" t="str">
        <f ca="1">IFERROR(__xludf.DUMMYFUNCTION("""COMPUTED_VALUE"""),"MAAC")</f>
        <v>MAAC</v>
      </c>
      <c r="D330" s="2">
        <f ca="1">IFERROR(__xludf.DUMMYFUNCTION("""COMPUTED_VALUE"""),44706)</f>
        <v>44706</v>
      </c>
      <c r="E330" s="1">
        <f ca="1">IFERROR(__xludf.DUMMYFUNCTION("""COMPUTED_VALUE"""),-17.22)</f>
        <v>-17.22</v>
      </c>
      <c r="F330" s="1">
        <f ca="1">IFERROR(__xludf.DUMMYFUNCTION("""COMPUTED_VALUE"""),88.9)</f>
        <v>88.9</v>
      </c>
      <c r="G330" s="1">
        <f ca="1">IFERROR(__xludf.DUMMYFUNCTION("""COMPUTED_VALUE"""),326)</f>
        <v>326</v>
      </c>
      <c r="H330" s="1">
        <f ca="1">IFERROR(__xludf.DUMMYFUNCTION("""COMPUTED_VALUE"""),106.1)</f>
        <v>106.1</v>
      </c>
      <c r="I330" s="1">
        <f ca="1">IFERROR(__xludf.DUMMYFUNCTION("""COMPUTED_VALUE"""),195)</f>
        <v>195</v>
      </c>
      <c r="J330" s="1">
        <f ca="1">IFERROR(__xludf.DUMMYFUNCTION("""COMPUTED_VALUE"""),63.9)</f>
        <v>63.9</v>
      </c>
      <c r="K330" s="1">
        <f ca="1">IFERROR(__xludf.DUMMYFUNCTION("""COMPUTED_VALUE"""),238)</f>
        <v>238</v>
      </c>
      <c r="L330" s="1">
        <f ca="1">IFERROR(__xludf.DUMMYFUNCTION("""COMPUTED_VALUE"""),-0.091)</f>
        <v>-9.0999999999999998E-2</v>
      </c>
      <c r="M330" s="1">
        <f ca="1">IFERROR(__xludf.DUMMYFUNCTION("""COMPUTED_VALUE"""),323)</f>
        <v>323</v>
      </c>
      <c r="N330" s="1">
        <f ca="1">IFERROR(__xludf.DUMMYFUNCTION("""COMPUTED_VALUE"""),-7.85)</f>
        <v>-7.85</v>
      </c>
      <c r="O330" s="1">
        <f ca="1">IFERROR(__xludf.DUMMYFUNCTION("""COMPUTED_VALUE"""),302)</f>
        <v>302</v>
      </c>
      <c r="P330" s="1">
        <f ca="1">IFERROR(__xludf.DUMMYFUNCTION("""COMPUTED_VALUE"""),101)</f>
        <v>101</v>
      </c>
      <c r="Q330" s="1">
        <f ca="1">IFERROR(__xludf.DUMMYFUNCTION("""COMPUTED_VALUE"""),267)</f>
        <v>267</v>
      </c>
      <c r="R330" s="1">
        <f ca="1">IFERROR(__xludf.DUMMYFUNCTION("""COMPUTED_VALUE"""),108.9)</f>
        <v>108.9</v>
      </c>
      <c r="S330" s="1">
        <f ca="1">IFERROR(__xludf.DUMMYFUNCTION("""COMPUTED_VALUE"""),326)</f>
        <v>326</v>
      </c>
      <c r="T330" s="1">
        <f ca="1">IFERROR(__xludf.DUMMYFUNCTION("""COMPUTED_VALUE"""),-10.15)</f>
        <v>-10.15</v>
      </c>
      <c r="U330" s="1">
        <f ca="1">IFERROR(__xludf.DUMMYFUNCTION("""COMPUTED_VALUE"""),331)</f>
        <v>331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IFERROR(__xludf.DUMMYFUNCTION("""COMPUTED_VALUE"""),"Grambling St.")</f>
        <v>Grambling St.</v>
      </c>
      <c r="C331" s="1" t="str">
        <f ca="1">IFERROR(__xludf.DUMMYFUNCTION("""COMPUTED_VALUE"""),"SWAC")</f>
        <v>SWAC</v>
      </c>
      <c r="D331" s="2">
        <f ca="1">IFERROR(__xludf.DUMMYFUNCTION("""COMPUTED_VALUE"""),44909)</f>
        <v>44909</v>
      </c>
      <c r="E331" s="1">
        <f ca="1">IFERROR(__xludf.DUMMYFUNCTION("""COMPUTED_VALUE"""),-17.66)</f>
        <v>-17.66</v>
      </c>
      <c r="F331" s="1">
        <f ca="1">IFERROR(__xludf.DUMMYFUNCTION("""COMPUTED_VALUE"""),93.9)</f>
        <v>93.9</v>
      </c>
      <c r="G331" s="1">
        <f ca="1">IFERROR(__xludf.DUMMYFUNCTION("""COMPUTED_VALUE"""),304)</f>
        <v>304</v>
      </c>
      <c r="H331" s="1">
        <f ca="1">IFERROR(__xludf.DUMMYFUNCTION("""COMPUTED_VALUE"""),111.6)</f>
        <v>111.6</v>
      </c>
      <c r="I331" s="1">
        <f ca="1">IFERROR(__xludf.DUMMYFUNCTION("""COMPUTED_VALUE"""),299)</f>
        <v>299</v>
      </c>
      <c r="J331" s="1">
        <f ca="1">IFERROR(__xludf.DUMMYFUNCTION("""COMPUTED_VALUE"""),67.3)</f>
        <v>67.3</v>
      </c>
      <c r="K331" s="1">
        <f ca="1">IFERROR(__xludf.DUMMYFUNCTION("""COMPUTED_VALUE"""),104)</f>
        <v>104</v>
      </c>
      <c r="L331" s="1" t="str">
        <f ca="1">IFERROR(__xludf.DUMMYFUNCTION("""COMPUTED_VALUE"""),"+.049")</f>
        <v>+.049</v>
      </c>
      <c r="M331" s="1">
        <f ca="1">IFERROR(__xludf.DUMMYFUNCTION("""COMPUTED_VALUE"""),64)</f>
        <v>64</v>
      </c>
      <c r="N331" s="1">
        <f ca="1">IFERROR(__xludf.DUMMYFUNCTION("""COMPUTED_VALUE"""),-12.99)</f>
        <v>-12.99</v>
      </c>
      <c r="O331" s="1">
        <f ca="1">IFERROR(__xludf.DUMMYFUNCTION("""COMPUTED_VALUE"""),335)</f>
        <v>335</v>
      </c>
      <c r="P331" s="1">
        <f ca="1">IFERROR(__xludf.DUMMYFUNCTION("""COMPUTED_VALUE"""),93.3)</f>
        <v>93.3</v>
      </c>
      <c r="Q331" s="1">
        <f ca="1">IFERROR(__xludf.DUMMYFUNCTION("""COMPUTED_VALUE"""),336)</f>
        <v>336</v>
      </c>
      <c r="R331" s="1">
        <f ca="1">IFERROR(__xludf.DUMMYFUNCTION("""COMPUTED_VALUE"""),106.3)</f>
        <v>106.3</v>
      </c>
      <c r="S331" s="1">
        <f ca="1">IFERROR(__xludf.DUMMYFUNCTION("""COMPUTED_VALUE"""),233)</f>
        <v>233</v>
      </c>
      <c r="T331" s="1" t="str">
        <f ca="1">IFERROR(__xludf.DUMMYFUNCTION("""COMPUTED_VALUE"""),"+12.60")</f>
        <v>+12.60</v>
      </c>
      <c r="U331" s="1">
        <f ca="1">IFERROR(__xludf.DUMMYFUNCTION("""COMPUTED_VALUE"""),7)</f>
        <v>7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IFERROR(__xludf.DUMMYFUNCTION("""COMPUTED_VALUE"""),"UTSA")</f>
        <v>UTSA</v>
      </c>
      <c r="C332" s="1" t="str">
        <f ca="1">IFERROR(__xludf.DUMMYFUNCTION("""COMPUTED_VALUE"""),"Slnd")</f>
        <v>Slnd</v>
      </c>
      <c r="D332" s="2">
        <f ca="1">IFERROR(__xludf.DUMMYFUNCTION("""COMPUTED_VALUE"""),44764)</f>
        <v>44764</v>
      </c>
      <c r="E332" s="1">
        <f ca="1">IFERROR(__xludf.DUMMYFUNCTION("""COMPUTED_VALUE"""),-17.66)</f>
        <v>-17.66</v>
      </c>
      <c r="F332" s="1">
        <f ca="1">IFERROR(__xludf.DUMMYFUNCTION("""COMPUTED_VALUE"""),86.7)</f>
        <v>86.7</v>
      </c>
      <c r="G332" s="1">
        <f ca="1">IFERROR(__xludf.DUMMYFUNCTION("""COMPUTED_VALUE"""),331)</f>
        <v>331</v>
      </c>
      <c r="H332" s="1">
        <f ca="1">IFERROR(__xludf.DUMMYFUNCTION("""COMPUTED_VALUE"""),104.4)</f>
        <v>104.4</v>
      </c>
      <c r="I332" s="1">
        <f ca="1">IFERROR(__xludf.DUMMYFUNCTION("""COMPUTED_VALUE"""),159)</f>
        <v>159</v>
      </c>
      <c r="J332" s="1">
        <f ca="1">IFERROR(__xludf.DUMMYFUNCTION("""COMPUTED_VALUE"""),63.3)</f>
        <v>63.3</v>
      </c>
      <c r="K332" s="1">
        <f ca="1">IFERROR(__xludf.DUMMYFUNCTION("""COMPUTED_VALUE"""),267)</f>
        <v>267</v>
      </c>
      <c r="L332" s="1">
        <f ca="1">IFERROR(__xludf.DUMMYFUNCTION("""COMPUTED_VALUE"""),-0.031)</f>
        <v>-3.1E-2</v>
      </c>
      <c r="M332" s="1">
        <f ca="1">IFERROR(__xludf.DUMMYFUNCTION("""COMPUTED_VALUE"""),258)</f>
        <v>258</v>
      </c>
      <c r="N332" s="1">
        <f ca="1">IFERROR(__xludf.DUMMYFUNCTION("""COMPUTED_VALUE"""),-3.61)</f>
        <v>-3.61</v>
      </c>
      <c r="O332" s="1">
        <f ca="1">IFERROR(__xludf.DUMMYFUNCTION("""COMPUTED_VALUE"""),211)</f>
        <v>211</v>
      </c>
      <c r="P332" s="1">
        <f ca="1">IFERROR(__xludf.DUMMYFUNCTION("""COMPUTED_VALUE"""),102.9)</f>
        <v>102.9</v>
      </c>
      <c r="Q332" s="1">
        <f ca="1">IFERROR(__xludf.DUMMYFUNCTION("""COMPUTED_VALUE"""),201)</f>
        <v>201</v>
      </c>
      <c r="R332" s="1">
        <f ca="1">IFERROR(__xludf.DUMMYFUNCTION("""COMPUTED_VALUE"""),106.5)</f>
        <v>106.5</v>
      </c>
      <c r="S332" s="1">
        <f ca="1">IFERROR(__xludf.DUMMYFUNCTION("""COMPUTED_VALUE"""),240)</f>
        <v>240</v>
      </c>
      <c r="T332" s="1" t="str">
        <f ca="1">IFERROR(__xludf.DUMMYFUNCTION("""COMPUTED_VALUE"""),"+1.22")</f>
        <v>+1.22</v>
      </c>
      <c r="U332" s="1">
        <f ca="1">IFERROR(__xludf.DUMMYFUNCTION("""COMPUTED_VALUE"""),122)</f>
        <v>122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IFERROR(__xludf.DUMMYFUNCTION("""COMPUTED_VALUE"""),"Alabama St.")</f>
        <v>Alabama St.</v>
      </c>
      <c r="C333" s="1" t="str">
        <f ca="1">IFERROR(__xludf.DUMMYFUNCTION("""COMPUTED_VALUE"""),"SWAC")</f>
        <v>SWAC</v>
      </c>
      <c r="D333" s="2">
        <f ca="1">IFERROR(__xludf.DUMMYFUNCTION("""COMPUTED_VALUE"""),44854)</f>
        <v>44854</v>
      </c>
      <c r="E333" s="1">
        <f ca="1">IFERROR(__xludf.DUMMYFUNCTION("""COMPUTED_VALUE"""),-17.83)</f>
        <v>-17.829999999999998</v>
      </c>
      <c r="F333" s="1">
        <f ca="1">IFERROR(__xludf.DUMMYFUNCTION("""COMPUTED_VALUE"""),91.1)</f>
        <v>91.1</v>
      </c>
      <c r="G333" s="1">
        <f ca="1">IFERROR(__xludf.DUMMYFUNCTION("""COMPUTED_VALUE"""),321)</f>
        <v>321</v>
      </c>
      <c r="H333" s="1">
        <f ca="1">IFERROR(__xludf.DUMMYFUNCTION("""COMPUTED_VALUE"""),109)</f>
        <v>109</v>
      </c>
      <c r="I333" s="1">
        <f ca="1">IFERROR(__xludf.DUMMYFUNCTION("""COMPUTED_VALUE"""),248)</f>
        <v>248</v>
      </c>
      <c r="J333" s="1">
        <f ca="1">IFERROR(__xludf.DUMMYFUNCTION("""COMPUTED_VALUE"""),63.9)</f>
        <v>63.9</v>
      </c>
      <c r="K333" s="1">
        <f ca="1">IFERROR(__xludf.DUMMYFUNCTION("""COMPUTED_VALUE"""),239)</f>
        <v>239</v>
      </c>
      <c r="L333" s="1">
        <f ca="1">IFERROR(__xludf.DUMMYFUNCTION("""COMPUTED_VALUE"""),-0.009)</f>
        <v>-8.9999999999999993E-3</v>
      </c>
      <c r="M333" s="1">
        <f ca="1">IFERROR(__xludf.DUMMYFUNCTION("""COMPUTED_VALUE"""),204)</f>
        <v>204</v>
      </c>
      <c r="N333" s="1">
        <f ca="1">IFERROR(__xludf.DUMMYFUNCTION("""COMPUTED_VALUE"""),-11.32)</f>
        <v>-11.32</v>
      </c>
      <c r="O333" s="1">
        <f ca="1">IFERROR(__xludf.DUMMYFUNCTION("""COMPUTED_VALUE"""),328)</f>
        <v>328</v>
      </c>
      <c r="P333" s="1">
        <f ca="1">IFERROR(__xludf.DUMMYFUNCTION("""COMPUTED_VALUE"""),95.6)</f>
        <v>95.6</v>
      </c>
      <c r="Q333" s="1">
        <f ca="1">IFERROR(__xludf.DUMMYFUNCTION("""COMPUTED_VALUE"""),332)</f>
        <v>332</v>
      </c>
      <c r="R333" s="1">
        <f ca="1">IFERROR(__xludf.DUMMYFUNCTION("""COMPUTED_VALUE"""),106.9)</f>
        <v>106.9</v>
      </c>
      <c r="S333" s="1">
        <f ca="1">IFERROR(__xludf.DUMMYFUNCTION("""COMPUTED_VALUE"""),255)</f>
        <v>255</v>
      </c>
      <c r="T333" s="1" t="str">
        <f ca="1">IFERROR(__xludf.DUMMYFUNCTION("""COMPUTED_VALUE"""),"+4.68")</f>
        <v>+4.68</v>
      </c>
      <c r="U333" s="1">
        <f ca="1">IFERROR(__xludf.DUMMYFUNCTION("""COMPUTED_VALUE"""),53)</f>
        <v>53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IFERROR(__xludf.DUMMYFUNCTION("""COMPUTED_VALUE"""),"UC Davis")</f>
        <v>UC Davis</v>
      </c>
      <c r="C334" s="1" t="str">
        <f ca="1">IFERROR(__xludf.DUMMYFUNCTION("""COMPUTED_VALUE"""),"ind")</f>
        <v>ind</v>
      </c>
      <c r="D334" s="2">
        <f ca="1">IFERROR(__xludf.DUMMYFUNCTION("""COMPUTED_VALUE"""),44704)</f>
        <v>44704</v>
      </c>
      <c r="E334" s="1">
        <f ca="1">IFERROR(__xludf.DUMMYFUNCTION("""COMPUTED_VALUE"""),-18.08)</f>
        <v>-18.079999999999998</v>
      </c>
      <c r="F334" s="1">
        <f ca="1">IFERROR(__xludf.DUMMYFUNCTION("""COMPUTED_VALUE"""),93.3)</f>
        <v>93.3</v>
      </c>
      <c r="G334" s="1">
        <f ca="1">IFERROR(__xludf.DUMMYFUNCTION("""COMPUTED_VALUE"""),310)</f>
        <v>310</v>
      </c>
      <c r="H334" s="1">
        <f ca="1">IFERROR(__xludf.DUMMYFUNCTION("""COMPUTED_VALUE"""),111.4)</f>
        <v>111.4</v>
      </c>
      <c r="I334" s="1">
        <f ca="1">IFERROR(__xludf.DUMMYFUNCTION("""COMPUTED_VALUE"""),298)</f>
        <v>298</v>
      </c>
      <c r="J334" s="1">
        <f ca="1">IFERROR(__xludf.DUMMYFUNCTION("""COMPUTED_VALUE"""),69.1)</f>
        <v>69.099999999999994</v>
      </c>
      <c r="K334" s="1">
        <f ca="1">IFERROR(__xludf.DUMMYFUNCTION("""COMPUTED_VALUE"""),53)</f>
        <v>53</v>
      </c>
      <c r="L334" s="1" t="str">
        <f ca="1">IFERROR(__xludf.DUMMYFUNCTION("""COMPUTED_VALUE"""),"+.020")</f>
        <v>+.020</v>
      </c>
      <c r="M334" s="1">
        <f ca="1">IFERROR(__xludf.DUMMYFUNCTION("""COMPUTED_VALUE"""),127)</f>
        <v>127</v>
      </c>
      <c r="N334" s="1">
        <f ca="1">IFERROR(__xludf.DUMMYFUNCTION("""COMPUTED_VALUE"""),-2.85)</f>
        <v>-2.85</v>
      </c>
      <c r="O334" s="1">
        <f ca="1">IFERROR(__xludf.DUMMYFUNCTION("""COMPUTED_VALUE"""),194)</f>
        <v>194</v>
      </c>
      <c r="P334" s="1">
        <f ca="1">IFERROR(__xludf.DUMMYFUNCTION("""COMPUTED_VALUE"""),103.2)</f>
        <v>103.2</v>
      </c>
      <c r="Q334" s="1">
        <f ca="1">IFERROR(__xludf.DUMMYFUNCTION("""COMPUTED_VALUE"""),192)</f>
        <v>192</v>
      </c>
      <c r="R334" s="1">
        <f ca="1">IFERROR(__xludf.DUMMYFUNCTION("""COMPUTED_VALUE"""),106)</f>
        <v>106</v>
      </c>
      <c r="S334" s="1">
        <f ca="1">IFERROR(__xludf.DUMMYFUNCTION("""COMPUTED_VALUE"""),215)</f>
        <v>215</v>
      </c>
      <c r="T334" s="1">
        <f ca="1">IFERROR(__xludf.DUMMYFUNCTION("""COMPUTED_VALUE"""),-3.5)</f>
        <v>-3.5</v>
      </c>
      <c r="U334" s="1">
        <f ca="1">IFERROR(__xludf.DUMMYFUNCTION("""COMPUTED_VALUE"""),241)</f>
        <v>241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IFERROR(__xludf.DUMMYFUNCTION("""COMPUTED_VALUE"""),"South Dakota St.")</f>
        <v>South Dakota St.</v>
      </c>
      <c r="C335" s="1" t="str">
        <f ca="1">IFERROR(__xludf.DUMMYFUNCTION("""COMPUTED_VALUE"""),"ind")</f>
        <v>ind</v>
      </c>
      <c r="D335" s="2">
        <f ca="1">IFERROR(__xludf.DUMMYFUNCTION("""COMPUTED_VALUE"""),44736)</f>
        <v>44736</v>
      </c>
      <c r="E335" s="1">
        <f ca="1">IFERROR(__xludf.DUMMYFUNCTION("""COMPUTED_VALUE"""),-18.32)</f>
        <v>-18.32</v>
      </c>
      <c r="F335" s="1">
        <f ca="1">IFERROR(__xludf.DUMMYFUNCTION("""COMPUTED_VALUE"""),94.5)</f>
        <v>94.5</v>
      </c>
      <c r="G335" s="1">
        <f ca="1">IFERROR(__xludf.DUMMYFUNCTION("""COMPUTED_VALUE"""),300)</f>
        <v>300</v>
      </c>
      <c r="H335" s="1">
        <f ca="1">IFERROR(__xludf.DUMMYFUNCTION("""COMPUTED_VALUE"""),112.8)</f>
        <v>112.8</v>
      </c>
      <c r="I335" s="1">
        <f ca="1">IFERROR(__xludf.DUMMYFUNCTION("""COMPUTED_VALUE"""),313)</f>
        <v>313</v>
      </c>
      <c r="J335" s="1">
        <f ca="1">IFERROR(__xludf.DUMMYFUNCTION("""COMPUTED_VALUE"""),64.9)</f>
        <v>64.900000000000006</v>
      </c>
      <c r="K335" s="1">
        <f ca="1">IFERROR(__xludf.DUMMYFUNCTION("""COMPUTED_VALUE"""),204)</f>
        <v>204</v>
      </c>
      <c r="L335" s="1">
        <f ca="1">IFERROR(__xludf.DUMMYFUNCTION("""COMPUTED_VALUE"""),-0.035)</f>
        <v>-3.5000000000000003E-2</v>
      </c>
      <c r="M335" s="1">
        <f ca="1">IFERROR(__xludf.DUMMYFUNCTION("""COMPUTED_VALUE"""),263)</f>
        <v>263</v>
      </c>
      <c r="N335" s="1">
        <f ca="1">IFERROR(__xludf.DUMMYFUNCTION("""COMPUTED_VALUE"""),-5.2)</f>
        <v>-5.2</v>
      </c>
      <c r="O335" s="1">
        <f ca="1">IFERROR(__xludf.DUMMYFUNCTION("""COMPUTED_VALUE"""),250)</f>
        <v>250</v>
      </c>
      <c r="P335" s="1">
        <f ca="1">IFERROR(__xludf.DUMMYFUNCTION("""COMPUTED_VALUE"""),101.7)</f>
        <v>101.7</v>
      </c>
      <c r="Q335" s="1">
        <f ca="1">IFERROR(__xludf.DUMMYFUNCTION("""COMPUTED_VALUE"""),249)</f>
        <v>249</v>
      </c>
      <c r="R335" s="1">
        <f ca="1">IFERROR(__xludf.DUMMYFUNCTION("""COMPUTED_VALUE"""),106.9)</f>
        <v>106.9</v>
      </c>
      <c r="S335" s="1">
        <f ca="1">IFERROR(__xludf.DUMMYFUNCTION("""COMPUTED_VALUE"""),250)</f>
        <v>250</v>
      </c>
      <c r="T335" s="1">
        <f ca="1">IFERROR(__xludf.DUMMYFUNCTION("""COMPUTED_VALUE"""),-4.37)</f>
        <v>-4.37</v>
      </c>
      <c r="U335" s="1">
        <f ca="1">IFERROR(__xludf.DUMMYFUNCTION("""COMPUTED_VALUE"""),261)</f>
        <v>261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IFERROR(__xludf.DUMMYFUNCTION("""COMPUTED_VALUE"""),"Longwood")</f>
        <v>Longwood</v>
      </c>
      <c r="C336" s="1" t="str">
        <f ca="1">IFERROR(__xludf.DUMMYFUNCTION("""COMPUTED_VALUE"""),"ind")</f>
        <v>ind</v>
      </c>
      <c r="D336" s="2">
        <f ca="1">IFERROR(__xludf.DUMMYFUNCTION("""COMPUTED_VALUE"""),44826)</f>
        <v>44826</v>
      </c>
      <c r="E336" s="1">
        <f ca="1">IFERROR(__xludf.DUMMYFUNCTION("""COMPUTED_VALUE"""),-18.65)</f>
        <v>-18.649999999999999</v>
      </c>
      <c r="F336" s="1">
        <f ca="1">IFERROR(__xludf.DUMMYFUNCTION("""COMPUTED_VALUE"""),91.4)</f>
        <v>91.4</v>
      </c>
      <c r="G336" s="1">
        <f ca="1">IFERROR(__xludf.DUMMYFUNCTION("""COMPUTED_VALUE"""),320)</f>
        <v>320</v>
      </c>
      <c r="H336" s="1">
        <f ca="1">IFERROR(__xludf.DUMMYFUNCTION("""COMPUTED_VALUE"""),110.1)</f>
        <v>110.1</v>
      </c>
      <c r="I336" s="1">
        <f ca="1">IFERROR(__xludf.DUMMYFUNCTION("""COMPUTED_VALUE"""),273)</f>
        <v>273</v>
      </c>
      <c r="J336" s="1">
        <f ca="1">IFERROR(__xludf.DUMMYFUNCTION("""COMPUTED_VALUE"""),69.2)</f>
        <v>69.2</v>
      </c>
      <c r="K336" s="1">
        <f ca="1">IFERROR(__xludf.DUMMYFUNCTION("""COMPUTED_VALUE"""),50)</f>
        <v>50</v>
      </c>
      <c r="L336" s="1" t="str">
        <f ca="1">IFERROR(__xludf.DUMMYFUNCTION("""COMPUTED_VALUE"""),"+.026")</f>
        <v>+.026</v>
      </c>
      <c r="M336" s="1">
        <f ca="1">IFERROR(__xludf.DUMMYFUNCTION("""COMPUTED_VALUE"""),114)</f>
        <v>114</v>
      </c>
      <c r="N336" s="1">
        <f ca="1">IFERROR(__xludf.DUMMYFUNCTION("""COMPUTED_VALUE"""),-5.02)</f>
        <v>-5.0199999999999996</v>
      </c>
      <c r="O336" s="1">
        <f ca="1">IFERROR(__xludf.DUMMYFUNCTION("""COMPUTED_VALUE"""),246)</f>
        <v>246</v>
      </c>
      <c r="P336" s="1">
        <f ca="1">IFERROR(__xludf.DUMMYFUNCTION("""COMPUTED_VALUE"""),100.9)</f>
        <v>100.9</v>
      </c>
      <c r="Q336" s="1">
        <f ca="1">IFERROR(__xludf.DUMMYFUNCTION("""COMPUTED_VALUE"""),273)</f>
        <v>273</v>
      </c>
      <c r="R336" s="1">
        <f ca="1">IFERROR(__xludf.DUMMYFUNCTION("""COMPUTED_VALUE"""),105.9)</f>
        <v>105.9</v>
      </c>
      <c r="S336" s="1">
        <f ca="1">IFERROR(__xludf.DUMMYFUNCTION("""COMPUTED_VALUE"""),211)</f>
        <v>211</v>
      </c>
      <c r="T336" s="1">
        <f ca="1">IFERROR(__xludf.DUMMYFUNCTION("""COMPUTED_VALUE"""),-2.67)</f>
        <v>-2.67</v>
      </c>
      <c r="U336" s="1">
        <f ca="1">IFERROR(__xludf.DUMMYFUNCTION("""COMPUTED_VALUE"""),217)</f>
        <v>217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IFERROR(__xludf.DUMMYFUNCTION("""COMPUTED_VALUE"""),"Texas Southern")</f>
        <v>Texas Southern</v>
      </c>
      <c r="C339" s="1" t="str">
        <f ca="1">IFERROR(__xludf.DUMMYFUNCTION("""COMPUTED_VALUE"""),"SWAC")</f>
        <v>SWAC</v>
      </c>
      <c r="D339" s="1" t="str">
        <f ca="1">IFERROR(__xludf.DUMMYFUNCTION("""COMPUTED_VALUE"""),"14-17")</f>
        <v>14-17</v>
      </c>
      <c r="E339" s="1">
        <f ca="1">IFERROR(__xludf.DUMMYFUNCTION("""COMPUTED_VALUE"""),-18.84)</f>
        <v>-18.84</v>
      </c>
      <c r="F339" s="1">
        <f ca="1">IFERROR(__xludf.DUMMYFUNCTION("""COMPUTED_VALUE"""),89.5)</f>
        <v>89.5</v>
      </c>
      <c r="G339" s="1">
        <f ca="1">IFERROR(__xludf.DUMMYFUNCTION("""COMPUTED_VALUE"""),324)</f>
        <v>324</v>
      </c>
      <c r="H339" s="1">
        <f ca="1">IFERROR(__xludf.DUMMYFUNCTION("""COMPUTED_VALUE"""),108.4)</f>
        <v>108.4</v>
      </c>
      <c r="I339" s="1">
        <f ca="1">IFERROR(__xludf.DUMMYFUNCTION("""COMPUTED_VALUE"""),235)</f>
        <v>235</v>
      </c>
      <c r="J339" s="1">
        <f ca="1">IFERROR(__xludf.DUMMYFUNCTION("""COMPUTED_VALUE"""),69.3)</f>
        <v>69.3</v>
      </c>
      <c r="K339" s="1">
        <f ca="1">IFERROR(__xludf.DUMMYFUNCTION("""COMPUTED_VALUE"""),49)</f>
        <v>49</v>
      </c>
      <c r="L339" s="1" t="str">
        <f ca="1">IFERROR(__xludf.DUMMYFUNCTION("""COMPUTED_VALUE"""),"+.090")</f>
        <v>+.090</v>
      </c>
      <c r="M339" s="1">
        <f ca="1">IFERROR(__xludf.DUMMYFUNCTION("""COMPUTED_VALUE"""),18)</f>
        <v>18</v>
      </c>
      <c r="N339" s="1">
        <f ca="1">IFERROR(__xludf.DUMMYFUNCTION("""COMPUTED_VALUE"""),-11.39)</f>
        <v>-11.39</v>
      </c>
      <c r="O339" s="1">
        <f ca="1">IFERROR(__xludf.DUMMYFUNCTION("""COMPUTED_VALUE"""),329)</f>
        <v>329</v>
      </c>
      <c r="P339" s="1">
        <f ca="1">IFERROR(__xludf.DUMMYFUNCTION("""COMPUTED_VALUE"""),95.6)</f>
        <v>95.6</v>
      </c>
      <c r="Q339" s="1">
        <f ca="1">IFERROR(__xludf.DUMMYFUNCTION("""COMPUTED_VALUE"""),333)</f>
        <v>333</v>
      </c>
      <c r="R339" s="1">
        <f ca="1">IFERROR(__xludf.DUMMYFUNCTION("""COMPUTED_VALUE"""),107)</f>
        <v>107</v>
      </c>
      <c r="S339" s="1">
        <f ca="1">IFERROR(__xludf.DUMMYFUNCTION("""COMPUTED_VALUE"""),261)</f>
        <v>261</v>
      </c>
      <c r="T339" s="1" t="str">
        <f ca="1">IFERROR(__xludf.DUMMYFUNCTION("""COMPUTED_VALUE"""),"+11.59")</f>
        <v>+11.59</v>
      </c>
      <c r="U339" s="1">
        <f ca="1">IFERROR(__xludf.DUMMYFUNCTION("""COMPUTED_VALUE"""),11)</f>
        <v>11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IFERROR(__xludf.DUMMYFUNCTION("""COMPUTED_VALUE"""),"Norfolk St.")</f>
        <v>Norfolk St.</v>
      </c>
      <c r="C340" s="1" t="str">
        <f ca="1">IFERROR(__xludf.DUMMYFUNCTION("""COMPUTED_VALUE"""),"MEAC")</f>
        <v>MEAC</v>
      </c>
      <c r="D340" s="2">
        <f ca="1">IFERROR(__xludf.DUMMYFUNCTION("""COMPUTED_VALUE"""),44884)</f>
        <v>44884</v>
      </c>
      <c r="E340" s="1">
        <f ca="1">IFERROR(__xludf.DUMMYFUNCTION("""COMPUTED_VALUE"""),-19.14)</f>
        <v>-19.14</v>
      </c>
      <c r="F340" s="1">
        <f ca="1">IFERROR(__xludf.DUMMYFUNCTION("""COMPUTED_VALUE"""),97.1)</f>
        <v>97.1</v>
      </c>
      <c r="G340" s="1">
        <f ca="1">IFERROR(__xludf.DUMMYFUNCTION("""COMPUTED_VALUE"""),276)</f>
        <v>276</v>
      </c>
      <c r="H340" s="1">
        <f ca="1">IFERROR(__xludf.DUMMYFUNCTION("""COMPUTED_VALUE"""),116.2)</f>
        <v>116.2</v>
      </c>
      <c r="I340" s="1">
        <f ca="1">IFERROR(__xludf.DUMMYFUNCTION("""COMPUTED_VALUE"""),335)</f>
        <v>335</v>
      </c>
      <c r="J340" s="1">
        <f ca="1">IFERROR(__xludf.DUMMYFUNCTION("""COMPUTED_VALUE"""),66.4)</f>
        <v>66.400000000000006</v>
      </c>
      <c r="K340" s="1">
        <f ca="1">IFERROR(__xludf.DUMMYFUNCTION("""COMPUTED_VALUE"""),135)</f>
        <v>135</v>
      </c>
      <c r="L340" s="1" t="str">
        <f ca="1">IFERROR(__xludf.DUMMYFUNCTION("""COMPUTED_VALUE"""),"+.065")</f>
        <v>+.065</v>
      </c>
      <c r="M340" s="1">
        <f ca="1">IFERROR(__xludf.DUMMYFUNCTION("""COMPUTED_VALUE"""),37)</f>
        <v>37</v>
      </c>
      <c r="N340" s="1">
        <f ca="1">IFERROR(__xludf.DUMMYFUNCTION("""COMPUTED_VALUE"""),-10.08)</f>
        <v>-10.08</v>
      </c>
      <c r="O340" s="1">
        <f ca="1">IFERROR(__xludf.DUMMYFUNCTION("""COMPUTED_VALUE"""),320)</f>
        <v>320</v>
      </c>
      <c r="P340" s="1">
        <f ca="1">IFERROR(__xludf.DUMMYFUNCTION("""COMPUTED_VALUE"""),97.8)</f>
        <v>97.8</v>
      </c>
      <c r="Q340" s="1">
        <f ca="1">IFERROR(__xludf.DUMMYFUNCTION("""COMPUTED_VALUE"""),320)</f>
        <v>320</v>
      </c>
      <c r="R340" s="1">
        <f ca="1">IFERROR(__xludf.DUMMYFUNCTION("""COMPUTED_VALUE"""),107.9)</f>
        <v>107.9</v>
      </c>
      <c r="S340" s="1">
        <f ca="1">IFERROR(__xludf.DUMMYFUNCTION("""COMPUTED_VALUE"""),301)</f>
        <v>301</v>
      </c>
      <c r="T340" s="1" t="str">
        <f ca="1">IFERROR(__xludf.DUMMYFUNCTION("""COMPUTED_VALUE"""),"+5.19")</f>
        <v>+5.19</v>
      </c>
      <c r="U340" s="1">
        <f ca="1">IFERROR(__xludf.DUMMYFUNCTION("""COMPUTED_VALUE"""),48)</f>
        <v>48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IFERROR(__xludf.DUMMYFUNCTION("""COMPUTED_VALUE"""),"Iona")</f>
        <v>Iona</v>
      </c>
      <c r="C341" s="1" t="str">
        <f ca="1">IFERROR(__xludf.DUMMYFUNCTION("""COMPUTED_VALUE"""),"MAAC")</f>
        <v>MAAC</v>
      </c>
      <c r="D341" s="2">
        <f ca="1">IFERROR(__xludf.DUMMYFUNCTION("""COMPUTED_VALUE"""),44620)</f>
        <v>44620</v>
      </c>
      <c r="E341" s="1">
        <f ca="1">IFERROR(__xludf.DUMMYFUNCTION("""COMPUTED_VALUE"""),-19.41)</f>
        <v>-19.41</v>
      </c>
      <c r="F341" s="1">
        <f ca="1">IFERROR(__xludf.DUMMYFUNCTION("""COMPUTED_VALUE"""),87.7)</f>
        <v>87.7</v>
      </c>
      <c r="G341" s="1">
        <f ca="1">IFERROR(__xludf.DUMMYFUNCTION("""COMPUTED_VALUE"""),329)</f>
        <v>329</v>
      </c>
      <c r="H341" s="1">
        <f ca="1">IFERROR(__xludf.DUMMYFUNCTION("""COMPUTED_VALUE"""),107.1)</f>
        <v>107.1</v>
      </c>
      <c r="I341" s="1">
        <f ca="1">IFERROR(__xludf.DUMMYFUNCTION("""COMPUTED_VALUE"""),217)</f>
        <v>217</v>
      </c>
      <c r="J341" s="1">
        <f ca="1">IFERROR(__xludf.DUMMYFUNCTION("""COMPUTED_VALUE"""),65.8)</f>
        <v>65.8</v>
      </c>
      <c r="K341" s="1">
        <f ca="1">IFERROR(__xludf.DUMMYFUNCTION("""COMPUTED_VALUE"""),170)</f>
        <v>170</v>
      </c>
      <c r="L341" s="1">
        <f ca="1">IFERROR(__xludf.DUMMYFUNCTION("""COMPUTED_VALUE"""),-0.042)</f>
        <v>-4.2000000000000003E-2</v>
      </c>
      <c r="M341" s="1">
        <f ca="1">IFERROR(__xludf.DUMMYFUNCTION("""COMPUTED_VALUE"""),271)</f>
        <v>271</v>
      </c>
      <c r="N341" s="1">
        <f ca="1">IFERROR(__xludf.DUMMYFUNCTION("""COMPUTED_VALUE"""),-3.74)</f>
        <v>-3.74</v>
      </c>
      <c r="O341" s="1">
        <f ca="1">IFERROR(__xludf.DUMMYFUNCTION("""COMPUTED_VALUE"""),214)</f>
        <v>214</v>
      </c>
      <c r="P341" s="1">
        <f ca="1">IFERROR(__xludf.DUMMYFUNCTION("""COMPUTED_VALUE"""),102.9)</f>
        <v>102.9</v>
      </c>
      <c r="Q341" s="1">
        <f ca="1">IFERROR(__xludf.DUMMYFUNCTION("""COMPUTED_VALUE"""),202)</f>
        <v>202</v>
      </c>
      <c r="R341" s="1">
        <f ca="1">IFERROR(__xludf.DUMMYFUNCTION("""COMPUTED_VALUE"""),106.7)</f>
        <v>106.7</v>
      </c>
      <c r="S341" s="1">
        <f ca="1">IFERROR(__xludf.DUMMYFUNCTION("""COMPUTED_VALUE"""),244)</f>
        <v>244</v>
      </c>
      <c r="T341" s="1" t="str">
        <f ca="1">IFERROR(__xludf.DUMMYFUNCTION("""COMPUTED_VALUE"""),"+1.96")</f>
        <v>+1.96</v>
      </c>
      <c r="U341" s="1">
        <f ca="1">IFERROR(__xludf.DUMMYFUNCTION("""COMPUTED_VALUE"""),101)</f>
        <v>101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IFERROR(__xludf.DUMMYFUNCTION("""COMPUTED_VALUE"""),"Charleston Southern")</f>
        <v>Charleston Southern</v>
      </c>
      <c r="C342" s="1" t="str">
        <f ca="1">IFERROR(__xludf.DUMMYFUNCTION("""COMPUTED_VALUE"""),"BSth")</f>
        <v>BSth</v>
      </c>
      <c r="D342" s="2">
        <f ca="1">IFERROR(__xludf.DUMMYFUNCTION("""COMPUTED_VALUE"""),44795)</f>
        <v>44795</v>
      </c>
      <c r="E342" s="1">
        <f ca="1">IFERROR(__xludf.DUMMYFUNCTION("""COMPUTED_VALUE"""),-19.49)</f>
        <v>-19.489999999999998</v>
      </c>
      <c r="F342" s="1">
        <f ca="1">IFERROR(__xludf.DUMMYFUNCTION("""COMPUTED_VALUE"""),95.6)</f>
        <v>95.6</v>
      </c>
      <c r="G342" s="1">
        <f ca="1">IFERROR(__xludf.DUMMYFUNCTION("""COMPUTED_VALUE"""),287)</f>
        <v>287</v>
      </c>
      <c r="H342" s="1">
        <f ca="1">IFERROR(__xludf.DUMMYFUNCTION("""COMPUTED_VALUE"""),115.1)</f>
        <v>115.1</v>
      </c>
      <c r="I342" s="1">
        <f ca="1">IFERROR(__xludf.DUMMYFUNCTION("""COMPUTED_VALUE"""),331)</f>
        <v>331</v>
      </c>
      <c r="J342" s="1">
        <f ca="1">IFERROR(__xludf.DUMMYFUNCTION("""COMPUTED_VALUE"""),64.1)</f>
        <v>64.099999999999994</v>
      </c>
      <c r="K342" s="1">
        <f ca="1">IFERROR(__xludf.DUMMYFUNCTION("""COMPUTED_VALUE"""),235)</f>
        <v>235</v>
      </c>
      <c r="L342" s="1">
        <f ca="1">IFERROR(__xludf.DUMMYFUNCTION("""COMPUTED_VALUE"""),-0.009)</f>
        <v>-8.9999999999999993E-3</v>
      </c>
      <c r="M342" s="1">
        <f ca="1">IFERROR(__xludf.DUMMYFUNCTION("""COMPUTED_VALUE"""),199)</f>
        <v>199</v>
      </c>
      <c r="N342" s="1">
        <f ca="1">IFERROR(__xludf.DUMMYFUNCTION("""COMPUTED_VALUE"""),-3.23)</f>
        <v>-3.23</v>
      </c>
      <c r="O342" s="1">
        <f ca="1">IFERROR(__xludf.DUMMYFUNCTION("""COMPUTED_VALUE"""),200)</f>
        <v>200</v>
      </c>
      <c r="P342" s="1">
        <f ca="1">IFERROR(__xludf.DUMMYFUNCTION("""COMPUTED_VALUE"""),102.6)</f>
        <v>102.6</v>
      </c>
      <c r="Q342" s="1">
        <f ca="1">IFERROR(__xludf.DUMMYFUNCTION("""COMPUTED_VALUE"""),211)</f>
        <v>211</v>
      </c>
      <c r="R342" s="1">
        <f ca="1">IFERROR(__xludf.DUMMYFUNCTION("""COMPUTED_VALUE"""),105.8)</f>
        <v>105.8</v>
      </c>
      <c r="S342" s="1">
        <f ca="1">IFERROR(__xludf.DUMMYFUNCTION("""COMPUTED_VALUE"""),204)</f>
        <v>204</v>
      </c>
      <c r="T342" s="1">
        <f ca="1">IFERROR(__xludf.DUMMYFUNCTION("""COMPUTED_VALUE"""),-0.53)</f>
        <v>-0.53</v>
      </c>
      <c r="U342" s="1">
        <f ca="1">IFERROR(__xludf.DUMMYFUNCTION("""COMPUTED_VALUE"""),162)</f>
        <v>162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IFERROR(__xludf.DUMMYFUNCTION("""COMPUTED_VALUE"""),"The Citadel")</f>
        <v>The Citadel</v>
      </c>
      <c r="C343" s="1" t="str">
        <f ca="1">IFERROR(__xludf.DUMMYFUNCTION("""COMPUTED_VALUE"""),"SC")</f>
        <v>SC</v>
      </c>
      <c r="D343" s="2">
        <f ca="1">IFERROR(__xludf.DUMMYFUNCTION("""COMPUTED_VALUE"""),44765)</f>
        <v>44765</v>
      </c>
      <c r="E343" s="1">
        <f ca="1">IFERROR(__xludf.DUMMYFUNCTION("""COMPUTED_VALUE"""),-20.18)</f>
        <v>-20.18</v>
      </c>
      <c r="F343" s="1">
        <f ca="1">IFERROR(__xludf.DUMMYFUNCTION("""COMPUTED_VALUE"""),92.4)</f>
        <v>92.4</v>
      </c>
      <c r="G343" s="1">
        <f ca="1">IFERROR(__xludf.DUMMYFUNCTION("""COMPUTED_VALUE"""),317)</f>
        <v>317</v>
      </c>
      <c r="H343" s="1">
        <f ca="1">IFERROR(__xludf.DUMMYFUNCTION("""COMPUTED_VALUE"""),112.6)</f>
        <v>112.6</v>
      </c>
      <c r="I343" s="1">
        <f ca="1">IFERROR(__xludf.DUMMYFUNCTION("""COMPUTED_VALUE"""),312)</f>
        <v>312</v>
      </c>
      <c r="J343" s="1">
        <f ca="1">IFERROR(__xludf.DUMMYFUNCTION("""COMPUTED_VALUE"""),59.7)</f>
        <v>59.7</v>
      </c>
      <c r="K343" s="1">
        <f ca="1">IFERROR(__xludf.DUMMYFUNCTION("""COMPUTED_VALUE"""),325)</f>
        <v>325</v>
      </c>
      <c r="L343" s="1" t="str">
        <f ca="1">IFERROR(__xludf.DUMMYFUNCTION("""COMPUTED_VALUE"""),"+.034")</f>
        <v>+.034</v>
      </c>
      <c r="M343" s="1">
        <f ca="1">IFERROR(__xludf.DUMMYFUNCTION("""COMPUTED_VALUE"""),90)</f>
        <v>90</v>
      </c>
      <c r="N343" s="1" t="str">
        <f ca="1">IFERROR(__xludf.DUMMYFUNCTION("""COMPUTED_VALUE"""),"+0.93")</f>
        <v>+0.93</v>
      </c>
      <c r="O343" s="1">
        <f ca="1">IFERROR(__xludf.DUMMYFUNCTION("""COMPUTED_VALUE"""),137)</f>
        <v>137</v>
      </c>
      <c r="P343" s="1">
        <f ca="1">IFERROR(__xludf.DUMMYFUNCTION("""COMPUTED_VALUE"""),104.9)</f>
        <v>104.9</v>
      </c>
      <c r="Q343" s="1">
        <f ca="1">IFERROR(__xludf.DUMMYFUNCTION("""COMPUTED_VALUE"""),137)</f>
        <v>137</v>
      </c>
      <c r="R343" s="1">
        <f ca="1">IFERROR(__xludf.DUMMYFUNCTION("""COMPUTED_VALUE"""),103.9)</f>
        <v>103.9</v>
      </c>
      <c r="S343" s="1">
        <f ca="1">IFERROR(__xludf.DUMMYFUNCTION("""COMPUTED_VALUE"""),141)</f>
        <v>141</v>
      </c>
      <c r="T343" s="1" t="str">
        <f ca="1">IFERROR(__xludf.DUMMYFUNCTION("""COMPUTED_VALUE"""),"+11.73")</f>
        <v>+11.73</v>
      </c>
      <c r="U343" s="1">
        <f ca="1">IFERROR(__xludf.DUMMYFUNCTION("""COMPUTED_VALUE"""),9)</f>
        <v>9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IFERROR(__xludf.DUMMYFUNCTION("""COMPUTED_VALUE"""),"Savannah St.")</f>
        <v>Savannah St.</v>
      </c>
      <c r="C344" s="1" t="str">
        <f ca="1">IFERROR(__xludf.DUMMYFUNCTION("""COMPUTED_VALUE"""),"ind")</f>
        <v>ind</v>
      </c>
      <c r="D344" s="2">
        <f ca="1">IFERROR(__xludf.DUMMYFUNCTION("""COMPUTED_VALUE"""),44913)</f>
        <v>44913</v>
      </c>
      <c r="E344" s="1">
        <f ca="1">IFERROR(__xludf.DUMMYFUNCTION("""COMPUTED_VALUE"""),-20.39)</f>
        <v>-20.39</v>
      </c>
      <c r="F344" s="1">
        <f ca="1">IFERROR(__xludf.DUMMYFUNCTION("""COMPUTED_VALUE"""),88)</f>
        <v>88</v>
      </c>
      <c r="G344" s="1">
        <f ca="1">IFERROR(__xludf.DUMMYFUNCTION("""COMPUTED_VALUE"""),328)</f>
        <v>328</v>
      </c>
      <c r="H344" s="1">
        <f ca="1">IFERROR(__xludf.DUMMYFUNCTION("""COMPUTED_VALUE"""),108.4)</f>
        <v>108.4</v>
      </c>
      <c r="I344" s="1">
        <f ca="1">IFERROR(__xludf.DUMMYFUNCTION("""COMPUTED_VALUE"""),234)</f>
        <v>234</v>
      </c>
      <c r="J344" s="1">
        <f ca="1">IFERROR(__xludf.DUMMYFUNCTION("""COMPUTED_VALUE"""),64.1)</f>
        <v>64.099999999999994</v>
      </c>
      <c r="K344" s="1">
        <f ca="1">IFERROR(__xludf.DUMMYFUNCTION("""COMPUTED_VALUE"""),233)</f>
        <v>233</v>
      </c>
      <c r="L344" s="1" t="str">
        <f ca="1">IFERROR(__xludf.DUMMYFUNCTION("""COMPUTED_VALUE"""),"+.101")</f>
        <v>+.101</v>
      </c>
      <c r="M344" s="1">
        <f ca="1">IFERROR(__xludf.DUMMYFUNCTION("""COMPUTED_VALUE"""),10)</f>
        <v>10</v>
      </c>
      <c r="N344" s="1">
        <f ca="1">IFERROR(__xludf.DUMMYFUNCTION("""COMPUTED_VALUE"""),-5.05)</f>
        <v>-5.05</v>
      </c>
      <c r="O344" s="1">
        <f ca="1">IFERROR(__xludf.DUMMYFUNCTION("""COMPUTED_VALUE"""),247)</f>
        <v>247</v>
      </c>
      <c r="P344" s="1">
        <f ca="1">IFERROR(__xludf.DUMMYFUNCTION("""COMPUTED_VALUE"""),100.4)</f>
        <v>100.4</v>
      </c>
      <c r="Q344" s="1">
        <f ca="1">IFERROR(__xludf.DUMMYFUNCTION("""COMPUTED_VALUE"""),291)</f>
        <v>291</v>
      </c>
      <c r="R344" s="1">
        <f ca="1">IFERROR(__xludf.DUMMYFUNCTION("""COMPUTED_VALUE"""),105.5)</f>
        <v>105.5</v>
      </c>
      <c r="S344" s="1">
        <f ca="1">IFERROR(__xludf.DUMMYFUNCTION("""COMPUTED_VALUE"""),189)</f>
        <v>189</v>
      </c>
      <c r="T344" s="1">
        <f ca="1">IFERROR(__xludf.DUMMYFUNCTION("""COMPUTED_VALUE"""),-3.5)</f>
        <v>-3.5</v>
      </c>
      <c r="U344" s="1">
        <f ca="1">IFERROR(__xludf.DUMMYFUNCTION("""COMPUTED_VALUE"""),240)</f>
        <v>240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IFERROR(__xludf.DUMMYFUNCTION("""COMPUTED_VALUE"""),"Denver")</f>
        <v>Denver</v>
      </c>
      <c r="C345" s="1" t="str">
        <f ca="1">IFERROR(__xludf.DUMMYFUNCTION("""COMPUTED_VALUE"""),"SB")</f>
        <v>SB</v>
      </c>
      <c r="D345" s="2">
        <f ca="1">IFERROR(__xludf.DUMMYFUNCTION("""COMPUTED_VALUE"""),44676)</f>
        <v>44676</v>
      </c>
      <c r="E345" s="1">
        <f ca="1">IFERROR(__xludf.DUMMYFUNCTION("""COMPUTED_VALUE"""),-21.35)</f>
        <v>-21.35</v>
      </c>
      <c r="F345" s="1">
        <f ca="1">IFERROR(__xludf.DUMMYFUNCTION("""COMPUTED_VALUE"""),93.2)</f>
        <v>93.2</v>
      </c>
      <c r="G345" s="1">
        <f ca="1">IFERROR(__xludf.DUMMYFUNCTION("""COMPUTED_VALUE"""),311)</f>
        <v>311</v>
      </c>
      <c r="H345" s="1">
        <f ca="1">IFERROR(__xludf.DUMMYFUNCTION("""COMPUTED_VALUE"""),114.6)</f>
        <v>114.6</v>
      </c>
      <c r="I345" s="1">
        <f ca="1">IFERROR(__xludf.DUMMYFUNCTION("""COMPUTED_VALUE"""),329)</f>
        <v>329</v>
      </c>
      <c r="J345" s="1">
        <f ca="1">IFERROR(__xludf.DUMMYFUNCTION("""COMPUTED_VALUE"""),66.3)</f>
        <v>66.3</v>
      </c>
      <c r="K345" s="1">
        <f ca="1">IFERROR(__xludf.DUMMYFUNCTION("""COMPUTED_VALUE"""),141)</f>
        <v>141</v>
      </c>
      <c r="L345" s="1">
        <f ca="1">IFERROR(__xludf.DUMMYFUNCTION("""COMPUTED_VALUE"""),-0.042)</f>
        <v>-4.2000000000000003E-2</v>
      </c>
      <c r="M345" s="1">
        <f ca="1">IFERROR(__xludf.DUMMYFUNCTION("""COMPUTED_VALUE"""),272)</f>
        <v>272</v>
      </c>
      <c r="N345" s="1">
        <f ca="1">IFERROR(__xludf.DUMMYFUNCTION("""COMPUTED_VALUE"""),-6.59)</f>
        <v>-6.59</v>
      </c>
      <c r="O345" s="1">
        <f ca="1">IFERROR(__xludf.DUMMYFUNCTION("""COMPUTED_VALUE"""),285)</f>
        <v>285</v>
      </c>
      <c r="P345" s="1">
        <f ca="1">IFERROR(__xludf.DUMMYFUNCTION("""COMPUTED_VALUE"""),102.1)</f>
        <v>102.1</v>
      </c>
      <c r="Q345" s="1">
        <f ca="1">IFERROR(__xludf.DUMMYFUNCTION("""COMPUTED_VALUE"""),228)</f>
        <v>228</v>
      </c>
      <c r="R345" s="1">
        <f ca="1">IFERROR(__xludf.DUMMYFUNCTION("""COMPUTED_VALUE"""),108.7)</f>
        <v>108.7</v>
      </c>
      <c r="S345" s="1">
        <f ca="1">IFERROR(__xludf.DUMMYFUNCTION("""COMPUTED_VALUE"""),321)</f>
        <v>321</v>
      </c>
      <c r="T345" s="1">
        <f ca="1">IFERROR(__xludf.DUMMYFUNCTION("""COMPUTED_VALUE"""),-6.49)</f>
        <v>-6.49</v>
      </c>
      <c r="U345" s="1">
        <f ca="1">IFERROR(__xludf.DUMMYFUNCTION("""COMPUTED_VALUE"""),303)</f>
        <v>303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IFERROR(__xludf.DUMMYFUNCTION("""COMPUTED_VALUE"""),"Alcorn St.")</f>
        <v>Alcorn St.</v>
      </c>
      <c r="C346" s="1" t="str">
        <f ca="1">IFERROR(__xludf.DUMMYFUNCTION("""COMPUTED_VALUE"""),"SWAC")</f>
        <v>SWAC</v>
      </c>
      <c r="D346" s="2">
        <f ca="1">IFERROR(__xludf.DUMMYFUNCTION("""COMPUTED_VALUE"""),44884)</f>
        <v>44884</v>
      </c>
      <c r="E346" s="1">
        <f ca="1">IFERROR(__xludf.DUMMYFUNCTION("""COMPUTED_VALUE"""),-21.49)</f>
        <v>-21.49</v>
      </c>
      <c r="F346" s="1">
        <f ca="1">IFERROR(__xludf.DUMMYFUNCTION("""COMPUTED_VALUE"""),91.9)</f>
        <v>91.9</v>
      </c>
      <c r="G346" s="1">
        <f ca="1">IFERROR(__xludf.DUMMYFUNCTION("""COMPUTED_VALUE"""),318)</f>
        <v>318</v>
      </c>
      <c r="H346" s="1">
        <f ca="1">IFERROR(__xludf.DUMMYFUNCTION("""COMPUTED_VALUE"""),113.4)</f>
        <v>113.4</v>
      </c>
      <c r="I346" s="1">
        <f ca="1">IFERROR(__xludf.DUMMYFUNCTION("""COMPUTED_VALUE"""),318)</f>
        <v>318</v>
      </c>
      <c r="J346" s="1">
        <f ca="1">IFERROR(__xludf.DUMMYFUNCTION("""COMPUTED_VALUE"""),69.4)</f>
        <v>69.400000000000006</v>
      </c>
      <c r="K346" s="1">
        <f ca="1">IFERROR(__xludf.DUMMYFUNCTION("""COMPUTED_VALUE"""),48)</f>
        <v>48</v>
      </c>
      <c r="L346" s="1" t="str">
        <f ca="1">IFERROR(__xludf.DUMMYFUNCTION("""COMPUTED_VALUE"""),"+.067")</f>
        <v>+.067</v>
      </c>
      <c r="M346" s="1">
        <f ca="1">IFERROR(__xludf.DUMMYFUNCTION("""COMPUTED_VALUE"""),32)</f>
        <v>32</v>
      </c>
      <c r="N346" s="1">
        <f ca="1">IFERROR(__xludf.DUMMYFUNCTION("""COMPUTED_VALUE"""),-12.86)</f>
        <v>-12.86</v>
      </c>
      <c r="O346" s="1">
        <f ca="1">IFERROR(__xludf.DUMMYFUNCTION("""COMPUTED_VALUE"""),334)</f>
        <v>334</v>
      </c>
      <c r="P346" s="1">
        <f ca="1">IFERROR(__xludf.DUMMYFUNCTION("""COMPUTED_VALUE"""),95)</f>
        <v>95</v>
      </c>
      <c r="Q346" s="1">
        <f ca="1">IFERROR(__xludf.DUMMYFUNCTION("""COMPUTED_VALUE"""),334)</f>
        <v>334</v>
      </c>
      <c r="R346" s="1">
        <f ca="1">IFERROR(__xludf.DUMMYFUNCTION("""COMPUTED_VALUE"""),107.9)</f>
        <v>107.9</v>
      </c>
      <c r="S346" s="1">
        <f ca="1">IFERROR(__xludf.DUMMYFUNCTION("""COMPUTED_VALUE"""),302)</f>
        <v>302</v>
      </c>
      <c r="T346" s="1">
        <f ca="1">IFERROR(__xludf.DUMMYFUNCTION("""COMPUTED_VALUE"""),-1.81)</f>
        <v>-1.81</v>
      </c>
      <c r="U346" s="1">
        <f ca="1">IFERROR(__xludf.DUMMYFUNCTION("""COMPUTED_VALUE"""),197)</f>
        <v>197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IFERROR(__xludf.DUMMYFUNCTION("""COMPUTED_VALUE"""),"Winston Salem St.")</f>
        <v>Winston Salem St.</v>
      </c>
      <c r="C347" s="1" t="str">
        <f ca="1">IFERROR(__xludf.DUMMYFUNCTION("""COMPUTED_VALUE"""),"ind")</f>
        <v>ind</v>
      </c>
      <c r="D347" s="2">
        <f ca="1">IFERROR(__xludf.DUMMYFUNCTION("""COMPUTED_VALUE"""),44705)</f>
        <v>44705</v>
      </c>
      <c r="E347" s="1">
        <f ca="1">IFERROR(__xludf.DUMMYFUNCTION("""COMPUTED_VALUE"""),-21.59)</f>
        <v>-21.59</v>
      </c>
      <c r="F347" s="1">
        <f ca="1">IFERROR(__xludf.DUMMYFUNCTION("""COMPUTED_VALUE"""),90.1)</f>
        <v>90.1</v>
      </c>
      <c r="G347" s="1">
        <f ca="1">IFERROR(__xludf.DUMMYFUNCTION("""COMPUTED_VALUE"""),323)</f>
        <v>323</v>
      </c>
      <c r="H347" s="1">
        <f ca="1">IFERROR(__xludf.DUMMYFUNCTION("""COMPUTED_VALUE"""),111.7)</f>
        <v>111.7</v>
      </c>
      <c r="I347" s="1">
        <f ca="1">IFERROR(__xludf.DUMMYFUNCTION("""COMPUTED_VALUE"""),301)</f>
        <v>301</v>
      </c>
      <c r="J347" s="1">
        <f ca="1">IFERROR(__xludf.DUMMYFUNCTION("""COMPUTED_VALUE"""),68)</f>
        <v>68</v>
      </c>
      <c r="K347" s="1">
        <f ca="1">IFERROR(__xludf.DUMMYFUNCTION("""COMPUTED_VALUE"""),80)</f>
        <v>80</v>
      </c>
      <c r="L347" s="1">
        <f ca="1">IFERROR(__xludf.DUMMYFUNCTION("""COMPUTED_VALUE"""),-0.032)</f>
        <v>-3.2000000000000001E-2</v>
      </c>
      <c r="M347" s="1">
        <f ca="1">IFERROR(__xludf.DUMMYFUNCTION("""COMPUTED_VALUE"""),261)</f>
        <v>261</v>
      </c>
      <c r="N347" s="1" t="str">
        <f ca="1">IFERROR(__xludf.DUMMYFUNCTION("""COMPUTED_VALUE"""),"+3.01")</f>
        <v>+3.01</v>
      </c>
      <c r="O347" s="1">
        <f ca="1">IFERROR(__xludf.DUMMYFUNCTION("""COMPUTED_VALUE"""),104)</f>
        <v>104</v>
      </c>
      <c r="P347" s="1">
        <f ca="1">IFERROR(__xludf.DUMMYFUNCTION("""COMPUTED_VALUE"""),104.8)</f>
        <v>104.8</v>
      </c>
      <c r="Q347" s="1">
        <f ca="1">IFERROR(__xludf.DUMMYFUNCTION("""COMPUTED_VALUE"""),142)</f>
        <v>142</v>
      </c>
      <c r="R347" s="1">
        <f ca="1">IFERROR(__xludf.DUMMYFUNCTION("""COMPUTED_VALUE"""),101.8)</f>
        <v>101.8</v>
      </c>
      <c r="S347" s="1">
        <f ca="1">IFERROR(__xludf.DUMMYFUNCTION("""COMPUTED_VALUE"""),78)</f>
        <v>78</v>
      </c>
      <c r="T347" s="1" t="str">
        <f ca="1">IFERROR(__xludf.DUMMYFUNCTION("""COMPUTED_VALUE"""),"+2.73")</f>
        <v>+2.73</v>
      </c>
      <c r="U347" s="1">
        <f ca="1">IFERROR(__xludf.DUMMYFUNCTION("""COMPUTED_VALUE"""),88)</f>
        <v>88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IFERROR(__xludf.DUMMYFUNCTION("""COMPUTED_VALUE"""),"Howard")</f>
        <v>Howard</v>
      </c>
      <c r="C348" s="1" t="str">
        <f ca="1">IFERROR(__xludf.DUMMYFUNCTION("""COMPUTED_VALUE"""),"MEAC")</f>
        <v>MEAC</v>
      </c>
      <c r="D348" s="2">
        <f ca="1">IFERROR(__xludf.DUMMYFUNCTION("""COMPUTED_VALUE"""),44826)</f>
        <v>44826</v>
      </c>
      <c r="E348" s="1">
        <f ca="1">IFERROR(__xludf.DUMMYFUNCTION("""COMPUTED_VALUE"""),-22.07)</f>
        <v>-22.07</v>
      </c>
      <c r="F348" s="1">
        <f ca="1">IFERROR(__xludf.DUMMYFUNCTION("""COMPUTED_VALUE"""),94.7)</f>
        <v>94.7</v>
      </c>
      <c r="G348" s="1">
        <f ca="1">IFERROR(__xludf.DUMMYFUNCTION("""COMPUTED_VALUE"""),299)</f>
        <v>299</v>
      </c>
      <c r="H348" s="1">
        <f ca="1">IFERROR(__xludf.DUMMYFUNCTION("""COMPUTED_VALUE"""),116.8)</f>
        <v>116.8</v>
      </c>
      <c r="I348" s="1">
        <f ca="1">IFERROR(__xludf.DUMMYFUNCTION("""COMPUTED_VALUE"""),336)</f>
        <v>336</v>
      </c>
      <c r="J348" s="1">
        <f ca="1">IFERROR(__xludf.DUMMYFUNCTION("""COMPUTED_VALUE"""),64.4)</f>
        <v>64.400000000000006</v>
      </c>
      <c r="K348" s="1">
        <f ca="1">IFERROR(__xludf.DUMMYFUNCTION("""COMPUTED_VALUE"""),223)</f>
        <v>223</v>
      </c>
      <c r="L348" s="1" t="str">
        <f ca="1">IFERROR(__xludf.DUMMYFUNCTION("""COMPUTED_VALUE"""),"+.054")</f>
        <v>+.054</v>
      </c>
      <c r="M348" s="1">
        <f ca="1">IFERROR(__xludf.DUMMYFUNCTION("""COMPUTED_VALUE"""),52)</f>
        <v>52</v>
      </c>
      <c r="N348" s="1">
        <f ca="1">IFERROR(__xludf.DUMMYFUNCTION("""COMPUTED_VALUE"""),-11.4)</f>
        <v>-11.4</v>
      </c>
      <c r="O348" s="1">
        <f ca="1">IFERROR(__xludf.DUMMYFUNCTION("""COMPUTED_VALUE"""),330)</f>
        <v>330</v>
      </c>
      <c r="P348" s="1">
        <f ca="1">IFERROR(__xludf.DUMMYFUNCTION("""COMPUTED_VALUE"""),97.6)</f>
        <v>97.6</v>
      </c>
      <c r="Q348" s="1">
        <f ca="1">IFERROR(__xludf.DUMMYFUNCTION("""COMPUTED_VALUE"""),323)</f>
        <v>323</v>
      </c>
      <c r="R348" s="1">
        <f ca="1">IFERROR(__xludf.DUMMYFUNCTION("""COMPUTED_VALUE"""),109)</f>
        <v>109</v>
      </c>
      <c r="S348" s="1">
        <f ca="1">IFERROR(__xludf.DUMMYFUNCTION("""COMPUTED_VALUE"""),329)</f>
        <v>329</v>
      </c>
      <c r="T348" s="1">
        <f ca="1">IFERROR(__xludf.DUMMYFUNCTION("""COMPUTED_VALUE"""),-5.56)</f>
        <v>-5.56</v>
      </c>
      <c r="U348" s="1">
        <f ca="1">IFERROR(__xludf.DUMMYFUNCTION("""COMPUTED_VALUE"""),290)</f>
        <v>290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IFERROR(__xludf.DUMMYFUNCTION("""COMPUTED_VALUE"""),"Alabama A&amp;M")</f>
        <v>Alabama A&amp;M</v>
      </c>
      <c r="C349" s="1" t="str">
        <f ca="1">IFERROR(__xludf.DUMMYFUNCTION("""COMPUTED_VALUE"""),"SWAC")</f>
        <v>SWAC</v>
      </c>
      <c r="D349" s="2">
        <f ca="1">IFERROR(__xludf.DUMMYFUNCTION("""COMPUTED_VALUE"""),44854)</f>
        <v>44854</v>
      </c>
      <c r="E349" s="1">
        <f ca="1">IFERROR(__xludf.DUMMYFUNCTION("""COMPUTED_VALUE"""),-22.96)</f>
        <v>-22.96</v>
      </c>
      <c r="F349" s="1">
        <f ca="1">IFERROR(__xludf.DUMMYFUNCTION("""COMPUTED_VALUE"""),83.9)</f>
        <v>83.9</v>
      </c>
      <c r="G349" s="1">
        <f ca="1">IFERROR(__xludf.DUMMYFUNCTION("""COMPUTED_VALUE"""),334)</f>
        <v>334</v>
      </c>
      <c r="H349" s="1">
        <f ca="1">IFERROR(__xludf.DUMMYFUNCTION("""COMPUTED_VALUE"""),106.9)</f>
        <v>106.9</v>
      </c>
      <c r="I349" s="1">
        <f ca="1">IFERROR(__xludf.DUMMYFUNCTION("""COMPUTED_VALUE"""),212)</f>
        <v>212</v>
      </c>
      <c r="J349" s="1">
        <f ca="1">IFERROR(__xludf.DUMMYFUNCTION("""COMPUTED_VALUE"""),70.8)</f>
        <v>70.8</v>
      </c>
      <c r="K349" s="1">
        <f ca="1">IFERROR(__xludf.DUMMYFUNCTION("""COMPUTED_VALUE"""),26)</f>
        <v>26</v>
      </c>
      <c r="L349" s="1">
        <f ca="1">IFERROR(__xludf.DUMMYFUNCTION("""COMPUTED_VALUE"""),-0.041)</f>
        <v>-4.1000000000000002E-2</v>
      </c>
      <c r="M349" s="1">
        <f ca="1">IFERROR(__xludf.DUMMYFUNCTION("""COMPUTED_VALUE"""),269)</f>
        <v>269</v>
      </c>
      <c r="N349" s="1">
        <f ca="1">IFERROR(__xludf.DUMMYFUNCTION("""COMPUTED_VALUE"""),-13.39)</f>
        <v>-13.39</v>
      </c>
      <c r="O349" s="1">
        <f ca="1">IFERROR(__xludf.DUMMYFUNCTION("""COMPUTED_VALUE"""),336)</f>
        <v>336</v>
      </c>
      <c r="P349" s="1">
        <f ca="1">IFERROR(__xludf.DUMMYFUNCTION("""COMPUTED_VALUE"""),94.4)</f>
        <v>94.4</v>
      </c>
      <c r="Q349" s="1">
        <f ca="1">IFERROR(__xludf.DUMMYFUNCTION("""COMPUTED_VALUE"""),335)</f>
        <v>335</v>
      </c>
      <c r="R349" s="1">
        <f ca="1">IFERROR(__xludf.DUMMYFUNCTION("""COMPUTED_VALUE"""),107.8)</f>
        <v>107.8</v>
      </c>
      <c r="S349" s="1">
        <f ca="1">IFERROR(__xludf.DUMMYFUNCTION("""COMPUTED_VALUE"""),299)</f>
        <v>299</v>
      </c>
      <c r="T349" s="1" t="str">
        <f ca="1">IFERROR(__xludf.DUMMYFUNCTION("""COMPUTED_VALUE"""),"+2.89")</f>
        <v>+2.89</v>
      </c>
      <c r="U349" s="1">
        <f ca="1">IFERROR(__xludf.DUMMYFUNCTION("""COMPUTED_VALUE"""),85)</f>
        <v>85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IFERROR(__xludf.DUMMYFUNCTION("""COMPUTED_VALUE"""),"Prairie View A&amp;M")</f>
        <v>Prairie View A&amp;M</v>
      </c>
      <c r="C350" s="1" t="str">
        <f ca="1">IFERROR(__xludf.DUMMYFUNCTION("""COMPUTED_VALUE"""),"SWAC")</f>
        <v>SWAC</v>
      </c>
      <c r="D350" s="2">
        <f ca="1">IFERROR(__xludf.DUMMYFUNCTION("""COMPUTED_VALUE"""),44795)</f>
        <v>44795</v>
      </c>
      <c r="E350" s="1">
        <f ca="1">IFERROR(__xludf.DUMMYFUNCTION("""COMPUTED_VALUE"""),-23.69)</f>
        <v>-23.69</v>
      </c>
      <c r="F350" s="1">
        <f ca="1">IFERROR(__xludf.DUMMYFUNCTION("""COMPUTED_VALUE"""),84.2)</f>
        <v>84.2</v>
      </c>
      <c r="G350" s="1">
        <f ca="1">IFERROR(__xludf.DUMMYFUNCTION("""COMPUTED_VALUE"""),333)</f>
        <v>333</v>
      </c>
      <c r="H350" s="1">
        <f ca="1">IFERROR(__xludf.DUMMYFUNCTION("""COMPUTED_VALUE"""),107.9)</f>
        <v>107.9</v>
      </c>
      <c r="I350" s="1">
        <f ca="1">IFERROR(__xludf.DUMMYFUNCTION("""COMPUTED_VALUE"""),229)</f>
        <v>229</v>
      </c>
      <c r="J350" s="1">
        <f ca="1">IFERROR(__xludf.DUMMYFUNCTION("""COMPUTED_VALUE"""),69.6)</f>
        <v>69.599999999999994</v>
      </c>
      <c r="K350" s="1">
        <f ca="1">IFERROR(__xludf.DUMMYFUNCTION("""COMPUTED_VALUE"""),41)</f>
        <v>41</v>
      </c>
      <c r="L350" s="1" t="str">
        <f ca="1">IFERROR(__xludf.DUMMYFUNCTION("""COMPUTED_VALUE"""),"+.004")</f>
        <v>+.004</v>
      </c>
      <c r="M350" s="1">
        <f ca="1">IFERROR(__xludf.DUMMYFUNCTION("""COMPUTED_VALUE"""),168)</f>
        <v>168</v>
      </c>
      <c r="N350" s="1">
        <f ca="1">IFERROR(__xludf.DUMMYFUNCTION("""COMPUTED_VALUE"""),-9.88)</f>
        <v>-9.8800000000000008</v>
      </c>
      <c r="O350" s="1">
        <f ca="1">IFERROR(__xludf.DUMMYFUNCTION("""COMPUTED_VALUE"""),319)</f>
        <v>319</v>
      </c>
      <c r="P350" s="1">
        <f ca="1">IFERROR(__xludf.DUMMYFUNCTION("""COMPUTED_VALUE"""),96.2)</f>
        <v>96.2</v>
      </c>
      <c r="Q350" s="1">
        <f ca="1">IFERROR(__xludf.DUMMYFUNCTION("""COMPUTED_VALUE"""),329)</f>
        <v>329</v>
      </c>
      <c r="R350" s="1">
        <f ca="1">IFERROR(__xludf.DUMMYFUNCTION("""COMPUTED_VALUE"""),106)</f>
        <v>106</v>
      </c>
      <c r="S350" s="1">
        <f ca="1">IFERROR(__xludf.DUMMYFUNCTION("""COMPUTED_VALUE"""),217)</f>
        <v>217</v>
      </c>
      <c r="T350" s="1" t="str">
        <f ca="1">IFERROR(__xludf.DUMMYFUNCTION("""COMPUTED_VALUE"""),"+7.88")</f>
        <v>+7.88</v>
      </c>
      <c r="U350" s="1">
        <f ca="1">IFERROR(__xludf.DUMMYFUNCTION("""COMPUTED_VALUE"""),28)</f>
        <v>28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IFERROR(__xludf.DUMMYFUNCTION("""COMPUTED_VALUE"""),"Bethune Cookman")</f>
        <v>Bethune Cookman</v>
      </c>
      <c r="C351" s="1" t="str">
        <f ca="1">IFERROR(__xludf.DUMMYFUNCTION("""COMPUTED_VALUE"""),"MEAC")</f>
        <v>MEAC</v>
      </c>
      <c r="D351" s="2">
        <f ca="1">IFERROR(__xludf.DUMMYFUNCTION("""COMPUTED_VALUE"""),44825)</f>
        <v>44825</v>
      </c>
      <c r="E351" s="1">
        <f ca="1">IFERROR(__xludf.DUMMYFUNCTION("""COMPUTED_VALUE"""),-24.79)</f>
        <v>-24.79</v>
      </c>
      <c r="F351" s="1">
        <f ca="1">IFERROR(__xludf.DUMMYFUNCTION("""COMPUTED_VALUE"""),83)</f>
        <v>83</v>
      </c>
      <c r="G351" s="1">
        <f ca="1">IFERROR(__xludf.DUMMYFUNCTION("""COMPUTED_VALUE"""),335)</f>
        <v>335</v>
      </c>
      <c r="H351" s="1">
        <f ca="1">IFERROR(__xludf.DUMMYFUNCTION("""COMPUTED_VALUE"""),107.8)</f>
        <v>107.8</v>
      </c>
      <c r="I351" s="1">
        <f ca="1">IFERROR(__xludf.DUMMYFUNCTION("""COMPUTED_VALUE"""),226)</f>
        <v>226</v>
      </c>
      <c r="J351" s="1">
        <f ca="1">IFERROR(__xludf.DUMMYFUNCTION("""COMPUTED_VALUE"""),59.9)</f>
        <v>59.9</v>
      </c>
      <c r="K351" s="1">
        <f ca="1">IFERROR(__xludf.DUMMYFUNCTION("""COMPUTED_VALUE"""),323)</f>
        <v>323</v>
      </c>
      <c r="L351" s="1" t="str">
        <f ca="1">IFERROR(__xludf.DUMMYFUNCTION("""COMPUTED_VALUE"""),"+.034")</f>
        <v>+.034</v>
      </c>
      <c r="M351" s="1">
        <f ca="1">IFERROR(__xludf.DUMMYFUNCTION("""COMPUTED_VALUE"""),89)</f>
        <v>89</v>
      </c>
      <c r="N351" s="1">
        <f ca="1">IFERROR(__xludf.DUMMYFUNCTION("""COMPUTED_VALUE"""),-11.31)</f>
        <v>-11.31</v>
      </c>
      <c r="O351" s="1">
        <f ca="1">IFERROR(__xludf.DUMMYFUNCTION("""COMPUTED_VALUE"""),327)</f>
        <v>327</v>
      </c>
      <c r="P351" s="1">
        <f ca="1">IFERROR(__xludf.DUMMYFUNCTION("""COMPUTED_VALUE"""),97.7)</f>
        <v>97.7</v>
      </c>
      <c r="Q351" s="1">
        <f ca="1">IFERROR(__xludf.DUMMYFUNCTION("""COMPUTED_VALUE"""),321)</f>
        <v>321</v>
      </c>
      <c r="R351" s="1">
        <f ca="1">IFERROR(__xludf.DUMMYFUNCTION("""COMPUTED_VALUE"""),109.1)</f>
        <v>109.1</v>
      </c>
      <c r="S351" s="1">
        <f ca="1">IFERROR(__xludf.DUMMYFUNCTION("""COMPUTED_VALUE"""),330)</f>
        <v>330</v>
      </c>
      <c r="T351" s="1" t="str">
        <f ca="1">IFERROR(__xludf.DUMMYFUNCTION("""COMPUTED_VALUE"""),"+1.17")</f>
        <v>+1.17</v>
      </c>
      <c r="U351" s="1">
        <f ca="1">IFERROR(__xludf.DUMMYFUNCTION("""COMPUTED_VALUE"""),125)</f>
        <v>125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IFERROR(__xludf.DUMMYFUNCTION("""COMPUTED_VALUE"""),"NJIT")</f>
        <v>NJIT</v>
      </c>
      <c r="C352" s="1" t="str">
        <f ca="1">IFERROR(__xludf.DUMMYFUNCTION("""COMPUTED_VALUE"""),"ind")</f>
        <v>ind</v>
      </c>
      <c r="D352" s="2">
        <f ca="1">IFERROR(__xludf.DUMMYFUNCTION("""COMPUTED_VALUE"""),44705)</f>
        <v>44705</v>
      </c>
      <c r="E352" s="1">
        <f ca="1">IFERROR(__xludf.DUMMYFUNCTION("""COMPUTED_VALUE"""),-25.11)</f>
        <v>-25.11</v>
      </c>
      <c r="F352" s="1">
        <f ca="1">IFERROR(__xludf.DUMMYFUNCTION("""COMPUTED_VALUE"""),85.3)</f>
        <v>85.3</v>
      </c>
      <c r="G352" s="1">
        <f ca="1">IFERROR(__xludf.DUMMYFUNCTION("""COMPUTED_VALUE"""),332)</f>
        <v>332</v>
      </c>
      <c r="H352" s="1">
        <f ca="1">IFERROR(__xludf.DUMMYFUNCTION("""COMPUTED_VALUE"""),110.4)</f>
        <v>110.4</v>
      </c>
      <c r="I352" s="1">
        <f ca="1">IFERROR(__xludf.DUMMYFUNCTION("""COMPUTED_VALUE"""),282)</f>
        <v>282</v>
      </c>
      <c r="J352" s="1">
        <f ca="1">IFERROR(__xludf.DUMMYFUNCTION("""COMPUTED_VALUE"""),65.3)</f>
        <v>65.3</v>
      </c>
      <c r="K352" s="1">
        <f ca="1">IFERROR(__xludf.DUMMYFUNCTION("""COMPUTED_VALUE"""),184)</f>
        <v>184</v>
      </c>
      <c r="L352" s="1" t="str">
        <f ca="1">IFERROR(__xludf.DUMMYFUNCTION("""COMPUTED_VALUE"""),"+.027")</f>
        <v>+.027</v>
      </c>
      <c r="M352" s="1">
        <f ca="1">IFERROR(__xludf.DUMMYFUNCTION("""COMPUTED_VALUE"""),113)</f>
        <v>113</v>
      </c>
      <c r="N352" s="1">
        <f ca="1">IFERROR(__xludf.DUMMYFUNCTION("""COMPUTED_VALUE"""),-7.3)</f>
        <v>-7.3</v>
      </c>
      <c r="O352" s="1">
        <f ca="1">IFERROR(__xludf.DUMMYFUNCTION("""COMPUTED_VALUE"""),298)</f>
        <v>298</v>
      </c>
      <c r="P352" s="1">
        <f ca="1">IFERROR(__xludf.DUMMYFUNCTION("""COMPUTED_VALUE"""),100.7)</f>
        <v>100.7</v>
      </c>
      <c r="Q352" s="1">
        <f ca="1">IFERROR(__xludf.DUMMYFUNCTION("""COMPUTED_VALUE"""),282)</f>
        <v>282</v>
      </c>
      <c r="R352" s="1">
        <f ca="1">IFERROR(__xludf.DUMMYFUNCTION("""COMPUTED_VALUE"""),108)</f>
        <v>108</v>
      </c>
      <c r="S352" s="1">
        <f ca="1">IFERROR(__xludf.DUMMYFUNCTION("""COMPUTED_VALUE"""),311)</f>
        <v>311</v>
      </c>
      <c r="T352" s="1">
        <f ca="1">IFERROR(__xludf.DUMMYFUNCTION("""COMPUTED_VALUE"""),-6.55)</f>
        <v>-6.55</v>
      </c>
      <c r="U352" s="1">
        <f ca="1">IFERROR(__xludf.DUMMYFUNCTION("""COMPUTED_VALUE"""),305)</f>
        <v>305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IFERROR(__xludf.DUMMYFUNCTION("""COMPUTED_VALUE"""),"North Florida")</f>
        <v>North Florida</v>
      </c>
      <c r="C353" s="1" t="str">
        <f ca="1">IFERROR(__xludf.DUMMYFUNCTION("""COMPUTED_VALUE"""),"ASun")</f>
        <v>ASun</v>
      </c>
      <c r="D353" s="2">
        <f ca="1">IFERROR(__xludf.DUMMYFUNCTION("""COMPUTED_VALUE"""),44646)</f>
        <v>44646</v>
      </c>
      <c r="E353" s="1">
        <f ca="1">IFERROR(__xludf.DUMMYFUNCTION("""COMPUTED_VALUE"""),-26.02)</f>
        <v>-26.02</v>
      </c>
      <c r="F353" s="1">
        <f ca="1">IFERROR(__xludf.DUMMYFUNCTION("""COMPUTED_VALUE"""),82.6)</f>
        <v>82.6</v>
      </c>
      <c r="G353" s="1">
        <f ca="1">IFERROR(__xludf.DUMMYFUNCTION("""COMPUTED_VALUE"""),336)</f>
        <v>336</v>
      </c>
      <c r="H353" s="1">
        <f ca="1">IFERROR(__xludf.DUMMYFUNCTION("""COMPUTED_VALUE"""),108.6)</f>
        <v>108.6</v>
      </c>
      <c r="I353" s="1">
        <f ca="1">IFERROR(__xludf.DUMMYFUNCTION("""COMPUTED_VALUE"""),242)</f>
        <v>242</v>
      </c>
      <c r="J353" s="1">
        <f ca="1">IFERROR(__xludf.DUMMYFUNCTION("""COMPUTED_VALUE"""),62.9)</f>
        <v>62.9</v>
      </c>
      <c r="K353" s="1">
        <f ca="1">IFERROR(__xludf.DUMMYFUNCTION("""COMPUTED_VALUE"""),285)</f>
        <v>285</v>
      </c>
      <c r="L353" s="1">
        <f ca="1">IFERROR(__xludf.DUMMYFUNCTION("""COMPUTED_VALUE"""),-0.1)</f>
        <v>-0.1</v>
      </c>
      <c r="M353" s="1">
        <f ca="1">IFERROR(__xludf.DUMMYFUNCTION("""COMPUTED_VALUE"""),328)</f>
        <v>328</v>
      </c>
      <c r="N353" s="1">
        <f ca="1">IFERROR(__xludf.DUMMYFUNCTION("""COMPUTED_VALUE"""),-7.22)</f>
        <v>-7.22</v>
      </c>
      <c r="O353" s="1">
        <f ca="1">IFERROR(__xludf.DUMMYFUNCTION("""COMPUTED_VALUE"""),297)</f>
        <v>297</v>
      </c>
      <c r="P353" s="1">
        <f ca="1">IFERROR(__xludf.DUMMYFUNCTION("""COMPUTED_VALUE"""),100.7)</f>
        <v>100.7</v>
      </c>
      <c r="Q353" s="1">
        <f ca="1">IFERROR(__xludf.DUMMYFUNCTION("""COMPUTED_VALUE"""),279)</f>
        <v>279</v>
      </c>
      <c r="R353" s="1">
        <f ca="1">IFERROR(__xludf.DUMMYFUNCTION("""COMPUTED_VALUE"""),108)</f>
        <v>108</v>
      </c>
      <c r="S353" s="1">
        <f ca="1">IFERROR(__xludf.DUMMYFUNCTION("""COMPUTED_VALUE"""),308)</f>
        <v>308</v>
      </c>
      <c r="T353" s="1">
        <f ca="1">IFERROR(__xludf.DUMMYFUNCTION("""COMPUTED_VALUE"""),-2.73)</f>
        <v>-2.73</v>
      </c>
      <c r="U353" s="1">
        <f ca="1">IFERROR(__xludf.DUMMYFUNCTION("""COMPUTED_VALUE"""),219)</f>
        <v>219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IFERROR(__xludf.DUMMYFUNCTION("""COMPUTED_VALUE"""),"Maryland Eastern Shore")</f>
        <v>Maryland Eastern Shore</v>
      </c>
      <c r="C354" s="1" t="str">
        <f ca="1">IFERROR(__xludf.DUMMYFUNCTION("""COMPUTED_VALUE"""),"MEAC")</f>
        <v>MEAC</v>
      </c>
      <c r="D354" s="2">
        <f ca="1">IFERROR(__xludf.DUMMYFUNCTION("""COMPUTED_VALUE"""),44678)</f>
        <v>44678</v>
      </c>
      <c r="E354" s="1">
        <f ca="1">IFERROR(__xludf.DUMMYFUNCTION("""COMPUTED_VALUE"""),-27.18)</f>
        <v>-27.18</v>
      </c>
      <c r="F354" s="1">
        <f ca="1">IFERROR(__xludf.DUMMYFUNCTION("""COMPUTED_VALUE"""),86.8)</f>
        <v>86.8</v>
      </c>
      <c r="G354" s="1">
        <f ca="1">IFERROR(__xludf.DUMMYFUNCTION("""COMPUTED_VALUE"""),330)</f>
        <v>330</v>
      </c>
      <c r="H354" s="1">
        <f ca="1">IFERROR(__xludf.DUMMYFUNCTION("""COMPUTED_VALUE"""),114)</f>
        <v>114</v>
      </c>
      <c r="I354" s="1">
        <f ca="1">IFERROR(__xludf.DUMMYFUNCTION("""COMPUTED_VALUE"""),323)</f>
        <v>323</v>
      </c>
      <c r="J354" s="1">
        <f ca="1">IFERROR(__xludf.DUMMYFUNCTION("""COMPUTED_VALUE"""),67.5)</f>
        <v>67.5</v>
      </c>
      <c r="K354" s="1">
        <f ca="1">IFERROR(__xludf.DUMMYFUNCTION("""COMPUTED_VALUE"""),99)</f>
        <v>99</v>
      </c>
      <c r="L354" s="1">
        <f ca="1">IFERROR(__xludf.DUMMYFUNCTION("""COMPUTED_VALUE"""),-0.094)</f>
        <v>-9.4E-2</v>
      </c>
      <c r="M354" s="1">
        <f ca="1">IFERROR(__xludf.DUMMYFUNCTION("""COMPUTED_VALUE"""),326)</f>
        <v>326</v>
      </c>
      <c r="N354" s="1">
        <f ca="1">IFERROR(__xludf.DUMMYFUNCTION("""COMPUTED_VALUE"""),-10.76)</f>
        <v>-10.76</v>
      </c>
      <c r="O354" s="1">
        <f ca="1">IFERROR(__xludf.DUMMYFUNCTION("""COMPUTED_VALUE"""),324)</f>
        <v>324</v>
      </c>
      <c r="P354" s="1">
        <f ca="1">IFERROR(__xludf.DUMMYFUNCTION("""COMPUTED_VALUE"""),98.1)</f>
        <v>98.1</v>
      </c>
      <c r="Q354" s="1">
        <f ca="1">IFERROR(__xludf.DUMMYFUNCTION("""COMPUTED_VALUE"""),319)</f>
        <v>319</v>
      </c>
      <c r="R354" s="1">
        <f ca="1">IFERROR(__xludf.DUMMYFUNCTION("""COMPUTED_VALUE"""),108.8)</f>
        <v>108.8</v>
      </c>
      <c r="S354" s="1">
        <f ca="1">IFERROR(__xludf.DUMMYFUNCTION("""COMPUTED_VALUE"""),323)</f>
        <v>323</v>
      </c>
      <c r="T354" s="1" t="str">
        <f ca="1">IFERROR(__xludf.DUMMYFUNCTION("""COMPUTED_VALUE"""),"+0.61")</f>
        <v>+0.61</v>
      </c>
      <c r="U354" s="1">
        <f ca="1">IFERROR(__xludf.DUMMYFUNCTION("""COMPUTED_VALUE"""),142)</f>
        <v>142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U359"/>
  <sheetViews>
    <sheetView topLeftCell="A159" workbookViewId="0">
      <selection activeCell="C165" sqref="C165"/>
    </sheetView>
  </sheetViews>
  <sheetFormatPr baseColWidth="10" defaultColWidth="12.6640625" defaultRowHeight="15.75" customHeight="1" x14ac:dyDescent="0.15"/>
  <sheetData>
    <row r="1" spans="1:21" ht="13" x14ac:dyDescent="0.15">
      <c r="A1" s="3" t="str">
        <f ca="1">IFERROR(__xludf.DUMMYFUNCTION("IMPORThtML(""https://kenpom.com/index.php?y=2008"",""table"",1)"),"")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2</v>
      </c>
      <c r="H2" s="1" t="str">
        <f ca="1">IFERROR(__xludf.DUMMYFUNCTION("""COMPUTED_VALUE"""),"AdjD")</f>
        <v>AdjD</v>
      </c>
      <c r="I2" s="1" t="s">
        <v>3</v>
      </c>
      <c r="J2" s="1" t="str">
        <f ca="1">IFERROR(__xludf.DUMMYFUNCTION("""COMPUTED_VALUE"""),"AdjT")</f>
        <v>AdjT</v>
      </c>
      <c r="K2" s="1" t="s">
        <v>4</v>
      </c>
      <c r="L2" s="1" t="str">
        <f ca="1">IFERROR(__xludf.DUMMYFUNCTION("""COMPUTED_VALUE"""),"Luck")</f>
        <v>Luck</v>
      </c>
      <c r="M2" s="1" t="s">
        <v>5</v>
      </c>
      <c r="N2" s="1" t="s">
        <v>0</v>
      </c>
      <c r="O2" s="1" t="s">
        <v>6</v>
      </c>
      <c r="P2" s="1" t="str">
        <f ca="1">IFERROR(__xludf.DUMMYFUNCTION("""COMPUTED_VALUE"""),"OppO")</f>
        <v>OppO</v>
      </c>
      <c r="Q2" s="1" t="s">
        <v>7</v>
      </c>
      <c r="R2" s="1" t="str">
        <f ca="1">IFERROR(__xludf.DUMMYFUNCTION("""COMPUTED_VALUE"""),"OppD")</f>
        <v>OppD</v>
      </c>
      <c r="S2" s="1" t="s">
        <v>8</v>
      </c>
      <c r="T2" s="1" t="s">
        <v>1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IFERROR(__xludf.DUMMYFUNCTION("""COMPUTED_VALUE"""),"Kansas1")</f>
        <v>Kansas1</v>
      </c>
      <c r="C3" s="1" t="str">
        <f ca="1">IFERROR(__xludf.DUMMYFUNCTION("""COMPUTED_VALUE"""),"B12")</f>
        <v>B12</v>
      </c>
      <c r="D3" s="1" t="str">
        <f ca="1">IFERROR(__xludf.DUMMYFUNCTION("""COMPUTED_VALUE"""),"37-3")</f>
        <v>37-3</v>
      </c>
      <c r="E3" s="1" t="str">
        <f ca="1">IFERROR(__xludf.DUMMYFUNCTION("""COMPUTED_VALUE"""),"+35.21")</f>
        <v>+35.21</v>
      </c>
      <c r="F3" s="1">
        <f ca="1">IFERROR(__xludf.DUMMYFUNCTION("""COMPUTED_VALUE"""),120.9)</f>
        <v>120.9</v>
      </c>
      <c r="G3" s="1">
        <f ca="1">IFERROR(__xludf.DUMMYFUNCTION("""COMPUTED_VALUE"""),2)</f>
        <v>2</v>
      </c>
      <c r="H3" s="1">
        <f ca="1">IFERROR(__xludf.DUMMYFUNCTION("""COMPUTED_VALUE"""),85.7)</f>
        <v>85.7</v>
      </c>
      <c r="I3" s="1">
        <f ca="1">IFERROR(__xludf.DUMMYFUNCTION("""COMPUTED_VALUE"""),1)</f>
        <v>1</v>
      </c>
      <c r="J3" s="1">
        <f ca="1">IFERROR(__xludf.DUMMYFUNCTION("""COMPUTED_VALUE"""),66.8)</f>
        <v>66.8</v>
      </c>
      <c r="K3" s="1">
        <f ca="1">IFERROR(__xludf.DUMMYFUNCTION("""COMPUTED_VALUE"""),109)</f>
        <v>109</v>
      </c>
      <c r="L3" s="1" t="str">
        <f ca="1">IFERROR(__xludf.DUMMYFUNCTION("""COMPUTED_VALUE"""),"+.012")</f>
        <v>+.012</v>
      </c>
      <c r="M3" s="1">
        <f ca="1">IFERROR(__xludf.DUMMYFUNCTION("""COMPUTED_VALUE"""),138)</f>
        <v>138</v>
      </c>
      <c r="N3" s="1" t="str">
        <f ca="1">IFERROR(__xludf.DUMMYFUNCTION("""COMPUTED_VALUE"""),"+9.57")</f>
        <v>+9.57</v>
      </c>
      <c r="O3" s="1">
        <f ca="1">IFERROR(__xludf.DUMMYFUNCTION("""COMPUTED_VALUE"""),14)</f>
        <v>14</v>
      </c>
      <c r="P3" s="1">
        <f ca="1">IFERROR(__xludf.DUMMYFUNCTION("""COMPUTED_VALUE"""),109.2)</f>
        <v>109.2</v>
      </c>
      <c r="Q3" s="1">
        <f ca="1">IFERROR(__xludf.DUMMYFUNCTION("""COMPUTED_VALUE"""),8)</f>
        <v>8</v>
      </c>
      <c r="R3" s="1">
        <f ca="1">IFERROR(__xludf.DUMMYFUNCTION("""COMPUTED_VALUE"""),99.6)</f>
        <v>99.6</v>
      </c>
      <c r="S3" s="1">
        <f ca="1">IFERROR(__xludf.DUMMYFUNCTION("""COMPUTED_VALUE"""),35)</f>
        <v>35</v>
      </c>
      <c r="T3" s="1">
        <f ca="1">IFERROR(__xludf.DUMMYFUNCTION("""COMPUTED_VALUE"""),-1.41)</f>
        <v>-1.41</v>
      </c>
      <c r="U3" s="1">
        <f ca="1">IFERROR(__xludf.DUMMYFUNCTION("""COMPUTED_VALUE"""),184)</f>
        <v>184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IFERROR(__xludf.DUMMYFUNCTION("""COMPUTED_VALUE"""),"Memphis1")</f>
        <v>Memphis1</v>
      </c>
      <c r="C4" s="1" t="str">
        <f ca="1">IFERROR(__xludf.DUMMYFUNCTION("""COMPUTED_VALUE"""),"CUSA")</f>
        <v>CUSA</v>
      </c>
      <c r="D4" s="1" t="str">
        <f ca="1">IFERROR(__xludf.DUMMYFUNCTION("""COMPUTED_VALUE"""),"38-2")</f>
        <v>38-2</v>
      </c>
      <c r="E4" s="1" t="str">
        <f ca="1">IFERROR(__xludf.DUMMYFUNCTION("""COMPUTED_VALUE"""),"+31.51")</f>
        <v>+31.51</v>
      </c>
      <c r="F4" s="1">
        <f ca="1">IFERROR(__xludf.DUMMYFUNCTION("""COMPUTED_VALUE"""),118)</f>
        <v>118</v>
      </c>
      <c r="G4" s="1">
        <f ca="1">IFERROR(__xludf.DUMMYFUNCTION("""COMPUTED_VALUE"""),6)</f>
        <v>6</v>
      </c>
      <c r="H4" s="1">
        <f ca="1">IFERROR(__xludf.DUMMYFUNCTION("""COMPUTED_VALUE"""),86.5)</f>
        <v>86.5</v>
      </c>
      <c r="I4" s="1">
        <f ca="1">IFERROR(__xludf.DUMMYFUNCTION("""COMPUTED_VALUE"""),2)</f>
        <v>2</v>
      </c>
      <c r="J4" s="1">
        <f ca="1">IFERROR(__xludf.DUMMYFUNCTION("""COMPUTED_VALUE"""),68.1)</f>
        <v>68.099999999999994</v>
      </c>
      <c r="K4" s="1">
        <f ca="1">IFERROR(__xludf.DUMMYFUNCTION("""COMPUTED_VALUE"""),76)</f>
        <v>76</v>
      </c>
      <c r="L4" s="1" t="str">
        <f ca="1">IFERROR(__xludf.DUMMYFUNCTION("""COMPUTED_VALUE"""),"+.012")</f>
        <v>+.012</v>
      </c>
      <c r="M4" s="1">
        <f ca="1">IFERROR(__xludf.DUMMYFUNCTION("""COMPUTED_VALUE"""),141)</f>
        <v>141</v>
      </c>
      <c r="N4" s="1" t="str">
        <f ca="1">IFERROR(__xludf.DUMMYFUNCTION("""COMPUTED_VALUE"""),"+5.83")</f>
        <v>+5.83</v>
      </c>
      <c r="O4" s="1">
        <f ca="1">IFERROR(__xludf.DUMMYFUNCTION("""COMPUTED_VALUE"""),72)</f>
        <v>72</v>
      </c>
      <c r="P4" s="1">
        <f ca="1">IFERROR(__xludf.DUMMYFUNCTION("""COMPUTED_VALUE"""),107)</f>
        <v>107</v>
      </c>
      <c r="Q4" s="1">
        <f ca="1">IFERROR(__xludf.DUMMYFUNCTION("""COMPUTED_VALUE"""),62)</f>
        <v>62</v>
      </c>
      <c r="R4" s="1">
        <f ca="1">IFERROR(__xludf.DUMMYFUNCTION("""COMPUTED_VALUE"""),101.1)</f>
        <v>101.1</v>
      </c>
      <c r="S4" s="1">
        <f ca="1">IFERROR(__xludf.DUMMYFUNCTION("""COMPUTED_VALUE"""),79)</f>
        <v>79</v>
      </c>
      <c r="T4" s="1" t="str">
        <f ca="1">IFERROR(__xludf.DUMMYFUNCTION("""COMPUTED_VALUE"""),"+5.45")</f>
        <v>+5.45</v>
      </c>
      <c r="U4" s="1">
        <f ca="1">IFERROR(__xludf.DUMMYFUNCTION("""COMPUTED_VALUE"""),39)</f>
        <v>39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IFERROR(__xludf.DUMMYFUNCTION("""COMPUTED_VALUE"""),"North Carolina1")</f>
        <v>North Carolina1</v>
      </c>
      <c r="C5" s="1" t="str">
        <f ca="1">IFERROR(__xludf.DUMMYFUNCTION("""COMPUTED_VALUE"""),"ACC")</f>
        <v>ACC</v>
      </c>
      <c r="D5" s="1" t="str">
        <f ca="1">IFERROR(__xludf.DUMMYFUNCTION("""COMPUTED_VALUE"""),"36-3")</f>
        <v>36-3</v>
      </c>
      <c r="E5" s="1" t="str">
        <f ca="1">IFERROR(__xludf.DUMMYFUNCTION("""COMPUTED_VALUE"""),"+30.22")</f>
        <v>+30.22</v>
      </c>
      <c r="F5" s="1">
        <f ca="1">IFERROR(__xludf.DUMMYFUNCTION("""COMPUTED_VALUE"""),122.1)</f>
        <v>122.1</v>
      </c>
      <c r="G5" s="1">
        <f ca="1">IFERROR(__xludf.DUMMYFUNCTION("""COMPUTED_VALUE"""),1)</f>
        <v>1</v>
      </c>
      <c r="H5" s="1">
        <f ca="1">IFERROR(__xludf.DUMMYFUNCTION("""COMPUTED_VALUE"""),91.9)</f>
        <v>91.9</v>
      </c>
      <c r="I5" s="1">
        <f ca="1">IFERROR(__xludf.DUMMYFUNCTION("""COMPUTED_VALUE"""),14)</f>
        <v>14</v>
      </c>
      <c r="J5" s="1">
        <f ca="1">IFERROR(__xludf.DUMMYFUNCTION("""COMPUTED_VALUE"""),72.5)</f>
        <v>72.5</v>
      </c>
      <c r="K5" s="1">
        <f ca="1">IFERROR(__xludf.DUMMYFUNCTION("""COMPUTED_VALUE"""),9)</f>
        <v>9</v>
      </c>
      <c r="L5" s="1" t="str">
        <f ca="1">IFERROR(__xludf.DUMMYFUNCTION("""COMPUTED_VALUE"""),"+.050")</f>
        <v>+.050</v>
      </c>
      <c r="M5" s="1">
        <f ca="1">IFERROR(__xludf.DUMMYFUNCTION("""COMPUTED_VALUE"""),55)</f>
        <v>55</v>
      </c>
      <c r="N5" s="1" t="str">
        <f ca="1">IFERROR(__xludf.DUMMYFUNCTION("""COMPUTED_VALUE"""),"+10.18")</f>
        <v>+10.18</v>
      </c>
      <c r="O5" s="1">
        <f ca="1">IFERROR(__xludf.DUMMYFUNCTION("""COMPUTED_VALUE"""),7)</f>
        <v>7</v>
      </c>
      <c r="P5" s="1">
        <f ca="1">IFERROR(__xludf.DUMMYFUNCTION("""COMPUTED_VALUE"""),108)</f>
        <v>108</v>
      </c>
      <c r="Q5" s="1">
        <f ca="1">IFERROR(__xludf.DUMMYFUNCTION("""COMPUTED_VALUE"""),36)</f>
        <v>36</v>
      </c>
      <c r="R5" s="1">
        <f ca="1">IFERROR(__xludf.DUMMYFUNCTION("""COMPUTED_VALUE"""),97.8)</f>
        <v>97.8</v>
      </c>
      <c r="S5" s="1">
        <f ca="1">IFERROR(__xludf.DUMMYFUNCTION("""COMPUTED_VALUE"""),2)</f>
        <v>2</v>
      </c>
      <c r="T5" s="1" t="str">
        <f ca="1">IFERROR(__xludf.DUMMYFUNCTION("""COMPUTED_VALUE"""),"+1.50")</f>
        <v>+1.50</v>
      </c>
      <c r="U5" s="1">
        <f ca="1">IFERROR(__xludf.DUMMYFUNCTION("""COMPUTED_VALUE"""),107)</f>
        <v>107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IFERROR(__xludf.DUMMYFUNCTION("""COMPUTED_VALUE"""),"UCLA1")</f>
        <v>UCLA1</v>
      </c>
      <c r="C6" s="1" t="str">
        <f ca="1">IFERROR(__xludf.DUMMYFUNCTION("""COMPUTED_VALUE"""),"P10")</f>
        <v>P10</v>
      </c>
      <c r="D6" s="1" t="str">
        <f ca="1">IFERROR(__xludf.DUMMYFUNCTION("""COMPUTED_VALUE"""),"35-4")</f>
        <v>35-4</v>
      </c>
      <c r="E6" s="1" t="str">
        <f ca="1">IFERROR(__xludf.DUMMYFUNCTION("""COMPUTED_VALUE"""),"+29.94")</f>
        <v>+29.94</v>
      </c>
      <c r="F6" s="1">
        <f ca="1">IFERROR(__xludf.DUMMYFUNCTION("""COMPUTED_VALUE"""),118)</f>
        <v>118</v>
      </c>
      <c r="G6" s="1">
        <f ca="1">IFERROR(__xludf.DUMMYFUNCTION("""COMPUTED_VALUE"""),7)</f>
        <v>7</v>
      </c>
      <c r="H6" s="1">
        <f ca="1">IFERROR(__xludf.DUMMYFUNCTION("""COMPUTED_VALUE"""),88.1)</f>
        <v>88.1</v>
      </c>
      <c r="I6" s="1">
        <f ca="1">IFERROR(__xludf.DUMMYFUNCTION("""COMPUTED_VALUE"""),5)</f>
        <v>5</v>
      </c>
      <c r="J6" s="1">
        <f ca="1">IFERROR(__xludf.DUMMYFUNCTION("""COMPUTED_VALUE"""),64.1)</f>
        <v>64.099999999999994</v>
      </c>
      <c r="K6" s="1">
        <f ca="1">IFERROR(__xludf.DUMMYFUNCTION("""COMPUTED_VALUE"""),209)</f>
        <v>209</v>
      </c>
      <c r="L6" s="1" t="str">
        <f ca="1">IFERROR(__xludf.DUMMYFUNCTION("""COMPUTED_VALUE"""),"+.047")</f>
        <v>+.047</v>
      </c>
      <c r="M6" s="1">
        <f ca="1">IFERROR(__xludf.DUMMYFUNCTION("""COMPUTED_VALUE"""),62)</f>
        <v>62</v>
      </c>
      <c r="N6" s="1" t="str">
        <f ca="1">IFERROR(__xludf.DUMMYFUNCTION("""COMPUTED_VALUE"""),"+10.03")</f>
        <v>+10.03</v>
      </c>
      <c r="O6" s="1">
        <f ca="1">IFERROR(__xludf.DUMMYFUNCTION("""COMPUTED_VALUE"""),9)</f>
        <v>9</v>
      </c>
      <c r="P6" s="1">
        <f ca="1">IFERROR(__xludf.DUMMYFUNCTION("""COMPUTED_VALUE"""),109.3)</f>
        <v>109.3</v>
      </c>
      <c r="Q6" s="1">
        <f ca="1">IFERROR(__xludf.DUMMYFUNCTION("""COMPUTED_VALUE"""),6)</f>
        <v>6</v>
      </c>
      <c r="R6" s="1">
        <f ca="1">IFERROR(__xludf.DUMMYFUNCTION("""COMPUTED_VALUE"""),99.3)</f>
        <v>99.3</v>
      </c>
      <c r="S6" s="1">
        <f ca="1">IFERROR(__xludf.DUMMYFUNCTION("""COMPUTED_VALUE"""),24)</f>
        <v>24</v>
      </c>
      <c r="T6" s="1">
        <f ca="1">IFERROR(__xludf.DUMMYFUNCTION("""COMPUTED_VALUE"""),-1.63)</f>
        <v>-1.63</v>
      </c>
      <c r="U6" s="1">
        <f ca="1">IFERROR(__xludf.DUMMYFUNCTION("""COMPUTED_VALUE"""),196)</f>
        <v>196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IFERROR(__xludf.DUMMYFUNCTION("""COMPUTED_VALUE"""),"Wisconsin3")</f>
        <v>Wisconsin3</v>
      </c>
      <c r="C7" s="1" t="str">
        <f ca="1">IFERROR(__xludf.DUMMYFUNCTION("""COMPUTED_VALUE"""),"B10")</f>
        <v>B10</v>
      </c>
      <c r="D7" s="1" t="str">
        <f ca="1">IFERROR(__xludf.DUMMYFUNCTION("""COMPUTED_VALUE"""),"31-5")</f>
        <v>31-5</v>
      </c>
      <c r="E7" s="1" t="str">
        <f ca="1">IFERROR(__xludf.DUMMYFUNCTION("""COMPUTED_VALUE"""),"+26.68")</f>
        <v>+26.68</v>
      </c>
      <c r="F7" s="1">
        <f ca="1">IFERROR(__xludf.DUMMYFUNCTION("""COMPUTED_VALUE"""),113.5)</f>
        <v>113.5</v>
      </c>
      <c r="G7" s="1">
        <f ca="1">IFERROR(__xludf.DUMMYFUNCTION("""COMPUTED_VALUE"""),37)</f>
        <v>37</v>
      </c>
      <c r="H7" s="1">
        <f ca="1">IFERROR(__xludf.DUMMYFUNCTION("""COMPUTED_VALUE"""),86.8)</f>
        <v>86.8</v>
      </c>
      <c r="I7" s="1">
        <f ca="1">IFERROR(__xludf.DUMMYFUNCTION("""COMPUTED_VALUE"""),3)</f>
        <v>3</v>
      </c>
      <c r="J7" s="1">
        <f ca="1">IFERROR(__xludf.DUMMYFUNCTION("""COMPUTED_VALUE"""),61.1)</f>
        <v>61.1</v>
      </c>
      <c r="K7" s="1">
        <f ca="1">IFERROR(__xludf.DUMMYFUNCTION("""COMPUTED_VALUE"""),306)</f>
        <v>306</v>
      </c>
      <c r="L7" s="1" t="str">
        <f ca="1">IFERROR(__xludf.DUMMYFUNCTION("""COMPUTED_VALUE"""),"+.043")</f>
        <v>+.043</v>
      </c>
      <c r="M7" s="1">
        <f ca="1">IFERROR(__xludf.DUMMYFUNCTION("""COMPUTED_VALUE"""),69)</f>
        <v>69</v>
      </c>
      <c r="N7" s="1" t="str">
        <f ca="1">IFERROR(__xludf.DUMMYFUNCTION("""COMPUTED_VALUE"""),"+7.35")</f>
        <v>+7.35</v>
      </c>
      <c r="O7" s="1">
        <f ca="1">IFERROR(__xludf.DUMMYFUNCTION("""COMPUTED_VALUE"""),51)</f>
        <v>51</v>
      </c>
      <c r="P7" s="1">
        <f ca="1">IFERROR(__xludf.DUMMYFUNCTION("""COMPUTED_VALUE"""),107.1)</f>
        <v>107.1</v>
      </c>
      <c r="Q7" s="1">
        <f ca="1">IFERROR(__xludf.DUMMYFUNCTION("""COMPUTED_VALUE"""),61)</f>
        <v>61</v>
      </c>
      <c r="R7" s="1">
        <f ca="1">IFERROR(__xludf.DUMMYFUNCTION("""COMPUTED_VALUE"""),99.8)</f>
        <v>99.8</v>
      </c>
      <c r="S7" s="1">
        <f ca="1">IFERROR(__xludf.DUMMYFUNCTION("""COMPUTED_VALUE"""),40)</f>
        <v>40</v>
      </c>
      <c r="T7" s="1">
        <f ca="1">IFERROR(__xludf.DUMMYFUNCTION("""COMPUTED_VALUE"""),-0.19)</f>
        <v>-0.19</v>
      </c>
      <c r="U7" s="1">
        <f ca="1">IFERROR(__xludf.DUMMYFUNCTION("""COMPUTED_VALUE"""),154)</f>
        <v>154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IFERROR(__xludf.DUMMYFUNCTION("""COMPUTED_VALUE"""),"Duke2")</f>
        <v>Duke2</v>
      </c>
      <c r="C8" s="1" t="str">
        <f ca="1">IFERROR(__xludf.DUMMYFUNCTION("""COMPUTED_VALUE"""),"ACC")</f>
        <v>ACC</v>
      </c>
      <c r="D8" s="1" t="str">
        <f ca="1">IFERROR(__xludf.DUMMYFUNCTION("""COMPUTED_VALUE"""),"28-6")</f>
        <v>28-6</v>
      </c>
      <c r="E8" s="1" t="str">
        <f ca="1">IFERROR(__xludf.DUMMYFUNCTION("""COMPUTED_VALUE"""),"+26.40")</f>
        <v>+26.40</v>
      </c>
      <c r="F8" s="1">
        <f ca="1">IFERROR(__xludf.DUMMYFUNCTION("""COMPUTED_VALUE"""),116.3)</f>
        <v>116.3</v>
      </c>
      <c r="G8" s="1">
        <f ca="1">IFERROR(__xludf.DUMMYFUNCTION("""COMPUTED_VALUE"""),13)</f>
        <v>13</v>
      </c>
      <c r="H8" s="1">
        <f ca="1">IFERROR(__xludf.DUMMYFUNCTION("""COMPUTED_VALUE"""),89.9)</f>
        <v>89.9</v>
      </c>
      <c r="I8" s="1">
        <f ca="1">IFERROR(__xludf.DUMMYFUNCTION("""COMPUTED_VALUE"""),7)</f>
        <v>7</v>
      </c>
      <c r="J8" s="1">
        <f ca="1">IFERROR(__xludf.DUMMYFUNCTION("""COMPUTED_VALUE"""),71.5)</f>
        <v>71.5</v>
      </c>
      <c r="K8" s="1">
        <f ca="1">IFERROR(__xludf.DUMMYFUNCTION("""COMPUTED_VALUE"""),13)</f>
        <v>13</v>
      </c>
      <c r="L8" s="1">
        <f ca="1">IFERROR(__xludf.DUMMYFUNCTION("""COMPUTED_VALUE"""),-0.006)</f>
        <v>-6.0000000000000001E-3</v>
      </c>
      <c r="M8" s="1">
        <f ca="1">IFERROR(__xludf.DUMMYFUNCTION("""COMPUTED_VALUE"""),189)</f>
        <v>189</v>
      </c>
      <c r="N8" s="1" t="str">
        <f ca="1">IFERROR(__xludf.DUMMYFUNCTION("""COMPUTED_VALUE"""),"+10.06")</f>
        <v>+10.06</v>
      </c>
      <c r="O8" s="1">
        <f ca="1">IFERROR(__xludf.DUMMYFUNCTION("""COMPUTED_VALUE"""),8)</f>
        <v>8</v>
      </c>
      <c r="P8" s="1">
        <f ca="1">IFERROR(__xludf.DUMMYFUNCTION("""COMPUTED_VALUE"""),109.1)</f>
        <v>109.1</v>
      </c>
      <c r="Q8" s="1">
        <f ca="1">IFERROR(__xludf.DUMMYFUNCTION("""COMPUTED_VALUE"""),9)</f>
        <v>9</v>
      </c>
      <c r="R8" s="1">
        <f ca="1">IFERROR(__xludf.DUMMYFUNCTION("""COMPUTED_VALUE"""),99)</f>
        <v>99</v>
      </c>
      <c r="S8" s="1">
        <f ca="1">IFERROR(__xludf.DUMMYFUNCTION("""COMPUTED_VALUE"""),18)</f>
        <v>18</v>
      </c>
      <c r="T8" s="1" t="str">
        <f ca="1">IFERROR(__xludf.DUMMYFUNCTION("""COMPUTED_VALUE"""),"+3.36")</f>
        <v>+3.36</v>
      </c>
      <c r="U8" s="1">
        <f ca="1">IFERROR(__xludf.DUMMYFUNCTION("""COMPUTED_VALUE"""),73)</f>
        <v>73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IFERROR(__xludf.DUMMYFUNCTION("""COMPUTED_VALUE"""),"Georgetown2")</f>
        <v>Georgetown2</v>
      </c>
      <c r="C9" s="1" t="str">
        <f ca="1">IFERROR(__xludf.DUMMYFUNCTION("""COMPUTED_VALUE"""),"BE")</f>
        <v>BE</v>
      </c>
      <c r="D9" s="1" t="str">
        <f ca="1">IFERROR(__xludf.DUMMYFUNCTION("""COMPUTED_VALUE"""),"28-6")</f>
        <v>28-6</v>
      </c>
      <c r="E9" s="1" t="str">
        <f ca="1">IFERROR(__xludf.DUMMYFUNCTION("""COMPUTED_VALUE"""),"+25.56")</f>
        <v>+25.56</v>
      </c>
      <c r="F9" s="1">
        <f ca="1">IFERROR(__xludf.DUMMYFUNCTION("""COMPUTED_VALUE"""),115.2)</f>
        <v>115.2</v>
      </c>
      <c r="G9" s="1">
        <f ca="1">IFERROR(__xludf.DUMMYFUNCTION("""COMPUTED_VALUE"""),21)</f>
        <v>21</v>
      </c>
      <c r="H9" s="1">
        <f ca="1">IFERROR(__xludf.DUMMYFUNCTION("""COMPUTED_VALUE"""),89.7)</f>
        <v>89.7</v>
      </c>
      <c r="I9" s="1">
        <f ca="1">IFERROR(__xludf.DUMMYFUNCTION("""COMPUTED_VALUE"""),6)</f>
        <v>6</v>
      </c>
      <c r="J9" s="1">
        <f ca="1">IFERROR(__xludf.DUMMYFUNCTION("""COMPUTED_VALUE"""),60.5)</f>
        <v>60.5</v>
      </c>
      <c r="K9" s="1">
        <f ca="1">IFERROR(__xludf.DUMMYFUNCTION("""COMPUTED_VALUE"""),316)</f>
        <v>316</v>
      </c>
      <c r="L9" s="1" t="str">
        <f ca="1">IFERROR(__xludf.DUMMYFUNCTION("""COMPUTED_VALUE"""),"+.029")</f>
        <v>+.029</v>
      </c>
      <c r="M9" s="1">
        <f ca="1">IFERROR(__xludf.DUMMYFUNCTION("""COMPUTED_VALUE"""),99)</f>
        <v>99</v>
      </c>
      <c r="N9" s="1" t="str">
        <f ca="1">IFERROR(__xludf.DUMMYFUNCTION("""COMPUTED_VALUE"""),"+8.48")</f>
        <v>+8.48</v>
      </c>
      <c r="O9" s="1">
        <f ca="1">IFERROR(__xludf.DUMMYFUNCTION("""COMPUTED_VALUE"""),35)</f>
        <v>35</v>
      </c>
      <c r="P9" s="1">
        <f ca="1">IFERROR(__xludf.DUMMYFUNCTION("""COMPUTED_VALUE"""),108.2)</f>
        <v>108.2</v>
      </c>
      <c r="Q9" s="1">
        <f ca="1">IFERROR(__xludf.DUMMYFUNCTION("""COMPUTED_VALUE"""),31)</f>
        <v>31</v>
      </c>
      <c r="R9" s="1">
        <f ca="1">IFERROR(__xludf.DUMMYFUNCTION("""COMPUTED_VALUE"""),99.8)</f>
        <v>99.8</v>
      </c>
      <c r="S9" s="1">
        <f ca="1">IFERROR(__xludf.DUMMYFUNCTION("""COMPUTED_VALUE"""),39)</f>
        <v>39</v>
      </c>
      <c r="T9" s="1">
        <f ca="1">IFERROR(__xludf.DUMMYFUNCTION("""COMPUTED_VALUE"""),-2.72)</f>
        <v>-2.72</v>
      </c>
      <c r="U9" s="1">
        <f ca="1">IFERROR(__xludf.DUMMYFUNCTION("""COMPUTED_VALUE"""),235)</f>
        <v>235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IFERROR(__xludf.DUMMYFUNCTION("""COMPUTED_VALUE"""),"Louisville3")</f>
        <v>Louisville3</v>
      </c>
      <c r="C10" s="1" t="str">
        <f ca="1">IFERROR(__xludf.DUMMYFUNCTION("""COMPUTED_VALUE"""),"BE")</f>
        <v>BE</v>
      </c>
      <c r="D10" s="1" t="str">
        <f ca="1">IFERROR(__xludf.DUMMYFUNCTION("""COMPUTED_VALUE"""),"27-9")</f>
        <v>27-9</v>
      </c>
      <c r="E10" s="1" t="str">
        <f ca="1">IFERROR(__xludf.DUMMYFUNCTION("""COMPUTED_VALUE"""),"+25.41")</f>
        <v>+25.41</v>
      </c>
      <c r="F10" s="1">
        <f ca="1">IFERROR(__xludf.DUMMYFUNCTION("""COMPUTED_VALUE"""),113.1)</f>
        <v>113.1</v>
      </c>
      <c r="G10" s="1">
        <f ca="1">IFERROR(__xludf.DUMMYFUNCTION("""COMPUTED_VALUE"""),40)</f>
        <v>40</v>
      </c>
      <c r="H10" s="1">
        <f ca="1">IFERROR(__xludf.DUMMYFUNCTION("""COMPUTED_VALUE"""),87.7)</f>
        <v>87.7</v>
      </c>
      <c r="I10" s="1">
        <f ca="1">IFERROR(__xludf.DUMMYFUNCTION("""COMPUTED_VALUE"""),4)</f>
        <v>4</v>
      </c>
      <c r="J10" s="1">
        <f ca="1">IFERROR(__xludf.DUMMYFUNCTION("""COMPUTED_VALUE"""),65.3)</f>
        <v>65.3</v>
      </c>
      <c r="K10" s="1">
        <f ca="1">IFERROR(__xludf.DUMMYFUNCTION("""COMPUTED_VALUE"""),160)</f>
        <v>160</v>
      </c>
      <c r="L10" s="1">
        <f ca="1">IFERROR(__xludf.DUMMYFUNCTION("""COMPUTED_VALUE"""),-0.057)</f>
        <v>-5.7000000000000002E-2</v>
      </c>
      <c r="M10" s="1">
        <f ca="1">IFERROR(__xludf.DUMMYFUNCTION("""COMPUTED_VALUE"""),300)</f>
        <v>300</v>
      </c>
      <c r="N10" s="1" t="str">
        <f ca="1">IFERROR(__xludf.DUMMYFUNCTION("""COMPUTED_VALUE"""),"+9.34")</f>
        <v>+9.34</v>
      </c>
      <c r="O10" s="1">
        <f ca="1">IFERROR(__xludf.DUMMYFUNCTION("""COMPUTED_VALUE"""),21)</f>
        <v>21</v>
      </c>
      <c r="P10" s="1">
        <f ca="1">IFERROR(__xludf.DUMMYFUNCTION("""COMPUTED_VALUE"""),108.4)</f>
        <v>108.4</v>
      </c>
      <c r="Q10" s="1">
        <f ca="1">IFERROR(__xludf.DUMMYFUNCTION("""COMPUTED_VALUE"""),28)</f>
        <v>28</v>
      </c>
      <c r="R10" s="1">
        <f ca="1">IFERROR(__xludf.DUMMYFUNCTION("""COMPUTED_VALUE"""),99)</f>
        <v>99</v>
      </c>
      <c r="S10" s="1">
        <f ca="1">IFERROR(__xludf.DUMMYFUNCTION("""COMPUTED_VALUE"""),17)</f>
        <v>17</v>
      </c>
      <c r="T10" s="1" t="str">
        <f ca="1">IFERROR(__xludf.DUMMYFUNCTION("""COMPUTED_VALUE"""),"+0.79")</f>
        <v>+0.79</v>
      </c>
      <c r="U10" s="1">
        <f ca="1">IFERROR(__xludf.DUMMYFUNCTION("""COMPUTED_VALUE"""),126)</f>
        <v>126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IFERROR(__xludf.DUMMYFUNCTION("""COMPUTED_VALUE"""),"Texas2")</f>
        <v>Texas2</v>
      </c>
      <c r="C11" s="1" t="str">
        <f ca="1">IFERROR(__xludf.DUMMYFUNCTION("""COMPUTED_VALUE"""),"B12")</f>
        <v>B12</v>
      </c>
      <c r="D11" s="1" t="str">
        <f ca="1">IFERROR(__xludf.DUMMYFUNCTION("""COMPUTED_VALUE"""),"31-7")</f>
        <v>31-7</v>
      </c>
      <c r="E11" s="1" t="str">
        <f ca="1">IFERROR(__xludf.DUMMYFUNCTION("""COMPUTED_VALUE"""),"+25.09")</f>
        <v>+25.09</v>
      </c>
      <c r="F11" s="1">
        <f ca="1">IFERROR(__xludf.DUMMYFUNCTION("""COMPUTED_VALUE"""),120.6)</f>
        <v>120.6</v>
      </c>
      <c r="G11" s="1">
        <f ca="1">IFERROR(__xludf.DUMMYFUNCTION("""COMPUTED_VALUE"""),3)</f>
        <v>3</v>
      </c>
      <c r="H11" s="1">
        <f ca="1">IFERROR(__xludf.DUMMYFUNCTION("""COMPUTED_VALUE"""),95.5)</f>
        <v>95.5</v>
      </c>
      <c r="I11" s="1">
        <f ca="1">IFERROR(__xludf.DUMMYFUNCTION("""COMPUTED_VALUE"""),42)</f>
        <v>42</v>
      </c>
      <c r="J11" s="1">
        <f ca="1">IFERROR(__xludf.DUMMYFUNCTION("""COMPUTED_VALUE"""),63.9)</f>
        <v>63.9</v>
      </c>
      <c r="K11" s="1">
        <f ca="1">IFERROR(__xludf.DUMMYFUNCTION("""COMPUTED_VALUE"""),222)</f>
        <v>222</v>
      </c>
      <c r="L11" s="1" t="str">
        <f ca="1">IFERROR(__xludf.DUMMYFUNCTION("""COMPUTED_VALUE"""),"+.044")</f>
        <v>+.044</v>
      </c>
      <c r="M11" s="1">
        <f ca="1">IFERROR(__xludf.DUMMYFUNCTION("""COMPUTED_VALUE"""),67)</f>
        <v>67</v>
      </c>
      <c r="N11" s="1" t="str">
        <f ca="1">IFERROR(__xludf.DUMMYFUNCTION("""COMPUTED_VALUE"""),"+10.37")</f>
        <v>+10.37</v>
      </c>
      <c r="O11" s="1">
        <f ca="1">IFERROR(__xludf.DUMMYFUNCTION("""COMPUTED_VALUE"""),6)</f>
        <v>6</v>
      </c>
      <c r="P11" s="1">
        <f ca="1">IFERROR(__xludf.DUMMYFUNCTION("""COMPUTED_VALUE"""),108.4)</f>
        <v>108.4</v>
      </c>
      <c r="Q11" s="1">
        <f ca="1">IFERROR(__xludf.DUMMYFUNCTION("""COMPUTED_VALUE"""),29)</f>
        <v>29</v>
      </c>
      <c r="R11" s="1">
        <f ca="1">IFERROR(__xludf.DUMMYFUNCTION("""COMPUTED_VALUE"""),98)</f>
        <v>98</v>
      </c>
      <c r="S11" s="1">
        <f ca="1">IFERROR(__xludf.DUMMYFUNCTION("""COMPUTED_VALUE"""),3)</f>
        <v>3</v>
      </c>
      <c r="T11" s="1" t="str">
        <f ca="1">IFERROR(__xludf.DUMMYFUNCTION("""COMPUTED_VALUE"""),"+0.04")</f>
        <v>+0.04</v>
      </c>
      <c r="U11" s="1">
        <f ca="1">IFERROR(__xludf.DUMMYFUNCTION("""COMPUTED_VALUE"""),146)</f>
        <v>146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IFERROR(__xludf.DUMMYFUNCTION("""COMPUTED_VALUE"""),"Washington St.4")</f>
        <v>Washington St.4</v>
      </c>
      <c r="C12" s="1" t="str">
        <f ca="1">IFERROR(__xludf.DUMMYFUNCTION("""COMPUTED_VALUE"""),"P10")</f>
        <v>P10</v>
      </c>
      <c r="D12" s="1" t="str">
        <f ca="1">IFERROR(__xludf.DUMMYFUNCTION("""COMPUTED_VALUE"""),"26-9")</f>
        <v>26-9</v>
      </c>
      <c r="E12" s="1" t="str">
        <f ca="1">IFERROR(__xludf.DUMMYFUNCTION("""COMPUTED_VALUE"""),"+24.32")</f>
        <v>+24.32</v>
      </c>
      <c r="F12" s="1">
        <f ca="1">IFERROR(__xludf.DUMMYFUNCTION("""COMPUTED_VALUE"""),115.1)</f>
        <v>115.1</v>
      </c>
      <c r="G12" s="1">
        <f ca="1">IFERROR(__xludf.DUMMYFUNCTION("""COMPUTED_VALUE"""),23)</f>
        <v>23</v>
      </c>
      <c r="H12" s="1">
        <f ca="1">IFERROR(__xludf.DUMMYFUNCTION("""COMPUTED_VALUE"""),90.8)</f>
        <v>90.8</v>
      </c>
      <c r="I12" s="1">
        <f ca="1">IFERROR(__xludf.DUMMYFUNCTION("""COMPUTED_VALUE"""),9)</f>
        <v>9</v>
      </c>
      <c r="J12" s="1">
        <f ca="1">IFERROR(__xludf.DUMMYFUNCTION("""COMPUTED_VALUE"""),58.3)</f>
        <v>58.3</v>
      </c>
      <c r="K12" s="1">
        <f ca="1">IFERROR(__xludf.DUMMYFUNCTION("""COMPUTED_VALUE"""),334)</f>
        <v>334</v>
      </c>
      <c r="L12" s="1">
        <f ca="1">IFERROR(__xludf.DUMMYFUNCTION("""COMPUTED_VALUE"""),-0.004)</f>
        <v>-4.0000000000000001E-3</v>
      </c>
      <c r="M12" s="1">
        <f ca="1">IFERROR(__xludf.DUMMYFUNCTION("""COMPUTED_VALUE"""),179)</f>
        <v>179</v>
      </c>
      <c r="N12" s="1" t="str">
        <f ca="1">IFERROR(__xludf.DUMMYFUNCTION("""COMPUTED_VALUE"""),"+8.99")</f>
        <v>+8.99</v>
      </c>
      <c r="O12" s="1">
        <f ca="1">IFERROR(__xludf.DUMMYFUNCTION("""COMPUTED_VALUE"""),29)</f>
        <v>29</v>
      </c>
      <c r="P12" s="1">
        <f ca="1">IFERROR(__xludf.DUMMYFUNCTION("""COMPUTED_VALUE"""),109)</f>
        <v>109</v>
      </c>
      <c r="Q12" s="1">
        <f ca="1">IFERROR(__xludf.DUMMYFUNCTION("""COMPUTED_VALUE"""),12)</f>
        <v>12</v>
      </c>
      <c r="R12" s="1">
        <f ca="1">IFERROR(__xludf.DUMMYFUNCTION("""COMPUTED_VALUE"""),100)</f>
        <v>100</v>
      </c>
      <c r="S12" s="1">
        <f ca="1">IFERROR(__xludf.DUMMYFUNCTION("""COMPUTED_VALUE"""),52)</f>
        <v>52</v>
      </c>
      <c r="T12" s="1">
        <f ca="1">IFERROR(__xludf.DUMMYFUNCTION("""COMPUTED_VALUE"""),-6.51)</f>
        <v>-6.51</v>
      </c>
      <c r="U12" s="1">
        <f ca="1">IFERROR(__xludf.DUMMYFUNCTION("""COMPUTED_VALUE"""),309)</f>
        <v>309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IFERROR(__xludf.DUMMYFUNCTION("""COMPUTED_VALUE"""),"Davidson10")</f>
        <v>Davidson10</v>
      </c>
      <c r="C13" s="1" t="str">
        <f ca="1">IFERROR(__xludf.DUMMYFUNCTION("""COMPUTED_VALUE"""),"SC")</f>
        <v>SC</v>
      </c>
      <c r="D13" s="1" t="str">
        <f ca="1">IFERROR(__xludf.DUMMYFUNCTION("""COMPUTED_VALUE"""),"29-7")</f>
        <v>29-7</v>
      </c>
      <c r="E13" s="1" t="str">
        <f ca="1">IFERROR(__xludf.DUMMYFUNCTION("""COMPUTED_VALUE"""),"+23.61")</f>
        <v>+23.61</v>
      </c>
      <c r="F13" s="1">
        <f ca="1">IFERROR(__xludf.DUMMYFUNCTION("""COMPUTED_VALUE"""),117)</f>
        <v>117</v>
      </c>
      <c r="G13" s="1">
        <f ca="1">IFERROR(__xludf.DUMMYFUNCTION("""COMPUTED_VALUE"""),9)</f>
        <v>9</v>
      </c>
      <c r="H13" s="1">
        <f ca="1">IFERROR(__xludf.DUMMYFUNCTION("""COMPUTED_VALUE"""),93.4)</f>
        <v>93.4</v>
      </c>
      <c r="I13" s="1">
        <f ca="1">IFERROR(__xludf.DUMMYFUNCTION("""COMPUTED_VALUE"""),24)</f>
        <v>24</v>
      </c>
      <c r="J13" s="1">
        <f ca="1">IFERROR(__xludf.DUMMYFUNCTION("""COMPUTED_VALUE"""),66.2)</f>
        <v>66.2</v>
      </c>
      <c r="K13" s="1">
        <f ca="1">IFERROR(__xludf.DUMMYFUNCTION("""COMPUTED_VALUE"""),133)</f>
        <v>133</v>
      </c>
      <c r="L13" s="1">
        <f ca="1">IFERROR(__xludf.DUMMYFUNCTION("""COMPUTED_VALUE"""),-0.036)</f>
        <v>-3.5999999999999997E-2</v>
      </c>
      <c r="M13" s="1">
        <f ca="1">IFERROR(__xludf.DUMMYFUNCTION("""COMPUTED_VALUE"""),260)</f>
        <v>260</v>
      </c>
      <c r="N13" s="1" t="str">
        <f ca="1">IFERROR(__xludf.DUMMYFUNCTION("""COMPUTED_VALUE"""),"+3.36")</f>
        <v>+3.36</v>
      </c>
      <c r="O13" s="1">
        <f ca="1">IFERROR(__xludf.DUMMYFUNCTION("""COMPUTED_VALUE"""),102)</f>
        <v>102</v>
      </c>
      <c r="P13" s="1">
        <f ca="1">IFERROR(__xludf.DUMMYFUNCTION("""COMPUTED_VALUE"""),105.2)</f>
        <v>105.2</v>
      </c>
      <c r="Q13" s="1">
        <f ca="1">IFERROR(__xludf.DUMMYFUNCTION("""COMPUTED_VALUE"""),105)</f>
        <v>105</v>
      </c>
      <c r="R13" s="1">
        <f ca="1">IFERROR(__xludf.DUMMYFUNCTION("""COMPUTED_VALUE"""),101.8)</f>
        <v>101.8</v>
      </c>
      <c r="S13" s="1">
        <f ca="1">IFERROR(__xludf.DUMMYFUNCTION("""COMPUTED_VALUE"""),97)</f>
        <v>97</v>
      </c>
      <c r="T13" s="1" t="str">
        <f ca="1">IFERROR(__xludf.DUMMYFUNCTION("""COMPUTED_VALUE"""),"+14.93")</f>
        <v>+14.93</v>
      </c>
      <c r="U13" s="1">
        <f ca="1">IFERROR(__xludf.DUMMYFUNCTION("""COMPUTED_VALUE"""),1)</f>
        <v>1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IFERROR(__xludf.DUMMYFUNCTION("""COMPUTED_VALUE"""),"Stanford3")</f>
        <v>Stanford3</v>
      </c>
      <c r="C14" s="1" t="str">
        <f ca="1">IFERROR(__xludf.DUMMYFUNCTION("""COMPUTED_VALUE"""),"P10")</f>
        <v>P10</v>
      </c>
      <c r="D14" s="1" t="str">
        <f ca="1">IFERROR(__xludf.DUMMYFUNCTION("""COMPUTED_VALUE"""),"28-8")</f>
        <v>28-8</v>
      </c>
      <c r="E14" s="1" t="str">
        <f ca="1">IFERROR(__xludf.DUMMYFUNCTION("""COMPUTED_VALUE"""),"+22.75")</f>
        <v>+22.75</v>
      </c>
      <c r="F14" s="1">
        <f ca="1">IFERROR(__xludf.DUMMYFUNCTION("""COMPUTED_VALUE"""),113.6)</f>
        <v>113.6</v>
      </c>
      <c r="G14" s="1">
        <f ca="1">IFERROR(__xludf.DUMMYFUNCTION("""COMPUTED_VALUE"""),36)</f>
        <v>36</v>
      </c>
      <c r="H14" s="1">
        <f ca="1">IFERROR(__xludf.DUMMYFUNCTION("""COMPUTED_VALUE"""),90.9)</f>
        <v>90.9</v>
      </c>
      <c r="I14" s="1">
        <f ca="1">IFERROR(__xludf.DUMMYFUNCTION("""COMPUTED_VALUE"""),10)</f>
        <v>10</v>
      </c>
      <c r="J14" s="1">
        <f ca="1">IFERROR(__xludf.DUMMYFUNCTION("""COMPUTED_VALUE"""),63.4)</f>
        <v>63.4</v>
      </c>
      <c r="K14" s="1">
        <f ca="1">IFERROR(__xludf.DUMMYFUNCTION("""COMPUTED_VALUE"""),248)</f>
        <v>248</v>
      </c>
      <c r="L14" s="1" t="str">
        <f ca="1">IFERROR(__xludf.DUMMYFUNCTION("""COMPUTED_VALUE"""),"+.040")</f>
        <v>+.040</v>
      </c>
      <c r="M14" s="1">
        <f ca="1">IFERROR(__xludf.DUMMYFUNCTION("""COMPUTED_VALUE"""),78)</f>
        <v>78</v>
      </c>
      <c r="N14" s="1" t="str">
        <f ca="1">IFERROR(__xludf.DUMMYFUNCTION("""COMPUTED_VALUE"""),"+9.32")</f>
        <v>+9.32</v>
      </c>
      <c r="O14" s="1">
        <f ca="1">IFERROR(__xludf.DUMMYFUNCTION("""COMPUTED_VALUE"""),22)</f>
        <v>22</v>
      </c>
      <c r="P14" s="1">
        <f ca="1">IFERROR(__xludf.DUMMYFUNCTION("""COMPUTED_VALUE"""),109.1)</f>
        <v>109.1</v>
      </c>
      <c r="Q14" s="1">
        <f ca="1">IFERROR(__xludf.DUMMYFUNCTION("""COMPUTED_VALUE"""),11)</f>
        <v>11</v>
      </c>
      <c r="R14" s="1">
        <f ca="1">IFERROR(__xludf.DUMMYFUNCTION("""COMPUTED_VALUE"""),99.7)</f>
        <v>99.7</v>
      </c>
      <c r="S14" s="1">
        <f ca="1">IFERROR(__xludf.DUMMYFUNCTION("""COMPUTED_VALUE"""),37)</f>
        <v>37</v>
      </c>
      <c r="T14" s="1">
        <f ca="1">IFERROR(__xludf.DUMMYFUNCTION("""COMPUTED_VALUE"""),-6.32)</f>
        <v>-6.32</v>
      </c>
      <c r="U14" s="1">
        <f ca="1">IFERROR(__xludf.DUMMYFUNCTION("""COMPUTED_VALUE"""),306)</f>
        <v>306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IFERROR(__xludf.DUMMYFUNCTION("""COMPUTED_VALUE"""),"Tennessee2")</f>
        <v>Tennessee2</v>
      </c>
      <c r="C15" s="1" t="str">
        <f ca="1">IFERROR(__xludf.DUMMYFUNCTION("""COMPUTED_VALUE"""),"SEC")</f>
        <v>SEC</v>
      </c>
      <c r="D15" s="1" t="str">
        <f ca="1">IFERROR(__xludf.DUMMYFUNCTION("""COMPUTED_VALUE"""),"31-5")</f>
        <v>31-5</v>
      </c>
      <c r="E15" s="1" t="str">
        <f ca="1">IFERROR(__xludf.DUMMYFUNCTION("""COMPUTED_VALUE"""),"+22.17")</f>
        <v>+22.17</v>
      </c>
      <c r="F15" s="1">
        <f ca="1">IFERROR(__xludf.DUMMYFUNCTION("""COMPUTED_VALUE"""),116.2)</f>
        <v>116.2</v>
      </c>
      <c r="G15" s="1">
        <f ca="1">IFERROR(__xludf.DUMMYFUNCTION("""COMPUTED_VALUE"""),15)</f>
        <v>15</v>
      </c>
      <c r="H15" s="1">
        <f ca="1">IFERROR(__xludf.DUMMYFUNCTION("""COMPUTED_VALUE"""),94)</f>
        <v>94</v>
      </c>
      <c r="I15" s="1">
        <f ca="1">IFERROR(__xludf.DUMMYFUNCTION("""COMPUTED_VALUE"""),28)</f>
        <v>28</v>
      </c>
      <c r="J15" s="1">
        <f ca="1">IFERROR(__xludf.DUMMYFUNCTION("""COMPUTED_VALUE"""),70.7)</f>
        <v>70.7</v>
      </c>
      <c r="K15" s="1">
        <f ca="1">IFERROR(__xludf.DUMMYFUNCTION("""COMPUTED_VALUE"""),20)</f>
        <v>20</v>
      </c>
      <c r="L15" s="1" t="str">
        <f ca="1">IFERROR(__xludf.DUMMYFUNCTION("""COMPUTED_VALUE"""),"+.110")</f>
        <v>+.110</v>
      </c>
      <c r="M15" s="1">
        <f ca="1">IFERROR(__xludf.DUMMYFUNCTION("""COMPUTED_VALUE"""),4)</f>
        <v>4</v>
      </c>
      <c r="N15" s="1" t="str">
        <f ca="1">IFERROR(__xludf.DUMMYFUNCTION("""COMPUTED_VALUE"""),"+9.58")</f>
        <v>+9.58</v>
      </c>
      <c r="O15" s="1">
        <f ca="1">IFERROR(__xludf.DUMMYFUNCTION("""COMPUTED_VALUE"""),13)</f>
        <v>13</v>
      </c>
      <c r="P15" s="1">
        <f ca="1">IFERROR(__xludf.DUMMYFUNCTION("""COMPUTED_VALUE"""),109.4)</f>
        <v>109.4</v>
      </c>
      <c r="Q15" s="1">
        <f ca="1">IFERROR(__xludf.DUMMYFUNCTION("""COMPUTED_VALUE"""),4)</f>
        <v>4</v>
      </c>
      <c r="R15" s="1">
        <f ca="1">IFERROR(__xludf.DUMMYFUNCTION("""COMPUTED_VALUE"""),99.8)</f>
        <v>99.8</v>
      </c>
      <c r="S15" s="1">
        <f ca="1">IFERROR(__xludf.DUMMYFUNCTION("""COMPUTED_VALUE"""),41)</f>
        <v>41</v>
      </c>
      <c r="T15" s="1" t="str">
        <f ca="1">IFERROR(__xludf.DUMMYFUNCTION("""COMPUTED_VALUE"""),"+7.64")</f>
        <v>+7.64</v>
      </c>
      <c r="U15" s="1">
        <f ca="1">IFERROR(__xludf.DUMMYFUNCTION("""COMPUTED_VALUE"""),24)</f>
        <v>24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IFERROR(__xludf.DUMMYFUNCTION("""COMPUTED_VALUE"""),"Marquette6")</f>
        <v>Marquette6</v>
      </c>
      <c r="C16" s="1" t="str">
        <f ca="1">IFERROR(__xludf.DUMMYFUNCTION("""COMPUTED_VALUE"""),"BE")</f>
        <v>BE</v>
      </c>
      <c r="D16" s="1" t="str">
        <f ca="1">IFERROR(__xludf.DUMMYFUNCTION("""COMPUTED_VALUE"""),"25-10")</f>
        <v>25-10</v>
      </c>
      <c r="E16" s="1" t="str">
        <f ca="1">IFERROR(__xludf.DUMMYFUNCTION("""COMPUTED_VALUE"""),"+22.16")</f>
        <v>+22.16</v>
      </c>
      <c r="F16" s="1">
        <f ca="1">IFERROR(__xludf.DUMMYFUNCTION("""COMPUTED_VALUE"""),115.3)</f>
        <v>115.3</v>
      </c>
      <c r="G16" s="1">
        <f ca="1">IFERROR(__xludf.DUMMYFUNCTION("""COMPUTED_VALUE"""),20)</f>
        <v>20</v>
      </c>
      <c r="H16" s="1">
        <f ca="1">IFERROR(__xludf.DUMMYFUNCTION("""COMPUTED_VALUE"""),93.1)</f>
        <v>93.1</v>
      </c>
      <c r="I16" s="1">
        <f ca="1">IFERROR(__xludf.DUMMYFUNCTION("""COMPUTED_VALUE"""),21)</f>
        <v>21</v>
      </c>
      <c r="J16" s="1">
        <f ca="1">IFERROR(__xludf.DUMMYFUNCTION("""COMPUTED_VALUE"""),66.6)</f>
        <v>66.599999999999994</v>
      </c>
      <c r="K16" s="1">
        <f ca="1">IFERROR(__xludf.DUMMYFUNCTION("""COMPUTED_VALUE"""),118)</f>
        <v>118</v>
      </c>
      <c r="L16" s="1">
        <f ca="1">IFERROR(__xludf.DUMMYFUNCTION("""COMPUTED_VALUE"""),-0.027)</f>
        <v>-2.7E-2</v>
      </c>
      <c r="M16" s="1">
        <f ca="1">IFERROR(__xludf.DUMMYFUNCTION("""COMPUTED_VALUE"""),240)</f>
        <v>240</v>
      </c>
      <c r="N16" s="1" t="str">
        <f ca="1">IFERROR(__xludf.DUMMYFUNCTION("""COMPUTED_VALUE"""),"+8.62")</f>
        <v>+8.62</v>
      </c>
      <c r="O16" s="1">
        <f ca="1">IFERROR(__xludf.DUMMYFUNCTION("""COMPUTED_VALUE"""),32)</f>
        <v>32</v>
      </c>
      <c r="P16" s="1">
        <f ca="1">IFERROR(__xludf.DUMMYFUNCTION("""COMPUTED_VALUE"""),107.9)</f>
        <v>107.9</v>
      </c>
      <c r="Q16" s="1">
        <f ca="1">IFERROR(__xludf.DUMMYFUNCTION("""COMPUTED_VALUE"""),41)</f>
        <v>41</v>
      </c>
      <c r="R16" s="1">
        <f ca="1">IFERROR(__xludf.DUMMYFUNCTION("""COMPUTED_VALUE"""),99.3)</f>
        <v>99.3</v>
      </c>
      <c r="S16" s="1">
        <f ca="1">IFERROR(__xludf.DUMMYFUNCTION("""COMPUTED_VALUE"""),26)</f>
        <v>26</v>
      </c>
      <c r="T16" s="1">
        <f ca="1">IFERROR(__xludf.DUMMYFUNCTION("""COMPUTED_VALUE"""),-6.37)</f>
        <v>-6.37</v>
      </c>
      <c r="U16" s="1">
        <f ca="1">IFERROR(__xludf.DUMMYFUNCTION("""COMPUTED_VALUE"""),307)</f>
        <v>307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IFERROR(__xludf.DUMMYFUNCTION("""COMPUTED_VALUE"""),"Xavier3")</f>
        <v>Xavier3</v>
      </c>
      <c r="C17" s="1" t="str">
        <f ca="1">IFERROR(__xludf.DUMMYFUNCTION("""COMPUTED_VALUE"""),"A10")</f>
        <v>A10</v>
      </c>
      <c r="D17" s="1" t="str">
        <f ca="1">IFERROR(__xludf.DUMMYFUNCTION("""COMPUTED_VALUE"""),"30-7")</f>
        <v>30-7</v>
      </c>
      <c r="E17" s="1" t="str">
        <f ca="1">IFERROR(__xludf.DUMMYFUNCTION("""COMPUTED_VALUE"""),"+22.05")</f>
        <v>+22.05</v>
      </c>
      <c r="F17" s="1">
        <f ca="1">IFERROR(__xludf.DUMMYFUNCTION("""COMPUTED_VALUE"""),117.3)</f>
        <v>117.3</v>
      </c>
      <c r="G17" s="1">
        <f ca="1">IFERROR(__xludf.DUMMYFUNCTION("""COMPUTED_VALUE"""),8)</f>
        <v>8</v>
      </c>
      <c r="H17" s="1">
        <f ca="1">IFERROR(__xludf.DUMMYFUNCTION("""COMPUTED_VALUE"""),95.2)</f>
        <v>95.2</v>
      </c>
      <c r="I17" s="1">
        <f ca="1">IFERROR(__xludf.DUMMYFUNCTION("""COMPUTED_VALUE"""),39)</f>
        <v>39</v>
      </c>
      <c r="J17" s="1">
        <f ca="1">IFERROR(__xludf.DUMMYFUNCTION("""COMPUTED_VALUE"""),63.8)</f>
        <v>63.8</v>
      </c>
      <c r="K17" s="1">
        <f ca="1">IFERROR(__xludf.DUMMYFUNCTION("""COMPUTED_VALUE"""),225)</f>
        <v>225</v>
      </c>
      <c r="L17" s="1" t="str">
        <f ca="1">IFERROR(__xludf.DUMMYFUNCTION("""COMPUTED_VALUE"""),"+.054")</f>
        <v>+.054</v>
      </c>
      <c r="M17" s="1">
        <f ca="1">IFERROR(__xludf.DUMMYFUNCTION("""COMPUTED_VALUE"""),49)</f>
        <v>49</v>
      </c>
      <c r="N17" s="1" t="str">
        <f ca="1">IFERROR(__xludf.DUMMYFUNCTION("""COMPUTED_VALUE"""),"+6.94")</f>
        <v>+6.94</v>
      </c>
      <c r="O17" s="1">
        <f ca="1">IFERROR(__xludf.DUMMYFUNCTION("""COMPUTED_VALUE"""),53)</f>
        <v>53</v>
      </c>
      <c r="P17" s="1">
        <f ca="1">IFERROR(__xludf.DUMMYFUNCTION("""COMPUTED_VALUE"""),108.1)</f>
        <v>108.1</v>
      </c>
      <c r="Q17" s="1">
        <f ca="1">IFERROR(__xludf.DUMMYFUNCTION("""COMPUTED_VALUE"""),34)</f>
        <v>34</v>
      </c>
      <c r="R17" s="1">
        <f ca="1">IFERROR(__xludf.DUMMYFUNCTION("""COMPUTED_VALUE"""),101.2)</f>
        <v>101.2</v>
      </c>
      <c r="S17" s="1">
        <f ca="1">IFERROR(__xludf.DUMMYFUNCTION("""COMPUTED_VALUE"""),80)</f>
        <v>80</v>
      </c>
      <c r="T17" s="1" t="str">
        <f ca="1">IFERROR(__xludf.DUMMYFUNCTION("""COMPUTED_VALUE"""),"+3.50")</f>
        <v>+3.50</v>
      </c>
      <c r="U17" s="1">
        <f ca="1">IFERROR(__xludf.DUMMYFUNCTION("""COMPUTED_VALUE"""),69)</f>
        <v>69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IFERROR(__xludf.DUMMYFUNCTION("""COMPUTED_VALUE"""),"Clemson5")</f>
        <v>Clemson5</v>
      </c>
      <c r="C18" s="1" t="str">
        <f ca="1">IFERROR(__xludf.DUMMYFUNCTION("""COMPUTED_VALUE"""),"ACC")</f>
        <v>ACC</v>
      </c>
      <c r="D18" s="1" t="str">
        <f ca="1">IFERROR(__xludf.DUMMYFUNCTION("""COMPUTED_VALUE"""),"24-10")</f>
        <v>24-10</v>
      </c>
      <c r="E18" s="1" t="str">
        <f ca="1">IFERROR(__xludf.DUMMYFUNCTION("""COMPUTED_VALUE"""),"+22.03")</f>
        <v>+22.03</v>
      </c>
      <c r="F18" s="1">
        <f ca="1">IFERROR(__xludf.DUMMYFUNCTION("""COMPUTED_VALUE"""),114)</f>
        <v>114</v>
      </c>
      <c r="G18" s="1">
        <f ca="1">IFERROR(__xludf.DUMMYFUNCTION("""COMPUTED_VALUE"""),35)</f>
        <v>35</v>
      </c>
      <c r="H18" s="1">
        <f ca="1">IFERROR(__xludf.DUMMYFUNCTION("""COMPUTED_VALUE"""),91.9)</f>
        <v>91.9</v>
      </c>
      <c r="I18" s="1">
        <f ca="1">IFERROR(__xludf.DUMMYFUNCTION("""COMPUTED_VALUE"""),15)</f>
        <v>15</v>
      </c>
      <c r="J18" s="1">
        <f ca="1">IFERROR(__xludf.DUMMYFUNCTION("""COMPUTED_VALUE"""),68)</f>
        <v>68</v>
      </c>
      <c r="K18" s="1">
        <f ca="1">IFERROR(__xludf.DUMMYFUNCTION("""COMPUTED_VALUE"""),78)</f>
        <v>78</v>
      </c>
      <c r="L18" s="1">
        <f ca="1">IFERROR(__xludf.DUMMYFUNCTION("""COMPUTED_VALUE"""),-0.044)</f>
        <v>-4.3999999999999997E-2</v>
      </c>
      <c r="M18" s="1">
        <f ca="1">IFERROR(__xludf.DUMMYFUNCTION("""COMPUTED_VALUE"""),280)</f>
        <v>280</v>
      </c>
      <c r="N18" s="1" t="str">
        <f ca="1">IFERROR(__xludf.DUMMYFUNCTION("""COMPUTED_VALUE"""),"+9.53")</f>
        <v>+9.53</v>
      </c>
      <c r="O18" s="1">
        <f ca="1">IFERROR(__xludf.DUMMYFUNCTION("""COMPUTED_VALUE"""),15)</f>
        <v>15</v>
      </c>
      <c r="P18" s="1">
        <f ca="1">IFERROR(__xludf.DUMMYFUNCTION("""COMPUTED_VALUE"""),109.3)</f>
        <v>109.3</v>
      </c>
      <c r="Q18" s="1">
        <f ca="1">IFERROR(__xludf.DUMMYFUNCTION("""COMPUTED_VALUE"""),5)</f>
        <v>5</v>
      </c>
      <c r="R18" s="1">
        <f ca="1">IFERROR(__xludf.DUMMYFUNCTION("""COMPUTED_VALUE"""),99.8)</f>
        <v>99.8</v>
      </c>
      <c r="S18" s="1">
        <f ca="1">IFERROR(__xludf.DUMMYFUNCTION("""COMPUTED_VALUE"""),42)</f>
        <v>42</v>
      </c>
      <c r="T18" s="1" t="str">
        <f ca="1">IFERROR(__xludf.DUMMYFUNCTION("""COMPUTED_VALUE"""),"+0.31")</f>
        <v>+0.31</v>
      </c>
      <c r="U18" s="1">
        <f ca="1">IFERROR(__xludf.DUMMYFUNCTION("""COMPUTED_VALUE"""),137)</f>
        <v>137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IFERROR(__xludf.DUMMYFUNCTION("""COMPUTED_VALUE"""),"Drake5")</f>
        <v>Drake5</v>
      </c>
      <c r="C19" s="1" t="str">
        <f ca="1">IFERROR(__xludf.DUMMYFUNCTION("""COMPUTED_VALUE"""),"MVC")</f>
        <v>MVC</v>
      </c>
      <c r="D19" s="1" t="str">
        <f ca="1">IFERROR(__xludf.DUMMYFUNCTION("""COMPUTED_VALUE"""),"28-5")</f>
        <v>28-5</v>
      </c>
      <c r="E19" s="1" t="str">
        <f ca="1">IFERROR(__xludf.DUMMYFUNCTION("""COMPUTED_VALUE"""),"+21.46")</f>
        <v>+21.46</v>
      </c>
      <c r="F19" s="1">
        <f ca="1">IFERROR(__xludf.DUMMYFUNCTION("""COMPUTED_VALUE"""),120)</f>
        <v>120</v>
      </c>
      <c r="G19" s="1">
        <f ca="1">IFERROR(__xludf.DUMMYFUNCTION("""COMPUTED_VALUE"""),4)</f>
        <v>4</v>
      </c>
      <c r="H19" s="1">
        <f ca="1">IFERROR(__xludf.DUMMYFUNCTION("""COMPUTED_VALUE"""),98.5)</f>
        <v>98.5</v>
      </c>
      <c r="I19" s="1">
        <f ca="1">IFERROR(__xludf.DUMMYFUNCTION("""COMPUTED_VALUE"""),76)</f>
        <v>76</v>
      </c>
      <c r="J19" s="1">
        <f ca="1">IFERROR(__xludf.DUMMYFUNCTION("""COMPUTED_VALUE"""),62.9)</f>
        <v>62.9</v>
      </c>
      <c r="K19" s="1">
        <f ca="1">IFERROR(__xludf.DUMMYFUNCTION("""COMPUTED_VALUE"""),262)</f>
        <v>262</v>
      </c>
      <c r="L19" s="1" t="str">
        <f ca="1">IFERROR(__xludf.DUMMYFUNCTION("""COMPUTED_VALUE"""),"+.011")</f>
        <v>+.011</v>
      </c>
      <c r="M19" s="1">
        <f ca="1">IFERROR(__xludf.DUMMYFUNCTION("""COMPUTED_VALUE"""),145)</f>
        <v>145</v>
      </c>
      <c r="N19" s="1" t="str">
        <f ca="1">IFERROR(__xludf.DUMMYFUNCTION("""COMPUTED_VALUE"""),"+4.89")</f>
        <v>+4.89</v>
      </c>
      <c r="O19" s="1">
        <f ca="1">IFERROR(__xludf.DUMMYFUNCTION("""COMPUTED_VALUE"""),88)</f>
        <v>88</v>
      </c>
      <c r="P19" s="1">
        <f ca="1">IFERROR(__xludf.DUMMYFUNCTION("""COMPUTED_VALUE"""),105.5)</f>
        <v>105.5</v>
      </c>
      <c r="Q19" s="1">
        <f ca="1">IFERROR(__xludf.DUMMYFUNCTION("""COMPUTED_VALUE"""),101)</f>
        <v>101</v>
      </c>
      <c r="R19" s="1">
        <f ca="1">IFERROR(__xludf.DUMMYFUNCTION("""COMPUTED_VALUE"""),100.6)</f>
        <v>100.6</v>
      </c>
      <c r="S19" s="1">
        <f ca="1">IFERROR(__xludf.DUMMYFUNCTION("""COMPUTED_VALUE"""),65)</f>
        <v>65</v>
      </c>
      <c r="T19" s="1" t="str">
        <f ca="1">IFERROR(__xludf.DUMMYFUNCTION("""COMPUTED_VALUE"""),"+0.11")</f>
        <v>+0.11</v>
      </c>
      <c r="U19" s="1">
        <f ca="1">IFERROR(__xludf.DUMMYFUNCTION("""COMPUTED_VALUE"""),142)</f>
        <v>142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IFERROR(__xludf.DUMMYFUNCTION("""COMPUTED_VALUE"""),"West Virginia7")</f>
        <v>West Virginia7</v>
      </c>
      <c r="C20" s="1" t="str">
        <f ca="1">IFERROR(__xludf.DUMMYFUNCTION("""COMPUTED_VALUE"""),"BE")</f>
        <v>BE</v>
      </c>
      <c r="D20" s="1" t="str">
        <f ca="1">IFERROR(__xludf.DUMMYFUNCTION("""COMPUTED_VALUE"""),"26-11")</f>
        <v>26-11</v>
      </c>
      <c r="E20" s="1" t="str">
        <f ca="1">IFERROR(__xludf.DUMMYFUNCTION("""COMPUTED_VALUE"""),"+21.29")</f>
        <v>+21.29</v>
      </c>
      <c r="F20" s="1">
        <f ca="1">IFERROR(__xludf.DUMMYFUNCTION("""COMPUTED_VALUE"""),114.6)</f>
        <v>114.6</v>
      </c>
      <c r="G20" s="1">
        <f ca="1">IFERROR(__xludf.DUMMYFUNCTION("""COMPUTED_VALUE"""),27)</f>
        <v>27</v>
      </c>
      <c r="H20" s="1">
        <f ca="1">IFERROR(__xludf.DUMMYFUNCTION("""COMPUTED_VALUE"""),93.3)</f>
        <v>93.3</v>
      </c>
      <c r="I20" s="1">
        <f ca="1">IFERROR(__xludf.DUMMYFUNCTION("""COMPUTED_VALUE"""),23)</f>
        <v>23</v>
      </c>
      <c r="J20" s="1">
        <f ca="1">IFERROR(__xludf.DUMMYFUNCTION("""COMPUTED_VALUE"""),63.8)</f>
        <v>63.8</v>
      </c>
      <c r="K20" s="1">
        <f ca="1">IFERROR(__xludf.DUMMYFUNCTION("""COMPUTED_VALUE"""),228)</f>
        <v>228</v>
      </c>
      <c r="L20" s="1">
        <f ca="1">IFERROR(__xludf.DUMMYFUNCTION("""COMPUTED_VALUE"""),-0.019)</f>
        <v>-1.9E-2</v>
      </c>
      <c r="M20" s="1">
        <f ca="1">IFERROR(__xludf.DUMMYFUNCTION("""COMPUTED_VALUE"""),217)</f>
        <v>217</v>
      </c>
      <c r="N20" s="1" t="str">
        <f ca="1">IFERROR(__xludf.DUMMYFUNCTION("""COMPUTED_VALUE"""),"+9.00")</f>
        <v>+9.00</v>
      </c>
      <c r="O20" s="1">
        <f ca="1">IFERROR(__xludf.DUMMYFUNCTION("""COMPUTED_VALUE"""),28)</f>
        <v>28</v>
      </c>
      <c r="P20" s="1">
        <f ca="1">IFERROR(__xludf.DUMMYFUNCTION("""COMPUTED_VALUE"""),108.5)</f>
        <v>108.5</v>
      </c>
      <c r="Q20" s="1">
        <f ca="1">IFERROR(__xludf.DUMMYFUNCTION("""COMPUTED_VALUE"""),24)</f>
        <v>24</v>
      </c>
      <c r="R20" s="1">
        <f ca="1">IFERROR(__xludf.DUMMYFUNCTION("""COMPUTED_VALUE"""),99.5)</f>
        <v>99.5</v>
      </c>
      <c r="S20" s="1">
        <f ca="1">IFERROR(__xludf.DUMMYFUNCTION("""COMPUTED_VALUE"""),31)</f>
        <v>31</v>
      </c>
      <c r="T20" s="1">
        <f ca="1">IFERROR(__xludf.DUMMYFUNCTION("""COMPUTED_VALUE"""),-1.98)</f>
        <v>-1.98</v>
      </c>
      <c r="U20" s="1">
        <f ca="1">IFERROR(__xludf.DUMMYFUNCTION("""COMPUTED_VALUE"""),210)</f>
        <v>210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IFERROR(__xludf.DUMMYFUNCTION("""COMPUTED_VALUE"""),"Michigan St.5")</f>
        <v>Michigan St.5</v>
      </c>
      <c r="C21" s="1" t="str">
        <f ca="1">IFERROR(__xludf.DUMMYFUNCTION("""COMPUTED_VALUE"""),"B10")</f>
        <v>B10</v>
      </c>
      <c r="D21" s="1" t="str">
        <f ca="1">IFERROR(__xludf.DUMMYFUNCTION("""COMPUTED_VALUE"""),"27-9")</f>
        <v>27-9</v>
      </c>
      <c r="E21" s="1" t="str">
        <f ca="1">IFERROR(__xludf.DUMMYFUNCTION("""COMPUTED_VALUE"""),"+21.15")</f>
        <v>+21.15</v>
      </c>
      <c r="F21" s="1">
        <f ca="1">IFERROR(__xludf.DUMMYFUNCTION("""COMPUTED_VALUE"""),115.8)</f>
        <v>115.8</v>
      </c>
      <c r="G21" s="1">
        <f ca="1">IFERROR(__xludf.DUMMYFUNCTION("""COMPUTED_VALUE"""),17)</f>
        <v>17</v>
      </c>
      <c r="H21" s="1">
        <f ca="1">IFERROR(__xludf.DUMMYFUNCTION("""COMPUTED_VALUE"""),94.7)</f>
        <v>94.7</v>
      </c>
      <c r="I21" s="1">
        <f ca="1">IFERROR(__xludf.DUMMYFUNCTION("""COMPUTED_VALUE"""),33)</f>
        <v>33</v>
      </c>
      <c r="J21" s="1">
        <f ca="1">IFERROR(__xludf.DUMMYFUNCTION("""COMPUTED_VALUE"""),63.3)</f>
        <v>63.3</v>
      </c>
      <c r="K21" s="1">
        <f ca="1">IFERROR(__xludf.DUMMYFUNCTION("""COMPUTED_VALUE"""),253)</f>
        <v>253</v>
      </c>
      <c r="L21" s="1" t="str">
        <f ca="1">IFERROR(__xludf.DUMMYFUNCTION("""COMPUTED_VALUE"""),"+.032")</f>
        <v>+.032</v>
      </c>
      <c r="M21" s="1">
        <f ca="1">IFERROR(__xludf.DUMMYFUNCTION("""COMPUTED_VALUE"""),94)</f>
        <v>94</v>
      </c>
      <c r="N21" s="1" t="str">
        <f ca="1">IFERROR(__xludf.DUMMYFUNCTION("""COMPUTED_VALUE"""),"+8.71")</f>
        <v>+8.71</v>
      </c>
      <c r="O21" s="1">
        <f ca="1">IFERROR(__xludf.DUMMYFUNCTION("""COMPUTED_VALUE"""),31)</f>
        <v>31</v>
      </c>
      <c r="P21" s="1">
        <f ca="1">IFERROR(__xludf.DUMMYFUNCTION("""COMPUTED_VALUE"""),108.2)</f>
        <v>108.2</v>
      </c>
      <c r="Q21" s="1">
        <f ca="1">IFERROR(__xludf.DUMMYFUNCTION("""COMPUTED_VALUE"""),32)</f>
        <v>32</v>
      </c>
      <c r="R21" s="1">
        <f ca="1">IFERROR(__xludf.DUMMYFUNCTION("""COMPUTED_VALUE"""),99.5)</f>
        <v>99.5</v>
      </c>
      <c r="S21" s="1">
        <f ca="1">IFERROR(__xludf.DUMMYFUNCTION("""COMPUTED_VALUE"""),32)</f>
        <v>32</v>
      </c>
      <c r="T21" s="1" t="str">
        <f ca="1">IFERROR(__xludf.DUMMYFUNCTION("""COMPUTED_VALUE"""),"+0.59")</f>
        <v>+0.59</v>
      </c>
      <c r="U21" s="1">
        <f ca="1">IFERROR(__xludf.DUMMYFUNCTION("""COMPUTED_VALUE"""),128)</f>
        <v>128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IFERROR(__xludf.DUMMYFUNCTION("""COMPUTED_VALUE"""),"Butler7")</f>
        <v>Butler7</v>
      </c>
      <c r="C22" s="1" t="str">
        <f ca="1">IFERROR(__xludf.DUMMYFUNCTION("""COMPUTED_VALUE"""),"Horz")</f>
        <v>Horz</v>
      </c>
      <c r="D22" s="1" t="str">
        <f ca="1">IFERROR(__xludf.DUMMYFUNCTION("""COMPUTED_VALUE"""),"30-4")</f>
        <v>30-4</v>
      </c>
      <c r="E22" s="1" t="str">
        <f ca="1">IFERROR(__xludf.DUMMYFUNCTION("""COMPUTED_VALUE"""),"+19.97")</f>
        <v>+19.97</v>
      </c>
      <c r="F22" s="1">
        <f ca="1">IFERROR(__xludf.DUMMYFUNCTION("""COMPUTED_VALUE"""),116.2)</f>
        <v>116.2</v>
      </c>
      <c r="G22" s="1">
        <f ca="1">IFERROR(__xludf.DUMMYFUNCTION("""COMPUTED_VALUE"""),14)</f>
        <v>14</v>
      </c>
      <c r="H22" s="1">
        <f ca="1">IFERROR(__xludf.DUMMYFUNCTION("""COMPUTED_VALUE"""),96.2)</f>
        <v>96.2</v>
      </c>
      <c r="I22" s="1">
        <f ca="1">IFERROR(__xludf.DUMMYFUNCTION("""COMPUTED_VALUE"""),47)</f>
        <v>47</v>
      </c>
      <c r="J22" s="1">
        <f ca="1">IFERROR(__xludf.DUMMYFUNCTION("""COMPUTED_VALUE"""),59.5)</f>
        <v>59.5</v>
      </c>
      <c r="K22" s="1">
        <f ca="1">IFERROR(__xludf.DUMMYFUNCTION("""COMPUTED_VALUE"""),328)</f>
        <v>328</v>
      </c>
      <c r="L22" s="1" t="str">
        <f ca="1">IFERROR(__xludf.DUMMYFUNCTION("""COMPUTED_VALUE"""),"+.002")</f>
        <v>+.002</v>
      </c>
      <c r="M22" s="1">
        <f ca="1">IFERROR(__xludf.DUMMYFUNCTION("""COMPUTED_VALUE"""),161)</f>
        <v>161</v>
      </c>
      <c r="N22" s="1" t="str">
        <f ca="1">IFERROR(__xludf.DUMMYFUNCTION("""COMPUTED_VALUE"""),"+2.79")</f>
        <v>+2.79</v>
      </c>
      <c r="O22" s="1">
        <f ca="1">IFERROR(__xludf.DUMMYFUNCTION("""COMPUTED_VALUE"""),110)</f>
        <v>110</v>
      </c>
      <c r="P22" s="1">
        <f ca="1">IFERROR(__xludf.DUMMYFUNCTION("""COMPUTED_VALUE"""),104.3)</f>
        <v>104.3</v>
      </c>
      <c r="Q22" s="1">
        <f ca="1">IFERROR(__xludf.DUMMYFUNCTION("""COMPUTED_VALUE"""),133)</f>
        <v>133</v>
      </c>
      <c r="R22" s="1">
        <f ca="1">IFERROR(__xludf.DUMMYFUNCTION("""COMPUTED_VALUE"""),101.5)</f>
        <v>101.5</v>
      </c>
      <c r="S22" s="1">
        <f ca="1">IFERROR(__xludf.DUMMYFUNCTION("""COMPUTED_VALUE"""),90)</f>
        <v>90</v>
      </c>
      <c r="T22" s="1" t="str">
        <f ca="1">IFERROR(__xludf.DUMMYFUNCTION("""COMPUTED_VALUE"""),"+5.43")</f>
        <v>+5.43</v>
      </c>
      <c r="U22" s="1">
        <f ca="1">IFERROR(__xludf.DUMMYFUNCTION("""COMPUTED_VALUE"""),40)</f>
        <v>40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IFERROR(__xludf.DUMMYFUNCTION("""COMPUTED_VALUE"""),"Texas A&amp;M9")</f>
        <v>Texas A&amp;M9</v>
      </c>
      <c r="C23" s="1" t="str">
        <f ca="1">IFERROR(__xludf.DUMMYFUNCTION("""COMPUTED_VALUE"""),"B12")</f>
        <v>B12</v>
      </c>
      <c r="D23" s="1" t="str">
        <f ca="1">IFERROR(__xludf.DUMMYFUNCTION("""COMPUTED_VALUE"""),"25-11")</f>
        <v>25-11</v>
      </c>
      <c r="E23" s="1" t="str">
        <f ca="1">IFERROR(__xludf.DUMMYFUNCTION("""COMPUTED_VALUE"""),"+19.93")</f>
        <v>+19.93</v>
      </c>
      <c r="F23" s="1">
        <f ca="1">IFERROR(__xludf.DUMMYFUNCTION("""COMPUTED_VALUE"""),112.3)</f>
        <v>112.3</v>
      </c>
      <c r="G23" s="1">
        <f ca="1">IFERROR(__xludf.DUMMYFUNCTION("""COMPUTED_VALUE"""),46)</f>
        <v>46</v>
      </c>
      <c r="H23" s="1">
        <f ca="1">IFERROR(__xludf.DUMMYFUNCTION("""COMPUTED_VALUE"""),92.3)</f>
        <v>92.3</v>
      </c>
      <c r="I23" s="1">
        <f ca="1">IFERROR(__xludf.DUMMYFUNCTION("""COMPUTED_VALUE"""),17)</f>
        <v>17</v>
      </c>
      <c r="J23" s="1">
        <f ca="1">IFERROR(__xludf.DUMMYFUNCTION("""COMPUTED_VALUE"""),61.8)</f>
        <v>61.8</v>
      </c>
      <c r="K23" s="1">
        <f ca="1">IFERROR(__xludf.DUMMYFUNCTION("""COMPUTED_VALUE"""),295)</f>
        <v>295</v>
      </c>
      <c r="L23" s="1" t="str">
        <f ca="1">IFERROR(__xludf.DUMMYFUNCTION("""COMPUTED_VALUE"""),"+.004")</f>
        <v>+.004</v>
      </c>
      <c r="M23" s="1">
        <f ca="1">IFERROR(__xludf.DUMMYFUNCTION("""COMPUTED_VALUE"""),159)</f>
        <v>159</v>
      </c>
      <c r="N23" s="1" t="str">
        <f ca="1">IFERROR(__xludf.DUMMYFUNCTION("""COMPUTED_VALUE"""),"+8.28")</f>
        <v>+8.28</v>
      </c>
      <c r="O23" s="1">
        <f ca="1">IFERROR(__xludf.DUMMYFUNCTION("""COMPUTED_VALUE"""),37)</f>
        <v>37</v>
      </c>
      <c r="P23" s="1">
        <f ca="1">IFERROR(__xludf.DUMMYFUNCTION("""COMPUTED_VALUE"""),107.4)</f>
        <v>107.4</v>
      </c>
      <c r="Q23" s="1">
        <f ca="1">IFERROR(__xludf.DUMMYFUNCTION("""COMPUTED_VALUE"""),51)</f>
        <v>51</v>
      </c>
      <c r="R23" s="1">
        <f ca="1">IFERROR(__xludf.DUMMYFUNCTION("""COMPUTED_VALUE"""),99.1)</f>
        <v>99.1</v>
      </c>
      <c r="S23" s="1">
        <f ca="1">IFERROR(__xludf.DUMMYFUNCTION("""COMPUTED_VALUE"""),20)</f>
        <v>20</v>
      </c>
      <c r="T23" s="1">
        <f ca="1">IFERROR(__xludf.DUMMYFUNCTION("""COMPUTED_VALUE"""),-5.13)</f>
        <v>-5.13</v>
      </c>
      <c r="U23" s="1">
        <f ca="1">IFERROR(__xludf.DUMMYFUNCTION("""COMPUTED_VALUE"""),291)</f>
        <v>291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IFERROR(__xludf.DUMMYFUNCTION("""COMPUTED_VALUE"""),"Pittsburgh4")</f>
        <v>Pittsburgh4</v>
      </c>
      <c r="C24" s="1" t="str">
        <f ca="1">IFERROR(__xludf.DUMMYFUNCTION("""COMPUTED_VALUE"""),"BE")</f>
        <v>BE</v>
      </c>
      <c r="D24" s="1" t="str">
        <f ca="1">IFERROR(__xludf.DUMMYFUNCTION("""COMPUTED_VALUE"""),"27-10")</f>
        <v>27-10</v>
      </c>
      <c r="E24" s="1" t="str">
        <f ca="1">IFERROR(__xludf.DUMMYFUNCTION("""COMPUTED_VALUE"""),"+19.91")</f>
        <v>+19.91</v>
      </c>
      <c r="F24" s="1">
        <f ca="1">IFERROR(__xludf.DUMMYFUNCTION("""COMPUTED_VALUE"""),116.5)</f>
        <v>116.5</v>
      </c>
      <c r="G24" s="1">
        <f ca="1">IFERROR(__xludf.DUMMYFUNCTION("""COMPUTED_VALUE"""),10)</f>
        <v>10</v>
      </c>
      <c r="H24" s="1">
        <f ca="1">IFERROR(__xludf.DUMMYFUNCTION("""COMPUTED_VALUE"""),96.6)</f>
        <v>96.6</v>
      </c>
      <c r="I24" s="1">
        <f ca="1">IFERROR(__xludf.DUMMYFUNCTION("""COMPUTED_VALUE"""),54)</f>
        <v>54</v>
      </c>
      <c r="J24" s="1">
        <f ca="1">IFERROR(__xludf.DUMMYFUNCTION("""COMPUTED_VALUE"""),63.9)</f>
        <v>63.9</v>
      </c>
      <c r="K24" s="1">
        <f ca="1">IFERROR(__xludf.DUMMYFUNCTION("""COMPUTED_VALUE"""),221)</f>
        <v>221</v>
      </c>
      <c r="L24" s="1" t="str">
        <f ca="1">IFERROR(__xludf.DUMMYFUNCTION("""COMPUTED_VALUE"""),"+.027")</f>
        <v>+.027</v>
      </c>
      <c r="M24" s="1">
        <f ca="1">IFERROR(__xludf.DUMMYFUNCTION("""COMPUTED_VALUE"""),104)</f>
        <v>104</v>
      </c>
      <c r="N24" s="1" t="str">
        <f ca="1">IFERROR(__xludf.DUMMYFUNCTION("""COMPUTED_VALUE"""),"+9.52")</f>
        <v>+9.52</v>
      </c>
      <c r="O24" s="1">
        <f ca="1">IFERROR(__xludf.DUMMYFUNCTION("""COMPUTED_VALUE"""),16)</f>
        <v>16</v>
      </c>
      <c r="P24" s="1">
        <f ca="1">IFERROR(__xludf.DUMMYFUNCTION("""COMPUTED_VALUE"""),107.8)</f>
        <v>107.8</v>
      </c>
      <c r="Q24" s="1">
        <f ca="1">IFERROR(__xludf.DUMMYFUNCTION("""COMPUTED_VALUE"""),44)</f>
        <v>44</v>
      </c>
      <c r="R24" s="1">
        <f ca="1">IFERROR(__xludf.DUMMYFUNCTION("""COMPUTED_VALUE"""),98.3)</f>
        <v>98.3</v>
      </c>
      <c r="S24" s="1">
        <f ca="1">IFERROR(__xludf.DUMMYFUNCTION("""COMPUTED_VALUE"""),5)</f>
        <v>5</v>
      </c>
      <c r="T24" s="1">
        <f ca="1">IFERROR(__xludf.DUMMYFUNCTION("""COMPUTED_VALUE"""),-1.69)</f>
        <v>-1.69</v>
      </c>
      <c r="U24" s="1">
        <f ca="1">IFERROR(__xludf.DUMMYFUNCTION("""COMPUTED_VALUE"""),197)</f>
        <v>197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IFERROR(__xludf.DUMMYFUNCTION("""COMPUTED_VALUE"""),"Arizona10")</f>
        <v>Arizona10</v>
      </c>
      <c r="C25" s="1" t="str">
        <f ca="1">IFERROR(__xludf.DUMMYFUNCTION("""COMPUTED_VALUE"""),"P10")</f>
        <v>P10</v>
      </c>
      <c r="D25" s="1" t="str">
        <f ca="1">IFERROR(__xludf.DUMMYFUNCTION("""COMPUTED_VALUE"""),"19-15")</f>
        <v>19-15</v>
      </c>
      <c r="E25" s="1" t="str">
        <f ca="1">IFERROR(__xludf.DUMMYFUNCTION("""COMPUTED_VALUE"""),"+19.14")</f>
        <v>+19.14</v>
      </c>
      <c r="F25" s="1">
        <f ca="1">IFERROR(__xludf.DUMMYFUNCTION("""COMPUTED_VALUE"""),116.4)</f>
        <v>116.4</v>
      </c>
      <c r="G25" s="1">
        <f ca="1">IFERROR(__xludf.DUMMYFUNCTION("""COMPUTED_VALUE"""),12)</f>
        <v>12</v>
      </c>
      <c r="H25" s="1">
        <f ca="1">IFERROR(__xludf.DUMMYFUNCTION("""COMPUTED_VALUE"""),97.3)</f>
        <v>97.3</v>
      </c>
      <c r="I25" s="1">
        <f ca="1">IFERROR(__xludf.DUMMYFUNCTION("""COMPUTED_VALUE"""),63)</f>
        <v>63</v>
      </c>
      <c r="J25" s="1">
        <f ca="1">IFERROR(__xludf.DUMMYFUNCTION("""COMPUTED_VALUE"""),63.5)</f>
        <v>63.5</v>
      </c>
      <c r="K25" s="1">
        <f ca="1">IFERROR(__xludf.DUMMYFUNCTION("""COMPUTED_VALUE"""),239)</f>
        <v>239</v>
      </c>
      <c r="L25" s="1">
        <f ca="1">IFERROR(__xludf.DUMMYFUNCTION("""COMPUTED_VALUE"""),-0.079)</f>
        <v>-7.9000000000000001E-2</v>
      </c>
      <c r="M25" s="1">
        <f ca="1">IFERROR(__xludf.DUMMYFUNCTION("""COMPUTED_VALUE"""),326)</f>
        <v>326</v>
      </c>
      <c r="N25" s="1" t="str">
        <f ca="1">IFERROR(__xludf.DUMMYFUNCTION("""COMPUTED_VALUE"""),"+12.72")</f>
        <v>+12.72</v>
      </c>
      <c r="O25" s="1">
        <f ca="1">IFERROR(__xludf.DUMMYFUNCTION("""COMPUTED_VALUE"""),1)</f>
        <v>1</v>
      </c>
      <c r="P25" s="1">
        <f ca="1">IFERROR(__xludf.DUMMYFUNCTION("""COMPUTED_VALUE"""),110.3)</f>
        <v>110.3</v>
      </c>
      <c r="Q25" s="1">
        <f ca="1">IFERROR(__xludf.DUMMYFUNCTION("""COMPUTED_VALUE"""),1)</f>
        <v>1</v>
      </c>
      <c r="R25" s="1">
        <f ca="1">IFERROR(__xludf.DUMMYFUNCTION("""COMPUTED_VALUE"""),97.6)</f>
        <v>97.6</v>
      </c>
      <c r="S25" s="1">
        <f ca="1">IFERROR(__xludf.DUMMYFUNCTION("""COMPUTED_VALUE"""),1)</f>
        <v>1</v>
      </c>
      <c r="T25" s="1" t="str">
        <f ca="1">IFERROR(__xludf.DUMMYFUNCTION("""COMPUTED_VALUE"""),"+8.75")</f>
        <v>+8.75</v>
      </c>
      <c r="U25" s="1">
        <f ca="1">IFERROR(__xludf.DUMMYFUNCTION("""COMPUTED_VALUE"""),12)</f>
        <v>12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IFERROR(__xludf.DUMMYFUNCTION("""COMPUTED_VALUE"""),"Notre Dame5")</f>
        <v>Notre Dame5</v>
      </c>
      <c r="C26" s="1" t="str">
        <f ca="1">IFERROR(__xludf.DUMMYFUNCTION("""COMPUTED_VALUE"""),"BE")</f>
        <v>BE</v>
      </c>
      <c r="D26" s="1" t="str">
        <f ca="1">IFERROR(__xludf.DUMMYFUNCTION("""COMPUTED_VALUE"""),"25-8")</f>
        <v>25-8</v>
      </c>
      <c r="E26" s="1" t="str">
        <f ca="1">IFERROR(__xludf.DUMMYFUNCTION("""COMPUTED_VALUE"""),"+19.07")</f>
        <v>+19.07</v>
      </c>
      <c r="F26" s="1">
        <f ca="1">IFERROR(__xludf.DUMMYFUNCTION("""COMPUTED_VALUE"""),114.6)</f>
        <v>114.6</v>
      </c>
      <c r="G26" s="1">
        <f ca="1">IFERROR(__xludf.DUMMYFUNCTION("""COMPUTED_VALUE"""),26)</f>
        <v>26</v>
      </c>
      <c r="H26" s="1">
        <f ca="1">IFERROR(__xludf.DUMMYFUNCTION("""COMPUTED_VALUE"""),95.6)</f>
        <v>95.6</v>
      </c>
      <c r="I26" s="1">
        <f ca="1">IFERROR(__xludf.DUMMYFUNCTION("""COMPUTED_VALUE"""),43)</f>
        <v>43</v>
      </c>
      <c r="J26" s="1">
        <f ca="1">IFERROR(__xludf.DUMMYFUNCTION("""COMPUTED_VALUE"""),69.5)</f>
        <v>69.5</v>
      </c>
      <c r="K26" s="1">
        <f ca="1">IFERROR(__xludf.DUMMYFUNCTION("""COMPUTED_VALUE"""),35)</f>
        <v>35</v>
      </c>
      <c r="L26" s="1" t="str">
        <f ca="1">IFERROR(__xludf.DUMMYFUNCTION("""COMPUTED_VALUE"""),"+.042")</f>
        <v>+.042</v>
      </c>
      <c r="M26" s="1">
        <f ca="1">IFERROR(__xludf.DUMMYFUNCTION("""COMPUTED_VALUE"""),72)</f>
        <v>72</v>
      </c>
      <c r="N26" s="1" t="str">
        <f ca="1">IFERROR(__xludf.DUMMYFUNCTION("""COMPUTED_VALUE"""),"+6.88")</f>
        <v>+6.88</v>
      </c>
      <c r="O26" s="1">
        <f ca="1">IFERROR(__xludf.DUMMYFUNCTION("""COMPUTED_VALUE"""),54)</f>
        <v>54</v>
      </c>
      <c r="P26" s="1">
        <f ca="1">IFERROR(__xludf.DUMMYFUNCTION("""COMPUTED_VALUE"""),107.5)</f>
        <v>107.5</v>
      </c>
      <c r="Q26" s="1">
        <f ca="1">IFERROR(__xludf.DUMMYFUNCTION("""COMPUTED_VALUE"""),48)</f>
        <v>48</v>
      </c>
      <c r="R26" s="1">
        <f ca="1">IFERROR(__xludf.DUMMYFUNCTION("""COMPUTED_VALUE"""),100.6)</f>
        <v>100.6</v>
      </c>
      <c r="S26" s="1">
        <f ca="1">IFERROR(__xludf.DUMMYFUNCTION("""COMPUTED_VALUE"""),66)</f>
        <v>66</v>
      </c>
      <c r="T26" s="1">
        <f ca="1">IFERROR(__xludf.DUMMYFUNCTION("""COMPUTED_VALUE"""),-7.02)</f>
        <v>-7.02</v>
      </c>
      <c r="U26" s="1">
        <f ca="1">IFERROR(__xludf.DUMMYFUNCTION("""COMPUTED_VALUE"""),314)</f>
        <v>314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IFERROR(__xludf.DUMMYFUNCTION("""COMPUTED_VALUE"""),"Gonzaga7")</f>
        <v>Gonzaga7</v>
      </c>
      <c r="C27" s="1" t="str">
        <f ca="1">IFERROR(__xludf.DUMMYFUNCTION("""COMPUTED_VALUE"""),"WCC")</f>
        <v>WCC</v>
      </c>
      <c r="D27" s="1" t="str">
        <f ca="1">IFERROR(__xludf.DUMMYFUNCTION("""COMPUTED_VALUE"""),"25-8")</f>
        <v>25-8</v>
      </c>
      <c r="E27" s="1" t="str">
        <f ca="1">IFERROR(__xludf.DUMMYFUNCTION("""COMPUTED_VALUE"""),"+19.05")</f>
        <v>+19.05</v>
      </c>
      <c r="F27" s="1">
        <f ca="1">IFERROR(__xludf.DUMMYFUNCTION("""COMPUTED_VALUE"""),114.5)</f>
        <v>114.5</v>
      </c>
      <c r="G27" s="1">
        <f ca="1">IFERROR(__xludf.DUMMYFUNCTION("""COMPUTED_VALUE"""),30)</f>
        <v>30</v>
      </c>
      <c r="H27" s="1">
        <f ca="1">IFERROR(__xludf.DUMMYFUNCTION("""COMPUTED_VALUE"""),95.5)</f>
        <v>95.5</v>
      </c>
      <c r="I27" s="1">
        <f ca="1">IFERROR(__xludf.DUMMYFUNCTION("""COMPUTED_VALUE"""),41)</f>
        <v>41</v>
      </c>
      <c r="J27" s="1">
        <f ca="1">IFERROR(__xludf.DUMMYFUNCTION("""COMPUTED_VALUE"""),65.9)</f>
        <v>65.900000000000006</v>
      </c>
      <c r="K27" s="1">
        <f ca="1">IFERROR(__xludf.DUMMYFUNCTION("""COMPUTED_VALUE"""),140)</f>
        <v>140</v>
      </c>
      <c r="L27" s="1">
        <f ca="1">IFERROR(__xludf.DUMMYFUNCTION("""COMPUTED_VALUE"""),-0.029)</f>
        <v>-2.9000000000000001E-2</v>
      </c>
      <c r="M27" s="1">
        <f ca="1">IFERROR(__xludf.DUMMYFUNCTION("""COMPUTED_VALUE"""),245)</f>
        <v>245</v>
      </c>
      <c r="N27" s="1" t="str">
        <f ca="1">IFERROR(__xludf.DUMMYFUNCTION("""COMPUTED_VALUE"""),"+2.57")</f>
        <v>+2.57</v>
      </c>
      <c r="O27" s="1">
        <f ca="1">IFERROR(__xludf.DUMMYFUNCTION("""COMPUTED_VALUE"""),112)</f>
        <v>112</v>
      </c>
      <c r="P27" s="1">
        <f ca="1">IFERROR(__xludf.DUMMYFUNCTION("""COMPUTED_VALUE"""),104)</f>
        <v>104</v>
      </c>
      <c r="Q27" s="1">
        <f ca="1">IFERROR(__xludf.DUMMYFUNCTION("""COMPUTED_VALUE"""),147)</f>
        <v>147</v>
      </c>
      <c r="R27" s="1">
        <f ca="1">IFERROR(__xludf.DUMMYFUNCTION("""COMPUTED_VALUE"""),101.5)</f>
        <v>101.5</v>
      </c>
      <c r="S27" s="1">
        <f ca="1">IFERROR(__xludf.DUMMYFUNCTION("""COMPUTED_VALUE"""),89)</f>
        <v>89</v>
      </c>
      <c r="T27" s="1" t="str">
        <f ca="1">IFERROR(__xludf.DUMMYFUNCTION("""COMPUTED_VALUE"""),"+7.71")</f>
        <v>+7.71</v>
      </c>
      <c r="U27" s="1">
        <f ca="1">IFERROR(__xludf.DUMMYFUNCTION("""COMPUTED_VALUE"""),22)</f>
        <v>22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IFERROR(__xludf.DUMMYFUNCTION("""COMPUTED_VALUE"""),"Kansas St.11")</f>
        <v>Kansas St.11</v>
      </c>
      <c r="C28" s="1" t="str">
        <f ca="1">IFERROR(__xludf.DUMMYFUNCTION("""COMPUTED_VALUE"""),"B12")</f>
        <v>B12</v>
      </c>
      <c r="D28" s="1" t="str">
        <f ca="1">IFERROR(__xludf.DUMMYFUNCTION("""COMPUTED_VALUE"""),"21-12")</f>
        <v>21-12</v>
      </c>
      <c r="E28" s="1" t="str">
        <f ca="1">IFERROR(__xludf.DUMMYFUNCTION("""COMPUTED_VALUE"""),"+18.90")</f>
        <v>+18.90</v>
      </c>
      <c r="F28" s="1">
        <f ca="1">IFERROR(__xludf.DUMMYFUNCTION("""COMPUTED_VALUE"""),114.2)</f>
        <v>114.2</v>
      </c>
      <c r="G28" s="1">
        <f ca="1">IFERROR(__xludf.DUMMYFUNCTION("""COMPUTED_VALUE"""),34)</f>
        <v>34</v>
      </c>
      <c r="H28" s="1">
        <f ca="1">IFERROR(__xludf.DUMMYFUNCTION("""COMPUTED_VALUE"""),95.3)</f>
        <v>95.3</v>
      </c>
      <c r="I28" s="1">
        <f ca="1">IFERROR(__xludf.DUMMYFUNCTION("""COMPUTED_VALUE"""),40)</f>
        <v>40</v>
      </c>
      <c r="J28" s="1">
        <f ca="1">IFERROR(__xludf.DUMMYFUNCTION("""COMPUTED_VALUE"""),69.7)</f>
        <v>69.7</v>
      </c>
      <c r="K28" s="1">
        <f ca="1">IFERROR(__xludf.DUMMYFUNCTION("""COMPUTED_VALUE"""),33)</f>
        <v>33</v>
      </c>
      <c r="L28" s="1">
        <f ca="1">IFERROR(__xludf.DUMMYFUNCTION("""COMPUTED_VALUE"""),-0.049)</f>
        <v>-4.9000000000000002E-2</v>
      </c>
      <c r="M28" s="1">
        <f ca="1">IFERROR(__xludf.DUMMYFUNCTION("""COMPUTED_VALUE"""),290)</f>
        <v>290</v>
      </c>
      <c r="N28" s="1" t="str">
        <f ca="1">IFERROR(__xludf.DUMMYFUNCTION("""COMPUTED_VALUE"""),"+9.09")</f>
        <v>+9.09</v>
      </c>
      <c r="O28" s="1">
        <f ca="1">IFERROR(__xludf.DUMMYFUNCTION("""COMPUTED_VALUE"""),27)</f>
        <v>27</v>
      </c>
      <c r="P28" s="1">
        <f ca="1">IFERROR(__xludf.DUMMYFUNCTION("""COMPUTED_VALUE"""),108)</f>
        <v>108</v>
      </c>
      <c r="Q28" s="1">
        <f ca="1">IFERROR(__xludf.DUMMYFUNCTION("""COMPUTED_VALUE"""),38)</f>
        <v>38</v>
      </c>
      <c r="R28" s="1">
        <f ca="1">IFERROR(__xludf.DUMMYFUNCTION("""COMPUTED_VALUE"""),98.9)</f>
        <v>98.9</v>
      </c>
      <c r="S28" s="1">
        <f ca="1">IFERROR(__xludf.DUMMYFUNCTION("""COMPUTED_VALUE"""),14)</f>
        <v>14</v>
      </c>
      <c r="T28" s="1">
        <f ca="1">IFERROR(__xludf.DUMMYFUNCTION("""COMPUTED_VALUE"""),-2.73)</f>
        <v>-2.73</v>
      </c>
      <c r="U28" s="1">
        <f ca="1">IFERROR(__xludf.DUMMYFUNCTION("""COMPUTED_VALUE"""),237)</f>
        <v>237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IFERROR(__xludf.DUMMYFUNCTION("""COMPUTED_VALUE"""),"Connecticut4")</f>
        <v>Connecticut4</v>
      </c>
      <c r="C29" s="1" t="str">
        <f ca="1">IFERROR(__xludf.DUMMYFUNCTION("""COMPUTED_VALUE"""),"BE")</f>
        <v>BE</v>
      </c>
      <c r="D29" s="1" t="str">
        <f ca="1">IFERROR(__xludf.DUMMYFUNCTION("""COMPUTED_VALUE"""),"24-9")</f>
        <v>24-9</v>
      </c>
      <c r="E29" s="1" t="str">
        <f ca="1">IFERROR(__xludf.DUMMYFUNCTION("""COMPUTED_VALUE"""),"+18.90")</f>
        <v>+18.90</v>
      </c>
      <c r="F29" s="1">
        <f ca="1">IFERROR(__xludf.DUMMYFUNCTION("""COMPUTED_VALUE"""),115.2)</f>
        <v>115.2</v>
      </c>
      <c r="G29" s="1">
        <f ca="1">IFERROR(__xludf.DUMMYFUNCTION("""COMPUTED_VALUE"""),22)</f>
        <v>22</v>
      </c>
      <c r="H29" s="1">
        <f ca="1">IFERROR(__xludf.DUMMYFUNCTION("""COMPUTED_VALUE"""),96.3)</f>
        <v>96.3</v>
      </c>
      <c r="I29" s="1">
        <f ca="1">IFERROR(__xludf.DUMMYFUNCTION("""COMPUTED_VALUE"""),49)</f>
        <v>49</v>
      </c>
      <c r="J29" s="1">
        <f ca="1">IFERROR(__xludf.DUMMYFUNCTION("""COMPUTED_VALUE"""),67.1)</f>
        <v>67.099999999999994</v>
      </c>
      <c r="K29" s="1">
        <f ca="1">IFERROR(__xludf.DUMMYFUNCTION("""COMPUTED_VALUE"""),101)</f>
        <v>101</v>
      </c>
      <c r="L29" s="1">
        <f ca="1">IFERROR(__xludf.DUMMYFUNCTION("""COMPUTED_VALUE"""),-0.001)</f>
        <v>-1E-3</v>
      </c>
      <c r="M29" s="1">
        <f ca="1">IFERROR(__xludf.DUMMYFUNCTION("""COMPUTED_VALUE"""),170)</f>
        <v>170</v>
      </c>
      <c r="N29" s="1" t="str">
        <f ca="1">IFERROR(__xludf.DUMMYFUNCTION("""COMPUTED_VALUE"""),"+7.67")</f>
        <v>+7.67</v>
      </c>
      <c r="O29" s="1">
        <f ca="1">IFERROR(__xludf.DUMMYFUNCTION("""COMPUTED_VALUE"""),45)</f>
        <v>45</v>
      </c>
      <c r="P29" s="1">
        <f ca="1">IFERROR(__xludf.DUMMYFUNCTION("""COMPUTED_VALUE"""),107.7)</f>
        <v>107.7</v>
      </c>
      <c r="Q29" s="1">
        <f ca="1">IFERROR(__xludf.DUMMYFUNCTION("""COMPUTED_VALUE"""),45)</f>
        <v>45</v>
      </c>
      <c r="R29" s="1">
        <f ca="1">IFERROR(__xludf.DUMMYFUNCTION("""COMPUTED_VALUE"""),100)</f>
        <v>100</v>
      </c>
      <c r="S29" s="1">
        <f ca="1">IFERROR(__xludf.DUMMYFUNCTION("""COMPUTED_VALUE"""),49)</f>
        <v>49</v>
      </c>
      <c r="T29" s="1">
        <f ca="1">IFERROR(__xludf.DUMMYFUNCTION("""COMPUTED_VALUE"""),-1.27)</f>
        <v>-1.27</v>
      </c>
      <c r="U29" s="1">
        <f ca="1">IFERROR(__xludf.DUMMYFUNCTION("""COMPUTED_VALUE"""),179)</f>
        <v>179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IFERROR(__xludf.DUMMYFUNCTION("""COMPUTED_VALUE"""),"USC6")</f>
        <v>USC6</v>
      </c>
      <c r="C30" s="1" t="str">
        <f ca="1">IFERROR(__xludf.DUMMYFUNCTION("""COMPUTED_VALUE"""),"P10")</f>
        <v>P10</v>
      </c>
      <c r="D30" s="1" t="str">
        <f ca="1">IFERROR(__xludf.DUMMYFUNCTION("""COMPUTED_VALUE"""),"21-12")</f>
        <v>21-12</v>
      </c>
      <c r="E30" s="1" t="str">
        <f ca="1">IFERROR(__xludf.DUMMYFUNCTION("""COMPUTED_VALUE"""),"+18.67")</f>
        <v>+18.67</v>
      </c>
      <c r="F30" s="1">
        <f ca="1">IFERROR(__xludf.DUMMYFUNCTION("""COMPUTED_VALUE"""),110.5)</f>
        <v>110.5</v>
      </c>
      <c r="G30" s="1">
        <f ca="1">IFERROR(__xludf.DUMMYFUNCTION("""COMPUTED_VALUE"""),59)</f>
        <v>59</v>
      </c>
      <c r="H30" s="1">
        <f ca="1">IFERROR(__xludf.DUMMYFUNCTION("""COMPUTED_VALUE"""),91.9)</f>
        <v>91.9</v>
      </c>
      <c r="I30" s="1">
        <f ca="1">IFERROR(__xludf.DUMMYFUNCTION("""COMPUTED_VALUE"""),13)</f>
        <v>13</v>
      </c>
      <c r="J30" s="1">
        <f ca="1">IFERROR(__xludf.DUMMYFUNCTION("""COMPUTED_VALUE"""),65.2)</f>
        <v>65.2</v>
      </c>
      <c r="K30" s="1">
        <f ca="1">IFERROR(__xludf.DUMMYFUNCTION("""COMPUTED_VALUE"""),166)</f>
        <v>166</v>
      </c>
      <c r="L30" s="1">
        <f ca="1">IFERROR(__xludf.DUMMYFUNCTION("""COMPUTED_VALUE"""),-0.005)</f>
        <v>-5.0000000000000001E-3</v>
      </c>
      <c r="M30" s="1">
        <f ca="1">IFERROR(__xludf.DUMMYFUNCTION("""COMPUTED_VALUE"""),184)</f>
        <v>184</v>
      </c>
      <c r="N30" s="1" t="str">
        <f ca="1">IFERROR(__xludf.DUMMYFUNCTION("""COMPUTED_VALUE"""),"+11.18")</f>
        <v>+11.18</v>
      </c>
      <c r="O30" s="1">
        <f ca="1">IFERROR(__xludf.DUMMYFUNCTION("""COMPUTED_VALUE"""),3)</f>
        <v>3</v>
      </c>
      <c r="P30" s="1">
        <f ca="1">IFERROR(__xludf.DUMMYFUNCTION("""COMPUTED_VALUE"""),109.7)</f>
        <v>109.7</v>
      </c>
      <c r="Q30" s="1">
        <f ca="1">IFERROR(__xludf.DUMMYFUNCTION("""COMPUTED_VALUE"""),2)</f>
        <v>2</v>
      </c>
      <c r="R30" s="1">
        <f ca="1">IFERROR(__xludf.DUMMYFUNCTION("""COMPUTED_VALUE"""),98.5)</f>
        <v>98.5</v>
      </c>
      <c r="S30" s="1">
        <f ca="1">IFERROR(__xludf.DUMMYFUNCTION("""COMPUTED_VALUE"""),8)</f>
        <v>8</v>
      </c>
      <c r="T30" s="1" t="str">
        <f ca="1">IFERROR(__xludf.DUMMYFUNCTION("""COMPUTED_VALUE"""),"+0.40")</f>
        <v>+0.40</v>
      </c>
      <c r="U30" s="1">
        <f ca="1">IFERROR(__xludf.DUMMYFUNCTION("""COMPUTED_VALUE"""),134)</f>
        <v>134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IFERROR(__xludf.DUMMYFUNCTION("""COMPUTED_VALUE"""),"Indiana8")</f>
        <v>Indiana8</v>
      </c>
      <c r="C31" s="1" t="str">
        <f ca="1">IFERROR(__xludf.DUMMYFUNCTION("""COMPUTED_VALUE"""),"B10")</f>
        <v>B10</v>
      </c>
      <c r="D31" s="1" t="str">
        <f ca="1">IFERROR(__xludf.DUMMYFUNCTION("""COMPUTED_VALUE"""),"25-8")</f>
        <v>25-8</v>
      </c>
      <c r="E31" s="1" t="str">
        <f ca="1">IFERROR(__xludf.DUMMYFUNCTION("""COMPUTED_VALUE"""),"+18.43")</f>
        <v>+18.43</v>
      </c>
      <c r="F31" s="1">
        <f ca="1">IFERROR(__xludf.DUMMYFUNCTION("""COMPUTED_VALUE"""),114.6)</f>
        <v>114.6</v>
      </c>
      <c r="G31" s="1">
        <f ca="1">IFERROR(__xludf.DUMMYFUNCTION("""COMPUTED_VALUE"""),29)</f>
        <v>29</v>
      </c>
      <c r="H31" s="1">
        <f ca="1">IFERROR(__xludf.DUMMYFUNCTION("""COMPUTED_VALUE"""),96.1)</f>
        <v>96.1</v>
      </c>
      <c r="I31" s="1">
        <f ca="1">IFERROR(__xludf.DUMMYFUNCTION("""COMPUTED_VALUE"""),44)</f>
        <v>44</v>
      </c>
      <c r="J31" s="1">
        <f ca="1">IFERROR(__xludf.DUMMYFUNCTION("""COMPUTED_VALUE"""),66.2)</f>
        <v>66.2</v>
      </c>
      <c r="K31" s="1">
        <f ca="1">IFERROR(__xludf.DUMMYFUNCTION("""COMPUTED_VALUE"""),134)</f>
        <v>134</v>
      </c>
      <c r="L31" s="1" t="str">
        <f ca="1">IFERROR(__xludf.DUMMYFUNCTION("""COMPUTED_VALUE"""),"+.037")</f>
        <v>+.037</v>
      </c>
      <c r="M31" s="1">
        <f ca="1">IFERROR(__xludf.DUMMYFUNCTION("""COMPUTED_VALUE"""),85)</f>
        <v>85</v>
      </c>
      <c r="N31" s="1" t="str">
        <f ca="1">IFERROR(__xludf.DUMMYFUNCTION("""COMPUTED_VALUE"""),"+6.28")</f>
        <v>+6.28</v>
      </c>
      <c r="O31" s="1">
        <f ca="1">IFERROR(__xludf.DUMMYFUNCTION("""COMPUTED_VALUE"""),64)</f>
        <v>64</v>
      </c>
      <c r="P31" s="1">
        <f ca="1">IFERROR(__xludf.DUMMYFUNCTION("""COMPUTED_VALUE"""),106.6)</f>
        <v>106.6</v>
      </c>
      <c r="Q31" s="1">
        <f ca="1">IFERROR(__xludf.DUMMYFUNCTION("""COMPUTED_VALUE"""),75)</f>
        <v>75</v>
      </c>
      <c r="R31" s="1">
        <f ca="1">IFERROR(__xludf.DUMMYFUNCTION("""COMPUTED_VALUE"""),100.3)</f>
        <v>100.3</v>
      </c>
      <c r="S31" s="1">
        <f ca="1">IFERROR(__xludf.DUMMYFUNCTION("""COMPUTED_VALUE"""),59)</f>
        <v>59</v>
      </c>
      <c r="T31" s="1">
        <f ca="1">IFERROR(__xludf.DUMMYFUNCTION("""COMPUTED_VALUE"""),-2.3)</f>
        <v>-2.2999999999999998</v>
      </c>
      <c r="U31" s="1">
        <f ca="1">IFERROR(__xludf.DUMMYFUNCTION("""COMPUTED_VALUE"""),219)</f>
        <v>219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IFERROR(__xludf.DUMMYFUNCTION("""COMPUTED_VALUE"""),"Purdue6")</f>
        <v>Purdue6</v>
      </c>
      <c r="C32" s="1" t="str">
        <f ca="1">IFERROR(__xludf.DUMMYFUNCTION("""COMPUTED_VALUE"""),"B10")</f>
        <v>B10</v>
      </c>
      <c r="D32" s="1" t="str">
        <f ca="1">IFERROR(__xludf.DUMMYFUNCTION("""COMPUTED_VALUE"""),"25-9")</f>
        <v>25-9</v>
      </c>
      <c r="E32" s="1" t="str">
        <f ca="1">IFERROR(__xludf.DUMMYFUNCTION("""COMPUTED_VALUE"""),"+18.30")</f>
        <v>+18.30</v>
      </c>
      <c r="F32" s="1">
        <f ca="1">IFERROR(__xludf.DUMMYFUNCTION("""COMPUTED_VALUE"""),110.5)</f>
        <v>110.5</v>
      </c>
      <c r="G32" s="1">
        <f ca="1">IFERROR(__xludf.DUMMYFUNCTION("""COMPUTED_VALUE"""),60)</f>
        <v>60</v>
      </c>
      <c r="H32" s="1">
        <f ca="1">IFERROR(__xludf.DUMMYFUNCTION("""COMPUTED_VALUE"""),92.2)</f>
        <v>92.2</v>
      </c>
      <c r="I32" s="1">
        <f ca="1">IFERROR(__xludf.DUMMYFUNCTION("""COMPUTED_VALUE"""),16)</f>
        <v>16</v>
      </c>
      <c r="J32" s="1">
        <f ca="1">IFERROR(__xludf.DUMMYFUNCTION("""COMPUTED_VALUE"""),66.9)</f>
        <v>66.900000000000006</v>
      </c>
      <c r="K32" s="1">
        <f ca="1">IFERROR(__xludf.DUMMYFUNCTION("""COMPUTED_VALUE"""),107)</f>
        <v>107</v>
      </c>
      <c r="L32" s="1">
        <f ca="1">IFERROR(__xludf.DUMMYFUNCTION("""COMPUTED_VALUE"""),-0.025)</f>
        <v>-2.5000000000000001E-2</v>
      </c>
      <c r="M32" s="1">
        <f ca="1">IFERROR(__xludf.DUMMYFUNCTION("""COMPUTED_VALUE"""),234)</f>
        <v>234</v>
      </c>
      <c r="N32" s="1" t="str">
        <f ca="1">IFERROR(__xludf.DUMMYFUNCTION("""COMPUTED_VALUE"""),"+6.41")</f>
        <v>+6.41</v>
      </c>
      <c r="O32" s="1">
        <f ca="1">IFERROR(__xludf.DUMMYFUNCTION("""COMPUTED_VALUE"""),62)</f>
        <v>62</v>
      </c>
      <c r="P32" s="1">
        <f ca="1">IFERROR(__xludf.DUMMYFUNCTION("""COMPUTED_VALUE"""),106.2)</f>
        <v>106.2</v>
      </c>
      <c r="Q32" s="1">
        <f ca="1">IFERROR(__xludf.DUMMYFUNCTION("""COMPUTED_VALUE"""),86)</f>
        <v>86</v>
      </c>
      <c r="R32" s="1">
        <f ca="1">IFERROR(__xludf.DUMMYFUNCTION("""COMPUTED_VALUE"""),99.7)</f>
        <v>99.7</v>
      </c>
      <c r="S32" s="1">
        <f ca="1">IFERROR(__xludf.DUMMYFUNCTION("""COMPUTED_VALUE"""),36)</f>
        <v>36</v>
      </c>
      <c r="T32" s="1">
        <f ca="1">IFERROR(__xludf.DUMMYFUNCTION("""COMPUTED_VALUE"""),-3.61)</f>
        <v>-3.61</v>
      </c>
      <c r="U32" s="1">
        <f ca="1">IFERROR(__xludf.DUMMYFUNCTION("""COMPUTED_VALUE"""),265)</f>
        <v>265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IFERROR(__xludf.DUMMYFUNCTION("""COMPUTED_VALUE"""),"Ohio St.1")</f>
        <v>Ohio St.1</v>
      </c>
      <c r="C33" s="1" t="str">
        <f ca="1">IFERROR(__xludf.DUMMYFUNCTION("""COMPUTED_VALUE"""),"B10")</f>
        <v>B10</v>
      </c>
      <c r="D33" s="1" t="str">
        <f ca="1">IFERROR(__xludf.DUMMYFUNCTION("""COMPUTED_VALUE"""),"24-13")</f>
        <v>24-13</v>
      </c>
      <c r="E33" s="1" t="str">
        <f ca="1">IFERROR(__xludf.DUMMYFUNCTION("""COMPUTED_VALUE"""),"+17.79")</f>
        <v>+17.79</v>
      </c>
      <c r="F33" s="1">
        <f ca="1">IFERROR(__xludf.DUMMYFUNCTION("""COMPUTED_VALUE"""),110.2)</f>
        <v>110.2</v>
      </c>
      <c r="G33" s="1">
        <f ca="1">IFERROR(__xludf.DUMMYFUNCTION("""COMPUTED_VALUE"""),65)</f>
        <v>65</v>
      </c>
      <c r="H33" s="1">
        <f ca="1">IFERROR(__xludf.DUMMYFUNCTION("""COMPUTED_VALUE"""),92.4)</f>
        <v>92.4</v>
      </c>
      <c r="I33" s="1">
        <f ca="1">IFERROR(__xludf.DUMMYFUNCTION("""COMPUTED_VALUE"""),18)</f>
        <v>18</v>
      </c>
      <c r="J33" s="1">
        <f ca="1">IFERROR(__xludf.DUMMYFUNCTION("""COMPUTED_VALUE"""),64)</f>
        <v>64</v>
      </c>
      <c r="K33" s="1">
        <f ca="1">IFERROR(__xludf.DUMMYFUNCTION("""COMPUTED_VALUE"""),217)</f>
        <v>217</v>
      </c>
      <c r="L33" s="1">
        <f ca="1">IFERROR(__xludf.DUMMYFUNCTION("""COMPUTED_VALUE"""),-0.027)</f>
        <v>-2.7E-2</v>
      </c>
      <c r="M33" s="1">
        <f ca="1">IFERROR(__xludf.DUMMYFUNCTION("""COMPUTED_VALUE"""),241)</f>
        <v>241</v>
      </c>
      <c r="N33" s="1" t="str">
        <f ca="1">IFERROR(__xludf.DUMMYFUNCTION("""COMPUTED_VALUE"""),"+8.35")</f>
        <v>+8.35</v>
      </c>
      <c r="O33" s="1">
        <f ca="1">IFERROR(__xludf.DUMMYFUNCTION("""COMPUTED_VALUE"""),36)</f>
        <v>36</v>
      </c>
      <c r="P33" s="1">
        <f ca="1">IFERROR(__xludf.DUMMYFUNCTION("""COMPUTED_VALUE"""),108.6)</f>
        <v>108.6</v>
      </c>
      <c r="Q33" s="1">
        <f ca="1">IFERROR(__xludf.DUMMYFUNCTION("""COMPUTED_VALUE"""),18)</f>
        <v>18</v>
      </c>
      <c r="R33" s="1">
        <f ca="1">IFERROR(__xludf.DUMMYFUNCTION("""COMPUTED_VALUE"""),100.3)</f>
        <v>100.3</v>
      </c>
      <c r="S33" s="1">
        <f ca="1">IFERROR(__xludf.DUMMYFUNCTION("""COMPUTED_VALUE"""),57)</f>
        <v>57</v>
      </c>
      <c r="T33" s="1" t="str">
        <f ca="1">IFERROR(__xludf.DUMMYFUNCTION("""COMPUTED_VALUE"""),"+4.38")</f>
        <v>+4.38</v>
      </c>
      <c r="U33" s="1">
        <f ca="1">IFERROR(__xludf.DUMMYFUNCTION("""COMPUTED_VALUE"""),50)</f>
        <v>50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IFERROR(__xludf.DUMMYFUNCTION("""COMPUTED_VALUE"""),"New Mexico5")</f>
        <v>New Mexico5</v>
      </c>
      <c r="C34" s="1" t="str">
        <f ca="1">IFERROR(__xludf.DUMMYFUNCTION("""COMPUTED_VALUE"""),"MWC")</f>
        <v>MWC</v>
      </c>
      <c r="D34" s="1" t="str">
        <f ca="1">IFERROR(__xludf.DUMMYFUNCTION("""COMPUTED_VALUE"""),"24-9")</f>
        <v>24-9</v>
      </c>
      <c r="E34" s="1" t="str">
        <f ca="1">IFERROR(__xludf.DUMMYFUNCTION("""COMPUTED_VALUE"""),"+17.08")</f>
        <v>+17.08</v>
      </c>
      <c r="F34" s="1">
        <f ca="1">IFERROR(__xludf.DUMMYFUNCTION("""COMPUTED_VALUE"""),111.1)</f>
        <v>111.1</v>
      </c>
      <c r="G34" s="1">
        <f ca="1">IFERROR(__xludf.DUMMYFUNCTION("""COMPUTED_VALUE"""),54)</f>
        <v>54</v>
      </c>
      <c r="H34" s="1">
        <f ca="1">IFERROR(__xludf.DUMMYFUNCTION("""COMPUTED_VALUE"""),94)</f>
        <v>94</v>
      </c>
      <c r="I34" s="1">
        <f ca="1">IFERROR(__xludf.DUMMYFUNCTION("""COMPUTED_VALUE"""),30)</f>
        <v>30</v>
      </c>
      <c r="J34" s="1">
        <f ca="1">IFERROR(__xludf.DUMMYFUNCTION("""COMPUTED_VALUE"""),64.4)</f>
        <v>64.400000000000006</v>
      </c>
      <c r="K34" s="1">
        <f ca="1">IFERROR(__xludf.DUMMYFUNCTION("""COMPUTED_VALUE"""),196)</f>
        <v>196</v>
      </c>
      <c r="L34" s="1">
        <f ca="1">IFERROR(__xludf.DUMMYFUNCTION("""COMPUTED_VALUE"""),-0.046)</f>
        <v>-4.5999999999999999E-2</v>
      </c>
      <c r="M34" s="1">
        <f ca="1">IFERROR(__xludf.DUMMYFUNCTION("""COMPUTED_VALUE"""),285)</f>
        <v>285</v>
      </c>
      <c r="N34" s="1" t="str">
        <f ca="1">IFERROR(__xludf.DUMMYFUNCTION("""COMPUTED_VALUE"""),"+1.13")</f>
        <v>+1.13</v>
      </c>
      <c r="O34" s="1">
        <f ca="1">IFERROR(__xludf.DUMMYFUNCTION("""COMPUTED_VALUE"""),138)</f>
        <v>138</v>
      </c>
      <c r="P34" s="1">
        <f ca="1">IFERROR(__xludf.DUMMYFUNCTION("""COMPUTED_VALUE"""),104)</f>
        <v>104</v>
      </c>
      <c r="Q34" s="1">
        <f ca="1">IFERROR(__xludf.DUMMYFUNCTION("""COMPUTED_VALUE"""),148)</f>
        <v>148</v>
      </c>
      <c r="R34" s="1">
        <f ca="1">IFERROR(__xludf.DUMMYFUNCTION("""COMPUTED_VALUE"""),102.9)</f>
        <v>102.9</v>
      </c>
      <c r="S34" s="1">
        <f ca="1">IFERROR(__xludf.DUMMYFUNCTION("""COMPUTED_VALUE"""),143)</f>
        <v>143</v>
      </c>
      <c r="T34" s="1">
        <f ca="1">IFERROR(__xludf.DUMMYFUNCTION("""COMPUTED_VALUE"""),-3.87)</f>
        <v>-3.87</v>
      </c>
      <c r="U34" s="1">
        <f ca="1">IFERROR(__xludf.DUMMYFUNCTION("""COMPUTED_VALUE"""),269)</f>
        <v>269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IFERROR(__xludf.DUMMYFUNCTION("""COMPUTED_VALUE"""),"Mississippi St.8")</f>
        <v>Mississippi St.8</v>
      </c>
      <c r="C35" s="1" t="str">
        <f ca="1">IFERROR(__xludf.DUMMYFUNCTION("""COMPUTED_VALUE"""),"SEC")</f>
        <v>SEC</v>
      </c>
      <c r="D35" s="1" t="str">
        <f ca="1">IFERROR(__xludf.DUMMYFUNCTION("""COMPUTED_VALUE"""),"23-11")</f>
        <v>23-11</v>
      </c>
      <c r="E35" s="1" t="str">
        <f ca="1">IFERROR(__xludf.DUMMYFUNCTION("""COMPUTED_VALUE"""),"+16.77")</f>
        <v>+16.77</v>
      </c>
      <c r="F35" s="1">
        <f ca="1">IFERROR(__xludf.DUMMYFUNCTION("""COMPUTED_VALUE"""),108.2)</f>
        <v>108.2</v>
      </c>
      <c r="G35" s="1">
        <f ca="1">IFERROR(__xludf.DUMMYFUNCTION("""COMPUTED_VALUE"""),92)</f>
        <v>92</v>
      </c>
      <c r="H35" s="1">
        <f ca="1">IFERROR(__xludf.DUMMYFUNCTION("""COMPUTED_VALUE"""),91.5)</f>
        <v>91.5</v>
      </c>
      <c r="I35" s="1">
        <f ca="1">IFERROR(__xludf.DUMMYFUNCTION("""COMPUTED_VALUE"""),11)</f>
        <v>11</v>
      </c>
      <c r="J35" s="1">
        <f ca="1">IFERROR(__xludf.DUMMYFUNCTION("""COMPUTED_VALUE"""),66.6)</f>
        <v>66.599999999999994</v>
      </c>
      <c r="K35" s="1">
        <f ca="1">IFERROR(__xludf.DUMMYFUNCTION("""COMPUTED_VALUE"""),117)</f>
        <v>117</v>
      </c>
      <c r="L35" s="1">
        <f ca="1">IFERROR(__xludf.DUMMYFUNCTION("""COMPUTED_VALUE"""),-0.043)</f>
        <v>-4.2999999999999997E-2</v>
      </c>
      <c r="M35" s="1">
        <f ca="1">IFERROR(__xludf.DUMMYFUNCTION("""COMPUTED_VALUE"""),278)</f>
        <v>278</v>
      </c>
      <c r="N35" s="1" t="str">
        <f ca="1">IFERROR(__xludf.DUMMYFUNCTION("""COMPUTED_VALUE"""),"+6.22")</f>
        <v>+6.22</v>
      </c>
      <c r="O35" s="1">
        <f ca="1">IFERROR(__xludf.DUMMYFUNCTION("""COMPUTED_VALUE"""),66)</f>
        <v>66</v>
      </c>
      <c r="P35" s="1">
        <f ca="1">IFERROR(__xludf.DUMMYFUNCTION("""COMPUTED_VALUE"""),108.1)</f>
        <v>108.1</v>
      </c>
      <c r="Q35" s="1">
        <f ca="1">IFERROR(__xludf.DUMMYFUNCTION("""COMPUTED_VALUE"""),35)</f>
        <v>35</v>
      </c>
      <c r="R35" s="1">
        <f ca="1">IFERROR(__xludf.DUMMYFUNCTION("""COMPUTED_VALUE"""),101.8)</f>
        <v>101.8</v>
      </c>
      <c r="S35" s="1">
        <f ca="1">IFERROR(__xludf.DUMMYFUNCTION("""COMPUTED_VALUE"""),98)</f>
        <v>98</v>
      </c>
      <c r="T35" s="1">
        <f ca="1">IFERROR(__xludf.DUMMYFUNCTION("""COMPUTED_VALUE"""),-1.48)</f>
        <v>-1.48</v>
      </c>
      <c r="U35" s="1">
        <f ca="1">IFERROR(__xludf.DUMMYFUNCTION("""COMPUTED_VALUE"""),187)</f>
        <v>187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IFERROR(__xludf.DUMMYFUNCTION("""COMPUTED_VALUE"""),"Virginia Tech1")</f>
        <v>Virginia Tech1</v>
      </c>
      <c r="C36" s="1" t="str">
        <f ca="1">IFERROR(__xludf.DUMMYFUNCTION("""COMPUTED_VALUE"""),"ACC")</f>
        <v>ACC</v>
      </c>
      <c r="D36" s="1" t="str">
        <f ca="1">IFERROR(__xludf.DUMMYFUNCTION("""COMPUTED_VALUE"""),"21-14")</f>
        <v>21-14</v>
      </c>
      <c r="E36" s="1" t="str">
        <f ca="1">IFERROR(__xludf.DUMMYFUNCTION("""COMPUTED_VALUE"""),"+16.29")</f>
        <v>+16.29</v>
      </c>
      <c r="F36" s="1">
        <f ca="1">IFERROR(__xludf.DUMMYFUNCTION("""COMPUTED_VALUE"""),107.1)</f>
        <v>107.1</v>
      </c>
      <c r="G36" s="1">
        <f ca="1">IFERROR(__xludf.DUMMYFUNCTION("""COMPUTED_VALUE"""),119)</f>
        <v>119</v>
      </c>
      <c r="H36" s="1">
        <f ca="1">IFERROR(__xludf.DUMMYFUNCTION("""COMPUTED_VALUE"""),90.8)</f>
        <v>90.8</v>
      </c>
      <c r="I36" s="1">
        <f ca="1">IFERROR(__xludf.DUMMYFUNCTION("""COMPUTED_VALUE"""),8)</f>
        <v>8</v>
      </c>
      <c r="J36" s="1">
        <f ca="1">IFERROR(__xludf.DUMMYFUNCTION("""COMPUTED_VALUE"""),65.8)</f>
        <v>65.8</v>
      </c>
      <c r="K36" s="1">
        <f ca="1">IFERROR(__xludf.DUMMYFUNCTION("""COMPUTED_VALUE"""),146)</f>
        <v>146</v>
      </c>
      <c r="L36" s="1">
        <f ca="1">IFERROR(__xludf.DUMMYFUNCTION("""COMPUTED_VALUE"""),-0.048)</f>
        <v>-4.8000000000000001E-2</v>
      </c>
      <c r="M36" s="1">
        <f ca="1">IFERROR(__xludf.DUMMYFUNCTION("""COMPUTED_VALUE"""),288)</f>
        <v>288</v>
      </c>
      <c r="N36" s="1" t="str">
        <f ca="1">IFERROR(__xludf.DUMMYFUNCTION("""COMPUTED_VALUE"""),"+7.41")</f>
        <v>+7.41</v>
      </c>
      <c r="O36" s="1">
        <f ca="1">IFERROR(__xludf.DUMMYFUNCTION("""COMPUTED_VALUE"""),48)</f>
        <v>48</v>
      </c>
      <c r="P36" s="1">
        <f ca="1">IFERROR(__xludf.DUMMYFUNCTION("""COMPUTED_VALUE"""),107.9)</f>
        <v>107.9</v>
      </c>
      <c r="Q36" s="1">
        <f ca="1">IFERROR(__xludf.DUMMYFUNCTION("""COMPUTED_VALUE"""),40)</f>
        <v>40</v>
      </c>
      <c r="R36" s="1">
        <f ca="1">IFERROR(__xludf.DUMMYFUNCTION("""COMPUTED_VALUE"""),100.5)</f>
        <v>100.5</v>
      </c>
      <c r="S36" s="1">
        <f ca="1">IFERROR(__xludf.DUMMYFUNCTION("""COMPUTED_VALUE"""),61)</f>
        <v>61</v>
      </c>
      <c r="T36" s="1">
        <f ca="1">IFERROR(__xludf.DUMMYFUNCTION("""COMPUTED_VALUE"""),-0.09)</f>
        <v>-0.09</v>
      </c>
      <c r="U36" s="1">
        <f ca="1">IFERROR(__xludf.DUMMYFUNCTION("""COMPUTED_VALUE"""),150)</f>
        <v>150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IFERROR(__xludf.DUMMYFUNCTION("""COMPUTED_VALUE"""),"BYU8")</f>
        <v>BYU8</v>
      </c>
      <c r="C37" s="1" t="str">
        <f ca="1">IFERROR(__xludf.DUMMYFUNCTION("""COMPUTED_VALUE"""),"MWC")</f>
        <v>MWC</v>
      </c>
      <c r="D37" s="1" t="str">
        <f ca="1">IFERROR(__xludf.DUMMYFUNCTION("""COMPUTED_VALUE"""),"27-8")</f>
        <v>27-8</v>
      </c>
      <c r="E37" s="1" t="str">
        <f ca="1">IFERROR(__xludf.DUMMYFUNCTION("""COMPUTED_VALUE"""),"+15.76")</f>
        <v>+15.76</v>
      </c>
      <c r="F37" s="1">
        <f ca="1">IFERROR(__xludf.DUMMYFUNCTION("""COMPUTED_VALUE"""),107.4)</f>
        <v>107.4</v>
      </c>
      <c r="G37" s="1">
        <f ca="1">IFERROR(__xludf.DUMMYFUNCTION("""COMPUTED_VALUE"""),112)</f>
        <v>112</v>
      </c>
      <c r="H37" s="1">
        <f ca="1">IFERROR(__xludf.DUMMYFUNCTION("""COMPUTED_VALUE"""),91.7)</f>
        <v>91.7</v>
      </c>
      <c r="I37" s="1">
        <f ca="1">IFERROR(__xludf.DUMMYFUNCTION("""COMPUTED_VALUE"""),12)</f>
        <v>12</v>
      </c>
      <c r="J37" s="1">
        <f ca="1">IFERROR(__xludf.DUMMYFUNCTION("""COMPUTED_VALUE"""),67.8)</f>
        <v>67.8</v>
      </c>
      <c r="K37" s="1">
        <f ca="1">IFERROR(__xludf.DUMMYFUNCTION("""COMPUTED_VALUE"""),83)</f>
        <v>83</v>
      </c>
      <c r="L37" s="1" t="str">
        <f ca="1">IFERROR(__xludf.DUMMYFUNCTION("""COMPUTED_VALUE"""),"+.027")</f>
        <v>+.027</v>
      </c>
      <c r="M37" s="1">
        <f ca="1">IFERROR(__xludf.DUMMYFUNCTION("""COMPUTED_VALUE"""),106)</f>
        <v>106</v>
      </c>
      <c r="N37" s="1" t="str">
        <f ca="1">IFERROR(__xludf.DUMMYFUNCTION("""COMPUTED_VALUE"""),"+1.47")</f>
        <v>+1.47</v>
      </c>
      <c r="O37" s="1">
        <f ca="1">IFERROR(__xludf.DUMMYFUNCTION("""COMPUTED_VALUE"""),129)</f>
        <v>129</v>
      </c>
      <c r="P37" s="1">
        <f ca="1">IFERROR(__xludf.DUMMYFUNCTION("""COMPUTED_VALUE"""),104.2)</f>
        <v>104.2</v>
      </c>
      <c r="Q37" s="1">
        <f ca="1">IFERROR(__xludf.DUMMYFUNCTION("""COMPUTED_VALUE"""),139)</f>
        <v>139</v>
      </c>
      <c r="R37" s="1">
        <f ca="1">IFERROR(__xludf.DUMMYFUNCTION("""COMPUTED_VALUE"""),102.7)</f>
        <v>102.7</v>
      </c>
      <c r="S37" s="1">
        <f ca="1">IFERROR(__xludf.DUMMYFUNCTION("""COMPUTED_VALUE"""),139)</f>
        <v>139</v>
      </c>
      <c r="T37" s="1">
        <f ca="1">IFERROR(__xludf.DUMMYFUNCTION("""COMPUTED_VALUE"""),-4.23)</f>
        <v>-4.2300000000000004</v>
      </c>
      <c r="U37" s="1">
        <f ca="1">IFERROR(__xludf.DUMMYFUNCTION("""COMPUTED_VALUE"""),276)</f>
        <v>276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IFERROR(__xludf.DUMMYFUNCTION("""COMPUTED_VALUE"""),"Oregon9")</f>
        <v>Oregon9</v>
      </c>
      <c r="C38" s="1" t="str">
        <f ca="1">IFERROR(__xludf.DUMMYFUNCTION("""COMPUTED_VALUE"""),"P10")</f>
        <v>P10</v>
      </c>
      <c r="D38" s="1" t="str">
        <f ca="1">IFERROR(__xludf.DUMMYFUNCTION("""COMPUTED_VALUE"""),"18-14")</f>
        <v>18-14</v>
      </c>
      <c r="E38" s="1" t="str">
        <f ca="1">IFERROR(__xludf.DUMMYFUNCTION("""COMPUTED_VALUE"""),"+15.66")</f>
        <v>+15.66</v>
      </c>
      <c r="F38" s="1">
        <f ca="1">IFERROR(__xludf.DUMMYFUNCTION("""COMPUTED_VALUE"""),118.8)</f>
        <v>118.8</v>
      </c>
      <c r="G38" s="1">
        <f ca="1">IFERROR(__xludf.DUMMYFUNCTION("""COMPUTED_VALUE"""),5)</f>
        <v>5</v>
      </c>
      <c r="H38" s="1">
        <f ca="1">IFERROR(__xludf.DUMMYFUNCTION("""COMPUTED_VALUE"""),103.1)</f>
        <v>103.1</v>
      </c>
      <c r="I38" s="1">
        <f ca="1">IFERROR(__xludf.DUMMYFUNCTION("""COMPUTED_VALUE"""),160)</f>
        <v>160</v>
      </c>
      <c r="J38" s="1">
        <f ca="1">IFERROR(__xludf.DUMMYFUNCTION("""COMPUTED_VALUE"""),65.8)</f>
        <v>65.8</v>
      </c>
      <c r="K38" s="1">
        <f ca="1">IFERROR(__xludf.DUMMYFUNCTION("""COMPUTED_VALUE"""),144)</f>
        <v>144</v>
      </c>
      <c r="L38" s="1">
        <f ca="1">IFERROR(__xludf.DUMMYFUNCTION("""COMPUTED_VALUE"""),-0.035)</f>
        <v>-3.5000000000000003E-2</v>
      </c>
      <c r="M38" s="1">
        <f ca="1">IFERROR(__xludf.DUMMYFUNCTION("""COMPUTED_VALUE"""),259)</f>
        <v>259</v>
      </c>
      <c r="N38" s="1" t="str">
        <f ca="1">IFERROR(__xludf.DUMMYFUNCTION("""COMPUTED_VALUE"""),"+10.56")</f>
        <v>+10.56</v>
      </c>
      <c r="O38" s="1">
        <f ca="1">IFERROR(__xludf.DUMMYFUNCTION("""COMPUTED_VALUE"""),5)</f>
        <v>5</v>
      </c>
      <c r="P38" s="1">
        <f ca="1">IFERROR(__xludf.DUMMYFUNCTION("""COMPUTED_VALUE"""),108.9)</f>
        <v>108.9</v>
      </c>
      <c r="Q38" s="1">
        <f ca="1">IFERROR(__xludf.DUMMYFUNCTION("""COMPUTED_VALUE"""),14)</f>
        <v>14</v>
      </c>
      <c r="R38" s="1">
        <f ca="1">IFERROR(__xludf.DUMMYFUNCTION("""COMPUTED_VALUE"""),98.4)</f>
        <v>98.4</v>
      </c>
      <c r="S38" s="1">
        <f ca="1">IFERROR(__xludf.DUMMYFUNCTION("""COMPUTED_VALUE"""),6)</f>
        <v>6</v>
      </c>
      <c r="T38" s="1" t="str">
        <f ca="1">IFERROR(__xludf.DUMMYFUNCTION("""COMPUTED_VALUE"""),"+0.11")</f>
        <v>+0.11</v>
      </c>
      <c r="U38" s="1">
        <f ca="1">IFERROR(__xludf.DUMMYFUNCTION("""COMPUTED_VALUE"""),143)</f>
        <v>143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IFERROR(__xludf.DUMMYFUNCTION("""COMPUTED_VALUE"""),"Miami FL7")</f>
        <v>Miami FL7</v>
      </c>
      <c r="C39" s="1" t="str">
        <f ca="1">IFERROR(__xludf.DUMMYFUNCTION("""COMPUTED_VALUE"""),"ACC")</f>
        <v>ACC</v>
      </c>
      <c r="D39" s="1" t="str">
        <f ca="1">IFERROR(__xludf.DUMMYFUNCTION("""COMPUTED_VALUE"""),"23-11")</f>
        <v>23-11</v>
      </c>
      <c r="E39" s="1" t="str">
        <f ca="1">IFERROR(__xludf.DUMMYFUNCTION("""COMPUTED_VALUE"""),"+15.38")</f>
        <v>+15.38</v>
      </c>
      <c r="F39" s="1">
        <f ca="1">IFERROR(__xludf.DUMMYFUNCTION("""COMPUTED_VALUE"""),112.5)</f>
        <v>112.5</v>
      </c>
      <c r="G39" s="1">
        <f ca="1">IFERROR(__xludf.DUMMYFUNCTION("""COMPUTED_VALUE"""),44)</f>
        <v>44</v>
      </c>
      <c r="H39" s="1">
        <f ca="1">IFERROR(__xludf.DUMMYFUNCTION("""COMPUTED_VALUE"""),97.1)</f>
        <v>97.1</v>
      </c>
      <c r="I39" s="1">
        <f ca="1">IFERROR(__xludf.DUMMYFUNCTION("""COMPUTED_VALUE"""),61)</f>
        <v>61</v>
      </c>
      <c r="J39" s="1">
        <f ca="1">IFERROR(__xludf.DUMMYFUNCTION("""COMPUTED_VALUE"""),65.8)</f>
        <v>65.8</v>
      </c>
      <c r="K39" s="1">
        <f ca="1">IFERROR(__xludf.DUMMYFUNCTION("""COMPUTED_VALUE"""),145)</f>
        <v>145</v>
      </c>
      <c r="L39" s="1">
        <f ca="1">IFERROR(__xludf.DUMMYFUNCTION("""COMPUTED_VALUE"""),-0.003)</f>
        <v>-3.0000000000000001E-3</v>
      </c>
      <c r="M39" s="1">
        <f ca="1">IFERROR(__xludf.DUMMYFUNCTION("""COMPUTED_VALUE"""),176)</f>
        <v>176</v>
      </c>
      <c r="N39" s="1" t="str">
        <f ca="1">IFERROR(__xludf.DUMMYFUNCTION("""COMPUTED_VALUE"""),"+7.78")</f>
        <v>+7.78</v>
      </c>
      <c r="O39" s="1">
        <f ca="1">IFERROR(__xludf.DUMMYFUNCTION("""COMPUTED_VALUE"""),44)</f>
        <v>44</v>
      </c>
      <c r="P39" s="1">
        <f ca="1">IFERROR(__xludf.DUMMYFUNCTION("""COMPUTED_VALUE"""),106.7)</f>
        <v>106.7</v>
      </c>
      <c r="Q39" s="1">
        <f ca="1">IFERROR(__xludf.DUMMYFUNCTION("""COMPUTED_VALUE"""),70)</f>
        <v>70</v>
      </c>
      <c r="R39" s="1">
        <f ca="1">IFERROR(__xludf.DUMMYFUNCTION("""COMPUTED_VALUE"""),98.9)</f>
        <v>98.9</v>
      </c>
      <c r="S39" s="1">
        <f ca="1">IFERROR(__xludf.DUMMYFUNCTION("""COMPUTED_VALUE"""),16)</f>
        <v>16</v>
      </c>
      <c r="T39" s="1">
        <f ca="1">IFERROR(__xludf.DUMMYFUNCTION("""COMPUTED_VALUE"""),-5.55)</f>
        <v>-5.55</v>
      </c>
      <c r="U39" s="1">
        <f ca="1">IFERROR(__xludf.DUMMYFUNCTION("""COMPUTED_VALUE"""),296)</f>
        <v>296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IFERROR(__xludf.DUMMYFUNCTION("""COMPUTED_VALUE"""),"Florida2")</f>
        <v>Florida2</v>
      </c>
      <c r="C40" s="1" t="str">
        <f ca="1">IFERROR(__xludf.DUMMYFUNCTION("""COMPUTED_VALUE"""),"SEC")</f>
        <v>SEC</v>
      </c>
      <c r="D40" s="1" t="str">
        <f ca="1">IFERROR(__xludf.DUMMYFUNCTION("""COMPUTED_VALUE"""),"24-12")</f>
        <v>24-12</v>
      </c>
      <c r="E40" s="1" t="str">
        <f ca="1">IFERROR(__xludf.DUMMYFUNCTION("""COMPUTED_VALUE"""),"+15.37")</f>
        <v>+15.37</v>
      </c>
      <c r="F40" s="1">
        <f ca="1">IFERROR(__xludf.DUMMYFUNCTION("""COMPUTED_VALUE"""),115.9)</f>
        <v>115.9</v>
      </c>
      <c r="G40" s="1">
        <f ca="1">IFERROR(__xludf.DUMMYFUNCTION("""COMPUTED_VALUE"""),16)</f>
        <v>16</v>
      </c>
      <c r="H40" s="1">
        <f ca="1">IFERROR(__xludf.DUMMYFUNCTION("""COMPUTED_VALUE"""),100.5)</f>
        <v>100.5</v>
      </c>
      <c r="I40" s="1">
        <f ca="1">IFERROR(__xludf.DUMMYFUNCTION("""COMPUTED_VALUE"""),104)</f>
        <v>104</v>
      </c>
      <c r="J40" s="1">
        <f ca="1">IFERROR(__xludf.DUMMYFUNCTION("""COMPUTED_VALUE"""),65)</f>
        <v>65</v>
      </c>
      <c r="K40" s="1">
        <f ca="1">IFERROR(__xludf.DUMMYFUNCTION("""COMPUTED_VALUE"""),176)</f>
        <v>176</v>
      </c>
      <c r="L40" s="1">
        <f ca="1">IFERROR(__xludf.DUMMYFUNCTION("""COMPUTED_VALUE"""),-0.042)</f>
        <v>-4.2000000000000003E-2</v>
      </c>
      <c r="M40" s="1">
        <f ca="1">IFERROR(__xludf.DUMMYFUNCTION("""COMPUTED_VALUE"""),273)</f>
        <v>273</v>
      </c>
      <c r="N40" s="1" t="str">
        <f ca="1">IFERROR(__xludf.DUMMYFUNCTION("""COMPUTED_VALUE"""),"+3.13")</f>
        <v>+3.13</v>
      </c>
      <c r="O40" s="1">
        <f ca="1">IFERROR(__xludf.DUMMYFUNCTION("""COMPUTED_VALUE"""),107)</f>
        <v>107</v>
      </c>
      <c r="P40" s="1">
        <f ca="1">IFERROR(__xludf.DUMMYFUNCTION("""COMPUTED_VALUE"""),105.1)</f>
        <v>105.1</v>
      </c>
      <c r="Q40" s="1">
        <f ca="1">IFERROR(__xludf.DUMMYFUNCTION("""COMPUTED_VALUE"""),108)</f>
        <v>108</v>
      </c>
      <c r="R40" s="1">
        <f ca="1">IFERROR(__xludf.DUMMYFUNCTION("""COMPUTED_VALUE"""),102)</f>
        <v>102</v>
      </c>
      <c r="S40" s="1">
        <f ca="1">IFERROR(__xludf.DUMMYFUNCTION("""COMPUTED_VALUE"""),103)</f>
        <v>103</v>
      </c>
      <c r="T40" s="1">
        <f ca="1">IFERROR(__xludf.DUMMYFUNCTION("""COMPUTED_VALUE"""),-9.31)</f>
        <v>-9.31</v>
      </c>
      <c r="U40" s="1">
        <f ca="1">IFERROR(__xludf.DUMMYFUNCTION("""COMPUTED_VALUE"""),330)</f>
        <v>330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IFERROR(__xludf.DUMMYFUNCTION("""COMPUTED_VALUE"""),"Nebraska3")</f>
        <v>Nebraska3</v>
      </c>
      <c r="C41" s="1" t="str">
        <f ca="1">IFERROR(__xludf.DUMMYFUNCTION("""COMPUTED_VALUE"""),"B12")</f>
        <v>B12</v>
      </c>
      <c r="D41" s="1" t="str">
        <f ca="1">IFERROR(__xludf.DUMMYFUNCTION("""COMPUTED_VALUE"""),"20-13")</f>
        <v>20-13</v>
      </c>
      <c r="E41" s="1" t="str">
        <f ca="1">IFERROR(__xludf.DUMMYFUNCTION("""COMPUTED_VALUE"""),"+15.31")</f>
        <v>+15.31</v>
      </c>
      <c r="F41" s="1">
        <f ca="1">IFERROR(__xludf.DUMMYFUNCTION("""COMPUTED_VALUE"""),108)</f>
        <v>108</v>
      </c>
      <c r="G41" s="1">
        <f ca="1">IFERROR(__xludf.DUMMYFUNCTION("""COMPUTED_VALUE"""),101)</f>
        <v>101</v>
      </c>
      <c r="H41" s="1">
        <f ca="1">IFERROR(__xludf.DUMMYFUNCTION("""COMPUTED_VALUE"""),92.7)</f>
        <v>92.7</v>
      </c>
      <c r="I41" s="1">
        <f ca="1">IFERROR(__xludf.DUMMYFUNCTION("""COMPUTED_VALUE"""),19)</f>
        <v>19</v>
      </c>
      <c r="J41" s="1">
        <f ca="1">IFERROR(__xludf.DUMMYFUNCTION("""COMPUTED_VALUE"""),61.6)</f>
        <v>61.6</v>
      </c>
      <c r="K41" s="1">
        <f ca="1">IFERROR(__xludf.DUMMYFUNCTION("""COMPUTED_VALUE"""),297)</f>
        <v>297</v>
      </c>
      <c r="L41" s="1">
        <f ca="1">IFERROR(__xludf.DUMMYFUNCTION("""COMPUTED_VALUE"""),-0.042)</f>
        <v>-4.2000000000000003E-2</v>
      </c>
      <c r="M41" s="1">
        <f ca="1">IFERROR(__xludf.DUMMYFUNCTION("""COMPUTED_VALUE"""),272)</f>
        <v>272</v>
      </c>
      <c r="N41" s="1" t="str">
        <f ca="1">IFERROR(__xludf.DUMMYFUNCTION("""COMPUTED_VALUE"""),"+6.19")</f>
        <v>+6.19</v>
      </c>
      <c r="O41" s="1">
        <f ca="1">IFERROR(__xludf.DUMMYFUNCTION("""COMPUTED_VALUE"""),69)</f>
        <v>69</v>
      </c>
      <c r="P41" s="1">
        <f ca="1">IFERROR(__xludf.DUMMYFUNCTION("""COMPUTED_VALUE"""),106.4)</f>
        <v>106.4</v>
      </c>
      <c r="Q41" s="1">
        <f ca="1">IFERROR(__xludf.DUMMYFUNCTION("""COMPUTED_VALUE"""),81)</f>
        <v>81</v>
      </c>
      <c r="R41" s="1">
        <f ca="1">IFERROR(__xludf.DUMMYFUNCTION("""COMPUTED_VALUE"""),100.2)</f>
        <v>100.2</v>
      </c>
      <c r="S41" s="1">
        <f ca="1">IFERROR(__xludf.DUMMYFUNCTION("""COMPUTED_VALUE"""),54)</f>
        <v>54</v>
      </c>
      <c r="T41" s="1">
        <f ca="1">IFERROR(__xludf.DUMMYFUNCTION("""COMPUTED_VALUE"""),-12.71)</f>
        <v>-12.71</v>
      </c>
      <c r="U41" s="1">
        <f ca="1">IFERROR(__xludf.DUMMYFUNCTION("""COMPUTED_VALUE"""),340)</f>
        <v>340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IFERROR(__xludf.DUMMYFUNCTION("""COMPUTED_VALUE"""),"Arkansas9")</f>
        <v>Arkansas9</v>
      </c>
      <c r="C42" s="1" t="str">
        <f ca="1">IFERROR(__xludf.DUMMYFUNCTION("""COMPUTED_VALUE"""),"SEC")</f>
        <v>SEC</v>
      </c>
      <c r="D42" s="1" t="str">
        <f ca="1">IFERROR(__xludf.DUMMYFUNCTION("""COMPUTED_VALUE"""),"23-12")</f>
        <v>23-12</v>
      </c>
      <c r="E42" s="1" t="str">
        <f ca="1">IFERROR(__xludf.DUMMYFUNCTION("""COMPUTED_VALUE"""),"+15.19")</f>
        <v>+15.19</v>
      </c>
      <c r="F42" s="1">
        <f ca="1">IFERROR(__xludf.DUMMYFUNCTION("""COMPUTED_VALUE"""),111.4)</f>
        <v>111.4</v>
      </c>
      <c r="G42" s="1">
        <f ca="1">IFERROR(__xludf.DUMMYFUNCTION("""COMPUTED_VALUE"""),53)</f>
        <v>53</v>
      </c>
      <c r="H42" s="1">
        <f ca="1">IFERROR(__xludf.DUMMYFUNCTION("""COMPUTED_VALUE"""),96.2)</f>
        <v>96.2</v>
      </c>
      <c r="I42" s="1">
        <f ca="1">IFERROR(__xludf.DUMMYFUNCTION("""COMPUTED_VALUE"""),48)</f>
        <v>48</v>
      </c>
      <c r="J42" s="1">
        <f ca="1">IFERROR(__xludf.DUMMYFUNCTION("""COMPUTED_VALUE"""),66.5)</f>
        <v>66.5</v>
      </c>
      <c r="K42" s="1">
        <f ca="1">IFERROR(__xludf.DUMMYFUNCTION("""COMPUTED_VALUE"""),119)</f>
        <v>119</v>
      </c>
      <c r="L42" s="1" t="str">
        <f ca="1">IFERROR(__xludf.DUMMYFUNCTION("""COMPUTED_VALUE"""),"+.008")</f>
        <v>+.008</v>
      </c>
      <c r="M42" s="1">
        <f ca="1">IFERROR(__xludf.DUMMYFUNCTION("""COMPUTED_VALUE"""),153)</f>
        <v>153</v>
      </c>
      <c r="N42" s="1" t="str">
        <f ca="1">IFERROR(__xludf.DUMMYFUNCTION("""COMPUTED_VALUE"""),"+7.19")</f>
        <v>+7.19</v>
      </c>
      <c r="O42" s="1">
        <f ca="1">IFERROR(__xludf.DUMMYFUNCTION("""COMPUTED_VALUE"""),52)</f>
        <v>52</v>
      </c>
      <c r="P42" s="1">
        <f ca="1">IFERROR(__xludf.DUMMYFUNCTION("""COMPUTED_VALUE"""),108.4)</f>
        <v>108.4</v>
      </c>
      <c r="Q42" s="1">
        <f ca="1">IFERROR(__xludf.DUMMYFUNCTION("""COMPUTED_VALUE"""),25)</f>
        <v>25</v>
      </c>
      <c r="R42" s="1">
        <f ca="1">IFERROR(__xludf.DUMMYFUNCTION("""COMPUTED_VALUE"""),101.2)</f>
        <v>101.2</v>
      </c>
      <c r="S42" s="1">
        <f ca="1">IFERROR(__xludf.DUMMYFUNCTION("""COMPUTED_VALUE"""),82)</f>
        <v>82</v>
      </c>
      <c r="T42" s="1">
        <f ca="1">IFERROR(__xludf.DUMMYFUNCTION("""COMPUTED_VALUE"""),-0.61)</f>
        <v>-0.61</v>
      </c>
      <c r="U42" s="1">
        <f ca="1">IFERROR(__xludf.DUMMYFUNCTION("""COMPUTED_VALUE"""),164)</f>
        <v>164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IFERROR(__xludf.DUMMYFUNCTION("""COMPUTED_VALUE"""),"Baylor11")</f>
        <v>Baylor11</v>
      </c>
      <c r="C45" s="1" t="str">
        <f ca="1">IFERROR(__xludf.DUMMYFUNCTION("""COMPUTED_VALUE"""),"B12")</f>
        <v>B12</v>
      </c>
      <c r="D45" s="1" t="str">
        <f ca="1">IFERROR(__xludf.DUMMYFUNCTION("""COMPUTED_VALUE"""),"21-11")</f>
        <v>21-11</v>
      </c>
      <c r="E45" s="1" t="str">
        <f ca="1">IFERROR(__xludf.DUMMYFUNCTION("""COMPUTED_VALUE"""),"+14.82")</f>
        <v>+14.82</v>
      </c>
      <c r="F45" s="1">
        <f ca="1">IFERROR(__xludf.DUMMYFUNCTION("""COMPUTED_VALUE"""),115.7)</f>
        <v>115.7</v>
      </c>
      <c r="G45" s="1">
        <f ca="1">IFERROR(__xludf.DUMMYFUNCTION("""COMPUTED_VALUE"""),19)</f>
        <v>19</v>
      </c>
      <c r="H45" s="1">
        <f ca="1">IFERROR(__xludf.DUMMYFUNCTION("""COMPUTED_VALUE"""),100.9)</f>
        <v>100.9</v>
      </c>
      <c r="I45" s="1">
        <f ca="1">IFERROR(__xludf.DUMMYFUNCTION("""COMPUTED_VALUE"""),113)</f>
        <v>113</v>
      </c>
      <c r="J45" s="1">
        <f ca="1">IFERROR(__xludf.DUMMYFUNCTION("""COMPUTED_VALUE"""),70.1)</f>
        <v>70.099999999999994</v>
      </c>
      <c r="K45" s="1">
        <f ca="1">IFERROR(__xludf.DUMMYFUNCTION("""COMPUTED_VALUE"""),24)</f>
        <v>24</v>
      </c>
      <c r="L45" s="1">
        <f ca="1">IFERROR(__xludf.DUMMYFUNCTION("""COMPUTED_VALUE"""),-0.028)</f>
        <v>-2.8000000000000001E-2</v>
      </c>
      <c r="M45" s="1">
        <f ca="1">IFERROR(__xludf.DUMMYFUNCTION("""COMPUTED_VALUE"""),242)</f>
        <v>242</v>
      </c>
      <c r="N45" s="1" t="str">
        <f ca="1">IFERROR(__xludf.DUMMYFUNCTION("""COMPUTED_VALUE"""),"+7.58")</f>
        <v>+7.58</v>
      </c>
      <c r="O45" s="1">
        <f ca="1">IFERROR(__xludf.DUMMYFUNCTION("""COMPUTED_VALUE"""),46)</f>
        <v>46</v>
      </c>
      <c r="P45" s="1">
        <f ca="1">IFERROR(__xludf.DUMMYFUNCTION("""COMPUTED_VALUE"""),106.9)</f>
        <v>106.9</v>
      </c>
      <c r="Q45" s="1">
        <f ca="1">IFERROR(__xludf.DUMMYFUNCTION("""COMPUTED_VALUE"""),64)</f>
        <v>64</v>
      </c>
      <c r="R45" s="1">
        <f ca="1">IFERROR(__xludf.DUMMYFUNCTION("""COMPUTED_VALUE"""),99.3)</f>
        <v>99.3</v>
      </c>
      <c r="S45" s="1">
        <f ca="1">IFERROR(__xludf.DUMMYFUNCTION("""COMPUTED_VALUE"""),25)</f>
        <v>25</v>
      </c>
      <c r="T45" s="1">
        <f ca="1">IFERROR(__xludf.DUMMYFUNCTION("""COMPUTED_VALUE"""),-4.83)</f>
        <v>-4.83</v>
      </c>
      <c r="U45" s="1">
        <f ca="1">IFERROR(__xludf.DUMMYFUNCTION("""COMPUTED_VALUE"""),286)</f>
        <v>286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IFERROR(__xludf.DUMMYFUNCTION("""COMPUTED_VALUE"""),"Saint Mary's10")</f>
        <v>Saint Mary's10</v>
      </c>
      <c r="C46" s="1" t="str">
        <f ca="1">IFERROR(__xludf.DUMMYFUNCTION("""COMPUTED_VALUE"""),"WCC")</f>
        <v>WCC</v>
      </c>
      <c r="D46" s="1" t="str">
        <f ca="1">IFERROR(__xludf.DUMMYFUNCTION("""COMPUTED_VALUE"""),"25-7")</f>
        <v>25-7</v>
      </c>
      <c r="E46" s="1" t="str">
        <f ca="1">IFERROR(__xludf.DUMMYFUNCTION("""COMPUTED_VALUE"""),"+14.66")</f>
        <v>+14.66</v>
      </c>
      <c r="F46" s="1">
        <f ca="1">IFERROR(__xludf.DUMMYFUNCTION("""COMPUTED_VALUE"""),109.2)</f>
        <v>109.2</v>
      </c>
      <c r="G46" s="1">
        <f ca="1">IFERROR(__xludf.DUMMYFUNCTION("""COMPUTED_VALUE"""),76)</f>
        <v>76</v>
      </c>
      <c r="H46" s="1">
        <f ca="1">IFERROR(__xludf.DUMMYFUNCTION("""COMPUTED_VALUE"""),94.6)</f>
        <v>94.6</v>
      </c>
      <c r="I46" s="1">
        <f ca="1">IFERROR(__xludf.DUMMYFUNCTION("""COMPUTED_VALUE"""),32)</f>
        <v>32</v>
      </c>
      <c r="J46" s="1">
        <f ca="1">IFERROR(__xludf.DUMMYFUNCTION("""COMPUTED_VALUE"""),66.4)</f>
        <v>66.400000000000006</v>
      </c>
      <c r="K46" s="1">
        <f ca="1">IFERROR(__xludf.DUMMYFUNCTION("""COMPUTED_VALUE"""),124)</f>
        <v>124</v>
      </c>
      <c r="L46" s="1" t="str">
        <f ca="1">IFERROR(__xludf.DUMMYFUNCTION("""COMPUTED_VALUE"""),"+.030")</f>
        <v>+.030</v>
      </c>
      <c r="M46" s="1">
        <f ca="1">IFERROR(__xludf.DUMMYFUNCTION("""COMPUTED_VALUE"""),96)</f>
        <v>96</v>
      </c>
      <c r="N46" s="1" t="str">
        <f ca="1">IFERROR(__xludf.DUMMYFUNCTION("""COMPUTED_VALUE"""),"+0.11")</f>
        <v>+0.11</v>
      </c>
      <c r="O46" s="1">
        <f ca="1">IFERROR(__xludf.DUMMYFUNCTION("""COMPUTED_VALUE"""),151)</f>
        <v>151</v>
      </c>
      <c r="P46" s="1">
        <f ca="1">IFERROR(__xludf.DUMMYFUNCTION("""COMPUTED_VALUE"""),103.4)</f>
        <v>103.4</v>
      </c>
      <c r="Q46" s="1">
        <f ca="1">IFERROR(__xludf.DUMMYFUNCTION("""COMPUTED_VALUE"""),174)</f>
        <v>174</v>
      </c>
      <c r="R46" s="1">
        <f ca="1">IFERROR(__xludf.DUMMYFUNCTION("""COMPUTED_VALUE"""),103.3)</f>
        <v>103.3</v>
      </c>
      <c r="S46" s="1">
        <f ca="1">IFERROR(__xludf.DUMMYFUNCTION("""COMPUTED_VALUE"""),153)</f>
        <v>153</v>
      </c>
      <c r="T46" s="1" t="str">
        <f ca="1">IFERROR(__xludf.DUMMYFUNCTION("""COMPUTED_VALUE"""),"+2.34")</f>
        <v>+2.34</v>
      </c>
      <c r="U46" s="1">
        <f ca="1">IFERROR(__xludf.DUMMYFUNCTION("""COMPUTED_VALUE"""),88)</f>
        <v>88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IFERROR(__xludf.DUMMYFUNCTION("""COMPUTED_VALUE"""),"Western Kentucky12")</f>
        <v>Western Kentucky12</v>
      </c>
      <c r="C47" s="1" t="str">
        <f ca="1">IFERROR(__xludf.DUMMYFUNCTION("""COMPUTED_VALUE"""),"SB")</f>
        <v>SB</v>
      </c>
      <c r="D47" s="1" t="str">
        <f ca="1">IFERROR(__xludf.DUMMYFUNCTION("""COMPUTED_VALUE"""),"29-7")</f>
        <v>29-7</v>
      </c>
      <c r="E47" s="1" t="str">
        <f ca="1">IFERROR(__xludf.DUMMYFUNCTION("""COMPUTED_VALUE"""),"+14.60")</f>
        <v>+14.60</v>
      </c>
      <c r="F47" s="1">
        <f ca="1">IFERROR(__xludf.DUMMYFUNCTION("""COMPUTED_VALUE"""),111.9)</f>
        <v>111.9</v>
      </c>
      <c r="G47" s="1">
        <f ca="1">IFERROR(__xludf.DUMMYFUNCTION("""COMPUTED_VALUE"""),48)</f>
        <v>48</v>
      </c>
      <c r="H47" s="1">
        <f ca="1">IFERROR(__xludf.DUMMYFUNCTION("""COMPUTED_VALUE"""),97.3)</f>
        <v>97.3</v>
      </c>
      <c r="I47" s="1">
        <f ca="1">IFERROR(__xludf.DUMMYFUNCTION("""COMPUTED_VALUE"""),62)</f>
        <v>62</v>
      </c>
      <c r="J47" s="1">
        <f ca="1">IFERROR(__xludf.DUMMYFUNCTION("""COMPUTED_VALUE"""),68.2)</f>
        <v>68.2</v>
      </c>
      <c r="K47" s="1">
        <f ca="1">IFERROR(__xludf.DUMMYFUNCTION("""COMPUTED_VALUE"""),69)</f>
        <v>69</v>
      </c>
      <c r="L47" s="1">
        <f ca="1">IFERROR(__xludf.DUMMYFUNCTION("""COMPUTED_VALUE"""),-0.021)</f>
        <v>-2.1000000000000001E-2</v>
      </c>
      <c r="M47" s="1">
        <f ca="1">IFERROR(__xludf.DUMMYFUNCTION("""COMPUTED_VALUE"""),219)</f>
        <v>219</v>
      </c>
      <c r="N47" s="1">
        <f ca="1">IFERROR(__xludf.DUMMYFUNCTION("""COMPUTED_VALUE"""),-0.85)</f>
        <v>-0.85</v>
      </c>
      <c r="O47" s="1">
        <f ca="1">IFERROR(__xludf.DUMMYFUNCTION("""COMPUTED_VALUE"""),172)</f>
        <v>172</v>
      </c>
      <c r="P47" s="1">
        <f ca="1">IFERROR(__xludf.DUMMYFUNCTION("""COMPUTED_VALUE"""),103.3)</f>
        <v>103.3</v>
      </c>
      <c r="Q47" s="1">
        <f ca="1">IFERROR(__xludf.DUMMYFUNCTION("""COMPUTED_VALUE"""),176)</f>
        <v>176</v>
      </c>
      <c r="R47" s="1">
        <f ca="1">IFERROR(__xludf.DUMMYFUNCTION("""COMPUTED_VALUE"""),104.2)</f>
        <v>104.2</v>
      </c>
      <c r="S47" s="1">
        <f ca="1">IFERROR(__xludf.DUMMYFUNCTION("""COMPUTED_VALUE"""),174)</f>
        <v>174</v>
      </c>
      <c r="T47" s="1" t="str">
        <f ca="1">IFERROR(__xludf.DUMMYFUNCTION("""COMPUTED_VALUE"""),"+1.69")</f>
        <v>+1.69</v>
      </c>
      <c r="U47" s="1">
        <f ca="1">IFERROR(__xludf.DUMMYFUNCTION("""COMPUTED_VALUE"""),100)</f>
        <v>100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IFERROR(__xludf.DUMMYFUNCTION("""COMPUTED_VALUE"""),"Oklahoma6")</f>
        <v>Oklahoma6</v>
      </c>
      <c r="C48" s="1" t="str">
        <f ca="1">IFERROR(__xludf.DUMMYFUNCTION("""COMPUTED_VALUE"""),"B12")</f>
        <v>B12</v>
      </c>
      <c r="D48" s="1" t="str">
        <f ca="1">IFERROR(__xludf.DUMMYFUNCTION("""COMPUTED_VALUE"""),"23-12")</f>
        <v>23-12</v>
      </c>
      <c r="E48" s="1" t="str">
        <f ca="1">IFERROR(__xludf.DUMMYFUNCTION("""COMPUTED_VALUE"""),"+14.47")</f>
        <v>+14.47</v>
      </c>
      <c r="F48" s="1">
        <f ca="1">IFERROR(__xludf.DUMMYFUNCTION("""COMPUTED_VALUE"""),109.5)</f>
        <v>109.5</v>
      </c>
      <c r="G48" s="1">
        <f ca="1">IFERROR(__xludf.DUMMYFUNCTION("""COMPUTED_VALUE"""),74)</f>
        <v>74</v>
      </c>
      <c r="H48" s="1">
        <f ca="1">IFERROR(__xludf.DUMMYFUNCTION("""COMPUTED_VALUE"""),95.1)</f>
        <v>95.1</v>
      </c>
      <c r="I48" s="1">
        <f ca="1">IFERROR(__xludf.DUMMYFUNCTION("""COMPUTED_VALUE"""),37)</f>
        <v>37</v>
      </c>
      <c r="J48" s="1">
        <f ca="1">IFERROR(__xludf.DUMMYFUNCTION("""COMPUTED_VALUE"""),63.1)</f>
        <v>63.1</v>
      </c>
      <c r="K48" s="1">
        <f ca="1">IFERROR(__xludf.DUMMYFUNCTION("""COMPUTED_VALUE"""),256)</f>
        <v>256</v>
      </c>
      <c r="L48" s="1" t="str">
        <f ca="1">IFERROR(__xludf.DUMMYFUNCTION("""COMPUTED_VALUE"""),"+.077")</f>
        <v>+.077</v>
      </c>
      <c r="M48" s="1">
        <f ca="1">IFERROR(__xludf.DUMMYFUNCTION("""COMPUTED_VALUE"""),23)</f>
        <v>23</v>
      </c>
      <c r="N48" s="1" t="str">
        <f ca="1">IFERROR(__xludf.DUMMYFUNCTION("""COMPUTED_VALUE"""),"+9.45")</f>
        <v>+9.45</v>
      </c>
      <c r="O48" s="1">
        <f ca="1">IFERROR(__xludf.DUMMYFUNCTION("""COMPUTED_VALUE"""),18)</f>
        <v>18</v>
      </c>
      <c r="P48" s="1">
        <f ca="1">IFERROR(__xludf.DUMMYFUNCTION("""COMPUTED_VALUE"""),108.3)</f>
        <v>108.3</v>
      </c>
      <c r="Q48" s="1">
        <f ca="1">IFERROR(__xludf.DUMMYFUNCTION("""COMPUTED_VALUE"""),30)</f>
        <v>30</v>
      </c>
      <c r="R48" s="1">
        <f ca="1">IFERROR(__xludf.DUMMYFUNCTION("""COMPUTED_VALUE"""),98.9)</f>
        <v>98.9</v>
      </c>
      <c r="S48" s="1">
        <f ca="1">IFERROR(__xludf.DUMMYFUNCTION("""COMPUTED_VALUE"""),15)</f>
        <v>15</v>
      </c>
      <c r="T48" s="1">
        <f ca="1">IFERROR(__xludf.DUMMYFUNCTION("""COMPUTED_VALUE"""),-0.55)</f>
        <v>-0.55000000000000004</v>
      </c>
      <c r="U48" s="1">
        <f ca="1">IFERROR(__xludf.DUMMYFUNCTION("""COMPUTED_VALUE"""),161)</f>
        <v>161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IFERROR(__xludf.DUMMYFUNCTION("""COMPUTED_VALUE"""),"Saint Joseph's11")</f>
        <v>Saint Joseph's11</v>
      </c>
      <c r="C49" s="1" t="str">
        <f ca="1">IFERROR(__xludf.DUMMYFUNCTION("""COMPUTED_VALUE"""),"A10")</f>
        <v>A10</v>
      </c>
      <c r="D49" s="1" t="str">
        <f ca="1">IFERROR(__xludf.DUMMYFUNCTION("""COMPUTED_VALUE"""),"21-13")</f>
        <v>21-13</v>
      </c>
      <c r="E49" s="1" t="str">
        <f ca="1">IFERROR(__xludf.DUMMYFUNCTION("""COMPUTED_VALUE"""),"+14.32")</f>
        <v>+14.32</v>
      </c>
      <c r="F49" s="1">
        <f ca="1">IFERROR(__xludf.DUMMYFUNCTION("""COMPUTED_VALUE"""),115.1)</f>
        <v>115.1</v>
      </c>
      <c r="G49" s="1">
        <f ca="1">IFERROR(__xludf.DUMMYFUNCTION("""COMPUTED_VALUE"""),25)</f>
        <v>25</v>
      </c>
      <c r="H49" s="1">
        <f ca="1">IFERROR(__xludf.DUMMYFUNCTION("""COMPUTED_VALUE"""),100.8)</f>
        <v>100.8</v>
      </c>
      <c r="I49" s="1">
        <f ca="1">IFERROR(__xludf.DUMMYFUNCTION("""COMPUTED_VALUE"""),110)</f>
        <v>110</v>
      </c>
      <c r="J49" s="1">
        <f ca="1">IFERROR(__xludf.DUMMYFUNCTION("""COMPUTED_VALUE"""),64)</f>
        <v>64</v>
      </c>
      <c r="K49" s="1">
        <f ca="1">IFERROR(__xludf.DUMMYFUNCTION("""COMPUTED_VALUE"""),216)</f>
        <v>216</v>
      </c>
      <c r="L49" s="1">
        <f ca="1">IFERROR(__xludf.DUMMYFUNCTION("""COMPUTED_VALUE"""),-0.069)</f>
        <v>-6.9000000000000006E-2</v>
      </c>
      <c r="M49" s="1">
        <f ca="1">IFERROR(__xludf.DUMMYFUNCTION("""COMPUTED_VALUE"""),318)</f>
        <v>318</v>
      </c>
      <c r="N49" s="1" t="str">
        <f ca="1">IFERROR(__xludf.DUMMYFUNCTION("""COMPUTED_VALUE"""),"+5.81")</f>
        <v>+5.81</v>
      </c>
      <c r="O49" s="1">
        <f ca="1">IFERROR(__xludf.DUMMYFUNCTION("""COMPUTED_VALUE"""),73)</f>
        <v>73</v>
      </c>
      <c r="P49" s="1">
        <f ca="1">IFERROR(__xludf.DUMMYFUNCTION("""COMPUTED_VALUE"""),106.9)</f>
        <v>106.9</v>
      </c>
      <c r="Q49" s="1">
        <f ca="1">IFERROR(__xludf.DUMMYFUNCTION("""COMPUTED_VALUE"""),63)</f>
        <v>63</v>
      </c>
      <c r="R49" s="1">
        <f ca="1">IFERROR(__xludf.DUMMYFUNCTION("""COMPUTED_VALUE"""),101.1)</f>
        <v>101.1</v>
      </c>
      <c r="S49" s="1">
        <f ca="1">IFERROR(__xludf.DUMMYFUNCTION("""COMPUTED_VALUE"""),78)</f>
        <v>78</v>
      </c>
      <c r="T49" s="1" t="str">
        <f ca="1">IFERROR(__xludf.DUMMYFUNCTION("""COMPUTED_VALUE"""),"+1.34")</f>
        <v>+1.34</v>
      </c>
      <c r="U49" s="1">
        <f ca="1">IFERROR(__xludf.DUMMYFUNCTION("""COMPUTED_VALUE"""),114)</f>
        <v>114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IFERROR(__xludf.DUMMYFUNCTION("""COMPUTED_VALUE"""),"Villanova12")</f>
        <v>Villanova12</v>
      </c>
      <c r="C50" s="1" t="str">
        <f ca="1">IFERROR(__xludf.DUMMYFUNCTION("""COMPUTED_VALUE"""),"BE")</f>
        <v>BE</v>
      </c>
      <c r="D50" s="1" t="str">
        <f ca="1">IFERROR(__xludf.DUMMYFUNCTION("""COMPUTED_VALUE"""),"22-13")</f>
        <v>22-13</v>
      </c>
      <c r="E50" s="1" t="str">
        <f ca="1">IFERROR(__xludf.DUMMYFUNCTION("""COMPUTED_VALUE"""),"+14.21")</f>
        <v>+14.21</v>
      </c>
      <c r="F50" s="1">
        <f ca="1">IFERROR(__xludf.DUMMYFUNCTION("""COMPUTED_VALUE"""),109.2)</f>
        <v>109.2</v>
      </c>
      <c r="G50" s="1">
        <f ca="1">IFERROR(__xludf.DUMMYFUNCTION("""COMPUTED_VALUE"""),75)</f>
        <v>75</v>
      </c>
      <c r="H50" s="1">
        <f ca="1">IFERROR(__xludf.DUMMYFUNCTION("""COMPUTED_VALUE"""),95)</f>
        <v>95</v>
      </c>
      <c r="I50" s="1">
        <f ca="1">IFERROR(__xludf.DUMMYFUNCTION("""COMPUTED_VALUE"""),35)</f>
        <v>35</v>
      </c>
      <c r="J50" s="1">
        <f ca="1">IFERROR(__xludf.DUMMYFUNCTION("""COMPUTED_VALUE"""),68.1)</f>
        <v>68.099999999999994</v>
      </c>
      <c r="K50" s="1">
        <f ca="1">IFERROR(__xludf.DUMMYFUNCTION("""COMPUTED_VALUE"""),74)</f>
        <v>74</v>
      </c>
      <c r="L50" s="1" t="str">
        <f ca="1">IFERROR(__xludf.DUMMYFUNCTION("""COMPUTED_VALUE"""),"+.037")</f>
        <v>+.037</v>
      </c>
      <c r="M50" s="1">
        <f ca="1">IFERROR(__xludf.DUMMYFUNCTION("""COMPUTED_VALUE"""),84)</f>
        <v>84</v>
      </c>
      <c r="N50" s="1" t="str">
        <f ca="1">IFERROR(__xludf.DUMMYFUNCTION("""COMPUTED_VALUE"""),"+9.14")</f>
        <v>+9.14</v>
      </c>
      <c r="O50" s="1">
        <f ca="1">IFERROR(__xludf.DUMMYFUNCTION("""COMPUTED_VALUE"""),25)</f>
        <v>25</v>
      </c>
      <c r="P50" s="1">
        <f ca="1">IFERROR(__xludf.DUMMYFUNCTION("""COMPUTED_VALUE"""),108.9)</f>
        <v>108.9</v>
      </c>
      <c r="Q50" s="1">
        <f ca="1">IFERROR(__xludf.DUMMYFUNCTION("""COMPUTED_VALUE"""),15)</f>
        <v>15</v>
      </c>
      <c r="R50" s="1">
        <f ca="1">IFERROR(__xludf.DUMMYFUNCTION("""COMPUTED_VALUE"""),99.8)</f>
        <v>99.8</v>
      </c>
      <c r="S50" s="1">
        <f ca="1">IFERROR(__xludf.DUMMYFUNCTION("""COMPUTED_VALUE"""),38)</f>
        <v>38</v>
      </c>
      <c r="T50" s="1">
        <f ca="1">IFERROR(__xludf.DUMMYFUNCTION("""COMPUTED_VALUE"""),-2.4)</f>
        <v>-2.4</v>
      </c>
      <c r="U50" s="1">
        <f ca="1">IFERROR(__xludf.DUMMYFUNCTION("""COMPUTED_VALUE"""),222)</f>
        <v>222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IFERROR(__xludf.DUMMYFUNCTION("""COMPUTED_VALUE"""),"Syracuse1")</f>
        <v>Syracuse1</v>
      </c>
      <c r="C51" s="1" t="str">
        <f ca="1">IFERROR(__xludf.DUMMYFUNCTION("""COMPUTED_VALUE"""),"BE")</f>
        <v>BE</v>
      </c>
      <c r="D51" s="1" t="str">
        <f ca="1">IFERROR(__xludf.DUMMYFUNCTION("""COMPUTED_VALUE"""),"21-14")</f>
        <v>21-14</v>
      </c>
      <c r="E51" s="1" t="str">
        <f ca="1">IFERROR(__xludf.DUMMYFUNCTION("""COMPUTED_VALUE"""),"+14.12")</f>
        <v>+14.12</v>
      </c>
      <c r="F51" s="1">
        <f ca="1">IFERROR(__xludf.DUMMYFUNCTION("""COMPUTED_VALUE"""),112.6)</f>
        <v>112.6</v>
      </c>
      <c r="G51" s="1">
        <f ca="1">IFERROR(__xludf.DUMMYFUNCTION("""COMPUTED_VALUE"""),43)</f>
        <v>43</v>
      </c>
      <c r="H51" s="1">
        <f ca="1">IFERROR(__xludf.DUMMYFUNCTION("""COMPUTED_VALUE"""),98.4)</f>
        <v>98.4</v>
      </c>
      <c r="I51" s="1">
        <f ca="1">IFERROR(__xludf.DUMMYFUNCTION("""COMPUTED_VALUE"""),75)</f>
        <v>75</v>
      </c>
      <c r="J51" s="1">
        <f ca="1">IFERROR(__xludf.DUMMYFUNCTION("""COMPUTED_VALUE"""),69.9)</f>
        <v>69.900000000000006</v>
      </c>
      <c r="K51" s="1">
        <f ca="1">IFERROR(__xludf.DUMMYFUNCTION("""COMPUTED_VALUE"""),27)</f>
        <v>27</v>
      </c>
      <c r="L51" s="1">
        <f ca="1">IFERROR(__xludf.DUMMYFUNCTION("""COMPUTED_VALUE"""),-0.026)</f>
        <v>-2.5999999999999999E-2</v>
      </c>
      <c r="M51" s="1">
        <f ca="1">IFERROR(__xludf.DUMMYFUNCTION("""COMPUTED_VALUE"""),238)</f>
        <v>238</v>
      </c>
      <c r="N51" s="1" t="str">
        <f ca="1">IFERROR(__xludf.DUMMYFUNCTION("""COMPUTED_VALUE"""),"+7.96")</f>
        <v>+7.96</v>
      </c>
      <c r="O51" s="1">
        <f ca="1">IFERROR(__xludf.DUMMYFUNCTION("""COMPUTED_VALUE"""),41)</f>
        <v>41</v>
      </c>
      <c r="P51" s="1">
        <f ca="1">IFERROR(__xludf.DUMMYFUNCTION("""COMPUTED_VALUE"""),107.8)</f>
        <v>107.8</v>
      </c>
      <c r="Q51" s="1">
        <f ca="1">IFERROR(__xludf.DUMMYFUNCTION("""COMPUTED_VALUE"""),43)</f>
        <v>43</v>
      </c>
      <c r="R51" s="1">
        <f ca="1">IFERROR(__xludf.DUMMYFUNCTION("""COMPUTED_VALUE"""),99.9)</f>
        <v>99.9</v>
      </c>
      <c r="S51" s="1">
        <f ca="1">IFERROR(__xludf.DUMMYFUNCTION("""COMPUTED_VALUE"""),44)</f>
        <v>44</v>
      </c>
      <c r="T51" s="1" t="str">
        <f ca="1">IFERROR(__xludf.DUMMYFUNCTION("""COMPUTED_VALUE"""),"+2.25")</f>
        <v>+2.25</v>
      </c>
      <c r="U51" s="1">
        <f ca="1">IFERROR(__xludf.DUMMYFUNCTION("""COMPUTED_VALUE"""),90)</f>
        <v>90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IFERROR(__xludf.DUMMYFUNCTION("""COMPUTED_VALUE"""),"UNLV8")</f>
        <v>UNLV8</v>
      </c>
      <c r="C52" s="1" t="str">
        <f ca="1">IFERROR(__xludf.DUMMYFUNCTION("""COMPUTED_VALUE"""),"MWC")</f>
        <v>MWC</v>
      </c>
      <c r="D52" s="1" t="str">
        <f ca="1">IFERROR(__xludf.DUMMYFUNCTION("""COMPUTED_VALUE"""),"27-8")</f>
        <v>27-8</v>
      </c>
      <c r="E52" s="1" t="str">
        <f ca="1">IFERROR(__xludf.DUMMYFUNCTION("""COMPUTED_VALUE"""),"+13.71")</f>
        <v>+13.71</v>
      </c>
      <c r="F52" s="1">
        <f ca="1">IFERROR(__xludf.DUMMYFUNCTION("""COMPUTED_VALUE"""),110.2)</f>
        <v>110.2</v>
      </c>
      <c r="G52" s="1">
        <f ca="1">IFERROR(__xludf.DUMMYFUNCTION("""COMPUTED_VALUE"""),67)</f>
        <v>67</v>
      </c>
      <c r="H52" s="1">
        <f ca="1">IFERROR(__xludf.DUMMYFUNCTION("""COMPUTED_VALUE"""),96.5)</f>
        <v>96.5</v>
      </c>
      <c r="I52" s="1">
        <f ca="1">IFERROR(__xludf.DUMMYFUNCTION("""COMPUTED_VALUE"""),51)</f>
        <v>51</v>
      </c>
      <c r="J52" s="1">
        <f ca="1">IFERROR(__xludf.DUMMYFUNCTION("""COMPUTED_VALUE"""),63.9)</f>
        <v>63.9</v>
      </c>
      <c r="K52" s="1">
        <f ca="1">IFERROR(__xludf.DUMMYFUNCTION("""COMPUTED_VALUE"""),223)</f>
        <v>223</v>
      </c>
      <c r="L52" s="1" t="str">
        <f ca="1">IFERROR(__xludf.DUMMYFUNCTION("""COMPUTED_VALUE"""),"+.081")</f>
        <v>+.081</v>
      </c>
      <c r="M52" s="1">
        <f ca="1">IFERROR(__xludf.DUMMYFUNCTION("""COMPUTED_VALUE"""),21)</f>
        <v>21</v>
      </c>
      <c r="N52" s="1" t="str">
        <f ca="1">IFERROR(__xludf.DUMMYFUNCTION("""COMPUTED_VALUE"""),"+3.10")</f>
        <v>+3.10</v>
      </c>
      <c r="O52" s="1">
        <f ca="1">IFERROR(__xludf.DUMMYFUNCTION("""COMPUTED_VALUE"""),108)</f>
        <v>108</v>
      </c>
      <c r="P52" s="1">
        <f ca="1">IFERROR(__xludf.DUMMYFUNCTION("""COMPUTED_VALUE"""),104.3)</f>
        <v>104.3</v>
      </c>
      <c r="Q52" s="1">
        <f ca="1">IFERROR(__xludf.DUMMYFUNCTION("""COMPUTED_VALUE"""),131)</f>
        <v>131</v>
      </c>
      <c r="R52" s="1">
        <f ca="1">IFERROR(__xludf.DUMMYFUNCTION("""COMPUTED_VALUE"""),101.2)</f>
        <v>101.2</v>
      </c>
      <c r="S52" s="1">
        <f ca="1">IFERROR(__xludf.DUMMYFUNCTION("""COMPUTED_VALUE"""),81)</f>
        <v>81</v>
      </c>
      <c r="T52" s="1">
        <f ca="1">IFERROR(__xludf.DUMMYFUNCTION("""COMPUTED_VALUE"""),-0.86)</f>
        <v>-0.86</v>
      </c>
      <c r="U52" s="1">
        <f ca="1">IFERROR(__xludf.DUMMYFUNCTION("""COMPUTED_VALUE"""),171)</f>
        <v>171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IFERROR(__xludf.DUMMYFUNCTION("""COMPUTED_VALUE"""),"Arizona St.1")</f>
        <v>Arizona St.1</v>
      </c>
      <c r="C53" s="1" t="str">
        <f ca="1">IFERROR(__xludf.DUMMYFUNCTION("""COMPUTED_VALUE"""),"P10")</f>
        <v>P10</v>
      </c>
      <c r="D53" s="1" t="str">
        <f ca="1">IFERROR(__xludf.DUMMYFUNCTION("""COMPUTED_VALUE"""),"21-13")</f>
        <v>21-13</v>
      </c>
      <c r="E53" s="1" t="str">
        <f ca="1">IFERROR(__xludf.DUMMYFUNCTION("""COMPUTED_VALUE"""),"+13.62")</f>
        <v>+13.62</v>
      </c>
      <c r="F53" s="1">
        <f ca="1">IFERROR(__xludf.DUMMYFUNCTION("""COMPUTED_VALUE"""),110.2)</f>
        <v>110.2</v>
      </c>
      <c r="G53" s="1">
        <f ca="1">IFERROR(__xludf.DUMMYFUNCTION("""COMPUTED_VALUE"""),66)</f>
        <v>66</v>
      </c>
      <c r="H53" s="1">
        <f ca="1">IFERROR(__xludf.DUMMYFUNCTION("""COMPUTED_VALUE"""),96.6)</f>
        <v>96.6</v>
      </c>
      <c r="I53" s="1">
        <f ca="1">IFERROR(__xludf.DUMMYFUNCTION("""COMPUTED_VALUE"""),53)</f>
        <v>53</v>
      </c>
      <c r="J53" s="1">
        <f ca="1">IFERROR(__xludf.DUMMYFUNCTION("""COMPUTED_VALUE"""),61.2)</f>
        <v>61.2</v>
      </c>
      <c r="K53" s="1">
        <f ca="1">IFERROR(__xludf.DUMMYFUNCTION("""COMPUTED_VALUE"""),305)</f>
        <v>305</v>
      </c>
      <c r="L53" s="1" t="str">
        <f ca="1">IFERROR(__xludf.DUMMYFUNCTION("""COMPUTED_VALUE"""),"+.010")</f>
        <v>+.010</v>
      </c>
      <c r="M53" s="1">
        <f ca="1">IFERROR(__xludf.DUMMYFUNCTION("""COMPUTED_VALUE"""),150)</f>
        <v>150</v>
      </c>
      <c r="N53" s="1" t="str">
        <f ca="1">IFERROR(__xludf.DUMMYFUNCTION("""COMPUTED_VALUE"""),"+6.79")</f>
        <v>+6.79</v>
      </c>
      <c r="O53" s="1">
        <f ca="1">IFERROR(__xludf.DUMMYFUNCTION("""COMPUTED_VALUE"""),56)</f>
        <v>56</v>
      </c>
      <c r="P53" s="1">
        <f ca="1">IFERROR(__xludf.DUMMYFUNCTION("""COMPUTED_VALUE"""),107.4)</f>
        <v>107.4</v>
      </c>
      <c r="Q53" s="1">
        <f ca="1">IFERROR(__xludf.DUMMYFUNCTION("""COMPUTED_VALUE"""),54)</f>
        <v>54</v>
      </c>
      <c r="R53" s="1">
        <f ca="1">IFERROR(__xludf.DUMMYFUNCTION("""COMPUTED_VALUE"""),100.6)</f>
        <v>100.6</v>
      </c>
      <c r="S53" s="1">
        <f ca="1">IFERROR(__xludf.DUMMYFUNCTION("""COMPUTED_VALUE"""),64)</f>
        <v>64</v>
      </c>
      <c r="T53" s="1">
        <f ca="1">IFERROR(__xludf.DUMMYFUNCTION("""COMPUTED_VALUE"""),-9.79)</f>
        <v>-9.7899999999999991</v>
      </c>
      <c r="U53" s="1">
        <f ca="1">IFERROR(__xludf.DUMMYFUNCTION("""COMPUTED_VALUE"""),333)</f>
        <v>333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IFERROR(__xludf.DUMMYFUNCTION("""COMPUTED_VALUE"""),"Mississippi2")</f>
        <v>Mississippi2</v>
      </c>
      <c r="C54" s="1" t="str">
        <f ca="1">IFERROR(__xludf.DUMMYFUNCTION("""COMPUTED_VALUE"""),"SEC")</f>
        <v>SEC</v>
      </c>
      <c r="D54" s="1" t="str">
        <f ca="1">IFERROR(__xludf.DUMMYFUNCTION("""COMPUTED_VALUE"""),"24-11")</f>
        <v>24-11</v>
      </c>
      <c r="E54" s="1" t="str">
        <f ca="1">IFERROR(__xludf.DUMMYFUNCTION("""COMPUTED_VALUE"""),"+13.49")</f>
        <v>+13.49</v>
      </c>
      <c r="F54" s="1">
        <f ca="1">IFERROR(__xludf.DUMMYFUNCTION("""COMPUTED_VALUE"""),114.2)</f>
        <v>114.2</v>
      </c>
      <c r="G54" s="1">
        <f ca="1">IFERROR(__xludf.DUMMYFUNCTION("""COMPUTED_VALUE"""),32)</f>
        <v>32</v>
      </c>
      <c r="H54" s="1">
        <f ca="1">IFERROR(__xludf.DUMMYFUNCTION("""COMPUTED_VALUE"""),100.7)</f>
        <v>100.7</v>
      </c>
      <c r="I54" s="1">
        <f ca="1">IFERROR(__xludf.DUMMYFUNCTION("""COMPUTED_VALUE"""),108)</f>
        <v>108</v>
      </c>
      <c r="J54" s="1">
        <f ca="1">IFERROR(__xludf.DUMMYFUNCTION("""COMPUTED_VALUE"""),69.3)</f>
        <v>69.3</v>
      </c>
      <c r="K54" s="1">
        <f ca="1">IFERROR(__xludf.DUMMYFUNCTION("""COMPUTED_VALUE"""),40)</f>
        <v>40</v>
      </c>
      <c r="L54" s="1" t="str">
        <f ca="1">IFERROR(__xludf.DUMMYFUNCTION("""COMPUTED_VALUE"""),"+.010")</f>
        <v>+.010</v>
      </c>
      <c r="M54" s="1">
        <f ca="1">IFERROR(__xludf.DUMMYFUNCTION("""COMPUTED_VALUE"""),146)</f>
        <v>146</v>
      </c>
      <c r="N54" s="1" t="str">
        <f ca="1">IFERROR(__xludf.DUMMYFUNCTION("""COMPUTED_VALUE"""),"+5.66")</f>
        <v>+5.66</v>
      </c>
      <c r="O54" s="1">
        <f ca="1">IFERROR(__xludf.DUMMYFUNCTION("""COMPUTED_VALUE"""),78)</f>
        <v>78</v>
      </c>
      <c r="P54" s="1">
        <f ca="1">IFERROR(__xludf.DUMMYFUNCTION("""COMPUTED_VALUE"""),106.7)</f>
        <v>106.7</v>
      </c>
      <c r="Q54" s="1">
        <f ca="1">IFERROR(__xludf.DUMMYFUNCTION("""COMPUTED_VALUE"""),69)</f>
        <v>69</v>
      </c>
      <c r="R54" s="1">
        <f ca="1">IFERROR(__xludf.DUMMYFUNCTION("""COMPUTED_VALUE"""),101)</f>
        <v>101</v>
      </c>
      <c r="S54" s="1">
        <f ca="1">IFERROR(__xludf.DUMMYFUNCTION("""COMPUTED_VALUE"""),76)</f>
        <v>76</v>
      </c>
      <c r="T54" s="1">
        <f ca="1">IFERROR(__xludf.DUMMYFUNCTION("""COMPUTED_VALUE"""),-2.47)</f>
        <v>-2.4700000000000002</v>
      </c>
      <c r="U54" s="1">
        <f ca="1">IFERROR(__xludf.DUMMYFUNCTION("""COMPUTED_VALUE"""),225)</f>
        <v>225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IFERROR(__xludf.DUMMYFUNCTION("""COMPUTED_VALUE"""),"Illinois")</f>
        <v>Illinois</v>
      </c>
      <c r="C55" s="1" t="str">
        <f ca="1">IFERROR(__xludf.DUMMYFUNCTION("""COMPUTED_VALUE"""),"B10")</f>
        <v>B10</v>
      </c>
      <c r="D55" s="1" t="str">
        <f ca="1">IFERROR(__xludf.DUMMYFUNCTION("""COMPUTED_VALUE"""),"16-19")</f>
        <v>16-19</v>
      </c>
      <c r="E55" s="1" t="str">
        <f ca="1">IFERROR(__xludf.DUMMYFUNCTION("""COMPUTED_VALUE"""),"+13.47")</f>
        <v>+13.47</v>
      </c>
      <c r="F55" s="1">
        <f ca="1">IFERROR(__xludf.DUMMYFUNCTION("""COMPUTED_VALUE"""),107.5)</f>
        <v>107.5</v>
      </c>
      <c r="G55" s="1">
        <f ca="1">IFERROR(__xludf.DUMMYFUNCTION("""COMPUTED_VALUE"""),111)</f>
        <v>111</v>
      </c>
      <c r="H55" s="1">
        <f ca="1">IFERROR(__xludf.DUMMYFUNCTION("""COMPUTED_VALUE"""),94)</f>
        <v>94</v>
      </c>
      <c r="I55" s="1">
        <f ca="1">IFERROR(__xludf.DUMMYFUNCTION("""COMPUTED_VALUE"""),29)</f>
        <v>29</v>
      </c>
      <c r="J55" s="1">
        <f ca="1">IFERROR(__xludf.DUMMYFUNCTION("""COMPUTED_VALUE"""),61)</f>
        <v>61</v>
      </c>
      <c r="K55" s="1">
        <f ca="1">IFERROR(__xludf.DUMMYFUNCTION("""COMPUTED_VALUE"""),310)</f>
        <v>310</v>
      </c>
      <c r="L55" s="1">
        <f ca="1">IFERROR(__xludf.DUMMYFUNCTION("""COMPUTED_VALUE"""),-0.119)</f>
        <v>-0.11899999999999999</v>
      </c>
      <c r="M55" s="1">
        <f ca="1">IFERROR(__xludf.DUMMYFUNCTION("""COMPUTED_VALUE"""),341)</f>
        <v>341</v>
      </c>
      <c r="N55" s="1" t="str">
        <f ca="1">IFERROR(__xludf.DUMMYFUNCTION("""COMPUTED_VALUE"""),"+9.61")</f>
        <v>+9.61</v>
      </c>
      <c r="O55" s="1">
        <f ca="1">IFERROR(__xludf.DUMMYFUNCTION("""COMPUTED_VALUE"""),12)</f>
        <v>12</v>
      </c>
      <c r="P55" s="1">
        <f ca="1">IFERROR(__xludf.DUMMYFUNCTION("""COMPUTED_VALUE"""),108.4)</f>
        <v>108.4</v>
      </c>
      <c r="Q55" s="1">
        <f ca="1">IFERROR(__xludf.DUMMYFUNCTION("""COMPUTED_VALUE"""),27)</f>
        <v>27</v>
      </c>
      <c r="R55" s="1">
        <f ca="1">IFERROR(__xludf.DUMMYFUNCTION("""COMPUTED_VALUE"""),98.8)</f>
        <v>98.8</v>
      </c>
      <c r="S55" s="1">
        <f ca="1">IFERROR(__xludf.DUMMYFUNCTION("""COMPUTED_VALUE"""),13)</f>
        <v>13</v>
      </c>
      <c r="T55" s="1" t="str">
        <f ca="1">IFERROR(__xludf.DUMMYFUNCTION("""COMPUTED_VALUE"""),"+3.40")</f>
        <v>+3.40</v>
      </c>
      <c r="U55" s="1">
        <f ca="1">IFERROR(__xludf.DUMMYFUNCTION("""COMPUTED_VALUE"""),70)</f>
        <v>70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IFERROR(__xludf.DUMMYFUNCTION("""COMPUTED_VALUE"""),"Massachusetts2")</f>
        <v>Massachusetts2</v>
      </c>
      <c r="C56" s="1" t="str">
        <f ca="1">IFERROR(__xludf.DUMMYFUNCTION("""COMPUTED_VALUE"""),"A10")</f>
        <v>A10</v>
      </c>
      <c r="D56" s="1" t="str">
        <f ca="1">IFERROR(__xludf.DUMMYFUNCTION("""COMPUTED_VALUE"""),"25-11")</f>
        <v>25-11</v>
      </c>
      <c r="E56" s="1" t="str">
        <f ca="1">IFERROR(__xludf.DUMMYFUNCTION("""COMPUTED_VALUE"""),"+13.10")</f>
        <v>+13.10</v>
      </c>
      <c r="F56" s="1">
        <f ca="1">IFERROR(__xludf.DUMMYFUNCTION("""COMPUTED_VALUE"""),110.5)</f>
        <v>110.5</v>
      </c>
      <c r="G56" s="1">
        <f ca="1">IFERROR(__xludf.DUMMYFUNCTION("""COMPUTED_VALUE"""),63)</f>
        <v>63</v>
      </c>
      <c r="H56" s="1">
        <f ca="1">IFERROR(__xludf.DUMMYFUNCTION("""COMPUTED_VALUE"""),97.3)</f>
        <v>97.3</v>
      </c>
      <c r="I56" s="1">
        <f ca="1">IFERROR(__xludf.DUMMYFUNCTION("""COMPUTED_VALUE"""),65)</f>
        <v>65</v>
      </c>
      <c r="J56" s="1">
        <f ca="1">IFERROR(__xludf.DUMMYFUNCTION("""COMPUTED_VALUE"""),74.6)</f>
        <v>74.599999999999994</v>
      </c>
      <c r="K56" s="1">
        <f ca="1">IFERROR(__xludf.DUMMYFUNCTION("""COMPUTED_VALUE"""),3)</f>
        <v>3</v>
      </c>
      <c r="L56" s="1" t="str">
        <f ca="1">IFERROR(__xludf.DUMMYFUNCTION("""COMPUTED_VALUE"""),"+.005")</f>
        <v>+.005</v>
      </c>
      <c r="M56" s="1">
        <f ca="1">IFERROR(__xludf.DUMMYFUNCTION("""COMPUTED_VALUE"""),156)</f>
        <v>156</v>
      </c>
      <c r="N56" s="1" t="str">
        <f ca="1">IFERROR(__xludf.DUMMYFUNCTION("""COMPUTED_VALUE"""),"+5.26")</f>
        <v>+5.26</v>
      </c>
      <c r="O56" s="1">
        <f ca="1">IFERROR(__xludf.DUMMYFUNCTION("""COMPUTED_VALUE"""),83)</f>
        <v>83</v>
      </c>
      <c r="P56" s="1">
        <f ca="1">IFERROR(__xludf.DUMMYFUNCTION("""COMPUTED_VALUE"""),107.3)</f>
        <v>107.3</v>
      </c>
      <c r="Q56" s="1">
        <f ca="1">IFERROR(__xludf.DUMMYFUNCTION("""COMPUTED_VALUE"""),57)</f>
        <v>57</v>
      </c>
      <c r="R56" s="1">
        <f ca="1">IFERROR(__xludf.DUMMYFUNCTION("""COMPUTED_VALUE"""),102)</f>
        <v>102</v>
      </c>
      <c r="S56" s="1">
        <f ca="1">IFERROR(__xludf.DUMMYFUNCTION("""COMPUTED_VALUE"""),108)</f>
        <v>108</v>
      </c>
      <c r="T56" s="1" t="str">
        <f ca="1">IFERROR(__xludf.DUMMYFUNCTION("""COMPUTED_VALUE"""),"+0.21")</f>
        <v>+0.21</v>
      </c>
      <c r="U56" s="1">
        <f ca="1">IFERROR(__xludf.DUMMYFUNCTION("""COMPUTED_VALUE"""),141)</f>
        <v>141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IFERROR(__xludf.DUMMYFUNCTION("""COMPUTED_VALUE"""),"Georgia Tech")</f>
        <v>Georgia Tech</v>
      </c>
      <c r="C57" s="1" t="str">
        <f ca="1">IFERROR(__xludf.DUMMYFUNCTION("""COMPUTED_VALUE"""),"ACC")</f>
        <v>ACC</v>
      </c>
      <c r="D57" s="1" t="str">
        <f ca="1">IFERROR(__xludf.DUMMYFUNCTION("""COMPUTED_VALUE"""),"15-17")</f>
        <v>15-17</v>
      </c>
      <c r="E57" s="1" t="str">
        <f ca="1">IFERROR(__xludf.DUMMYFUNCTION("""COMPUTED_VALUE"""),"+13.10")</f>
        <v>+13.10</v>
      </c>
      <c r="F57" s="1">
        <f ca="1">IFERROR(__xludf.DUMMYFUNCTION("""COMPUTED_VALUE"""),114.5)</f>
        <v>114.5</v>
      </c>
      <c r="G57" s="1">
        <f ca="1">IFERROR(__xludf.DUMMYFUNCTION("""COMPUTED_VALUE"""),31)</f>
        <v>31</v>
      </c>
      <c r="H57" s="1">
        <f ca="1">IFERROR(__xludf.DUMMYFUNCTION("""COMPUTED_VALUE"""),101.4)</f>
        <v>101.4</v>
      </c>
      <c r="I57" s="1">
        <f ca="1">IFERROR(__xludf.DUMMYFUNCTION("""COMPUTED_VALUE"""),125)</f>
        <v>125</v>
      </c>
      <c r="J57" s="1">
        <f ca="1">IFERROR(__xludf.DUMMYFUNCTION("""COMPUTED_VALUE"""),68.6)</f>
        <v>68.599999999999994</v>
      </c>
      <c r="K57" s="1">
        <f ca="1">IFERROR(__xludf.DUMMYFUNCTION("""COMPUTED_VALUE"""),54)</f>
        <v>54</v>
      </c>
      <c r="L57" s="1">
        <f ca="1">IFERROR(__xludf.DUMMYFUNCTION("""COMPUTED_VALUE"""),-0.077)</f>
        <v>-7.6999999999999999E-2</v>
      </c>
      <c r="M57" s="1">
        <f ca="1">IFERROR(__xludf.DUMMYFUNCTION("""COMPUTED_VALUE"""),325)</f>
        <v>325</v>
      </c>
      <c r="N57" s="1" t="str">
        <f ca="1">IFERROR(__xludf.DUMMYFUNCTION("""COMPUTED_VALUE"""),"+11.47")</f>
        <v>+11.47</v>
      </c>
      <c r="O57" s="1">
        <f ca="1">IFERROR(__xludf.DUMMYFUNCTION("""COMPUTED_VALUE"""),2)</f>
        <v>2</v>
      </c>
      <c r="P57" s="1">
        <f ca="1">IFERROR(__xludf.DUMMYFUNCTION("""COMPUTED_VALUE"""),109.5)</f>
        <v>109.5</v>
      </c>
      <c r="Q57" s="1">
        <f ca="1">IFERROR(__xludf.DUMMYFUNCTION("""COMPUTED_VALUE"""),3)</f>
        <v>3</v>
      </c>
      <c r="R57" s="1">
        <f ca="1">IFERROR(__xludf.DUMMYFUNCTION("""COMPUTED_VALUE"""),98)</f>
        <v>98</v>
      </c>
      <c r="S57" s="1">
        <f ca="1">IFERROR(__xludf.DUMMYFUNCTION("""COMPUTED_VALUE"""),4)</f>
        <v>4</v>
      </c>
      <c r="T57" s="1" t="str">
        <f ca="1">IFERROR(__xludf.DUMMYFUNCTION("""COMPUTED_VALUE"""),"+6.56")</f>
        <v>+6.56</v>
      </c>
      <c r="U57" s="1">
        <f ca="1">IFERROR(__xludf.DUMMYFUNCTION("""COMPUTED_VALUE"""),30)</f>
        <v>30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IFERROR(__xludf.DUMMYFUNCTION("""COMPUTED_VALUE"""),"Missouri")</f>
        <v>Missouri</v>
      </c>
      <c r="C58" s="1" t="str">
        <f ca="1">IFERROR(__xludf.DUMMYFUNCTION("""COMPUTED_VALUE"""),"B12")</f>
        <v>B12</v>
      </c>
      <c r="D58" s="1" t="str">
        <f ca="1">IFERROR(__xludf.DUMMYFUNCTION("""COMPUTED_VALUE"""),"16-16")</f>
        <v>16-16</v>
      </c>
      <c r="E58" s="1" t="str">
        <f ca="1">IFERROR(__xludf.DUMMYFUNCTION("""COMPUTED_VALUE"""),"+13.04")</f>
        <v>+13.04</v>
      </c>
      <c r="F58" s="1">
        <f ca="1">IFERROR(__xludf.DUMMYFUNCTION("""COMPUTED_VALUE"""),113.3)</f>
        <v>113.3</v>
      </c>
      <c r="G58" s="1">
        <f ca="1">IFERROR(__xludf.DUMMYFUNCTION("""COMPUTED_VALUE"""),38)</f>
        <v>38</v>
      </c>
      <c r="H58" s="1">
        <f ca="1">IFERROR(__xludf.DUMMYFUNCTION("""COMPUTED_VALUE"""),100.2)</f>
        <v>100.2</v>
      </c>
      <c r="I58" s="1">
        <f ca="1">IFERROR(__xludf.DUMMYFUNCTION("""COMPUTED_VALUE"""),98)</f>
        <v>98</v>
      </c>
      <c r="J58" s="1">
        <f ca="1">IFERROR(__xludf.DUMMYFUNCTION("""COMPUTED_VALUE"""),69.3)</f>
        <v>69.3</v>
      </c>
      <c r="K58" s="1">
        <f ca="1">IFERROR(__xludf.DUMMYFUNCTION("""COMPUTED_VALUE"""),39)</f>
        <v>39</v>
      </c>
      <c r="L58" s="1">
        <f ca="1">IFERROR(__xludf.DUMMYFUNCTION("""COMPUTED_VALUE"""),-0.105)</f>
        <v>-0.105</v>
      </c>
      <c r="M58" s="1">
        <f ca="1">IFERROR(__xludf.DUMMYFUNCTION("""COMPUTED_VALUE"""),338)</f>
        <v>338</v>
      </c>
      <c r="N58" s="1" t="str">
        <f ca="1">IFERROR(__xludf.DUMMYFUNCTION("""COMPUTED_VALUE"""),"+8.57")</f>
        <v>+8.57</v>
      </c>
      <c r="O58" s="1">
        <f ca="1">IFERROR(__xludf.DUMMYFUNCTION("""COMPUTED_VALUE"""),33)</f>
        <v>33</v>
      </c>
      <c r="P58" s="1">
        <f ca="1">IFERROR(__xludf.DUMMYFUNCTION("""COMPUTED_VALUE"""),107.1)</f>
        <v>107.1</v>
      </c>
      <c r="Q58" s="1">
        <f ca="1">IFERROR(__xludf.DUMMYFUNCTION("""COMPUTED_VALUE"""),59)</f>
        <v>59</v>
      </c>
      <c r="R58" s="1">
        <f ca="1">IFERROR(__xludf.DUMMYFUNCTION("""COMPUTED_VALUE"""),98.6)</f>
        <v>98.6</v>
      </c>
      <c r="S58" s="1">
        <f ca="1">IFERROR(__xludf.DUMMYFUNCTION("""COMPUTED_VALUE"""),10)</f>
        <v>10</v>
      </c>
      <c r="T58" s="1">
        <f ca="1">IFERROR(__xludf.DUMMYFUNCTION("""COMPUTED_VALUE"""),-0.9)</f>
        <v>-0.9</v>
      </c>
      <c r="U58" s="1">
        <f ca="1">IFERROR(__xludf.DUMMYFUNCTION("""COMPUTED_VALUE"""),173)</f>
        <v>173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IFERROR(__xludf.DUMMYFUNCTION("""COMPUTED_VALUE"""),"Kent St.9")</f>
        <v>Kent St.9</v>
      </c>
      <c r="C59" s="1" t="str">
        <f ca="1">IFERROR(__xludf.DUMMYFUNCTION("""COMPUTED_VALUE"""),"MAC")</f>
        <v>MAC</v>
      </c>
      <c r="D59" s="1" t="str">
        <f ca="1">IFERROR(__xludf.DUMMYFUNCTION("""COMPUTED_VALUE"""),"28-7")</f>
        <v>28-7</v>
      </c>
      <c r="E59" s="1" t="str">
        <f ca="1">IFERROR(__xludf.DUMMYFUNCTION("""COMPUTED_VALUE"""),"+13.04")</f>
        <v>+13.04</v>
      </c>
      <c r="F59" s="1">
        <f ca="1">IFERROR(__xludf.DUMMYFUNCTION("""COMPUTED_VALUE"""),107.8)</f>
        <v>107.8</v>
      </c>
      <c r="G59" s="1">
        <f ca="1">IFERROR(__xludf.DUMMYFUNCTION("""COMPUTED_VALUE"""),105)</f>
        <v>105</v>
      </c>
      <c r="H59" s="1">
        <f ca="1">IFERROR(__xludf.DUMMYFUNCTION("""COMPUTED_VALUE"""),94.8)</f>
        <v>94.8</v>
      </c>
      <c r="I59" s="1">
        <f ca="1">IFERROR(__xludf.DUMMYFUNCTION("""COMPUTED_VALUE"""),34)</f>
        <v>34</v>
      </c>
      <c r="J59" s="1">
        <f ca="1">IFERROR(__xludf.DUMMYFUNCTION("""COMPUTED_VALUE"""),65.1)</f>
        <v>65.099999999999994</v>
      </c>
      <c r="K59" s="1">
        <f ca="1">IFERROR(__xludf.DUMMYFUNCTION("""COMPUTED_VALUE"""),171)</f>
        <v>171</v>
      </c>
      <c r="L59" s="1" t="str">
        <f ca="1">IFERROR(__xludf.DUMMYFUNCTION("""COMPUTED_VALUE"""),"+.075")</f>
        <v>+.075</v>
      </c>
      <c r="M59" s="1">
        <f ca="1">IFERROR(__xludf.DUMMYFUNCTION("""COMPUTED_VALUE"""),26)</f>
        <v>26</v>
      </c>
      <c r="N59" s="1" t="str">
        <f ca="1">IFERROR(__xludf.DUMMYFUNCTION("""COMPUTED_VALUE"""),"+1.03")</f>
        <v>+1.03</v>
      </c>
      <c r="O59" s="1">
        <f ca="1">IFERROR(__xludf.DUMMYFUNCTION("""COMPUTED_VALUE"""),140)</f>
        <v>140</v>
      </c>
      <c r="P59" s="1">
        <f ca="1">IFERROR(__xludf.DUMMYFUNCTION("""COMPUTED_VALUE"""),103.5)</f>
        <v>103.5</v>
      </c>
      <c r="Q59" s="1">
        <f ca="1">IFERROR(__xludf.DUMMYFUNCTION("""COMPUTED_VALUE"""),166)</f>
        <v>166</v>
      </c>
      <c r="R59" s="1">
        <f ca="1">IFERROR(__xludf.DUMMYFUNCTION("""COMPUTED_VALUE"""),102.5)</f>
        <v>102.5</v>
      </c>
      <c r="S59" s="1">
        <f ca="1">IFERROR(__xludf.DUMMYFUNCTION("""COMPUTED_VALUE"""),127)</f>
        <v>127</v>
      </c>
      <c r="T59" s="1">
        <f ca="1">IFERROR(__xludf.DUMMYFUNCTION("""COMPUTED_VALUE"""),-0.11)</f>
        <v>-0.11</v>
      </c>
      <c r="U59" s="1">
        <f ca="1">IFERROR(__xludf.DUMMYFUNCTION("""COMPUTED_VALUE"""),151)</f>
        <v>151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IFERROR(__xludf.DUMMYFUNCTION("""COMPUTED_VALUE"""),"Vanderbilt4")</f>
        <v>Vanderbilt4</v>
      </c>
      <c r="C60" s="1" t="str">
        <f ca="1">IFERROR(__xludf.DUMMYFUNCTION("""COMPUTED_VALUE"""),"SEC")</f>
        <v>SEC</v>
      </c>
      <c r="D60" s="1" t="str">
        <f ca="1">IFERROR(__xludf.DUMMYFUNCTION("""COMPUTED_VALUE"""),"26-8")</f>
        <v>26-8</v>
      </c>
      <c r="E60" s="1" t="str">
        <f ca="1">IFERROR(__xludf.DUMMYFUNCTION("""COMPUTED_VALUE"""),"+12.65")</f>
        <v>+12.65</v>
      </c>
      <c r="F60" s="1">
        <f ca="1">IFERROR(__xludf.DUMMYFUNCTION("""COMPUTED_VALUE"""),112.3)</f>
        <v>112.3</v>
      </c>
      <c r="G60" s="1">
        <f ca="1">IFERROR(__xludf.DUMMYFUNCTION("""COMPUTED_VALUE"""),47)</f>
        <v>47</v>
      </c>
      <c r="H60" s="1">
        <f ca="1">IFERROR(__xludf.DUMMYFUNCTION("""COMPUTED_VALUE"""),99.6)</f>
        <v>99.6</v>
      </c>
      <c r="I60" s="1">
        <f ca="1">IFERROR(__xludf.DUMMYFUNCTION("""COMPUTED_VALUE"""),88)</f>
        <v>88</v>
      </c>
      <c r="J60" s="1">
        <f ca="1">IFERROR(__xludf.DUMMYFUNCTION("""COMPUTED_VALUE"""),68.2)</f>
        <v>68.2</v>
      </c>
      <c r="K60" s="1">
        <f ca="1">IFERROR(__xludf.DUMMYFUNCTION("""COMPUTED_VALUE"""),67)</f>
        <v>67</v>
      </c>
      <c r="L60" s="1" t="str">
        <f ca="1">IFERROR(__xludf.DUMMYFUNCTION("""COMPUTED_VALUE"""),"+.110")</f>
        <v>+.110</v>
      </c>
      <c r="M60" s="1">
        <f ca="1">IFERROR(__xludf.DUMMYFUNCTION("""COMPUTED_VALUE"""),5)</f>
        <v>5</v>
      </c>
      <c r="N60" s="1" t="str">
        <f ca="1">IFERROR(__xludf.DUMMYFUNCTION("""COMPUTED_VALUE"""),"+5.20")</f>
        <v>+5.20</v>
      </c>
      <c r="O60" s="1">
        <f ca="1">IFERROR(__xludf.DUMMYFUNCTION("""COMPUTED_VALUE"""),86)</f>
        <v>86</v>
      </c>
      <c r="P60" s="1">
        <f ca="1">IFERROR(__xludf.DUMMYFUNCTION("""COMPUTED_VALUE"""),107.4)</f>
        <v>107.4</v>
      </c>
      <c r="Q60" s="1">
        <f ca="1">IFERROR(__xludf.DUMMYFUNCTION("""COMPUTED_VALUE"""),49)</f>
        <v>49</v>
      </c>
      <c r="R60" s="1">
        <f ca="1">IFERROR(__xludf.DUMMYFUNCTION("""COMPUTED_VALUE"""),102.2)</f>
        <v>102.2</v>
      </c>
      <c r="S60" s="1">
        <f ca="1">IFERROR(__xludf.DUMMYFUNCTION("""COMPUTED_VALUE"""),118)</f>
        <v>118</v>
      </c>
      <c r="T60" s="1">
        <f ca="1">IFERROR(__xludf.DUMMYFUNCTION("""COMPUTED_VALUE"""),-1.7)</f>
        <v>-1.7</v>
      </c>
      <c r="U60" s="1">
        <f ca="1">IFERROR(__xludf.DUMMYFUNCTION("""COMPUTED_VALUE"""),198)</f>
        <v>198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IFERROR(__xludf.DUMMYFUNCTION("""COMPUTED_VALUE"""),"Temple12")</f>
        <v>Temple12</v>
      </c>
      <c r="C61" s="1" t="str">
        <f ca="1">IFERROR(__xludf.DUMMYFUNCTION("""COMPUTED_VALUE"""),"A10")</f>
        <v>A10</v>
      </c>
      <c r="D61" s="1" t="str">
        <f ca="1">IFERROR(__xludf.DUMMYFUNCTION("""COMPUTED_VALUE"""),"21-13")</f>
        <v>21-13</v>
      </c>
      <c r="E61" s="1" t="str">
        <f ca="1">IFERROR(__xludf.DUMMYFUNCTION("""COMPUTED_VALUE"""),"+12.37")</f>
        <v>+12.37</v>
      </c>
      <c r="F61" s="1">
        <f ca="1">IFERROR(__xludf.DUMMYFUNCTION("""COMPUTED_VALUE"""),112.8)</f>
        <v>112.8</v>
      </c>
      <c r="G61" s="1">
        <f ca="1">IFERROR(__xludf.DUMMYFUNCTION("""COMPUTED_VALUE"""),41)</f>
        <v>41</v>
      </c>
      <c r="H61" s="1">
        <f ca="1">IFERROR(__xludf.DUMMYFUNCTION("""COMPUTED_VALUE"""),100.4)</f>
        <v>100.4</v>
      </c>
      <c r="I61" s="1">
        <f ca="1">IFERROR(__xludf.DUMMYFUNCTION("""COMPUTED_VALUE"""),102)</f>
        <v>102</v>
      </c>
      <c r="J61" s="1">
        <f ca="1">IFERROR(__xludf.DUMMYFUNCTION("""COMPUTED_VALUE"""),63.6)</f>
        <v>63.6</v>
      </c>
      <c r="K61" s="1">
        <f ca="1">IFERROR(__xludf.DUMMYFUNCTION("""COMPUTED_VALUE"""),233)</f>
        <v>233</v>
      </c>
      <c r="L61" s="1">
        <f ca="1">IFERROR(__xludf.DUMMYFUNCTION("""COMPUTED_VALUE"""),-0.018)</f>
        <v>-1.7999999999999999E-2</v>
      </c>
      <c r="M61" s="1">
        <f ca="1">IFERROR(__xludf.DUMMYFUNCTION("""COMPUTED_VALUE"""),213)</f>
        <v>213</v>
      </c>
      <c r="N61" s="1" t="str">
        <f ca="1">IFERROR(__xludf.DUMMYFUNCTION("""COMPUTED_VALUE"""),"+6.08")</f>
        <v>+6.08</v>
      </c>
      <c r="O61" s="1">
        <f ca="1">IFERROR(__xludf.DUMMYFUNCTION("""COMPUTED_VALUE"""),70)</f>
        <v>70</v>
      </c>
      <c r="P61" s="1">
        <f ca="1">IFERROR(__xludf.DUMMYFUNCTION("""COMPUTED_VALUE"""),107.4)</f>
        <v>107.4</v>
      </c>
      <c r="Q61" s="1">
        <f ca="1">IFERROR(__xludf.DUMMYFUNCTION("""COMPUTED_VALUE"""),53)</f>
        <v>53</v>
      </c>
      <c r="R61" s="1">
        <f ca="1">IFERROR(__xludf.DUMMYFUNCTION("""COMPUTED_VALUE"""),101.3)</f>
        <v>101.3</v>
      </c>
      <c r="S61" s="1">
        <f ca="1">IFERROR(__xludf.DUMMYFUNCTION("""COMPUTED_VALUE"""),85)</f>
        <v>85</v>
      </c>
      <c r="T61" s="1" t="str">
        <f ca="1">IFERROR(__xludf.DUMMYFUNCTION("""COMPUTED_VALUE"""),"+3.73")</f>
        <v>+3.73</v>
      </c>
      <c r="U61" s="1">
        <f ca="1">IFERROR(__xludf.DUMMYFUNCTION("""COMPUTED_VALUE"""),64)</f>
        <v>64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IFERROR(__xludf.DUMMYFUNCTION("""COMPUTED_VALUE"""),"Illinois St.2")</f>
        <v>Illinois St.2</v>
      </c>
      <c r="C62" s="1" t="str">
        <f ca="1">IFERROR(__xludf.DUMMYFUNCTION("""COMPUTED_VALUE"""),"MVC")</f>
        <v>MVC</v>
      </c>
      <c r="D62" s="1" t="str">
        <f ca="1">IFERROR(__xludf.DUMMYFUNCTION("""COMPUTED_VALUE"""),"25-10")</f>
        <v>25-10</v>
      </c>
      <c r="E62" s="1" t="str">
        <f ca="1">IFERROR(__xludf.DUMMYFUNCTION("""COMPUTED_VALUE"""),"+12.37")</f>
        <v>+12.37</v>
      </c>
      <c r="F62" s="1">
        <f ca="1">IFERROR(__xludf.DUMMYFUNCTION("""COMPUTED_VALUE"""),106.2)</f>
        <v>106.2</v>
      </c>
      <c r="G62" s="1">
        <f ca="1">IFERROR(__xludf.DUMMYFUNCTION("""COMPUTED_VALUE"""),129)</f>
        <v>129</v>
      </c>
      <c r="H62" s="1">
        <f ca="1">IFERROR(__xludf.DUMMYFUNCTION("""COMPUTED_VALUE"""),93.9)</f>
        <v>93.9</v>
      </c>
      <c r="I62" s="1">
        <f ca="1">IFERROR(__xludf.DUMMYFUNCTION("""COMPUTED_VALUE"""),27)</f>
        <v>27</v>
      </c>
      <c r="J62" s="1">
        <f ca="1">IFERROR(__xludf.DUMMYFUNCTION("""COMPUTED_VALUE"""),62.5)</f>
        <v>62.5</v>
      </c>
      <c r="K62" s="1">
        <f ca="1">IFERROR(__xludf.DUMMYFUNCTION("""COMPUTED_VALUE"""),279)</f>
        <v>279</v>
      </c>
      <c r="L62" s="1" t="str">
        <f ca="1">IFERROR(__xludf.DUMMYFUNCTION("""COMPUTED_VALUE"""),"+.043")</f>
        <v>+.043</v>
      </c>
      <c r="M62" s="1">
        <f ca="1">IFERROR(__xludf.DUMMYFUNCTION("""COMPUTED_VALUE"""),68)</f>
        <v>68</v>
      </c>
      <c r="N62" s="1" t="str">
        <f ca="1">IFERROR(__xludf.DUMMYFUNCTION("""COMPUTED_VALUE"""),"+4.12")</f>
        <v>+4.12</v>
      </c>
      <c r="O62" s="1">
        <f ca="1">IFERROR(__xludf.DUMMYFUNCTION("""COMPUTED_VALUE"""),93)</f>
        <v>93</v>
      </c>
      <c r="P62" s="1">
        <f ca="1">IFERROR(__xludf.DUMMYFUNCTION("""COMPUTED_VALUE"""),106.5)</f>
        <v>106.5</v>
      </c>
      <c r="Q62" s="1">
        <f ca="1">IFERROR(__xludf.DUMMYFUNCTION("""COMPUTED_VALUE"""),77)</f>
        <v>77</v>
      </c>
      <c r="R62" s="1">
        <f ca="1">IFERROR(__xludf.DUMMYFUNCTION("""COMPUTED_VALUE"""),102.4)</f>
        <v>102.4</v>
      </c>
      <c r="S62" s="1">
        <f ca="1">IFERROR(__xludf.DUMMYFUNCTION("""COMPUTED_VALUE"""),123)</f>
        <v>123</v>
      </c>
      <c r="T62" s="1">
        <f ca="1">IFERROR(__xludf.DUMMYFUNCTION("""COMPUTED_VALUE"""),-1.52)</f>
        <v>-1.52</v>
      </c>
      <c r="U62" s="1">
        <f ca="1">IFERROR(__xludf.DUMMYFUNCTION("""COMPUTED_VALUE"""),189)</f>
        <v>189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IFERROR(__xludf.DUMMYFUNCTION("""COMPUTED_VALUE"""),"Florida St.3")</f>
        <v>Florida St.3</v>
      </c>
      <c r="C63" s="1" t="str">
        <f ca="1">IFERROR(__xludf.DUMMYFUNCTION("""COMPUTED_VALUE"""),"ACC")</f>
        <v>ACC</v>
      </c>
      <c r="D63" s="1" t="str">
        <f ca="1">IFERROR(__xludf.DUMMYFUNCTION("""COMPUTED_VALUE"""),"19-15")</f>
        <v>19-15</v>
      </c>
      <c r="E63" s="1" t="str">
        <f ca="1">IFERROR(__xludf.DUMMYFUNCTION("""COMPUTED_VALUE"""),"+12.26")</f>
        <v>+12.26</v>
      </c>
      <c r="F63" s="1">
        <f ca="1">IFERROR(__xludf.DUMMYFUNCTION("""COMPUTED_VALUE"""),108.7)</f>
        <v>108.7</v>
      </c>
      <c r="G63" s="1">
        <f ca="1">IFERROR(__xludf.DUMMYFUNCTION("""COMPUTED_VALUE"""),83)</f>
        <v>83</v>
      </c>
      <c r="H63" s="1">
        <f ca="1">IFERROR(__xludf.DUMMYFUNCTION("""COMPUTED_VALUE"""),96.4)</f>
        <v>96.4</v>
      </c>
      <c r="I63" s="1">
        <f ca="1">IFERROR(__xludf.DUMMYFUNCTION("""COMPUTED_VALUE"""),50)</f>
        <v>50</v>
      </c>
      <c r="J63" s="1">
        <f ca="1">IFERROR(__xludf.DUMMYFUNCTION("""COMPUTED_VALUE"""),64.8)</f>
        <v>64.8</v>
      </c>
      <c r="K63" s="1">
        <f ca="1">IFERROR(__xludf.DUMMYFUNCTION("""COMPUTED_VALUE"""),181)</f>
        <v>181</v>
      </c>
      <c r="L63" s="1">
        <f ca="1">IFERROR(__xludf.DUMMYFUNCTION("""COMPUTED_VALUE"""),-0.035)</f>
        <v>-3.5000000000000003E-2</v>
      </c>
      <c r="M63" s="1">
        <f ca="1">IFERROR(__xludf.DUMMYFUNCTION("""COMPUTED_VALUE"""),258)</f>
        <v>258</v>
      </c>
      <c r="N63" s="1" t="str">
        <f ca="1">IFERROR(__xludf.DUMMYFUNCTION("""COMPUTED_VALUE"""),"+8.51")</f>
        <v>+8.51</v>
      </c>
      <c r="O63" s="1">
        <f ca="1">IFERROR(__xludf.DUMMYFUNCTION("""COMPUTED_VALUE"""),34)</f>
        <v>34</v>
      </c>
      <c r="P63" s="1">
        <f ca="1">IFERROR(__xludf.DUMMYFUNCTION("""COMPUTED_VALUE"""),108.4)</f>
        <v>108.4</v>
      </c>
      <c r="Q63" s="1">
        <f ca="1">IFERROR(__xludf.DUMMYFUNCTION("""COMPUTED_VALUE"""),26)</f>
        <v>26</v>
      </c>
      <c r="R63" s="1">
        <f ca="1">IFERROR(__xludf.DUMMYFUNCTION("""COMPUTED_VALUE"""),99.9)</f>
        <v>99.9</v>
      </c>
      <c r="S63" s="1">
        <f ca="1">IFERROR(__xludf.DUMMYFUNCTION("""COMPUTED_VALUE"""),47)</f>
        <v>47</v>
      </c>
      <c r="T63" s="1">
        <f ca="1">IFERROR(__xludf.DUMMYFUNCTION("""COMPUTED_VALUE"""),-1.4)</f>
        <v>-1.4</v>
      </c>
      <c r="U63" s="1">
        <f ca="1">IFERROR(__xludf.DUMMYFUNCTION("""COMPUTED_VALUE"""),183)</f>
        <v>183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IFERROR(__xludf.DUMMYFUNCTION("""COMPUTED_VALUE"""),"Dayton3")</f>
        <v>Dayton3</v>
      </c>
      <c r="C64" s="1" t="str">
        <f ca="1">IFERROR(__xludf.DUMMYFUNCTION("""COMPUTED_VALUE"""),"A10")</f>
        <v>A10</v>
      </c>
      <c r="D64" s="1" t="str">
        <f ca="1">IFERROR(__xludf.DUMMYFUNCTION("""COMPUTED_VALUE"""),"23-11")</f>
        <v>23-11</v>
      </c>
      <c r="E64" s="1" t="str">
        <f ca="1">IFERROR(__xludf.DUMMYFUNCTION("""COMPUTED_VALUE"""),"+12.08")</f>
        <v>+12.08</v>
      </c>
      <c r="F64" s="1">
        <f ca="1">IFERROR(__xludf.DUMMYFUNCTION("""COMPUTED_VALUE"""),111.8)</f>
        <v>111.8</v>
      </c>
      <c r="G64" s="1">
        <f ca="1">IFERROR(__xludf.DUMMYFUNCTION("""COMPUTED_VALUE"""),51)</f>
        <v>51</v>
      </c>
      <c r="H64" s="1">
        <f ca="1">IFERROR(__xludf.DUMMYFUNCTION("""COMPUTED_VALUE"""),99.7)</f>
        <v>99.7</v>
      </c>
      <c r="I64" s="1">
        <f ca="1">IFERROR(__xludf.DUMMYFUNCTION("""COMPUTED_VALUE"""),91)</f>
        <v>91</v>
      </c>
      <c r="J64" s="1">
        <f ca="1">IFERROR(__xludf.DUMMYFUNCTION("""COMPUTED_VALUE"""),61.6)</f>
        <v>61.6</v>
      </c>
      <c r="K64" s="1">
        <f ca="1">IFERROR(__xludf.DUMMYFUNCTION("""COMPUTED_VALUE"""),296)</f>
        <v>296</v>
      </c>
      <c r="L64" s="1" t="str">
        <f ca="1">IFERROR(__xludf.DUMMYFUNCTION("""COMPUTED_VALUE"""),"+.055")</f>
        <v>+.055</v>
      </c>
      <c r="M64" s="1">
        <f ca="1">IFERROR(__xludf.DUMMYFUNCTION("""COMPUTED_VALUE"""),48)</f>
        <v>48</v>
      </c>
      <c r="N64" s="1" t="str">
        <f ca="1">IFERROR(__xludf.DUMMYFUNCTION("""COMPUTED_VALUE"""),"+5.31")</f>
        <v>+5.31</v>
      </c>
      <c r="O64" s="1">
        <f ca="1">IFERROR(__xludf.DUMMYFUNCTION("""COMPUTED_VALUE"""),81)</f>
        <v>81</v>
      </c>
      <c r="P64" s="1">
        <f ca="1">IFERROR(__xludf.DUMMYFUNCTION("""COMPUTED_VALUE"""),106.5)</f>
        <v>106.5</v>
      </c>
      <c r="Q64" s="1">
        <f ca="1">IFERROR(__xludf.DUMMYFUNCTION("""COMPUTED_VALUE"""),76)</f>
        <v>76</v>
      </c>
      <c r="R64" s="1">
        <f ca="1">IFERROR(__xludf.DUMMYFUNCTION("""COMPUTED_VALUE"""),101.2)</f>
        <v>101.2</v>
      </c>
      <c r="S64" s="1">
        <f ca="1">IFERROR(__xludf.DUMMYFUNCTION("""COMPUTED_VALUE"""),83)</f>
        <v>83</v>
      </c>
      <c r="T64" s="1">
        <f ca="1">IFERROR(__xludf.DUMMYFUNCTION("""COMPUTED_VALUE"""),-0.78)</f>
        <v>-0.78</v>
      </c>
      <c r="U64" s="1">
        <f ca="1">IFERROR(__xludf.DUMMYFUNCTION("""COMPUTED_VALUE"""),168)</f>
        <v>168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IFERROR(__xludf.DUMMYFUNCTION("""COMPUTED_VALUE"""),"UAB5")</f>
        <v>UAB5</v>
      </c>
      <c r="C65" s="1" t="str">
        <f ca="1">IFERROR(__xludf.DUMMYFUNCTION("""COMPUTED_VALUE"""),"CUSA")</f>
        <v>CUSA</v>
      </c>
      <c r="D65" s="1" t="str">
        <f ca="1">IFERROR(__xludf.DUMMYFUNCTION("""COMPUTED_VALUE"""),"23-11")</f>
        <v>23-11</v>
      </c>
      <c r="E65" s="1" t="str">
        <f ca="1">IFERROR(__xludf.DUMMYFUNCTION("""COMPUTED_VALUE"""),"+12.07")</f>
        <v>+12.07</v>
      </c>
      <c r="F65" s="1">
        <f ca="1">IFERROR(__xludf.DUMMYFUNCTION("""COMPUTED_VALUE"""),110.7)</f>
        <v>110.7</v>
      </c>
      <c r="G65" s="1">
        <f ca="1">IFERROR(__xludf.DUMMYFUNCTION("""COMPUTED_VALUE"""),57)</f>
        <v>57</v>
      </c>
      <c r="H65" s="1">
        <f ca="1">IFERROR(__xludf.DUMMYFUNCTION("""COMPUTED_VALUE"""),98.6)</f>
        <v>98.6</v>
      </c>
      <c r="I65" s="1">
        <f ca="1">IFERROR(__xludf.DUMMYFUNCTION("""COMPUTED_VALUE"""),77)</f>
        <v>77</v>
      </c>
      <c r="J65" s="1">
        <f ca="1">IFERROR(__xludf.DUMMYFUNCTION("""COMPUTED_VALUE"""),66.8)</f>
        <v>66.8</v>
      </c>
      <c r="K65" s="1">
        <f ca="1">IFERROR(__xludf.DUMMYFUNCTION("""COMPUTED_VALUE"""),110)</f>
        <v>110</v>
      </c>
      <c r="L65" s="1" t="str">
        <f ca="1">IFERROR(__xludf.DUMMYFUNCTION("""COMPUTED_VALUE"""),"+.017")</f>
        <v>+.017</v>
      </c>
      <c r="M65" s="1">
        <f ca="1">IFERROR(__xludf.DUMMYFUNCTION("""COMPUTED_VALUE"""),127)</f>
        <v>127</v>
      </c>
      <c r="N65" s="1" t="str">
        <f ca="1">IFERROR(__xludf.DUMMYFUNCTION("""COMPUTED_VALUE"""),"+2.74")</f>
        <v>+2.74</v>
      </c>
      <c r="O65" s="1">
        <f ca="1">IFERROR(__xludf.DUMMYFUNCTION("""COMPUTED_VALUE"""),111)</f>
        <v>111</v>
      </c>
      <c r="P65" s="1">
        <f ca="1">IFERROR(__xludf.DUMMYFUNCTION("""COMPUTED_VALUE"""),104.3)</f>
        <v>104.3</v>
      </c>
      <c r="Q65" s="1">
        <f ca="1">IFERROR(__xludf.DUMMYFUNCTION("""COMPUTED_VALUE"""),126)</f>
        <v>126</v>
      </c>
      <c r="R65" s="1">
        <f ca="1">IFERROR(__xludf.DUMMYFUNCTION("""COMPUTED_VALUE"""),101.6)</f>
        <v>101.6</v>
      </c>
      <c r="S65" s="1">
        <f ca="1">IFERROR(__xludf.DUMMYFUNCTION("""COMPUTED_VALUE"""),93)</f>
        <v>93</v>
      </c>
      <c r="T65" s="1">
        <f ca="1">IFERROR(__xludf.DUMMYFUNCTION("""COMPUTED_VALUE"""),-1.59)</f>
        <v>-1.59</v>
      </c>
      <c r="U65" s="1">
        <f ca="1">IFERROR(__xludf.DUMMYFUNCTION("""COMPUTED_VALUE"""),195)</f>
        <v>195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IFERROR(__xludf.DUMMYFUNCTION("""COMPUTED_VALUE"""),"Southern Illinois4")</f>
        <v>Southern Illinois4</v>
      </c>
      <c r="C66" s="1" t="str">
        <f ca="1">IFERROR(__xludf.DUMMYFUNCTION("""COMPUTED_VALUE"""),"MVC")</f>
        <v>MVC</v>
      </c>
      <c r="D66" s="1" t="str">
        <f ca="1">IFERROR(__xludf.DUMMYFUNCTION("""COMPUTED_VALUE"""),"18-15")</f>
        <v>18-15</v>
      </c>
      <c r="E66" s="1" t="str">
        <f ca="1">IFERROR(__xludf.DUMMYFUNCTION("""COMPUTED_VALUE"""),"+12.04")</f>
        <v>+12.04</v>
      </c>
      <c r="F66" s="1">
        <f ca="1">IFERROR(__xludf.DUMMYFUNCTION("""COMPUTED_VALUE"""),105.7)</f>
        <v>105.7</v>
      </c>
      <c r="G66" s="1">
        <f ca="1">IFERROR(__xludf.DUMMYFUNCTION("""COMPUTED_VALUE"""),138)</f>
        <v>138</v>
      </c>
      <c r="H66" s="1">
        <f ca="1">IFERROR(__xludf.DUMMYFUNCTION("""COMPUTED_VALUE"""),93.7)</f>
        <v>93.7</v>
      </c>
      <c r="I66" s="1">
        <f ca="1">IFERROR(__xludf.DUMMYFUNCTION("""COMPUTED_VALUE"""),25)</f>
        <v>25</v>
      </c>
      <c r="J66" s="1">
        <f ca="1">IFERROR(__xludf.DUMMYFUNCTION("""COMPUTED_VALUE"""),61.1)</f>
        <v>61.1</v>
      </c>
      <c r="K66" s="1">
        <f ca="1">IFERROR(__xludf.DUMMYFUNCTION("""COMPUTED_VALUE"""),307)</f>
        <v>307</v>
      </c>
      <c r="L66" s="1">
        <f ca="1">IFERROR(__xludf.DUMMYFUNCTION("""COMPUTED_VALUE"""),-0.033)</f>
        <v>-3.3000000000000002E-2</v>
      </c>
      <c r="M66" s="1">
        <f ca="1">IFERROR(__xludf.DUMMYFUNCTION("""COMPUTED_VALUE"""),254)</f>
        <v>254</v>
      </c>
      <c r="N66" s="1" t="str">
        <f ca="1">IFERROR(__xludf.DUMMYFUNCTION("""COMPUTED_VALUE"""),"+7.38")</f>
        <v>+7.38</v>
      </c>
      <c r="O66" s="1">
        <f ca="1">IFERROR(__xludf.DUMMYFUNCTION("""COMPUTED_VALUE"""),50)</f>
        <v>50</v>
      </c>
      <c r="P66" s="1">
        <f ca="1">IFERROR(__xludf.DUMMYFUNCTION("""COMPUTED_VALUE"""),107.4)</f>
        <v>107.4</v>
      </c>
      <c r="Q66" s="1">
        <f ca="1">IFERROR(__xludf.DUMMYFUNCTION("""COMPUTED_VALUE"""),56)</f>
        <v>56</v>
      </c>
      <c r="R66" s="1">
        <f ca="1">IFERROR(__xludf.DUMMYFUNCTION("""COMPUTED_VALUE"""),100)</f>
        <v>100</v>
      </c>
      <c r="S66" s="1">
        <f ca="1">IFERROR(__xludf.DUMMYFUNCTION("""COMPUTED_VALUE"""),48)</f>
        <v>48</v>
      </c>
      <c r="T66" s="1" t="str">
        <f ca="1">IFERROR(__xludf.DUMMYFUNCTION("""COMPUTED_VALUE"""),"+8.06")</f>
        <v>+8.06</v>
      </c>
      <c r="U66" s="1">
        <f ca="1">IFERROR(__xludf.DUMMYFUNCTION("""COMPUTED_VALUE"""),15)</f>
        <v>15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IFERROR(__xludf.DUMMYFUNCTION("""COMPUTED_VALUE"""),"Maryland5")</f>
        <v>Maryland5</v>
      </c>
      <c r="C67" s="1" t="str">
        <f ca="1">IFERROR(__xludf.DUMMYFUNCTION("""COMPUTED_VALUE"""),"ACC")</f>
        <v>ACC</v>
      </c>
      <c r="D67" s="1" t="str">
        <f ca="1">IFERROR(__xludf.DUMMYFUNCTION("""COMPUTED_VALUE"""),"19-15")</f>
        <v>19-15</v>
      </c>
      <c r="E67" s="1" t="str">
        <f ca="1">IFERROR(__xludf.DUMMYFUNCTION("""COMPUTED_VALUE"""),"+11.99")</f>
        <v>+11.99</v>
      </c>
      <c r="F67" s="1">
        <f ca="1">IFERROR(__xludf.DUMMYFUNCTION("""COMPUTED_VALUE"""),107.1)</f>
        <v>107.1</v>
      </c>
      <c r="G67" s="1">
        <f ca="1">IFERROR(__xludf.DUMMYFUNCTION("""COMPUTED_VALUE"""),116)</f>
        <v>116</v>
      </c>
      <c r="H67" s="1">
        <f ca="1">IFERROR(__xludf.DUMMYFUNCTION("""COMPUTED_VALUE"""),95.1)</f>
        <v>95.1</v>
      </c>
      <c r="I67" s="1">
        <f ca="1">IFERROR(__xludf.DUMMYFUNCTION("""COMPUTED_VALUE"""),38)</f>
        <v>38</v>
      </c>
      <c r="J67" s="1">
        <f ca="1">IFERROR(__xludf.DUMMYFUNCTION("""COMPUTED_VALUE"""),69.9)</f>
        <v>69.900000000000006</v>
      </c>
      <c r="K67" s="1">
        <f ca="1">IFERROR(__xludf.DUMMYFUNCTION("""COMPUTED_VALUE"""),26)</f>
        <v>26</v>
      </c>
      <c r="L67" s="1">
        <f ca="1">IFERROR(__xludf.DUMMYFUNCTION("""COMPUTED_VALUE"""),-0.044)</f>
        <v>-4.3999999999999997E-2</v>
      </c>
      <c r="M67" s="1">
        <f ca="1">IFERROR(__xludf.DUMMYFUNCTION("""COMPUTED_VALUE"""),279)</f>
        <v>279</v>
      </c>
      <c r="N67" s="1" t="str">
        <f ca="1">IFERROR(__xludf.DUMMYFUNCTION("""COMPUTED_VALUE"""),"+7.39")</f>
        <v>+7.39</v>
      </c>
      <c r="O67" s="1">
        <f ca="1">IFERROR(__xludf.DUMMYFUNCTION("""COMPUTED_VALUE"""),49)</f>
        <v>49</v>
      </c>
      <c r="P67" s="1">
        <f ca="1">IFERROR(__xludf.DUMMYFUNCTION("""COMPUTED_VALUE"""),106.6)</f>
        <v>106.6</v>
      </c>
      <c r="Q67" s="1">
        <f ca="1">IFERROR(__xludf.DUMMYFUNCTION("""COMPUTED_VALUE"""),74)</f>
        <v>74</v>
      </c>
      <c r="R67" s="1">
        <f ca="1">IFERROR(__xludf.DUMMYFUNCTION("""COMPUTED_VALUE"""),99.2)</f>
        <v>99.2</v>
      </c>
      <c r="S67" s="1">
        <f ca="1">IFERROR(__xludf.DUMMYFUNCTION("""COMPUTED_VALUE"""),22)</f>
        <v>22</v>
      </c>
      <c r="T67" s="1">
        <f ca="1">IFERROR(__xludf.DUMMYFUNCTION("""COMPUTED_VALUE"""),-2.75)</f>
        <v>-2.75</v>
      </c>
      <c r="U67" s="1">
        <f ca="1">IFERROR(__xludf.DUMMYFUNCTION("""COMPUTED_VALUE"""),239)</f>
        <v>239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IFERROR(__xludf.DUMMYFUNCTION("""COMPUTED_VALUE"""),"Utah")</f>
        <v>Utah</v>
      </c>
      <c r="C68" s="1" t="str">
        <f ca="1">IFERROR(__xludf.DUMMYFUNCTION("""COMPUTED_VALUE"""),"MWC")</f>
        <v>MWC</v>
      </c>
      <c r="D68" s="1" t="str">
        <f ca="1">IFERROR(__xludf.DUMMYFUNCTION("""COMPUTED_VALUE"""),"18-15")</f>
        <v>18-15</v>
      </c>
      <c r="E68" s="1" t="str">
        <f ca="1">IFERROR(__xludf.DUMMYFUNCTION("""COMPUTED_VALUE"""),"+11.94")</f>
        <v>+11.94</v>
      </c>
      <c r="F68" s="1">
        <f ca="1">IFERROR(__xludf.DUMMYFUNCTION("""COMPUTED_VALUE"""),110.2)</f>
        <v>110.2</v>
      </c>
      <c r="G68" s="1">
        <f ca="1">IFERROR(__xludf.DUMMYFUNCTION("""COMPUTED_VALUE"""),64)</f>
        <v>64</v>
      </c>
      <c r="H68" s="1">
        <f ca="1">IFERROR(__xludf.DUMMYFUNCTION("""COMPUTED_VALUE"""),98.3)</f>
        <v>98.3</v>
      </c>
      <c r="I68" s="1">
        <f ca="1">IFERROR(__xludf.DUMMYFUNCTION("""COMPUTED_VALUE"""),71)</f>
        <v>71</v>
      </c>
      <c r="J68" s="1">
        <f ca="1">IFERROR(__xludf.DUMMYFUNCTION("""COMPUTED_VALUE"""),62.9)</f>
        <v>62.9</v>
      </c>
      <c r="K68" s="1">
        <f ca="1">IFERROR(__xludf.DUMMYFUNCTION("""COMPUTED_VALUE"""),266)</f>
        <v>266</v>
      </c>
      <c r="L68" s="1">
        <f ca="1">IFERROR(__xludf.DUMMYFUNCTION("""COMPUTED_VALUE"""),-0.111)</f>
        <v>-0.111</v>
      </c>
      <c r="M68" s="1">
        <f ca="1">IFERROR(__xludf.DUMMYFUNCTION("""COMPUTED_VALUE"""),340)</f>
        <v>340</v>
      </c>
      <c r="N68" s="1" t="str">
        <f ca="1">IFERROR(__xludf.DUMMYFUNCTION("""COMPUTED_VALUE"""),"+5.24")</f>
        <v>+5.24</v>
      </c>
      <c r="O68" s="1">
        <f ca="1">IFERROR(__xludf.DUMMYFUNCTION("""COMPUTED_VALUE"""),84)</f>
        <v>84</v>
      </c>
      <c r="P68" s="1">
        <f ca="1">IFERROR(__xludf.DUMMYFUNCTION("""COMPUTED_VALUE"""),106)</f>
        <v>106</v>
      </c>
      <c r="Q68" s="1">
        <f ca="1">IFERROR(__xludf.DUMMYFUNCTION("""COMPUTED_VALUE"""),90)</f>
        <v>90</v>
      </c>
      <c r="R68" s="1">
        <f ca="1">IFERROR(__xludf.DUMMYFUNCTION("""COMPUTED_VALUE"""),100.8)</f>
        <v>100.8</v>
      </c>
      <c r="S68" s="1">
        <f ca="1">IFERROR(__xludf.DUMMYFUNCTION("""COMPUTED_VALUE"""),68)</f>
        <v>68</v>
      </c>
      <c r="T68" s="1" t="str">
        <f ca="1">IFERROR(__xludf.DUMMYFUNCTION("""COMPUTED_VALUE"""),"+2.23")</f>
        <v>+2.23</v>
      </c>
      <c r="U68" s="1">
        <f ca="1">IFERROR(__xludf.DUMMYFUNCTION("""COMPUTED_VALUE"""),92)</f>
        <v>92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IFERROR(__xludf.DUMMYFUNCTION("""COMPUTED_VALUE"""),"South Alabama10")</f>
        <v>South Alabama10</v>
      </c>
      <c r="C69" s="1" t="str">
        <f ca="1">IFERROR(__xludf.DUMMYFUNCTION("""COMPUTED_VALUE"""),"SB")</f>
        <v>SB</v>
      </c>
      <c r="D69" s="1" t="str">
        <f ca="1">IFERROR(__xludf.DUMMYFUNCTION("""COMPUTED_VALUE"""),"26-7")</f>
        <v>26-7</v>
      </c>
      <c r="E69" s="1" t="str">
        <f ca="1">IFERROR(__xludf.DUMMYFUNCTION("""COMPUTED_VALUE"""),"+11.80")</f>
        <v>+11.80</v>
      </c>
      <c r="F69" s="1">
        <f ca="1">IFERROR(__xludf.DUMMYFUNCTION("""COMPUTED_VALUE"""),112.6)</f>
        <v>112.6</v>
      </c>
      <c r="G69" s="1">
        <f ca="1">IFERROR(__xludf.DUMMYFUNCTION("""COMPUTED_VALUE"""),42)</f>
        <v>42</v>
      </c>
      <c r="H69" s="1">
        <f ca="1">IFERROR(__xludf.DUMMYFUNCTION("""COMPUTED_VALUE"""),100.8)</f>
        <v>100.8</v>
      </c>
      <c r="I69" s="1">
        <f ca="1">IFERROR(__xludf.DUMMYFUNCTION("""COMPUTED_VALUE"""),111)</f>
        <v>111</v>
      </c>
      <c r="J69" s="1">
        <f ca="1">IFERROR(__xludf.DUMMYFUNCTION("""COMPUTED_VALUE"""),64.8)</f>
        <v>64.8</v>
      </c>
      <c r="K69" s="1">
        <f ca="1">IFERROR(__xludf.DUMMYFUNCTION("""COMPUTED_VALUE"""),178)</f>
        <v>178</v>
      </c>
      <c r="L69" s="1">
        <f ca="1">IFERROR(__xludf.DUMMYFUNCTION("""COMPUTED_VALUE"""),-0.002)</f>
        <v>-2E-3</v>
      </c>
      <c r="M69" s="1">
        <f ca="1">IFERROR(__xludf.DUMMYFUNCTION("""COMPUTED_VALUE"""),174)</f>
        <v>174</v>
      </c>
      <c r="N69" s="1">
        <f ca="1">IFERROR(__xludf.DUMMYFUNCTION("""COMPUTED_VALUE"""),-2.07)</f>
        <v>-2.0699999999999998</v>
      </c>
      <c r="O69" s="1">
        <f ca="1">IFERROR(__xludf.DUMMYFUNCTION("""COMPUTED_VALUE"""),194)</f>
        <v>194</v>
      </c>
      <c r="P69" s="1">
        <f ca="1">IFERROR(__xludf.DUMMYFUNCTION("""COMPUTED_VALUE"""),103.1)</f>
        <v>103.1</v>
      </c>
      <c r="Q69" s="1">
        <f ca="1">IFERROR(__xludf.DUMMYFUNCTION("""COMPUTED_VALUE"""),182)</f>
        <v>182</v>
      </c>
      <c r="R69" s="1">
        <f ca="1">IFERROR(__xludf.DUMMYFUNCTION("""COMPUTED_VALUE"""),105.2)</f>
        <v>105.2</v>
      </c>
      <c r="S69" s="1">
        <f ca="1">IFERROR(__xludf.DUMMYFUNCTION("""COMPUTED_VALUE"""),219)</f>
        <v>219</v>
      </c>
      <c r="T69" s="1" t="str">
        <f ca="1">IFERROR(__xludf.DUMMYFUNCTION("""COMPUTED_VALUE"""),"+0.90")</f>
        <v>+0.90</v>
      </c>
      <c r="U69" s="1">
        <f ca="1">IFERROR(__xludf.DUMMYFUNCTION("""COMPUTED_VALUE"""),121)</f>
        <v>121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IFERROR(__xludf.DUMMYFUNCTION("""COMPUTED_VALUE"""),"IUPUI")</f>
        <v>IUPUI</v>
      </c>
      <c r="C70" s="1" t="str">
        <f ca="1">IFERROR(__xludf.DUMMYFUNCTION("""COMPUTED_VALUE"""),"Sum")</f>
        <v>Sum</v>
      </c>
      <c r="D70" s="1" t="str">
        <f ca="1">IFERROR(__xludf.DUMMYFUNCTION("""COMPUTED_VALUE"""),"26-7")</f>
        <v>26-7</v>
      </c>
      <c r="E70" s="1" t="str">
        <f ca="1">IFERROR(__xludf.DUMMYFUNCTION("""COMPUTED_VALUE"""),"+11.68")</f>
        <v>+11.68</v>
      </c>
      <c r="F70" s="1">
        <f ca="1">IFERROR(__xludf.DUMMYFUNCTION("""COMPUTED_VALUE"""),116.5)</f>
        <v>116.5</v>
      </c>
      <c r="G70" s="1">
        <f ca="1">IFERROR(__xludf.DUMMYFUNCTION("""COMPUTED_VALUE"""),11)</f>
        <v>11</v>
      </c>
      <c r="H70" s="1">
        <f ca="1">IFERROR(__xludf.DUMMYFUNCTION("""COMPUTED_VALUE"""),104.8)</f>
        <v>104.8</v>
      </c>
      <c r="I70" s="1">
        <f ca="1">IFERROR(__xludf.DUMMYFUNCTION("""COMPUTED_VALUE"""),192)</f>
        <v>192</v>
      </c>
      <c r="J70" s="1">
        <f ca="1">IFERROR(__xludf.DUMMYFUNCTION("""COMPUTED_VALUE"""),60.9)</f>
        <v>60.9</v>
      </c>
      <c r="K70" s="1">
        <f ca="1">IFERROR(__xludf.DUMMYFUNCTION("""COMPUTED_VALUE"""),312)</f>
        <v>312</v>
      </c>
      <c r="L70" s="1">
        <f ca="1">IFERROR(__xludf.DUMMYFUNCTION("""COMPUTED_VALUE"""),-0.019)</f>
        <v>-1.9E-2</v>
      </c>
      <c r="M70" s="1">
        <f ca="1">IFERROR(__xludf.DUMMYFUNCTION("""COMPUTED_VALUE"""),218)</f>
        <v>218</v>
      </c>
      <c r="N70" s="1">
        <f ca="1">IFERROR(__xludf.DUMMYFUNCTION("""COMPUTED_VALUE"""),-3)</f>
        <v>-3</v>
      </c>
      <c r="O70" s="1">
        <f ca="1">IFERROR(__xludf.DUMMYFUNCTION("""COMPUTED_VALUE"""),220)</f>
        <v>220</v>
      </c>
      <c r="P70" s="1">
        <f ca="1">IFERROR(__xludf.DUMMYFUNCTION("""COMPUTED_VALUE"""),102.9)</f>
        <v>102.9</v>
      </c>
      <c r="Q70" s="1">
        <f ca="1">IFERROR(__xludf.DUMMYFUNCTION("""COMPUTED_VALUE"""),191)</f>
        <v>191</v>
      </c>
      <c r="R70" s="1">
        <f ca="1">IFERROR(__xludf.DUMMYFUNCTION("""COMPUTED_VALUE"""),105.9)</f>
        <v>105.9</v>
      </c>
      <c r="S70" s="1">
        <f ca="1">IFERROR(__xludf.DUMMYFUNCTION("""COMPUTED_VALUE"""),253)</f>
        <v>253</v>
      </c>
      <c r="T70" s="1">
        <f ca="1">IFERROR(__xludf.DUMMYFUNCTION("""COMPUTED_VALUE"""),-1.34)</f>
        <v>-1.34</v>
      </c>
      <c r="U70" s="1">
        <f ca="1">IFERROR(__xludf.DUMMYFUNCTION("""COMPUTED_VALUE"""),181)</f>
        <v>181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IFERROR(__xludf.DUMMYFUNCTION("""COMPUTED_VALUE"""),"California4")</f>
        <v>California4</v>
      </c>
      <c r="C71" s="1" t="str">
        <f ca="1">IFERROR(__xludf.DUMMYFUNCTION("""COMPUTED_VALUE"""),"P10")</f>
        <v>P10</v>
      </c>
      <c r="D71" s="1" t="str">
        <f ca="1">IFERROR(__xludf.DUMMYFUNCTION("""COMPUTED_VALUE"""),"17-16")</f>
        <v>17-16</v>
      </c>
      <c r="E71" s="1" t="str">
        <f ca="1">IFERROR(__xludf.DUMMYFUNCTION("""COMPUTED_VALUE"""),"+11.51")</f>
        <v>+11.51</v>
      </c>
      <c r="F71" s="1">
        <f ca="1">IFERROR(__xludf.DUMMYFUNCTION("""COMPUTED_VALUE"""),115.8)</f>
        <v>115.8</v>
      </c>
      <c r="G71" s="1">
        <f ca="1">IFERROR(__xludf.DUMMYFUNCTION("""COMPUTED_VALUE"""),18)</f>
        <v>18</v>
      </c>
      <c r="H71" s="1">
        <f ca="1">IFERROR(__xludf.DUMMYFUNCTION("""COMPUTED_VALUE"""),104.3)</f>
        <v>104.3</v>
      </c>
      <c r="I71" s="1">
        <f ca="1">IFERROR(__xludf.DUMMYFUNCTION("""COMPUTED_VALUE"""),184)</f>
        <v>184</v>
      </c>
      <c r="J71" s="1">
        <f ca="1">IFERROR(__xludf.DUMMYFUNCTION("""COMPUTED_VALUE"""),67.8)</f>
        <v>67.8</v>
      </c>
      <c r="K71" s="1">
        <f ca="1">IFERROR(__xludf.DUMMYFUNCTION("""COMPUTED_VALUE"""),82)</f>
        <v>82</v>
      </c>
      <c r="L71" s="1">
        <f ca="1">IFERROR(__xludf.DUMMYFUNCTION("""COMPUTED_VALUE"""),-0.013)</f>
        <v>-1.2999999999999999E-2</v>
      </c>
      <c r="M71" s="1">
        <f ca="1">IFERROR(__xludf.DUMMYFUNCTION("""COMPUTED_VALUE"""),200)</f>
        <v>200</v>
      </c>
      <c r="N71" s="1" t="str">
        <f ca="1">IFERROR(__xludf.DUMMYFUNCTION("""COMPUTED_VALUE"""),"+10.85")</f>
        <v>+10.85</v>
      </c>
      <c r="O71" s="1">
        <f ca="1">IFERROR(__xludf.DUMMYFUNCTION("""COMPUTED_VALUE"""),4)</f>
        <v>4</v>
      </c>
      <c r="P71" s="1">
        <f ca="1">IFERROR(__xludf.DUMMYFUNCTION("""COMPUTED_VALUE"""),109.2)</f>
        <v>109.2</v>
      </c>
      <c r="Q71" s="1">
        <f ca="1">IFERROR(__xludf.DUMMYFUNCTION("""COMPUTED_VALUE"""),7)</f>
        <v>7</v>
      </c>
      <c r="R71" s="1">
        <f ca="1">IFERROR(__xludf.DUMMYFUNCTION("""COMPUTED_VALUE"""),98.4)</f>
        <v>98.4</v>
      </c>
      <c r="S71" s="1">
        <f ca="1">IFERROR(__xludf.DUMMYFUNCTION("""COMPUTED_VALUE"""),7)</f>
        <v>7</v>
      </c>
      <c r="T71" s="1">
        <f ca="1">IFERROR(__xludf.DUMMYFUNCTION("""COMPUTED_VALUE"""),-2.47)</f>
        <v>-2.4700000000000002</v>
      </c>
      <c r="U71" s="1">
        <f ca="1">IFERROR(__xludf.DUMMYFUNCTION("""COMPUTED_VALUE"""),226)</f>
        <v>226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IFERROR(__xludf.DUMMYFUNCTION("""COMPUTED_VALUE"""),"VCU4")</f>
        <v>VCU4</v>
      </c>
      <c r="C72" s="1" t="str">
        <f ca="1">IFERROR(__xludf.DUMMYFUNCTION("""COMPUTED_VALUE"""),"CAA")</f>
        <v>CAA</v>
      </c>
      <c r="D72" s="1" t="str">
        <f ca="1">IFERROR(__xludf.DUMMYFUNCTION("""COMPUTED_VALUE"""),"24-8")</f>
        <v>24-8</v>
      </c>
      <c r="E72" s="1" t="str">
        <f ca="1">IFERROR(__xludf.DUMMYFUNCTION("""COMPUTED_VALUE"""),"+11.45")</f>
        <v>+11.45</v>
      </c>
      <c r="F72" s="1">
        <f ca="1">IFERROR(__xludf.DUMMYFUNCTION("""COMPUTED_VALUE"""),104.7)</f>
        <v>104.7</v>
      </c>
      <c r="G72" s="1">
        <f ca="1">IFERROR(__xludf.DUMMYFUNCTION("""COMPUTED_VALUE"""),157)</f>
        <v>157</v>
      </c>
      <c r="H72" s="1">
        <f ca="1">IFERROR(__xludf.DUMMYFUNCTION("""COMPUTED_VALUE"""),93.2)</f>
        <v>93.2</v>
      </c>
      <c r="I72" s="1">
        <f ca="1">IFERROR(__xludf.DUMMYFUNCTION("""COMPUTED_VALUE"""),22)</f>
        <v>22</v>
      </c>
      <c r="J72" s="1">
        <f ca="1">IFERROR(__xludf.DUMMYFUNCTION("""COMPUTED_VALUE"""),63.6)</f>
        <v>63.6</v>
      </c>
      <c r="K72" s="1">
        <f ca="1">IFERROR(__xludf.DUMMYFUNCTION("""COMPUTED_VALUE"""),237)</f>
        <v>237</v>
      </c>
      <c r="L72" s="1">
        <f ca="1">IFERROR(__xludf.DUMMYFUNCTION("""COMPUTED_VALUE"""),-0.041)</f>
        <v>-4.1000000000000002E-2</v>
      </c>
      <c r="M72" s="1">
        <f ca="1">IFERROR(__xludf.DUMMYFUNCTION("""COMPUTED_VALUE"""),270)</f>
        <v>270</v>
      </c>
      <c r="N72" s="1">
        <f ca="1">IFERROR(__xludf.DUMMYFUNCTION("""COMPUTED_VALUE"""),-1.67)</f>
        <v>-1.67</v>
      </c>
      <c r="O72" s="1">
        <f ca="1">IFERROR(__xludf.DUMMYFUNCTION("""COMPUTED_VALUE"""),189)</f>
        <v>189</v>
      </c>
      <c r="P72" s="1">
        <f ca="1">IFERROR(__xludf.DUMMYFUNCTION("""COMPUTED_VALUE"""),102.4)</f>
        <v>102.4</v>
      </c>
      <c r="Q72" s="1">
        <f ca="1">IFERROR(__xludf.DUMMYFUNCTION("""COMPUTED_VALUE"""),208)</f>
        <v>208</v>
      </c>
      <c r="R72" s="1">
        <f ca="1">IFERROR(__xludf.DUMMYFUNCTION("""COMPUTED_VALUE"""),104)</f>
        <v>104</v>
      </c>
      <c r="S72" s="1">
        <f ca="1">IFERROR(__xludf.DUMMYFUNCTION("""COMPUTED_VALUE"""),168)</f>
        <v>168</v>
      </c>
      <c r="T72" s="1" t="str">
        <f ca="1">IFERROR(__xludf.DUMMYFUNCTION("""COMPUTED_VALUE"""),"+2.99")</f>
        <v>+2.99</v>
      </c>
      <c r="U72" s="1">
        <f ca="1">IFERROR(__xludf.DUMMYFUNCTION("""COMPUTED_VALUE"""),77)</f>
        <v>77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IFERROR(__xludf.DUMMYFUNCTION("""COMPUTED_VALUE"""),"Washington")</f>
        <v>Washington</v>
      </c>
      <c r="C73" s="1" t="str">
        <f ca="1">IFERROR(__xludf.DUMMYFUNCTION("""COMPUTED_VALUE"""),"P10")</f>
        <v>P10</v>
      </c>
      <c r="D73" s="1" t="str">
        <f ca="1">IFERROR(__xludf.DUMMYFUNCTION("""COMPUTED_VALUE"""),"16-17")</f>
        <v>16-17</v>
      </c>
      <c r="E73" s="1" t="str">
        <f ca="1">IFERROR(__xludf.DUMMYFUNCTION("""COMPUTED_VALUE"""),"+11.36")</f>
        <v>+11.36</v>
      </c>
      <c r="F73" s="1">
        <f ca="1">IFERROR(__xludf.DUMMYFUNCTION("""COMPUTED_VALUE"""),109.7)</f>
        <v>109.7</v>
      </c>
      <c r="G73" s="1">
        <f ca="1">IFERROR(__xludf.DUMMYFUNCTION("""COMPUTED_VALUE"""),72)</f>
        <v>72</v>
      </c>
      <c r="H73" s="1">
        <f ca="1">IFERROR(__xludf.DUMMYFUNCTION("""COMPUTED_VALUE"""),98.4)</f>
        <v>98.4</v>
      </c>
      <c r="I73" s="1">
        <f ca="1">IFERROR(__xludf.DUMMYFUNCTION("""COMPUTED_VALUE"""),74)</f>
        <v>74</v>
      </c>
      <c r="J73" s="1">
        <f ca="1">IFERROR(__xludf.DUMMYFUNCTION("""COMPUTED_VALUE"""),68.6)</f>
        <v>68.599999999999994</v>
      </c>
      <c r="K73" s="1">
        <f ca="1">IFERROR(__xludf.DUMMYFUNCTION("""COMPUTED_VALUE"""),59)</f>
        <v>59</v>
      </c>
      <c r="L73" s="1">
        <f ca="1">IFERROR(__xludf.DUMMYFUNCTION("""COMPUTED_VALUE"""),-0.07)</f>
        <v>-7.0000000000000007E-2</v>
      </c>
      <c r="M73" s="1">
        <f ca="1">IFERROR(__xludf.DUMMYFUNCTION("""COMPUTED_VALUE"""),320)</f>
        <v>320</v>
      </c>
      <c r="N73" s="1" t="str">
        <f ca="1">IFERROR(__xludf.DUMMYFUNCTION("""COMPUTED_VALUE"""),"+9.10")</f>
        <v>+9.10</v>
      </c>
      <c r="O73" s="1">
        <f ca="1">IFERROR(__xludf.DUMMYFUNCTION("""COMPUTED_VALUE"""),26)</f>
        <v>26</v>
      </c>
      <c r="P73" s="1">
        <f ca="1">IFERROR(__xludf.DUMMYFUNCTION("""COMPUTED_VALUE"""),108.7)</f>
        <v>108.7</v>
      </c>
      <c r="Q73" s="1">
        <f ca="1">IFERROR(__xludf.DUMMYFUNCTION("""COMPUTED_VALUE"""),17)</f>
        <v>17</v>
      </c>
      <c r="R73" s="1">
        <f ca="1">IFERROR(__xludf.DUMMYFUNCTION("""COMPUTED_VALUE"""),99.6)</f>
        <v>99.6</v>
      </c>
      <c r="S73" s="1">
        <f ca="1">IFERROR(__xludf.DUMMYFUNCTION("""COMPUTED_VALUE"""),33)</f>
        <v>33</v>
      </c>
      <c r="T73" s="1">
        <f ca="1">IFERROR(__xludf.DUMMYFUNCTION("""COMPUTED_VALUE"""),-1.56)</f>
        <v>-1.56</v>
      </c>
      <c r="U73" s="1">
        <f ca="1">IFERROR(__xludf.DUMMYFUNCTION("""COMPUTED_VALUE"""),191)</f>
        <v>191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IFERROR(__xludf.DUMMYFUNCTION("""COMPUTED_VALUE"""),"Minnesota4")</f>
        <v>Minnesota4</v>
      </c>
      <c r="C74" s="1" t="str">
        <f ca="1">IFERROR(__xludf.DUMMYFUNCTION("""COMPUTED_VALUE"""),"B10")</f>
        <v>B10</v>
      </c>
      <c r="D74" s="1" t="str">
        <f ca="1">IFERROR(__xludf.DUMMYFUNCTION("""COMPUTED_VALUE"""),"20-14")</f>
        <v>20-14</v>
      </c>
      <c r="E74" s="1" t="str">
        <f ca="1">IFERROR(__xludf.DUMMYFUNCTION("""COMPUTED_VALUE"""),"+11.34")</f>
        <v>+11.34</v>
      </c>
      <c r="F74" s="1">
        <f ca="1">IFERROR(__xludf.DUMMYFUNCTION("""COMPUTED_VALUE"""),108.4)</f>
        <v>108.4</v>
      </c>
      <c r="G74" s="1">
        <f ca="1">IFERROR(__xludf.DUMMYFUNCTION("""COMPUTED_VALUE"""),89)</f>
        <v>89</v>
      </c>
      <c r="H74" s="1">
        <f ca="1">IFERROR(__xludf.DUMMYFUNCTION("""COMPUTED_VALUE"""),97.1)</f>
        <v>97.1</v>
      </c>
      <c r="I74" s="1">
        <f ca="1">IFERROR(__xludf.DUMMYFUNCTION("""COMPUTED_VALUE"""),60)</f>
        <v>60</v>
      </c>
      <c r="J74" s="1">
        <f ca="1">IFERROR(__xludf.DUMMYFUNCTION("""COMPUTED_VALUE"""),65.1)</f>
        <v>65.099999999999994</v>
      </c>
      <c r="K74" s="1">
        <f ca="1">IFERROR(__xludf.DUMMYFUNCTION("""COMPUTED_VALUE"""),169)</f>
        <v>169</v>
      </c>
      <c r="L74" s="1">
        <f ca="1">IFERROR(__xludf.DUMMYFUNCTION("""COMPUTED_VALUE"""),-0.025)</f>
        <v>-2.5000000000000001E-2</v>
      </c>
      <c r="M74" s="1">
        <f ca="1">IFERROR(__xludf.DUMMYFUNCTION("""COMPUTED_VALUE"""),233)</f>
        <v>233</v>
      </c>
      <c r="N74" s="1" t="str">
        <f ca="1">IFERROR(__xludf.DUMMYFUNCTION("""COMPUTED_VALUE"""),"+5.28")</f>
        <v>+5.28</v>
      </c>
      <c r="O74" s="1">
        <f ca="1">IFERROR(__xludf.DUMMYFUNCTION("""COMPUTED_VALUE"""),82)</f>
        <v>82</v>
      </c>
      <c r="P74" s="1">
        <f ca="1">IFERROR(__xludf.DUMMYFUNCTION("""COMPUTED_VALUE"""),105.5)</f>
        <v>105.5</v>
      </c>
      <c r="Q74" s="1">
        <f ca="1">IFERROR(__xludf.DUMMYFUNCTION("""COMPUTED_VALUE"""),99)</f>
        <v>99</v>
      </c>
      <c r="R74" s="1">
        <f ca="1">IFERROR(__xludf.DUMMYFUNCTION("""COMPUTED_VALUE"""),100.2)</f>
        <v>100.2</v>
      </c>
      <c r="S74" s="1">
        <f ca="1">IFERROR(__xludf.DUMMYFUNCTION("""COMPUTED_VALUE"""),55)</f>
        <v>55</v>
      </c>
      <c r="T74" s="1">
        <f ca="1">IFERROR(__xludf.DUMMYFUNCTION("""COMPUTED_VALUE"""),-6.47)</f>
        <v>-6.47</v>
      </c>
      <c r="U74" s="1">
        <f ca="1">IFERROR(__xludf.DUMMYFUNCTION("""COMPUTED_VALUE"""),308)</f>
        <v>308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IFERROR(__xludf.DUMMYFUNCTION("""COMPUTED_VALUE"""),"Houston")</f>
        <v>Houston</v>
      </c>
      <c r="C75" s="1" t="str">
        <f ca="1">IFERROR(__xludf.DUMMYFUNCTION("""COMPUTED_VALUE"""),"CUSA")</f>
        <v>CUSA</v>
      </c>
      <c r="D75" s="1" t="str">
        <f ca="1">IFERROR(__xludf.DUMMYFUNCTION("""COMPUTED_VALUE"""),"24-10")</f>
        <v>24-10</v>
      </c>
      <c r="E75" s="1" t="str">
        <f ca="1">IFERROR(__xludf.DUMMYFUNCTION("""COMPUTED_VALUE"""),"+11.28")</f>
        <v>+11.28</v>
      </c>
      <c r="F75" s="1">
        <f ca="1">IFERROR(__xludf.DUMMYFUNCTION("""COMPUTED_VALUE"""),114.2)</f>
        <v>114.2</v>
      </c>
      <c r="G75" s="1">
        <f ca="1">IFERROR(__xludf.DUMMYFUNCTION("""COMPUTED_VALUE"""),33)</f>
        <v>33</v>
      </c>
      <c r="H75" s="1">
        <f ca="1">IFERROR(__xludf.DUMMYFUNCTION("""COMPUTED_VALUE"""),102.9)</f>
        <v>102.9</v>
      </c>
      <c r="I75" s="1">
        <f ca="1">IFERROR(__xludf.DUMMYFUNCTION("""COMPUTED_VALUE"""),155)</f>
        <v>155</v>
      </c>
      <c r="J75" s="1">
        <f ca="1">IFERROR(__xludf.DUMMYFUNCTION("""COMPUTED_VALUE"""),69.1)</f>
        <v>69.099999999999994</v>
      </c>
      <c r="K75" s="1">
        <f ca="1">IFERROR(__xludf.DUMMYFUNCTION("""COMPUTED_VALUE"""),42)</f>
        <v>42</v>
      </c>
      <c r="L75" s="1">
        <f ca="1">IFERROR(__xludf.DUMMYFUNCTION("""COMPUTED_VALUE"""),-0.044)</f>
        <v>-4.3999999999999997E-2</v>
      </c>
      <c r="M75" s="1">
        <f ca="1">IFERROR(__xludf.DUMMYFUNCTION("""COMPUTED_VALUE"""),281)</f>
        <v>281</v>
      </c>
      <c r="N75" s="1">
        <f ca="1">IFERROR(__xludf.DUMMYFUNCTION("""COMPUTED_VALUE"""),-0.9)</f>
        <v>-0.9</v>
      </c>
      <c r="O75" s="1">
        <f ca="1">IFERROR(__xludf.DUMMYFUNCTION("""COMPUTED_VALUE"""),174)</f>
        <v>174</v>
      </c>
      <c r="P75" s="1">
        <f ca="1">IFERROR(__xludf.DUMMYFUNCTION("""COMPUTED_VALUE"""),102.2)</f>
        <v>102.2</v>
      </c>
      <c r="Q75" s="1">
        <f ca="1">IFERROR(__xludf.DUMMYFUNCTION("""COMPUTED_VALUE"""),211)</f>
        <v>211</v>
      </c>
      <c r="R75" s="1">
        <f ca="1">IFERROR(__xludf.DUMMYFUNCTION("""COMPUTED_VALUE"""),103.1)</f>
        <v>103.1</v>
      </c>
      <c r="S75" s="1">
        <f ca="1">IFERROR(__xludf.DUMMYFUNCTION("""COMPUTED_VALUE"""),148)</f>
        <v>148</v>
      </c>
      <c r="T75" s="1">
        <f ca="1">IFERROR(__xludf.DUMMYFUNCTION("""COMPUTED_VALUE"""),-8.84)</f>
        <v>-8.84</v>
      </c>
      <c r="U75" s="1">
        <f ca="1">IFERROR(__xludf.DUMMYFUNCTION("""COMPUTED_VALUE"""),325)</f>
        <v>325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IFERROR(__xludf.DUMMYFUNCTION("""COMPUTED_VALUE"""),"Rhode Island6")</f>
        <v>Rhode Island6</v>
      </c>
      <c r="C76" s="1" t="str">
        <f ca="1">IFERROR(__xludf.DUMMYFUNCTION("""COMPUTED_VALUE"""),"A10")</f>
        <v>A10</v>
      </c>
      <c r="D76" s="1" t="str">
        <f ca="1">IFERROR(__xludf.DUMMYFUNCTION("""COMPUTED_VALUE"""),"21-12")</f>
        <v>21-12</v>
      </c>
      <c r="E76" s="1" t="str">
        <f ca="1">IFERROR(__xludf.DUMMYFUNCTION("""COMPUTED_VALUE"""),"+11.20")</f>
        <v>+11.20</v>
      </c>
      <c r="F76" s="1">
        <f ca="1">IFERROR(__xludf.DUMMYFUNCTION("""COMPUTED_VALUE"""),115.1)</f>
        <v>115.1</v>
      </c>
      <c r="G76" s="1">
        <f ca="1">IFERROR(__xludf.DUMMYFUNCTION("""COMPUTED_VALUE"""),24)</f>
        <v>24</v>
      </c>
      <c r="H76" s="1">
        <f ca="1">IFERROR(__xludf.DUMMYFUNCTION("""COMPUTED_VALUE"""),103.9)</f>
        <v>103.9</v>
      </c>
      <c r="I76" s="1">
        <f ca="1">IFERROR(__xludf.DUMMYFUNCTION("""COMPUTED_VALUE"""),177)</f>
        <v>177</v>
      </c>
      <c r="J76" s="1">
        <f ca="1">IFERROR(__xludf.DUMMYFUNCTION("""COMPUTED_VALUE"""),69.6)</f>
        <v>69.599999999999994</v>
      </c>
      <c r="K76" s="1">
        <f ca="1">IFERROR(__xludf.DUMMYFUNCTION("""COMPUTED_VALUE"""),34)</f>
        <v>34</v>
      </c>
      <c r="L76" s="1">
        <f ca="1">IFERROR(__xludf.DUMMYFUNCTION("""COMPUTED_VALUE"""),-0.059)</f>
        <v>-5.8999999999999997E-2</v>
      </c>
      <c r="M76" s="1">
        <f ca="1">IFERROR(__xludf.DUMMYFUNCTION("""COMPUTED_VALUE"""),303)</f>
        <v>303</v>
      </c>
      <c r="N76" s="1" t="str">
        <f ca="1">IFERROR(__xludf.DUMMYFUNCTION("""COMPUTED_VALUE"""),"+3.50")</f>
        <v>+3.50</v>
      </c>
      <c r="O76" s="1">
        <f ca="1">IFERROR(__xludf.DUMMYFUNCTION("""COMPUTED_VALUE"""),99)</f>
        <v>99</v>
      </c>
      <c r="P76" s="1">
        <f ca="1">IFERROR(__xludf.DUMMYFUNCTION("""COMPUTED_VALUE"""),105.7)</f>
        <v>105.7</v>
      </c>
      <c r="Q76" s="1">
        <f ca="1">IFERROR(__xludf.DUMMYFUNCTION("""COMPUTED_VALUE"""),94)</f>
        <v>94</v>
      </c>
      <c r="R76" s="1">
        <f ca="1">IFERROR(__xludf.DUMMYFUNCTION("""COMPUTED_VALUE"""),102.2)</f>
        <v>102.2</v>
      </c>
      <c r="S76" s="1">
        <f ca="1">IFERROR(__xludf.DUMMYFUNCTION("""COMPUTED_VALUE"""),116)</f>
        <v>116</v>
      </c>
      <c r="T76" s="1">
        <f ca="1">IFERROR(__xludf.DUMMYFUNCTION("""COMPUTED_VALUE"""),-1.83)</f>
        <v>-1.83</v>
      </c>
      <c r="U76" s="1">
        <f ca="1">IFERROR(__xludf.DUMMYFUNCTION("""COMPUTED_VALUE"""),201)</f>
        <v>201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IFERROR(__xludf.DUMMYFUNCTION("""COMPUTED_VALUE"""),"Wake Forest")</f>
        <v>Wake Forest</v>
      </c>
      <c r="C77" s="1" t="str">
        <f ca="1">IFERROR(__xludf.DUMMYFUNCTION("""COMPUTED_VALUE"""),"ACC")</f>
        <v>ACC</v>
      </c>
      <c r="D77" s="1" t="str">
        <f ca="1">IFERROR(__xludf.DUMMYFUNCTION("""COMPUTED_VALUE"""),"17-13")</f>
        <v>17-13</v>
      </c>
      <c r="E77" s="1" t="str">
        <f ca="1">IFERROR(__xludf.DUMMYFUNCTION("""COMPUTED_VALUE"""),"+10.82")</f>
        <v>+10.82</v>
      </c>
      <c r="F77" s="1">
        <f ca="1">IFERROR(__xludf.DUMMYFUNCTION("""COMPUTED_VALUE"""),107.7)</f>
        <v>107.7</v>
      </c>
      <c r="G77" s="1">
        <f ca="1">IFERROR(__xludf.DUMMYFUNCTION("""COMPUTED_VALUE"""),106)</f>
        <v>106</v>
      </c>
      <c r="H77" s="1">
        <f ca="1">IFERROR(__xludf.DUMMYFUNCTION("""COMPUTED_VALUE"""),96.9)</f>
        <v>96.9</v>
      </c>
      <c r="I77" s="1">
        <f ca="1">IFERROR(__xludf.DUMMYFUNCTION("""COMPUTED_VALUE"""),58)</f>
        <v>58</v>
      </c>
      <c r="J77" s="1">
        <f ca="1">IFERROR(__xludf.DUMMYFUNCTION("""COMPUTED_VALUE"""),68.8)</f>
        <v>68.8</v>
      </c>
      <c r="K77" s="1">
        <f ca="1">IFERROR(__xludf.DUMMYFUNCTION("""COMPUTED_VALUE"""),46)</f>
        <v>46</v>
      </c>
      <c r="L77" s="1">
        <f ca="1">IFERROR(__xludf.DUMMYFUNCTION("""COMPUTED_VALUE"""),-0.016)</f>
        <v>-1.6E-2</v>
      </c>
      <c r="M77" s="1">
        <f ca="1">IFERROR(__xludf.DUMMYFUNCTION("""COMPUTED_VALUE"""),208)</f>
        <v>208</v>
      </c>
      <c r="N77" s="1" t="str">
        <f ca="1">IFERROR(__xludf.DUMMYFUNCTION("""COMPUTED_VALUE"""),"+6.85")</f>
        <v>+6.85</v>
      </c>
      <c r="O77" s="1">
        <f ca="1">IFERROR(__xludf.DUMMYFUNCTION("""COMPUTED_VALUE"""),55)</f>
        <v>55</v>
      </c>
      <c r="P77" s="1">
        <f ca="1">IFERROR(__xludf.DUMMYFUNCTION("""COMPUTED_VALUE"""),106.2)</f>
        <v>106.2</v>
      </c>
      <c r="Q77" s="1">
        <f ca="1">IFERROR(__xludf.DUMMYFUNCTION("""COMPUTED_VALUE"""),84)</f>
        <v>84</v>
      </c>
      <c r="R77" s="1">
        <f ca="1">IFERROR(__xludf.DUMMYFUNCTION("""COMPUTED_VALUE"""),99.3)</f>
        <v>99.3</v>
      </c>
      <c r="S77" s="1">
        <f ca="1">IFERROR(__xludf.DUMMYFUNCTION("""COMPUTED_VALUE"""),28)</f>
        <v>28</v>
      </c>
      <c r="T77" s="1">
        <f ca="1">IFERROR(__xludf.DUMMYFUNCTION("""COMPUTED_VALUE"""),-4.68)</f>
        <v>-4.68</v>
      </c>
      <c r="U77" s="1">
        <f ca="1">IFERROR(__xludf.DUMMYFUNCTION("""COMPUTED_VALUE"""),280)</f>
        <v>280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IFERROR(__xludf.DUMMYFUNCTION("""COMPUTED_VALUE"""),"Creighton3")</f>
        <v>Creighton3</v>
      </c>
      <c r="C78" s="1" t="str">
        <f ca="1">IFERROR(__xludf.DUMMYFUNCTION("""COMPUTED_VALUE"""),"MVC")</f>
        <v>MVC</v>
      </c>
      <c r="D78" s="1" t="str">
        <f ca="1">IFERROR(__xludf.DUMMYFUNCTION("""COMPUTED_VALUE"""),"22-11")</f>
        <v>22-11</v>
      </c>
      <c r="E78" s="1" t="str">
        <f ca="1">IFERROR(__xludf.DUMMYFUNCTION("""COMPUTED_VALUE"""),"+10.80")</f>
        <v>+10.80</v>
      </c>
      <c r="F78" s="1">
        <f ca="1">IFERROR(__xludf.DUMMYFUNCTION("""COMPUTED_VALUE"""),108.7)</f>
        <v>108.7</v>
      </c>
      <c r="G78" s="1">
        <f ca="1">IFERROR(__xludf.DUMMYFUNCTION("""COMPUTED_VALUE"""),85)</f>
        <v>85</v>
      </c>
      <c r="H78" s="1">
        <f ca="1">IFERROR(__xludf.DUMMYFUNCTION("""COMPUTED_VALUE"""),97.9)</f>
        <v>97.9</v>
      </c>
      <c r="I78" s="1">
        <f ca="1">IFERROR(__xludf.DUMMYFUNCTION("""COMPUTED_VALUE"""),68)</f>
        <v>68</v>
      </c>
      <c r="J78" s="1">
        <f ca="1">IFERROR(__xludf.DUMMYFUNCTION("""COMPUTED_VALUE"""),65.5)</f>
        <v>65.5</v>
      </c>
      <c r="K78" s="1">
        <f ca="1">IFERROR(__xludf.DUMMYFUNCTION("""COMPUTED_VALUE"""),156)</f>
        <v>156</v>
      </c>
      <c r="L78" s="1" t="str">
        <f ca="1">IFERROR(__xludf.DUMMYFUNCTION("""COMPUTED_VALUE"""),"+.049")</f>
        <v>+.049</v>
      </c>
      <c r="M78" s="1">
        <f ca="1">IFERROR(__xludf.DUMMYFUNCTION("""COMPUTED_VALUE"""),58)</f>
        <v>58</v>
      </c>
      <c r="N78" s="1" t="str">
        <f ca="1">IFERROR(__xludf.DUMMYFUNCTION("""COMPUTED_VALUE"""),"+5.22")</f>
        <v>+5.22</v>
      </c>
      <c r="O78" s="1">
        <f ca="1">IFERROR(__xludf.DUMMYFUNCTION("""COMPUTED_VALUE"""),85)</f>
        <v>85</v>
      </c>
      <c r="P78" s="1">
        <f ca="1">IFERROR(__xludf.DUMMYFUNCTION("""COMPUTED_VALUE"""),106.1)</f>
        <v>106.1</v>
      </c>
      <c r="Q78" s="1">
        <f ca="1">IFERROR(__xludf.DUMMYFUNCTION("""COMPUTED_VALUE"""),88)</f>
        <v>88</v>
      </c>
      <c r="R78" s="1">
        <f ca="1">IFERROR(__xludf.DUMMYFUNCTION("""COMPUTED_VALUE"""),100.8)</f>
        <v>100.8</v>
      </c>
      <c r="S78" s="1">
        <f ca="1">IFERROR(__xludf.DUMMYFUNCTION("""COMPUTED_VALUE"""),72)</f>
        <v>72</v>
      </c>
      <c r="T78" s="1">
        <f ca="1">IFERROR(__xludf.DUMMYFUNCTION("""COMPUTED_VALUE"""),-2.82)</f>
        <v>-2.82</v>
      </c>
      <c r="U78" s="1">
        <f ca="1">IFERROR(__xludf.DUMMYFUNCTION("""COMPUTED_VALUE"""),242)</f>
        <v>242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IFERROR(__xludf.DUMMYFUNCTION("""COMPUTED_VALUE"""),"Oklahoma St.5")</f>
        <v>Oklahoma St.5</v>
      </c>
      <c r="C79" s="1" t="str">
        <f ca="1">IFERROR(__xludf.DUMMYFUNCTION("""COMPUTED_VALUE"""),"B12")</f>
        <v>B12</v>
      </c>
      <c r="D79" s="1" t="str">
        <f ca="1">IFERROR(__xludf.DUMMYFUNCTION("""COMPUTED_VALUE"""),"17-16")</f>
        <v>17-16</v>
      </c>
      <c r="E79" s="1" t="str">
        <f ca="1">IFERROR(__xludf.DUMMYFUNCTION("""COMPUTED_VALUE"""),"+10.78")</f>
        <v>+10.78</v>
      </c>
      <c r="F79" s="1">
        <f ca="1">IFERROR(__xludf.DUMMYFUNCTION("""COMPUTED_VALUE"""),109.1)</f>
        <v>109.1</v>
      </c>
      <c r="G79" s="1">
        <f ca="1">IFERROR(__xludf.DUMMYFUNCTION("""COMPUTED_VALUE"""),77)</f>
        <v>77</v>
      </c>
      <c r="H79" s="1">
        <f ca="1">IFERROR(__xludf.DUMMYFUNCTION("""COMPUTED_VALUE"""),98.4)</f>
        <v>98.4</v>
      </c>
      <c r="I79" s="1">
        <f ca="1">IFERROR(__xludf.DUMMYFUNCTION("""COMPUTED_VALUE"""),73)</f>
        <v>73</v>
      </c>
      <c r="J79" s="1">
        <f ca="1">IFERROR(__xludf.DUMMYFUNCTION("""COMPUTED_VALUE"""),64.2)</f>
        <v>64.2</v>
      </c>
      <c r="K79" s="1">
        <f ca="1">IFERROR(__xludf.DUMMYFUNCTION("""COMPUTED_VALUE"""),204)</f>
        <v>204</v>
      </c>
      <c r="L79" s="1">
        <f ca="1">IFERROR(__xludf.DUMMYFUNCTION("""COMPUTED_VALUE"""),-0.03)</f>
        <v>-0.03</v>
      </c>
      <c r="M79" s="1">
        <f ca="1">IFERROR(__xludf.DUMMYFUNCTION("""COMPUTED_VALUE"""),249)</f>
        <v>249</v>
      </c>
      <c r="N79" s="1" t="str">
        <f ca="1">IFERROR(__xludf.DUMMYFUNCTION("""COMPUTED_VALUE"""),"+9.94")</f>
        <v>+9.94</v>
      </c>
      <c r="O79" s="1">
        <f ca="1">IFERROR(__xludf.DUMMYFUNCTION("""COMPUTED_VALUE"""),10)</f>
        <v>10</v>
      </c>
      <c r="P79" s="1">
        <f ca="1">IFERROR(__xludf.DUMMYFUNCTION("""COMPUTED_VALUE"""),108.6)</f>
        <v>108.6</v>
      </c>
      <c r="Q79" s="1">
        <f ca="1">IFERROR(__xludf.DUMMYFUNCTION("""COMPUTED_VALUE"""),21)</f>
        <v>21</v>
      </c>
      <c r="R79" s="1">
        <f ca="1">IFERROR(__xludf.DUMMYFUNCTION("""COMPUTED_VALUE"""),98.6)</f>
        <v>98.6</v>
      </c>
      <c r="S79" s="1">
        <f ca="1">IFERROR(__xludf.DUMMYFUNCTION("""COMPUTED_VALUE"""),12)</f>
        <v>12</v>
      </c>
      <c r="T79" s="1">
        <f ca="1">IFERROR(__xludf.DUMMYFUNCTION("""COMPUTED_VALUE"""),-0.76)</f>
        <v>-0.76</v>
      </c>
      <c r="U79" s="1">
        <f ca="1">IFERROR(__xludf.DUMMYFUNCTION("""COMPUTED_VALUE"""),167)</f>
        <v>167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IFERROR(__xludf.DUMMYFUNCTION("""COMPUTED_VALUE"""),"Akron6")</f>
        <v>Akron6</v>
      </c>
      <c r="C80" s="1" t="str">
        <f ca="1">IFERROR(__xludf.DUMMYFUNCTION("""COMPUTED_VALUE"""),"MAC")</f>
        <v>MAC</v>
      </c>
      <c r="D80" s="1" t="str">
        <f ca="1">IFERROR(__xludf.DUMMYFUNCTION("""COMPUTED_VALUE"""),"24-11")</f>
        <v>24-11</v>
      </c>
      <c r="E80" s="1" t="str">
        <f ca="1">IFERROR(__xludf.DUMMYFUNCTION("""COMPUTED_VALUE"""),"+10.48")</f>
        <v>+10.48</v>
      </c>
      <c r="F80" s="1">
        <f ca="1">IFERROR(__xludf.DUMMYFUNCTION("""COMPUTED_VALUE"""),110.9)</f>
        <v>110.9</v>
      </c>
      <c r="G80" s="1">
        <f ca="1">IFERROR(__xludf.DUMMYFUNCTION("""COMPUTED_VALUE"""),56)</f>
        <v>56</v>
      </c>
      <c r="H80" s="1">
        <f ca="1">IFERROR(__xludf.DUMMYFUNCTION("""COMPUTED_VALUE"""),100.4)</f>
        <v>100.4</v>
      </c>
      <c r="I80" s="1">
        <f ca="1">IFERROR(__xludf.DUMMYFUNCTION("""COMPUTED_VALUE"""),101)</f>
        <v>101</v>
      </c>
      <c r="J80" s="1">
        <f ca="1">IFERROR(__xludf.DUMMYFUNCTION("""COMPUTED_VALUE"""),62.8)</f>
        <v>62.8</v>
      </c>
      <c r="K80" s="1">
        <f ca="1">IFERROR(__xludf.DUMMYFUNCTION("""COMPUTED_VALUE"""),269)</f>
        <v>269</v>
      </c>
      <c r="L80" s="1">
        <f ca="1">IFERROR(__xludf.DUMMYFUNCTION("""COMPUTED_VALUE"""),-0.009)</f>
        <v>-8.9999999999999993E-3</v>
      </c>
      <c r="M80" s="1">
        <f ca="1">IFERROR(__xludf.DUMMYFUNCTION("""COMPUTED_VALUE"""),193)</f>
        <v>193</v>
      </c>
      <c r="N80" s="1" t="str">
        <f ca="1">IFERROR(__xludf.DUMMYFUNCTION("""COMPUTED_VALUE"""),"+0.39")</f>
        <v>+0.39</v>
      </c>
      <c r="O80" s="1">
        <f ca="1">IFERROR(__xludf.DUMMYFUNCTION("""COMPUTED_VALUE"""),148)</f>
        <v>148</v>
      </c>
      <c r="P80" s="1">
        <f ca="1">IFERROR(__xludf.DUMMYFUNCTION("""COMPUTED_VALUE"""),103)</f>
        <v>103</v>
      </c>
      <c r="Q80" s="1">
        <f ca="1">IFERROR(__xludf.DUMMYFUNCTION("""COMPUTED_VALUE"""),188)</f>
        <v>188</v>
      </c>
      <c r="R80" s="1">
        <f ca="1">IFERROR(__xludf.DUMMYFUNCTION("""COMPUTED_VALUE"""),102.6)</f>
        <v>102.6</v>
      </c>
      <c r="S80" s="1">
        <f ca="1">IFERROR(__xludf.DUMMYFUNCTION("""COMPUTED_VALUE"""),131)</f>
        <v>131</v>
      </c>
      <c r="T80" s="1">
        <f ca="1">IFERROR(__xludf.DUMMYFUNCTION("""COMPUTED_VALUE"""),-4.22)</f>
        <v>-4.22</v>
      </c>
      <c r="U80" s="1">
        <f ca="1">IFERROR(__xludf.DUMMYFUNCTION("""COMPUTED_VALUE"""),275)</f>
        <v>275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IFERROR(__xludf.DUMMYFUNCTION("""COMPUTED_VALUE"""),"Oral Roberts13")</f>
        <v>Oral Roberts13</v>
      </c>
      <c r="C81" s="1" t="str">
        <f ca="1">IFERROR(__xludf.DUMMYFUNCTION("""COMPUTED_VALUE"""),"Sum")</f>
        <v>Sum</v>
      </c>
      <c r="D81" s="1" t="str">
        <f ca="1">IFERROR(__xludf.DUMMYFUNCTION("""COMPUTED_VALUE"""),"24-9")</f>
        <v>24-9</v>
      </c>
      <c r="E81" s="1" t="str">
        <f ca="1">IFERROR(__xludf.DUMMYFUNCTION("""COMPUTED_VALUE"""),"+10.27")</f>
        <v>+10.27</v>
      </c>
      <c r="F81" s="1">
        <f ca="1">IFERROR(__xludf.DUMMYFUNCTION("""COMPUTED_VALUE"""),104.7)</f>
        <v>104.7</v>
      </c>
      <c r="G81" s="1">
        <f ca="1">IFERROR(__xludf.DUMMYFUNCTION("""COMPUTED_VALUE"""),153)</f>
        <v>153</v>
      </c>
      <c r="H81" s="1">
        <f ca="1">IFERROR(__xludf.DUMMYFUNCTION("""COMPUTED_VALUE"""),94.5)</f>
        <v>94.5</v>
      </c>
      <c r="I81" s="1">
        <f ca="1">IFERROR(__xludf.DUMMYFUNCTION("""COMPUTED_VALUE"""),31)</f>
        <v>31</v>
      </c>
      <c r="J81" s="1">
        <f ca="1">IFERROR(__xludf.DUMMYFUNCTION("""COMPUTED_VALUE"""),63.6)</f>
        <v>63.6</v>
      </c>
      <c r="K81" s="1">
        <f ca="1">IFERROR(__xludf.DUMMYFUNCTION("""COMPUTED_VALUE"""),236)</f>
        <v>236</v>
      </c>
      <c r="L81" s="1" t="str">
        <f ca="1">IFERROR(__xludf.DUMMYFUNCTION("""COMPUTED_VALUE"""),"+.032")</f>
        <v>+.032</v>
      </c>
      <c r="M81" s="1">
        <f ca="1">IFERROR(__xludf.DUMMYFUNCTION("""COMPUTED_VALUE"""),95)</f>
        <v>95</v>
      </c>
      <c r="N81" s="1">
        <f ca="1">IFERROR(__xludf.DUMMYFUNCTION("""COMPUTED_VALUE"""),-0.01)</f>
        <v>-0.01</v>
      </c>
      <c r="O81" s="1">
        <f ca="1">IFERROR(__xludf.DUMMYFUNCTION("""COMPUTED_VALUE"""),156)</f>
        <v>156</v>
      </c>
      <c r="P81" s="1">
        <f ca="1">IFERROR(__xludf.DUMMYFUNCTION("""COMPUTED_VALUE"""),105.4)</f>
        <v>105.4</v>
      </c>
      <c r="Q81" s="1">
        <f ca="1">IFERROR(__xludf.DUMMYFUNCTION("""COMPUTED_VALUE"""),103)</f>
        <v>103</v>
      </c>
      <c r="R81" s="1">
        <f ca="1">IFERROR(__xludf.DUMMYFUNCTION("""COMPUTED_VALUE"""),105.4)</f>
        <v>105.4</v>
      </c>
      <c r="S81" s="1">
        <f ca="1">IFERROR(__xludf.DUMMYFUNCTION("""COMPUTED_VALUE"""),228)</f>
        <v>228</v>
      </c>
      <c r="T81" s="1" t="str">
        <f ca="1">IFERROR(__xludf.DUMMYFUNCTION("""COMPUTED_VALUE"""),"+8.75")</f>
        <v>+8.75</v>
      </c>
      <c r="U81" s="1">
        <f ca="1">IFERROR(__xludf.DUMMYFUNCTION("""COMPUTED_VALUE"""),11)</f>
        <v>11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IFERROR(__xludf.DUMMYFUNCTION("""COMPUTED_VALUE"""),"Kentucky11")</f>
        <v>Kentucky11</v>
      </c>
      <c r="C82" s="1" t="str">
        <f ca="1">IFERROR(__xludf.DUMMYFUNCTION("""COMPUTED_VALUE"""),"SEC")</f>
        <v>SEC</v>
      </c>
      <c r="D82" s="1" t="str">
        <f ca="1">IFERROR(__xludf.DUMMYFUNCTION("""COMPUTED_VALUE"""),"18-13")</f>
        <v>18-13</v>
      </c>
      <c r="E82" s="1" t="str">
        <f ca="1">IFERROR(__xludf.DUMMYFUNCTION("""COMPUTED_VALUE"""),"+10.01")</f>
        <v>+10.01</v>
      </c>
      <c r="F82" s="1">
        <f ca="1">IFERROR(__xludf.DUMMYFUNCTION("""COMPUTED_VALUE"""),107.8)</f>
        <v>107.8</v>
      </c>
      <c r="G82" s="1">
        <f ca="1">IFERROR(__xludf.DUMMYFUNCTION("""COMPUTED_VALUE"""),104)</f>
        <v>104</v>
      </c>
      <c r="H82" s="1">
        <f ca="1">IFERROR(__xludf.DUMMYFUNCTION("""COMPUTED_VALUE"""),97.8)</f>
        <v>97.8</v>
      </c>
      <c r="I82" s="1">
        <f ca="1">IFERROR(__xludf.DUMMYFUNCTION("""COMPUTED_VALUE"""),67)</f>
        <v>67</v>
      </c>
      <c r="J82" s="1">
        <f ca="1">IFERROR(__xludf.DUMMYFUNCTION("""COMPUTED_VALUE"""),62.4)</f>
        <v>62.4</v>
      </c>
      <c r="K82" s="1">
        <f ca="1">IFERROR(__xludf.DUMMYFUNCTION("""COMPUTED_VALUE"""),282)</f>
        <v>282</v>
      </c>
      <c r="L82" s="1" t="str">
        <f ca="1">IFERROR(__xludf.DUMMYFUNCTION("""COMPUTED_VALUE"""),"+.010")</f>
        <v>+.010</v>
      </c>
      <c r="M82" s="1">
        <f ca="1">IFERROR(__xludf.DUMMYFUNCTION("""COMPUTED_VALUE"""),147)</f>
        <v>147</v>
      </c>
      <c r="N82" s="1" t="str">
        <f ca="1">IFERROR(__xludf.DUMMYFUNCTION("""COMPUTED_VALUE"""),"+6.74")</f>
        <v>+6.74</v>
      </c>
      <c r="O82" s="1">
        <f ca="1">IFERROR(__xludf.DUMMYFUNCTION("""COMPUTED_VALUE"""),57)</f>
        <v>57</v>
      </c>
      <c r="P82" s="1">
        <f ca="1">IFERROR(__xludf.DUMMYFUNCTION("""COMPUTED_VALUE"""),107.4)</f>
        <v>107.4</v>
      </c>
      <c r="Q82" s="1">
        <f ca="1">IFERROR(__xludf.DUMMYFUNCTION("""COMPUTED_VALUE"""),50)</f>
        <v>50</v>
      </c>
      <c r="R82" s="1">
        <f ca="1">IFERROR(__xludf.DUMMYFUNCTION("""COMPUTED_VALUE"""),100.7)</f>
        <v>100.7</v>
      </c>
      <c r="S82" s="1">
        <f ca="1">IFERROR(__xludf.DUMMYFUNCTION("""COMPUTED_VALUE"""),67)</f>
        <v>67</v>
      </c>
      <c r="T82" s="1">
        <f ca="1">IFERROR(__xludf.DUMMYFUNCTION("""COMPUTED_VALUE"""),-3.13)</f>
        <v>-3.13</v>
      </c>
      <c r="U82" s="1">
        <f ca="1">IFERROR(__xludf.DUMMYFUNCTION("""COMPUTED_VALUE"""),249)</f>
        <v>249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IFERROR(__xludf.DUMMYFUNCTION("""COMPUTED_VALUE"""),"Duquesne")</f>
        <v>Duquesne</v>
      </c>
      <c r="C83" s="1" t="str">
        <f ca="1">IFERROR(__xludf.DUMMYFUNCTION("""COMPUTED_VALUE"""),"A10")</f>
        <v>A10</v>
      </c>
      <c r="D83" s="1" t="str">
        <f ca="1">IFERROR(__xludf.DUMMYFUNCTION("""COMPUTED_VALUE"""),"17-13")</f>
        <v>17-13</v>
      </c>
      <c r="E83" s="1" t="str">
        <f ca="1">IFERROR(__xludf.DUMMYFUNCTION("""COMPUTED_VALUE"""),"+9.97")</f>
        <v>+9.97</v>
      </c>
      <c r="F83" s="1">
        <f ca="1">IFERROR(__xludf.DUMMYFUNCTION("""COMPUTED_VALUE"""),108.9)</f>
        <v>108.9</v>
      </c>
      <c r="G83" s="1">
        <f ca="1">IFERROR(__xludf.DUMMYFUNCTION("""COMPUTED_VALUE"""),80)</f>
        <v>80</v>
      </c>
      <c r="H83" s="1">
        <f ca="1">IFERROR(__xludf.DUMMYFUNCTION("""COMPUTED_VALUE"""),99)</f>
        <v>99</v>
      </c>
      <c r="I83" s="1">
        <f ca="1">IFERROR(__xludf.DUMMYFUNCTION("""COMPUTED_VALUE"""),83)</f>
        <v>83</v>
      </c>
      <c r="J83" s="1">
        <f ca="1">IFERROR(__xludf.DUMMYFUNCTION("""COMPUTED_VALUE"""),73.4)</f>
        <v>73.400000000000006</v>
      </c>
      <c r="K83" s="1">
        <f ca="1">IFERROR(__xludf.DUMMYFUNCTION("""COMPUTED_VALUE"""),5)</f>
        <v>5</v>
      </c>
      <c r="L83" s="1">
        <f ca="1">IFERROR(__xludf.DUMMYFUNCTION("""COMPUTED_VALUE"""),-0.086)</f>
        <v>-8.5999999999999993E-2</v>
      </c>
      <c r="M83" s="1">
        <f ca="1">IFERROR(__xludf.DUMMYFUNCTION("""COMPUTED_VALUE"""),332)</f>
        <v>332</v>
      </c>
      <c r="N83" s="1" t="str">
        <f ca="1">IFERROR(__xludf.DUMMYFUNCTION("""COMPUTED_VALUE"""),"+1.74")</f>
        <v>+1.74</v>
      </c>
      <c r="O83" s="1">
        <f ca="1">IFERROR(__xludf.DUMMYFUNCTION("""COMPUTED_VALUE"""),124)</f>
        <v>124</v>
      </c>
      <c r="P83" s="1">
        <f ca="1">IFERROR(__xludf.DUMMYFUNCTION("""COMPUTED_VALUE"""),105)</f>
        <v>105</v>
      </c>
      <c r="Q83" s="1">
        <f ca="1">IFERROR(__xludf.DUMMYFUNCTION("""COMPUTED_VALUE"""),110)</f>
        <v>110</v>
      </c>
      <c r="R83" s="1">
        <f ca="1">IFERROR(__xludf.DUMMYFUNCTION("""COMPUTED_VALUE"""),103.2)</f>
        <v>103.2</v>
      </c>
      <c r="S83" s="1">
        <f ca="1">IFERROR(__xludf.DUMMYFUNCTION("""COMPUTED_VALUE"""),152)</f>
        <v>152</v>
      </c>
      <c r="T83" s="1">
        <f ca="1">IFERROR(__xludf.DUMMYFUNCTION("""COMPUTED_VALUE"""),-3)</f>
        <v>-3</v>
      </c>
      <c r="U83" s="1">
        <f ca="1">IFERROR(__xludf.DUMMYFUNCTION("""COMPUTED_VALUE"""),243)</f>
        <v>243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IFERROR(__xludf.DUMMYFUNCTION("""COMPUTED_VALUE"""),"George Mason12")</f>
        <v>George Mason12</v>
      </c>
      <c r="C84" s="1" t="str">
        <f ca="1">IFERROR(__xludf.DUMMYFUNCTION("""COMPUTED_VALUE"""),"CAA")</f>
        <v>CAA</v>
      </c>
      <c r="D84" s="1" t="str">
        <f ca="1">IFERROR(__xludf.DUMMYFUNCTION("""COMPUTED_VALUE"""),"23-11")</f>
        <v>23-11</v>
      </c>
      <c r="E84" s="1" t="str">
        <f ca="1">IFERROR(__xludf.DUMMYFUNCTION("""COMPUTED_VALUE"""),"+9.68")</f>
        <v>+9.68</v>
      </c>
      <c r="F84" s="1">
        <f ca="1">IFERROR(__xludf.DUMMYFUNCTION("""COMPUTED_VALUE"""),110.7)</f>
        <v>110.7</v>
      </c>
      <c r="G84" s="1">
        <f ca="1">IFERROR(__xludf.DUMMYFUNCTION("""COMPUTED_VALUE"""),58)</f>
        <v>58</v>
      </c>
      <c r="H84" s="1">
        <f ca="1">IFERROR(__xludf.DUMMYFUNCTION("""COMPUTED_VALUE"""),101)</f>
        <v>101</v>
      </c>
      <c r="I84" s="1">
        <f ca="1">IFERROR(__xludf.DUMMYFUNCTION("""COMPUTED_VALUE"""),117)</f>
        <v>117</v>
      </c>
      <c r="J84" s="1">
        <f ca="1">IFERROR(__xludf.DUMMYFUNCTION("""COMPUTED_VALUE"""),61.6)</f>
        <v>61.6</v>
      </c>
      <c r="K84" s="1">
        <f ca="1">IFERROR(__xludf.DUMMYFUNCTION("""COMPUTED_VALUE"""),300)</f>
        <v>300</v>
      </c>
      <c r="L84" s="1">
        <f ca="1">IFERROR(__xludf.DUMMYFUNCTION("""COMPUTED_VALUE"""),-0.01)</f>
        <v>-0.01</v>
      </c>
      <c r="M84" s="1">
        <f ca="1">IFERROR(__xludf.DUMMYFUNCTION("""COMPUTED_VALUE"""),196)</f>
        <v>196</v>
      </c>
      <c r="N84" s="1">
        <f ca="1">IFERROR(__xludf.DUMMYFUNCTION("""COMPUTED_VALUE"""),-0.57)</f>
        <v>-0.56999999999999995</v>
      </c>
      <c r="O84" s="1">
        <f ca="1">IFERROR(__xludf.DUMMYFUNCTION("""COMPUTED_VALUE"""),166)</f>
        <v>166</v>
      </c>
      <c r="P84" s="1">
        <f ca="1">IFERROR(__xludf.DUMMYFUNCTION("""COMPUTED_VALUE"""),102.6)</f>
        <v>102.6</v>
      </c>
      <c r="Q84" s="1">
        <f ca="1">IFERROR(__xludf.DUMMYFUNCTION("""COMPUTED_VALUE"""),203)</f>
        <v>203</v>
      </c>
      <c r="R84" s="1">
        <f ca="1">IFERROR(__xludf.DUMMYFUNCTION("""COMPUTED_VALUE"""),103.2)</f>
        <v>103.2</v>
      </c>
      <c r="S84" s="1">
        <f ca="1">IFERROR(__xludf.DUMMYFUNCTION("""COMPUTED_VALUE"""),150)</f>
        <v>150</v>
      </c>
      <c r="T84" s="1" t="str">
        <f ca="1">IFERROR(__xludf.DUMMYFUNCTION("""COMPUTED_VALUE"""),"+2.28")</f>
        <v>+2.28</v>
      </c>
      <c r="U84" s="1">
        <f ca="1">IFERROR(__xludf.DUMMYFUNCTION("""COMPUTED_VALUE"""),89)</f>
        <v>89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IFERROR(__xludf.DUMMYFUNCTION("""COMPUTED_VALUE"""),"Miami OH")</f>
        <v>Miami OH</v>
      </c>
      <c r="C87" s="1" t="str">
        <f ca="1">IFERROR(__xludf.DUMMYFUNCTION("""COMPUTED_VALUE"""),"MAC")</f>
        <v>MAC</v>
      </c>
      <c r="D87" s="1" t="str">
        <f ca="1">IFERROR(__xludf.DUMMYFUNCTION("""COMPUTED_VALUE"""),"17-16")</f>
        <v>17-16</v>
      </c>
      <c r="E87" s="1" t="str">
        <f ca="1">IFERROR(__xludf.DUMMYFUNCTION("""COMPUTED_VALUE"""),"+9.63")</f>
        <v>+9.63</v>
      </c>
      <c r="F87" s="1">
        <f ca="1">IFERROR(__xludf.DUMMYFUNCTION("""COMPUTED_VALUE"""),108.4)</f>
        <v>108.4</v>
      </c>
      <c r="G87" s="1">
        <f ca="1">IFERROR(__xludf.DUMMYFUNCTION("""COMPUTED_VALUE"""),90)</f>
        <v>90</v>
      </c>
      <c r="H87" s="1">
        <f ca="1">IFERROR(__xludf.DUMMYFUNCTION("""COMPUTED_VALUE"""),98.7)</f>
        <v>98.7</v>
      </c>
      <c r="I87" s="1">
        <f ca="1">IFERROR(__xludf.DUMMYFUNCTION("""COMPUTED_VALUE"""),79)</f>
        <v>79</v>
      </c>
      <c r="J87" s="1">
        <f ca="1">IFERROR(__xludf.DUMMYFUNCTION("""COMPUTED_VALUE"""),58)</f>
        <v>58</v>
      </c>
      <c r="K87" s="1">
        <f ca="1">IFERROR(__xludf.DUMMYFUNCTION("""COMPUTED_VALUE"""),335)</f>
        <v>335</v>
      </c>
      <c r="L87" s="1">
        <f ca="1">IFERROR(__xludf.DUMMYFUNCTION("""COMPUTED_VALUE"""),-0.038)</f>
        <v>-3.7999999999999999E-2</v>
      </c>
      <c r="M87" s="1">
        <f ca="1">IFERROR(__xludf.DUMMYFUNCTION("""COMPUTED_VALUE"""),266)</f>
        <v>266</v>
      </c>
      <c r="N87" s="1" t="str">
        <f ca="1">IFERROR(__xludf.DUMMYFUNCTION("""COMPUTED_VALUE"""),"+6.42")</f>
        <v>+6.42</v>
      </c>
      <c r="O87" s="1">
        <f ca="1">IFERROR(__xludf.DUMMYFUNCTION("""COMPUTED_VALUE"""),60)</f>
        <v>60</v>
      </c>
      <c r="P87" s="1">
        <f ca="1">IFERROR(__xludf.DUMMYFUNCTION("""COMPUTED_VALUE"""),106.4)</f>
        <v>106.4</v>
      </c>
      <c r="Q87" s="1">
        <f ca="1">IFERROR(__xludf.DUMMYFUNCTION("""COMPUTED_VALUE"""),79)</f>
        <v>79</v>
      </c>
      <c r="R87" s="1">
        <f ca="1">IFERROR(__xludf.DUMMYFUNCTION("""COMPUTED_VALUE"""),100)</f>
        <v>100</v>
      </c>
      <c r="S87" s="1">
        <f ca="1">IFERROR(__xludf.DUMMYFUNCTION("""COMPUTED_VALUE"""),50)</f>
        <v>50</v>
      </c>
      <c r="T87" s="1" t="str">
        <f ca="1">IFERROR(__xludf.DUMMYFUNCTION("""COMPUTED_VALUE"""),"+13.46")</f>
        <v>+13.46</v>
      </c>
      <c r="U87" s="1">
        <f ca="1">IFERROR(__xludf.DUMMYFUNCTION("""COMPUTED_VALUE"""),2)</f>
        <v>2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IFERROR(__xludf.DUMMYFUNCTION("""COMPUTED_VALUE"""),"Tulsa")</f>
        <v>Tulsa</v>
      </c>
      <c r="C88" s="1" t="str">
        <f ca="1">IFERROR(__xludf.DUMMYFUNCTION("""COMPUTED_VALUE"""),"CUSA")</f>
        <v>CUSA</v>
      </c>
      <c r="D88" s="1" t="str">
        <f ca="1">IFERROR(__xludf.DUMMYFUNCTION("""COMPUTED_VALUE"""),"25-14")</f>
        <v>25-14</v>
      </c>
      <c r="E88" s="1" t="str">
        <f ca="1">IFERROR(__xludf.DUMMYFUNCTION("""COMPUTED_VALUE"""),"+9.63")</f>
        <v>+9.63</v>
      </c>
      <c r="F88" s="1">
        <f ca="1">IFERROR(__xludf.DUMMYFUNCTION("""COMPUTED_VALUE"""),106.2)</f>
        <v>106.2</v>
      </c>
      <c r="G88" s="1">
        <f ca="1">IFERROR(__xludf.DUMMYFUNCTION("""COMPUTED_VALUE"""),131)</f>
        <v>131</v>
      </c>
      <c r="H88" s="1">
        <f ca="1">IFERROR(__xludf.DUMMYFUNCTION("""COMPUTED_VALUE"""),96.6)</f>
        <v>96.6</v>
      </c>
      <c r="I88" s="1">
        <f ca="1">IFERROR(__xludf.DUMMYFUNCTION("""COMPUTED_VALUE"""),52)</f>
        <v>52</v>
      </c>
      <c r="J88" s="1">
        <f ca="1">IFERROR(__xludf.DUMMYFUNCTION("""COMPUTED_VALUE"""),64.6)</f>
        <v>64.599999999999994</v>
      </c>
      <c r="K88" s="1">
        <f ca="1">IFERROR(__xludf.DUMMYFUNCTION("""COMPUTED_VALUE"""),191)</f>
        <v>191</v>
      </c>
      <c r="L88" s="1" t="str">
        <f ca="1">IFERROR(__xludf.DUMMYFUNCTION("""COMPUTED_VALUE"""),"+.019")</f>
        <v>+.019</v>
      </c>
      <c r="M88" s="1">
        <f ca="1">IFERROR(__xludf.DUMMYFUNCTION("""COMPUTED_VALUE"""),124)</f>
        <v>124</v>
      </c>
      <c r="N88" s="1" t="str">
        <f ca="1">IFERROR(__xludf.DUMMYFUNCTION("""COMPUTED_VALUE"""),"+1.24")</f>
        <v>+1.24</v>
      </c>
      <c r="O88" s="1">
        <f ca="1">IFERROR(__xludf.DUMMYFUNCTION("""COMPUTED_VALUE"""),134)</f>
        <v>134</v>
      </c>
      <c r="P88" s="1">
        <f ca="1">IFERROR(__xludf.DUMMYFUNCTION("""COMPUTED_VALUE"""),104.2)</f>
        <v>104.2</v>
      </c>
      <c r="Q88" s="1">
        <f ca="1">IFERROR(__xludf.DUMMYFUNCTION("""COMPUTED_VALUE"""),137)</f>
        <v>137</v>
      </c>
      <c r="R88" s="1">
        <f ca="1">IFERROR(__xludf.DUMMYFUNCTION("""COMPUTED_VALUE"""),103)</f>
        <v>103</v>
      </c>
      <c r="S88" s="1">
        <f ca="1">IFERROR(__xludf.DUMMYFUNCTION("""COMPUTED_VALUE"""),145)</f>
        <v>145</v>
      </c>
      <c r="T88" s="1">
        <f ca="1">IFERROR(__xludf.DUMMYFUNCTION("""COMPUTED_VALUE"""),-8.17)</f>
        <v>-8.17</v>
      </c>
      <c r="U88" s="1">
        <f ca="1">IFERROR(__xludf.DUMMYFUNCTION("""COMPUTED_VALUE"""),321)</f>
        <v>321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IFERROR(__xludf.DUMMYFUNCTION("""COMPUTED_VALUE"""),"Texas Tech")</f>
        <v>Texas Tech</v>
      </c>
      <c r="C89" s="1" t="str">
        <f ca="1">IFERROR(__xludf.DUMMYFUNCTION("""COMPUTED_VALUE"""),"B12")</f>
        <v>B12</v>
      </c>
      <c r="D89" s="1" t="str">
        <f ca="1">IFERROR(__xludf.DUMMYFUNCTION("""COMPUTED_VALUE"""),"16-15")</f>
        <v>16-15</v>
      </c>
      <c r="E89" s="1" t="str">
        <f ca="1">IFERROR(__xludf.DUMMYFUNCTION("""COMPUTED_VALUE"""),"+9.60")</f>
        <v>+9.60</v>
      </c>
      <c r="F89" s="1">
        <f ca="1">IFERROR(__xludf.DUMMYFUNCTION("""COMPUTED_VALUE"""),107.7)</f>
        <v>107.7</v>
      </c>
      <c r="G89" s="1">
        <f ca="1">IFERROR(__xludf.DUMMYFUNCTION("""COMPUTED_VALUE"""),108)</f>
        <v>108</v>
      </c>
      <c r="H89" s="1">
        <f ca="1">IFERROR(__xludf.DUMMYFUNCTION("""COMPUTED_VALUE"""),98.1)</f>
        <v>98.1</v>
      </c>
      <c r="I89" s="1">
        <f ca="1">IFERROR(__xludf.DUMMYFUNCTION("""COMPUTED_VALUE"""),69)</f>
        <v>69</v>
      </c>
      <c r="J89" s="1">
        <f ca="1">IFERROR(__xludf.DUMMYFUNCTION("""COMPUTED_VALUE"""),67.6)</f>
        <v>67.599999999999994</v>
      </c>
      <c r="K89" s="1">
        <f ca="1">IFERROR(__xludf.DUMMYFUNCTION("""COMPUTED_VALUE"""),89)</f>
        <v>89</v>
      </c>
      <c r="L89" s="1" t="str">
        <f ca="1">IFERROR(__xludf.DUMMYFUNCTION("""COMPUTED_VALUE"""),"+.014")</f>
        <v>+.014</v>
      </c>
      <c r="M89" s="1">
        <f ca="1">IFERROR(__xludf.DUMMYFUNCTION("""COMPUTED_VALUE"""),134)</f>
        <v>134</v>
      </c>
      <c r="N89" s="1" t="str">
        <f ca="1">IFERROR(__xludf.DUMMYFUNCTION("""COMPUTED_VALUE"""),"+9.40")</f>
        <v>+9.40</v>
      </c>
      <c r="O89" s="1">
        <f ca="1">IFERROR(__xludf.DUMMYFUNCTION("""COMPUTED_VALUE"""),19)</f>
        <v>19</v>
      </c>
      <c r="P89" s="1">
        <f ca="1">IFERROR(__xludf.DUMMYFUNCTION("""COMPUTED_VALUE"""),108.5)</f>
        <v>108.5</v>
      </c>
      <c r="Q89" s="1">
        <f ca="1">IFERROR(__xludf.DUMMYFUNCTION("""COMPUTED_VALUE"""),23)</f>
        <v>23</v>
      </c>
      <c r="R89" s="1">
        <f ca="1">IFERROR(__xludf.DUMMYFUNCTION("""COMPUTED_VALUE"""),99.1)</f>
        <v>99.1</v>
      </c>
      <c r="S89" s="1">
        <f ca="1">IFERROR(__xludf.DUMMYFUNCTION("""COMPUTED_VALUE"""),19)</f>
        <v>19</v>
      </c>
      <c r="T89" s="1" t="str">
        <f ca="1">IFERROR(__xludf.DUMMYFUNCTION("""COMPUTED_VALUE"""),"+0.33")</f>
        <v>+0.33</v>
      </c>
      <c r="U89" s="1">
        <f ca="1">IFERROR(__xludf.DUMMYFUNCTION("""COMPUTED_VALUE"""),136)</f>
        <v>136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IFERROR(__xludf.DUMMYFUNCTION("""COMPUTED_VALUE"""),"Charlotte6")</f>
        <v>Charlotte6</v>
      </c>
      <c r="C90" s="1" t="str">
        <f ca="1">IFERROR(__xludf.DUMMYFUNCTION("""COMPUTED_VALUE"""),"A10")</f>
        <v>A10</v>
      </c>
      <c r="D90" s="1" t="str">
        <f ca="1">IFERROR(__xludf.DUMMYFUNCTION("""COMPUTED_VALUE"""),"20-14")</f>
        <v>20-14</v>
      </c>
      <c r="E90" s="1" t="str">
        <f ca="1">IFERROR(__xludf.DUMMYFUNCTION("""COMPUTED_VALUE"""),"+9.53")</f>
        <v>+9.53</v>
      </c>
      <c r="F90" s="1">
        <f ca="1">IFERROR(__xludf.DUMMYFUNCTION("""COMPUTED_VALUE"""),104.6)</f>
        <v>104.6</v>
      </c>
      <c r="G90" s="1">
        <f ca="1">IFERROR(__xludf.DUMMYFUNCTION("""COMPUTED_VALUE"""),160)</f>
        <v>160</v>
      </c>
      <c r="H90" s="1">
        <f ca="1">IFERROR(__xludf.DUMMYFUNCTION("""COMPUTED_VALUE"""),95.1)</f>
        <v>95.1</v>
      </c>
      <c r="I90" s="1">
        <f ca="1">IFERROR(__xludf.DUMMYFUNCTION("""COMPUTED_VALUE"""),36)</f>
        <v>36</v>
      </c>
      <c r="J90" s="1">
        <f ca="1">IFERROR(__xludf.DUMMYFUNCTION("""COMPUTED_VALUE"""),66.8)</f>
        <v>66.8</v>
      </c>
      <c r="K90" s="1">
        <f ca="1">IFERROR(__xludf.DUMMYFUNCTION("""COMPUTED_VALUE"""),111)</f>
        <v>111</v>
      </c>
      <c r="L90" s="1">
        <f ca="1">IFERROR(__xludf.DUMMYFUNCTION("""COMPUTED_VALUE"""),-0.006)</f>
        <v>-6.0000000000000001E-3</v>
      </c>
      <c r="M90" s="1">
        <f ca="1">IFERROR(__xludf.DUMMYFUNCTION("""COMPUTED_VALUE"""),185)</f>
        <v>185</v>
      </c>
      <c r="N90" s="1" t="str">
        <f ca="1">IFERROR(__xludf.DUMMYFUNCTION("""COMPUTED_VALUE"""),"+5.77")</f>
        <v>+5.77</v>
      </c>
      <c r="O90" s="1">
        <f ca="1">IFERROR(__xludf.DUMMYFUNCTION("""COMPUTED_VALUE"""),74)</f>
        <v>74</v>
      </c>
      <c r="P90" s="1">
        <f ca="1">IFERROR(__xludf.DUMMYFUNCTION("""COMPUTED_VALUE"""),107.1)</f>
        <v>107.1</v>
      </c>
      <c r="Q90" s="1">
        <f ca="1">IFERROR(__xludf.DUMMYFUNCTION("""COMPUTED_VALUE"""),60)</f>
        <v>60</v>
      </c>
      <c r="R90" s="1">
        <f ca="1">IFERROR(__xludf.DUMMYFUNCTION("""COMPUTED_VALUE"""),101.4)</f>
        <v>101.4</v>
      </c>
      <c r="S90" s="1">
        <f ca="1">IFERROR(__xludf.DUMMYFUNCTION("""COMPUTED_VALUE"""),86)</f>
        <v>86</v>
      </c>
      <c r="T90" s="1" t="str">
        <f ca="1">IFERROR(__xludf.DUMMYFUNCTION("""COMPUTED_VALUE"""),"+2.45")</f>
        <v>+2.45</v>
      </c>
      <c r="U90" s="1">
        <f ca="1">IFERROR(__xludf.DUMMYFUNCTION("""COMPUTED_VALUE"""),83)</f>
        <v>83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IFERROR(__xludf.DUMMYFUNCTION("""COMPUTED_VALUE"""),"Providence")</f>
        <v>Providence</v>
      </c>
      <c r="C91" s="1" t="str">
        <f ca="1">IFERROR(__xludf.DUMMYFUNCTION("""COMPUTED_VALUE"""),"BE")</f>
        <v>BE</v>
      </c>
      <c r="D91" s="1" t="str">
        <f ca="1">IFERROR(__xludf.DUMMYFUNCTION("""COMPUTED_VALUE"""),"15-16")</f>
        <v>15-16</v>
      </c>
      <c r="E91" s="1" t="str">
        <f ca="1">IFERROR(__xludf.DUMMYFUNCTION("""COMPUTED_VALUE"""),"+9.40")</f>
        <v>+9.40</v>
      </c>
      <c r="F91" s="1">
        <f ca="1">IFERROR(__xludf.DUMMYFUNCTION("""COMPUTED_VALUE"""),110.1)</f>
        <v>110.1</v>
      </c>
      <c r="G91" s="1">
        <f ca="1">IFERROR(__xludf.DUMMYFUNCTION("""COMPUTED_VALUE"""),68)</f>
        <v>68</v>
      </c>
      <c r="H91" s="1">
        <f ca="1">IFERROR(__xludf.DUMMYFUNCTION("""COMPUTED_VALUE"""),100.8)</f>
        <v>100.8</v>
      </c>
      <c r="I91" s="1">
        <f ca="1">IFERROR(__xludf.DUMMYFUNCTION("""COMPUTED_VALUE"""),109)</f>
        <v>109</v>
      </c>
      <c r="J91" s="1">
        <f ca="1">IFERROR(__xludf.DUMMYFUNCTION("""COMPUTED_VALUE"""),66.3)</f>
        <v>66.3</v>
      </c>
      <c r="K91" s="1">
        <f ca="1">IFERROR(__xludf.DUMMYFUNCTION("""COMPUTED_VALUE"""),131)</f>
        <v>131</v>
      </c>
      <c r="L91" s="1">
        <f ca="1">IFERROR(__xludf.DUMMYFUNCTION("""COMPUTED_VALUE"""),-0.025)</f>
        <v>-2.5000000000000001E-2</v>
      </c>
      <c r="M91" s="1">
        <f ca="1">IFERROR(__xludf.DUMMYFUNCTION("""COMPUTED_VALUE"""),232)</f>
        <v>232</v>
      </c>
      <c r="N91" s="1" t="str">
        <f ca="1">IFERROR(__xludf.DUMMYFUNCTION("""COMPUTED_VALUE"""),"+9.20")</f>
        <v>+9.20</v>
      </c>
      <c r="O91" s="1">
        <f ca="1">IFERROR(__xludf.DUMMYFUNCTION("""COMPUTED_VALUE"""),23)</f>
        <v>23</v>
      </c>
      <c r="P91" s="1">
        <f ca="1">IFERROR(__xludf.DUMMYFUNCTION("""COMPUTED_VALUE"""),109.1)</f>
        <v>109.1</v>
      </c>
      <c r="Q91" s="1">
        <f ca="1">IFERROR(__xludf.DUMMYFUNCTION("""COMPUTED_VALUE"""),10)</f>
        <v>10</v>
      </c>
      <c r="R91" s="1">
        <f ca="1">IFERROR(__xludf.DUMMYFUNCTION("""COMPUTED_VALUE"""),99.9)</f>
        <v>99.9</v>
      </c>
      <c r="S91" s="1">
        <f ca="1">IFERROR(__xludf.DUMMYFUNCTION("""COMPUTED_VALUE"""),46)</f>
        <v>46</v>
      </c>
      <c r="T91" s="1" t="str">
        <f ca="1">IFERROR(__xludf.DUMMYFUNCTION("""COMPUTED_VALUE"""),"+0.87")</f>
        <v>+0.87</v>
      </c>
      <c r="U91" s="1">
        <f ca="1">IFERROR(__xludf.DUMMYFUNCTION("""COMPUTED_VALUE"""),123)</f>
        <v>123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IFERROR(__xludf.DUMMYFUNCTION("""COMPUTED_VALUE"""),"Alabama")</f>
        <v>Alabama</v>
      </c>
      <c r="C92" s="1" t="str">
        <f ca="1">IFERROR(__xludf.DUMMYFUNCTION("""COMPUTED_VALUE"""),"SEC")</f>
        <v>SEC</v>
      </c>
      <c r="D92" s="1" t="str">
        <f ca="1">IFERROR(__xludf.DUMMYFUNCTION("""COMPUTED_VALUE"""),"17-16")</f>
        <v>17-16</v>
      </c>
      <c r="E92" s="1" t="str">
        <f ca="1">IFERROR(__xludf.DUMMYFUNCTION("""COMPUTED_VALUE"""),"+9.20")</f>
        <v>+9.20</v>
      </c>
      <c r="F92" s="1">
        <f ca="1">IFERROR(__xludf.DUMMYFUNCTION("""COMPUTED_VALUE"""),110.9)</f>
        <v>110.9</v>
      </c>
      <c r="G92" s="1">
        <f ca="1">IFERROR(__xludf.DUMMYFUNCTION("""COMPUTED_VALUE"""),55)</f>
        <v>55</v>
      </c>
      <c r="H92" s="1">
        <f ca="1">IFERROR(__xludf.DUMMYFUNCTION("""COMPUTED_VALUE"""),101.7)</f>
        <v>101.7</v>
      </c>
      <c r="I92" s="1">
        <f ca="1">IFERROR(__xludf.DUMMYFUNCTION("""COMPUTED_VALUE"""),130)</f>
        <v>130</v>
      </c>
      <c r="J92" s="1">
        <f ca="1">IFERROR(__xludf.DUMMYFUNCTION("""COMPUTED_VALUE"""),66.7)</f>
        <v>66.7</v>
      </c>
      <c r="K92" s="1">
        <f ca="1">IFERROR(__xludf.DUMMYFUNCTION("""COMPUTED_VALUE"""),114)</f>
        <v>114</v>
      </c>
      <c r="L92" s="1">
        <f ca="1">IFERROR(__xludf.DUMMYFUNCTION("""COMPUTED_VALUE"""),-0.055)</f>
        <v>-5.5E-2</v>
      </c>
      <c r="M92" s="1">
        <f ca="1">IFERROR(__xludf.DUMMYFUNCTION("""COMPUTED_VALUE"""),296)</f>
        <v>296</v>
      </c>
      <c r="N92" s="1" t="str">
        <f ca="1">IFERROR(__xludf.DUMMYFUNCTION("""COMPUTED_VALUE"""),"+5.70")</f>
        <v>+5.70</v>
      </c>
      <c r="O92" s="1">
        <f ca="1">IFERROR(__xludf.DUMMYFUNCTION("""COMPUTED_VALUE"""),75)</f>
        <v>75</v>
      </c>
      <c r="P92" s="1">
        <f ca="1">IFERROR(__xludf.DUMMYFUNCTION("""COMPUTED_VALUE"""),107.2)</f>
        <v>107.2</v>
      </c>
      <c r="Q92" s="1">
        <f ca="1">IFERROR(__xludf.DUMMYFUNCTION("""COMPUTED_VALUE"""),58)</f>
        <v>58</v>
      </c>
      <c r="R92" s="1">
        <f ca="1">IFERROR(__xludf.DUMMYFUNCTION("""COMPUTED_VALUE"""),101.5)</f>
        <v>101.5</v>
      </c>
      <c r="S92" s="1">
        <f ca="1">IFERROR(__xludf.DUMMYFUNCTION("""COMPUTED_VALUE"""),91)</f>
        <v>91</v>
      </c>
      <c r="T92" s="1">
        <f ca="1">IFERROR(__xludf.DUMMYFUNCTION("""COMPUTED_VALUE"""),-2.55)</f>
        <v>-2.5499999999999998</v>
      </c>
      <c r="U92" s="1">
        <f ca="1">IFERROR(__xludf.DUMMYFUNCTION("""COMPUTED_VALUE"""),228)</f>
        <v>228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IFERROR(__xludf.DUMMYFUNCTION("""COMPUTED_VALUE"""),"Bradley")</f>
        <v>Bradley</v>
      </c>
      <c r="C93" s="1" t="str">
        <f ca="1">IFERROR(__xludf.DUMMYFUNCTION("""COMPUTED_VALUE"""),"MVC")</f>
        <v>MVC</v>
      </c>
      <c r="D93" s="1" t="str">
        <f ca="1">IFERROR(__xludf.DUMMYFUNCTION("""COMPUTED_VALUE"""),"21-17")</f>
        <v>21-17</v>
      </c>
      <c r="E93" s="1" t="str">
        <f ca="1">IFERROR(__xludf.DUMMYFUNCTION("""COMPUTED_VALUE"""),"+9.05")</f>
        <v>+9.05</v>
      </c>
      <c r="F93" s="1">
        <f ca="1">IFERROR(__xludf.DUMMYFUNCTION("""COMPUTED_VALUE"""),111.8)</f>
        <v>111.8</v>
      </c>
      <c r="G93" s="1">
        <f ca="1">IFERROR(__xludf.DUMMYFUNCTION("""COMPUTED_VALUE"""),50)</f>
        <v>50</v>
      </c>
      <c r="H93" s="1">
        <f ca="1">IFERROR(__xludf.DUMMYFUNCTION("""COMPUTED_VALUE"""),102.7)</f>
        <v>102.7</v>
      </c>
      <c r="I93" s="1">
        <f ca="1">IFERROR(__xludf.DUMMYFUNCTION("""COMPUTED_VALUE"""),152)</f>
        <v>152</v>
      </c>
      <c r="J93" s="1">
        <f ca="1">IFERROR(__xludf.DUMMYFUNCTION("""COMPUTED_VALUE"""),68.5)</f>
        <v>68.5</v>
      </c>
      <c r="K93" s="1">
        <f ca="1">IFERROR(__xludf.DUMMYFUNCTION("""COMPUTED_VALUE"""),60)</f>
        <v>60</v>
      </c>
      <c r="L93" s="1">
        <f ca="1">IFERROR(__xludf.DUMMYFUNCTION("""COMPUTED_VALUE"""),-0.022)</f>
        <v>-2.1999999999999999E-2</v>
      </c>
      <c r="M93" s="1">
        <f ca="1">IFERROR(__xludf.DUMMYFUNCTION("""COMPUTED_VALUE"""),221)</f>
        <v>221</v>
      </c>
      <c r="N93" s="1" t="str">
        <f ca="1">IFERROR(__xludf.DUMMYFUNCTION("""COMPUTED_VALUE"""),"+5.32")</f>
        <v>+5.32</v>
      </c>
      <c r="O93" s="1">
        <f ca="1">IFERROR(__xludf.DUMMYFUNCTION("""COMPUTED_VALUE"""),80)</f>
        <v>80</v>
      </c>
      <c r="P93" s="1">
        <f ca="1">IFERROR(__xludf.DUMMYFUNCTION("""COMPUTED_VALUE"""),105.6)</f>
        <v>105.6</v>
      </c>
      <c r="Q93" s="1">
        <f ca="1">IFERROR(__xludf.DUMMYFUNCTION("""COMPUTED_VALUE"""),98)</f>
        <v>98</v>
      </c>
      <c r="R93" s="1">
        <f ca="1">IFERROR(__xludf.DUMMYFUNCTION("""COMPUTED_VALUE"""),100.3)</f>
        <v>100.3</v>
      </c>
      <c r="S93" s="1">
        <f ca="1">IFERROR(__xludf.DUMMYFUNCTION("""COMPUTED_VALUE"""),56)</f>
        <v>56</v>
      </c>
      <c r="T93" s="1" t="str">
        <f ca="1">IFERROR(__xludf.DUMMYFUNCTION("""COMPUTED_VALUE"""),"+0.54")</f>
        <v>+0.54</v>
      </c>
      <c r="U93" s="1">
        <f ca="1">IFERROR(__xludf.DUMMYFUNCTION("""COMPUTED_VALUE"""),131)</f>
        <v>131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IFERROR(__xludf.DUMMYFUNCTION("""COMPUTED_VALUE"""),"Cal St. Fullerton14")</f>
        <v>Cal St. Fullerton14</v>
      </c>
      <c r="C94" s="1" t="str">
        <f ca="1">IFERROR(__xludf.DUMMYFUNCTION("""COMPUTED_VALUE"""),"BW")</f>
        <v>BW</v>
      </c>
      <c r="D94" s="1" t="str">
        <f ca="1">IFERROR(__xludf.DUMMYFUNCTION("""COMPUTED_VALUE"""),"24-9")</f>
        <v>24-9</v>
      </c>
      <c r="E94" s="1" t="str">
        <f ca="1">IFERROR(__xludf.DUMMYFUNCTION("""COMPUTED_VALUE"""),"+8.47")</f>
        <v>+8.47</v>
      </c>
      <c r="F94" s="1">
        <f ca="1">IFERROR(__xludf.DUMMYFUNCTION("""COMPUTED_VALUE"""),112.3)</f>
        <v>112.3</v>
      </c>
      <c r="G94" s="1">
        <f ca="1">IFERROR(__xludf.DUMMYFUNCTION("""COMPUTED_VALUE"""),45)</f>
        <v>45</v>
      </c>
      <c r="H94" s="1">
        <f ca="1">IFERROR(__xludf.DUMMYFUNCTION("""COMPUTED_VALUE"""),103.9)</f>
        <v>103.9</v>
      </c>
      <c r="I94" s="1">
        <f ca="1">IFERROR(__xludf.DUMMYFUNCTION("""COMPUTED_VALUE"""),176)</f>
        <v>176</v>
      </c>
      <c r="J94" s="1">
        <f ca="1">IFERROR(__xludf.DUMMYFUNCTION("""COMPUTED_VALUE"""),71.6)</f>
        <v>71.599999999999994</v>
      </c>
      <c r="K94" s="1">
        <f ca="1">IFERROR(__xludf.DUMMYFUNCTION("""COMPUTED_VALUE"""),12)</f>
        <v>12</v>
      </c>
      <c r="L94" s="1">
        <f ca="1">IFERROR(__xludf.DUMMYFUNCTION("""COMPUTED_VALUE"""),-0.01)</f>
        <v>-0.01</v>
      </c>
      <c r="M94" s="1">
        <f ca="1">IFERROR(__xludf.DUMMYFUNCTION("""COMPUTED_VALUE"""),195)</f>
        <v>195</v>
      </c>
      <c r="N94" s="1">
        <f ca="1">IFERROR(__xludf.DUMMYFUNCTION("""COMPUTED_VALUE"""),-3.95)</f>
        <v>-3.95</v>
      </c>
      <c r="O94" s="1">
        <f ca="1">IFERROR(__xludf.DUMMYFUNCTION("""COMPUTED_VALUE"""),236)</f>
        <v>236</v>
      </c>
      <c r="P94" s="1">
        <f ca="1">IFERROR(__xludf.DUMMYFUNCTION("""COMPUTED_VALUE"""),101.5)</f>
        <v>101.5</v>
      </c>
      <c r="Q94" s="1">
        <f ca="1">IFERROR(__xludf.DUMMYFUNCTION("""COMPUTED_VALUE"""),243)</f>
        <v>243</v>
      </c>
      <c r="R94" s="1">
        <f ca="1">IFERROR(__xludf.DUMMYFUNCTION("""COMPUTED_VALUE"""),105.5)</f>
        <v>105.5</v>
      </c>
      <c r="S94" s="1">
        <f ca="1">IFERROR(__xludf.DUMMYFUNCTION("""COMPUTED_VALUE"""),230)</f>
        <v>230</v>
      </c>
      <c r="T94" s="1">
        <f ca="1">IFERROR(__xludf.DUMMYFUNCTION("""COMPUTED_VALUE"""),-3.01)</f>
        <v>-3.01</v>
      </c>
      <c r="U94" s="1">
        <f ca="1">IFERROR(__xludf.DUMMYFUNCTION("""COMPUTED_VALUE"""),244)</f>
        <v>244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IFERROR(__xludf.DUMMYFUNCTION("""COMPUTED_VALUE"""),"Missouri St.")</f>
        <v>Missouri St.</v>
      </c>
      <c r="C95" s="1" t="str">
        <f ca="1">IFERROR(__xludf.DUMMYFUNCTION("""COMPUTED_VALUE"""),"MVC")</f>
        <v>MVC</v>
      </c>
      <c r="D95" s="1" t="str">
        <f ca="1">IFERROR(__xludf.DUMMYFUNCTION("""COMPUTED_VALUE"""),"17-16")</f>
        <v>17-16</v>
      </c>
      <c r="E95" s="1" t="str">
        <f ca="1">IFERROR(__xludf.DUMMYFUNCTION("""COMPUTED_VALUE"""),"+8.39")</f>
        <v>+8.39</v>
      </c>
      <c r="F95" s="1">
        <f ca="1">IFERROR(__xludf.DUMMYFUNCTION("""COMPUTED_VALUE"""),108.2)</f>
        <v>108.2</v>
      </c>
      <c r="G95" s="1">
        <f ca="1">IFERROR(__xludf.DUMMYFUNCTION("""COMPUTED_VALUE"""),95)</f>
        <v>95</v>
      </c>
      <c r="H95" s="1">
        <f ca="1">IFERROR(__xludf.DUMMYFUNCTION("""COMPUTED_VALUE"""),99.8)</f>
        <v>99.8</v>
      </c>
      <c r="I95" s="1">
        <f ca="1">IFERROR(__xludf.DUMMYFUNCTION("""COMPUTED_VALUE"""),92)</f>
        <v>92</v>
      </c>
      <c r="J95" s="1">
        <f ca="1">IFERROR(__xludf.DUMMYFUNCTION("""COMPUTED_VALUE"""),65.1)</f>
        <v>65.099999999999994</v>
      </c>
      <c r="K95" s="1">
        <f ca="1">IFERROR(__xludf.DUMMYFUNCTION("""COMPUTED_VALUE"""),173)</f>
        <v>173</v>
      </c>
      <c r="L95" s="1">
        <f ca="1">IFERROR(__xludf.DUMMYFUNCTION("""COMPUTED_VALUE"""),-0.063)</f>
        <v>-6.3E-2</v>
      </c>
      <c r="M95" s="1">
        <f ca="1">IFERROR(__xludf.DUMMYFUNCTION("""COMPUTED_VALUE"""),311)</f>
        <v>311</v>
      </c>
      <c r="N95" s="1" t="str">
        <f ca="1">IFERROR(__xludf.DUMMYFUNCTION("""COMPUTED_VALUE"""),"+4.86")</f>
        <v>+4.86</v>
      </c>
      <c r="O95" s="1">
        <f ca="1">IFERROR(__xludf.DUMMYFUNCTION("""COMPUTED_VALUE"""),90)</f>
        <v>90</v>
      </c>
      <c r="P95" s="1">
        <f ca="1">IFERROR(__xludf.DUMMYFUNCTION("""COMPUTED_VALUE"""),105.8)</f>
        <v>105.8</v>
      </c>
      <c r="Q95" s="1">
        <f ca="1">IFERROR(__xludf.DUMMYFUNCTION("""COMPUTED_VALUE"""),92)</f>
        <v>92</v>
      </c>
      <c r="R95" s="1">
        <f ca="1">IFERROR(__xludf.DUMMYFUNCTION("""COMPUTED_VALUE"""),100.9)</f>
        <v>100.9</v>
      </c>
      <c r="S95" s="1">
        <f ca="1">IFERROR(__xludf.DUMMYFUNCTION("""COMPUTED_VALUE"""),73)</f>
        <v>73</v>
      </c>
      <c r="T95" s="1" t="str">
        <f ca="1">IFERROR(__xludf.DUMMYFUNCTION("""COMPUTED_VALUE"""),"+1.60")</f>
        <v>+1.60</v>
      </c>
      <c r="U95" s="1">
        <f ca="1">IFERROR(__xludf.DUMMYFUNCTION("""COMPUTED_VALUE"""),104)</f>
        <v>104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IFERROR(__xludf.DUMMYFUNCTION("""COMPUTED_VALUE"""),"Virginia")</f>
        <v>Virginia</v>
      </c>
      <c r="C96" s="1" t="str">
        <f ca="1">IFERROR(__xludf.DUMMYFUNCTION("""COMPUTED_VALUE"""),"ACC")</f>
        <v>ACC</v>
      </c>
      <c r="D96" s="1" t="str">
        <f ca="1">IFERROR(__xludf.DUMMYFUNCTION("""COMPUTED_VALUE"""),"17-16")</f>
        <v>17-16</v>
      </c>
      <c r="E96" s="1" t="str">
        <f ca="1">IFERROR(__xludf.DUMMYFUNCTION("""COMPUTED_VALUE"""),"+8.11")</f>
        <v>+8.11</v>
      </c>
      <c r="F96" s="1">
        <f ca="1">IFERROR(__xludf.DUMMYFUNCTION("""COMPUTED_VALUE"""),110.5)</f>
        <v>110.5</v>
      </c>
      <c r="G96" s="1">
        <f ca="1">IFERROR(__xludf.DUMMYFUNCTION("""COMPUTED_VALUE"""),61)</f>
        <v>61</v>
      </c>
      <c r="H96" s="1">
        <f ca="1">IFERROR(__xludf.DUMMYFUNCTION("""COMPUTED_VALUE"""),102.4)</f>
        <v>102.4</v>
      </c>
      <c r="I96" s="1">
        <f ca="1">IFERROR(__xludf.DUMMYFUNCTION("""COMPUTED_VALUE"""),145)</f>
        <v>145</v>
      </c>
      <c r="J96" s="1">
        <f ca="1">IFERROR(__xludf.DUMMYFUNCTION("""COMPUTED_VALUE"""),68.4)</f>
        <v>68.400000000000006</v>
      </c>
      <c r="K96" s="1">
        <f ca="1">IFERROR(__xludf.DUMMYFUNCTION("""COMPUTED_VALUE"""),63)</f>
        <v>63</v>
      </c>
      <c r="L96" s="1">
        <f ca="1">IFERROR(__xludf.DUMMYFUNCTION("""COMPUTED_VALUE"""),-0.024)</f>
        <v>-2.4E-2</v>
      </c>
      <c r="M96" s="1">
        <f ca="1">IFERROR(__xludf.DUMMYFUNCTION("""COMPUTED_VALUE"""),230)</f>
        <v>230</v>
      </c>
      <c r="N96" s="1" t="str">
        <f ca="1">IFERROR(__xludf.DUMMYFUNCTION("""COMPUTED_VALUE"""),"+6.21")</f>
        <v>+6.21</v>
      </c>
      <c r="O96" s="1">
        <f ca="1">IFERROR(__xludf.DUMMYFUNCTION("""COMPUTED_VALUE"""),67)</f>
        <v>67</v>
      </c>
      <c r="P96" s="1">
        <f ca="1">IFERROR(__xludf.DUMMYFUNCTION("""COMPUTED_VALUE"""),106.8)</f>
        <v>106.8</v>
      </c>
      <c r="Q96" s="1">
        <f ca="1">IFERROR(__xludf.DUMMYFUNCTION("""COMPUTED_VALUE"""),67)</f>
        <v>67</v>
      </c>
      <c r="R96" s="1">
        <f ca="1">IFERROR(__xludf.DUMMYFUNCTION("""COMPUTED_VALUE"""),100.6)</f>
        <v>100.6</v>
      </c>
      <c r="S96" s="1">
        <f ca="1">IFERROR(__xludf.DUMMYFUNCTION("""COMPUTED_VALUE"""),63)</f>
        <v>63</v>
      </c>
      <c r="T96" s="1">
        <f ca="1">IFERROR(__xludf.DUMMYFUNCTION("""COMPUTED_VALUE"""),-6.23)</f>
        <v>-6.23</v>
      </c>
      <c r="U96" s="1">
        <f ca="1">IFERROR(__xludf.DUMMYFUNCTION("""COMPUTED_VALUE"""),304)</f>
        <v>304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IFERROR(__xludf.DUMMYFUNCTION("""COMPUTED_VALUE"""),"Georgia14")</f>
        <v>Georgia14</v>
      </c>
      <c r="C97" s="1" t="str">
        <f ca="1">IFERROR(__xludf.DUMMYFUNCTION("""COMPUTED_VALUE"""),"SEC")</f>
        <v>SEC</v>
      </c>
      <c r="D97" s="1" t="str">
        <f ca="1">IFERROR(__xludf.DUMMYFUNCTION("""COMPUTED_VALUE"""),"17-17")</f>
        <v>17-17</v>
      </c>
      <c r="E97" s="1" t="str">
        <f ca="1">IFERROR(__xludf.DUMMYFUNCTION("""COMPUTED_VALUE"""),"+8.08")</f>
        <v>+8.08</v>
      </c>
      <c r="F97" s="1">
        <f ca="1">IFERROR(__xludf.DUMMYFUNCTION("""COMPUTED_VALUE"""),104.3)</f>
        <v>104.3</v>
      </c>
      <c r="G97" s="1">
        <f ca="1">IFERROR(__xludf.DUMMYFUNCTION("""COMPUTED_VALUE"""),166)</f>
        <v>166</v>
      </c>
      <c r="H97" s="1">
        <f ca="1">IFERROR(__xludf.DUMMYFUNCTION("""COMPUTED_VALUE"""),96.2)</f>
        <v>96.2</v>
      </c>
      <c r="I97" s="1">
        <f ca="1">IFERROR(__xludf.DUMMYFUNCTION("""COMPUTED_VALUE"""),45)</f>
        <v>45</v>
      </c>
      <c r="J97" s="1">
        <f ca="1">IFERROR(__xludf.DUMMYFUNCTION("""COMPUTED_VALUE"""),64.7)</f>
        <v>64.7</v>
      </c>
      <c r="K97" s="1">
        <f ca="1">IFERROR(__xludf.DUMMYFUNCTION("""COMPUTED_VALUE"""),183)</f>
        <v>183</v>
      </c>
      <c r="L97" s="1">
        <f ca="1">IFERROR(__xludf.DUMMYFUNCTION("""COMPUTED_VALUE"""),-0.032)</f>
        <v>-3.2000000000000001E-2</v>
      </c>
      <c r="M97" s="1">
        <f ca="1">IFERROR(__xludf.DUMMYFUNCTION("""COMPUTED_VALUE"""),253)</f>
        <v>253</v>
      </c>
      <c r="N97" s="1" t="str">
        <f ca="1">IFERROR(__xludf.DUMMYFUNCTION("""COMPUTED_VALUE"""),"+7.55")</f>
        <v>+7.55</v>
      </c>
      <c r="O97" s="1">
        <f ca="1">IFERROR(__xludf.DUMMYFUNCTION("""COMPUTED_VALUE"""),47)</f>
        <v>47</v>
      </c>
      <c r="P97" s="1">
        <f ca="1">IFERROR(__xludf.DUMMYFUNCTION("""COMPUTED_VALUE"""),108.5)</f>
        <v>108.5</v>
      </c>
      <c r="Q97" s="1">
        <f ca="1">IFERROR(__xludf.DUMMYFUNCTION("""COMPUTED_VALUE"""),22)</f>
        <v>22</v>
      </c>
      <c r="R97" s="1">
        <f ca="1">IFERROR(__xludf.DUMMYFUNCTION("""COMPUTED_VALUE"""),101)</f>
        <v>101</v>
      </c>
      <c r="S97" s="1">
        <f ca="1">IFERROR(__xludf.DUMMYFUNCTION("""COMPUTED_VALUE"""),75)</f>
        <v>75</v>
      </c>
      <c r="T97" s="1">
        <f ca="1">IFERROR(__xludf.DUMMYFUNCTION("""COMPUTED_VALUE"""),-4.1)</f>
        <v>-4.0999999999999996</v>
      </c>
      <c r="U97" s="1">
        <f ca="1">IFERROR(__xludf.DUMMYFUNCTION("""COMPUTED_VALUE"""),274)</f>
        <v>274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IFERROR(__xludf.DUMMYFUNCTION("""COMPUTED_VALUE"""),"San Diego St.7")</f>
        <v>San Diego St.7</v>
      </c>
      <c r="C98" s="1" t="str">
        <f ca="1">IFERROR(__xludf.DUMMYFUNCTION("""COMPUTED_VALUE"""),"MWC")</f>
        <v>MWC</v>
      </c>
      <c r="D98" s="1" t="str">
        <f ca="1">IFERROR(__xludf.DUMMYFUNCTION("""COMPUTED_VALUE"""),"20-13")</f>
        <v>20-13</v>
      </c>
      <c r="E98" s="1" t="str">
        <f ca="1">IFERROR(__xludf.DUMMYFUNCTION("""COMPUTED_VALUE"""),"+7.99")</f>
        <v>+7.99</v>
      </c>
      <c r="F98" s="1">
        <f ca="1">IFERROR(__xludf.DUMMYFUNCTION("""COMPUTED_VALUE"""),104.9)</f>
        <v>104.9</v>
      </c>
      <c r="G98" s="1">
        <f ca="1">IFERROR(__xludf.DUMMYFUNCTION("""COMPUTED_VALUE"""),147)</f>
        <v>147</v>
      </c>
      <c r="H98" s="1">
        <f ca="1">IFERROR(__xludf.DUMMYFUNCTION("""COMPUTED_VALUE"""),96.9)</f>
        <v>96.9</v>
      </c>
      <c r="I98" s="1">
        <f ca="1">IFERROR(__xludf.DUMMYFUNCTION("""COMPUTED_VALUE"""),57)</f>
        <v>57</v>
      </c>
      <c r="J98" s="1">
        <f ca="1">IFERROR(__xludf.DUMMYFUNCTION("""COMPUTED_VALUE"""),64.1)</f>
        <v>64.099999999999994</v>
      </c>
      <c r="K98" s="1">
        <f ca="1">IFERROR(__xludf.DUMMYFUNCTION("""COMPUTED_VALUE"""),211)</f>
        <v>211</v>
      </c>
      <c r="L98" s="1">
        <f ca="1">IFERROR(__xludf.DUMMYFUNCTION("""COMPUTED_VALUE"""),-0.006)</f>
        <v>-6.0000000000000001E-3</v>
      </c>
      <c r="M98" s="1">
        <f ca="1">IFERROR(__xludf.DUMMYFUNCTION("""COMPUTED_VALUE"""),188)</f>
        <v>188</v>
      </c>
      <c r="N98" s="1" t="str">
        <f ca="1">IFERROR(__xludf.DUMMYFUNCTION("""COMPUTED_VALUE"""),"+3.21")</f>
        <v>+3.21</v>
      </c>
      <c r="O98" s="1">
        <f ca="1">IFERROR(__xludf.DUMMYFUNCTION("""COMPUTED_VALUE"""),106)</f>
        <v>106</v>
      </c>
      <c r="P98" s="1">
        <f ca="1">IFERROR(__xludf.DUMMYFUNCTION("""COMPUTED_VALUE"""),104.5)</f>
        <v>104.5</v>
      </c>
      <c r="Q98" s="1">
        <f ca="1">IFERROR(__xludf.DUMMYFUNCTION("""COMPUTED_VALUE"""),120)</f>
        <v>120</v>
      </c>
      <c r="R98" s="1">
        <f ca="1">IFERROR(__xludf.DUMMYFUNCTION("""COMPUTED_VALUE"""),101.2)</f>
        <v>101.2</v>
      </c>
      <c r="S98" s="1">
        <f ca="1">IFERROR(__xludf.DUMMYFUNCTION("""COMPUTED_VALUE"""),84)</f>
        <v>84</v>
      </c>
      <c r="T98" s="1">
        <f ca="1">IFERROR(__xludf.DUMMYFUNCTION("""COMPUTED_VALUE"""),-1.49)</f>
        <v>-1.49</v>
      </c>
      <c r="U98" s="1">
        <f ca="1">IFERROR(__xludf.DUMMYFUNCTION("""COMPUTED_VALUE"""),188)</f>
        <v>188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IFERROR(__xludf.DUMMYFUNCTION("""COMPUTED_VALUE"""),"Siena13")</f>
        <v>Siena13</v>
      </c>
      <c r="C99" s="1" t="str">
        <f ca="1">IFERROR(__xludf.DUMMYFUNCTION("""COMPUTED_VALUE"""),"MAAC")</f>
        <v>MAAC</v>
      </c>
      <c r="D99" s="1" t="str">
        <f ca="1">IFERROR(__xludf.DUMMYFUNCTION("""COMPUTED_VALUE"""),"23-11")</f>
        <v>23-11</v>
      </c>
      <c r="E99" s="1" t="str">
        <f ca="1">IFERROR(__xludf.DUMMYFUNCTION("""COMPUTED_VALUE"""),"+7.99")</f>
        <v>+7.99</v>
      </c>
      <c r="F99" s="1">
        <f ca="1">IFERROR(__xludf.DUMMYFUNCTION("""COMPUTED_VALUE"""),108.6)</f>
        <v>108.6</v>
      </c>
      <c r="G99" s="1">
        <f ca="1">IFERROR(__xludf.DUMMYFUNCTION("""COMPUTED_VALUE"""),86)</f>
        <v>86</v>
      </c>
      <c r="H99" s="1">
        <f ca="1">IFERROR(__xludf.DUMMYFUNCTION("""COMPUTED_VALUE"""),100.7)</f>
        <v>100.7</v>
      </c>
      <c r="I99" s="1">
        <f ca="1">IFERROR(__xludf.DUMMYFUNCTION("""COMPUTED_VALUE"""),107)</f>
        <v>107</v>
      </c>
      <c r="J99" s="1">
        <f ca="1">IFERROR(__xludf.DUMMYFUNCTION("""COMPUTED_VALUE"""),67.6)</f>
        <v>67.599999999999994</v>
      </c>
      <c r="K99" s="1">
        <f ca="1">IFERROR(__xludf.DUMMYFUNCTION("""COMPUTED_VALUE"""),86)</f>
        <v>86</v>
      </c>
      <c r="L99" s="1" t="str">
        <f ca="1">IFERROR(__xludf.DUMMYFUNCTION("""COMPUTED_VALUE"""),"+.036")</f>
        <v>+.036</v>
      </c>
      <c r="M99" s="1">
        <f ca="1">IFERROR(__xludf.DUMMYFUNCTION("""COMPUTED_VALUE"""),87)</f>
        <v>87</v>
      </c>
      <c r="N99" s="1">
        <f ca="1">IFERROR(__xludf.DUMMYFUNCTION("""COMPUTED_VALUE"""),-1.41)</f>
        <v>-1.41</v>
      </c>
      <c r="O99" s="1">
        <f ca="1">IFERROR(__xludf.DUMMYFUNCTION("""COMPUTED_VALUE"""),186)</f>
        <v>186</v>
      </c>
      <c r="P99" s="1">
        <f ca="1">IFERROR(__xludf.DUMMYFUNCTION("""COMPUTED_VALUE"""),104.1)</f>
        <v>104.1</v>
      </c>
      <c r="Q99" s="1">
        <f ca="1">IFERROR(__xludf.DUMMYFUNCTION("""COMPUTED_VALUE"""),144)</f>
        <v>144</v>
      </c>
      <c r="R99" s="1">
        <f ca="1">IFERROR(__xludf.DUMMYFUNCTION("""COMPUTED_VALUE"""),105.5)</f>
        <v>105.5</v>
      </c>
      <c r="S99" s="1">
        <f ca="1">IFERROR(__xludf.DUMMYFUNCTION("""COMPUTED_VALUE"""),232)</f>
        <v>232</v>
      </c>
      <c r="T99" s="1" t="str">
        <f ca="1">IFERROR(__xludf.DUMMYFUNCTION("""COMPUTED_VALUE"""),"+3.69")</f>
        <v>+3.69</v>
      </c>
      <c r="U99" s="1">
        <f ca="1">IFERROR(__xludf.DUMMYFUNCTION("""COMPUTED_VALUE"""),65)</f>
        <v>65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IFERROR(__xludf.DUMMYFUNCTION("""COMPUTED_VALUE"""),"Western Michigan")</f>
        <v>Western Michigan</v>
      </c>
      <c r="C100" s="1" t="str">
        <f ca="1">IFERROR(__xludf.DUMMYFUNCTION("""COMPUTED_VALUE"""),"MAC")</f>
        <v>MAC</v>
      </c>
      <c r="D100" s="1" t="str">
        <f ca="1">IFERROR(__xludf.DUMMYFUNCTION("""COMPUTED_VALUE"""),"20-12")</f>
        <v>20-12</v>
      </c>
      <c r="E100" s="1" t="str">
        <f ca="1">IFERROR(__xludf.DUMMYFUNCTION("""COMPUTED_VALUE"""),"+7.92")</f>
        <v>+7.92</v>
      </c>
      <c r="F100" s="1">
        <f ca="1">IFERROR(__xludf.DUMMYFUNCTION("""COMPUTED_VALUE"""),108.1)</f>
        <v>108.1</v>
      </c>
      <c r="G100" s="1">
        <f ca="1">IFERROR(__xludf.DUMMYFUNCTION("""COMPUTED_VALUE"""),100)</f>
        <v>100</v>
      </c>
      <c r="H100" s="1">
        <f ca="1">IFERROR(__xludf.DUMMYFUNCTION("""COMPUTED_VALUE"""),100.2)</f>
        <v>100.2</v>
      </c>
      <c r="I100" s="1">
        <f ca="1">IFERROR(__xludf.DUMMYFUNCTION("""COMPUTED_VALUE"""),97)</f>
        <v>97</v>
      </c>
      <c r="J100" s="1">
        <f ca="1">IFERROR(__xludf.DUMMYFUNCTION("""COMPUTED_VALUE"""),63.8)</f>
        <v>63.8</v>
      </c>
      <c r="K100" s="1">
        <f ca="1">IFERROR(__xludf.DUMMYFUNCTION("""COMPUTED_VALUE"""),226)</f>
        <v>226</v>
      </c>
      <c r="L100" s="1">
        <f ca="1">IFERROR(__xludf.DUMMYFUNCTION("""COMPUTED_VALUE"""),-0.023)</f>
        <v>-2.3E-2</v>
      </c>
      <c r="M100" s="1">
        <f ca="1">IFERROR(__xludf.DUMMYFUNCTION("""COMPUTED_VALUE"""),224)</f>
        <v>224</v>
      </c>
      <c r="N100" s="1" t="str">
        <f ca="1">IFERROR(__xludf.DUMMYFUNCTION("""COMPUTED_VALUE"""),"+0.60")</f>
        <v>+0.60</v>
      </c>
      <c r="O100" s="1">
        <f ca="1">IFERROR(__xludf.DUMMYFUNCTION("""COMPUTED_VALUE"""),146)</f>
        <v>146</v>
      </c>
      <c r="P100" s="1">
        <f ca="1">IFERROR(__xludf.DUMMYFUNCTION("""COMPUTED_VALUE"""),103.7)</f>
        <v>103.7</v>
      </c>
      <c r="Q100" s="1">
        <f ca="1">IFERROR(__xludf.DUMMYFUNCTION("""COMPUTED_VALUE"""),158)</f>
        <v>158</v>
      </c>
      <c r="R100" s="1">
        <f ca="1">IFERROR(__xludf.DUMMYFUNCTION("""COMPUTED_VALUE"""),103.1)</f>
        <v>103.1</v>
      </c>
      <c r="S100" s="1">
        <f ca="1">IFERROR(__xludf.DUMMYFUNCTION("""COMPUTED_VALUE"""),149)</f>
        <v>149</v>
      </c>
      <c r="T100" s="1" t="str">
        <f ca="1">IFERROR(__xludf.DUMMYFUNCTION("""COMPUTED_VALUE"""),"+3.78")</f>
        <v>+3.78</v>
      </c>
      <c r="U100" s="1">
        <f ca="1">IFERROR(__xludf.DUMMYFUNCTION("""COMPUTED_VALUE"""),63)</f>
        <v>63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IFERROR(__xludf.DUMMYFUNCTION("""COMPUTED_VALUE"""),"Ohio")</f>
        <v>Ohio</v>
      </c>
      <c r="C101" s="1" t="str">
        <f ca="1">IFERROR(__xludf.DUMMYFUNCTION("""COMPUTED_VALUE"""),"MAC")</f>
        <v>MAC</v>
      </c>
      <c r="D101" s="1" t="str">
        <f ca="1">IFERROR(__xludf.DUMMYFUNCTION("""COMPUTED_VALUE"""),"20-13")</f>
        <v>20-13</v>
      </c>
      <c r="E101" s="1" t="str">
        <f ca="1">IFERROR(__xludf.DUMMYFUNCTION("""COMPUTED_VALUE"""),"+7.55")</f>
        <v>+7.55</v>
      </c>
      <c r="F101" s="1">
        <f ca="1">IFERROR(__xludf.DUMMYFUNCTION("""COMPUTED_VALUE"""),109.7)</f>
        <v>109.7</v>
      </c>
      <c r="G101" s="1">
        <f ca="1">IFERROR(__xludf.DUMMYFUNCTION("""COMPUTED_VALUE"""),73)</f>
        <v>73</v>
      </c>
      <c r="H101" s="1">
        <f ca="1">IFERROR(__xludf.DUMMYFUNCTION("""COMPUTED_VALUE"""),102.1)</f>
        <v>102.1</v>
      </c>
      <c r="I101" s="1">
        <f ca="1">IFERROR(__xludf.DUMMYFUNCTION("""COMPUTED_VALUE"""),139)</f>
        <v>139</v>
      </c>
      <c r="J101" s="1">
        <f ca="1">IFERROR(__xludf.DUMMYFUNCTION("""COMPUTED_VALUE"""),63.2)</f>
        <v>63.2</v>
      </c>
      <c r="K101" s="1">
        <f ca="1">IFERROR(__xludf.DUMMYFUNCTION("""COMPUTED_VALUE"""),255)</f>
        <v>255</v>
      </c>
      <c r="L101" s="1" t="str">
        <f ca="1">IFERROR(__xludf.DUMMYFUNCTION("""COMPUTED_VALUE"""),"+.019")</f>
        <v>+.019</v>
      </c>
      <c r="M101" s="1">
        <f ca="1">IFERROR(__xludf.DUMMYFUNCTION("""COMPUTED_VALUE"""),119)</f>
        <v>119</v>
      </c>
      <c r="N101" s="1" t="str">
        <f ca="1">IFERROR(__xludf.DUMMYFUNCTION("""COMPUTED_VALUE"""),"+2.40")</f>
        <v>+2.40</v>
      </c>
      <c r="O101" s="1">
        <f ca="1">IFERROR(__xludf.DUMMYFUNCTION("""COMPUTED_VALUE"""),114)</f>
        <v>114</v>
      </c>
      <c r="P101" s="1">
        <f ca="1">IFERROR(__xludf.DUMMYFUNCTION("""COMPUTED_VALUE"""),104.3)</f>
        <v>104.3</v>
      </c>
      <c r="Q101" s="1">
        <f ca="1">IFERROR(__xludf.DUMMYFUNCTION("""COMPUTED_VALUE"""),134)</f>
        <v>134</v>
      </c>
      <c r="R101" s="1">
        <f ca="1">IFERROR(__xludf.DUMMYFUNCTION("""COMPUTED_VALUE"""),101.9)</f>
        <v>101.9</v>
      </c>
      <c r="S101" s="1">
        <f ca="1">IFERROR(__xludf.DUMMYFUNCTION("""COMPUTED_VALUE"""),101)</f>
        <v>101</v>
      </c>
      <c r="T101" s="1" t="str">
        <f ca="1">IFERROR(__xludf.DUMMYFUNCTION("""COMPUTED_VALUE"""),"+3.06")</f>
        <v>+3.06</v>
      </c>
      <c r="U101" s="1">
        <f ca="1">IFERROR(__xludf.DUMMYFUNCTION("""COMPUTED_VALUE"""),75)</f>
        <v>75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IFERROR(__xludf.DUMMYFUNCTION("""COMPUTED_VALUE"""),"Stephen F. Austin7")</f>
        <v>Stephen F. Austin7</v>
      </c>
      <c r="C102" s="1" t="str">
        <f ca="1">IFERROR(__xludf.DUMMYFUNCTION("""COMPUTED_VALUE"""),"Slnd")</f>
        <v>Slnd</v>
      </c>
      <c r="D102" s="1" t="str">
        <f ca="1">IFERROR(__xludf.DUMMYFUNCTION("""COMPUTED_VALUE"""),"26-6")</f>
        <v>26-6</v>
      </c>
      <c r="E102" s="1" t="str">
        <f ca="1">IFERROR(__xludf.DUMMYFUNCTION("""COMPUTED_VALUE"""),"+7.53")</f>
        <v>+7.53</v>
      </c>
      <c r="F102" s="1">
        <f ca="1">IFERROR(__xludf.DUMMYFUNCTION("""COMPUTED_VALUE"""),107.6)</f>
        <v>107.6</v>
      </c>
      <c r="G102" s="1">
        <f ca="1">IFERROR(__xludf.DUMMYFUNCTION("""COMPUTED_VALUE"""),109)</f>
        <v>109</v>
      </c>
      <c r="H102" s="1">
        <f ca="1">IFERROR(__xludf.DUMMYFUNCTION("""COMPUTED_VALUE"""),100.1)</f>
        <v>100.1</v>
      </c>
      <c r="I102" s="1">
        <f ca="1">IFERROR(__xludf.DUMMYFUNCTION("""COMPUTED_VALUE"""),96)</f>
        <v>96</v>
      </c>
      <c r="J102" s="1">
        <f ca="1">IFERROR(__xludf.DUMMYFUNCTION("""COMPUTED_VALUE"""),57.6)</f>
        <v>57.6</v>
      </c>
      <c r="K102" s="1">
        <f ca="1">IFERROR(__xludf.DUMMYFUNCTION("""COMPUTED_VALUE"""),337)</f>
        <v>337</v>
      </c>
      <c r="L102" s="1" t="str">
        <f ca="1">IFERROR(__xludf.DUMMYFUNCTION("""COMPUTED_VALUE"""),"+.029")</f>
        <v>+.029</v>
      </c>
      <c r="M102" s="1">
        <f ca="1">IFERROR(__xludf.DUMMYFUNCTION("""COMPUTED_VALUE"""),100)</f>
        <v>100</v>
      </c>
      <c r="N102" s="1">
        <f ca="1">IFERROR(__xludf.DUMMYFUNCTION("""COMPUTED_VALUE"""),-5.9)</f>
        <v>-5.9</v>
      </c>
      <c r="O102" s="1">
        <f ca="1">IFERROR(__xludf.DUMMYFUNCTION("""COMPUTED_VALUE"""),280)</f>
        <v>280</v>
      </c>
      <c r="P102" s="1">
        <f ca="1">IFERROR(__xludf.DUMMYFUNCTION("""COMPUTED_VALUE"""),98.6)</f>
        <v>98.6</v>
      </c>
      <c r="Q102" s="1">
        <f ca="1">IFERROR(__xludf.DUMMYFUNCTION("""COMPUTED_VALUE"""),319)</f>
        <v>319</v>
      </c>
      <c r="R102" s="1">
        <f ca="1">IFERROR(__xludf.DUMMYFUNCTION("""COMPUTED_VALUE"""),104.5)</f>
        <v>104.5</v>
      </c>
      <c r="S102" s="1">
        <f ca="1">IFERROR(__xludf.DUMMYFUNCTION("""COMPUTED_VALUE"""),194)</f>
        <v>194</v>
      </c>
      <c r="T102" s="1">
        <f ca="1">IFERROR(__xludf.DUMMYFUNCTION("""COMPUTED_VALUE"""),-4.99)</f>
        <v>-4.99</v>
      </c>
      <c r="U102" s="1">
        <f ca="1">IFERROR(__xludf.DUMMYFUNCTION("""COMPUTED_VALUE"""),289)</f>
        <v>289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IFERROR(__xludf.DUMMYFUNCTION("""COMPUTED_VALUE"""),"UCF")</f>
        <v>UCF</v>
      </c>
      <c r="C103" s="1" t="str">
        <f ca="1">IFERROR(__xludf.DUMMYFUNCTION("""COMPUTED_VALUE"""),"CUSA")</f>
        <v>CUSA</v>
      </c>
      <c r="D103" s="1" t="str">
        <f ca="1">IFERROR(__xludf.DUMMYFUNCTION("""COMPUTED_VALUE"""),"16-15")</f>
        <v>16-15</v>
      </c>
      <c r="E103" s="1" t="str">
        <f ca="1">IFERROR(__xludf.DUMMYFUNCTION("""COMPUTED_VALUE"""),"+7.11")</f>
        <v>+7.11</v>
      </c>
      <c r="F103" s="1">
        <f ca="1">IFERROR(__xludf.DUMMYFUNCTION("""COMPUTED_VALUE"""),109.1)</f>
        <v>109.1</v>
      </c>
      <c r="G103" s="1">
        <f ca="1">IFERROR(__xludf.DUMMYFUNCTION("""COMPUTED_VALUE"""),78)</f>
        <v>78</v>
      </c>
      <c r="H103" s="1">
        <f ca="1">IFERROR(__xludf.DUMMYFUNCTION("""COMPUTED_VALUE"""),102)</f>
        <v>102</v>
      </c>
      <c r="I103" s="1">
        <f ca="1">IFERROR(__xludf.DUMMYFUNCTION("""COMPUTED_VALUE"""),137)</f>
        <v>137</v>
      </c>
      <c r="J103" s="1">
        <f ca="1">IFERROR(__xludf.DUMMYFUNCTION("""COMPUTED_VALUE"""),64.1)</f>
        <v>64.099999999999994</v>
      </c>
      <c r="K103" s="1">
        <f ca="1">IFERROR(__xludf.DUMMYFUNCTION("""COMPUTED_VALUE"""),208)</f>
        <v>208</v>
      </c>
      <c r="L103" s="1">
        <f ca="1">IFERROR(__xludf.DUMMYFUNCTION("""COMPUTED_VALUE"""),-0.106)</f>
        <v>-0.106</v>
      </c>
      <c r="M103" s="1">
        <f ca="1">IFERROR(__xludf.DUMMYFUNCTION("""COMPUTED_VALUE"""),339)</f>
        <v>339</v>
      </c>
      <c r="N103" s="1" t="str">
        <f ca="1">IFERROR(__xludf.DUMMYFUNCTION("""COMPUTED_VALUE"""),"+1.20")</f>
        <v>+1.20</v>
      </c>
      <c r="O103" s="1">
        <f ca="1">IFERROR(__xludf.DUMMYFUNCTION("""COMPUTED_VALUE"""),135)</f>
        <v>135</v>
      </c>
      <c r="P103" s="1">
        <f ca="1">IFERROR(__xludf.DUMMYFUNCTION("""COMPUTED_VALUE"""),103.8)</f>
        <v>103.8</v>
      </c>
      <c r="Q103" s="1">
        <f ca="1">IFERROR(__xludf.DUMMYFUNCTION("""COMPUTED_VALUE"""),156)</f>
        <v>156</v>
      </c>
      <c r="R103" s="1">
        <f ca="1">IFERROR(__xludf.DUMMYFUNCTION("""COMPUTED_VALUE"""),102.6)</f>
        <v>102.6</v>
      </c>
      <c r="S103" s="1">
        <f ca="1">IFERROR(__xludf.DUMMYFUNCTION("""COMPUTED_VALUE"""),132)</f>
        <v>132</v>
      </c>
      <c r="T103" s="1">
        <f ca="1">IFERROR(__xludf.DUMMYFUNCTION("""COMPUTED_VALUE"""),-0.15)</f>
        <v>-0.15</v>
      </c>
      <c r="U103" s="1">
        <f ca="1">IFERROR(__xludf.DUMMYFUNCTION("""COMPUTED_VALUE"""),152)</f>
        <v>152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IFERROR(__xludf.DUMMYFUNCTION("""COMPUTED_VALUE"""),"Southern Miss")</f>
        <v>Southern Miss</v>
      </c>
      <c r="C104" s="1" t="str">
        <f ca="1">IFERROR(__xludf.DUMMYFUNCTION("""COMPUTED_VALUE"""),"CUSA")</f>
        <v>CUSA</v>
      </c>
      <c r="D104" s="1" t="str">
        <f ca="1">IFERROR(__xludf.DUMMYFUNCTION("""COMPUTED_VALUE"""),"19-14")</f>
        <v>19-14</v>
      </c>
      <c r="E104" s="1" t="str">
        <f ca="1">IFERROR(__xludf.DUMMYFUNCTION("""COMPUTED_VALUE"""),"+6.98")</f>
        <v>+6.98</v>
      </c>
      <c r="F104" s="1">
        <f ca="1">IFERROR(__xludf.DUMMYFUNCTION("""COMPUTED_VALUE"""),108.3)</f>
        <v>108.3</v>
      </c>
      <c r="G104" s="1">
        <f ca="1">IFERROR(__xludf.DUMMYFUNCTION("""COMPUTED_VALUE"""),91)</f>
        <v>91</v>
      </c>
      <c r="H104" s="1">
        <f ca="1">IFERROR(__xludf.DUMMYFUNCTION("""COMPUTED_VALUE"""),101.3)</f>
        <v>101.3</v>
      </c>
      <c r="I104" s="1">
        <f ca="1">IFERROR(__xludf.DUMMYFUNCTION("""COMPUTED_VALUE"""),123)</f>
        <v>123</v>
      </c>
      <c r="J104" s="1">
        <f ca="1">IFERROR(__xludf.DUMMYFUNCTION("""COMPUTED_VALUE"""),63.3)</f>
        <v>63.3</v>
      </c>
      <c r="K104" s="1">
        <f ca="1">IFERROR(__xludf.DUMMYFUNCTION("""COMPUTED_VALUE"""),249)</f>
        <v>249</v>
      </c>
      <c r="L104" s="1">
        <f ca="1">IFERROR(__xludf.DUMMYFUNCTION("""COMPUTED_VALUE"""),-0.03)</f>
        <v>-0.03</v>
      </c>
      <c r="M104" s="1">
        <f ca="1">IFERROR(__xludf.DUMMYFUNCTION("""COMPUTED_VALUE"""),248)</f>
        <v>248</v>
      </c>
      <c r="N104" s="1" t="str">
        <f ca="1">IFERROR(__xludf.DUMMYFUNCTION("""COMPUTED_VALUE"""),"+3.04")</f>
        <v>+3.04</v>
      </c>
      <c r="O104" s="1">
        <f ca="1">IFERROR(__xludf.DUMMYFUNCTION("""COMPUTED_VALUE"""),109)</f>
        <v>109</v>
      </c>
      <c r="P104" s="1">
        <f ca="1">IFERROR(__xludf.DUMMYFUNCTION("""COMPUTED_VALUE"""),105.1)</f>
        <v>105.1</v>
      </c>
      <c r="Q104" s="1">
        <f ca="1">IFERROR(__xludf.DUMMYFUNCTION("""COMPUTED_VALUE"""),107)</f>
        <v>107</v>
      </c>
      <c r="R104" s="1">
        <f ca="1">IFERROR(__xludf.DUMMYFUNCTION("""COMPUTED_VALUE"""),102.1)</f>
        <v>102.1</v>
      </c>
      <c r="S104" s="1">
        <f ca="1">IFERROR(__xludf.DUMMYFUNCTION("""COMPUTED_VALUE"""),110)</f>
        <v>110</v>
      </c>
      <c r="T104" s="1">
        <f ca="1">IFERROR(__xludf.DUMMYFUNCTION("""COMPUTED_VALUE"""),-1.58)</f>
        <v>-1.58</v>
      </c>
      <c r="U104" s="1">
        <f ca="1">IFERROR(__xludf.DUMMYFUNCTION("""COMPUTED_VALUE"""),194)</f>
        <v>194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IFERROR(__xludf.DUMMYFUNCTION("""COMPUTED_VALUE"""),"UNC Greensboro")</f>
        <v>UNC Greensboro</v>
      </c>
      <c r="C105" s="1" t="str">
        <f ca="1">IFERROR(__xludf.DUMMYFUNCTION("""COMPUTED_VALUE"""),"SC")</f>
        <v>SC</v>
      </c>
      <c r="D105" s="1" t="str">
        <f ca="1">IFERROR(__xludf.DUMMYFUNCTION("""COMPUTED_VALUE"""),"19-12")</f>
        <v>19-12</v>
      </c>
      <c r="E105" s="1" t="str">
        <f ca="1">IFERROR(__xludf.DUMMYFUNCTION("""COMPUTED_VALUE"""),"+6.96")</f>
        <v>+6.96</v>
      </c>
      <c r="F105" s="1">
        <f ca="1">IFERROR(__xludf.DUMMYFUNCTION("""COMPUTED_VALUE"""),108.1)</f>
        <v>108.1</v>
      </c>
      <c r="G105" s="1">
        <f ca="1">IFERROR(__xludf.DUMMYFUNCTION("""COMPUTED_VALUE"""),98)</f>
        <v>98</v>
      </c>
      <c r="H105" s="1">
        <f ca="1">IFERROR(__xludf.DUMMYFUNCTION("""COMPUTED_VALUE"""),101.2)</f>
        <v>101.2</v>
      </c>
      <c r="I105" s="1">
        <f ca="1">IFERROR(__xludf.DUMMYFUNCTION("""COMPUTED_VALUE"""),120)</f>
        <v>120</v>
      </c>
      <c r="J105" s="1">
        <f ca="1">IFERROR(__xludf.DUMMYFUNCTION("""COMPUTED_VALUE"""),64.6)</f>
        <v>64.599999999999994</v>
      </c>
      <c r="K105" s="1">
        <f ca="1">IFERROR(__xludf.DUMMYFUNCTION("""COMPUTED_VALUE"""),189)</f>
        <v>189</v>
      </c>
      <c r="L105" s="1" t="str">
        <f ca="1">IFERROR(__xludf.DUMMYFUNCTION("""COMPUTED_VALUE"""),"+.014")</f>
        <v>+.014</v>
      </c>
      <c r="M105" s="1">
        <f ca="1">IFERROR(__xludf.DUMMYFUNCTION("""COMPUTED_VALUE"""),132)</f>
        <v>132</v>
      </c>
      <c r="N105" s="1" t="str">
        <f ca="1">IFERROR(__xludf.DUMMYFUNCTION("""COMPUTED_VALUE"""),"+0.04")</f>
        <v>+0.04</v>
      </c>
      <c r="O105" s="1">
        <f ca="1">IFERROR(__xludf.DUMMYFUNCTION("""COMPUTED_VALUE"""),155)</f>
        <v>155</v>
      </c>
      <c r="P105" s="1">
        <f ca="1">IFERROR(__xludf.DUMMYFUNCTION("""COMPUTED_VALUE"""),104.1)</f>
        <v>104.1</v>
      </c>
      <c r="Q105" s="1">
        <f ca="1">IFERROR(__xludf.DUMMYFUNCTION("""COMPUTED_VALUE"""),141)</f>
        <v>141</v>
      </c>
      <c r="R105" s="1">
        <f ca="1">IFERROR(__xludf.DUMMYFUNCTION("""COMPUTED_VALUE"""),104.1)</f>
        <v>104.1</v>
      </c>
      <c r="S105" s="1">
        <f ca="1">IFERROR(__xludf.DUMMYFUNCTION("""COMPUTED_VALUE"""),169)</f>
        <v>169</v>
      </c>
      <c r="T105" s="1" t="str">
        <f ca="1">IFERROR(__xludf.DUMMYFUNCTION("""COMPUTED_VALUE"""),"+3.59")</f>
        <v>+3.59</v>
      </c>
      <c r="U105" s="1">
        <f ca="1">IFERROR(__xludf.DUMMYFUNCTION("""COMPUTED_VALUE"""),67)</f>
        <v>67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IFERROR(__xludf.DUMMYFUNCTION("""COMPUTED_VALUE"""),"New Mexico St.")</f>
        <v>New Mexico St.</v>
      </c>
      <c r="C106" s="1" t="str">
        <f ca="1">IFERROR(__xludf.DUMMYFUNCTION("""COMPUTED_VALUE"""),"WAC")</f>
        <v>WAC</v>
      </c>
      <c r="D106" s="1" t="str">
        <f ca="1">IFERROR(__xludf.DUMMYFUNCTION("""COMPUTED_VALUE"""),"21-14")</f>
        <v>21-14</v>
      </c>
      <c r="E106" s="1" t="str">
        <f ca="1">IFERROR(__xludf.DUMMYFUNCTION("""COMPUTED_VALUE"""),"+6.85")</f>
        <v>+6.85</v>
      </c>
      <c r="F106" s="1">
        <f ca="1">IFERROR(__xludf.DUMMYFUNCTION("""COMPUTED_VALUE"""),108.1)</f>
        <v>108.1</v>
      </c>
      <c r="G106" s="1">
        <f ca="1">IFERROR(__xludf.DUMMYFUNCTION("""COMPUTED_VALUE"""),97)</f>
        <v>97</v>
      </c>
      <c r="H106" s="1">
        <f ca="1">IFERROR(__xludf.DUMMYFUNCTION("""COMPUTED_VALUE"""),101.3)</f>
        <v>101.3</v>
      </c>
      <c r="I106" s="1">
        <f ca="1">IFERROR(__xludf.DUMMYFUNCTION("""COMPUTED_VALUE"""),122)</f>
        <v>122</v>
      </c>
      <c r="J106" s="1">
        <f ca="1">IFERROR(__xludf.DUMMYFUNCTION("""COMPUTED_VALUE"""),69.7)</f>
        <v>69.7</v>
      </c>
      <c r="K106" s="1">
        <f ca="1">IFERROR(__xludf.DUMMYFUNCTION("""COMPUTED_VALUE"""),32)</f>
        <v>32</v>
      </c>
      <c r="L106" s="1">
        <f ca="1">IFERROR(__xludf.DUMMYFUNCTION("""COMPUTED_VALUE"""),-0.06)</f>
        <v>-0.06</v>
      </c>
      <c r="M106" s="1">
        <f ca="1">IFERROR(__xludf.DUMMYFUNCTION("""COMPUTED_VALUE"""),304)</f>
        <v>304</v>
      </c>
      <c r="N106" s="1">
        <f ca="1">IFERROR(__xludf.DUMMYFUNCTION("""COMPUTED_VALUE"""),-2.2)</f>
        <v>-2.2000000000000002</v>
      </c>
      <c r="O106" s="1">
        <f ca="1">IFERROR(__xludf.DUMMYFUNCTION("""COMPUTED_VALUE"""),196)</f>
        <v>196</v>
      </c>
      <c r="P106" s="1">
        <f ca="1">IFERROR(__xludf.DUMMYFUNCTION("""COMPUTED_VALUE"""),103.5)</f>
        <v>103.5</v>
      </c>
      <c r="Q106" s="1">
        <f ca="1">IFERROR(__xludf.DUMMYFUNCTION("""COMPUTED_VALUE"""),167)</f>
        <v>167</v>
      </c>
      <c r="R106" s="1">
        <f ca="1">IFERROR(__xludf.DUMMYFUNCTION("""COMPUTED_VALUE"""),105.7)</f>
        <v>105.7</v>
      </c>
      <c r="S106" s="1">
        <f ca="1">IFERROR(__xludf.DUMMYFUNCTION("""COMPUTED_VALUE"""),240)</f>
        <v>240</v>
      </c>
      <c r="T106" s="1" t="str">
        <f ca="1">IFERROR(__xludf.DUMMYFUNCTION("""COMPUTED_VALUE"""),"+4.00")</f>
        <v>+4.00</v>
      </c>
      <c r="U106" s="1">
        <f ca="1">IFERROR(__xludf.DUMMYFUNCTION("""COMPUTED_VALUE"""),58)</f>
        <v>58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IFERROR(__xludf.DUMMYFUNCTION("""COMPUTED_VALUE"""),"Nevada")</f>
        <v>Nevada</v>
      </c>
      <c r="C107" s="1" t="str">
        <f ca="1">IFERROR(__xludf.DUMMYFUNCTION("""COMPUTED_VALUE"""),"WAC")</f>
        <v>WAC</v>
      </c>
      <c r="D107" s="1" t="str">
        <f ca="1">IFERROR(__xludf.DUMMYFUNCTION("""COMPUTED_VALUE"""),"21-12")</f>
        <v>21-12</v>
      </c>
      <c r="E107" s="1" t="str">
        <f ca="1">IFERROR(__xludf.DUMMYFUNCTION("""COMPUTED_VALUE"""),"+6.59")</f>
        <v>+6.59</v>
      </c>
      <c r="F107" s="1">
        <f ca="1">IFERROR(__xludf.DUMMYFUNCTION("""COMPUTED_VALUE"""),108.5)</f>
        <v>108.5</v>
      </c>
      <c r="G107" s="1">
        <f ca="1">IFERROR(__xludf.DUMMYFUNCTION("""COMPUTED_VALUE"""),88)</f>
        <v>88</v>
      </c>
      <c r="H107" s="1">
        <f ca="1">IFERROR(__xludf.DUMMYFUNCTION("""COMPUTED_VALUE"""),101.9)</f>
        <v>101.9</v>
      </c>
      <c r="I107" s="1">
        <f ca="1">IFERROR(__xludf.DUMMYFUNCTION("""COMPUTED_VALUE"""),133)</f>
        <v>133</v>
      </c>
      <c r="J107" s="1">
        <f ca="1">IFERROR(__xludf.DUMMYFUNCTION("""COMPUTED_VALUE"""),67.2)</f>
        <v>67.2</v>
      </c>
      <c r="K107" s="1">
        <f ca="1">IFERROR(__xludf.DUMMYFUNCTION("""COMPUTED_VALUE"""),97)</f>
        <v>97</v>
      </c>
      <c r="L107" s="1" t="str">
        <f ca="1">IFERROR(__xludf.DUMMYFUNCTION("""COMPUTED_VALUE"""),"+.013")</f>
        <v>+.013</v>
      </c>
      <c r="M107" s="1">
        <f ca="1">IFERROR(__xludf.DUMMYFUNCTION("""COMPUTED_VALUE"""),136)</f>
        <v>136</v>
      </c>
      <c r="N107" s="1" t="str">
        <f ca="1">IFERROR(__xludf.DUMMYFUNCTION("""COMPUTED_VALUE"""),"+0.09")</f>
        <v>+0.09</v>
      </c>
      <c r="O107" s="1">
        <f ca="1">IFERROR(__xludf.DUMMYFUNCTION("""COMPUTED_VALUE"""),153)</f>
        <v>153</v>
      </c>
      <c r="P107" s="1">
        <f ca="1">IFERROR(__xludf.DUMMYFUNCTION("""COMPUTED_VALUE"""),104.8)</f>
        <v>104.8</v>
      </c>
      <c r="Q107" s="1">
        <f ca="1">IFERROR(__xludf.DUMMYFUNCTION("""COMPUTED_VALUE"""),113)</f>
        <v>113</v>
      </c>
      <c r="R107" s="1">
        <f ca="1">IFERROR(__xludf.DUMMYFUNCTION("""COMPUTED_VALUE"""),104.7)</f>
        <v>104.7</v>
      </c>
      <c r="S107" s="1">
        <f ca="1">IFERROR(__xludf.DUMMYFUNCTION("""COMPUTED_VALUE"""),198)</f>
        <v>198</v>
      </c>
      <c r="T107" s="1" t="str">
        <f ca="1">IFERROR(__xludf.DUMMYFUNCTION("""COMPUTED_VALUE"""),"+5.58")</f>
        <v>+5.58</v>
      </c>
      <c r="U107" s="1">
        <f ca="1">IFERROR(__xludf.DUMMYFUNCTION("""COMPUTED_VALUE"""),36)</f>
        <v>36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IFERROR(__xludf.DUMMYFUNCTION("""COMPUTED_VALUE"""),"Cincinnati")</f>
        <v>Cincinnati</v>
      </c>
      <c r="C108" s="1" t="str">
        <f ca="1">IFERROR(__xludf.DUMMYFUNCTION("""COMPUTED_VALUE"""),"BE")</f>
        <v>BE</v>
      </c>
      <c r="D108" s="1" t="str">
        <f ca="1">IFERROR(__xludf.DUMMYFUNCTION("""COMPUTED_VALUE"""),"13-19")</f>
        <v>13-19</v>
      </c>
      <c r="E108" s="1" t="str">
        <f ca="1">IFERROR(__xludf.DUMMYFUNCTION("""COMPUTED_VALUE"""),"+6.58")</f>
        <v>+6.58</v>
      </c>
      <c r="F108" s="1">
        <f ca="1">IFERROR(__xludf.DUMMYFUNCTION("""COMPUTED_VALUE"""),104.8)</f>
        <v>104.8</v>
      </c>
      <c r="G108" s="1">
        <f ca="1">IFERROR(__xludf.DUMMYFUNCTION("""COMPUTED_VALUE"""),152)</f>
        <v>152</v>
      </c>
      <c r="H108" s="1">
        <f ca="1">IFERROR(__xludf.DUMMYFUNCTION("""COMPUTED_VALUE"""),98.2)</f>
        <v>98.2</v>
      </c>
      <c r="I108" s="1">
        <f ca="1">IFERROR(__xludf.DUMMYFUNCTION("""COMPUTED_VALUE"""),70)</f>
        <v>70</v>
      </c>
      <c r="J108" s="1">
        <f ca="1">IFERROR(__xludf.DUMMYFUNCTION("""COMPUTED_VALUE"""),63.5)</f>
        <v>63.5</v>
      </c>
      <c r="K108" s="1">
        <f ca="1">IFERROR(__xludf.DUMMYFUNCTION("""COMPUTED_VALUE"""),241)</f>
        <v>241</v>
      </c>
      <c r="L108" s="1">
        <f ca="1">IFERROR(__xludf.DUMMYFUNCTION("""COMPUTED_VALUE"""),-0.006)</f>
        <v>-6.0000000000000001E-3</v>
      </c>
      <c r="M108" s="1">
        <f ca="1">IFERROR(__xludf.DUMMYFUNCTION("""COMPUTED_VALUE"""),186)</f>
        <v>186</v>
      </c>
      <c r="N108" s="1" t="str">
        <f ca="1">IFERROR(__xludf.DUMMYFUNCTION("""COMPUTED_VALUE"""),"+9.65")</f>
        <v>+9.65</v>
      </c>
      <c r="O108" s="1">
        <f ca="1">IFERROR(__xludf.DUMMYFUNCTION("""COMPUTED_VALUE"""),11)</f>
        <v>11</v>
      </c>
      <c r="P108" s="1">
        <f ca="1">IFERROR(__xludf.DUMMYFUNCTION("""COMPUTED_VALUE"""),109)</f>
        <v>109</v>
      </c>
      <c r="Q108" s="1">
        <f ca="1">IFERROR(__xludf.DUMMYFUNCTION("""COMPUTED_VALUE"""),13)</f>
        <v>13</v>
      </c>
      <c r="R108" s="1">
        <f ca="1">IFERROR(__xludf.DUMMYFUNCTION("""COMPUTED_VALUE"""),99.3)</f>
        <v>99.3</v>
      </c>
      <c r="S108" s="1">
        <f ca="1">IFERROR(__xludf.DUMMYFUNCTION("""COMPUTED_VALUE"""),27)</f>
        <v>27</v>
      </c>
      <c r="T108" s="1" t="str">
        <f ca="1">IFERROR(__xludf.DUMMYFUNCTION("""COMPUTED_VALUE"""),"+1.57")</f>
        <v>+1.57</v>
      </c>
      <c r="U108" s="1">
        <f ca="1">IFERROR(__xludf.DUMMYFUNCTION("""COMPUTED_VALUE"""),105)</f>
        <v>105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IFERROR(__xludf.DUMMYFUNCTION("""COMPUTED_VALUE"""),"Cleveland St.6")</f>
        <v>Cleveland St.6</v>
      </c>
      <c r="C109" s="1" t="str">
        <f ca="1">IFERROR(__xludf.DUMMYFUNCTION("""COMPUTED_VALUE"""),"Horz")</f>
        <v>Horz</v>
      </c>
      <c r="D109" s="1" t="str">
        <f ca="1">IFERROR(__xludf.DUMMYFUNCTION("""COMPUTED_VALUE"""),"21-13")</f>
        <v>21-13</v>
      </c>
      <c r="E109" s="1" t="str">
        <f ca="1">IFERROR(__xludf.DUMMYFUNCTION("""COMPUTED_VALUE"""),"+6.58")</f>
        <v>+6.58</v>
      </c>
      <c r="F109" s="1">
        <f ca="1">IFERROR(__xludf.DUMMYFUNCTION("""COMPUTED_VALUE"""),103.3)</f>
        <v>103.3</v>
      </c>
      <c r="G109" s="1">
        <f ca="1">IFERROR(__xludf.DUMMYFUNCTION("""COMPUTED_VALUE"""),177)</f>
        <v>177</v>
      </c>
      <c r="H109" s="1">
        <f ca="1">IFERROR(__xludf.DUMMYFUNCTION("""COMPUTED_VALUE"""),96.7)</f>
        <v>96.7</v>
      </c>
      <c r="I109" s="1">
        <f ca="1">IFERROR(__xludf.DUMMYFUNCTION("""COMPUTED_VALUE"""),55)</f>
        <v>55</v>
      </c>
      <c r="J109" s="1">
        <f ca="1">IFERROR(__xludf.DUMMYFUNCTION("""COMPUTED_VALUE"""),64.7)</f>
        <v>64.7</v>
      </c>
      <c r="K109" s="1">
        <f ca="1">IFERROR(__xludf.DUMMYFUNCTION("""COMPUTED_VALUE"""),182)</f>
        <v>182</v>
      </c>
      <c r="L109" s="1" t="str">
        <f ca="1">IFERROR(__xludf.DUMMYFUNCTION("""COMPUTED_VALUE"""),"+.035")</f>
        <v>+.035</v>
      </c>
      <c r="M109" s="1">
        <f ca="1">IFERROR(__xludf.DUMMYFUNCTION("""COMPUTED_VALUE"""),88)</f>
        <v>88</v>
      </c>
      <c r="N109" s="1" t="str">
        <f ca="1">IFERROR(__xludf.DUMMYFUNCTION("""COMPUTED_VALUE"""),"+3.23")</f>
        <v>+3.23</v>
      </c>
      <c r="O109" s="1">
        <f ca="1">IFERROR(__xludf.DUMMYFUNCTION("""COMPUTED_VALUE"""),105)</f>
        <v>105</v>
      </c>
      <c r="P109" s="1">
        <f ca="1">IFERROR(__xludf.DUMMYFUNCTION("""COMPUTED_VALUE"""),105.5)</f>
        <v>105.5</v>
      </c>
      <c r="Q109" s="1">
        <f ca="1">IFERROR(__xludf.DUMMYFUNCTION("""COMPUTED_VALUE"""),100)</f>
        <v>100</v>
      </c>
      <c r="R109" s="1">
        <f ca="1">IFERROR(__xludf.DUMMYFUNCTION("""COMPUTED_VALUE"""),102.3)</f>
        <v>102.3</v>
      </c>
      <c r="S109" s="1">
        <f ca="1">IFERROR(__xludf.DUMMYFUNCTION("""COMPUTED_VALUE"""),119)</f>
        <v>119</v>
      </c>
      <c r="T109" s="1" t="str">
        <f ca="1">IFERROR(__xludf.DUMMYFUNCTION("""COMPUTED_VALUE"""),"+3.54")</f>
        <v>+3.54</v>
      </c>
      <c r="U109" s="1">
        <f ca="1">IFERROR(__xludf.DUMMYFUNCTION("""COMPUTED_VALUE"""),68)</f>
        <v>68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IFERROR(__xludf.DUMMYFUNCTION("""COMPUTED_VALUE"""),"Winthrop13")</f>
        <v>Winthrop13</v>
      </c>
      <c r="C110" s="1" t="str">
        <f ca="1">IFERROR(__xludf.DUMMYFUNCTION("""COMPUTED_VALUE"""),"BSth")</f>
        <v>BSth</v>
      </c>
      <c r="D110" s="1" t="str">
        <f ca="1">IFERROR(__xludf.DUMMYFUNCTION("""COMPUTED_VALUE"""),"22-12")</f>
        <v>22-12</v>
      </c>
      <c r="E110" s="1" t="str">
        <f ca="1">IFERROR(__xludf.DUMMYFUNCTION("""COMPUTED_VALUE"""),"+6.38")</f>
        <v>+6.38</v>
      </c>
      <c r="F110" s="1">
        <f ca="1">IFERROR(__xludf.DUMMYFUNCTION("""COMPUTED_VALUE"""),99.5)</f>
        <v>99.5</v>
      </c>
      <c r="G110" s="1">
        <f ca="1">IFERROR(__xludf.DUMMYFUNCTION("""COMPUTED_VALUE"""),232)</f>
        <v>232</v>
      </c>
      <c r="H110" s="1">
        <f ca="1">IFERROR(__xludf.DUMMYFUNCTION("""COMPUTED_VALUE"""),93.1)</f>
        <v>93.1</v>
      </c>
      <c r="I110" s="1">
        <f ca="1">IFERROR(__xludf.DUMMYFUNCTION("""COMPUTED_VALUE"""),20)</f>
        <v>20</v>
      </c>
      <c r="J110" s="1">
        <f ca="1">IFERROR(__xludf.DUMMYFUNCTION("""COMPUTED_VALUE"""),61.6)</f>
        <v>61.6</v>
      </c>
      <c r="K110" s="1">
        <f ca="1">IFERROR(__xludf.DUMMYFUNCTION("""COMPUTED_VALUE"""),298)</f>
        <v>298</v>
      </c>
      <c r="L110" s="1">
        <f ca="1">IFERROR(__xludf.DUMMYFUNCTION("""COMPUTED_VALUE"""),0)</f>
        <v>0</v>
      </c>
      <c r="M110" s="1">
        <f ca="1">IFERROR(__xludf.DUMMYFUNCTION("""COMPUTED_VALUE"""),167)</f>
        <v>167</v>
      </c>
      <c r="N110" s="1">
        <f ca="1">IFERROR(__xludf.DUMMYFUNCTION("""COMPUTED_VALUE"""),-1.01)</f>
        <v>-1.01</v>
      </c>
      <c r="O110" s="1">
        <f ca="1">IFERROR(__xludf.DUMMYFUNCTION("""COMPUTED_VALUE"""),175)</f>
        <v>175</v>
      </c>
      <c r="P110" s="1">
        <f ca="1">IFERROR(__xludf.DUMMYFUNCTION("""COMPUTED_VALUE"""),105.1)</f>
        <v>105.1</v>
      </c>
      <c r="Q110" s="1">
        <f ca="1">IFERROR(__xludf.DUMMYFUNCTION("""COMPUTED_VALUE"""),106)</f>
        <v>106</v>
      </c>
      <c r="R110" s="1">
        <f ca="1">IFERROR(__xludf.DUMMYFUNCTION("""COMPUTED_VALUE"""),106.1)</f>
        <v>106.1</v>
      </c>
      <c r="S110" s="1">
        <f ca="1">IFERROR(__xludf.DUMMYFUNCTION("""COMPUTED_VALUE"""),267)</f>
        <v>267</v>
      </c>
      <c r="T110" s="1" t="str">
        <f ca="1">IFERROR(__xludf.DUMMYFUNCTION("""COMPUTED_VALUE"""),"+7.81")</f>
        <v>+7.81</v>
      </c>
      <c r="U110" s="1">
        <f ca="1">IFERROR(__xludf.DUMMYFUNCTION("""COMPUTED_VALUE"""),19)</f>
        <v>19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IFERROR(__xludf.DUMMYFUNCTION("""COMPUTED_VALUE"""),"Boston College")</f>
        <v>Boston College</v>
      </c>
      <c r="C111" s="1" t="str">
        <f ca="1">IFERROR(__xludf.DUMMYFUNCTION("""COMPUTED_VALUE"""),"ACC")</f>
        <v>ACC</v>
      </c>
      <c r="D111" s="1" t="str">
        <f ca="1">IFERROR(__xludf.DUMMYFUNCTION("""COMPUTED_VALUE"""),"14-17")</f>
        <v>14-17</v>
      </c>
      <c r="E111" s="1" t="str">
        <f ca="1">IFERROR(__xludf.DUMMYFUNCTION("""COMPUTED_VALUE"""),"+6.37")</f>
        <v>+6.37</v>
      </c>
      <c r="F111" s="1">
        <f ca="1">IFERROR(__xludf.DUMMYFUNCTION("""COMPUTED_VALUE"""),108.9)</f>
        <v>108.9</v>
      </c>
      <c r="G111" s="1">
        <f ca="1">IFERROR(__xludf.DUMMYFUNCTION("""COMPUTED_VALUE"""),81)</f>
        <v>81</v>
      </c>
      <c r="H111" s="1">
        <f ca="1">IFERROR(__xludf.DUMMYFUNCTION("""COMPUTED_VALUE"""),102.6)</f>
        <v>102.6</v>
      </c>
      <c r="I111" s="1">
        <f ca="1">IFERROR(__xludf.DUMMYFUNCTION("""COMPUTED_VALUE"""),149)</f>
        <v>149</v>
      </c>
      <c r="J111" s="1">
        <f ca="1">IFERROR(__xludf.DUMMYFUNCTION("""COMPUTED_VALUE"""),64.2)</f>
        <v>64.2</v>
      </c>
      <c r="K111" s="1">
        <f ca="1">IFERROR(__xludf.DUMMYFUNCTION("""COMPUTED_VALUE"""),203)</f>
        <v>203</v>
      </c>
      <c r="L111" s="1">
        <f ca="1">IFERROR(__xludf.DUMMYFUNCTION("""COMPUTED_VALUE"""),-0.015)</f>
        <v>-1.4999999999999999E-2</v>
      </c>
      <c r="M111" s="1">
        <f ca="1">IFERROR(__xludf.DUMMYFUNCTION("""COMPUTED_VALUE"""),204)</f>
        <v>204</v>
      </c>
      <c r="N111" s="1" t="str">
        <f ca="1">IFERROR(__xludf.DUMMYFUNCTION("""COMPUTED_VALUE"""),"+7.87")</f>
        <v>+7.87</v>
      </c>
      <c r="O111" s="1">
        <f ca="1">IFERROR(__xludf.DUMMYFUNCTION("""COMPUTED_VALUE"""),42)</f>
        <v>42</v>
      </c>
      <c r="P111" s="1">
        <f ca="1">IFERROR(__xludf.DUMMYFUNCTION("""COMPUTED_VALUE"""),107.9)</f>
        <v>107.9</v>
      </c>
      <c r="Q111" s="1">
        <f ca="1">IFERROR(__xludf.DUMMYFUNCTION("""COMPUTED_VALUE"""),42)</f>
        <v>42</v>
      </c>
      <c r="R111" s="1">
        <f ca="1">IFERROR(__xludf.DUMMYFUNCTION("""COMPUTED_VALUE"""),100)</f>
        <v>100</v>
      </c>
      <c r="S111" s="1">
        <f ca="1">IFERROR(__xludf.DUMMYFUNCTION("""COMPUTED_VALUE"""),51)</f>
        <v>51</v>
      </c>
      <c r="T111" s="1">
        <f ca="1">IFERROR(__xludf.DUMMYFUNCTION("""COMPUTED_VALUE"""),-4.02)</f>
        <v>-4.0199999999999996</v>
      </c>
      <c r="U111" s="1">
        <f ca="1">IFERROR(__xludf.DUMMYFUNCTION("""COMPUTED_VALUE"""),273)</f>
        <v>273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IFERROR(__xludf.DUMMYFUNCTION("""COMPUTED_VALUE"""),"South Carolina")</f>
        <v>South Carolina</v>
      </c>
      <c r="C112" s="1" t="str">
        <f ca="1">IFERROR(__xludf.DUMMYFUNCTION("""COMPUTED_VALUE"""),"SEC")</f>
        <v>SEC</v>
      </c>
      <c r="D112" s="1" t="str">
        <f ca="1">IFERROR(__xludf.DUMMYFUNCTION("""COMPUTED_VALUE"""),"14-18")</f>
        <v>14-18</v>
      </c>
      <c r="E112" s="1" t="str">
        <f ca="1">IFERROR(__xludf.DUMMYFUNCTION("""COMPUTED_VALUE"""),"+6.10")</f>
        <v>+6.10</v>
      </c>
      <c r="F112" s="1">
        <f ca="1">IFERROR(__xludf.DUMMYFUNCTION("""COMPUTED_VALUE"""),109.1)</f>
        <v>109.1</v>
      </c>
      <c r="G112" s="1">
        <f ca="1">IFERROR(__xludf.DUMMYFUNCTION("""COMPUTED_VALUE"""),79)</f>
        <v>79</v>
      </c>
      <c r="H112" s="1">
        <f ca="1">IFERROR(__xludf.DUMMYFUNCTION("""COMPUTED_VALUE"""),103)</f>
        <v>103</v>
      </c>
      <c r="I112" s="1">
        <f ca="1">IFERROR(__xludf.DUMMYFUNCTION("""COMPUTED_VALUE"""),157)</f>
        <v>157</v>
      </c>
      <c r="J112" s="1">
        <f ca="1">IFERROR(__xludf.DUMMYFUNCTION("""COMPUTED_VALUE"""),64.7)</f>
        <v>64.7</v>
      </c>
      <c r="K112" s="1">
        <f ca="1">IFERROR(__xludf.DUMMYFUNCTION("""COMPUTED_VALUE"""),184)</f>
        <v>184</v>
      </c>
      <c r="L112" s="1">
        <f ca="1">IFERROR(__xludf.DUMMYFUNCTION("""COMPUTED_VALUE"""),-0.086)</f>
        <v>-8.5999999999999993E-2</v>
      </c>
      <c r="M112" s="1">
        <f ca="1">IFERROR(__xludf.DUMMYFUNCTION("""COMPUTED_VALUE"""),331)</f>
        <v>331</v>
      </c>
      <c r="N112" s="1" t="str">
        <f ca="1">IFERROR(__xludf.DUMMYFUNCTION("""COMPUTED_VALUE"""),"+6.41")</f>
        <v>+6.41</v>
      </c>
      <c r="O112" s="1">
        <f ca="1">IFERROR(__xludf.DUMMYFUNCTION("""COMPUTED_VALUE"""),63)</f>
        <v>63</v>
      </c>
      <c r="P112" s="1">
        <f ca="1">IFERROR(__xludf.DUMMYFUNCTION("""COMPUTED_VALUE"""),108)</f>
        <v>108</v>
      </c>
      <c r="Q112" s="1">
        <f ca="1">IFERROR(__xludf.DUMMYFUNCTION("""COMPUTED_VALUE"""),37)</f>
        <v>37</v>
      </c>
      <c r="R112" s="1">
        <f ca="1">IFERROR(__xludf.DUMMYFUNCTION("""COMPUTED_VALUE"""),101.6)</f>
        <v>101.6</v>
      </c>
      <c r="S112" s="1">
        <f ca="1">IFERROR(__xludf.DUMMYFUNCTION("""COMPUTED_VALUE"""),92)</f>
        <v>92</v>
      </c>
      <c r="T112" s="1">
        <f ca="1">IFERROR(__xludf.DUMMYFUNCTION("""COMPUTED_VALUE"""),-2.69)</f>
        <v>-2.69</v>
      </c>
      <c r="U112" s="1">
        <f ca="1">IFERROR(__xludf.DUMMYFUNCTION("""COMPUTED_VALUE"""),233)</f>
        <v>233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IFERROR(__xludf.DUMMYFUNCTION("""COMPUTED_VALUE"""),"Seton Hall")</f>
        <v>Seton Hall</v>
      </c>
      <c r="C113" s="1" t="str">
        <f ca="1">IFERROR(__xludf.DUMMYFUNCTION("""COMPUTED_VALUE"""),"BE")</f>
        <v>BE</v>
      </c>
      <c r="D113" s="1" t="str">
        <f ca="1">IFERROR(__xludf.DUMMYFUNCTION("""COMPUTED_VALUE"""),"17-15")</f>
        <v>17-15</v>
      </c>
      <c r="E113" s="1" t="str">
        <f ca="1">IFERROR(__xludf.DUMMYFUNCTION("""COMPUTED_VALUE"""),"+6.00")</f>
        <v>+6.00</v>
      </c>
      <c r="F113" s="1">
        <f ca="1">IFERROR(__xludf.DUMMYFUNCTION("""COMPUTED_VALUE"""),110.5)</f>
        <v>110.5</v>
      </c>
      <c r="G113" s="1">
        <f ca="1">IFERROR(__xludf.DUMMYFUNCTION("""COMPUTED_VALUE"""),62)</f>
        <v>62</v>
      </c>
      <c r="H113" s="1">
        <f ca="1">IFERROR(__xludf.DUMMYFUNCTION("""COMPUTED_VALUE"""),104.5)</f>
        <v>104.5</v>
      </c>
      <c r="I113" s="1">
        <f ca="1">IFERROR(__xludf.DUMMYFUNCTION("""COMPUTED_VALUE"""),189)</f>
        <v>189</v>
      </c>
      <c r="J113" s="1">
        <f ca="1">IFERROR(__xludf.DUMMYFUNCTION("""COMPUTED_VALUE"""),69.2)</f>
        <v>69.2</v>
      </c>
      <c r="K113" s="1">
        <f ca="1">IFERROR(__xludf.DUMMYFUNCTION("""COMPUTED_VALUE"""),41)</f>
        <v>41</v>
      </c>
      <c r="L113" s="1" t="str">
        <f ca="1">IFERROR(__xludf.DUMMYFUNCTION("""COMPUTED_VALUE"""),"+.040")</f>
        <v>+.040</v>
      </c>
      <c r="M113" s="1">
        <f ca="1">IFERROR(__xludf.DUMMYFUNCTION("""COMPUTED_VALUE"""),76)</f>
        <v>76</v>
      </c>
      <c r="N113" s="1" t="str">
        <f ca="1">IFERROR(__xludf.DUMMYFUNCTION("""COMPUTED_VALUE"""),"+5.69")</f>
        <v>+5.69</v>
      </c>
      <c r="O113" s="1">
        <f ca="1">IFERROR(__xludf.DUMMYFUNCTION("""COMPUTED_VALUE"""),76)</f>
        <v>76</v>
      </c>
      <c r="P113" s="1">
        <f ca="1">IFERROR(__xludf.DUMMYFUNCTION("""COMPUTED_VALUE"""),106.5)</f>
        <v>106.5</v>
      </c>
      <c r="Q113" s="1">
        <f ca="1">IFERROR(__xludf.DUMMYFUNCTION("""COMPUTED_VALUE"""),78)</f>
        <v>78</v>
      </c>
      <c r="R113" s="1">
        <f ca="1">IFERROR(__xludf.DUMMYFUNCTION("""COMPUTED_VALUE"""),100.8)</f>
        <v>100.8</v>
      </c>
      <c r="S113" s="1">
        <f ca="1">IFERROR(__xludf.DUMMYFUNCTION("""COMPUTED_VALUE"""),69)</f>
        <v>69</v>
      </c>
      <c r="T113" s="1">
        <f ca="1">IFERROR(__xludf.DUMMYFUNCTION("""COMPUTED_VALUE"""),-5.3)</f>
        <v>-5.3</v>
      </c>
      <c r="U113" s="1">
        <f ca="1">IFERROR(__xludf.DUMMYFUNCTION("""COMPUTED_VALUE"""),293)</f>
        <v>293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IFERROR(__xludf.DUMMYFUNCTION("""COMPUTED_VALUE"""),"UTEP")</f>
        <v>UTEP</v>
      </c>
      <c r="C114" s="1" t="str">
        <f ca="1">IFERROR(__xludf.DUMMYFUNCTION("""COMPUTED_VALUE"""),"CUSA")</f>
        <v>CUSA</v>
      </c>
      <c r="D114" s="1" t="str">
        <f ca="1">IFERROR(__xludf.DUMMYFUNCTION("""COMPUTED_VALUE"""),"19-14")</f>
        <v>19-14</v>
      </c>
      <c r="E114" s="1" t="str">
        <f ca="1">IFERROR(__xludf.DUMMYFUNCTION("""COMPUTED_VALUE"""),"+5.74")</f>
        <v>+5.74</v>
      </c>
      <c r="F114" s="1">
        <f ca="1">IFERROR(__xludf.DUMMYFUNCTION("""COMPUTED_VALUE"""),106.7)</f>
        <v>106.7</v>
      </c>
      <c r="G114" s="1">
        <f ca="1">IFERROR(__xludf.DUMMYFUNCTION("""COMPUTED_VALUE"""),123)</f>
        <v>123</v>
      </c>
      <c r="H114" s="1">
        <f ca="1">IFERROR(__xludf.DUMMYFUNCTION("""COMPUTED_VALUE"""),100.9)</f>
        <v>100.9</v>
      </c>
      <c r="I114" s="1">
        <f ca="1">IFERROR(__xludf.DUMMYFUNCTION("""COMPUTED_VALUE"""),115)</f>
        <v>115</v>
      </c>
      <c r="J114" s="1">
        <f ca="1">IFERROR(__xludf.DUMMYFUNCTION("""COMPUTED_VALUE"""),70.9)</f>
        <v>70.900000000000006</v>
      </c>
      <c r="K114" s="1">
        <f ca="1">IFERROR(__xludf.DUMMYFUNCTION("""COMPUTED_VALUE"""),16)</f>
        <v>16</v>
      </c>
      <c r="L114" s="1">
        <f ca="1">IFERROR(__xludf.DUMMYFUNCTION("""COMPUTED_VALUE"""),-0.013)</f>
        <v>-1.2999999999999999E-2</v>
      </c>
      <c r="M114" s="1">
        <f ca="1">IFERROR(__xludf.DUMMYFUNCTION("""COMPUTED_VALUE"""),201)</f>
        <v>201</v>
      </c>
      <c r="N114" s="1" t="str">
        <f ca="1">IFERROR(__xludf.DUMMYFUNCTION("""COMPUTED_VALUE"""),"+1.46")</f>
        <v>+1.46</v>
      </c>
      <c r="O114" s="1">
        <f ca="1">IFERROR(__xludf.DUMMYFUNCTION("""COMPUTED_VALUE"""),130)</f>
        <v>130</v>
      </c>
      <c r="P114" s="1">
        <f ca="1">IFERROR(__xludf.DUMMYFUNCTION("""COMPUTED_VALUE"""),103.6)</f>
        <v>103.6</v>
      </c>
      <c r="Q114" s="1">
        <f ca="1">IFERROR(__xludf.DUMMYFUNCTION("""COMPUTED_VALUE"""),160)</f>
        <v>160</v>
      </c>
      <c r="R114" s="1">
        <f ca="1">IFERROR(__xludf.DUMMYFUNCTION("""COMPUTED_VALUE"""),102.2)</f>
        <v>102.2</v>
      </c>
      <c r="S114" s="1">
        <f ca="1">IFERROR(__xludf.DUMMYFUNCTION("""COMPUTED_VALUE"""),115)</f>
        <v>115</v>
      </c>
      <c r="T114" s="1">
        <f ca="1">IFERROR(__xludf.DUMMYFUNCTION("""COMPUTED_VALUE"""),-3.53)</f>
        <v>-3.53</v>
      </c>
      <c r="U114" s="1">
        <f ca="1">IFERROR(__xludf.DUMMYFUNCTION("""COMPUTED_VALUE"""),261)</f>
        <v>261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IFERROR(__xludf.DUMMYFUNCTION("""COMPUTED_VALUE"""),"Utah St.7")</f>
        <v>Utah St.7</v>
      </c>
      <c r="C115" s="1" t="str">
        <f ca="1">IFERROR(__xludf.DUMMYFUNCTION("""COMPUTED_VALUE"""),"WAC")</f>
        <v>WAC</v>
      </c>
      <c r="D115" s="1" t="str">
        <f ca="1">IFERROR(__xludf.DUMMYFUNCTION("""COMPUTED_VALUE"""),"24-11")</f>
        <v>24-11</v>
      </c>
      <c r="E115" s="1" t="str">
        <f ca="1">IFERROR(__xludf.DUMMYFUNCTION("""COMPUTED_VALUE"""),"+5.70")</f>
        <v>+5.70</v>
      </c>
      <c r="F115" s="1">
        <f ca="1">IFERROR(__xludf.DUMMYFUNCTION("""COMPUTED_VALUE"""),114.6)</f>
        <v>114.6</v>
      </c>
      <c r="G115" s="1">
        <f ca="1">IFERROR(__xludf.DUMMYFUNCTION("""COMPUTED_VALUE"""),28)</f>
        <v>28</v>
      </c>
      <c r="H115" s="1">
        <f ca="1">IFERROR(__xludf.DUMMYFUNCTION("""COMPUTED_VALUE"""),108.9)</f>
        <v>108.9</v>
      </c>
      <c r="I115" s="1">
        <f ca="1">IFERROR(__xludf.DUMMYFUNCTION("""COMPUTED_VALUE"""),270)</f>
        <v>270</v>
      </c>
      <c r="J115" s="1">
        <f ca="1">IFERROR(__xludf.DUMMYFUNCTION("""COMPUTED_VALUE"""),62.9)</f>
        <v>62.9</v>
      </c>
      <c r="K115" s="1">
        <f ca="1">IFERROR(__xludf.DUMMYFUNCTION("""COMPUTED_VALUE"""),264)</f>
        <v>264</v>
      </c>
      <c r="L115" s="1" t="str">
        <f ca="1">IFERROR(__xludf.DUMMYFUNCTION("""COMPUTED_VALUE"""),"+.038")</f>
        <v>+.038</v>
      </c>
      <c r="M115" s="1">
        <f ca="1">IFERROR(__xludf.DUMMYFUNCTION("""COMPUTED_VALUE"""),82)</f>
        <v>82</v>
      </c>
      <c r="N115" s="1">
        <f ca="1">IFERROR(__xludf.DUMMYFUNCTION("""COMPUTED_VALUE"""),-3.25)</f>
        <v>-3.25</v>
      </c>
      <c r="O115" s="1">
        <f ca="1">IFERROR(__xludf.DUMMYFUNCTION("""COMPUTED_VALUE"""),224)</f>
        <v>224</v>
      </c>
      <c r="P115" s="1">
        <f ca="1">IFERROR(__xludf.DUMMYFUNCTION("""COMPUTED_VALUE"""),101.8)</f>
        <v>101.8</v>
      </c>
      <c r="Q115" s="1">
        <f ca="1">IFERROR(__xludf.DUMMYFUNCTION("""COMPUTED_VALUE"""),232)</f>
        <v>232</v>
      </c>
      <c r="R115" s="1">
        <f ca="1">IFERROR(__xludf.DUMMYFUNCTION("""COMPUTED_VALUE"""),105)</f>
        <v>105</v>
      </c>
      <c r="S115" s="1">
        <f ca="1">IFERROR(__xludf.DUMMYFUNCTION("""COMPUTED_VALUE"""),210)</f>
        <v>210</v>
      </c>
      <c r="T115" s="1">
        <f ca="1">IFERROR(__xludf.DUMMYFUNCTION("""COMPUTED_VALUE"""),-3.06)</f>
        <v>-3.06</v>
      </c>
      <c r="U115" s="1">
        <f ca="1">IFERROR(__xludf.DUMMYFUNCTION("""COMPUTED_VALUE"""),245)</f>
        <v>245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IFERROR(__xludf.DUMMYFUNCTION("""COMPUTED_VALUE"""),"N.C. State")</f>
        <v>N.C. State</v>
      </c>
      <c r="C116" s="1" t="str">
        <f ca="1">IFERROR(__xludf.DUMMYFUNCTION("""COMPUTED_VALUE"""),"ACC")</f>
        <v>ACC</v>
      </c>
      <c r="D116" s="1" t="str">
        <f ca="1">IFERROR(__xludf.DUMMYFUNCTION("""COMPUTED_VALUE"""),"15-16")</f>
        <v>15-16</v>
      </c>
      <c r="E116" s="1" t="str">
        <f ca="1">IFERROR(__xludf.DUMMYFUNCTION("""COMPUTED_VALUE"""),"+5.65")</f>
        <v>+5.65</v>
      </c>
      <c r="F116" s="1">
        <f ca="1">IFERROR(__xludf.DUMMYFUNCTION("""COMPUTED_VALUE"""),107.6)</f>
        <v>107.6</v>
      </c>
      <c r="G116" s="1">
        <f ca="1">IFERROR(__xludf.DUMMYFUNCTION("""COMPUTED_VALUE"""),110)</f>
        <v>110</v>
      </c>
      <c r="H116" s="1">
        <f ca="1">IFERROR(__xludf.DUMMYFUNCTION("""COMPUTED_VALUE"""),101.9)</f>
        <v>101.9</v>
      </c>
      <c r="I116" s="1">
        <f ca="1">IFERROR(__xludf.DUMMYFUNCTION("""COMPUTED_VALUE"""),134)</f>
        <v>134</v>
      </c>
      <c r="J116" s="1">
        <f ca="1">IFERROR(__xludf.DUMMYFUNCTION("""COMPUTED_VALUE"""),62.7)</f>
        <v>62.7</v>
      </c>
      <c r="K116" s="1">
        <f ca="1">IFERROR(__xludf.DUMMYFUNCTION("""COMPUTED_VALUE"""),272)</f>
        <v>272</v>
      </c>
      <c r="L116" s="1" t="str">
        <f ca="1">IFERROR(__xludf.DUMMYFUNCTION("""COMPUTED_VALUE"""),"+.043")</f>
        <v>+.043</v>
      </c>
      <c r="M116" s="1">
        <f ca="1">IFERROR(__xludf.DUMMYFUNCTION("""COMPUTED_VALUE"""),71)</f>
        <v>71</v>
      </c>
      <c r="N116" s="1" t="str">
        <f ca="1">IFERROR(__xludf.DUMMYFUNCTION("""COMPUTED_VALUE"""),"+9.18")</f>
        <v>+9.18</v>
      </c>
      <c r="O116" s="1">
        <f ca="1">IFERROR(__xludf.DUMMYFUNCTION("""COMPUTED_VALUE"""),24)</f>
        <v>24</v>
      </c>
      <c r="P116" s="1">
        <f ca="1">IFERROR(__xludf.DUMMYFUNCTION("""COMPUTED_VALUE"""),108.6)</f>
        <v>108.6</v>
      </c>
      <c r="Q116" s="1">
        <f ca="1">IFERROR(__xludf.DUMMYFUNCTION("""COMPUTED_VALUE"""),19)</f>
        <v>19</v>
      </c>
      <c r="R116" s="1">
        <f ca="1">IFERROR(__xludf.DUMMYFUNCTION("""COMPUTED_VALUE"""),99.4)</f>
        <v>99.4</v>
      </c>
      <c r="S116" s="1">
        <f ca="1">IFERROR(__xludf.DUMMYFUNCTION("""COMPUTED_VALUE"""),30)</f>
        <v>30</v>
      </c>
      <c r="T116" s="1">
        <f ca="1">IFERROR(__xludf.DUMMYFUNCTION("""COMPUTED_VALUE"""),-1.93)</f>
        <v>-1.93</v>
      </c>
      <c r="U116" s="1">
        <f ca="1">IFERROR(__xludf.DUMMYFUNCTION("""COMPUTED_VALUE"""),205)</f>
        <v>205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IFERROR(__xludf.DUMMYFUNCTION("""COMPUTED_VALUE"""),"South Florida")</f>
        <v>South Florida</v>
      </c>
      <c r="C117" s="1" t="str">
        <f ca="1">IFERROR(__xludf.DUMMYFUNCTION("""COMPUTED_VALUE"""),"BE")</f>
        <v>BE</v>
      </c>
      <c r="D117" s="2">
        <f ca="1">IFERROR(__xludf.DUMMYFUNCTION("""COMPUTED_VALUE"""),44914)</f>
        <v>44914</v>
      </c>
      <c r="E117" s="1" t="str">
        <f ca="1">IFERROR(__xludf.DUMMYFUNCTION("""COMPUTED_VALUE"""),"+5.41")</f>
        <v>+5.41</v>
      </c>
      <c r="F117" s="1">
        <f ca="1">IFERROR(__xludf.DUMMYFUNCTION("""COMPUTED_VALUE"""),107.4)</f>
        <v>107.4</v>
      </c>
      <c r="G117" s="1">
        <f ca="1">IFERROR(__xludf.DUMMYFUNCTION("""COMPUTED_VALUE"""),114)</f>
        <v>114</v>
      </c>
      <c r="H117" s="1">
        <f ca="1">IFERROR(__xludf.DUMMYFUNCTION("""COMPUTED_VALUE"""),102)</f>
        <v>102</v>
      </c>
      <c r="I117" s="1">
        <f ca="1">IFERROR(__xludf.DUMMYFUNCTION("""COMPUTED_VALUE"""),136)</f>
        <v>136</v>
      </c>
      <c r="J117" s="1">
        <f ca="1">IFERROR(__xludf.DUMMYFUNCTION("""COMPUTED_VALUE"""),63.4)</f>
        <v>63.4</v>
      </c>
      <c r="K117" s="1">
        <f ca="1">IFERROR(__xludf.DUMMYFUNCTION("""COMPUTED_VALUE"""),243)</f>
        <v>243</v>
      </c>
      <c r="L117" s="1">
        <f ca="1">IFERROR(__xludf.DUMMYFUNCTION("""COMPUTED_VALUE"""),-0.098)</f>
        <v>-9.8000000000000004E-2</v>
      </c>
      <c r="M117" s="1">
        <f ca="1">IFERROR(__xludf.DUMMYFUNCTION("""COMPUTED_VALUE"""),336)</f>
        <v>336</v>
      </c>
      <c r="N117" s="1" t="str">
        <f ca="1">IFERROR(__xludf.DUMMYFUNCTION("""COMPUTED_VALUE"""),"+6.71")</f>
        <v>+6.71</v>
      </c>
      <c r="O117" s="1">
        <f ca="1">IFERROR(__xludf.DUMMYFUNCTION("""COMPUTED_VALUE"""),58)</f>
        <v>58</v>
      </c>
      <c r="P117" s="1">
        <f ca="1">IFERROR(__xludf.DUMMYFUNCTION("""COMPUTED_VALUE"""),106.7)</f>
        <v>106.7</v>
      </c>
      <c r="Q117" s="1">
        <f ca="1">IFERROR(__xludf.DUMMYFUNCTION("""COMPUTED_VALUE"""),68)</f>
        <v>68</v>
      </c>
      <c r="R117" s="1">
        <f ca="1">IFERROR(__xludf.DUMMYFUNCTION("""COMPUTED_VALUE"""),100)</f>
        <v>100</v>
      </c>
      <c r="S117" s="1">
        <f ca="1">IFERROR(__xludf.DUMMYFUNCTION("""COMPUTED_VALUE"""),53)</f>
        <v>53</v>
      </c>
      <c r="T117" s="1">
        <f ca="1">IFERROR(__xludf.DUMMYFUNCTION("""COMPUTED_VALUE"""),-0.93)</f>
        <v>-0.93</v>
      </c>
      <c r="U117" s="1">
        <f ca="1">IFERROR(__xludf.DUMMYFUNCTION("""COMPUTED_VALUE"""),174)</f>
        <v>174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IFERROR(__xludf.DUMMYFUNCTION("""COMPUTED_VALUE"""),"Portland St.16")</f>
        <v>Portland St.16</v>
      </c>
      <c r="C118" s="1" t="str">
        <f ca="1">IFERROR(__xludf.DUMMYFUNCTION("""COMPUTED_VALUE"""),"BSky")</f>
        <v>BSky</v>
      </c>
      <c r="D118" s="1" t="str">
        <f ca="1">IFERROR(__xludf.DUMMYFUNCTION("""COMPUTED_VALUE"""),"23-10")</f>
        <v>23-10</v>
      </c>
      <c r="E118" s="1" t="str">
        <f ca="1">IFERROR(__xludf.DUMMYFUNCTION("""COMPUTED_VALUE"""),"+5.40")</f>
        <v>+5.40</v>
      </c>
      <c r="F118" s="1">
        <f ca="1">IFERROR(__xludf.DUMMYFUNCTION("""COMPUTED_VALUE"""),108.6)</f>
        <v>108.6</v>
      </c>
      <c r="G118" s="1">
        <f ca="1">IFERROR(__xludf.DUMMYFUNCTION("""COMPUTED_VALUE"""),87)</f>
        <v>87</v>
      </c>
      <c r="H118" s="1">
        <f ca="1">IFERROR(__xludf.DUMMYFUNCTION("""COMPUTED_VALUE"""),103.2)</f>
        <v>103.2</v>
      </c>
      <c r="I118" s="1">
        <f ca="1">IFERROR(__xludf.DUMMYFUNCTION("""COMPUTED_VALUE"""),161)</f>
        <v>161</v>
      </c>
      <c r="J118" s="1">
        <f ca="1">IFERROR(__xludf.DUMMYFUNCTION("""COMPUTED_VALUE"""),66.3)</f>
        <v>66.3</v>
      </c>
      <c r="K118" s="1">
        <f ca="1">IFERROR(__xludf.DUMMYFUNCTION("""COMPUTED_VALUE"""),126)</f>
        <v>126</v>
      </c>
      <c r="L118" s="1" t="str">
        <f ca="1">IFERROR(__xludf.DUMMYFUNCTION("""COMPUTED_VALUE"""),"+.062")</f>
        <v>+.062</v>
      </c>
      <c r="M118" s="1">
        <f ca="1">IFERROR(__xludf.DUMMYFUNCTION("""COMPUTED_VALUE"""),41)</f>
        <v>41</v>
      </c>
      <c r="N118" s="1">
        <f ca="1">IFERROR(__xludf.DUMMYFUNCTION("""COMPUTED_VALUE"""),-3.5)</f>
        <v>-3.5</v>
      </c>
      <c r="O118" s="1">
        <f ca="1">IFERROR(__xludf.DUMMYFUNCTION("""COMPUTED_VALUE"""),232)</f>
        <v>232</v>
      </c>
      <c r="P118" s="1">
        <f ca="1">IFERROR(__xludf.DUMMYFUNCTION("""COMPUTED_VALUE"""),102.7)</f>
        <v>102.7</v>
      </c>
      <c r="Q118" s="1">
        <f ca="1">IFERROR(__xludf.DUMMYFUNCTION("""COMPUTED_VALUE"""),202)</f>
        <v>202</v>
      </c>
      <c r="R118" s="1">
        <f ca="1">IFERROR(__xludf.DUMMYFUNCTION("""COMPUTED_VALUE"""),106.2)</f>
        <v>106.2</v>
      </c>
      <c r="S118" s="1">
        <f ca="1">IFERROR(__xludf.DUMMYFUNCTION("""COMPUTED_VALUE"""),271)</f>
        <v>271</v>
      </c>
      <c r="T118" s="1" t="str">
        <f ca="1">IFERROR(__xludf.DUMMYFUNCTION("""COMPUTED_VALUE"""),"+3.95")</f>
        <v>+3.95</v>
      </c>
      <c r="U118" s="1">
        <f ca="1">IFERROR(__xludf.DUMMYFUNCTION("""COMPUTED_VALUE"""),60)</f>
        <v>60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IFERROR(__xludf.DUMMYFUNCTION("""COMPUTED_VALUE"""),"Illinois Chicago")</f>
        <v>Illinois Chicago</v>
      </c>
      <c r="C119" s="1" t="str">
        <f ca="1">IFERROR(__xludf.DUMMYFUNCTION("""COMPUTED_VALUE"""),"Horz")</f>
        <v>Horz</v>
      </c>
      <c r="D119" s="1" t="str">
        <f ca="1">IFERROR(__xludf.DUMMYFUNCTION("""COMPUTED_VALUE"""),"18-15")</f>
        <v>18-15</v>
      </c>
      <c r="E119" s="1" t="str">
        <f ca="1">IFERROR(__xludf.DUMMYFUNCTION("""COMPUTED_VALUE"""),"+5.34")</f>
        <v>+5.34</v>
      </c>
      <c r="F119" s="1">
        <f ca="1">IFERROR(__xludf.DUMMYFUNCTION("""COMPUTED_VALUE"""),104.8)</f>
        <v>104.8</v>
      </c>
      <c r="G119" s="1">
        <f ca="1">IFERROR(__xludf.DUMMYFUNCTION("""COMPUTED_VALUE"""),149)</f>
        <v>149</v>
      </c>
      <c r="H119" s="1">
        <f ca="1">IFERROR(__xludf.DUMMYFUNCTION("""COMPUTED_VALUE"""),99.5)</f>
        <v>99.5</v>
      </c>
      <c r="I119" s="1">
        <f ca="1">IFERROR(__xludf.DUMMYFUNCTION("""COMPUTED_VALUE"""),85)</f>
        <v>85</v>
      </c>
      <c r="J119" s="1">
        <f ca="1">IFERROR(__xludf.DUMMYFUNCTION("""COMPUTED_VALUE"""),65.7)</f>
        <v>65.7</v>
      </c>
      <c r="K119" s="1">
        <f ca="1">IFERROR(__xludf.DUMMYFUNCTION("""COMPUTED_VALUE"""),148)</f>
        <v>148</v>
      </c>
      <c r="L119" s="1">
        <f ca="1">IFERROR(__xludf.DUMMYFUNCTION("""COMPUTED_VALUE"""),-0.015)</f>
        <v>-1.4999999999999999E-2</v>
      </c>
      <c r="M119" s="1">
        <f ca="1">IFERROR(__xludf.DUMMYFUNCTION("""COMPUTED_VALUE"""),207)</f>
        <v>207</v>
      </c>
      <c r="N119" s="1" t="str">
        <f ca="1">IFERROR(__xludf.DUMMYFUNCTION("""COMPUTED_VALUE"""),"+2.20")</f>
        <v>+2.20</v>
      </c>
      <c r="O119" s="1">
        <f ca="1">IFERROR(__xludf.DUMMYFUNCTION("""COMPUTED_VALUE"""),119)</f>
        <v>119</v>
      </c>
      <c r="P119" s="1">
        <f ca="1">IFERROR(__xludf.DUMMYFUNCTION("""COMPUTED_VALUE"""),104)</f>
        <v>104</v>
      </c>
      <c r="Q119" s="1">
        <f ca="1">IFERROR(__xludf.DUMMYFUNCTION("""COMPUTED_VALUE"""),149)</f>
        <v>149</v>
      </c>
      <c r="R119" s="1">
        <f ca="1">IFERROR(__xludf.DUMMYFUNCTION("""COMPUTED_VALUE"""),101.8)</f>
        <v>101.8</v>
      </c>
      <c r="S119" s="1">
        <f ca="1">IFERROR(__xludf.DUMMYFUNCTION("""COMPUTED_VALUE"""),96)</f>
        <v>96</v>
      </c>
      <c r="T119" s="1" t="str">
        <f ca="1">IFERROR(__xludf.DUMMYFUNCTION("""COMPUTED_VALUE"""),"+4.11")</f>
        <v>+4.11</v>
      </c>
      <c r="U119" s="1">
        <f ca="1">IFERROR(__xludf.DUMMYFUNCTION("""COMPUTED_VALUE"""),53)</f>
        <v>53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IFERROR(__xludf.DUMMYFUNCTION("""COMPUTED_VALUE"""),"DePaul")</f>
        <v>DePaul</v>
      </c>
      <c r="C120" s="1" t="str">
        <f ca="1">IFERROR(__xludf.DUMMYFUNCTION("""COMPUTED_VALUE"""),"BE")</f>
        <v>BE</v>
      </c>
      <c r="D120" s="2">
        <f ca="1">IFERROR(__xludf.DUMMYFUNCTION("""COMPUTED_VALUE"""),44884)</f>
        <v>44884</v>
      </c>
      <c r="E120" s="1" t="str">
        <f ca="1">IFERROR(__xludf.DUMMYFUNCTION("""COMPUTED_VALUE"""),"+5.28")</f>
        <v>+5.28</v>
      </c>
      <c r="F120" s="1">
        <f ca="1">IFERROR(__xludf.DUMMYFUNCTION("""COMPUTED_VALUE"""),111.8)</f>
        <v>111.8</v>
      </c>
      <c r="G120" s="1">
        <f ca="1">IFERROR(__xludf.DUMMYFUNCTION("""COMPUTED_VALUE"""),49)</f>
        <v>49</v>
      </c>
      <c r="H120" s="1">
        <f ca="1">IFERROR(__xludf.DUMMYFUNCTION("""COMPUTED_VALUE"""),106.6)</f>
        <v>106.6</v>
      </c>
      <c r="I120" s="1">
        <f ca="1">IFERROR(__xludf.DUMMYFUNCTION("""COMPUTED_VALUE"""),224)</f>
        <v>224</v>
      </c>
      <c r="J120" s="1">
        <f ca="1">IFERROR(__xludf.DUMMYFUNCTION("""COMPUTED_VALUE"""),65.7)</f>
        <v>65.7</v>
      </c>
      <c r="K120" s="1">
        <f ca="1">IFERROR(__xludf.DUMMYFUNCTION("""COMPUTED_VALUE"""),147)</f>
        <v>147</v>
      </c>
      <c r="L120" s="1">
        <f ca="1">IFERROR(__xludf.DUMMYFUNCTION("""COMPUTED_VALUE"""),-0.031)</f>
        <v>-3.1E-2</v>
      </c>
      <c r="M120" s="1">
        <f ca="1">IFERROR(__xludf.DUMMYFUNCTION("""COMPUTED_VALUE"""),251)</f>
        <v>251</v>
      </c>
      <c r="N120" s="1" t="str">
        <f ca="1">IFERROR(__xludf.DUMMYFUNCTION("""COMPUTED_VALUE"""),"+9.36")</f>
        <v>+9.36</v>
      </c>
      <c r="O120" s="1">
        <f ca="1">IFERROR(__xludf.DUMMYFUNCTION("""COMPUTED_VALUE"""),20)</f>
        <v>20</v>
      </c>
      <c r="P120" s="1">
        <f ca="1">IFERROR(__xludf.DUMMYFUNCTION("""COMPUTED_VALUE"""),108.6)</f>
        <v>108.6</v>
      </c>
      <c r="Q120" s="1">
        <f ca="1">IFERROR(__xludf.DUMMYFUNCTION("""COMPUTED_VALUE"""),20)</f>
        <v>20</v>
      </c>
      <c r="R120" s="1">
        <f ca="1">IFERROR(__xludf.DUMMYFUNCTION("""COMPUTED_VALUE"""),99.3)</f>
        <v>99.3</v>
      </c>
      <c r="S120" s="1">
        <f ca="1">IFERROR(__xludf.DUMMYFUNCTION("""COMPUTED_VALUE"""),23)</f>
        <v>23</v>
      </c>
      <c r="T120" s="1" t="str">
        <f ca="1">IFERROR(__xludf.DUMMYFUNCTION("""COMPUTED_VALUE"""),"+1.30")</f>
        <v>+1.30</v>
      </c>
      <c r="U120" s="1">
        <f ca="1">IFERROR(__xludf.DUMMYFUNCTION("""COMPUTED_VALUE"""),115)</f>
        <v>115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IFERROR(__xludf.DUMMYFUNCTION("""COMPUTED_VALUE"""),"LSU")</f>
        <v>LSU</v>
      </c>
      <c r="C121" s="1" t="str">
        <f ca="1">IFERROR(__xludf.DUMMYFUNCTION("""COMPUTED_VALUE"""),"SEC")</f>
        <v>SEC</v>
      </c>
      <c r="D121" s="1" t="str">
        <f ca="1">IFERROR(__xludf.DUMMYFUNCTION("""COMPUTED_VALUE"""),"13-18")</f>
        <v>13-18</v>
      </c>
      <c r="E121" s="1" t="str">
        <f ca="1">IFERROR(__xludf.DUMMYFUNCTION("""COMPUTED_VALUE"""),"+5.20")</f>
        <v>+5.20</v>
      </c>
      <c r="F121" s="1">
        <f ca="1">IFERROR(__xludf.DUMMYFUNCTION("""COMPUTED_VALUE"""),104.9)</f>
        <v>104.9</v>
      </c>
      <c r="G121" s="1">
        <f ca="1">IFERROR(__xludf.DUMMYFUNCTION("""COMPUTED_VALUE"""),148)</f>
        <v>148</v>
      </c>
      <c r="H121" s="1">
        <f ca="1">IFERROR(__xludf.DUMMYFUNCTION("""COMPUTED_VALUE"""),99.7)</f>
        <v>99.7</v>
      </c>
      <c r="I121" s="1">
        <f ca="1">IFERROR(__xludf.DUMMYFUNCTION("""COMPUTED_VALUE"""),89)</f>
        <v>89</v>
      </c>
      <c r="J121" s="1">
        <f ca="1">IFERROR(__xludf.DUMMYFUNCTION("""COMPUTED_VALUE"""),65.6)</f>
        <v>65.599999999999994</v>
      </c>
      <c r="K121" s="1">
        <f ca="1">IFERROR(__xludf.DUMMYFUNCTION("""COMPUTED_VALUE"""),152)</f>
        <v>152</v>
      </c>
      <c r="L121" s="1">
        <f ca="1">IFERROR(__xludf.DUMMYFUNCTION("""COMPUTED_VALUE"""),-0.08)</f>
        <v>-0.08</v>
      </c>
      <c r="M121" s="1">
        <f ca="1">IFERROR(__xludf.DUMMYFUNCTION("""COMPUTED_VALUE"""),328)</f>
        <v>328</v>
      </c>
      <c r="N121" s="1" t="str">
        <f ca="1">IFERROR(__xludf.DUMMYFUNCTION("""COMPUTED_VALUE"""),"+6.41")</f>
        <v>+6.41</v>
      </c>
      <c r="O121" s="1">
        <f ca="1">IFERROR(__xludf.DUMMYFUNCTION("""COMPUTED_VALUE"""),61)</f>
        <v>61</v>
      </c>
      <c r="P121" s="1">
        <f ca="1">IFERROR(__xludf.DUMMYFUNCTION("""COMPUTED_VALUE"""),106.9)</f>
        <v>106.9</v>
      </c>
      <c r="Q121" s="1">
        <f ca="1">IFERROR(__xludf.DUMMYFUNCTION("""COMPUTED_VALUE"""),65)</f>
        <v>65</v>
      </c>
      <c r="R121" s="1">
        <f ca="1">IFERROR(__xludf.DUMMYFUNCTION("""COMPUTED_VALUE"""),100.4)</f>
        <v>100.4</v>
      </c>
      <c r="S121" s="1">
        <f ca="1">IFERROR(__xludf.DUMMYFUNCTION("""COMPUTED_VALUE"""),60)</f>
        <v>60</v>
      </c>
      <c r="T121" s="1">
        <f ca="1">IFERROR(__xludf.DUMMYFUNCTION("""COMPUTED_VALUE"""),-1.03)</f>
        <v>-1.03</v>
      </c>
      <c r="U121" s="1">
        <f ca="1">IFERROR(__xludf.DUMMYFUNCTION("""COMPUTED_VALUE"""),176)</f>
        <v>176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IFERROR(__xludf.DUMMYFUNCTION("""COMPUTED_VALUE"""),"Wright St.")</f>
        <v>Wright St.</v>
      </c>
      <c r="C122" s="1" t="str">
        <f ca="1">IFERROR(__xludf.DUMMYFUNCTION("""COMPUTED_VALUE"""),"Horz")</f>
        <v>Horz</v>
      </c>
      <c r="D122" s="1" t="str">
        <f ca="1">IFERROR(__xludf.DUMMYFUNCTION("""COMPUTED_VALUE"""),"21-10")</f>
        <v>21-10</v>
      </c>
      <c r="E122" s="1" t="str">
        <f ca="1">IFERROR(__xludf.DUMMYFUNCTION("""COMPUTED_VALUE"""),"+5.04")</f>
        <v>+5.04</v>
      </c>
      <c r="F122" s="1">
        <f ca="1">IFERROR(__xludf.DUMMYFUNCTION("""COMPUTED_VALUE"""),104)</f>
        <v>104</v>
      </c>
      <c r="G122" s="1">
        <f ca="1">IFERROR(__xludf.DUMMYFUNCTION("""COMPUTED_VALUE"""),169)</f>
        <v>169</v>
      </c>
      <c r="H122" s="1">
        <f ca="1">IFERROR(__xludf.DUMMYFUNCTION("""COMPUTED_VALUE"""),98.9)</f>
        <v>98.9</v>
      </c>
      <c r="I122" s="1">
        <f ca="1">IFERROR(__xludf.DUMMYFUNCTION("""COMPUTED_VALUE"""),82)</f>
        <v>82</v>
      </c>
      <c r="J122" s="1">
        <f ca="1">IFERROR(__xludf.DUMMYFUNCTION("""COMPUTED_VALUE"""),59.7)</f>
        <v>59.7</v>
      </c>
      <c r="K122" s="1">
        <f ca="1">IFERROR(__xludf.DUMMYFUNCTION("""COMPUTED_VALUE"""),326)</f>
        <v>326</v>
      </c>
      <c r="L122" s="1" t="str">
        <f ca="1">IFERROR(__xludf.DUMMYFUNCTION("""COMPUTED_VALUE"""),"+.064")</f>
        <v>+.064</v>
      </c>
      <c r="M122" s="1">
        <f ca="1">IFERROR(__xludf.DUMMYFUNCTION("""COMPUTED_VALUE"""),38)</f>
        <v>38</v>
      </c>
      <c r="N122" s="1" t="str">
        <f ca="1">IFERROR(__xludf.DUMMYFUNCTION("""COMPUTED_VALUE"""),"+0.47")</f>
        <v>+0.47</v>
      </c>
      <c r="O122" s="1">
        <f ca="1">IFERROR(__xludf.DUMMYFUNCTION("""COMPUTED_VALUE"""),147)</f>
        <v>147</v>
      </c>
      <c r="P122" s="1">
        <f ca="1">IFERROR(__xludf.DUMMYFUNCTION("""COMPUTED_VALUE"""),104.4)</f>
        <v>104.4</v>
      </c>
      <c r="Q122" s="1">
        <f ca="1">IFERROR(__xludf.DUMMYFUNCTION("""COMPUTED_VALUE"""),122)</f>
        <v>122</v>
      </c>
      <c r="R122" s="1">
        <f ca="1">IFERROR(__xludf.DUMMYFUNCTION("""COMPUTED_VALUE"""),103.9)</f>
        <v>103.9</v>
      </c>
      <c r="S122" s="1">
        <f ca="1">IFERROR(__xludf.DUMMYFUNCTION("""COMPUTED_VALUE"""),167)</f>
        <v>167</v>
      </c>
      <c r="T122" s="1" t="str">
        <f ca="1">IFERROR(__xludf.DUMMYFUNCTION("""COMPUTED_VALUE"""),"+0.07")</f>
        <v>+0.07</v>
      </c>
      <c r="U122" s="1">
        <f ca="1">IFERROR(__xludf.DUMMYFUNCTION("""COMPUTED_VALUE"""),144)</f>
        <v>144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IFERROR(__xludf.DUMMYFUNCTION("""COMPUTED_VALUE"""),"UC Santa Barbara7")</f>
        <v>UC Santa Barbara7</v>
      </c>
      <c r="C123" s="1" t="str">
        <f ca="1">IFERROR(__xludf.DUMMYFUNCTION("""COMPUTED_VALUE"""),"BW")</f>
        <v>BW</v>
      </c>
      <c r="D123" s="1" t="str">
        <f ca="1">IFERROR(__xludf.DUMMYFUNCTION("""COMPUTED_VALUE"""),"23-9")</f>
        <v>23-9</v>
      </c>
      <c r="E123" s="1" t="str">
        <f ca="1">IFERROR(__xludf.DUMMYFUNCTION("""COMPUTED_VALUE"""),"+4.93")</f>
        <v>+4.93</v>
      </c>
      <c r="F123" s="1">
        <f ca="1">IFERROR(__xludf.DUMMYFUNCTION("""COMPUTED_VALUE"""),102.3)</f>
        <v>102.3</v>
      </c>
      <c r="G123" s="1">
        <f ca="1">IFERROR(__xludf.DUMMYFUNCTION("""COMPUTED_VALUE"""),186)</f>
        <v>186</v>
      </c>
      <c r="H123" s="1">
        <f ca="1">IFERROR(__xludf.DUMMYFUNCTION("""COMPUTED_VALUE"""),97.3)</f>
        <v>97.3</v>
      </c>
      <c r="I123" s="1">
        <f ca="1">IFERROR(__xludf.DUMMYFUNCTION("""COMPUTED_VALUE"""),64)</f>
        <v>64</v>
      </c>
      <c r="J123" s="1">
        <f ca="1">IFERROR(__xludf.DUMMYFUNCTION("""COMPUTED_VALUE"""),65.2)</f>
        <v>65.2</v>
      </c>
      <c r="K123" s="1">
        <f ca="1">IFERROR(__xludf.DUMMYFUNCTION("""COMPUTED_VALUE"""),162)</f>
        <v>162</v>
      </c>
      <c r="L123" s="1" t="str">
        <f ca="1">IFERROR(__xludf.DUMMYFUNCTION("""COMPUTED_VALUE"""),"+.062")</f>
        <v>+.062</v>
      </c>
      <c r="M123" s="1">
        <f ca="1">IFERROR(__xludf.DUMMYFUNCTION("""COMPUTED_VALUE"""),40)</f>
        <v>40</v>
      </c>
      <c r="N123" s="1">
        <f ca="1">IFERROR(__xludf.DUMMYFUNCTION("""COMPUTED_VALUE"""),-3.76)</f>
        <v>-3.76</v>
      </c>
      <c r="O123" s="1">
        <f ca="1">IFERROR(__xludf.DUMMYFUNCTION("""COMPUTED_VALUE"""),235)</f>
        <v>235</v>
      </c>
      <c r="P123" s="1">
        <f ca="1">IFERROR(__xludf.DUMMYFUNCTION("""COMPUTED_VALUE"""),102.4)</f>
        <v>102.4</v>
      </c>
      <c r="Q123" s="1">
        <f ca="1">IFERROR(__xludf.DUMMYFUNCTION("""COMPUTED_VALUE"""),209)</f>
        <v>209</v>
      </c>
      <c r="R123" s="1">
        <f ca="1">IFERROR(__xludf.DUMMYFUNCTION("""COMPUTED_VALUE"""),106.1)</f>
        <v>106.1</v>
      </c>
      <c r="S123" s="1">
        <f ca="1">IFERROR(__xludf.DUMMYFUNCTION("""COMPUTED_VALUE"""),266)</f>
        <v>266</v>
      </c>
      <c r="T123" s="1">
        <f ca="1">IFERROR(__xludf.DUMMYFUNCTION("""COMPUTED_VALUE"""),-3.52)</f>
        <v>-3.52</v>
      </c>
      <c r="U123" s="1">
        <f ca="1">IFERROR(__xludf.DUMMYFUNCTION("""COMPUTED_VALUE"""),260)</f>
        <v>260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IFERROR(__xludf.DUMMYFUNCTION("""COMPUTED_VALUE"""),"Old Dominion")</f>
        <v>Old Dominion</v>
      </c>
      <c r="C124" s="1" t="str">
        <f ca="1">IFERROR(__xludf.DUMMYFUNCTION("""COMPUTED_VALUE"""),"CAA")</f>
        <v>CAA</v>
      </c>
      <c r="D124" s="1" t="str">
        <f ca="1">IFERROR(__xludf.DUMMYFUNCTION("""COMPUTED_VALUE"""),"18-16")</f>
        <v>18-16</v>
      </c>
      <c r="E124" s="1" t="str">
        <f ca="1">IFERROR(__xludf.DUMMYFUNCTION("""COMPUTED_VALUE"""),"+4.90")</f>
        <v>+4.90</v>
      </c>
      <c r="F124" s="1">
        <f ca="1">IFERROR(__xludf.DUMMYFUNCTION("""COMPUTED_VALUE"""),106.5)</f>
        <v>106.5</v>
      </c>
      <c r="G124" s="1">
        <f ca="1">IFERROR(__xludf.DUMMYFUNCTION("""COMPUTED_VALUE"""),127)</f>
        <v>127</v>
      </c>
      <c r="H124" s="1">
        <f ca="1">IFERROR(__xludf.DUMMYFUNCTION("""COMPUTED_VALUE"""),101.6)</f>
        <v>101.6</v>
      </c>
      <c r="I124" s="1">
        <f ca="1">IFERROR(__xludf.DUMMYFUNCTION("""COMPUTED_VALUE"""),128)</f>
        <v>128</v>
      </c>
      <c r="J124" s="1">
        <f ca="1">IFERROR(__xludf.DUMMYFUNCTION("""COMPUTED_VALUE"""),63)</f>
        <v>63</v>
      </c>
      <c r="K124" s="1">
        <f ca="1">IFERROR(__xludf.DUMMYFUNCTION("""COMPUTED_VALUE"""),258)</f>
        <v>258</v>
      </c>
      <c r="L124" s="1">
        <f ca="1">IFERROR(__xludf.DUMMYFUNCTION("""COMPUTED_VALUE"""),-0.034)</f>
        <v>-3.4000000000000002E-2</v>
      </c>
      <c r="M124" s="1">
        <f ca="1">IFERROR(__xludf.DUMMYFUNCTION("""COMPUTED_VALUE"""),256)</f>
        <v>256</v>
      </c>
      <c r="N124" s="1" t="str">
        <f ca="1">IFERROR(__xludf.DUMMYFUNCTION("""COMPUTED_VALUE"""),"+0.83")</f>
        <v>+0.83</v>
      </c>
      <c r="O124" s="1">
        <f ca="1">IFERROR(__xludf.DUMMYFUNCTION("""COMPUTED_VALUE"""),144)</f>
        <v>144</v>
      </c>
      <c r="P124" s="1">
        <f ca="1">IFERROR(__xludf.DUMMYFUNCTION("""COMPUTED_VALUE"""),102.8)</f>
        <v>102.8</v>
      </c>
      <c r="Q124" s="1">
        <f ca="1">IFERROR(__xludf.DUMMYFUNCTION("""COMPUTED_VALUE"""),197)</f>
        <v>197</v>
      </c>
      <c r="R124" s="1">
        <f ca="1">IFERROR(__xludf.DUMMYFUNCTION("""COMPUTED_VALUE"""),102)</f>
        <v>102</v>
      </c>
      <c r="S124" s="1">
        <f ca="1">IFERROR(__xludf.DUMMYFUNCTION("""COMPUTED_VALUE"""),106)</f>
        <v>106</v>
      </c>
      <c r="T124" s="1" t="str">
        <f ca="1">IFERROR(__xludf.DUMMYFUNCTION("""COMPUTED_VALUE"""),"+5.29")</f>
        <v>+5.29</v>
      </c>
      <c r="U124" s="1">
        <f ca="1">IFERROR(__xludf.DUMMYFUNCTION("""COMPUTED_VALUE"""),41)</f>
        <v>41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IFERROR(__xludf.DUMMYFUNCTION("""COMPUTED_VALUE"""),"Valparaiso")</f>
        <v>Valparaiso</v>
      </c>
      <c r="C125" s="1" t="str">
        <f ca="1">IFERROR(__xludf.DUMMYFUNCTION("""COMPUTED_VALUE"""),"Horz")</f>
        <v>Horz</v>
      </c>
      <c r="D125" s="1" t="str">
        <f ca="1">IFERROR(__xludf.DUMMYFUNCTION("""COMPUTED_VALUE"""),"22-14")</f>
        <v>22-14</v>
      </c>
      <c r="E125" s="1" t="str">
        <f ca="1">IFERROR(__xludf.DUMMYFUNCTION("""COMPUTED_VALUE"""),"+4.70")</f>
        <v>+4.70</v>
      </c>
      <c r="F125" s="1">
        <f ca="1">IFERROR(__xludf.DUMMYFUNCTION("""COMPUTED_VALUE"""),107.9)</f>
        <v>107.9</v>
      </c>
      <c r="G125" s="1">
        <f ca="1">IFERROR(__xludf.DUMMYFUNCTION("""COMPUTED_VALUE"""),103)</f>
        <v>103</v>
      </c>
      <c r="H125" s="1">
        <f ca="1">IFERROR(__xludf.DUMMYFUNCTION("""COMPUTED_VALUE"""),103.2)</f>
        <v>103.2</v>
      </c>
      <c r="I125" s="1">
        <f ca="1">IFERROR(__xludf.DUMMYFUNCTION("""COMPUTED_VALUE"""),162)</f>
        <v>162</v>
      </c>
      <c r="J125" s="1">
        <f ca="1">IFERROR(__xludf.DUMMYFUNCTION("""COMPUTED_VALUE"""),65.7)</f>
        <v>65.7</v>
      </c>
      <c r="K125" s="1">
        <f ca="1">IFERROR(__xludf.DUMMYFUNCTION("""COMPUTED_VALUE"""),149)</f>
        <v>149</v>
      </c>
      <c r="L125" s="1" t="str">
        <f ca="1">IFERROR(__xludf.DUMMYFUNCTION("""COMPUTED_VALUE"""),"+.049")</f>
        <v>+.049</v>
      </c>
      <c r="M125" s="1">
        <f ca="1">IFERROR(__xludf.DUMMYFUNCTION("""COMPUTED_VALUE"""),56)</f>
        <v>56</v>
      </c>
      <c r="N125" s="1" t="str">
        <f ca="1">IFERROR(__xludf.DUMMYFUNCTION("""COMPUTED_VALUE"""),"+2.15")</f>
        <v>+2.15</v>
      </c>
      <c r="O125" s="1">
        <f ca="1">IFERROR(__xludf.DUMMYFUNCTION("""COMPUTED_VALUE"""),121)</f>
        <v>121</v>
      </c>
      <c r="P125" s="1">
        <f ca="1">IFERROR(__xludf.DUMMYFUNCTION("""COMPUTED_VALUE"""),104.3)</f>
        <v>104.3</v>
      </c>
      <c r="Q125" s="1">
        <f ca="1">IFERROR(__xludf.DUMMYFUNCTION("""COMPUTED_VALUE"""),132)</f>
        <v>132</v>
      </c>
      <c r="R125" s="1">
        <f ca="1">IFERROR(__xludf.DUMMYFUNCTION("""COMPUTED_VALUE"""),102.1)</f>
        <v>102.1</v>
      </c>
      <c r="S125" s="1">
        <f ca="1">IFERROR(__xludf.DUMMYFUNCTION("""COMPUTED_VALUE"""),112)</f>
        <v>112</v>
      </c>
      <c r="T125" s="1" t="str">
        <f ca="1">IFERROR(__xludf.DUMMYFUNCTION("""COMPUTED_VALUE"""),"+0.35")</f>
        <v>+0.35</v>
      </c>
      <c r="U125" s="1">
        <f ca="1">IFERROR(__xludf.DUMMYFUNCTION("""COMPUTED_VALUE"""),135)</f>
        <v>135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IFERROR(__xludf.DUMMYFUNCTION("""COMPUTED_VALUE"""),"San Diego13")</f>
        <v>San Diego13</v>
      </c>
      <c r="C126" s="1" t="str">
        <f ca="1">IFERROR(__xludf.DUMMYFUNCTION("""COMPUTED_VALUE"""),"WCC")</f>
        <v>WCC</v>
      </c>
      <c r="D126" s="1" t="str">
        <f ca="1">IFERROR(__xludf.DUMMYFUNCTION("""COMPUTED_VALUE"""),"22-14")</f>
        <v>22-14</v>
      </c>
      <c r="E126" s="1" t="str">
        <f ca="1">IFERROR(__xludf.DUMMYFUNCTION("""COMPUTED_VALUE"""),"+4.64")</f>
        <v>+4.64</v>
      </c>
      <c r="F126" s="1">
        <f ca="1">IFERROR(__xludf.DUMMYFUNCTION("""COMPUTED_VALUE"""),101.6)</f>
        <v>101.6</v>
      </c>
      <c r="G126" s="1">
        <f ca="1">IFERROR(__xludf.DUMMYFUNCTION("""COMPUTED_VALUE"""),198)</f>
        <v>198</v>
      </c>
      <c r="H126" s="1">
        <f ca="1">IFERROR(__xludf.DUMMYFUNCTION("""COMPUTED_VALUE"""),97)</f>
        <v>97</v>
      </c>
      <c r="I126" s="1">
        <f ca="1">IFERROR(__xludf.DUMMYFUNCTION("""COMPUTED_VALUE"""),59)</f>
        <v>59</v>
      </c>
      <c r="J126" s="1">
        <f ca="1">IFERROR(__xludf.DUMMYFUNCTION("""COMPUTED_VALUE"""),63)</f>
        <v>63</v>
      </c>
      <c r="K126" s="1">
        <f ca="1">IFERROR(__xludf.DUMMYFUNCTION("""COMPUTED_VALUE"""),260)</f>
        <v>260</v>
      </c>
      <c r="L126" s="1" t="str">
        <f ca="1">IFERROR(__xludf.DUMMYFUNCTION("""COMPUTED_VALUE"""),"+.045")</f>
        <v>+.045</v>
      </c>
      <c r="M126" s="1">
        <f ca="1">IFERROR(__xludf.DUMMYFUNCTION("""COMPUTED_VALUE"""),65)</f>
        <v>65</v>
      </c>
      <c r="N126" s="1" t="str">
        <f ca="1">IFERROR(__xludf.DUMMYFUNCTION("""COMPUTED_VALUE"""),"+1.43")</f>
        <v>+1.43</v>
      </c>
      <c r="O126" s="1">
        <f ca="1">IFERROR(__xludf.DUMMYFUNCTION("""COMPUTED_VALUE"""),131)</f>
        <v>131</v>
      </c>
      <c r="P126" s="1">
        <f ca="1">IFERROR(__xludf.DUMMYFUNCTION("""COMPUTED_VALUE"""),104.3)</f>
        <v>104.3</v>
      </c>
      <c r="Q126" s="1">
        <f ca="1">IFERROR(__xludf.DUMMYFUNCTION("""COMPUTED_VALUE"""),125)</f>
        <v>125</v>
      </c>
      <c r="R126" s="1">
        <f ca="1">IFERROR(__xludf.DUMMYFUNCTION("""COMPUTED_VALUE"""),102.9)</f>
        <v>102.9</v>
      </c>
      <c r="S126" s="1">
        <f ca="1">IFERROR(__xludf.DUMMYFUNCTION("""COMPUTED_VALUE"""),144)</f>
        <v>144</v>
      </c>
      <c r="T126" s="1" t="str">
        <f ca="1">IFERROR(__xludf.DUMMYFUNCTION("""COMPUTED_VALUE"""),"+2.61")</f>
        <v>+2.61</v>
      </c>
      <c r="U126" s="1">
        <f ca="1">IFERROR(__xludf.DUMMYFUNCTION("""COMPUTED_VALUE"""),80)</f>
        <v>80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IFERROR(__xludf.DUMMYFUNCTION("""COMPUTED_VALUE"""),"Northern Iowa")</f>
        <v>Northern Iowa</v>
      </c>
      <c r="C129" s="1" t="str">
        <f ca="1">IFERROR(__xludf.DUMMYFUNCTION("""COMPUTED_VALUE"""),"MVC")</f>
        <v>MVC</v>
      </c>
      <c r="D129" s="1" t="str">
        <f ca="1">IFERROR(__xludf.DUMMYFUNCTION("""COMPUTED_VALUE"""),"18-14")</f>
        <v>18-14</v>
      </c>
      <c r="E129" s="1" t="str">
        <f ca="1">IFERROR(__xludf.DUMMYFUNCTION("""COMPUTED_VALUE"""),"+4.62")</f>
        <v>+4.62</v>
      </c>
      <c r="F129" s="1">
        <f ca="1">IFERROR(__xludf.DUMMYFUNCTION("""COMPUTED_VALUE"""),105.9)</f>
        <v>105.9</v>
      </c>
      <c r="G129" s="1">
        <f ca="1">IFERROR(__xludf.DUMMYFUNCTION("""COMPUTED_VALUE"""),134)</f>
        <v>134</v>
      </c>
      <c r="H129" s="1">
        <f ca="1">IFERROR(__xludf.DUMMYFUNCTION("""COMPUTED_VALUE"""),101.3)</f>
        <v>101.3</v>
      </c>
      <c r="I129" s="1">
        <f ca="1">IFERROR(__xludf.DUMMYFUNCTION("""COMPUTED_VALUE"""),121)</f>
        <v>121</v>
      </c>
      <c r="J129" s="1">
        <f ca="1">IFERROR(__xludf.DUMMYFUNCTION("""COMPUTED_VALUE"""),59.2)</f>
        <v>59.2</v>
      </c>
      <c r="K129" s="1">
        <f ca="1">IFERROR(__xludf.DUMMYFUNCTION("""COMPUTED_VALUE"""),329)</f>
        <v>329</v>
      </c>
      <c r="L129" s="1" t="str">
        <f ca="1">IFERROR(__xludf.DUMMYFUNCTION("""COMPUTED_VALUE"""),"+.041")</f>
        <v>+.041</v>
      </c>
      <c r="M129" s="1">
        <f ca="1">IFERROR(__xludf.DUMMYFUNCTION("""COMPUTED_VALUE"""),74)</f>
        <v>74</v>
      </c>
      <c r="N129" s="1" t="str">
        <f ca="1">IFERROR(__xludf.DUMMYFUNCTION("""COMPUTED_VALUE"""),"+3.86")</f>
        <v>+3.86</v>
      </c>
      <c r="O129" s="1">
        <f ca="1">IFERROR(__xludf.DUMMYFUNCTION("""COMPUTED_VALUE"""),95)</f>
        <v>95</v>
      </c>
      <c r="P129" s="1">
        <f ca="1">IFERROR(__xludf.DUMMYFUNCTION("""COMPUTED_VALUE"""),104.9)</f>
        <v>104.9</v>
      </c>
      <c r="Q129" s="1">
        <f ca="1">IFERROR(__xludf.DUMMYFUNCTION("""COMPUTED_VALUE"""),112)</f>
        <v>112</v>
      </c>
      <c r="R129" s="1">
        <f ca="1">IFERROR(__xludf.DUMMYFUNCTION("""COMPUTED_VALUE"""),101)</f>
        <v>101</v>
      </c>
      <c r="S129" s="1">
        <f ca="1">IFERROR(__xludf.DUMMYFUNCTION("""COMPUTED_VALUE"""),77)</f>
        <v>77</v>
      </c>
      <c r="T129" s="1">
        <f ca="1">IFERROR(__xludf.DUMMYFUNCTION("""COMPUTED_VALUE"""),-3.31)</f>
        <v>-3.31</v>
      </c>
      <c r="U129" s="1">
        <f ca="1">IFERROR(__xludf.DUMMYFUNCTION("""COMPUTED_VALUE"""),252)</f>
        <v>252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IFERROR(__xludf.DUMMYFUNCTION("""COMPUTED_VALUE"""),"Rider")</f>
        <v>Rider</v>
      </c>
      <c r="C130" s="1" t="str">
        <f ca="1">IFERROR(__xludf.DUMMYFUNCTION("""COMPUTED_VALUE"""),"MAAC")</f>
        <v>MAAC</v>
      </c>
      <c r="D130" s="1" t="str">
        <f ca="1">IFERROR(__xludf.DUMMYFUNCTION("""COMPUTED_VALUE"""),"23-11")</f>
        <v>23-11</v>
      </c>
      <c r="E130" s="1" t="str">
        <f ca="1">IFERROR(__xludf.DUMMYFUNCTION("""COMPUTED_VALUE"""),"+4.62")</f>
        <v>+4.62</v>
      </c>
      <c r="F130" s="1">
        <f ca="1">IFERROR(__xludf.DUMMYFUNCTION("""COMPUTED_VALUE"""),108.2)</f>
        <v>108.2</v>
      </c>
      <c r="G130" s="1">
        <f ca="1">IFERROR(__xludf.DUMMYFUNCTION("""COMPUTED_VALUE"""),94)</f>
        <v>94</v>
      </c>
      <c r="H130" s="1">
        <f ca="1">IFERROR(__xludf.DUMMYFUNCTION("""COMPUTED_VALUE"""),103.6)</f>
        <v>103.6</v>
      </c>
      <c r="I130" s="1">
        <f ca="1">IFERROR(__xludf.DUMMYFUNCTION("""COMPUTED_VALUE"""),169)</f>
        <v>169</v>
      </c>
      <c r="J130" s="1">
        <f ca="1">IFERROR(__xludf.DUMMYFUNCTION("""COMPUTED_VALUE"""),68.7)</f>
        <v>68.7</v>
      </c>
      <c r="K130" s="1">
        <f ca="1">IFERROR(__xludf.DUMMYFUNCTION("""COMPUTED_VALUE"""),48)</f>
        <v>48</v>
      </c>
      <c r="L130" s="1" t="str">
        <f ca="1">IFERROR(__xludf.DUMMYFUNCTION("""COMPUTED_VALUE"""),"+.010")</f>
        <v>+.010</v>
      </c>
      <c r="M130" s="1">
        <f ca="1">IFERROR(__xludf.DUMMYFUNCTION("""COMPUTED_VALUE"""),148)</f>
        <v>148</v>
      </c>
      <c r="N130" s="1">
        <f ca="1">IFERROR(__xludf.DUMMYFUNCTION("""COMPUTED_VALUE"""),-3.33)</f>
        <v>-3.33</v>
      </c>
      <c r="O130" s="1">
        <f ca="1">IFERROR(__xludf.DUMMYFUNCTION("""COMPUTED_VALUE"""),226)</f>
        <v>226</v>
      </c>
      <c r="P130" s="1">
        <f ca="1">IFERROR(__xludf.DUMMYFUNCTION("""COMPUTED_VALUE"""),101.7)</f>
        <v>101.7</v>
      </c>
      <c r="Q130" s="1">
        <f ca="1">IFERROR(__xludf.DUMMYFUNCTION("""COMPUTED_VALUE"""),235)</f>
        <v>235</v>
      </c>
      <c r="R130" s="1">
        <f ca="1">IFERROR(__xludf.DUMMYFUNCTION("""COMPUTED_VALUE"""),105.1)</f>
        <v>105.1</v>
      </c>
      <c r="S130" s="1">
        <f ca="1">IFERROR(__xludf.DUMMYFUNCTION("""COMPUTED_VALUE"""),211)</f>
        <v>211</v>
      </c>
      <c r="T130" s="1">
        <f ca="1">IFERROR(__xludf.DUMMYFUNCTION("""COMPUTED_VALUE"""),-3.96)</f>
        <v>-3.96</v>
      </c>
      <c r="U130" s="1">
        <f ca="1">IFERROR(__xludf.DUMMYFUNCTION("""COMPUTED_VALUE"""),271)</f>
        <v>271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IFERROR(__xludf.DUMMYFUNCTION("""COMPUTED_VALUE"""),"Cornell14")</f>
        <v>Cornell14</v>
      </c>
      <c r="C131" s="1" t="str">
        <f ca="1">IFERROR(__xludf.DUMMYFUNCTION("""COMPUTED_VALUE"""),"Ivy")</f>
        <v>Ivy</v>
      </c>
      <c r="D131" s="1" t="str">
        <f ca="1">IFERROR(__xludf.DUMMYFUNCTION("""COMPUTED_VALUE"""),"22-6")</f>
        <v>22-6</v>
      </c>
      <c r="E131" s="1" t="str">
        <f ca="1">IFERROR(__xludf.DUMMYFUNCTION("""COMPUTED_VALUE"""),"+4.41")</f>
        <v>+4.41</v>
      </c>
      <c r="F131" s="1">
        <f ca="1">IFERROR(__xludf.DUMMYFUNCTION("""COMPUTED_VALUE"""),110.1)</f>
        <v>110.1</v>
      </c>
      <c r="G131" s="1">
        <f ca="1">IFERROR(__xludf.DUMMYFUNCTION("""COMPUTED_VALUE"""),69)</f>
        <v>69</v>
      </c>
      <c r="H131" s="1">
        <f ca="1">IFERROR(__xludf.DUMMYFUNCTION("""COMPUTED_VALUE"""),105.7)</f>
        <v>105.7</v>
      </c>
      <c r="I131" s="1">
        <f ca="1">IFERROR(__xludf.DUMMYFUNCTION("""COMPUTED_VALUE"""),206)</f>
        <v>206</v>
      </c>
      <c r="J131" s="1">
        <f ca="1">IFERROR(__xludf.DUMMYFUNCTION("""COMPUTED_VALUE"""),67.9)</f>
        <v>67.900000000000006</v>
      </c>
      <c r="K131" s="1">
        <f ca="1">IFERROR(__xludf.DUMMYFUNCTION("""COMPUTED_VALUE"""),80)</f>
        <v>80</v>
      </c>
      <c r="L131" s="1" t="str">
        <f ca="1">IFERROR(__xludf.DUMMYFUNCTION("""COMPUTED_VALUE"""),"+.086")</f>
        <v>+.086</v>
      </c>
      <c r="M131" s="1">
        <f ca="1">IFERROR(__xludf.DUMMYFUNCTION("""COMPUTED_VALUE"""),15)</f>
        <v>15</v>
      </c>
      <c r="N131" s="1">
        <f ca="1">IFERROR(__xludf.DUMMYFUNCTION("""COMPUTED_VALUE"""),-6.93)</f>
        <v>-6.93</v>
      </c>
      <c r="O131" s="1">
        <f ca="1">IFERROR(__xludf.DUMMYFUNCTION("""COMPUTED_VALUE"""),298)</f>
        <v>298</v>
      </c>
      <c r="P131" s="1">
        <f ca="1">IFERROR(__xludf.DUMMYFUNCTION("""COMPUTED_VALUE"""),99.1)</f>
        <v>99.1</v>
      </c>
      <c r="Q131" s="1">
        <f ca="1">IFERROR(__xludf.DUMMYFUNCTION("""COMPUTED_VALUE"""),314)</f>
        <v>314</v>
      </c>
      <c r="R131" s="1">
        <f ca="1">IFERROR(__xludf.DUMMYFUNCTION("""COMPUTED_VALUE"""),106)</f>
        <v>106</v>
      </c>
      <c r="S131" s="1">
        <f ca="1">IFERROR(__xludf.DUMMYFUNCTION("""COMPUTED_VALUE"""),257)</f>
        <v>257</v>
      </c>
      <c r="T131" s="1">
        <f ca="1">IFERROR(__xludf.DUMMYFUNCTION("""COMPUTED_VALUE"""),-3.59)</f>
        <v>-3.59</v>
      </c>
      <c r="U131" s="1">
        <f ca="1">IFERROR(__xludf.DUMMYFUNCTION("""COMPUTED_VALUE"""),264)</f>
        <v>264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IFERROR(__xludf.DUMMYFUNCTION("""COMPUTED_VALUE"""),"Iowa St.")</f>
        <v>Iowa St.</v>
      </c>
      <c r="C132" s="1" t="str">
        <f ca="1">IFERROR(__xludf.DUMMYFUNCTION("""COMPUTED_VALUE"""),"B12")</f>
        <v>B12</v>
      </c>
      <c r="D132" s="1" t="str">
        <f ca="1">IFERROR(__xludf.DUMMYFUNCTION("""COMPUTED_VALUE"""),"14-18")</f>
        <v>14-18</v>
      </c>
      <c r="E132" s="1" t="str">
        <f ca="1">IFERROR(__xludf.DUMMYFUNCTION("""COMPUTED_VALUE"""),"+4.38")</f>
        <v>+4.38</v>
      </c>
      <c r="F132" s="1">
        <f ca="1">IFERROR(__xludf.DUMMYFUNCTION("""COMPUTED_VALUE"""),101.7)</f>
        <v>101.7</v>
      </c>
      <c r="G132" s="1">
        <f ca="1">IFERROR(__xludf.DUMMYFUNCTION("""COMPUTED_VALUE"""),196)</f>
        <v>196</v>
      </c>
      <c r="H132" s="1">
        <f ca="1">IFERROR(__xludf.DUMMYFUNCTION("""COMPUTED_VALUE"""),97.4)</f>
        <v>97.4</v>
      </c>
      <c r="I132" s="1">
        <f ca="1">IFERROR(__xludf.DUMMYFUNCTION("""COMPUTED_VALUE"""),66)</f>
        <v>66</v>
      </c>
      <c r="J132" s="1">
        <f ca="1">IFERROR(__xludf.DUMMYFUNCTION("""COMPUTED_VALUE"""),64.1)</f>
        <v>64.099999999999994</v>
      </c>
      <c r="K132" s="1">
        <f ca="1">IFERROR(__xludf.DUMMYFUNCTION("""COMPUTED_VALUE"""),212)</f>
        <v>212</v>
      </c>
      <c r="L132" s="1">
        <f ca="1">IFERROR(__xludf.DUMMYFUNCTION("""COMPUTED_VALUE"""),-0.015)</f>
        <v>-1.4999999999999999E-2</v>
      </c>
      <c r="M132" s="1">
        <f ca="1">IFERROR(__xludf.DUMMYFUNCTION("""COMPUTED_VALUE"""),206)</f>
        <v>206</v>
      </c>
      <c r="N132" s="1" t="str">
        <f ca="1">IFERROR(__xludf.DUMMYFUNCTION("""COMPUTED_VALUE"""),"+8.14")</f>
        <v>+8.14</v>
      </c>
      <c r="O132" s="1">
        <f ca="1">IFERROR(__xludf.DUMMYFUNCTION("""COMPUTED_VALUE"""),40)</f>
        <v>40</v>
      </c>
      <c r="P132" s="1">
        <f ca="1">IFERROR(__xludf.DUMMYFUNCTION("""COMPUTED_VALUE"""),107.5)</f>
        <v>107.5</v>
      </c>
      <c r="Q132" s="1">
        <f ca="1">IFERROR(__xludf.DUMMYFUNCTION("""COMPUTED_VALUE"""),47)</f>
        <v>47</v>
      </c>
      <c r="R132" s="1">
        <f ca="1">IFERROR(__xludf.DUMMYFUNCTION("""COMPUTED_VALUE"""),99.3)</f>
        <v>99.3</v>
      </c>
      <c r="S132" s="1">
        <f ca="1">IFERROR(__xludf.DUMMYFUNCTION("""COMPUTED_VALUE"""),29)</f>
        <v>29</v>
      </c>
      <c r="T132" s="1">
        <f ca="1">IFERROR(__xludf.DUMMYFUNCTION("""COMPUTED_VALUE"""),-4.74)</f>
        <v>-4.74</v>
      </c>
      <c r="U132" s="1">
        <f ca="1">IFERROR(__xludf.DUMMYFUNCTION("""COMPUTED_VALUE"""),282)</f>
        <v>282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IFERROR(__xludf.DUMMYFUNCTION("""COMPUTED_VALUE"""),"Colorado")</f>
        <v>Colorado</v>
      </c>
      <c r="C133" s="1" t="str">
        <f ca="1">IFERROR(__xludf.DUMMYFUNCTION("""COMPUTED_VALUE"""),"B12")</f>
        <v>B12</v>
      </c>
      <c r="D133" s="2">
        <f ca="1">IFERROR(__xludf.DUMMYFUNCTION("""COMPUTED_VALUE"""),44915)</f>
        <v>44915</v>
      </c>
      <c r="E133" s="1" t="str">
        <f ca="1">IFERROR(__xludf.DUMMYFUNCTION("""COMPUTED_VALUE"""),"+4.29")</f>
        <v>+4.29</v>
      </c>
      <c r="F133" s="1">
        <f ca="1">IFERROR(__xludf.DUMMYFUNCTION("""COMPUTED_VALUE"""),104.7)</f>
        <v>104.7</v>
      </c>
      <c r="G133" s="1">
        <f ca="1">IFERROR(__xludf.DUMMYFUNCTION("""COMPUTED_VALUE"""),155)</f>
        <v>155</v>
      </c>
      <c r="H133" s="1">
        <f ca="1">IFERROR(__xludf.DUMMYFUNCTION("""COMPUTED_VALUE"""),100.4)</f>
        <v>100.4</v>
      </c>
      <c r="I133" s="1">
        <f ca="1">IFERROR(__xludf.DUMMYFUNCTION("""COMPUTED_VALUE"""),100)</f>
        <v>100</v>
      </c>
      <c r="J133" s="1">
        <f ca="1">IFERROR(__xludf.DUMMYFUNCTION("""COMPUTED_VALUE"""),60.9)</f>
        <v>60.9</v>
      </c>
      <c r="K133" s="1">
        <f ca="1">IFERROR(__xludf.DUMMYFUNCTION("""COMPUTED_VALUE"""),313)</f>
        <v>313</v>
      </c>
      <c r="L133" s="1">
        <f ca="1">IFERROR(__xludf.DUMMYFUNCTION("""COMPUTED_VALUE"""),-0.066)</f>
        <v>-6.6000000000000003E-2</v>
      </c>
      <c r="M133" s="1">
        <f ca="1">IFERROR(__xludf.DUMMYFUNCTION("""COMPUTED_VALUE"""),315)</f>
        <v>315</v>
      </c>
      <c r="N133" s="1" t="str">
        <f ca="1">IFERROR(__xludf.DUMMYFUNCTION("""COMPUTED_VALUE"""),"+8.94")</f>
        <v>+8.94</v>
      </c>
      <c r="O133" s="1">
        <f ca="1">IFERROR(__xludf.DUMMYFUNCTION("""COMPUTED_VALUE"""),30)</f>
        <v>30</v>
      </c>
      <c r="P133" s="1">
        <f ca="1">IFERROR(__xludf.DUMMYFUNCTION("""COMPUTED_VALUE"""),107.5)</f>
        <v>107.5</v>
      </c>
      <c r="Q133" s="1">
        <f ca="1">IFERROR(__xludf.DUMMYFUNCTION("""COMPUTED_VALUE"""),46)</f>
        <v>46</v>
      </c>
      <c r="R133" s="1">
        <f ca="1">IFERROR(__xludf.DUMMYFUNCTION("""COMPUTED_VALUE"""),98.6)</f>
        <v>98.6</v>
      </c>
      <c r="S133" s="1">
        <f ca="1">IFERROR(__xludf.DUMMYFUNCTION("""COMPUTED_VALUE"""),11)</f>
        <v>11</v>
      </c>
      <c r="T133" s="1">
        <f ca="1">IFERROR(__xludf.DUMMYFUNCTION("""COMPUTED_VALUE"""),-2.23)</f>
        <v>-2.23</v>
      </c>
      <c r="U133" s="1">
        <f ca="1">IFERROR(__xludf.DUMMYFUNCTION("""COMPUTED_VALUE"""),218)</f>
        <v>218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IFERROR(__xludf.DUMMYFUNCTION("""COMPUTED_VALUE"""),"Boise St.14")</f>
        <v>Boise St.14</v>
      </c>
      <c r="C134" s="1" t="str">
        <f ca="1">IFERROR(__xludf.DUMMYFUNCTION("""COMPUTED_VALUE"""),"WAC")</f>
        <v>WAC</v>
      </c>
      <c r="D134" s="1" t="str">
        <f ca="1">IFERROR(__xludf.DUMMYFUNCTION("""COMPUTED_VALUE"""),"25-9")</f>
        <v>25-9</v>
      </c>
      <c r="E134" s="1" t="str">
        <f ca="1">IFERROR(__xludf.DUMMYFUNCTION("""COMPUTED_VALUE"""),"+3.89")</f>
        <v>+3.89</v>
      </c>
      <c r="F134" s="1">
        <f ca="1">IFERROR(__xludf.DUMMYFUNCTION("""COMPUTED_VALUE"""),108.7)</f>
        <v>108.7</v>
      </c>
      <c r="G134" s="1">
        <f ca="1">IFERROR(__xludf.DUMMYFUNCTION("""COMPUTED_VALUE"""),84)</f>
        <v>84</v>
      </c>
      <c r="H134" s="1">
        <f ca="1">IFERROR(__xludf.DUMMYFUNCTION("""COMPUTED_VALUE"""),104.8)</f>
        <v>104.8</v>
      </c>
      <c r="I134" s="1">
        <f ca="1">IFERROR(__xludf.DUMMYFUNCTION("""COMPUTED_VALUE"""),191)</f>
        <v>191</v>
      </c>
      <c r="J134" s="1">
        <f ca="1">IFERROR(__xludf.DUMMYFUNCTION("""COMPUTED_VALUE"""),70.7)</f>
        <v>70.7</v>
      </c>
      <c r="K134" s="1">
        <f ca="1">IFERROR(__xludf.DUMMYFUNCTION("""COMPUTED_VALUE"""),19)</f>
        <v>19</v>
      </c>
      <c r="L134" s="1" t="str">
        <f ca="1">IFERROR(__xludf.DUMMYFUNCTION("""COMPUTED_VALUE"""),"+.085")</f>
        <v>+.085</v>
      </c>
      <c r="M134" s="1">
        <f ca="1">IFERROR(__xludf.DUMMYFUNCTION("""COMPUTED_VALUE"""),17)</f>
        <v>17</v>
      </c>
      <c r="N134" s="1">
        <f ca="1">IFERROR(__xludf.DUMMYFUNCTION("""COMPUTED_VALUE"""),-2.64)</f>
        <v>-2.64</v>
      </c>
      <c r="O134" s="1">
        <f ca="1">IFERROR(__xludf.DUMMYFUNCTION("""COMPUTED_VALUE"""),212)</f>
        <v>212</v>
      </c>
      <c r="P134" s="1">
        <f ca="1">IFERROR(__xludf.DUMMYFUNCTION("""COMPUTED_VALUE"""),103.3)</f>
        <v>103.3</v>
      </c>
      <c r="Q134" s="1">
        <f ca="1">IFERROR(__xludf.DUMMYFUNCTION("""COMPUTED_VALUE"""),177)</f>
        <v>177</v>
      </c>
      <c r="R134" s="1">
        <f ca="1">IFERROR(__xludf.DUMMYFUNCTION("""COMPUTED_VALUE"""),105.9)</f>
        <v>105.9</v>
      </c>
      <c r="S134" s="1">
        <f ca="1">IFERROR(__xludf.DUMMYFUNCTION("""COMPUTED_VALUE"""),252)</f>
        <v>252</v>
      </c>
      <c r="T134" s="1">
        <f ca="1">IFERROR(__xludf.DUMMYFUNCTION("""COMPUTED_VALUE"""),-3.36)</f>
        <v>-3.36</v>
      </c>
      <c r="U134" s="1">
        <f ca="1">IFERROR(__xludf.DUMMYFUNCTION("""COMPUTED_VALUE"""),256)</f>
        <v>256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IFERROR(__xludf.DUMMYFUNCTION("""COMPUTED_VALUE"""),"UMBC15")</f>
        <v>UMBC15</v>
      </c>
      <c r="C135" s="1" t="str">
        <f ca="1">IFERROR(__xludf.DUMMYFUNCTION("""COMPUTED_VALUE"""),"AE")</f>
        <v>AE</v>
      </c>
      <c r="D135" s="1" t="str">
        <f ca="1">IFERROR(__xludf.DUMMYFUNCTION("""COMPUTED_VALUE"""),"24-9")</f>
        <v>24-9</v>
      </c>
      <c r="E135" s="1" t="str">
        <f ca="1">IFERROR(__xludf.DUMMYFUNCTION("""COMPUTED_VALUE"""),"+3.86")</f>
        <v>+3.86</v>
      </c>
      <c r="F135" s="1">
        <f ca="1">IFERROR(__xludf.DUMMYFUNCTION("""COMPUTED_VALUE"""),113.2)</f>
        <v>113.2</v>
      </c>
      <c r="G135" s="1">
        <f ca="1">IFERROR(__xludf.DUMMYFUNCTION("""COMPUTED_VALUE"""),39)</f>
        <v>39</v>
      </c>
      <c r="H135" s="1">
        <f ca="1">IFERROR(__xludf.DUMMYFUNCTION("""COMPUTED_VALUE"""),109.3)</f>
        <v>109.3</v>
      </c>
      <c r="I135" s="1">
        <f ca="1">IFERROR(__xludf.DUMMYFUNCTION("""COMPUTED_VALUE"""),282)</f>
        <v>282</v>
      </c>
      <c r="J135" s="1">
        <f ca="1">IFERROR(__xludf.DUMMYFUNCTION("""COMPUTED_VALUE"""),63.7)</f>
        <v>63.7</v>
      </c>
      <c r="K135" s="1">
        <f ca="1">IFERROR(__xludf.DUMMYFUNCTION("""COMPUTED_VALUE"""),230)</f>
        <v>230</v>
      </c>
      <c r="L135" s="1" t="str">
        <f ca="1">IFERROR(__xludf.DUMMYFUNCTION("""COMPUTED_VALUE"""),"+.057")</f>
        <v>+.057</v>
      </c>
      <c r="M135" s="1">
        <f ca="1">IFERROR(__xludf.DUMMYFUNCTION("""COMPUTED_VALUE"""),46)</f>
        <v>46</v>
      </c>
      <c r="N135" s="1">
        <f ca="1">IFERROR(__xludf.DUMMYFUNCTION("""COMPUTED_VALUE"""),-4.31)</f>
        <v>-4.3099999999999996</v>
      </c>
      <c r="O135" s="1">
        <f ca="1">IFERROR(__xludf.DUMMYFUNCTION("""COMPUTED_VALUE"""),241)</f>
        <v>241</v>
      </c>
      <c r="P135" s="1">
        <f ca="1">IFERROR(__xludf.DUMMYFUNCTION("""COMPUTED_VALUE"""),100.7)</f>
        <v>100.7</v>
      </c>
      <c r="Q135" s="1">
        <f ca="1">IFERROR(__xludf.DUMMYFUNCTION("""COMPUTED_VALUE"""),274)</f>
        <v>274</v>
      </c>
      <c r="R135" s="1">
        <f ca="1">IFERROR(__xludf.DUMMYFUNCTION("""COMPUTED_VALUE"""),105)</f>
        <v>105</v>
      </c>
      <c r="S135" s="1">
        <f ca="1">IFERROR(__xludf.DUMMYFUNCTION("""COMPUTED_VALUE"""),207)</f>
        <v>207</v>
      </c>
      <c r="T135" s="1" t="str">
        <f ca="1">IFERROR(__xludf.DUMMYFUNCTION("""COMPUTED_VALUE"""),"+2.68")</f>
        <v>+2.68</v>
      </c>
      <c r="U135" s="1">
        <f ca="1">IFERROR(__xludf.DUMMYFUNCTION("""COMPUTED_VALUE"""),79)</f>
        <v>79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IFERROR(__xludf.DUMMYFUNCTION("""COMPUTED_VALUE"""),"Georgia Southern")</f>
        <v>Georgia Southern</v>
      </c>
      <c r="C136" s="1" t="str">
        <f ca="1">IFERROR(__xludf.DUMMYFUNCTION("""COMPUTED_VALUE"""),"SC")</f>
        <v>SC</v>
      </c>
      <c r="D136" s="1" t="str">
        <f ca="1">IFERROR(__xludf.DUMMYFUNCTION("""COMPUTED_VALUE"""),"20-12")</f>
        <v>20-12</v>
      </c>
      <c r="E136" s="1" t="str">
        <f ca="1">IFERROR(__xludf.DUMMYFUNCTION("""COMPUTED_VALUE"""),"+3.82")</f>
        <v>+3.82</v>
      </c>
      <c r="F136" s="1">
        <f ca="1">IFERROR(__xludf.DUMMYFUNCTION("""COMPUTED_VALUE"""),106)</f>
        <v>106</v>
      </c>
      <c r="G136" s="1">
        <f ca="1">IFERROR(__xludf.DUMMYFUNCTION("""COMPUTED_VALUE"""),133)</f>
        <v>133</v>
      </c>
      <c r="H136" s="1">
        <f ca="1">IFERROR(__xludf.DUMMYFUNCTION("""COMPUTED_VALUE"""),102.2)</f>
        <v>102.2</v>
      </c>
      <c r="I136" s="1">
        <f ca="1">IFERROR(__xludf.DUMMYFUNCTION("""COMPUTED_VALUE"""),140)</f>
        <v>140</v>
      </c>
      <c r="J136" s="1">
        <f ca="1">IFERROR(__xludf.DUMMYFUNCTION("""COMPUTED_VALUE"""),69)</f>
        <v>69</v>
      </c>
      <c r="K136" s="1">
        <f ca="1">IFERROR(__xludf.DUMMYFUNCTION("""COMPUTED_VALUE"""),43)</f>
        <v>43</v>
      </c>
      <c r="L136" s="1" t="str">
        <f ca="1">IFERROR(__xludf.DUMMYFUNCTION("""COMPUTED_VALUE"""),"+.019")</f>
        <v>+.019</v>
      </c>
      <c r="M136" s="1">
        <f ca="1">IFERROR(__xludf.DUMMYFUNCTION("""COMPUTED_VALUE"""),123)</f>
        <v>123</v>
      </c>
      <c r="N136" s="1">
        <f ca="1">IFERROR(__xludf.DUMMYFUNCTION("""COMPUTED_VALUE"""),-0.34)</f>
        <v>-0.34</v>
      </c>
      <c r="O136" s="1">
        <f ca="1">IFERROR(__xludf.DUMMYFUNCTION("""COMPUTED_VALUE"""),160)</f>
        <v>160</v>
      </c>
      <c r="P136" s="1">
        <f ca="1">IFERROR(__xludf.DUMMYFUNCTION("""COMPUTED_VALUE"""),104.1)</f>
        <v>104.1</v>
      </c>
      <c r="Q136" s="1">
        <f ca="1">IFERROR(__xludf.DUMMYFUNCTION("""COMPUTED_VALUE"""),145)</f>
        <v>145</v>
      </c>
      <c r="R136" s="1">
        <f ca="1">IFERROR(__xludf.DUMMYFUNCTION("""COMPUTED_VALUE"""),104.4)</f>
        <v>104.4</v>
      </c>
      <c r="S136" s="1">
        <f ca="1">IFERROR(__xludf.DUMMYFUNCTION("""COMPUTED_VALUE"""),187)</f>
        <v>187</v>
      </c>
      <c r="T136" s="1" t="str">
        <f ca="1">IFERROR(__xludf.DUMMYFUNCTION("""COMPUTED_VALUE"""),"+3.83")</f>
        <v>+3.83</v>
      </c>
      <c r="U136" s="1">
        <f ca="1">IFERROR(__xludf.DUMMYFUNCTION("""COMPUTED_VALUE"""),61)</f>
        <v>61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IFERROR(__xludf.DUMMYFUNCTION("""COMPUTED_VALUE"""),"Belmont15")</f>
        <v>Belmont15</v>
      </c>
      <c r="C137" s="1" t="str">
        <f ca="1">IFERROR(__xludf.DUMMYFUNCTION("""COMPUTED_VALUE"""),"ASun")</f>
        <v>ASun</v>
      </c>
      <c r="D137" s="1" t="str">
        <f ca="1">IFERROR(__xludf.DUMMYFUNCTION("""COMPUTED_VALUE"""),"25-9")</f>
        <v>25-9</v>
      </c>
      <c r="E137" s="1" t="str">
        <f ca="1">IFERROR(__xludf.DUMMYFUNCTION("""COMPUTED_VALUE"""),"+3.53")</f>
        <v>+3.53</v>
      </c>
      <c r="F137" s="1">
        <f ca="1">IFERROR(__xludf.DUMMYFUNCTION("""COMPUTED_VALUE"""),109.7)</f>
        <v>109.7</v>
      </c>
      <c r="G137" s="1">
        <f ca="1">IFERROR(__xludf.DUMMYFUNCTION("""COMPUTED_VALUE"""),71)</f>
        <v>71</v>
      </c>
      <c r="H137" s="1">
        <f ca="1">IFERROR(__xludf.DUMMYFUNCTION("""COMPUTED_VALUE"""),106.2)</f>
        <v>106.2</v>
      </c>
      <c r="I137" s="1">
        <f ca="1">IFERROR(__xludf.DUMMYFUNCTION("""COMPUTED_VALUE"""),216)</f>
        <v>216</v>
      </c>
      <c r="J137" s="1">
        <f ca="1">IFERROR(__xludf.DUMMYFUNCTION("""COMPUTED_VALUE"""),68.6)</f>
        <v>68.599999999999994</v>
      </c>
      <c r="K137" s="1">
        <f ca="1">IFERROR(__xludf.DUMMYFUNCTION("""COMPUTED_VALUE"""),53)</f>
        <v>53</v>
      </c>
      <c r="L137" s="1" t="str">
        <f ca="1">IFERROR(__xludf.DUMMYFUNCTION("""COMPUTED_VALUE"""),"+.075")</f>
        <v>+.075</v>
      </c>
      <c r="M137" s="1">
        <f ca="1">IFERROR(__xludf.DUMMYFUNCTION("""COMPUTED_VALUE"""),25)</f>
        <v>25</v>
      </c>
      <c r="N137" s="1">
        <f ca="1">IFERROR(__xludf.DUMMYFUNCTION("""COMPUTED_VALUE"""),-5.21)</f>
        <v>-5.21</v>
      </c>
      <c r="O137" s="1">
        <f ca="1">IFERROR(__xludf.DUMMYFUNCTION("""COMPUTED_VALUE"""),262)</f>
        <v>262</v>
      </c>
      <c r="P137" s="1">
        <f ca="1">IFERROR(__xludf.DUMMYFUNCTION("""COMPUTED_VALUE"""),100.9)</f>
        <v>100.9</v>
      </c>
      <c r="Q137" s="1">
        <f ca="1">IFERROR(__xludf.DUMMYFUNCTION("""COMPUTED_VALUE"""),265)</f>
        <v>265</v>
      </c>
      <c r="R137" s="1">
        <f ca="1">IFERROR(__xludf.DUMMYFUNCTION("""COMPUTED_VALUE"""),106.1)</f>
        <v>106.1</v>
      </c>
      <c r="S137" s="1">
        <f ca="1">IFERROR(__xludf.DUMMYFUNCTION("""COMPUTED_VALUE"""),268)</f>
        <v>268</v>
      </c>
      <c r="T137" s="1" t="str">
        <f ca="1">IFERROR(__xludf.DUMMYFUNCTION("""COMPUTED_VALUE"""),"+0.51")</f>
        <v>+0.51</v>
      </c>
      <c r="U137" s="1">
        <f ca="1">IFERROR(__xludf.DUMMYFUNCTION("""COMPUTED_VALUE"""),133)</f>
        <v>133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IFERROR(__xludf.DUMMYFUNCTION("""COMPUTED_VALUE"""),"Penn St.")</f>
        <v>Penn St.</v>
      </c>
      <c r="C138" s="1" t="str">
        <f ca="1">IFERROR(__xludf.DUMMYFUNCTION("""COMPUTED_VALUE"""),"B10")</f>
        <v>B10</v>
      </c>
      <c r="D138" s="1" t="str">
        <f ca="1">IFERROR(__xludf.DUMMYFUNCTION("""COMPUTED_VALUE"""),"15-16")</f>
        <v>15-16</v>
      </c>
      <c r="E138" s="1" t="str">
        <f ca="1">IFERROR(__xludf.DUMMYFUNCTION("""COMPUTED_VALUE"""),"+3.48")</f>
        <v>+3.48</v>
      </c>
      <c r="F138" s="1">
        <f ca="1">IFERROR(__xludf.DUMMYFUNCTION("""COMPUTED_VALUE"""),107.7)</f>
        <v>107.7</v>
      </c>
      <c r="G138" s="1">
        <f ca="1">IFERROR(__xludf.DUMMYFUNCTION("""COMPUTED_VALUE"""),107)</f>
        <v>107</v>
      </c>
      <c r="H138" s="1">
        <f ca="1">IFERROR(__xludf.DUMMYFUNCTION("""COMPUTED_VALUE"""),104.2)</f>
        <v>104.2</v>
      </c>
      <c r="I138" s="1">
        <f ca="1">IFERROR(__xludf.DUMMYFUNCTION("""COMPUTED_VALUE"""),182)</f>
        <v>182</v>
      </c>
      <c r="J138" s="1">
        <f ca="1">IFERROR(__xludf.DUMMYFUNCTION("""COMPUTED_VALUE"""),63.5)</f>
        <v>63.5</v>
      </c>
      <c r="K138" s="1">
        <f ca="1">IFERROR(__xludf.DUMMYFUNCTION("""COMPUTED_VALUE"""),242)</f>
        <v>242</v>
      </c>
      <c r="L138" s="1" t="str">
        <f ca="1">IFERROR(__xludf.DUMMYFUNCTION("""COMPUTED_VALUE"""),"+.030")</f>
        <v>+.030</v>
      </c>
      <c r="M138" s="1">
        <f ca="1">IFERROR(__xludf.DUMMYFUNCTION("""COMPUTED_VALUE"""),97)</f>
        <v>97</v>
      </c>
      <c r="N138" s="1" t="str">
        <f ca="1">IFERROR(__xludf.DUMMYFUNCTION("""COMPUTED_VALUE"""),"+6.66")</f>
        <v>+6.66</v>
      </c>
      <c r="O138" s="1">
        <f ca="1">IFERROR(__xludf.DUMMYFUNCTION("""COMPUTED_VALUE"""),59)</f>
        <v>59</v>
      </c>
      <c r="P138" s="1">
        <f ca="1">IFERROR(__xludf.DUMMYFUNCTION("""COMPUTED_VALUE"""),106.2)</f>
        <v>106.2</v>
      </c>
      <c r="Q138" s="1">
        <f ca="1">IFERROR(__xludf.DUMMYFUNCTION("""COMPUTED_VALUE"""),83)</f>
        <v>83</v>
      </c>
      <c r="R138" s="1">
        <f ca="1">IFERROR(__xludf.DUMMYFUNCTION("""COMPUTED_VALUE"""),99.6)</f>
        <v>99.6</v>
      </c>
      <c r="S138" s="1">
        <f ca="1">IFERROR(__xludf.DUMMYFUNCTION("""COMPUTED_VALUE"""),34)</f>
        <v>34</v>
      </c>
      <c r="T138" s="1">
        <f ca="1">IFERROR(__xludf.DUMMYFUNCTION("""COMPUTED_VALUE"""),-4.8)</f>
        <v>-4.8</v>
      </c>
      <c r="U138" s="1">
        <f ca="1">IFERROR(__xludf.DUMMYFUNCTION("""COMPUTED_VALUE"""),283)</f>
        <v>283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IFERROR(__xludf.DUMMYFUNCTION("""COMPUTED_VALUE"""),"Cal St. Northridge")</f>
        <v>Cal St. Northridge</v>
      </c>
      <c r="C139" s="1" t="str">
        <f ca="1">IFERROR(__xludf.DUMMYFUNCTION("""COMPUTED_VALUE"""),"BW")</f>
        <v>BW</v>
      </c>
      <c r="D139" s="1" t="str">
        <f ca="1">IFERROR(__xludf.DUMMYFUNCTION("""COMPUTED_VALUE"""),"20-10")</f>
        <v>20-10</v>
      </c>
      <c r="E139" s="1" t="str">
        <f ca="1">IFERROR(__xludf.DUMMYFUNCTION("""COMPUTED_VALUE"""),"+3.43")</f>
        <v>+3.43</v>
      </c>
      <c r="F139" s="1">
        <f ca="1">IFERROR(__xludf.DUMMYFUNCTION("""COMPUTED_VALUE"""),102.2)</f>
        <v>102.2</v>
      </c>
      <c r="G139" s="1">
        <f ca="1">IFERROR(__xludf.DUMMYFUNCTION("""COMPUTED_VALUE"""),189)</f>
        <v>189</v>
      </c>
      <c r="H139" s="1">
        <f ca="1">IFERROR(__xludf.DUMMYFUNCTION("""COMPUTED_VALUE"""),98.7)</f>
        <v>98.7</v>
      </c>
      <c r="I139" s="1">
        <f ca="1">IFERROR(__xludf.DUMMYFUNCTION("""COMPUTED_VALUE"""),78)</f>
        <v>78</v>
      </c>
      <c r="J139" s="1">
        <f ca="1">IFERROR(__xludf.DUMMYFUNCTION("""COMPUTED_VALUE"""),72.2)</f>
        <v>72.2</v>
      </c>
      <c r="K139" s="1">
        <f ca="1">IFERROR(__xludf.DUMMYFUNCTION("""COMPUTED_VALUE"""),10)</f>
        <v>10</v>
      </c>
      <c r="L139" s="1" t="str">
        <f ca="1">IFERROR(__xludf.DUMMYFUNCTION("""COMPUTED_VALUE"""),"+.023")</f>
        <v>+.023</v>
      </c>
      <c r="M139" s="1">
        <f ca="1">IFERROR(__xludf.DUMMYFUNCTION("""COMPUTED_VALUE"""),115)</f>
        <v>115</v>
      </c>
      <c r="N139" s="1">
        <f ca="1">IFERROR(__xludf.DUMMYFUNCTION("""COMPUTED_VALUE"""),-3.53)</f>
        <v>-3.53</v>
      </c>
      <c r="O139" s="1">
        <f ca="1">IFERROR(__xludf.DUMMYFUNCTION("""COMPUTED_VALUE"""),233)</f>
        <v>233</v>
      </c>
      <c r="P139" s="1">
        <f ca="1">IFERROR(__xludf.DUMMYFUNCTION("""COMPUTED_VALUE"""),102.5)</f>
        <v>102.5</v>
      </c>
      <c r="Q139" s="1">
        <f ca="1">IFERROR(__xludf.DUMMYFUNCTION("""COMPUTED_VALUE"""),205)</f>
        <v>205</v>
      </c>
      <c r="R139" s="1">
        <f ca="1">IFERROR(__xludf.DUMMYFUNCTION("""COMPUTED_VALUE"""),106)</f>
        <v>106</v>
      </c>
      <c r="S139" s="1">
        <f ca="1">IFERROR(__xludf.DUMMYFUNCTION("""COMPUTED_VALUE"""),259)</f>
        <v>259</v>
      </c>
      <c r="T139" s="1">
        <f ca="1">IFERROR(__xludf.DUMMYFUNCTION("""COMPUTED_VALUE"""),-1.94)</f>
        <v>-1.94</v>
      </c>
      <c r="U139" s="1">
        <f ca="1">IFERROR(__xludf.DUMMYFUNCTION("""COMPUTED_VALUE"""),207)</f>
        <v>207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IFERROR(__xludf.DUMMYFUNCTION("""COMPUTED_VALUE"""),"Indiana St.")</f>
        <v>Indiana St.</v>
      </c>
      <c r="C140" s="1" t="str">
        <f ca="1">IFERROR(__xludf.DUMMYFUNCTION("""COMPUTED_VALUE"""),"MVC")</f>
        <v>MVC</v>
      </c>
      <c r="D140" s="1" t="str">
        <f ca="1">IFERROR(__xludf.DUMMYFUNCTION("""COMPUTED_VALUE"""),"15-16")</f>
        <v>15-16</v>
      </c>
      <c r="E140" s="1" t="str">
        <f ca="1">IFERROR(__xludf.DUMMYFUNCTION("""COMPUTED_VALUE"""),"+3.20")</f>
        <v>+3.20</v>
      </c>
      <c r="F140" s="1">
        <f ca="1">IFERROR(__xludf.DUMMYFUNCTION("""COMPUTED_VALUE"""),105.9)</f>
        <v>105.9</v>
      </c>
      <c r="G140" s="1">
        <f ca="1">IFERROR(__xludf.DUMMYFUNCTION("""COMPUTED_VALUE"""),136)</f>
        <v>136</v>
      </c>
      <c r="H140" s="1">
        <f ca="1">IFERROR(__xludf.DUMMYFUNCTION("""COMPUTED_VALUE"""),102.7)</f>
        <v>102.7</v>
      </c>
      <c r="I140" s="1">
        <f ca="1">IFERROR(__xludf.DUMMYFUNCTION("""COMPUTED_VALUE"""),150)</f>
        <v>150</v>
      </c>
      <c r="J140" s="1">
        <f ca="1">IFERROR(__xludf.DUMMYFUNCTION("""COMPUTED_VALUE"""),64.3)</f>
        <v>64.3</v>
      </c>
      <c r="K140" s="1">
        <f ca="1">IFERROR(__xludf.DUMMYFUNCTION("""COMPUTED_VALUE"""),201)</f>
        <v>201</v>
      </c>
      <c r="L140" s="1" t="str">
        <f ca="1">IFERROR(__xludf.DUMMYFUNCTION("""COMPUTED_VALUE"""),"+.041")</f>
        <v>+.041</v>
      </c>
      <c r="M140" s="1">
        <f ca="1">IFERROR(__xludf.DUMMYFUNCTION("""COMPUTED_VALUE"""),75)</f>
        <v>75</v>
      </c>
      <c r="N140" s="1" t="str">
        <f ca="1">IFERROR(__xludf.DUMMYFUNCTION("""COMPUTED_VALUE"""),"+6.27")</f>
        <v>+6.27</v>
      </c>
      <c r="O140" s="1">
        <f ca="1">IFERROR(__xludf.DUMMYFUNCTION("""COMPUTED_VALUE"""),65)</f>
        <v>65</v>
      </c>
      <c r="P140" s="1">
        <f ca="1">IFERROR(__xludf.DUMMYFUNCTION("""COMPUTED_VALUE"""),106.9)</f>
        <v>106.9</v>
      </c>
      <c r="Q140" s="1">
        <f ca="1">IFERROR(__xludf.DUMMYFUNCTION("""COMPUTED_VALUE"""),66)</f>
        <v>66</v>
      </c>
      <c r="R140" s="1">
        <f ca="1">IFERROR(__xludf.DUMMYFUNCTION("""COMPUTED_VALUE"""),100.6)</f>
        <v>100.6</v>
      </c>
      <c r="S140" s="1">
        <f ca="1">IFERROR(__xludf.DUMMYFUNCTION("""COMPUTED_VALUE"""),62)</f>
        <v>62</v>
      </c>
      <c r="T140" s="1" t="str">
        <f ca="1">IFERROR(__xludf.DUMMYFUNCTION("""COMPUTED_VALUE"""),"+2.21")</f>
        <v>+2.21</v>
      </c>
      <c r="U140" s="1">
        <f ca="1">IFERROR(__xludf.DUMMYFUNCTION("""COMPUTED_VALUE"""),93)</f>
        <v>93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IFERROR(__xludf.DUMMYFUNCTION("""COMPUTED_VALUE"""),"North Texas")</f>
        <v>North Texas</v>
      </c>
      <c r="C141" s="1" t="str">
        <f ca="1">IFERROR(__xludf.DUMMYFUNCTION("""COMPUTED_VALUE"""),"SB")</f>
        <v>SB</v>
      </c>
      <c r="D141" s="1" t="str">
        <f ca="1">IFERROR(__xludf.DUMMYFUNCTION("""COMPUTED_VALUE"""),"20-11")</f>
        <v>20-11</v>
      </c>
      <c r="E141" s="1" t="str">
        <f ca="1">IFERROR(__xludf.DUMMYFUNCTION("""COMPUTED_VALUE"""),"+3.11")</f>
        <v>+3.11</v>
      </c>
      <c r="F141" s="1">
        <f ca="1">IFERROR(__xludf.DUMMYFUNCTION("""COMPUTED_VALUE"""),105.9)</f>
        <v>105.9</v>
      </c>
      <c r="G141" s="1">
        <f ca="1">IFERROR(__xludf.DUMMYFUNCTION("""COMPUTED_VALUE"""),135)</f>
        <v>135</v>
      </c>
      <c r="H141" s="1">
        <f ca="1">IFERROR(__xludf.DUMMYFUNCTION("""COMPUTED_VALUE"""),102.8)</f>
        <v>102.8</v>
      </c>
      <c r="I141" s="1">
        <f ca="1">IFERROR(__xludf.DUMMYFUNCTION("""COMPUTED_VALUE"""),153)</f>
        <v>153</v>
      </c>
      <c r="J141" s="1">
        <f ca="1">IFERROR(__xludf.DUMMYFUNCTION("""COMPUTED_VALUE"""),68)</f>
        <v>68</v>
      </c>
      <c r="K141" s="1">
        <f ca="1">IFERROR(__xludf.DUMMYFUNCTION("""COMPUTED_VALUE"""),77)</f>
        <v>77</v>
      </c>
      <c r="L141" s="1">
        <f ca="1">IFERROR(__xludf.DUMMYFUNCTION("""COMPUTED_VALUE"""),-0.024)</f>
        <v>-2.4E-2</v>
      </c>
      <c r="M141" s="1">
        <f ca="1">IFERROR(__xludf.DUMMYFUNCTION("""COMPUTED_VALUE"""),228)</f>
        <v>228</v>
      </c>
      <c r="N141" s="1">
        <f ca="1">IFERROR(__xludf.DUMMYFUNCTION("""COMPUTED_VALUE"""),-3.74)</f>
        <v>-3.74</v>
      </c>
      <c r="O141" s="1">
        <f ca="1">IFERROR(__xludf.DUMMYFUNCTION("""COMPUTED_VALUE"""),234)</f>
        <v>234</v>
      </c>
      <c r="P141" s="1">
        <f ca="1">IFERROR(__xludf.DUMMYFUNCTION("""COMPUTED_VALUE"""),102.8)</f>
        <v>102.8</v>
      </c>
      <c r="Q141" s="1">
        <f ca="1">IFERROR(__xludf.DUMMYFUNCTION("""COMPUTED_VALUE"""),195)</f>
        <v>195</v>
      </c>
      <c r="R141" s="1">
        <f ca="1">IFERROR(__xludf.DUMMYFUNCTION("""COMPUTED_VALUE"""),106.6)</f>
        <v>106.6</v>
      </c>
      <c r="S141" s="1">
        <f ca="1">IFERROR(__xludf.DUMMYFUNCTION("""COMPUTED_VALUE"""),284)</f>
        <v>284</v>
      </c>
      <c r="T141" s="1">
        <f ca="1">IFERROR(__xludf.DUMMYFUNCTION("""COMPUTED_VALUE"""),-1.79)</f>
        <v>-1.79</v>
      </c>
      <c r="U141" s="1">
        <f ca="1">IFERROR(__xludf.DUMMYFUNCTION("""COMPUTED_VALUE"""),200)</f>
        <v>200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IFERROR(__xludf.DUMMYFUNCTION("""COMPUTED_VALUE"""),"Brown")</f>
        <v>Brown</v>
      </c>
      <c r="C142" s="1" t="str">
        <f ca="1">IFERROR(__xludf.DUMMYFUNCTION("""COMPUTED_VALUE"""),"Ivy")</f>
        <v>Ivy</v>
      </c>
      <c r="D142" s="1" t="str">
        <f ca="1">IFERROR(__xludf.DUMMYFUNCTION("""COMPUTED_VALUE"""),"19-10")</f>
        <v>19-10</v>
      </c>
      <c r="E142" s="1" t="str">
        <f ca="1">IFERROR(__xludf.DUMMYFUNCTION("""COMPUTED_VALUE"""),"+3.07")</f>
        <v>+3.07</v>
      </c>
      <c r="F142" s="1">
        <f ca="1">IFERROR(__xludf.DUMMYFUNCTION("""COMPUTED_VALUE"""),108.9)</f>
        <v>108.9</v>
      </c>
      <c r="G142" s="1">
        <f ca="1">IFERROR(__xludf.DUMMYFUNCTION("""COMPUTED_VALUE"""),82)</f>
        <v>82</v>
      </c>
      <c r="H142" s="1">
        <f ca="1">IFERROR(__xludf.DUMMYFUNCTION("""COMPUTED_VALUE"""),105.8)</f>
        <v>105.8</v>
      </c>
      <c r="I142" s="1">
        <f ca="1">IFERROR(__xludf.DUMMYFUNCTION("""COMPUTED_VALUE"""),207)</f>
        <v>207</v>
      </c>
      <c r="J142" s="1">
        <f ca="1">IFERROR(__xludf.DUMMYFUNCTION("""COMPUTED_VALUE"""),61.1)</f>
        <v>61.1</v>
      </c>
      <c r="K142" s="1">
        <f ca="1">IFERROR(__xludf.DUMMYFUNCTION("""COMPUTED_VALUE"""),309)</f>
        <v>309</v>
      </c>
      <c r="L142" s="1" t="str">
        <f ca="1">IFERROR(__xludf.DUMMYFUNCTION("""COMPUTED_VALUE"""),"+.042")</f>
        <v>+.042</v>
      </c>
      <c r="M142" s="1">
        <f ca="1">IFERROR(__xludf.DUMMYFUNCTION("""COMPUTED_VALUE"""),73)</f>
        <v>73</v>
      </c>
      <c r="N142" s="1">
        <f ca="1">IFERROR(__xludf.DUMMYFUNCTION("""COMPUTED_VALUE"""),-4.49)</f>
        <v>-4.49</v>
      </c>
      <c r="O142" s="1">
        <f ca="1">IFERROR(__xludf.DUMMYFUNCTION("""COMPUTED_VALUE"""),245)</f>
        <v>245</v>
      </c>
      <c r="P142" s="1">
        <f ca="1">IFERROR(__xludf.DUMMYFUNCTION("""COMPUTED_VALUE"""),102.1)</f>
        <v>102.1</v>
      </c>
      <c r="Q142" s="1">
        <f ca="1">IFERROR(__xludf.DUMMYFUNCTION("""COMPUTED_VALUE"""),218)</f>
        <v>218</v>
      </c>
      <c r="R142" s="1">
        <f ca="1">IFERROR(__xludf.DUMMYFUNCTION("""COMPUTED_VALUE"""),106.6)</f>
        <v>106.6</v>
      </c>
      <c r="S142" s="1">
        <f ca="1">IFERROR(__xludf.DUMMYFUNCTION("""COMPUTED_VALUE"""),283)</f>
        <v>283</v>
      </c>
      <c r="T142" s="1" t="str">
        <f ca="1">IFERROR(__xludf.DUMMYFUNCTION("""COMPUTED_VALUE"""),"+0.79")</f>
        <v>+0.79</v>
      </c>
      <c r="U142" s="1">
        <f ca="1">IFERROR(__xludf.DUMMYFUNCTION("""COMPUTED_VALUE"""),125)</f>
        <v>125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IFERROR(__xludf.DUMMYFUNCTION("""COMPUTED_VALUE"""),"Niagara")</f>
        <v>Niagara</v>
      </c>
      <c r="C143" s="1" t="str">
        <f ca="1">IFERROR(__xludf.DUMMYFUNCTION("""COMPUTED_VALUE"""),"MAAC")</f>
        <v>MAAC</v>
      </c>
      <c r="D143" s="1" t="str">
        <f ca="1">IFERROR(__xludf.DUMMYFUNCTION("""COMPUTED_VALUE"""),"19-10")</f>
        <v>19-10</v>
      </c>
      <c r="E143" s="1" t="str">
        <f ca="1">IFERROR(__xludf.DUMMYFUNCTION("""COMPUTED_VALUE"""),"+2.92")</f>
        <v>+2.92</v>
      </c>
      <c r="F143" s="1">
        <f ca="1">IFERROR(__xludf.DUMMYFUNCTION("""COMPUTED_VALUE"""),106.7)</f>
        <v>106.7</v>
      </c>
      <c r="G143" s="1">
        <f ca="1">IFERROR(__xludf.DUMMYFUNCTION("""COMPUTED_VALUE"""),125)</f>
        <v>125</v>
      </c>
      <c r="H143" s="1">
        <f ca="1">IFERROR(__xludf.DUMMYFUNCTION("""COMPUTED_VALUE"""),103.7)</f>
        <v>103.7</v>
      </c>
      <c r="I143" s="1">
        <f ca="1">IFERROR(__xludf.DUMMYFUNCTION("""COMPUTED_VALUE"""),172)</f>
        <v>172</v>
      </c>
      <c r="J143" s="1">
        <f ca="1">IFERROR(__xludf.DUMMYFUNCTION("""COMPUTED_VALUE"""),69.9)</f>
        <v>69.900000000000006</v>
      </c>
      <c r="K143" s="1">
        <f ca="1">IFERROR(__xludf.DUMMYFUNCTION("""COMPUTED_VALUE"""),29)</f>
        <v>29</v>
      </c>
      <c r="L143" s="1" t="str">
        <f ca="1">IFERROR(__xludf.DUMMYFUNCTION("""COMPUTED_VALUE"""),"+.025")</f>
        <v>+.025</v>
      </c>
      <c r="M143" s="1">
        <f ca="1">IFERROR(__xludf.DUMMYFUNCTION("""COMPUTED_VALUE"""),112)</f>
        <v>112</v>
      </c>
      <c r="N143" s="1">
        <f ca="1">IFERROR(__xludf.DUMMYFUNCTION("""COMPUTED_VALUE"""),-2.32)</f>
        <v>-2.3199999999999998</v>
      </c>
      <c r="O143" s="1">
        <f ca="1">IFERROR(__xludf.DUMMYFUNCTION("""COMPUTED_VALUE"""),201)</f>
        <v>201</v>
      </c>
      <c r="P143" s="1">
        <f ca="1">IFERROR(__xludf.DUMMYFUNCTION("""COMPUTED_VALUE"""),102.8)</f>
        <v>102.8</v>
      </c>
      <c r="Q143" s="1">
        <f ca="1">IFERROR(__xludf.DUMMYFUNCTION("""COMPUTED_VALUE"""),199)</f>
        <v>199</v>
      </c>
      <c r="R143" s="1">
        <f ca="1">IFERROR(__xludf.DUMMYFUNCTION("""COMPUTED_VALUE"""),105.1)</f>
        <v>105.1</v>
      </c>
      <c r="S143" s="1">
        <f ca="1">IFERROR(__xludf.DUMMYFUNCTION("""COMPUTED_VALUE"""),216)</f>
        <v>216</v>
      </c>
      <c r="T143" s="1" t="str">
        <f ca="1">IFERROR(__xludf.DUMMYFUNCTION("""COMPUTED_VALUE"""),"+0.21")</f>
        <v>+0.21</v>
      </c>
      <c r="U143" s="1">
        <f ca="1">IFERROR(__xludf.DUMMYFUNCTION("""COMPUTED_VALUE"""),140)</f>
        <v>140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IFERROR(__xludf.DUMMYFUNCTION("""COMPUTED_VALUE"""),"North Dakota St.")</f>
        <v>North Dakota St.</v>
      </c>
      <c r="C144" s="1" t="str">
        <f ca="1">IFERROR(__xludf.DUMMYFUNCTION("""COMPUTED_VALUE"""),"Sum")</f>
        <v>Sum</v>
      </c>
      <c r="D144" s="1" t="str">
        <f ca="1">IFERROR(__xludf.DUMMYFUNCTION("""COMPUTED_VALUE"""),"16-13")</f>
        <v>16-13</v>
      </c>
      <c r="E144" s="1" t="str">
        <f ca="1">IFERROR(__xludf.DUMMYFUNCTION("""COMPUTED_VALUE"""),"+2.88")</f>
        <v>+2.88</v>
      </c>
      <c r="F144" s="1">
        <f ca="1">IFERROR(__xludf.DUMMYFUNCTION("""COMPUTED_VALUE"""),107)</f>
        <v>107</v>
      </c>
      <c r="G144" s="1">
        <f ca="1">IFERROR(__xludf.DUMMYFUNCTION("""COMPUTED_VALUE"""),120)</f>
        <v>120</v>
      </c>
      <c r="H144" s="1">
        <f ca="1">IFERROR(__xludf.DUMMYFUNCTION("""COMPUTED_VALUE"""),104.1)</f>
        <v>104.1</v>
      </c>
      <c r="I144" s="1">
        <f ca="1">IFERROR(__xludf.DUMMYFUNCTION("""COMPUTED_VALUE"""),181)</f>
        <v>181</v>
      </c>
      <c r="J144" s="1">
        <f ca="1">IFERROR(__xludf.DUMMYFUNCTION("""COMPUTED_VALUE"""),67)</f>
        <v>67</v>
      </c>
      <c r="K144" s="1">
        <f ca="1">IFERROR(__xludf.DUMMYFUNCTION("""COMPUTED_VALUE"""),106)</f>
        <v>106</v>
      </c>
      <c r="L144" s="1">
        <f ca="1">IFERROR(__xludf.DUMMYFUNCTION("""COMPUTED_VALUE"""),-0.065)</f>
        <v>-6.5000000000000002E-2</v>
      </c>
      <c r="M144" s="1">
        <f ca="1">IFERROR(__xludf.DUMMYFUNCTION("""COMPUTED_VALUE"""),314)</f>
        <v>314</v>
      </c>
      <c r="N144" s="1">
        <f ca="1">IFERROR(__xludf.DUMMYFUNCTION("""COMPUTED_VALUE"""),-2.23)</f>
        <v>-2.23</v>
      </c>
      <c r="O144" s="1">
        <f ca="1">IFERROR(__xludf.DUMMYFUNCTION("""COMPUTED_VALUE"""),198)</f>
        <v>198</v>
      </c>
      <c r="P144" s="1">
        <f ca="1">IFERROR(__xludf.DUMMYFUNCTION("""COMPUTED_VALUE"""),103.5)</f>
        <v>103.5</v>
      </c>
      <c r="Q144" s="1">
        <f ca="1">IFERROR(__xludf.DUMMYFUNCTION("""COMPUTED_VALUE"""),168)</f>
        <v>168</v>
      </c>
      <c r="R144" s="1">
        <f ca="1">IFERROR(__xludf.DUMMYFUNCTION("""COMPUTED_VALUE"""),105.8)</f>
        <v>105.8</v>
      </c>
      <c r="S144" s="1">
        <f ca="1">IFERROR(__xludf.DUMMYFUNCTION("""COMPUTED_VALUE"""),243)</f>
        <v>243</v>
      </c>
      <c r="T144" s="1" t="str">
        <f ca="1">IFERROR(__xludf.DUMMYFUNCTION("""COMPUTED_VALUE"""),"+1.44")</f>
        <v>+1.44</v>
      </c>
      <c r="U144" s="1">
        <f ca="1">IFERROR(__xludf.DUMMYFUNCTION("""COMPUTED_VALUE"""),110)</f>
        <v>110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IFERROR(__xludf.DUMMYFUNCTION("""COMPUTED_VALUE"""),"Michigan")</f>
        <v>Michigan</v>
      </c>
      <c r="C145" s="1" t="str">
        <f ca="1">IFERROR(__xludf.DUMMYFUNCTION("""COMPUTED_VALUE"""),"B10")</f>
        <v>B10</v>
      </c>
      <c r="D145" s="2">
        <f ca="1">IFERROR(__xludf.DUMMYFUNCTION("""COMPUTED_VALUE"""),44856)</f>
        <v>44856</v>
      </c>
      <c r="E145" s="1" t="str">
        <f ca="1">IFERROR(__xludf.DUMMYFUNCTION("""COMPUTED_VALUE"""),"+2.70")</f>
        <v>+2.70</v>
      </c>
      <c r="F145" s="1">
        <f ca="1">IFERROR(__xludf.DUMMYFUNCTION("""COMPUTED_VALUE"""),104.4)</f>
        <v>104.4</v>
      </c>
      <c r="G145" s="1">
        <f ca="1">IFERROR(__xludf.DUMMYFUNCTION("""COMPUTED_VALUE"""),162)</f>
        <v>162</v>
      </c>
      <c r="H145" s="1">
        <f ca="1">IFERROR(__xludf.DUMMYFUNCTION("""COMPUTED_VALUE"""),101.7)</f>
        <v>101.7</v>
      </c>
      <c r="I145" s="1">
        <f ca="1">IFERROR(__xludf.DUMMYFUNCTION("""COMPUTED_VALUE"""),129)</f>
        <v>129</v>
      </c>
      <c r="J145" s="1">
        <f ca="1">IFERROR(__xludf.DUMMYFUNCTION("""COMPUTED_VALUE"""),64.1)</f>
        <v>64.099999999999994</v>
      </c>
      <c r="K145" s="1">
        <f ca="1">IFERROR(__xludf.DUMMYFUNCTION("""COMPUTED_VALUE"""),210)</f>
        <v>210</v>
      </c>
      <c r="L145" s="1">
        <f ca="1">IFERROR(__xludf.DUMMYFUNCTION("""COMPUTED_VALUE"""),-0.037)</f>
        <v>-3.6999999999999998E-2</v>
      </c>
      <c r="M145" s="1">
        <f ca="1">IFERROR(__xludf.DUMMYFUNCTION("""COMPUTED_VALUE"""),264)</f>
        <v>264</v>
      </c>
      <c r="N145" s="1" t="str">
        <f ca="1">IFERROR(__xludf.DUMMYFUNCTION("""COMPUTED_VALUE"""),"+9.46")</f>
        <v>+9.46</v>
      </c>
      <c r="O145" s="1">
        <f ca="1">IFERROR(__xludf.DUMMYFUNCTION("""COMPUTED_VALUE"""),17)</f>
        <v>17</v>
      </c>
      <c r="P145" s="1">
        <f ca="1">IFERROR(__xludf.DUMMYFUNCTION("""COMPUTED_VALUE"""),107.9)</f>
        <v>107.9</v>
      </c>
      <c r="Q145" s="1">
        <f ca="1">IFERROR(__xludf.DUMMYFUNCTION("""COMPUTED_VALUE"""),39)</f>
        <v>39</v>
      </c>
      <c r="R145" s="1">
        <f ca="1">IFERROR(__xludf.DUMMYFUNCTION("""COMPUTED_VALUE"""),98.5)</f>
        <v>98.5</v>
      </c>
      <c r="S145" s="1">
        <f ca="1">IFERROR(__xludf.DUMMYFUNCTION("""COMPUTED_VALUE"""),9)</f>
        <v>9</v>
      </c>
      <c r="T145" s="1" t="str">
        <f ca="1">IFERROR(__xludf.DUMMYFUNCTION("""COMPUTED_VALUE"""),"+4.56")</f>
        <v>+4.56</v>
      </c>
      <c r="U145" s="1">
        <f ca="1">IFERROR(__xludf.DUMMYFUNCTION("""COMPUTED_VALUE"""),49)</f>
        <v>49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IFERROR(__xludf.DUMMYFUNCTION("""COMPUTED_VALUE"""),"Sam Houston St.")</f>
        <v>Sam Houston St.</v>
      </c>
      <c r="C146" s="1" t="str">
        <f ca="1">IFERROR(__xludf.DUMMYFUNCTION("""COMPUTED_VALUE"""),"Slnd")</f>
        <v>Slnd</v>
      </c>
      <c r="D146" s="1" t="str">
        <f ca="1">IFERROR(__xludf.DUMMYFUNCTION("""COMPUTED_VALUE"""),"23-8")</f>
        <v>23-8</v>
      </c>
      <c r="E146" s="1" t="str">
        <f ca="1">IFERROR(__xludf.DUMMYFUNCTION("""COMPUTED_VALUE"""),"+2.70")</f>
        <v>+2.70</v>
      </c>
      <c r="F146" s="1">
        <f ca="1">IFERROR(__xludf.DUMMYFUNCTION("""COMPUTED_VALUE"""),96.5)</f>
        <v>96.5</v>
      </c>
      <c r="G146" s="1">
        <f ca="1">IFERROR(__xludf.DUMMYFUNCTION("""COMPUTED_VALUE"""),274)</f>
        <v>274</v>
      </c>
      <c r="H146" s="1">
        <f ca="1">IFERROR(__xludf.DUMMYFUNCTION("""COMPUTED_VALUE"""),93.8)</f>
        <v>93.8</v>
      </c>
      <c r="I146" s="1">
        <f ca="1">IFERROR(__xludf.DUMMYFUNCTION("""COMPUTED_VALUE"""),26)</f>
        <v>26</v>
      </c>
      <c r="J146" s="1">
        <f ca="1">IFERROR(__xludf.DUMMYFUNCTION("""COMPUTED_VALUE"""),67.6)</f>
        <v>67.599999999999994</v>
      </c>
      <c r="K146" s="1">
        <f ca="1">IFERROR(__xludf.DUMMYFUNCTION("""COMPUTED_VALUE"""),87)</f>
        <v>87</v>
      </c>
      <c r="L146" s="1" t="str">
        <f ca="1">IFERROR(__xludf.DUMMYFUNCTION("""COMPUTED_VALUE"""),"+.022")</f>
        <v>+.022</v>
      </c>
      <c r="M146" s="1">
        <f ca="1">IFERROR(__xludf.DUMMYFUNCTION("""COMPUTED_VALUE"""),116)</f>
        <v>116</v>
      </c>
      <c r="N146" s="1">
        <f ca="1">IFERROR(__xludf.DUMMYFUNCTION("""COMPUTED_VALUE"""),-5.37)</f>
        <v>-5.37</v>
      </c>
      <c r="O146" s="1">
        <f ca="1">IFERROR(__xludf.DUMMYFUNCTION("""COMPUTED_VALUE"""),266)</f>
        <v>266</v>
      </c>
      <c r="P146" s="1">
        <f ca="1">IFERROR(__xludf.DUMMYFUNCTION("""COMPUTED_VALUE"""),99.5)</f>
        <v>99.5</v>
      </c>
      <c r="Q146" s="1">
        <f ca="1">IFERROR(__xludf.DUMMYFUNCTION("""COMPUTED_VALUE"""),303)</f>
        <v>303</v>
      </c>
      <c r="R146" s="1">
        <f ca="1">IFERROR(__xludf.DUMMYFUNCTION("""COMPUTED_VALUE"""),104.9)</f>
        <v>104.9</v>
      </c>
      <c r="S146" s="1">
        <f ca="1">IFERROR(__xludf.DUMMYFUNCTION("""COMPUTED_VALUE"""),201)</f>
        <v>201</v>
      </c>
      <c r="T146" s="1">
        <f ca="1">IFERROR(__xludf.DUMMYFUNCTION("""COMPUTED_VALUE"""),-2.6)</f>
        <v>-2.6</v>
      </c>
      <c r="U146" s="1">
        <f ca="1">IFERROR(__xludf.DUMMYFUNCTION("""COMPUTED_VALUE"""),231)</f>
        <v>231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IFERROR(__xludf.DUMMYFUNCTION("""COMPUTED_VALUE"""),"Marshall")</f>
        <v>Marshall</v>
      </c>
      <c r="C147" s="1" t="str">
        <f ca="1">IFERROR(__xludf.DUMMYFUNCTION("""COMPUTED_VALUE"""),"CUSA")</f>
        <v>CUSA</v>
      </c>
      <c r="D147" s="1" t="str">
        <f ca="1">IFERROR(__xludf.DUMMYFUNCTION("""COMPUTED_VALUE"""),"16-14")</f>
        <v>16-14</v>
      </c>
      <c r="E147" s="1" t="str">
        <f ca="1">IFERROR(__xludf.DUMMYFUNCTION("""COMPUTED_VALUE"""),"+2.56")</f>
        <v>+2.56</v>
      </c>
      <c r="F147" s="1">
        <f ca="1">IFERROR(__xludf.DUMMYFUNCTION("""COMPUTED_VALUE"""),106.2)</f>
        <v>106.2</v>
      </c>
      <c r="G147" s="1">
        <f ca="1">IFERROR(__xludf.DUMMYFUNCTION("""COMPUTED_VALUE"""),130)</f>
        <v>130</v>
      </c>
      <c r="H147" s="1">
        <f ca="1">IFERROR(__xludf.DUMMYFUNCTION("""COMPUTED_VALUE"""),103.6)</f>
        <v>103.6</v>
      </c>
      <c r="I147" s="1">
        <f ca="1">IFERROR(__xludf.DUMMYFUNCTION("""COMPUTED_VALUE"""),171)</f>
        <v>171</v>
      </c>
      <c r="J147" s="1">
        <f ca="1">IFERROR(__xludf.DUMMYFUNCTION("""COMPUTED_VALUE"""),62.9)</f>
        <v>62.9</v>
      </c>
      <c r="K147" s="1">
        <f ca="1">IFERROR(__xludf.DUMMYFUNCTION("""COMPUTED_VALUE"""),265)</f>
        <v>265</v>
      </c>
      <c r="L147" s="1">
        <f ca="1">IFERROR(__xludf.DUMMYFUNCTION("""COMPUTED_VALUE"""),-0.007)</f>
        <v>-7.0000000000000001E-3</v>
      </c>
      <c r="M147" s="1">
        <f ca="1">IFERROR(__xludf.DUMMYFUNCTION("""COMPUTED_VALUE"""),190)</f>
        <v>190</v>
      </c>
      <c r="N147" s="1" t="str">
        <f ca="1">IFERROR(__xludf.DUMMYFUNCTION("""COMPUTED_VALUE"""),"+1.62")</f>
        <v>+1.62</v>
      </c>
      <c r="O147" s="1">
        <f ca="1">IFERROR(__xludf.DUMMYFUNCTION("""COMPUTED_VALUE"""),126)</f>
        <v>126</v>
      </c>
      <c r="P147" s="1">
        <f ca="1">IFERROR(__xludf.DUMMYFUNCTION("""COMPUTED_VALUE"""),103.6)</f>
        <v>103.6</v>
      </c>
      <c r="Q147" s="1">
        <f ca="1">IFERROR(__xludf.DUMMYFUNCTION("""COMPUTED_VALUE"""),161)</f>
        <v>161</v>
      </c>
      <c r="R147" s="1">
        <f ca="1">IFERROR(__xludf.DUMMYFUNCTION("""COMPUTED_VALUE"""),102)</f>
        <v>102</v>
      </c>
      <c r="S147" s="1">
        <f ca="1">IFERROR(__xludf.DUMMYFUNCTION("""COMPUTED_VALUE"""),107)</f>
        <v>107</v>
      </c>
      <c r="T147" s="1">
        <f ca="1">IFERROR(__xludf.DUMMYFUNCTION("""COMPUTED_VALUE"""),-1.85)</f>
        <v>-1.85</v>
      </c>
      <c r="U147" s="1">
        <f ca="1">IFERROR(__xludf.DUMMYFUNCTION("""COMPUTED_VALUE"""),202)</f>
        <v>202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IFERROR(__xludf.DUMMYFUNCTION("""COMPUTED_VALUE"""),"St. John's")</f>
        <v>St. John's</v>
      </c>
      <c r="C148" s="1" t="str">
        <f ca="1">IFERROR(__xludf.DUMMYFUNCTION("""COMPUTED_VALUE"""),"BE")</f>
        <v>BE</v>
      </c>
      <c r="D148" s="2">
        <f ca="1">IFERROR(__xludf.DUMMYFUNCTION("""COMPUTED_VALUE"""),44884)</f>
        <v>44884</v>
      </c>
      <c r="E148" s="1" t="str">
        <f ca="1">IFERROR(__xludf.DUMMYFUNCTION("""COMPUTED_VALUE"""),"+2.44")</f>
        <v>+2.44</v>
      </c>
      <c r="F148" s="1">
        <f ca="1">IFERROR(__xludf.DUMMYFUNCTION("""COMPUTED_VALUE"""),98.6)</f>
        <v>98.6</v>
      </c>
      <c r="G148" s="1">
        <f ca="1">IFERROR(__xludf.DUMMYFUNCTION("""COMPUTED_VALUE"""),243)</f>
        <v>243</v>
      </c>
      <c r="H148" s="1">
        <f ca="1">IFERROR(__xludf.DUMMYFUNCTION("""COMPUTED_VALUE"""),96.2)</f>
        <v>96.2</v>
      </c>
      <c r="I148" s="1">
        <f ca="1">IFERROR(__xludf.DUMMYFUNCTION("""COMPUTED_VALUE"""),46)</f>
        <v>46</v>
      </c>
      <c r="J148" s="1">
        <f ca="1">IFERROR(__xludf.DUMMYFUNCTION("""COMPUTED_VALUE"""),63.9)</f>
        <v>63.9</v>
      </c>
      <c r="K148" s="1">
        <f ca="1">IFERROR(__xludf.DUMMYFUNCTION("""COMPUTED_VALUE"""),224)</f>
        <v>224</v>
      </c>
      <c r="L148" s="1">
        <f ca="1">IFERROR(__xludf.DUMMYFUNCTION("""COMPUTED_VALUE"""),-0.011)</f>
        <v>-1.0999999999999999E-2</v>
      </c>
      <c r="M148" s="1">
        <f ca="1">IFERROR(__xludf.DUMMYFUNCTION("""COMPUTED_VALUE"""),199)</f>
        <v>199</v>
      </c>
      <c r="N148" s="1" t="str">
        <f ca="1">IFERROR(__xludf.DUMMYFUNCTION("""COMPUTED_VALUE"""),"+8.27")</f>
        <v>+8.27</v>
      </c>
      <c r="O148" s="1">
        <f ca="1">IFERROR(__xludf.DUMMYFUNCTION("""COMPUTED_VALUE"""),38)</f>
        <v>38</v>
      </c>
      <c r="P148" s="1">
        <f ca="1">IFERROR(__xludf.DUMMYFUNCTION("""COMPUTED_VALUE"""),108.1)</f>
        <v>108.1</v>
      </c>
      <c r="Q148" s="1">
        <f ca="1">IFERROR(__xludf.DUMMYFUNCTION("""COMPUTED_VALUE"""),33)</f>
        <v>33</v>
      </c>
      <c r="R148" s="1">
        <f ca="1">IFERROR(__xludf.DUMMYFUNCTION("""COMPUTED_VALUE"""),99.9)</f>
        <v>99.9</v>
      </c>
      <c r="S148" s="1">
        <f ca="1">IFERROR(__xludf.DUMMYFUNCTION("""COMPUTED_VALUE"""),43)</f>
        <v>43</v>
      </c>
      <c r="T148" s="1">
        <f ca="1">IFERROR(__xludf.DUMMYFUNCTION("""COMPUTED_VALUE"""),-1.57)</f>
        <v>-1.57</v>
      </c>
      <c r="U148" s="1">
        <f ca="1">IFERROR(__xludf.DUMMYFUNCTION("""COMPUTED_VALUE"""),192)</f>
        <v>192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IFERROR(__xludf.DUMMYFUNCTION("""COMPUTED_VALUE"""),"Appalachian St.")</f>
        <v>Appalachian St.</v>
      </c>
      <c r="C149" s="1" t="str">
        <f ca="1">IFERROR(__xludf.DUMMYFUNCTION("""COMPUTED_VALUE"""),"SC")</f>
        <v>SC</v>
      </c>
      <c r="D149" s="1" t="str">
        <f ca="1">IFERROR(__xludf.DUMMYFUNCTION("""COMPUTED_VALUE"""),"18-13")</f>
        <v>18-13</v>
      </c>
      <c r="E149" s="1" t="str">
        <f ca="1">IFERROR(__xludf.DUMMYFUNCTION("""COMPUTED_VALUE"""),"+2.41")</f>
        <v>+2.41</v>
      </c>
      <c r="F149" s="1">
        <f ca="1">IFERROR(__xludf.DUMMYFUNCTION("""COMPUTED_VALUE"""),105.8)</f>
        <v>105.8</v>
      </c>
      <c r="G149" s="1">
        <f ca="1">IFERROR(__xludf.DUMMYFUNCTION("""COMPUTED_VALUE"""),137)</f>
        <v>137</v>
      </c>
      <c r="H149" s="1">
        <f ca="1">IFERROR(__xludf.DUMMYFUNCTION("""COMPUTED_VALUE"""),103.4)</f>
        <v>103.4</v>
      </c>
      <c r="I149" s="1">
        <f ca="1">IFERROR(__xludf.DUMMYFUNCTION("""COMPUTED_VALUE"""),167)</f>
        <v>167</v>
      </c>
      <c r="J149" s="1">
        <f ca="1">IFERROR(__xludf.DUMMYFUNCTION("""COMPUTED_VALUE"""),65.3)</f>
        <v>65.3</v>
      </c>
      <c r="K149" s="1">
        <f ca="1">IFERROR(__xludf.DUMMYFUNCTION("""COMPUTED_VALUE"""),159)</f>
        <v>159</v>
      </c>
      <c r="L149" s="1" t="str">
        <f ca="1">IFERROR(__xludf.DUMMYFUNCTION("""COMPUTED_VALUE"""),"+.003")</f>
        <v>+.003</v>
      </c>
      <c r="M149" s="1">
        <f ca="1">IFERROR(__xludf.DUMMYFUNCTION("""COMPUTED_VALUE"""),160)</f>
        <v>160</v>
      </c>
      <c r="N149" s="1">
        <f ca="1">IFERROR(__xludf.DUMMYFUNCTION("""COMPUTED_VALUE"""),-0.75)</f>
        <v>-0.75</v>
      </c>
      <c r="O149" s="1">
        <f ca="1">IFERROR(__xludf.DUMMYFUNCTION("""COMPUTED_VALUE"""),170)</f>
        <v>170</v>
      </c>
      <c r="P149" s="1">
        <f ca="1">IFERROR(__xludf.DUMMYFUNCTION("""COMPUTED_VALUE"""),103.6)</f>
        <v>103.6</v>
      </c>
      <c r="Q149" s="1">
        <f ca="1">IFERROR(__xludf.DUMMYFUNCTION("""COMPUTED_VALUE"""),162)</f>
        <v>162</v>
      </c>
      <c r="R149" s="1">
        <f ca="1">IFERROR(__xludf.DUMMYFUNCTION("""COMPUTED_VALUE"""),104.4)</f>
        <v>104.4</v>
      </c>
      <c r="S149" s="1">
        <f ca="1">IFERROR(__xludf.DUMMYFUNCTION("""COMPUTED_VALUE"""),185)</f>
        <v>185</v>
      </c>
      <c r="T149" s="1" t="str">
        <f ca="1">IFERROR(__xludf.DUMMYFUNCTION("""COMPUTED_VALUE"""),"+1.15")</f>
        <v>+1.15</v>
      </c>
      <c r="U149" s="1">
        <f ca="1">IFERROR(__xludf.DUMMYFUNCTION("""COMPUTED_VALUE"""),118)</f>
        <v>118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IFERROR(__xludf.DUMMYFUNCTION("""COMPUTED_VALUE"""),"Oakland")</f>
        <v>Oakland</v>
      </c>
      <c r="C150" s="1" t="str">
        <f ca="1">IFERROR(__xludf.DUMMYFUNCTION("""COMPUTED_VALUE"""),"Sum")</f>
        <v>Sum</v>
      </c>
      <c r="D150" s="1" t="str">
        <f ca="1">IFERROR(__xludf.DUMMYFUNCTION("""COMPUTED_VALUE"""),"17-14")</f>
        <v>17-14</v>
      </c>
      <c r="E150" s="1" t="str">
        <f ca="1">IFERROR(__xludf.DUMMYFUNCTION("""COMPUTED_VALUE"""),"+2.39")</f>
        <v>+2.39</v>
      </c>
      <c r="F150" s="1">
        <f ca="1">IFERROR(__xludf.DUMMYFUNCTION("""COMPUTED_VALUE"""),111.7)</f>
        <v>111.7</v>
      </c>
      <c r="G150" s="1">
        <f ca="1">IFERROR(__xludf.DUMMYFUNCTION("""COMPUTED_VALUE"""),52)</f>
        <v>52</v>
      </c>
      <c r="H150" s="1">
        <f ca="1">IFERROR(__xludf.DUMMYFUNCTION("""COMPUTED_VALUE"""),109.3)</f>
        <v>109.3</v>
      </c>
      <c r="I150" s="1">
        <f ca="1">IFERROR(__xludf.DUMMYFUNCTION("""COMPUTED_VALUE"""),281)</f>
        <v>281</v>
      </c>
      <c r="J150" s="1">
        <f ca="1">IFERROR(__xludf.DUMMYFUNCTION("""COMPUTED_VALUE"""),67.1)</f>
        <v>67.099999999999994</v>
      </c>
      <c r="K150" s="1">
        <f ca="1">IFERROR(__xludf.DUMMYFUNCTION("""COMPUTED_VALUE"""),100)</f>
        <v>100</v>
      </c>
      <c r="L150" s="1">
        <f ca="1">IFERROR(__xludf.DUMMYFUNCTION("""COMPUTED_VALUE"""),-0.016)</f>
        <v>-1.6E-2</v>
      </c>
      <c r="M150" s="1">
        <f ca="1">IFERROR(__xludf.DUMMYFUNCTION("""COMPUTED_VALUE"""),209)</f>
        <v>209</v>
      </c>
      <c r="N150" s="1">
        <f ca="1">IFERROR(__xludf.DUMMYFUNCTION("""COMPUTED_VALUE"""),-0.33)</f>
        <v>-0.33</v>
      </c>
      <c r="O150" s="1">
        <f ca="1">IFERROR(__xludf.DUMMYFUNCTION("""COMPUTED_VALUE"""),159)</f>
        <v>159</v>
      </c>
      <c r="P150" s="1">
        <f ca="1">IFERROR(__xludf.DUMMYFUNCTION("""COMPUTED_VALUE"""),104.6)</f>
        <v>104.6</v>
      </c>
      <c r="Q150" s="1">
        <f ca="1">IFERROR(__xludf.DUMMYFUNCTION("""COMPUTED_VALUE"""),118)</f>
        <v>118</v>
      </c>
      <c r="R150" s="1">
        <f ca="1">IFERROR(__xludf.DUMMYFUNCTION("""COMPUTED_VALUE"""),104.9)</f>
        <v>104.9</v>
      </c>
      <c r="S150" s="1">
        <f ca="1">IFERROR(__xludf.DUMMYFUNCTION("""COMPUTED_VALUE"""),205)</f>
        <v>205</v>
      </c>
      <c r="T150" s="1" t="str">
        <f ca="1">IFERROR(__xludf.DUMMYFUNCTION("""COMPUTED_VALUE"""),"+6.76")</f>
        <v>+6.76</v>
      </c>
      <c r="U150" s="1">
        <f ca="1">IFERROR(__xludf.DUMMYFUNCTION("""COMPUTED_VALUE"""),29)</f>
        <v>29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IFERROR(__xludf.DUMMYFUNCTION("""COMPUTED_VALUE"""),"Pacific")</f>
        <v>Pacific</v>
      </c>
      <c r="C151" s="1" t="str">
        <f ca="1">IFERROR(__xludf.DUMMYFUNCTION("""COMPUTED_VALUE"""),"BW")</f>
        <v>BW</v>
      </c>
      <c r="D151" s="1" t="str">
        <f ca="1">IFERROR(__xludf.DUMMYFUNCTION("""COMPUTED_VALUE"""),"21-10")</f>
        <v>21-10</v>
      </c>
      <c r="E151" s="1" t="str">
        <f ca="1">IFERROR(__xludf.DUMMYFUNCTION("""COMPUTED_VALUE"""),"+2.36")</f>
        <v>+2.36</v>
      </c>
      <c r="F151" s="1">
        <f ca="1">IFERROR(__xludf.DUMMYFUNCTION("""COMPUTED_VALUE"""),107.1)</f>
        <v>107.1</v>
      </c>
      <c r="G151" s="1">
        <f ca="1">IFERROR(__xludf.DUMMYFUNCTION("""COMPUTED_VALUE"""),117)</f>
        <v>117</v>
      </c>
      <c r="H151" s="1">
        <f ca="1">IFERROR(__xludf.DUMMYFUNCTION("""COMPUTED_VALUE"""),104.7)</f>
        <v>104.7</v>
      </c>
      <c r="I151" s="1">
        <f ca="1">IFERROR(__xludf.DUMMYFUNCTION("""COMPUTED_VALUE"""),190)</f>
        <v>190</v>
      </c>
      <c r="J151" s="1">
        <f ca="1">IFERROR(__xludf.DUMMYFUNCTION("""COMPUTED_VALUE"""),63.7)</f>
        <v>63.7</v>
      </c>
      <c r="K151" s="1">
        <f ca="1">IFERROR(__xludf.DUMMYFUNCTION("""COMPUTED_VALUE"""),231)</f>
        <v>231</v>
      </c>
      <c r="L151" s="1" t="str">
        <f ca="1">IFERROR(__xludf.DUMMYFUNCTION("""COMPUTED_VALUE"""),"+.046")</f>
        <v>+.046</v>
      </c>
      <c r="M151" s="1">
        <f ca="1">IFERROR(__xludf.DUMMYFUNCTION("""COMPUTED_VALUE"""),63)</f>
        <v>63</v>
      </c>
      <c r="N151" s="1">
        <f ca="1">IFERROR(__xludf.DUMMYFUNCTION("""COMPUTED_VALUE"""),-4.38)</f>
        <v>-4.38</v>
      </c>
      <c r="O151" s="1">
        <f ca="1">IFERROR(__xludf.DUMMYFUNCTION("""COMPUTED_VALUE"""),244)</f>
        <v>244</v>
      </c>
      <c r="P151" s="1">
        <f ca="1">IFERROR(__xludf.DUMMYFUNCTION("""COMPUTED_VALUE"""),101.2)</f>
        <v>101.2</v>
      </c>
      <c r="Q151" s="1">
        <f ca="1">IFERROR(__xludf.DUMMYFUNCTION("""COMPUTED_VALUE"""),254)</f>
        <v>254</v>
      </c>
      <c r="R151" s="1">
        <f ca="1">IFERROR(__xludf.DUMMYFUNCTION("""COMPUTED_VALUE"""),105.6)</f>
        <v>105.6</v>
      </c>
      <c r="S151" s="1">
        <f ca="1">IFERROR(__xludf.DUMMYFUNCTION("""COMPUTED_VALUE"""),238)</f>
        <v>238</v>
      </c>
      <c r="T151" s="1">
        <f ca="1">IFERROR(__xludf.DUMMYFUNCTION("""COMPUTED_VALUE"""),-3.77)</f>
        <v>-3.77</v>
      </c>
      <c r="U151" s="1">
        <f ca="1">IFERROR(__xludf.DUMMYFUNCTION("""COMPUTED_VALUE"""),268)</f>
        <v>268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IFERROR(__xludf.DUMMYFUNCTION("""COMPUTED_VALUE"""),"Robert Morris8")</f>
        <v>Robert Morris8</v>
      </c>
      <c r="C152" s="1" t="str">
        <f ca="1">IFERROR(__xludf.DUMMYFUNCTION("""COMPUTED_VALUE"""),"NEC")</f>
        <v>NEC</v>
      </c>
      <c r="D152" s="1" t="str">
        <f ca="1">IFERROR(__xludf.DUMMYFUNCTION("""COMPUTED_VALUE"""),"26-8")</f>
        <v>26-8</v>
      </c>
      <c r="E152" s="1" t="str">
        <f ca="1">IFERROR(__xludf.DUMMYFUNCTION("""COMPUTED_VALUE"""),"+2.27")</f>
        <v>+2.27</v>
      </c>
      <c r="F152" s="1">
        <f ca="1">IFERROR(__xludf.DUMMYFUNCTION("""COMPUTED_VALUE"""),103.3)</f>
        <v>103.3</v>
      </c>
      <c r="G152" s="1">
        <f ca="1">IFERROR(__xludf.DUMMYFUNCTION("""COMPUTED_VALUE"""),175)</f>
        <v>175</v>
      </c>
      <c r="H152" s="1">
        <f ca="1">IFERROR(__xludf.DUMMYFUNCTION("""COMPUTED_VALUE"""),101.1)</f>
        <v>101.1</v>
      </c>
      <c r="I152" s="1">
        <f ca="1">IFERROR(__xludf.DUMMYFUNCTION("""COMPUTED_VALUE"""),119)</f>
        <v>119</v>
      </c>
      <c r="J152" s="1">
        <f ca="1">IFERROR(__xludf.DUMMYFUNCTION("""COMPUTED_VALUE"""),69)</f>
        <v>69</v>
      </c>
      <c r="K152" s="1">
        <f ca="1">IFERROR(__xludf.DUMMYFUNCTION("""COMPUTED_VALUE"""),44)</f>
        <v>44</v>
      </c>
      <c r="L152" s="1" t="str">
        <f ca="1">IFERROR(__xludf.DUMMYFUNCTION("""COMPUTED_VALUE"""),"+.076")</f>
        <v>+.076</v>
      </c>
      <c r="M152" s="1">
        <f ca="1">IFERROR(__xludf.DUMMYFUNCTION("""COMPUTED_VALUE"""),24)</f>
        <v>24</v>
      </c>
      <c r="N152" s="1">
        <f ca="1">IFERROR(__xludf.DUMMYFUNCTION("""COMPUTED_VALUE"""),-7.01)</f>
        <v>-7.01</v>
      </c>
      <c r="O152" s="1">
        <f ca="1">IFERROR(__xludf.DUMMYFUNCTION("""COMPUTED_VALUE"""),300)</f>
        <v>300</v>
      </c>
      <c r="P152" s="1">
        <f ca="1">IFERROR(__xludf.DUMMYFUNCTION("""COMPUTED_VALUE"""),99.5)</f>
        <v>99.5</v>
      </c>
      <c r="Q152" s="1">
        <f ca="1">IFERROR(__xludf.DUMMYFUNCTION("""COMPUTED_VALUE"""),306)</f>
        <v>306</v>
      </c>
      <c r="R152" s="1">
        <f ca="1">IFERROR(__xludf.DUMMYFUNCTION("""COMPUTED_VALUE"""),106.5)</f>
        <v>106.5</v>
      </c>
      <c r="S152" s="1">
        <f ca="1">IFERROR(__xludf.DUMMYFUNCTION("""COMPUTED_VALUE"""),282)</f>
        <v>282</v>
      </c>
      <c r="T152" s="1">
        <f ca="1">IFERROR(__xludf.DUMMYFUNCTION("""COMPUTED_VALUE"""),-3.12)</f>
        <v>-3.12</v>
      </c>
      <c r="U152" s="1">
        <f ca="1">IFERROR(__xludf.DUMMYFUNCTION("""COMPUTED_VALUE"""),248)</f>
        <v>248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IFERROR(__xludf.DUMMYFUNCTION("""COMPUTED_VALUE"""),"Green Bay")</f>
        <v>Green Bay</v>
      </c>
      <c r="C153" s="1" t="str">
        <f ca="1">IFERROR(__xludf.DUMMYFUNCTION("""COMPUTED_VALUE"""),"Horz")</f>
        <v>Horz</v>
      </c>
      <c r="D153" s="1" t="str">
        <f ca="1">IFERROR(__xludf.DUMMYFUNCTION("""COMPUTED_VALUE"""),"15-15")</f>
        <v>15-15</v>
      </c>
      <c r="E153" s="1" t="str">
        <f ca="1">IFERROR(__xludf.DUMMYFUNCTION("""COMPUTED_VALUE"""),"+2.02")</f>
        <v>+2.02</v>
      </c>
      <c r="F153" s="1">
        <f ca="1">IFERROR(__xludf.DUMMYFUNCTION("""COMPUTED_VALUE"""),107.1)</f>
        <v>107.1</v>
      </c>
      <c r="G153" s="1">
        <f ca="1">IFERROR(__xludf.DUMMYFUNCTION("""COMPUTED_VALUE"""),118)</f>
        <v>118</v>
      </c>
      <c r="H153" s="1">
        <f ca="1">IFERROR(__xludf.DUMMYFUNCTION("""COMPUTED_VALUE"""),105.1)</f>
        <v>105.1</v>
      </c>
      <c r="I153" s="1">
        <f ca="1">IFERROR(__xludf.DUMMYFUNCTION("""COMPUTED_VALUE"""),199)</f>
        <v>199</v>
      </c>
      <c r="J153" s="1">
        <f ca="1">IFERROR(__xludf.DUMMYFUNCTION("""COMPUTED_VALUE"""),65.4)</f>
        <v>65.400000000000006</v>
      </c>
      <c r="K153" s="1">
        <f ca="1">IFERROR(__xludf.DUMMYFUNCTION("""COMPUTED_VALUE"""),157)</f>
        <v>157</v>
      </c>
      <c r="L153" s="1" t="str">
        <f ca="1">IFERROR(__xludf.DUMMYFUNCTION("""COMPUTED_VALUE"""),"+.019")</f>
        <v>+.019</v>
      </c>
      <c r="M153" s="1">
        <f ca="1">IFERROR(__xludf.DUMMYFUNCTION("""COMPUTED_VALUE"""),121)</f>
        <v>121</v>
      </c>
      <c r="N153" s="1" t="str">
        <f ca="1">IFERROR(__xludf.DUMMYFUNCTION("""COMPUTED_VALUE"""),"+2.27")</f>
        <v>+2.27</v>
      </c>
      <c r="O153" s="1">
        <f ca="1">IFERROR(__xludf.DUMMYFUNCTION("""COMPUTED_VALUE"""),117)</f>
        <v>117</v>
      </c>
      <c r="P153" s="1">
        <f ca="1">IFERROR(__xludf.DUMMYFUNCTION("""COMPUTED_VALUE"""),104.7)</f>
        <v>104.7</v>
      </c>
      <c r="Q153" s="1">
        <f ca="1">IFERROR(__xludf.DUMMYFUNCTION("""COMPUTED_VALUE"""),116)</f>
        <v>116</v>
      </c>
      <c r="R153" s="1">
        <f ca="1">IFERROR(__xludf.DUMMYFUNCTION("""COMPUTED_VALUE"""),102.4)</f>
        <v>102.4</v>
      </c>
      <c r="S153" s="1">
        <f ca="1">IFERROR(__xludf.DUMMYFUNCTION("""COMPUTED_VALUE"""),124)</f>
        <v>124</v>
      </c>
      <c r="T153" s="1" t="str">
        <f ca="1">IFERROR(__xludf.DUMMYFUNCTION("""COMPUTED_VALUE"""),"+2.54")</f>
        <v>+2.54</v>
      </c>
      <c r="U153" s="1">
        <f ca="1">IFERROR(__xludf.DUMMYFUNCTION("""COMPUTED_VALUE"""),81)</f>
        <v>81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IFERROR(__xludf.DUMMYFUNCTION("""COMPUTED_VALUE"""),"Iowa")</f>
        <v>Iowa</v>
      </c>
      <c r="C154" s="1" t="str">
        <f ca="1">IFERROR(__xludf.DUMMYFUNCTION("""COMPUTED_VALUE"""),"B10")</f>
        <v>B10</v>
      </c>
      <c r="D154" s="1" t="str">
        <f ca="1">IFERROR(__xludf.DUMMYFUNCTION("""COMPUTED_VALUE"""),"13-19")</f>
        <v>13-19</v>
      </c>
      <c r="E154" s="1" t="str">
        <f ca="1">IFERROR(__xludf.DUMMYFUNCTION("""COMPUTED_VALUE"""),"+2.01")</f>
        <v>+2.01</v>
      </c>
      <c r="F154" s="1">
        <f ca="1">IFERROR(__xludf.DUMMYFUNCTION("""COMPUTED_VALUE"""),98.8)</f>
        <v>98.8</v>
      </c>
      <c r="G154" s="1">
        <f ca="1">IFERROR(__xludf.DUMMYFUNCTION("""COMPUTED_VALUE"""),241)</f>
        <v>241</v>
      </c>
      <c r="H154" s="1">
        <f ca="1">IFERROR(__xludf.DUMMYFUNCTION("""COMPUTED_VALUE"""),96.8)</f>
        <v>96.8</v>
      </c>
      <c r="I154" s="1">
        <f ca="1">IFERROR(__xludf.DUMMYFUNCTION("""COMPUTED_VALUE"""),56)</f>
        <v>56</v>
      </c>
      <c r="J154" s="1">
        <f ca="1">IFERROR(__xludf.DUMMYFUNCTION("""COMPUTED_VALUE"""),58.8)</f>
        <v>58.8</v>
      </c>
      <c r="K154" s="1">
        <f ca="1">IFERROR(__xludf.DUMMYFUNCTION("""COMPUTED_VALUE"""),331)</f>
        <v>331</v>
      </c>
      <c r="L154" s="1">
        <f ca="1">IFERROR(__xludf.DUMMYFUNCTION("""COMPUTED_VALUE"""),-0.023)</f>
        <v>-2.3E-2</v>
      </c>
      <c r="M154" s="1">
        <f ca="1">IFERROR(__xludf.DUMMYFUNCTION("""COMPUTED_VALUE"""),222)</f>
        <v>222</v>
      </c>
      <c r="N154" s="1" t="str">
        <f ca="1">IFERROR(__xludf.DUMMYFUNCTION("""COMPUTED_VALUE"""),"+4.88")</f>
        <v>+4.88</v>
      </c>
      <c r="O154" s="1">
        <f ca="1">IFERROR(__xludf.DUMMYFUNCTION("""COMPUTED_VALUE"""),89)</f>
        <v>89</v>
      </c>
      <c r="P154" s="1">
        <f ca="1">IFERROR(__xludf.DUMMYFUNCTION("""COMPUTED_VALUE"""),106.3)</f>
        <v>106.3</v>
      </c>
      <c r="Q154" s="1">
        <f ca="1">IFERROR(__xludf.DUMMYFUNCTION("""COMPUTED_VALUE"""),82)</f>
        <v>82</v>
      </c>
      <c r="R154" s="1">
        <f ca="1">IFERROR(__xludf.DUMMYFUNCTION("""COMPUTED_VALUE"""),101.4)</f>
        <v>101.4</v>
      </c>
      <c r="S154" s="1">
        <f ca="1">IFERROR(__xludf.DUMMYFUNCTION("""COMPUTED_VALUE"""),87)</f>
        <v>87</v>
      </c>
      <c r="T154" s="1">
        <f ca="1">IFERROR(__xludf.DUMMYFUNCTION("""COMPUTED_VALUE"""),-7.2)</f>
        <v>-7.2</v>
      </c>
      <c r="U154" s="1">
        <f ca="1">IFERROR(__xludf.DUMMYFUNCTION("""COMPUTED_VALUE"""),315)</f>
        <v>315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IFERROR(__xludf.DUMMYFUNCTION("""COMPUTED_VALUE"""),"La Salle")</f>
        <v>La Salle</v>
      </c>
      <c r="C155" s="1" t="str">
        <f ca="1">IFERROR(__xludf.DUMMYFUNCTION("""COMPUTED_VALUE"""),"A10")</f>
        <v>A10</v>
      </c>
      <c r="D155" s="1" t="str">
        <f ca="1">IFERROR(__xludf.DUMMYFUNCTION("""COMPUTED_VALUE"""),"15-17")</f>
        <v>15-17</v>
      </c>
      <c r="E155" s="1" t="str">
        <f ca="1">IFERROR(__xludf.DUMMYFUNCTION("""COMPUTED_VALUE"""),"+1.93")</f>
        <v>+1.93</v>
      </c>
      <c r="F155" s="1">
        <f ca="1">IFERROR(__xludf.DUMMYFUNCTION("""COMPUTED_VALUE"""),107.4)</f>
        <v>107.4</v>
      </c>
      <c r="G155" s="1">
        <f ca="1">IFERROR(__xludf.DUMMYFUNCTION("""COMPUTED_VALUE"""),113)</f>
        <v>113</v>
      </c>
      <c r="H155" s="1">
        <f ca="1">IFERROR(__xludf.DUMMYFUNCTION("""COMPUTED_VALUE"""),105.5)</f>
        <v>105.5</v>
      </c>
      <c r="I155" s="1">
        <f ca="1">IFERROR(__xludf.DUMMYFUNCTION("""COMPUTED_VALUE"""),204)</f>
        <v>204</v>
      </c>
      <c r="J155" s="1">
        <f ca="1">IFERROR(__xludf.DUMMYFUNCTION("""COMPUTED_VALUE"""),68.9)</f>
        <v>68.900000000000006</v>
      </c>
      <c r="K155" s="1">
        <f ca="1">IFERROR(__xludf.DUMMYFUNCTION("""COMPUTED_VALUE"""),45)</f>
        <v>45</v>
      </c>
      <c r="L155" s="1">
        <f ca="1">IFERROR(__xludf.DUMMYFUNCTION("""COMPUTED_VALUE"""),-0.004)</f>
        <v>-4.0000000000000001E-3</v>
      </c>
      <c r="M155" s="1">
        <f ca="1">IFERROR(__xludf.DUMMYFUNCTION("""COMPUTED_VALUE"""),178)</f>
        <v>178</v>
      </c>
      <c r="N155" s="1" t="str">
        <f ca="1">IFERROR(__xludf.DUMMYFUNCTION("""COMPUTED_VALUE"""),"+3.33")</f>
        <v>+3.33</v>
      </c>
      <c r="O155" s="1">
        <f ca="1">IFERROR(__xludf.DUMMYFUNCTION("""COMPUTED_VALUE"""),103)</f>
        <v>103</v>
      </c>
      <c r="P155" s="1">
        <f ca="1">IFERROR(__xludf.DUMMYFUNCTION("""COMPUTED_VALUE"""),105.6)</f>
        <v>105.6</v>
      </c>
      <c r="Q155" s="1">
        <f ca="1">IFERROR(__xludf.DUMMYFUNCTION("""COMPUTED_VALUE"""),97)</f>
        <v>97</v>
      </c>
      <c r="R155" s="1">
        <f ca="1">IFERROR(__xludf.DUMMYFUNCTION("""COMPUTED_VALUE"""),102.3)</f>
        <v>102.3</v>
      </c>
      <c r="S155" s="1">
        <f ca="1">IFERROR(__xludf.DUMMYFUNCTION("""COMPUTED_VALUE"""),120)</f>
        <v>120</v>
      </c>
      <c r="T155" s="1">
        <f ca="1">IFERROR(__xludf.DUMMYFUNCTION("""COMPUTED_VALUE"""),-2.17)</f>
        <v>-2.17</v>
      </c>
      <c r="U155" s="1">
        <f ca="1">IFERROR(__xludf.DUMMYFUNCTION("""COMPUTED_VALUE"""),215)</f>
        <v>215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IFERROR(__xludf.DUMMYFUNCTION("""COMPUTED_VALUE"""),"Marist")</f>
        <v>Marist</v>
      </c>
      <c r="C156" s="1" t="str">
        <f ca="1">IFERROR(__xludf.DUMMYFUNCTION("""COMPUTED_VALUE"""),"MAAC")</f>
        <v>MAAC</v>
      </c>
      <c r="D156" s="1" t="str">
        <f ca="1">IFERROR(__xludf.DUMMYFUNCTION("""COMPUTED_VALUE"""),"18-14")</f>
        <v>18-14</v>
      </c>
      <c r="E156" s="1" t="str">
        <f ca="1">IFERROR(__xludf.DUMMYFUNCTION("""COMPUTED_VALUE"""),"+1.92")</f>
        <v>+1.92</v>
      </c>
      <c r="F156" s="1">
        <f ca="1">IFERROR(__xludf.DUMMYFUNCTION("""COMPUTED_VALUE"""),106.3)</f>
        <v>106.3</v>
      </c>
      <c r="G156" s="1">
        <f ca="1">IFERROR(__xludf.DUMMYFUNCTION("""COMPUTED_VALUE"""),128)</f>
        <v>128</v>
      </c>
      <c r="H156" s="1">
        <f ca="1">IFERROR(__xludf.DUMMYFUNCTION("""COMPUTED_VALUE"""),104.4)</f>
        <v>104.4</v>
      </c>
      <c r="I156" s="1">
        <f ca="1">IFERROR(__xludf.DUMMYFUNCTION("""COMPUTED_VALUE"""),187)</f>
        <v>187</v>
      </c>
      <c r="J156" s="1">
        <f ca="1">IFERROR(__xludf.DUMMYFUNCTION("""COMPUTED_VALUE"""),63.3)</f>
        <v>63.3</v>
      </c>
      <c r="K156" s="1">
        <f ca="1">IFERROR(__xludf.DUMMYFUNCTION("""COMPUTED_VALUE"""),250)</f>
        <v>250</v>
      </c>
      <c r="L156" s="1" t="str">
        <f ca="1">IFERROR(__xludf.DUMMYFUNCTION("""COMPUTED_VALUE"""),"+.018")</f>
        <v>+.018</v>
      </c>
      <c r="M156" s="1">
        <f ca="1">IFERROR(__xludf.DUMMYFUNCTION("""COMPUTED_VALUE"""),126)</f>
        <v>126</v>
      </c>
      <c r="N156" s="1">
        <f ca="1">IFERROR(__xludf.DUMMYFUNCTION("""COMPUTED_VALUE"""),-0.41)</f>
        <v>-0.41</v>
      </c>
      <c r="O156" s="1">
        <f ca="1">IFERROR(__xludf.DUMMYFUNCTION("""COMPUTED_VALUE"""),162)</f>
        <v>162</v>
      </c>
      <c r="P156" s="1">
        <f ca="1">IFERROR(__xludf.DUMMYFUNCTION("""COMPUTED_VALUE"""),103.4)</f>
        <v>103.4</v>
      </c>
      <c r="Q156" s="1">
        <f ca="1">IFERROR(__xludf.DUMMYFUNCTION("""COMPUTED_VALUE"""),173)</f>
        <v>173</v>
      </c>
      <c r="R156" s="1">
        <f ca="1">IFERROR(__xludf.DUMMYFUNCTION("""COMPUTED_VALUE"""),103.8)</f>
        <v>103.8</v>
      </c>
      <c r="S156" s="1">
        <f ca="1">IFERROR(__xludf.DUMMYFUNCTION("""COMPUTED_VALUE"""),164)</f>
        <v>164</v>
      </c>
      <c r="T156" s="1" t="str">
        <f ca="1">IFERROR(__xludf.DUMMYFUNCTION("""COMPUTED_VALUE"""),"+4.00")</f>
        <v>+4.00</v>
      </c>
      <c r="U156" s="1">
        <f ca="1">IFERROR(__xludf.DUMMYFUNCTION("""COMPUTED_VALUE"""),59)</f>
        <v>59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IFERROR(__xludf.DUMMYFUNCTION("""COMPUTED_VALUE"""),"Auburn")</f>
        <v>Auburn</v>
      </c>
      <c r="C157" s="1" t="str">
        <f ca="1">IFERROR(__xludf.DUMMYFUNCTION("""COMPUTED_VALUE"""),"SEC")</f>
        <v>SEC</v>
      </c>
      <c r="D157" s="1" t="str">
        <f ca="1">IFERROR(__xludf.DUMMYFUNCTION("""COMPUTED_VALUE"""),"14-16")</f>
        <v>14-16</v>
      </c>
      <c r="E157" s="1" t="str">
        <f ca="1">IFERROR(__xludf.DUMMYFUNCTION("""COMPUTED_VALUE"""),"+1.92")</f>
        <v>+1.92</v>
      </c>
      <c r="F157" s="1">
        <f ca="1">IFERROR(__xludf.DUMMYFUNCTION("""COMPUTED_VALUE"""),109.8)</f>
        <v>109.8</v>
      </c>
      <c r="G157" s="1">
        <f ca="1">IFERROR(__xludf.DUMMYFUNCTION("""COMPUTED_VALUE"""),70)</f>
        <v>70</v>
      </c>
      <c r="H157" s="1">
        <f ca="1">IFERROR(__xludf.DUMMYFUNCTION("""COMPUTED_VALUE"""),107.8)</f>
        <v>107.8</v>
      </c>
      <c r="I157" s="1">
        <f ca="1">IFERROR(__xludf.DUMMYFUNCTION("""COMPUTED_VALUE"""),248)</f>
        <v>248</v>
      </c>
      <c r="J157" s="1">
        <f ca="1">IFERROR(__xludf.DUMMYFUNCTION("""COMPUTED_VALUE"""),65.1)</f>
        <v>65.099999999999994</v>
      </c>
      <c r="K157" s="1">
        <f ca="1">IFERROR(__xludf.DUMMYFUNCTION("""COMPUTED_VALUE"""),172)</f>
        <v>172</v>
      </c>
      <c r="L157" s="1" t="str">
        <f ca="1">IFERROR(__xludf.DUMMYFUNCTION("""COMPUTED_VALUE"""),"+.008")</f>
        <v>+.008</v>
      </c>
      <c r="M157" s="1">
        <f ca="1">IFERROR(__xludf.DUMMYFUNCTION("""COMPUTED_VALUE"""),152)</f>
        <v>152</v>
      </c>
      <c r="N157" s="1" t="str">
        <f ca="1">IFERROR(__xludf.DUMMYFUNCTION("""COMPUTED_VALUE"""),"+3.75")</f>
        <v>+3.75</v>
      </c>
      <c r="O157" s="1">
        <f ca="1">IFERROR(__xludf.DUMMYFUNCTION("""COMPUTED_VALUE"""),98)</f>
        <v>98</v>
      </c>
      <c r="P157" s="1">
        <f ca="1">IFERROR(__xludf.DUMMYFUNCTION("""COMPUTED_VALUE"""),105.7)</f>
        <v>105.7</v>
      </c>
      <c r="Q157" s="1">
        <f ca="1">IFERROR(__xludf.DUMMYFUNCTION("""COMPUTED_VALUE"""),95)</f>
        <v>95</v>
      </c>
      <c r="R157" s="1">
        <f ca="1">IFERROR(__xludf.DUMMYFUNCTION("""COMPUTED_VALUE"""),101.9)</f>
        <v>101.9</v>
      </c>
      <c r="S157" s="1">
        <f ca="1">IFERROR(__xludf.DUMMYFUNCTION("""COMPUTED_VALUE"""),102)</f>
        <v>102</v>
      </c>
      <c r="T157" s="1">
        <f ca="1">IFERROR(__xludf.DUMMYFUNCTION("""COMPUTED_VALUE"""),-8.97)</f>
        <v>-8.9700000000000006</v>
      </c>
      <c r="U157" s="1">
        <f ca="1">IFERROR(__xludf.DUMMYFUNCTION("""COMPUTED_VALUE"""),327)</f>
        <v>327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IFERROR(__xludf.DUMMYFUNCTION("""COMPUTED_VALUE"""),"American15")</f>
        <v>American15</v>
      </c>
      <c r="C158" s="1" t="str">
        <f ca="1">IFERROR(__xludf.DUMMYFUNCTION("""COMPUTED_VALUE"""),"Pat")</f>
        <v>Pat</v>
      </c>
      <c r="D158" s="1" t="str">
        <f ca="1">IFERROR(__xludf.DUMMYFUNCTION("""COMPUTED_VALUE"""),"21-12")</f>
        <v>21-12</v>
      </c>
      <c r="E158" s="1" t="str">
        <f ca="1">IFERROR(__xludf.DUMMYFUNCTION("""COMPUTED_VALUE"""),"+1.67")</f>
        <v>+1.67</v>
      </c>
      <c r="F158" s="1">
        <f ca="1">IFERROR(__xludf.DUMMYFUNCTION("""COMPUTED_VALUE"""),107.9)</f>
        <v>107.9</v>
      </c>
      <c r="G158" s="1">
        <f ca="1">IFERROR(__xludf.DUMMYFUNCTION("""COMPUTED_VALUE"""),102)</f>
        <v>102</v>
      </c>
      <c r="H158" s="1">
        <f ca="1">IFERROR(__xludf.DUMMYFUNCTION("""COMPUTED_VALUE"""),106.3)</f>
        <v>106.3</v>
      </c>
      <c r="I158" s="1">
        <f ca="1">IFERROR(__xludf.DUMMYFUNCTION("""COMPUTED_VALUE"""),218)</f>
        <v>218</v>
      </c>
      <c r="J158" s="1">
        <f ca="1">IFERROR(__xludf.DUMMYFUNCTION("""COMPUTED_VALUE"""),60.4)</f>
        <v>60.4</v>
      </c>
      <c r="K158" s="1">
        <f ca="1">IFERROR(__xludf.DUMMYFUNCTION("""COMPUTED_VALUE"""),319)</f>
        <v>319</v>
      </c>
      <c r="L158" s="1" t="str">
        <f ca="1">IFERROR(__xludf.DUMMYFUNCTION("""COMPUTED_VALUE"""),"+.045")</f>
        <v>+.045</v>
      </c>
      <c r="M158" s="1">
        <f ca="1">IFERROR(__xludf.DUMMYFUNCTION("""COMPUTED_VALUE"""),66)</f>
        <v>66</v>
      </c>
      <c r="N158" s="1">
        <f ca="1">IFERROR(__xludf.DUMMYFUNCTION("""COMPUTED_VALUE"""),-4.23)</f>
        <v>-4.2300000000000004</v>
      </c>
      <c r="O158" s="1">
        <f ca="1">IFERROR(__xludf.DUMMYFUNCTION("""COMPUTED_VALUE"""),240)</f>
        <v>240</v>
      </c>
      <c r="P158" s="1">
        <f ca="1">IFERROR(__xludf.DUMMYFUNCTION("""COMPUTED_VALUE"""),99.9)</f>
        <v>99.9</v>
      </c>
      <c r="Q158" s="1">
        <f ca="1">IFERROR(__xludf.DUMMYFUNCTION("""COMPUTED_VALUE"""),295)</f>
        <v>295</v>
      </c>
      <c r="R158" s="1">
        <f ca="1">IFERROR(__xludf.DUMMYFUNCTION("""COMPUTED_VALUE"""),104.1)</f>
        <v>104.1</v>
      </c>
      <c r="S158" s="1">
        <f ca="1">IFERROR(__xludf.DUMMYFUNCTION("""COMPUTED_VALUE"""),173)</f>
        <v>173</v>
      </c>
      <c r="T158" s="1">
        <f ca="1">IFERROR(__xludf.DUMMYFUNCTION("""COMPUTED_VALUE"""),-2.17)</f>
        <v>-2.17</v>
      </c>
      <c r="U158" s="1">
        <f ca="1">IFERROR(__xludf.DUMMYFUNCTION("""COMPUTED_VALUE"""),216)</f>
        <v>216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IFERROR(__xludf.DUMMYFUNCTION("""COMPUTED_VALUE"""),"Richmond")</f>
        <v>Richmond</v>
      </c>
      <c r="C159" s="1" t="str">
        <f ca="1">IFERROR(__xludf.DUMMYFUNCTION("""COMPUTED_VALUE"""),"A10")</f>
        <v>A10</v>
      </c>
      <c r="D159" s="1" t="str">
        <f ca="1">IFERROR(__xludf.DUMMYFUNCTION("""COMPUTED_VALUE"""),"16-15")</f>
        <v>16-15</v>
      </c>
      <c r="E159" s="1" t="str">
        <f ca="1">IFERROR(__xludf.DUMMYFUNCTION("""COMPUTED_VALUE"""),"+1.48")</f>
        <v>+1.48</v>
      </c>
      <c r="F159" s="1">
        <f ca="1">IFERROR(__xludf.DUMMYFUNCTION("""COMPUTED_VALUE"""),101.4)</f>
        <v>101.4</v>
      </c>
      <c r="G159" s="1">
        <f ca="1">IFERROR(__xludf.DUMMYFUNCTION("""COMPUTED_VALUE"""),200)</f>
        <v>200</v>
      </c>
      <c r="H159" s="1">
        <f ca="1">IFERROR(__xludf.DUMMYFUNCTION("""COMPUTED_VALUE"""),99.9)</f>
        <v>99.9</v>
      </c>
      <c r="I159" s="1">
        <f ca="1">IFERROR(__xludf.DUMMYFUNCTION("""COMPUTED_VALUE"""),93)</f>
        <v>93</v>
      </c>
      <c r="J159" s="1">
        <f ca="1">IFERROR(__xludf.DUMMYFUNCTION("""COMPUTED_VALUE"""),61.5)</f>
        <v>61.5</v>
      </c>
      <c r="K159" s="1">
        <f ca="1">IFERROR(__xludf.DUMMYFUNCTION("""COMPUTED_VALUE"""),301)</f>
        <v>301</v>
      </c>
      <c r="L159" s="1" t="str">
        <f ca="1">IFERROR(__xludf.DUMMYFUNCTION("""COMPUTED_VALUE"""),"+.103")</f>
        <v>+.103</v>
      </c>
      <c r="M159" s="1">
        <f ca="1">IFERROR(__xludf.DUMMYFUNCTION("""COMPUTED_VALUE"""),6)</f>
        <v>6</v>
      </c>
      <c r="N159" s="1" t="str">
        <f ca="1">IFERROR(__xludf.DUMMYFUNCTION("""COMPUTED_VALUE"""),"+3.46")</f>
        <v>+3.46</v>
      </c>
      <c r="O159" s="1">
        <f ca="1">IFERROR(__xludf.DUMMYFUNCTION("""COMPUTED_VALUE"""),101)</f>
        <v>101</v>
      </c>
      <c r="P159" s="1">
        <f ca="1">IFERROR(__xludf.DUMMYFUNCTION("""COMPUTED_VALUE"""),106.2)</f>
        <v>106.2</v>
      </c>
      <c r="Q159" s="1">
        <f ca="1">IFERROR(__xludf.DUMMYFUNCTION("""COMPUTED_VALUE"""),85)</f>
        <v>85</v>
      </c>
      <c r="R159" s="1">
        <f ca="1">IFERROR(__xludf.DUMMYFUNCTION("""COMPUTED_VALUE"""),102.7)</f>
        <v>102.7</v>
      </c>
      <c r="S159" s="1">
        <f ca="1">IFERROR(__xludf.DUMMYFUNCTION("""COMPUTED_VALUE"""),138)</f>
        <v>138</v>
      </c>
      <c r="T159" s="1">
        <f ca="1">IFERROR(__xludf.DUMMYFUNCTION("""COMPUTED_VALUE"""),-2.06)</f>
        <v>-2.06</v>
      </c>
      <c r="U159" s="1">
        <f ca="1">IFERROR(__xludf.DUMMYFUNCTION("""COMPUTED_VALUE"""),211)</f>
        <v>211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IFERROR(__xludf.DUMMYFUNCTION("""COMPUTED_VALUE"""),"Northern Arizona")</f>
        <v>Northern Arizona</v>
      </c>
      <c r="C160" s="1" t="str">
        <f ca="1">IFERROR(__xludf.DUMMYFUNCTION("""COMPUTED_VALUE"""),"BSky")</f>
        <v>BSky</v>
      </c>
      <c r="D160" s="1" t="str">
        <f ca="1">IFERROR(__xludf.DUMMYFUNCTION("""COMPUTED_VALUE"""),"21-11")</f>
        <v>21-11</v>
      </c>
      <c r="E160" s="1" t="str">
        <f ca="1">IFERROR(__xludf.DUMMYFUNCTION("""COMPUTED_VALUE"""),"+1.43")</f>
        <v>+1.43</v>
      </c>
      <c r="F160" s="1">
        <f ca="1">IFERROR(__xludf.DUMMYFUNCTION("""COMPUTED_VALUE"""),105.6)</f>
        <v>105.6</v>
      </c>
      <c r="G160" s="1">
        <f ca="1">IFERROR(__xludf.DUMMYFUNCTION("""COMPUTED_VALUE"""),139)</f>
        <v>139</v>
      </c>
      <c r="H160" s="1">
        <f ca="1">IFERROR(__xludf.DUMMYFUNCTION("""COMPUTED_VALUE"""),104.2)</f>
        <v>104.2</v>
      </c>
      <c r="I160" s="1">
        <f ca="1">IFERROR(__xludf.DUMMYFUNCTION("""COMPUTED_VALUE"""),183)</f>
        <v>183</v>
      </c>
      <c r="J160" s="1">
        <f ca="1">IFERROR(__xludf.DUMMYFUNCTION("""COMPUTED_VALUE"""),66.2)</f>
        <v>66.2</v>
      </c>
      <c r="K160" s="1">
        <f ca="1">IFERROR(__xludf.DUMMYFUNCTION("""COMPUTED_VALUE"""),135)</f>
        <v>135</v>
      </c>
      <c r="L160" s="1" t="str">
        <f ca="1">IFERROR(__xludf.DUMMYFUNCTION("""COMPUTED_VALUE"""),"+.048")</f>
        <v>+.048</v>
      </c>
      <c r="M160" s="1">
        <f ca="1">IFERROR(__xludf.DUMMYFUNCTION("""COMPUTED_VALUE"""),59)</f>
        <v>59</v>
      </c>
      <c r="N160" s="1">
        <f ca="1">IFERROR(__xludf.DUMMYFUNCTION("""COMPUTED_VALUE"""),-4.7)</f>
        <v>-4.7</v>
      </c>
      <c r="O160" s="1">
        <f ca="1">IFERROR(__xludf.DUMMYFUNCTION("""COMPUTED_VALUE"""),248)</f>
        <v>248</v>
      </c>
      <c r="P160" s="1">
        <f ca="1">IFERROR(__xludf.DUMMYFUNCTION("""COMPUTED_VALUE"""),101.6)</f>
        <v>101.6</v>
      </c>
      <c r="Q160" s="1">
        <f ca="1">IFERROR(__xludf.DUMMYFUNCTION("""COMPUTED_VALUE"""),238)</f>
        <v>238</v>
      </c>
      <c r="R160" s="1">
        <f ca="1">IFERROR(__xludf.DUMMYFUNCTION("""COMPUTED_VALUE"""),106.3)</f>
        <v>106.3</v>
      </c>
      <c r="S160" s="1">
        <f ca="1">IFERROR(__xludf.DUMMYFUNCTION("""COMPUTED_VALUE"""),275)</f>
        <v>275</v>
      </c>
      <c r="T160" s="1">
        <f ca="1">IFERROR(__xludf.DUMMYFUNCTION("""COMPUTED_VALUE"""),-0.79)</f>
        <v>-0.79</v>
      </c>
      <c r="U160" s="1">
        <f ca="1">IFERROR(__xludf.DUMMYFUNCTION("""COMPUTED_VALUE"""),169)</f>
        <v>169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IFERROR(__xludf.DUMMYFUNCTION("""COMPUTED_VALUE"""),"Northeastern")</f>
        <v>Northeastern</v>
      </c>
      <c r="C161" s="1" t="str">
        <f ca="1">IFERROR(__xludf.DUMMYFUNCTION("""COMPUTED_VALUE"""),"CAA")</f>
        <v>CAA</v>
      </c>
      <c r="D161" s="1" t="str">
        <f ca="1">IFERROR(__xludf.DUMMYFUNCTION("""COMPUTED_VALUE"""),"14-17")</f>
        <v>14-17</v>
      </c>
      <c r="E161" s="1" t="str">
        <f ca="1">IFERROR(__xludf.DUMMYFUNCTION("""COMPUTED_VALUE"""),"+1.42")</f>
        <v>+1.42</v>
      </c>
      <c r="F161" s="1">
        <f ca="1">IFERROR(__xludf.DUMMYFUNCTION("""COMPUTED_VALUE"""),103.2)</f>
        <v>103.2</v>
      </c>
      <c r="G161" s="1">
        <f ca="1">IFERROR(__xludf.DUMMYFUNCTION("""COMPUTED_VALUE"""),179)</f>
        <v>179</v>
      </c>
      <c r="H161" s="1">
        <f ca="1">IFERROR(__xludf.DUMMYFUNCTION("""COMPUTED_VALUE"""),101.7)</f>
        <v>101.7</v>
      </c>
      <c r="I161" s="1">
        <f ca="1">IFERROR(__xludf.DUMMYFUNCTION("""COMPUTED_VALUE"""),131)</f>
        <v>131</v>
      </c>
      <c r="J161" s="1">
        <f ca="1">IFERROR(__xludf.DUMMYFUNCTION("""COMPUTED_VALUE"""),61.4)</f>
        <v>61.4</v>
      </c>
      <c r="K161" s="1">
        <f ca="1">IFERROR(__xludf.DUMMYFUNCTION("""COMPUTED_VALUE"""),302)</f>
        <v>302</v>
      </c>
      <c r="L161" s="1">
        <f ca="1">IFERROR(__xludf.DUMMYFUNCTION("""COMPUTED_VALUE"""),-0.043)</f>
        <v>-4.2999999999999997E-2</v>
      </c>
      <c r="M161" s="1">
        <f ca="1">IFERROR(__xludf.DUMMYFUNCTION("""COMPUTED_VALUE"""),277)</f>
        <v>277</v>
      </c>
      <c r="N161" s="1" t="str">
        <f ca="1">IFERROR(__xludf.DUMMYFUNCTION("""COMPUTED_VALUE"""),"+0.95")</f>
        <v>+0.95</v>
      </c>
      <c r="O161" s="1">
        <f ca="1">IFERROR(__xludf.DUMMYFUNCTION("""COMPUTED_VALUE"""),142)</f>
        <v>142</v>
      </c>
      <c r="P161" s="1">
        <f ca="1">IFERROR(__xludf.DUMMYFUNCTION("""COMPUTED_VALUE"""),103.5)</f>
        <v>103.5</v>
      </c>
      <c r="Q161" s="1">
        <f ca="1">IFERROR(__xludf.DUMMYFUNCTION("""COMPUTED_VALUE"""),169)</f>
        <v>169</v>
      </c>
      <c r="R161" s="1">
        <f ca="1">IFERROR(__xludf.DUMMYFUNCTION("""COMPUTED_VALUE"""),102.5)</f>
        <v>102.5</v>
      </c>
      <c r="S161" s="1">
        <f ca="1">IFERROR(__xludf.DUMMYFUNCTION("""COMPUTED_VALUE"""),128)</f>
        <v>128</v>
      </c>
      <c r="T161" s="1" t="str">
        <f ca="1">IFERROR(__xludf.DUMMYFUNCTION("""COMPUTED_VALUE"""),"+7.70")</f>
        <v>+7.70</v>
      </c>
      <c r="U161" s="1">
        <f ca="1">IFERROR(__xludf.DUMMYFUNCTION("""COMPUTED_VALUE"""),23)</f>
        <v>23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IFERROR(__xludf.DUMMYFUNCTION("""COMPUTED_VALUE"""),"Wichita St.")</f>
        <v>Wichita St.</v>
      </c>
      <c r="C162" s="1" t="str">
        <f ca="1">IFERROR(__xludf.DUMMYFUNCTION("""COMPUTED_VALUE"""),"MVC")</f>
        <v>MVC</v>
      </c>
      <c r="D162" s="2">
        <f ca="1">IFERROR(__xludf.DUMMYFUNCTION("""COMPUTED_VALUE"""),44885)</f>
        <v>44885</v>
      </c>
      <c r="E162" s="1" t="str">
        <f ca="1">IFERROR(__xludf.DUMMYFUNCTION("""COMPUTED_VALUE"""),"+1.41")</f>
        <v>+1.41</v>
      </c>
      <c r="F162" s="1">
        <f ca="1">IFERROR(__xludf.DUMMYFUNCTION("""COMPUTED_VALUE"""),104.3)</f>
        <v>104.3</v>
      </c>
      <c r="G162" s="1">
        <f ca="1">IFERROR(__xludf.DUMMYFUNCTION("""COMPUTED_VALUE"""),165)</f>
        <v>165</v>
      </c>
      <c r="H162" s="1">
        <f ca="1">IFERROR(__xludf.DUMMYFUNCTION("""COMPUTED_VALUE"""),102.8)</f>
        <v>102.8</v>
      </c>
      <c r="I162" s="1">
        <f ca="1">IFERROR(__xludf.DUMMYFUNCTION("""COMPUTED_VALUE"""),154)</f>
        <v>154</v>
      </c>
      <c r="J162" s="1">
        <f ca="1">IFERROR(__xludf.DUMMYFUNCTION("""COMPUTED_VALUE"""),60.5)</f>
        <v>60.5</v>
      </c>
      <c r="K162" s="1">
        <f ca="1">IFERROR(__xludf.DUMMYFUNCTION("""COMPUTED_VALUE"""),318)</f>
        <v>318</v>
      </c>
      <c r="L162" s="1">
        <f ca="1">IFERROR(__xludf.DUMMYFUNCTION("""COMPUTED_VALUE"""),-0.07)</f>
        <v>-7.0000000000000007E-2</v>
      </c>
      <c r="M162" s="1">
        <f ca="1">IFERROR(__xludf.DUMMYFUNCTION("""COMPUTED_VALUE"""),321)</f>
        <v>321</v>
      </c>
      <c r="N162" s="1" t="str">
        <f ca="1">IFERROR(__xludf.DUMMYFUNCTION("""COMPUTED_VALUE"""),"+3.82")</f>
        <v>+3.82</v>
      </c>
      <c r="O162" s="1">
        <f ca="1">IFERROR(__xludf.DUMMYFUNCTION("""COMPUTED_VALUE"""),96)</f>
        <v>96</v>
      </c>
      <c r="P162" s="1">
        <f ca="1">IFERROR(__xludf.DUMMYFUNCTION("""COMPUTED_VALUE"""),105.8)</f>
        <v>105.8</v>
      </c>
      <c r="Q162" s="1">
        <f ca="1">IFERROR(__xludf.DUMMYFUNCTION("""COMPUTED_VALUE"""),93)</f>
        <v>93</v>
      </c>
      <c r="R162" s="1">
        <f ca="1">IFERROR(__xludf.DUMMYFUNCTION("""COMPUTED_VALUE"""),102)</f>
        <v>102</v>
      </c>
      <c r="S162" s="1">
        <f ca="1">IFERROR(__xludf.DUMMYFUNCTION("""COMPUTED_VALUE"""),104)</f>
        <v>104</v>
      </c>
      <c r="T162" s="1">
        <f ca="1">IFERROR(__xludf.DUMMYFUNCTION("""COMPUTED_VALUE"""),-2.09)</f>
        <v>-2.09</v>
      </c>
      <c r="U162" s="1">
        <f ca="1">IFERROR(__xludf.DUMMYFUNCTION("""COMPUTED_VALUE"""),213)</f>
        <v>213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IFERROR(__xludf.DUMMYFUNCTION("""COMPUTED_VALUE"""),"Santa Clara")</f>
        <v>Santa Clara</v>
      </c>
      <c r="C163" s="1" t="str">
        <f ca="1">IFERROR(__xludf.DUMMYFUNCTION("""COMPUTED_VALUE"""),"WCC")</f>
        <v>WCC</v>
      </c>
      <c r="D163" s="1" t="str">
        <f ca="1">IFERROR(__xludf.DUMMYFUNCTION("""COMPUTED_VALUE"""),"15-16")</f>
        <v>15-16</v>
      </c>
      <c r="E163" s="1" t="str">
        <f ca="1">IFERROR(__xludf.DUMMYFUNCTION("""COMPUTED_VALUE"""),"+1.34")</f>
        <v>+1.34</v>
      </c>
      <c r="F163" s="1">
        <f ca="1">IFERROR(__xludf.DUMMYFUNCTION("""COMPUTED_VALUE"""),100.9)</f>
        <v>100.9</v>
      </c>
      <c r="G163" s="1">
        <f ca="1">IFERROR(__xludf.DUMMYFUNCTION("""COMPUTED_VALUE"""),208)</f>
        <v>208</v>
      </c>
      <c r="H163" s="1">
        <f ca="1">IFERROR(__xludf.DUMMYFUNCTION("""COMPUTED_VALUE"""),99.6)</f>
        <v>99.6</v>
      </c>
      <c r="I163" s="1">
        <f ca="1">IFERROR(__xludf.DUMMYFUNCTION("""COMPUTED_VALUE"""),86)</f>
        <v>86</v>
      </c>
      <c r="J163" s="1">
        <f ca="1">IFERROR(__xludf.DUMMYFUNCTION("""COMPUTED_VALUE"""),59.7)</f>
        <v>59.7</v>
      </c>
      <c r="K163" s="1">
        <f ca="1">IFERROR(__xludf.DUMMYFUNCTION("""COMPUTED_VALUE"""),325)</f>
        <v>325</v>
      </c>
      <c r="L163" s="1">
        <f ca="1">IFERROR(__xludf.DUMMYFUNCTION("""COMPUTED_VALUE"""),-0.065)</f>
        <v>-6.5000000000000002E-2</v>
      </c>
      <c r="M163" s="1">
        <f ca="1">IFERROR(__xludf.DUMMYFUNCTION("""COMPUTED_VALUE"""),312)</f>
        <v>312</v>
      </c>
      <c r="N163" s="1">
        <f ca="1">IFERROR(__xludf.DUMMYFUNCTION("""COMPUTED_VALUE"""),-0.53)</f>
        <v>-0.53</v>
      </c>
      <c r="O163" s="1">
        <f ca="1">IFERROR(__xludf.DUMMYFUNCTION("""COMPUTED_VALUE"""),164)</f>
        <v>164</v>
      </c>
      <c r="P163" s="1">
        <f ca="1">IFERROR(__xludf.DUMMYFUNCTION("""COMPUTED_VALUE"""),103.3)</f>
        <v>103.3</v>
      </c>
      <c r="Q163" s="1">
        <f ca="1">IFERROR(__xludf.DUMMYFUNCTION("""COMPUTED_VALUE"""),175)</f>
        <v>175</v>
      </c>
      <c r="R163" s="1">
        <f ca="1">IFERROR(__xludf.DUMMYFUNCTION("""COMPUTED_VALUE"""),103.9)</f>
        <v>103.9</v>
      </c>
      <c r="S163" s="1">
        <f ca="1">IFERROR(__xludf.DUMMYFUNCTION("""COMPUTED_VALUE"""),166)</f>
        <v>166</v>
      </c>
      <c r="T163" s="1" t="str">
        <f ca="1">IFERROR(__xludf.DUMMYFUNCTION("""COMPUTED_VALUE"""),"+0.59")</f>
        <v>+0.59</v>
      </c>
      <c r="U163" s="1">
        <f ca="1">IFERROR(__xludf.DUMMYFUNCTION("""COMPUTED_VALUE"""),129)</f>
        <v>129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IFERROR(__xludf.DUMMYFUNCTION("""COMPUTED_VALUE"""),"Air Force")</f>
        <v>Air Force</v>
      </c>
      <c r="C164" s="1" t="str">
        <f ca="1">IFERROR(__xludf.DUMMYFUNCTION("""COMPUTED_VALUE"""),"MWC")</f>
        <v>MWC</v>
      </c>
      <c r="D164" s="1" t="str">
        <f ca="1">IFERROR(__xludf.DUMMYFUNCTION("""COMPUTED_VALUE"""),"16-14")</f>
        <v>16-14</v>
      </c>
      <c r="E164" s="1" t="str">
        <f ca="1">IFERROR(__xludf.DUMMYFUNCTION("""COMPUTED_VALUE"""),"+1.18")</f>
        <v>+1.18</v>
      </c>
      <c r="F164" s="1">
        <f ca="1">IFERROR(__xludf.DUMMYFUNCTION("""COMPUTED_VALUE"""),100.9)</f>
        <v>100.9</v>
      </c>
      <c r="G164" s="1">
        <f ca="1">IFERROR(__xludf.DUMMYFUNCTION("""COMPUTED_VALUE"""),210)</f>
        <v>210</v>
      </c>
      <c r="H164" s="1">
        <f ca="1">IFERROR(__xludf.DUMMYFUNCTION("""COMPUTED_VALUE"""),99.7)</f>
        <v>99.7</v>
      </c>
      <c r="I164" s="1">
        <f ca="1">IFERROR(__xludf.DUMMYFUNCTION("""COMPUTED_VALUE"""),90)</f>
        <v>90</v>
      </c>
      <c r="J164" s="1">
        <f ca="1">IFERROR(__xludf.DUMMYFUNCTION("""COMPUTED_VALUE"""),56.3)</f>
        <v>56.3</v>
      </c>
      <c r="K164" s="1">
        <f ca="1">IFERROR(__xludf.DUMMYFUNCTION("""COMPUTED_VALUE"""),338)</f>
        <v>338</v>
      </c>
      <c r="L164" s="1">
        <f ca="1">IFERROR(__xludf.DUMMYFUNCTION("""COMPUTED_VALUE"""),-0.007)</f>
        <v>-7.0000000000000001E-3</v>
      </c>
      <c r="M164" s="1">
        <f ca="1">IFERROR(__xludf.DUMMYFUNCTION("""COMPUTED_VALUE"""),191)</f>
        <v>191</v>
      </c>
      <c r="N164" s="1" t="str">
        <f ca="1">IFERROR(__xludf.DUMMYFUNCTION("""COMPUTED_VALUE"""),"+0.17")</f>
        <v>+0.17</v>
      </c>
      <c r="O164" s="1">
        <f ca="1">IFERROR(__xludf.DUMMYFUNCTION("""COMPUTED_VALUE"""),150)</f>
        <v>150</v>
      </c>
      <c r="P164" s="1">
        <f ca="1">IFERROR(__xludf.DUMMYFUNCTION("""COMPUTED_VALUE"""),102.8)</f>
        <v>102.8</v>
      </c>
      <c r="Q164" s="1">
        <f ca="1">IFERROR(__xludf.DUMMYFUNCTION("""COMPUTED_VALUE"""),198)</f>
        <v>198</v>
      </c>
      <c r="R164" s="1">
        <f ca="1">IFERROR(__xludf.DUMMYFUNCTION("""COMPUTED_VALUE"""),102.6)</f>
        <v>102.6</v>
      </c>
      <c r="S164" s="1">
        <f ca="1">IFERROR(__xludf.DUMMYFUNCTION("""COMPUTED_VALUE"""),135)</f>
        <v>135</v>
      </c>
      <c r="T164" s="1">
        <f ca="1">IFERROR(__xludf.DUMMYFUNCTION("""COMPUTED_VALUE"""),-10.09)</f>
        <v>-10.09</v>
      </c>
      <c r="U164" s="1">
        <f ca="1">IFERROR(__xludf.DUMMYFUNCTION("""COMPUTED_VALUE"""),334)</f>
        <v>334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IFERROR(__xludf.DUMMYFUNCTION("""COMPUTED_VALUE"""),"Saint Louis")</f>
        <v>Saint Louis</v>
      </c>
      <c r="C165" s="1" t="str">
        <f ca="1">IFERROR(__xludf.DUMMYFUNCTION("""COMPUTED_VALUE"""),"A10")</f>
        <v>A10</v>
      </c>
      <c r="D165" s="1" t="str">
        <f ca="1">IFERROR(__xludf.DUMMYFUNCTION("""COMPUTED_VALUE"""),"16-15")</f>
        <v>16-15</v>
      </c>
      <c r="E165" s="1" t="str">
        <f ca="1">IFERROR(__xludf.DUMMYFUNCTION("""COMPUTED_VALUE"""),"+0.95")</f>
        <v>+0.95</v>
      </c>
      <c r="F165" s="1">
        <f ca="1">IFERROR(__xludf.DUMMYFUNCTION("""COMPUTED_VALUE"""),100.9)</f>
        <v>100.9</v>
      </c>
      <c r="G165" s="1">
        <f ca="1">IFERROR(__xludf.DUMMYFUNCTION("""COMPUTED_VALUE"""),206)</f>
        <v>206</v>
      </c>
      <c r="H165" s="1">
        <f ca="1">IFERROR(__xludf.DUMMYFUNCTION("""COMPUTED_VALUE"""),100)</f>
        <v>100</v>
      </c>
      <c r="I165" s="1">
        <f ca="1">IFERROR(__xludf.DUMMYFUNCTION("""COMPUTED_VALUE"""),95)</f>
        <v>95</v>
      </c>
      <c r="J165" s="1">
        <f ca="1">IFERROR(__xludf.DUMMYFUNCTION("""COMPUTED_VALUE"""),58.4)</f>
        <v>58.4</v>
      </c>
      <c r="K165" s="1">
        <f ca="1">IFERROR(__xludf.DUMMYFUNCTION("""COMPUTED_VALUE"""),333)</f>
        <v>333</v>
      </c>
      <c r="L165" s="1" t="str">
        <f ca="1">IFERROR(__xludf.DUMMYFUNCTION("""COMPUTED_VALUE"""),"+.067")</f>
        <v>+.067</v>
      </c>
      <c r="M165" s="1">
        <f ca="1">IFERROR(__xludf.DUMMYFUNCTION("""COMPUTED_VALUE"""),32)</f>
        <v>32</v>
      </c>
      <c r="N165" s="1" t="str">
        <f ca="1">IFERROR(__xludf.DUMMYFUNCTION("""COMPUTED_VALUE"""),"+4.19")</f>
        <v>+4.19</v>
      </c>
      <c r="O165" s="1">
        <f ca="1">IFERROR(__xludf.DUMMYFUNCTION("""COMPUTED_VALUE"""),92)</f>
        <v>92</v>
      </c>
      <c r="P165" s="1">
        <f ca="1">IFERROR(__xludf.DUMMYFUNCTION("""COMPUTED_VALUE"""),106.4)</f>
        <v>106.4</v>
      </c>
      <c r="Q165" s="1">
        <f ca="1">IFERROR(__xludf.DUMMYFUNCTION("""COMPUTED_VALUE"""),80)</f>
        <v>80</v>
      </c>
      <c r="R165" s="1">
        <f ca="1">IFERROR(__xludf.DUMMYFUNCTION("""COMPUTED_VALUE"""),102.2)</f>
        <v>102.2</v>
      </c>
      <c r="S165" s="1">
        <f ca="1">IFERROR(__xludf.DUMMYFUNCTION("""COMPUTED_VALUE"""),117)</f>
        <v>117</v>
      </c>
      <c r="T165" s="1">
        <f ca="1">IFERROR(__xludf.DUMMYFUNCTION("""COMPUTED_VALUE"""),-1.53)</f>
        <v>-1.53</v>
      </c>
      <c r="U165" s="1">
        <f ca="1">IFERROR(__xludf.DUMMYFUNCTION("""COMPUTED_VALUE"""),190)</f>
        <v>190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IFERROR(__xludf.DUMMYFUNCTION("""COMPUTED_VALUE"""),"Chattanooga")</f>
        <v>Chattanooga</v>
      </c>
      <c r="C166" s="1" t="str">
        <f ca="1">IFERROR(__xludf.DUMMYFUNCTION("""COMPUTED_VALUE"""),"SC")</f>
        <v>SC</v>
      </c>
      <c r="D166" s="1" t="str">
        <f ca="1">IFERROR(__xludf.DUMMYFUNCTION("""COMPUTED_VALUE"""),"18-13")</f>
        <v>18-13</v>
      </c>
      <c r="E166" s="1" t="str">
        <f ca="1">IFERROR(__xludf.DUMMYFUNCTION("""COMPUTED_VALUE"""),"+0.89")</f>
        <v>+0.89</v>
      </c>
      <c r="F166" s="1">
        <f ca="1">IFERROR(__xludf.DUMMYFUNCTION("""COMPUTED_VALUE"""),102.4)</f>
        <v>102.4</v>
      </c>
      <c r="G166" s="1">
        <f ca="1">IFERROR(__xludf.DUMMYFUNCTION("""COMPUTED_VALUE"""),184)</f>
        <v>184</v>
      </c>
      <c r="H166" s="1">
        <f ca="1">IFERROR(__xludf.DUMMYFUNCTION("""COMPUTED_VALUE"""),101.5)</f>
        <v>101.5</v>
      </c>
      <c r="I166" s="1">
        <f ca="1">IFERROR(__xludf.DUMMYFUNCTION("""COMPUTED_VALUE"""),127)</f>
        <v>127</v>
      </c>
      <c r="J166" s="1">
        <f ca="1">IFERROR(__xludf.DUMMYFUNCTION("""COMPUTED_VALUE"""),72)</f>
        <v>72</v>
      </c>
      <c r="K166" s="1">
        <f ca="1">IFERROR(__xludf.DUMMYFUNCTION("""COMPUTED_VALUE"""),11)</f>
        <v>11</v>
      </c>
      <c r="L166" s="1" t="str">
        <f ca="1">IFERROR(__xludf.DUMMYFUNCTION("""COMPUTED_VALUE"""),"+.049")</f>
        <v>+.049</v>
      </c>
      <c r="M166" s="1">
        <f ca="1">IFERROR(__xludf.DUMMYFUNCTION("""COMPUTED_VALUE"""),57)</f>
        <v>57</v>
      </c>
      <c r="N166" s="1" t="str">
        <f ca="1">IFERROR(__xludf.DUMMYFUNCTION("""COMPUTED_VALUE"""),"+0.07")</f>
        <v>+0.07</v>
      </c>
      <c r="O166" s="1">
        <f ca="1">IFERROR(__xludf.DUMMYFUNCTION("""COMPUTED_VALUE"""),154)</f>
        <v>154</v>
      </c>
      <c r="P166" s="1">
        <f ca="1">IFERROR(__xludf.DUMMYFUNCTION("""COMPUTED_VALUE"""),104.3)</f>
        <v>104.3</v>
      </c>
      <c r="Q166" s="1">
        <f ca="1">IFERROR(__xludf.DUMMYFUNCTION("""COMPUTED_VALUE"""),135)</f>
        <v>135</v>
      </c>
      <c r="R166" s="1">
        <f ca="1">IFERROR(__xludf.DUMMYFUNCTION("""COMPUTED_VALUE"""),104.2)</f>
        <v>104.2</v>
      </c>
      <c r="S166" s="1">
        <f ca="1">IFERROR(__xludf.DUMMYFUNCTION("""COMPUTED_VALUE"""),178)</f>
        <v>178</v>
      </c>
      <c r="T166" s="1" t="str">
        <f ca="1">IFERROR(__xludf.DUMMYFUNCTION("""COMPUTED_VALUE"""),"+5.82")</f>
        <v>+5.82</v>
      </c>
      <c r="U166" s="1">
        <f ca="1">IFERROR(__xludf.DUMMYFUNCTION("""COMPUTED_VALUE"""),34)</f>
        <v>34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IFERROR(__xludf.DUMMYFUNCTION("""COMPUTED_VALUE"""),"Fordham")</f>
        <v>Fordham</v>
      </c>
      <c r="C167" s="1" t="str">
        <f ca="1">IFERROR(__xludf.DUMMYFUNCTION("""COMPUTED_VALUE"""),"A10")</f>
        <v>A10</v>
      </c>
      <c r="D167" s="2">
        <f ca="1">IFERROR(__xludf.DUMMYFUNCTION("""COMPUTED_VALUE"""),44912)</f>
        <v>44912</v>
      </c>
      <c r="E167" s="1" t="str">
        <f ca="1">IFERROR(__xludf.DUMMYFUNCTION("""COMPUTED_VALUE"""),"+0.69")</f>
        <v>+0.69</v>
      </c>
      <c r="F167" s="1">
        <f ca="1">IFERROR(__xludf.DUMMYFUNCTION("""COMPUTED_VALUE"""),103.2)</f>
        <v>103.2</v>
      </c>
      <c r="G167" s="1">
        <f ca="1">IFERROR(__xludf.DUMMYFUNCTION("""COMPUTED_VALUE"""),178)</f>
        <v>178</v>
      </c>
      <c r="H167" s="1">
        <f ca="1">IFERROR(__xludf.DUMMYFUNCTION("""COMPUTED_VALUE"""),102.5)</f>
        <v>102.5</v>
      </c>
      <c r="I167" s="1">
        <f ca="1">IFERROR(__xludf.DUMMYFUNCTION("""COMPUTED_VALUE"""),147)</f>
        <v>147</v>
      </c>
      <c r="J167" s="1">
        <f ca="1">IFERROR(__xludf.DUMMYFUNCTION("""COMPUTED_VALUE"""),61.8)</f>
        <v>61.8</v>
      </c>
      <c r="K167" s="1">
        <f ca="1">IFERROR(__xludf.DUMMYFUNCTION("""COMPUTED_VALUE"""),294)</f>
        <v>294</v>
      </c>
      <c r="L167" s="1">
        <f ca="1">IFERROR(__xludf.DUMMYFUNCTION("""COMPUTED_VALUE"""),-0.029)</f>
        <v>-2.9000000000000001E-2</v>
      </c>
      <c r="M167" s="1">
        <f ca="1">IFERROR(__xludf.DUMMYFUNCTION("""COMPUTED_VALUE"""),246)</f>
        <v>246</v>
      </c>
      <c r="N167" s="1" t="str">
        <f ca="1">IFERROR(__xludf.DUMMYFUNCTION("""COMPUTED_VALUE"""),"+5.01")</f>
        <v>+5.01</v>
      </c>
      <c r="O167" s="1">
        <f ca="1">IFERROR(__xludf.DUMMYFUNCTION("""COMPUTED_VALUE"""),87)</f>
        <v>87</v>
      </c>
      <c r="P167" s="1">
        <f ca="1">IFERROR(__xludf.DUMMYFUNCTION("""COMPUTED_VALUE"""),106.6)</f>
        <v>106.6</v>
      </c>
      <c r="Q167" s="1">
        <f ca="1">IFERROR(__xludf.DUMMYFUNCTION("""COMPUTED_VALUE"""),73)</f>
        <v>73</v>
      </c>
      <c r="R167" s="1">
        <f ca="1">IFERROR(__xludf.DUMMYFUNCTION("""COMPUTED_VALUE"""),101.6)</f>
        <v>101.6</v>
      </c>
      <c r="S167" s="1">
        <f ca="1">IFERROR(__xludf.DUMMYFUNCTION("""COMPUTED_VALUE"""),94)</f>
        <v>94</v>
      </c>
      <c r="T167" s="1">
        <f ca="1">IFERROR(__xludf.DUMMYFUNCTION("""COMPUTED_VALUE"""),-1.06)</f>
        <v>-1.06</v>
      </c>
      <c r="U167" s="1">
        <f ca="1">IFERROR(__xludf.DUMMYFUNCTION("""COMPUTED_VALUE"""),177)</f>
        <v>177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IFERROR(__xludf.DUMMYFUNCTION("""COMPUTED_VALUE"""),"Lamar")</f>
        <v>Lamar</v>
      </c>
      <c r="C168" s="1" t="str">
        <f ca="1">IFERROR(__xludf.DUMMYFUNCTION("""COMPUTED_VALUE"""),"Slnd")</f>
        <v>Slnd</v>
      </c>
      <c r="D168" s="1" t="str">
        <f ca="1">IFERROR(__xludf.DUMMYFUNCTION("""COMPUTED_VALUE"""),"19-11")</f>
        <v>19-11</v>
      </c>
      <c r="E168" s="1" t="str">
        <f ca="1">IFERROR(__xludf.DUMMYFUNCTION("""COMPUTED_VALUE"""),"+0.56")</f>
        <v>+0.56</v>
      </c>
      <c r="F168" s="1">
        <f ca="1">IFERROR(__xludf.DUMMYFUNCTION("""COMPUTED_VALUE"""),108.1)</f>
        <v>108.1</v>
      </c>
      <c r="G168" s="1">
        <f ca="1">IFERROR(__xludf.DUMMYFUNCTION("""COMPUTED_VALUE"""),96)</f>
        <v>96</v>
      </c>
      <c r="H168" s="1">
        <f ca="1">IFERROR(__xludf.DUMMYFUNCTION("""COMPUTED_VALUE"""),107.6)</f>
        <v>107.6</v>
      </c>
      <c r="I168" s="1">
        <f ca="1">IFERROR(__xludf.DUMMYFUNCTION("""COMPUTED_VALUE"""),246)</f>
        <v>246</v>
      </c>
      <c r="J168" s="1">
        <f ca="1">IFERROR(__xludf.DUMMYFUNCTION("""COMPUTED_VALUE"""),69.9)</f>
        <v>69.900000000000006</v>
      </c>
      <c r="K168" s="1">
        <f ca="1">IFERROR(__xludf.DUMMYFUNCTION("""COMPUTED_VALUE"""),30)</f>
        <v>30</v>
      </c>
      <c r="L168" s="1">
        <f ca="1">IFERROR(__xludf.DUMMYFUNCTION("""COMPUTED_VALUE"""),-0.003)</f>
        <v>-3.0000000000000001E-3</v>
      </c>
      <c r="M168" s="1">
        <f ca="1">IFERROR(__xludf.DUMMYFUNCTION("""COMPUTED_VALUE"""),175)</f>
        <v>175</v>
      </c>
      <c r="N168" s="1">
        <f ca="1">IFERROR(__xludf.DUMMYFUNCTION("""COMPUTED_VALUE"""),-4.57)</f>
        <v>-4.57</v>
      </c>
      <c r="O168" s="1">
        <f ca="1">IFERROR(__xludf.DUMMYFUNCTION("""COMPUTED_VALUE"""),246)</f>
        <v>246</v>
      </c>
      <c r="P168" s="1">
        <f ca="1">IFERROR(__xludf.DUMMYFUNCTION("""COMPUTED_VALUE"""),99.1)</f>
        <v>99.1</v>
      </c>
      <c r="Q168" s="1">
        <f ca="1">IFERROR(__xludf.DUMMYFUNCTION("""COMPUTED_VALUE"""),313)</f>
        <v>313</v>
      </c>
      <c r="R168" s="1">
        <f ca="1">IFERROR(__xludf.DUMMYFUNCTION("""COMPUTED_VALUE"""),103.7)</f>
        <v>103.7</v>
      </c>
      <c r="S168" s="1">
        <f ca="1">IFERROR(__xludf.DUMMYFUNCTION("""COMPUTED_VALUE"""),161)</f>
        <v>161</v>
      </c>
      <c r="T168" s="1" t="str">
        <f ca="1">IFERROR(__xludf.DUMMYFUNCTION("""COMPUTED_VALUE"""),"+1.45")</f>
        <v>+1.45</v>
      </c>
      <c r="U168" s="1">
        <f ca="1">IFERROR(__xludf.DUMMYFUNCTION("""COMPUTED_VALUE"""),109)</f>
        <v>109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IFERROR(__xludf.DUMMYFUNCTION("""COMPUTED_VALUE"""),"UC Irvine")</f>
        <v>UC Irvine</v>
      </c>
      <c r="C171" s="1" t="str">
        <f ca="1">IFERROR(__xludf.DUMMYFUNCTION("""COMPUTED_VALUE"""),"BW")</f>
        <v>BW</v>
      </c>
      <c r="D171" s="1" t="str">
        <f ca="1">IFERROR(__xludf.DUMMYFUNCTION("""COMPUTED_VALUE"""),"18-16")</f>
        <v>18-16</v>
      </c>
      <c r="E171" s="1" t="str">
        <f ca="1">IFERROR(__xludf.DUMMYFUNCTION("""COMPUTED_VALUE"""),"+0.48")</f>
        <v>+0.48</v>
      </c>
      <c r="F171" s="1">
        <f ca="1">IFERROR(__xludf.DUMMYFUNCTION("""COMPUTED_VALUE"""),104.2)</f>
        <v>104.2</v>
      </c>
      <c r="G171" s="1">
        <f ca="1">IFERROR(__xludf.DUMMYFUNCTION("""COMPUTED_VALUE"""),167)</f>
        <v>167</v>
      </c>
      <c r="H171" s="1">
        <f ca="1">IFERROR(__xludf.DUMMYFUNCTION("""COMPUTED_VALUE"""),103.8)</f>
        <v>103.8</v>
      </c>
      <c r="I171" s="1">
        <f ca="1">IFERROR(__xludf.DUMMYFUNCTION("""COMPUTED_VALUE"""),173)</f>
        <v>173</v>
      </c>
      <c r="J171" s="1">
        <f ca="1">IFERROR(__xludf.DUMMYFUNCTION("""COMPUTED_VALUE"""),62.8)</f>
        <v>62.8</v>
      </c>
      <c r="K171" s="1">
        <f ca="1">IFERROR(__xludf.DUMMYFUNCTION("""COMPUTED_VALUE"""),270)</f>
        <v>270</v>
      </c>
      <c r="L171" s="1">
        <f ca="1">IFERROR(__xludf.DUMMYFUNCTION("""COMPUTED_VALUE"""),-0.028)</f>
        <v>-2.8000000000000001E-2</v>
      </c>
      <c r="M171" s="1">
        <f ca="1">IFERROR(__xludf.DUMMYFUNCTION("""COMPUTED_VALUE"""),243)</f>
        <v>243</v>
      </c>
      <c r="N171" s="1">
        <f ca="1">IFERROR(__xludf.DUMMYFUNCTION("""COMPUTED_VALUE"""),-2.21)</f>
        <v>-2.21</v>
      </c>
      <c r="O171" s="1">
        <f ca="1">IFERROR(__xludf.DUMMYFUNCTION("""COMPUTED_VALUE"""),197)</f>
        <v>197</v>
      </c>
      <c r="P171" s="1">
        <f ca="1">IFERROR(__xludf.DUMMYFUNCTION("""COMPUTED_VALUE"""),102.3)</f>
        <v>102.3</v>
      </c>
      <c r="Q171" s="1">
        <f ca="1">IFERROR(__xludf.DUMMYFUNCTION("""COMPUTED_VALUE"""),210)</f>
        <v>210</v>
      </c>
      <c r="R171" s="1">
        <f ca="1">IFERROR(__xludf.DUMMYFUNCTION("""COMPUTED_VALUE"""),104.5)</f>
        <v>104.5</v>
      </c>
      <c r="S171" s="1">
        <f ca="1">IFERROR(__xludf.DUMMYFUNCTION("""COMPUTED_VALUE"""),191)</f>
        <v>191</v>
      </c>
      <c r="T171" s="1" t="str">
        <f ca="1">IFERROR(__xludf.DUMMYFUNCTION("""COMPUTED_VALUE"""),"+0.57")</f>
        <v>+0.57</v>
      </c>
      <c r="U171" s="1">
        <f ca="1">IFERROR(__xludf.DUMMYFUNCTION("""COMPUTED_VALUE"""),130)</f>
        <v>130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IFERROR(__xludf.DUMMYFUNCTION("""COMPUTED_VALUE"""),"UNC Wilmington")</f>
        <v>UNC Wilmington</v>
      </c>
      <c r="C172" s="1" t="str">
        <f ca="1">IFERROR(__xludf.DUMMYFUNCTION("""COMPUTED_VALUE"""),"CAA")</f>
        <v>CAA</v>
      </c>
      <c r="D172" s="1" t="str">
        <f ca="1">IFERROR(__xludf.DUMMYFUNCTION("""COMPUTED_VALUE"""),"20-13")</f>
        <v>20-13</v>
      </c>
      <c r="E172" s="1" t="str">
        <f ca="1">IFERROR(__xludf.DUMMYFUNCTION("""COMPUTED_VALUE"""),"+0.35")</f>
        <v>+0.35</v>
      </c>
      <c r="F172" s="1">
        <f ca="1">IFERROR(__xludf.DUMMYFUNCTION("""COMPUTED_VALUE"""),108.2)</f>
        <v>108.2</v>
      </c>
      <c r="G172" s="1">
        <f ca="1">IFERROR(__xludf.DUMMYFUNCTION("""COMPUTED_VALUE"""),93)</f>
        <v>93</v>
      </c>
      <c r="H172" s="1">
        <f ca="1">IFERROR(__xludf.DUMMYFUNCTION("""COMPUTED_VALUE"""),107.9)</f>
        <v>107.9</v>
      </c>
      <c r="I172" s="1">
        <f ca="1">IFERROR(__xludf.DUMMYFUNCTION("""COMPUTED_VALUE"""),249)</f>
        <v>249</v>
      </c>
      <c r="J172" s="1">
        <f ca="1">IFERROR(__xludf.DUMMYFUNCTION("""COMPUTED_VALUE"""),66.5)</f>
        <v>66.5</v>
      </c>
      <c r="K172" s="1">
        <f ca="1">IFERROR(__xludf.DUMMYFUNCTION("""COMPUTED_VALUE"""),121)</f>
        <v>121</v>
      </c>
      <c r="L172" s="1" t="str">
        <f ca="1">IFERROR(__xludf.DUMMYFUNCTION("""COMPUTED_VALUE"""),"+.060")</f>
        <v>+.060</v>
      </c>
      <c r="M172" s="1">
        <f ca="1">IFERROR(__xludf.DUMMYFUNCTION("""COMPUTED_VALUE"""),42)</f>
        <v>42</v>
      </c>
      <c r="N172" s="1">
        <f ca="1">IFERROR(__xludf.DUMMYFUNCTION("""COMPUTED_VALUE"""),-2.79)</f>
        <v>-2.79</v>
      </c>
      <c r="O172" s="1">
        <f ca="1">IFERROR(__xludf.DUMMYFUNCTION("""COMPUTED_VALUE"""),214)</f>
        <v>214</v>
      </c>
      <c r="P172" s="1">
        <f ca="1">IFERROR(__xludf.DUMMYFUNCTION("""COMPUTED_VALUE"""),101.4)</f>
        <v>101.4</v>
      </c>
      <c r="Q172" s="1">
        <f ca="1">IFERROR(__xludf.DUMMYFUNCTION("""COMPUTED_VALUE"""),248)</f>
        <v>248</v>
      </c>
      <c r="R172" s="1">
        <f ca="1">IFERROR(__xludf.DUMMYFUNCTION("""COMPUTED_VALUE"""),104.2)</f>
        <v>104.2</v>
      </c>
      <c r="S172" s="1">
        <f ca="1">IFERROR(__xludf.DUMMYFUNCTION("""COMPUTED_VALUE"""),176)</f>
        <v>176</v>
      </c>
      <c r="T172" s="1">
        <f ca="1">IFERROR(__xludf.DUMMYFUNCTION("""COMPUTED_VALUE"""),-5.62)</f>
        <v>-5.62</v>
      </c>
      <c r="U172" s="1">
        <f ca="1">IFERROR(__xludf.DUMMYFUNCTION("""COMPUTED_VALUE"""),298)</f>
        <v>298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IFERROR(__xludf.DUMMYFUNCTION("""COMPUTED_VALUE"""),"Loyola MD")</f>
        <v>Loyola MD</v>
      </c>
      <c r="C173" s="1" t="str">
        <f ca="1">IFERROR(__xludf.DUMMYFUNCTION("""COMPUTED_VALUE"""),"MAAC")</f>
        <v>MAAC</v>
      </c>
      <c r="D173" s="1" t="str">
        <f ca="1">IFERROR(__xludf.DUMMYFUNCTION("""COMPUTED_VALUE"""),"19-14")</f>
        <v>19-14</v>
      </c>
      <c r="E173" s="1" t="str">
        <f ca="1">IFERROR(__xludf.DUMMYFUNCTION("""COMPUTED_VALUE"""),"+0.08")</f>
        <v>+0.08</v>
      </c>
      <c r="F173" s="1">
        <f ca="1">IFERROR(__xludf.DUMMYFUNCTION("""COMPUTED_VALUE"""),108.1)</f>
        <v>108.1</v>
      </c>
      <c r="G173" s="1">
        <f ca="1">IFERROR(__xludf.DUMMYFUNCTION("""COMPUTED_VALUE"""),99)</f>
        <v>99</v>
      </c>
      <c r="H173" s="1">
        <f ca="1">IFERROR(__xludf.DUMMYFUNCTION("""COMPUTED_VALUE"""),108)</f>
        <v>108</v>
      </c>
      <c r="I173" s="1">
        <f ca="1">IFERROR(__xludf.DUMMYFUNCTION("""COMPUTED_VALUE"""),253)</f>
        <v>253</v>
      </c>
      <c r="J173" s="1">
        <f ca="1">IFERROR(__xludf.DUMMYFUNCTION("""COMPUTED_VALUE"""),64.7)</f>
        <v>64.7</v>
      </c>
      <c r="K173" s="1">
        <f ca="1">IFERROR(__xludf.DUMMYFUNCTION("""COMPUTED_VALUE"""),185)</f>
        <v>185</v>
      </c>
      <c r="L173" s="1" t="str">
        <f ca="1">IFERROR(__xludf.DUMMYFUNCTION("""COMPUTED_VALUE"""),"+.052")</f>
        <v>+.052</v>
      </c>
      <c r="M173" s="1">
        <f ca="1">IFERROR(__xludf.DUMMYFUNCTION("""COMPUTED_VALUE"""),52)</f>
        <v>52</v>
      </c>
      <c r="N173" s="1">
        <f ca="1">IFERROR(__xludf.DUMMYFUNCTION("""COMPUTED_VALUE"""),-3.03)</f>
        <v>-3.03</v>
      </c>
      <c r="O173" s="1">
        <f ca="1">IFERROR(__xludf.DUMMYFUNCTION("""COMPUTED_VALUE"""),221)</f>
        <v>221</v>
      </c>
      <c r="P173" s="1">
        <f ca="1">IFERROR(__xludf.DUMMYFUNCTION("""COMPUTED_VALUE"""),101.9)</f>
        <v>101.9</v>
      </c>
      <c r="Q173" s="1">
        <f ca="1">IFERROR(__xludf.DUMMYFUNCTION("""COMPUTED_VALUE"""),226)</f>
        <v>226</v>
      </c>
      <c r="R173" s="1">
        <f ca="1">IFERROR(__xludf.DUMMYFUNCTION("""COMPUTED_VALUE"""),104.9)</f>
        <v>104.9</v>
      </c>
      <c r="S173" s="1">
        <f ca="1">IFERROR(__xludf.DUMMYFUNCTION("""COMPUTED_VALUE"""),202)</f>
        <v>202</v>
      </c>
      <c r="T173" s="1">
        <f ca="1">IFERROR(__xludf.DUMMYFUNCTION("""COMPUTED_VALUE"""),-3.35)</f>
        <v>-3.35</v>
      </c>
      <c r="U173" s="1">
        <f ca="1">IFERROR(__xludf.DUMMYFUNCTION("""COMPUTED_VALUE"""),254)</f>
        <v>254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IFERROR(__xludf.DUMMYFUNCTION("""COMPUTED_VALUE"""),"Tulane")</f>
        <v>Tulane</v>
      </c>
      <c r="C174" s="1" t="str">
        <f ca="1">IFERROR(__xludf.DUMMYFUNCTION("""COMPUTED_VALUE"""),"CUSA")</f>
        <v>CUSA</v>
      </c>
      <c r="D174" s="1" t="str">
        <f ca="1">IFERROR(__xludf.DUMMYFUNCTION("""COMPUTED_VALUE"""),"17-15")</f>
        <v>17-15</v>
      </c>
      <c r="E174" s="1">
        <f ca="1">IFERROR(__xludf.DUMMYFUNCTION("""COMPUTED_VALUE"""),-0.13)</f>
        <v>-0.13</v>
      </c>
      <c r="F174" s="1">
        <f ca="1">IFERROR(__xludf.DUMMYFUNCTION("""COMPUTED_VALUE"""),102.1)</f>
        <v>102.1</v>
      </c>
      <c r="G174" s="1">
        <f ca="1">IFERROR(__xludf.DUMMYFUNCTION("""COMPUTED_VALUE"""),190)</f>
        <v>190</v>
      </c>
      <c r="H174" s="1">
        <f ca="1">IFERROR(__xludf.DUMMYFUNCTION("""COMPUTED_VALUE"""),102.2)</f>
        <v>102.2</v>
      </c>
      <c r="I174" s="1">
        <f ca="1">IFERROR(__xludf.DUMMYFUNCTION("""COMPUTED_VALUE"""),141)</f>
        <v>141</v>
      </c>
      <c r="J174" s="1">
        <f ca="1">IFERROR(__xludf.DUMMYFUNCTION("""COMPUTED_VALUE"""),63.5)</f>
        <v>63.5</v>
      </c>
      <c r="K174" s="1">
        <f ca="1">IFERROR(__xludf.DUMMYFUNCTION("""COMPUTED_VALUE"""),240)</f>
        <v>240</v>
      </c>
      <c r="L174" s="1" t="str">
        <f ca="1">IFERROR(__xludf.DUMMYFUNCTION("""COMPUTED_VALUE"""),"+.074")</f>
        <v>+.074</v>
      </c>
      <c r="M174" s="1">
        <f ca="1">IFERROR(__xludf.DUMMYFUNCTION("""COMPUTED_VALUE"""),28)</f>
        <v>28</v>
      </c>
      <c r="N174" s="1" t="str">
        <f ca="1">IFERROR(__xludf.DUMMYFUNCTION("""COMPUTED_VALUE"""),"+1.68")</f>
        <v>+1.68</v>
      </c>
      <c r="O174" s="1">
        <f ca="1">IFERROR(__xludf.DUMMYFUNCTION("""COMPUTED_VALUE"""),125)</f>
        <v>125</v>
      </c>
      <c r="P174" s="1">
        <f ca="1">IFERROR(__xludf.DUMMYFUNCTION("""COMPUTED_VALUE"""),104.3)</f>
        <v>104.3</v>
      </c>
      <c r="Q174" s="1">
        <f ca="1">IFERROR(__xludf.DUMMYFUNCTION("""COMPUTED_VALUE"""),130)</f>
        <v>130</v>
      </c>
      <c r="R174" s="1">
        <f ca="1">IFERROR(__xludf.DUMMYFUNCTION("""COMPUTED_VALUE"""),102.6)</f>
        <v>102.6</v>
      </c>
      <c r="S174" s="1">
        <f ca="1">IFERROR(__xludf.DUMMYFUNCTION("""COMPUTED_VALUE"""),134)</f>
        <v>134</v>
      </c>
      <c r="T174" s="1">
        <f ca="1">IFERROR(__xludf.DUMMYFUNCTION("""COMPUTED_VALUE"""),-1.87)</f>
        <v>-1.87</v>
      </c>
      <c r="U174" s="1">
        <f ca="1">IFERROR(__xludf.DUMMYFUNCTION("""COMPUTED_VALUE"""),203)</f>
        <v>203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IFERROR(__xludf.DUMMYFUNCTION("""COMPUTED_VALUE"""),"Middle Tennessee")</f>
        <v>Middle Tennessee</v>
      </c>
      <c r="C175" s="1" t="str">
        <f ca="1">IFERROR(__xludf.DUMMYFUNCTION("""COMPUTED_VALUE"""),"SB")</f>
        <v>SB</v>
      </c>
      <c r="D175" s="1" t="str">
        <f ca="1">IFERROR(__xludf.DUMMYFUNCTION("""COMPUTED_VALUE"""),"17-15")</f>
        <v>17-15</v>
      </c>
      <c r="E175" s="1">
        <f ca="1">IFERROR(__xludf.DUMMYFUNCTION("""COMPUTED_VALUE"""),-0.16)</f>
        <v>-0.16</v>
      </c>
      <c r="F175" s="1">
        <f ca="1">IFERROR(__xludf.DUMMYFUNCTION("""COMPUTED_VALUE"""),104.9)</f>
        <v>104.9</v>
      </c>
      <c r="G175" s="1">
        <f ca="1">IFERROR(__xludf.DUMMYFUNCTION("""COMPUTED_VALUE"""),145)</f>
        <v>145</v>
      </c>
      <c r="H175" s="1">
        <f ca="1">IFERROR(__xludf.DUMMYFUNCTION("""COMPUTED_VALUE"""),105.1)</f>
        <v>105.1</v>
      </c>
      <c r="I175" s="1">
        <f ca="1">IFERROR(__xludf.DUMMYFUNCTION("""COMPUTED_VALUE"""),200)</f>
        <v>200</v>
      </c>
      <c r="J175" s="1">
        <f ca="1">IFERROR(__xludf.DUMMYFUNCTION("""COMPUTED_VALUE"""),62.1)</f>
        <v>62.1</v>
      </c>
      <c r="K175" s="1">
        <f ca="1">IFERROR(__xludf.DUMMYFUNCTION("""COMPUTED_VALUE"""),288)</f>
        <v>288</v>
      </c>
      <c r="L175" s="1" t="str">
        <f ca="1">IFERROR(__xludf.DUMMYFUNCTION("""COMPUTED_VALUE"""),"+.065")</f>
        <v>+.065</v>
      </c>
      <c r="M175" s="1">
        <f ca="1">IFERROR(__xludf.DUMMYFUNCTION("""COMPUTED_VALUE"""),37)</f>
        <v>37</v>
      </c>
      <c r="N175" s="1">
        <f ca="1">IFERROR(__xludf.DUMMYFUNCTION("""COMPUTED_VALUE"""),-0.54)</f>
        <v>-0.54</v>
      </c>
      <c r="O175" s="1">
        <f ca="1">IFERROR(__xludf.DUMMYFUNCTION("""COMPUTED_VALUE"""),165)</f>
        <v>165</v>
      </c>
      <c r="P175" s="1">
        <f ca="1">IFERROR(__xludf.DUMMYFUNCTION("""COMPUTED_VALUE"""),104.6)</f>
        <v>104.6</v>
      </c>
      <c r="Q175" s="1">
        <f ca="1">IFERROR(__xludf.DUMMYFUNCTION("""COMPUTED_VALUE"""),119)</f>
        <v>119</v>
      </c>
      <c r="R175" s="1">
        <f ca="1">IFERROR(__xludf.DUMMYFUNCTION("""COMPUTED_VALUE"""),105.1)</f>
        <v>105.1</v>
      </c>
      <c r="S175" s="1">
        <f ca="1">IFERROR(__xludf.DUMMYFUNCTION("""COMPUTED_VALUE"""),215)</f>
        <v>215</v>
      </c>
      <c r="T175" s="1" t="str">
        <f ca="1">IFERROR(__xludf.DUMMYFUNCTION("""COMPUTED_VALUE"""),"+3.67")</f>
        <v>+3.67</v>
      </c>
      <c r="U175" s="1">
        <f ca="1">IFERROR(__xludf.DUMMYFUNCTION("""COMPUTED_VALUE"""),66)</f>
        <v>66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IFERROR(__xludf.DUMMYFUNCTION("""COMPUTED_VALUE"""),"College of Charleston")</f>
        <v>College of Charleston</v>
      </c>
      <c r="C176" s="1" t="str">
        <f ca="1">IFERROR(__xludf.DUMMYFUNCTION("""COMPUTED_VALUE"""),"SC")</f>
        <v>SC</v>
      </c>
      <c r="D176" s="1" t="str">
        <f ca="1">IFERROR(__xludf.DUMMYFUNCTION("""COMPUTED_VALUE"""),"16-17")</f>
        <v>16-17</v>
      </c>
      <c r="E176" s="1">
        <f ca="1">IFERROR(__xludf.DUMMYFUNCTION("""COMPUTED_VALUE"""),-0.21)</f>
        <v>-0.21</v>
      </c>
      <c r="F176" s="1">
        <f ca="1">IFERROR(__xludf.DUMMYFUNCTION("""COMPUTED_VALUE"""),106.7)</f>
        <v>106.7</v>
      </c>
      <c r="G176" s="1">
        <f ca="1">IFERROR(__xludf.DUMMYFUNCTION("""COMPUTED_VALUE"""),124)</f>
        <v>124</v>
      </c>
      <c r="H176" s="1">
        <f ca="1">IFERROR(__xludf.DUMMYFUNCTION("""COMPUTED_VALUE"""),106.9)</f>
        <v>106.9</v>
      </c>
      <c r="I176" s="1">
        <f ca="1">IFERROR(__xludf.DUMMYFUNCTION("""COMPUTED_VALUE"""),232)</f>
        <v>232</v>
      </c>
      <c r="J176" s="1">
        <f ca="1">IFERROR(__xludf.DUMMYFUNCTION("""COMPUTED_VALUE"""),65.8)</f>
        <v>65.8</v>
      </c>
      <c r="K176" s="1">
        <f ca="1">IFERROR(__xludf.DUMMYFUNCTION("""COMPUTED_VALUE"""),143)</f>
        <v>143</v>
      </c>
      <c r="L176" s="1">
        <f ca="1">IFERROR(__xludf.DUMMYFUNCTION("""COMPUTED_VALUE"""),-0.024)</f>
        <v>-2.4E-2</v>
      </c>
      <c r="M176" s="1">
        <f ca="1">IFERROR(__xludf.DUMMYFUNCTION("""COMPUTED_VALUE"""),231)</f>
        <v>231</v>
      </c>
      <c r="N176" s="1">
        <f ca="1">IFERROR(__xludf.DUMMYFUNCTION("""COMPUTED_VALUE"""),-1.06)</f>
        <v>-1.06</v>
      </c>
      <c r="O176" s="1">
        <f ca="1">IFERROR(__xludf.DUMMYFUNCTION("""COMPUTED_VALUE"""),177)</f>
        <v>177</v>
      </c>
      <c r="P176" s="1">
        <f ca="1">IFERROR(__xludf.DUMMYFUNCTION("""COMPUTED_VALUE"""),103.9)</f>
        <v>103.9</v>
      </c>
      <c r="Q176" s="1">
        <f ca="1">IFERROR(__xludf.DUMMYFUNCTION("""COMPUTED_VALUE"""),153)</f>
        <v>153</v>
      </c>
      <c r="R176" s="1">
        <f ca="1">IFERROR(__xludf.DUMMYFUNCTION("""COMPUTED_VALUE"""),104.9)</f>
        <v>104.9</v>
      </c>
      <c r="S176" s="1">
        <f ca="1">IFERROR(__xludf.DUMMYFUNCTION("""COMPUTED_VALUE"""),206)</f>
        <v>206</v>
      </c>
      <c r="T176" s="1" t="str">
        <f ca="1">IFERROR(__xludf.DUMMYFUNCTION("""COMPUTED_VALUE"""),"+3.37")</f>
        <v>+3.37</v>
      </c>
      <c r="U176" s="1">
        <f ca="1">IFERROR(__xludf.DUMMYFUNCTION("""COMPUTED_VALUE"""),71)</f>
        <v>71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IFERROR(__xludf.DUMMYFUNCTION("""COMPUTED_VALUE"""),"Milwaukee")</f>
        <v>Milwaukee</v>
      </c>
      <c r="C177" s="1" t="str">
        <f ca="1">IFERROR(__xludf.DUMMYFUNCTION("""COMPUTED_VALUE"""),"Horz")</f>
        <v>Horz</v>
      </c>
      <c r="D177" s="1" t="str">
        <f ca="1">IFERROR(__xludf.DUMMYFUNCTION("""COMPUTED_VALUE"""),"14-16")</f>
        <v>14-16</v>
      </c>
      <c r="E177" s="1">
        <f ca="1">IFERROR(__xludf.DUMMYFUNCTION("""COMPUTED_VALUE"""),-0.26)</f>
        <v>-0.26</v>
      </c>
      <c r="F177" s="1">
        <f ca="1">IFERROR(__xludf.DUMMYFUNCTION("""COMPUTED_VALUE"""),100.7)</f>
        <v>100.7</v>
      </c>
      <c r="G177" s="1">
        <f ca="1">IFERROR(__xludf.DUMMYFUNCTION("""COMPUTED_VALUE"""),214)</f>
        <v>214</v>
      </c>
      <c r="H177" s="1">
        <f ca="1">IFERROR(__xludf.DUMMYFUNCTION("""COMPUTED_VALUE"""),100.9)</f>
        <v>100.9</v>
      </c>
      <c r="I177" s="1">
        <f ca="1">IFERROR(__xludf.DUMMYFUNCTION("""COMPUTED_VALUE"""),114)</f>
        <v>114</v>
      </c>
      <c r="J177" s="1">
        <f ca="1">IFERROR(__xludf.DUMMYFUNCTION("""COMPUTED_VALUE"""),67)</f>
        <v>67</v>
      </c>
      <c r="K177" s="1">
        <f ca="1">IFERROR(__xludf.DUMMYFUNCTION("""COMPUTED_VALUE"""),104)</f>
        <v>104</v>
      </c>
      <c r="L177" s="1" t="str">
        <f ca="1">IFERROR(__xludf.DUMMYFUNCTION("""COMPUTED_VALUE"""),"+.035")</f>
        <v>+.035</v>
      </c>
      <c r="M177" s="1">
        <f ca="1">IFERROR(__xludf.DUMMYFUNCTION("""COMPUTED_VALUE"""),91)</f>
        <v>91</v>
      </c>
      <c r="N177" s="1" t="str">
        <f ca="1">IFERROR(__xludf.DUMMYFUNCTION("""COMPUTED_VALUE"""),"+2.19")</f>
        <v>+2.19</v>
      </c>
      <c r="O177" s="1">
        <f ca="1">IFERROR(__xludf.DUMMYFUNCTION("""COMPUTED_VALUE"""),120)</f>
        <v>120</v>
      </c>
      <c r="P177" s="1">
        <f ca="1">IFERROR(__xludf.DUMMYFUNCTION("""COMPUTED_VALUE"""),104.3)</f>
        <v>104.3</v>
      </c>
      <c r="Q177" s="1">
        <f ca="1">IFERROR(__xludf.DUMMYFUNCTION("""COMPUTED_VALUE"""),123)</f>
        <v>123</v>
      </c>
      <c r="R177" s="1">
        <f ca="1">IFERROR(__xludf.DUMMYFUNCTION("""COMPUTED_VALUE"""),102.2)</f>
        <v>102.2</v>
      </c>
      <c r="S177" s="1">
        <f ca="1">IFERROR(__xludf.DUMMYFUNCTION("""COMPUTED_VALUE"""),113)</f>
        <v>113</v>
      </c>
      <c r="T177" s="1" t="str">
        <f ca="1">IFERROR(__xludf.DUMMYFUNCTION("""COMPUTED_VALUE"""),"+4.10")</f>
        <v>+4.10</v>
      </c>
      <c r="U177" s="1">
        <f ca="1">IFERROR(__xludf.DUMMYFUNCTION("""COMPUTED_VALUE"""),55)</f>
        <v>55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IFERROR(__xludf.DUMMYFUNCTION("""COMPUTED_VALUE"""),"Austin Peay15")</f>
        <v>Austin Peay15</v>
      </c>
      <c r="C178" s="1" t="str">
        <f ca="1">IFERROR(__xludf.DUMMYFUNCTION("""COMPUTED_VALUE"""),"OVC")</f>
        <v>OVC</v>
      </c>
      <c r="D178" s="1" t="str">
        <f ca="1">IFERROR(__xludf.DUMMYFUNCTION("""COMPUTED_VALUE"""),"24-11")</f>
        <v>24-11</v>
      </c>
      <c r="E178" s="1">
        <f ca="1">IFERROR(__xludf.DUMMYFUNCTION("""COMPUTED_VALUE"""),-0.3)</f>
        <v>-0.3</v>
      </c>
      <c r="F178" s="1">
        <f ca="1">IFERROR(__xludf.DUMMYFUNCTION("""COMPUTED_VALUE"""),104.6)</f>
        <v>104.6</v>
      </c>
      <c r="G178" s="1">
        <f ca="1">IFERROR(__xludf.DUMMYFUNCTION("""COMPUTED_VALUE"""),159)</f>
        <v>159</v>
      </c>
      <c r="H178" s="1">
        <f ca="1">IFERROR(__xludf.DUMMYFUNCTION("""COMPUTED_VALUE"""),104.9)</f>
        <v>104.9</v>
      </c>
      <c r="I178" s="1">
        <f ca="1">IFERROR(__xludf.DUMMYFUNCTION("""COMPUTED_VALUE"""),195)</f>
        <v>195</v>
      </c>
      <c r="J178" s="1">
        <f ca="1">IFERROR(__xludf.DUMMYFUNCTION("""COMPUTED_VALUE"""),65.5)</f>
        <v>65.5</v>
      </c>
      <c r="K178" s="1">
        <f ca="1">IFERROR(__xludf.DUMMYFUNCTION("""COMPUTED_VALUE"""),155)</f>
        <v>155</v>
      </c>
      <c r="L178" s="1" t="str">
        <f ca="1">IFERROR(__xludf.DUMMYFUNCTION("""COMPUTED_VALUE"""),"+.086")</f>
        <v>+.086</v>
      </c>
      <c r="M178" s="1">
        <f ca="1">IFERROR(__xludf.DUMMYFUNCTION("""COMPUTED_VALUE"""),16)</f>
        <v>16</v>
      </c>
      <c r="N178" s="1">
        <f ca="1">IFERROR(__xludf.DUMMYFUNCTION("""COMPUTED_VALUE"""),-6.35)</f>
        <v>-6.35</v>
      </c>
      <c r="O178" s="1">
        <f ca="1">IFERROR(__xludf.DUMMYFUNCTION("""COMPUTED_VALUE"""),291)</f>
        <v>291</v>
      </c>
      <c r="P178" s="1">
        <f ca="1">IFERROR(__xludf.DUMMYFUNCTION("""COMPUTED_VALUE"""),102.5)</f>
        <v>102.5</v>
      </c>
      <c r="Q178" s="1">
        <f ca="1">IFERROR(__xludf.DUMMYFUNCTION("""COMPUTED_VALUE"""),204)</f>
        <v>204</v>
      </c>
      <c r="R178" s="1">
        <f ca="1">IFERROR(__xludf.DUMMYFUNCTION("""COMPUTED_VALUE"""),108.8)</f>
        <v>108.8</v>
      </c>
      <c r="S178" s="1">
        <f ca="1">IFERROR(__xludf.DUMMYFUNCTION("""COMPUTED_VALUE"""),333)</f>
        <v>333</v>
      </c>
      <c r="T178" s="1" t="str">
        <f ca="1">IFERROR(__xludf.DUMMYFUNCTION("""COMPUTED_VALUE"""),"+5.19")</f>
        <v>+5.19</v>
      </c>
      <c r="U178" s="1">
        <f ca="1">IFERROR(__xludf.DUMMYFUNCTION("""COMPUTED_VALUE"""),42)</f>
        <v>42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IFERROR(__xludf.DUMMYFUNCTION("""COMPUTED_VALUE"""),"Morgan St.8")</f>
        <v>Morgan St.8</v>
      </c>
      <c r="C179" s="1" t="str">
        <f ca="1">IFERROR(__xludf.DUMMYFUNCTION("""COMPUTED_VALUE"""),"MEAC")</f>
        <v>MEAC</v>
      </c>
      <c r="D179" s="1" t="str">
        <f ca="1">IFERROR(__xludf.DUMMYFUNCTION("""COMPUTED_VALUE"""),"22-11")</f>
        <v>22-11</v>
      </c>
      <c r="E179" s="1">
        <f ca="1">IFERROR(__xludf.DUMMYFUNCTION("""COMPUTED_VALUE"""),-1.01)</f>
        <v>-1.01</v>
      </c>
      <c r="F179" s="1">
        <f ca="1">IFERROR(__xludf.DUMMYFUNCTION("""COMPUTED_VALUE"""),100)</f>
        <v>100</v>
      </c>
      <c r="G179" s="1">
        <f ca="1">IFERROR(__xludf.DUMMYFUNCTION("""COMPUTED_VALUE"""),222)</f>
        <v>222</v>
      </c>
      <c r="H179" s="1">
        <f ca="1">IFERROR(__xludf.DUMMYFUNCTION("""COMPUTED_VALUE"""),101)</f>
        <v>101</v>
      </c>
      <c r="I179" s="1">
        <f ca="1">IFERROR(__xludf.DUMMYFUNCTION("""COMPUTED_VALUE"""),118)</f>
        <v>118</v>
      </c>
      <c r="J179" s="1">
        <f ca="1">IFERROR(__xludf.DUMMYFUNCTION("""COMPUTED_VALUE"""),64.7)</f>
        <v>64.7</v>
      </c>
      <c r="K179" s="1">
        <f ca="1">IFERROR(__xludf.DUMMYFUNCTION("""COMPUTED_VALUE"""),188)</f>
        <v>188</v>
      </c>
      <c r="L179" s="1" t="str">
        <f ca="1">IFERROR(__xludf.DUMMYFUNCTION("""COMPUTED_VALUE"""),"+.015")</f>
        <v>+.015</v>
      </c>
      <c r="M179" s="1">
        <f ca="1">IFERROR(__xludf.DUMMYFUNCTION("""COMPUTED_VALUE"""),131)</f>
        <v>131</v>
      </c>
      <c r="N179" s="1">
        <f ca="1">IFERROR(__xludf.DUMMYFUNCTION("""COMPUTED_VALUE"""),-9.48)</f>
        <v>-9.48</v>
      </c>
      <c r="O179" s="1">
        <f ca="1">IFERROR(__xludf.DUMMYFUNCTION("""COMPUTED_VALUE"""),325)</f>
        <v>325</v>
      </c>
      <c r="P179" s="1">
        <f ca="1">IFERROR(__xludf.DUMMYFUNCTION("""COMPUTED_VALUE"""),98.3)</f>
        <v>98.3</v>
      </c>
      <c r="Q179" s="1">
        <f ca="1">IFERROR(__xludf.DUMMYFUNCTION("""COMPUTED_VALUE"""),320)</f>
        <v>320</v>
      </c>
      <c r="R179" s="1">
        <f ca="1">IFERROR(__xludf.DUMMYFUNCTION("""COMPUTED_VALUE"""),107.7)</f>
        <v>107.7</v>
      </c>
      <c r="S179" s="1">
        <f ca="1">IFERROR(__xludf.DUMMYFUNCTION("""COMPUTED_VALUE"""),317)</f>
        <v>317</v>
      </c>
      <c r="T179" s="1" t="str">
        <f ca="1">IFERROR(__xludf.DUMMYFUNCTION("""COMPUTED_VALUE"""),"+1.01")</f>
        <v>+1.01</v>
      </c>
      <c r="U179" s="1">
        <f ca="1">IFERROR(__xludf.DUMMYFUNCTION("""COMPUTED_VALUE"""),119)</f>
        <v>119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IFERROR(__xludf.DUMMYFUNCTION("""COMPUTED_VALUE"""),"Holy Cross")</f>
        <v>Holy Cross</v>
      </c>
      <c r="C180" s="1" t="str">
        <f ca="1">IFERROR(__xludf.DUMMYFUNCTION("""COMPUTED_VALUE"""),"Pat")</f>
        <v>Pat</v>
      </c>
      <c r="D180" s="1" t="str">
        <f ca="1">IFERROR(__xludf.DUMMYFUNCTION("""COMPUTED_VALUE"""),"15-14")</f>
        <v>15-14</v>
      </c>
      <c r="E180" s="1">
        <f ca="1">IFERROR(__xludf.DUMMYFUNCTION("""COMPUTED_VALUE"""),-1.03)</f>
        <v>-1.03</v>
      </c>
      <c r="F180" s="1">
        <f ca="1">IFERROR(__xludf.DUMMYFUNCTION("""COMPUTED_VALUE"""),101.3)</f>
        <v>101.3</v>
      </c>
      <c r="G180" s="1">
        <f ca="1">IFERROR(__xludf.DUMMYFUNCTION("""COMPUTED_VALUE"""),204)</f>
        <v>204</v>
      </c>
      <c r="H180" s="1">
        <f ca="1">IFERROR(__xludf.DUMMYFUNCTION("""COMPUTED_VALUE"""),102.3)</f>
        <v>102.3</v>
      </c>
      <c r="I180" s="1">
        <f ca="1">IFERROR(__xludf.DUMMYFUNCTION("""COMPUTED_VALUE"""),143)</f>
        <v>143</v>
      </c>
      <c r="J180" s="1">
        <f ca="1">IFERROR(__xludf.DUMMYFUNCTION("""COMPUTED_VALUE"""),59.6)</f>
        <v>59.6</v>
      </c>
      <c r="K180" s="1">
        <f ca="1">IFERROR(__xludf.DUMMYFUNCTION("""COMPUTED_VALUE"""),327)</f>
        <v>327</v>
      </c>
      <c r="L180" s="1">
        <f ca="1">IFERROR(__xludf.DUMMYFUNCTION("""COMPUTED_VALUE"""),-0.014)</f>
        <v>-1.4E-2</v>
      </c>
      <c r="M180" s="1">
        <f ca="1">IFERROR(__xludf.DUMMYFUNCTION("""COMPUTED_VALUE"""),202)</f>
        <v>202</v>
      </c>
      <c r="N180" s="1">
        <f ca="1">IFERROR(__xludf.DUMMYFUNCTION("""COMPUTED_VALUE"""),-2.88)</f>
        <v>-2.88</v>
      </c>
      <c r="O180" s="1">
        <f ca="1">IFERROR(__xludf.DUMMYFUNCTION("""COMPUTED_VALUE"""),216)</f>
        <v>216</v>
      </c>
      <c r="P180" s="1">
        <f ca="1">IFERROR(__xludf.DUMMYFUNCTION("""COMPUTED_VALUE"""),101.5)</f>
        <v>101.5</v>
      </c>
      <c r="Q180" s="1">
        <f ca="1">IFERROR(__xludf.DUMMYFUNCTION("""COMPUTED_VALUE"""),244)</f>
        <v>244</v>
      </c>
      <c r="R180" s="1">
        <f ca="1">IFERROR(__xludf.DUMMYFUNCTION("""COMPUTED_VALUE"""),104.4)</f>
        <v>104.4</v>
      </c>
      <c r="S180" s="1">
        <f ca="1">IFERROR(__xludf.DUMMYFUNCTION("""COMPUTED_VALUE"""),188)</f>
        <v>188</v>
      </c>
      <c r="T180" s="1">
        <f ca="1">IFERROR(__xludf.DUMMYFUNCTION("""COMPUTED_VALUE"""),-0.82)</f>
        <v>-0.82</v>
      </c>
      <c r="U180" s="1">
        <f ca="1">IFERROR(__xludf.DUMMYFUNCTION("""COMPUTED_VALUE"""),170)</f>
        <v>170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IFERROR(__xludf.DUMMYFUNCTION("""COMPUTED_VALUE"""),"George Washington")</f>
        <v>George Washington</v>
      </c>
      <c r="C181" s="1" t="str">
        <f ca="1">IFERROR(__xludf.DUMMYFUNCTION("""COMPUTED_VALUE"""),"A10")</f>
        <v>A10</v>
      </c>
      <c r="D181" s="2">
        <f ca="1">IFERROR(__xludf.DUMMYFUNCTION("""COMPUTED_VALUE"""),44821)</f>
        <v>44821</v>
      </c>
      <c r="E181" s="1">
        <f ca="1">IFERROR(__xludf.DUMMYFUNCTION("""COMPUTED_VALUE"""),-1.1)</f>
        <v>-1.1000000000000001</v>
      </c>
      <c r="F181" s="1">
        <f ca="1">IFERROR(__xludf.DUMMYFUNCTION("""COMPUTED_VALUE"""),100.9)</f>
        <v>100.9</v>
      </c>
      <c r="G181" s="1">
        <f ca="1">IFERROR(__xludf.DUMMYFUNCTION("""COMPUTED_VALUE"""),207)</f>
        <v>207</v>
      </c>
      <c r="H181" s="1">
        <f ca="1">IFERROR(__xludf.DUMMYFUNCTION("""COMPUTED_VALUE"""),102)</f>
        <v>102</v>
      </c>
      <c r="I181" s="1">
        <f ca="1">IFERROR(__xludf.DUMMYFUNCTION("""COMPUTED_VALUE"""),138)</f>
        <v>138</v>
      </c>
      <c r="J181" s="1">
        <f ca="1">IFERROR(__xludf.DUMMYFUNCTION("""COMPUTED_VALUE"""),63.4)</f>
        <v>63.4</v>
      </c>
      <c r="K181" s="1">
        <f ca="1">IFERROR(__xludf.DUMMYFUNCTION("""COMPUTED_VALUE"""),246)</f>
        <v>246</v>
      </c>
      <c r="L181" s="1">
        <f ca="1">IFERROR(__xludf.DUMMYFUNCTION("""COMPUTED_VALUE"""),-0.057)</f>
        <v>-5.7000000000000002E-2</v>
      </c>
      <c r="M181" s="1">
        <f ca="1">IFERROR(__xludf.DUMMYFUNCTION("""COMPUTED_VALUE"""),299)</f>
        <v>299</v>
      </c>
      <c r="N181" s="1" t="str">
        <f ca="1">IFERROR(__xludf.DUMMYFUNCTION("""COMPUTED_VALUE"""),"+5.51")</f>
        <v>+5.51</v>
      </c>
      <c r="O181" s="1">
        <f ca="1">IFERROR(__xludf.DUMMYFUNCTION("""COMPUTED_VALUE"""),79)</f>
        <v>79</v>
      </c>
      <c r="P181" s="1">
        <f ca="1">IFERROR(__xludf.DUMMYFUNCTION("""COMPUTED_VALUE"""),107.4)</f>
        <v>107.4</v>
      </c>
      <c r="Q181" s="1">
        <f ca="1">IFERROR(__xludf.DUMMYFUNCTION("""COMPUTED_VALUE"""),55)</f>
        <v>55</v>
      </c>
      <c r="R181" s="1">
        <f ca="1">IFERROR(__xludf.DUMMYFUNCTION("""COMPUTED_VALUE"""),101.9)</f>
        <v>101.9</v>
      </c>
      <c r="S181" s="1">
        <f ca="1">IFERROR(__xludf.DUMMYFUNCTION("""COMPUTED_VALUE"""),100)</f>
        <v>100</v>
      </c>
      <c r="T181" s="1">
        <f ca="1">IFERROR(__xludf.DUMMYFUNCTION("""COMPUTED_VALUE"""),-0.23)</f>
        <v>-0.23</v>
      </c>
      <c r="U181" s="1">
        <f ca="1">IFERROR(__xludf.DUMMYFUNCTION("""COMPUTED_VALUE"""),155)</f>
        <v>155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IFERROR(__xludf.DUMMYFUNCTION("""COMPUTED_VALUE"""),"UNC Asheville8")</f>
        <v>UNC Asheville8</v>
      </c>
      <c r="C182" s="1" t="str">
        <f ca="1">IFERROR(__xludf.DUMMYFUNCTION("""COMPUTED_VALUE"""),"BSth")</f>
        <v>BSth</v>
      </c>
      <c r="D182" s="1" t="str">
        <f ca="1">IFERROR(__xludf.DUMMYFUNCTION("""COMPUTED_VALUE"""),"23-10")</f>
        <v>23-10</v>
      </c>
      <c r="E182" s="1">
        <f ca="1">IFERROR(__xludf.DUMMYFUNCTION("""COMPUTED_VALUE"""),-1.21)</f>
        <v>-1.21</v>
      </c>
      <c r="F182" s="1">
        <f ca="1">IFERROR(__xludf.DUMMYFUNCTION("""COMPUTED_VALUE"""),107.2)</f>
        <v>107.2</v>
      </c>
      <c r="G182" s="1">
        <f ca="1">IFERROR(__xludf.DUMMYFUNCTION("""COMPUTED_VALUE"""),115)</f>
        <v>115</v>
      </c>
      <c r="H182" s="1">
        <f ca="1">IFERROR(__xludf.DUMMYFUNCTION("""COMPUTED_VALUE"""),108.4)</f>
        <v>108.4</v>
      </c>
      <c r="I182" s="1">
        <f ca="1">IFERROR(__xludf.DUMMYFUNCTION("""COMPUTED_VALUE"""),259)</f>
        <v>259</v>
      </c>
      <c r="J182" s="1">
        <f ca="1">IFERROR(__xludf.DUMMYFUNCTION("""COMPUTED_VALUE"""),64.4)</f>
        <v>64.400000000000006</v>
      </c>
      <c r="K182" s="1">
        <f ca="1">IFERROR(__xludf.DUMMYFUNCTION("""COMPUTED_VALUE"""),198)</f>
        <v>198</v>
      </c>
      <c r="L182" s="1" t="str">
        <f ca="1">IFERROR(__xludf.DUMMYFUNCTION("""COMPUTED_VALUE"""),"+.100")</f>
        <v>+.100</v>
      </c>
      <c r="M182" s="1">
        <f ca="1">IFERROR(__xludf.DUMMYFUNCTION("""COMPUTED_VALUE"""),7)</f>
        <v>7</v>
      </c>
      <c r="N182" s="1">
        <f ca="1">IFERROR(__xludf.DUMMYFUNCTION("""COMPUTED_VALUE"""),-5.78)</f>
        <v>-5.78</v>
      </c>
      <c r="O182" s="1">
        <f ca="1">IFERROR(__xludf.DUMMYFUNCTION("""COMPUTED_VALUE"""),275)</f>
        <v>275</v>
      </c>
      <c r="P182" s="1">
        <f ca="1">IFERROR(__xludf.DUMMYFUNCTION("""COMPUTED_VALUE"""),101.1)</f>
        <v>101.1</v>
      </c>
      <c r="Q182" s="1">
        <f ca="1">IFERROR(__xludf.DUMMYFUNCTION("""COMPUTED_VALUE"""),262)</f>
        <v>262</v>
      </c>
      <c r="R182" s="1">
        <f ca="1">IFERROR(__xludf.DUMMYFUNCTION("""COMPUTED_VALUE"""),106.9)</f>
        <v>106.9</v>
      </c>
      <c r="S182" s="1">
        <f ca="1">IFERROR(__xludf.DUMMYFUNCTION("""COMPUTED_VALUE"""),294)</f>
        <v>294</v>
      </c>
      <c r="T182" s="1">
        <f ca="1">IFERROR(__xludf.DUMMYFUNCTION("""COMPUTED_VALUE"""),-1.34)</f>
        <v>-1.34</v>
      </c>
      <c r="U182" s="1">
        <f ca="1">IFERROR(__xludf.DUMMYFUNCTION("""COMPUTED_VALUE"""),182)</f>
        <v>182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IFERROR(__xludf.DUMMYFUNCTION("""COMPUTED_VALUE"""),"Mount St. Mary's16")</f>
        <v>Mount St. Mary's16</v>
      </c>
      <c r="C183" s="1" t="str">
        <f ca="1">IFERROR(__xludf.DUMMYFUNCTION("""COMPUTED_VALUE"""),"NEC")</f>
        <v>NEC</v>
      </c>
      <c r="D183" s="1" t="str">
        <f ca="1">IFERROR(__xludf.DUMMYFUNCTION("""COMPUTED_VALUE"""),"19-15")</f>
        <v>19-15</v>
      </c>
      <c r="E183" s="1">
        <f ca="1">IFERROR(__xludf.DUMMYFUNCTION("""COMPUTED_VALUE"""),-1.32)</f>
        <v>-1.32</v>
      </c>
      <c r="F183" s="1">
        <f ca="1">IFERROR(__xludf.DUMMYFUNCTION("""COMPUTED_VALUE"""),99.3)</f>
        <v>99.3</v>
      </c>
      <c r="G183" s="1">
        <f ca="1">IFERROR(__xludf.DUMMYFUNCTION("""COMPUTED_VALUE"""),233)</f>
        <v>233</v>
      </c>
      <c r="H183" s="1">
        <f ca="1">IFERROR(__xludf.DUMMYFUNCTION("""COMPUTED_VALUE"""),100.6)</f>
        <v>100.6</v>
      </c>
      <c r="I183" s="1">
        <f ca="1">IFERROR(__xludf.DUMMYFUNCTION("""COMPUTED_VALUE"""),106)</f>
        <v>106</v>
      </c>
      <c r="J183" s="1">
        <f ca="1">IFERROR(__xludf.DUMMYFUNCTION("""COMPUTED_VALUE"""),66.1)</f>
        <v>66.099999999999994</v>
      </c>
      <c r="K183" s="1">
        <f ca="1">IFERROR(__xludf.DUMMYFUNCTION("""COMPUTED_VALUE"""),138)</f>
        <v>138</v>
      </c>
      <c r="L183" s="1" t="str">
        <f ca="1">IFERROR(__xludf.DUMMYFUNCTION("""COMPUTED_VALUE"""),"+.014")</f>
        <v>+.014</v>
      </c>
      <c r="M183" s="1">
        <f ca="1">IFERROR(__xludf.DUMMYFUNCTION("""COMPUTED_VALUE"""),135)</f>
        <v>135</v>
      </c>
      <c r="N183" s="1">
        <f ca="1">IFERROR(__xludf.DUMMYFUNCTION("""COMPUTED_VALUE"""),-5.35)</f>
        <v>-5.35</v>
      </c>
      <c r="O183" s="1">
        <f ca="1">IFERROR(__xludf.DUMMYFUNCTION("""COMPUTED_VALUE"""),265)</f>
        <v>265</v>
      </c>
      <c r="P183" s="1">
        <f ca="1">IFERROR(__xludf.DUMMYFUNCTION("""COMPUTED_VALUE"""),101.6)</f>
        <v>101.6</v>
      </c>
      <c r="Q183" s="1">
        <f ca="1">IFERROR(__xludf.DUMMYFUNCTION("""COMPUTED_VALUE"""),241)</f>
        <v>241</v>
      </c>
      <c r="R183" s="1">
        <f ca="1">IFERROR(__xludf.DUMMYFUNCTION("""COMPUTED_VALUE"""),106.9)</f>
        <v>106.9</v>
      </c>
      <c r="S183" s="1">
        <f ca="1">IFERROR(__xludf.DUMMYFUNCTION("""COMPUTED_VALUE"""),295)</f>
        <v>295</v>
      </c>
      <c r="T183" s="1">
        <f ca="1">IFERROR(__xludf.DUMMYFUNCTION("""COMPUTED_VALUE"""),-0.05)</f>
        <v>-0.05</v>
      </c>
      <c r="U183" s="1">
        <f ca="1">IFERROR(__xludf.DUMMYFUNCTION("""COMPUTED_VALUE"""),148)</f>
        <v>148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IFERROR(__xludf.DUMMYFUNCTION("""COMPUTED_VALUE"""),"East Tennessee St.")</f>
        <v>East Tennessee St.</v>
      </c>
      <c r="C184" s="1" t="str">
        <f ca="1">IFERROR(__xludf.DUMMYFUNCTION("""COMPUTED_VALUE"""),"ASun")</f>
        <v>ASun</v>
      </c>
      <c r="D184" s="1" t="str">
        <f ca="1">IFERROR(__xludf.DUMMYFUNCTION("""COMPUTED_VALUE"""),"19-13")</f>
        <v>19-13</v>
      </c>
      <c r="E184" s="1">
        <f ca="1">IFERROR(__xludf.DUMMYFUNCTION("""COMPUTED_VALUE"""),-1.38)</f>
        <v>-1.38</v>
      </c>
      <c r="F184" s="1">
        <f ca="1">IFERROR(__xludf.DUMMYFUNCTION("""COMPUTED_VALUE"""),103.9)</f>
        <v>103.9</v>
      </c>
      <c r="G184" s="1">
        <f ca="1">IFERROR(__xludf.DUMMYFUNCTION("""COMPUTED_VALUE"""),170)</f>
        <v>170</v>
      </c>
      <c r="H184" s="1">
        <f ca="1">IFERROR(__xludf.DUMMYFUNCTION("""COMPUTED_VALUE"""),105.3)</f>
        <v>105.3</v>
      </c>
      <c r="I184" s="1">
        <f ca="1">IFERROR(__xludf.DUMMYFUNCTION("""COMPUTED_VALUE"""),202)</f>
        <v>202</v>
      </c>
      <c r="J184" s="1">
        <f ca="1">IFERROR(__xludf.DUMMYFUNCTION("""COMPUTED_VALUE"""),71.3)</f>
        <v>71.3</v>
      </c>
      <c r="K184" s="1">
        <f ca="1">IFERROR(__xludf.DUMMYFUNCTION("""COMPUTED_VALUE"""),14)</f>
        <v>14</v>
      </c>
      <c r="L184" s="1" t="str">
        <f ca="1">IFERROR(__xludf.DUMMYFUNCTION("""COMPUTED_VALUE"""),"+.066")</f>
        <v>+.066</v>
      </c>
      <c r="M184" s="1">
        <f ca="1">IFERROR(__xludf.DUMMYFUNCTION("""COMPUTED_VALUE"""),34)</f>
        <v>34</v>
      </c>
      <c r="N184" s="1">
        <f ca="1">IFERROR(__xludf.DUMMYFUNCTION("""COMPUTED_VALUE"""),-3.07)</f>
        <v>-3.07</v>
      </c>
      <c r="O184" s="1">
        <f ca="1">IFERROR(__xludf.DUMMYFUNCTION("""COMPUTED_VALUE"""),223)</f>
        <v>223</v>
      </c>
      <c r="P184" s="1">
        <f ca="1">IFERROR(__xludf.DUMMYFUNCTION("""COMPUTED_VALUE"""),102)</f>
        <v>102</v>
      </c>
      <c r="Q184" s="1">
        <f ca="1">IFERROR(__xludf.DUMMYFUNCTION("""COMPUTED_VALUE"""),220)</f>
        <v>220</v>
      </c>
      <c r="R184" s="1">
        <f ca="1">IFERROR(__xludf.DUMMYFUNCTION("""COMPUTED_VALUE"""),105.1)</f>
        <v>105.1</v>
      </c>
      <c r="S184" s="1">
        <f ca="1">IFERROR(__xludf.DUMMYFUNCTION("""COMPUTED_VALUE"""),212)</f>
        <v>212</v>
      </c>
      <c r="T184" s="1" t="str">
        <f ca="1">IFERROR(__xludf.DUMMYFUNCTION("""COMPUTED_VALUE"""),"+3.82")</f>
        <v>+3.82</v>
      </c>
      <c r="U184" s="1">
        <f ca="1">IFERROR(__xludf.DUMMYFUNCTION("""COMPUTED_VALUE"""),62)</f>
        <v>62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IFERROR(__xludf.DUMMYFUNCTION("""COMPUTED_VALUE"""),"Vermont")</f>
        <v>Vermont</v>
      </c>
      <c r="C185" s="1" t="str">
        <f ca="1">IFERROR(__xludf.DUMMYFUNCTION("""COMPUTED_VALUE"""),"AE")</f>
        <v>AE</v>
      </c>
      <c r="D185" s="1" t="str">
        <f ca="1">IFERROR(__xludf.DUMMYFUNCTION("""COMPUTED_VALUE"""),"16-15")</f>
        <v>16-15</v>
      </c>
      <c r="E185" s="1">
        <f ca="1">IFERROR(__xludf.DUMMYFUNCTION("""COMPUTED_VALUE"""),-1.73)</f>
        <v>-1.73</v>
      </c>
      <c r="F185" s="1">
        <f ca="1">IFERROR(__xludf.DUMMYFUNCTION("""COMPUTED_VALUE"""),101)</f>
        <v>101</v>
      </c>
      <c r="G185" s="1">
        <f ca="1">IFERROR(__xludf.DUMMYFUNCTION("""COMPUTED_VALUE"""),205)</f>
        <v>205</v>
      </c>
      <c r="H185" s="1">
        <f ca="1">IFERROR(__xludf.DUMMYFUNCTION("""COMPUTED_VALUE"""),102.7)</f>
        <v>102.7</v>
      </c>
      <c r="I185" s="1">
        <f ca="1">IFERROR(__xludf.DUMMYFUNCTION("""COMPUTED_VALUE"""),151)</f>
        <v>151</v>
      </c>
      <c r="J185" s="1">
        <f ca="1">IFERROR(__xludf.DUMMYFUNCTION("""COMPUTED_VALUE"""),68.8)</f>
        <v>68.8</v>
      </c>
      <c r="K185" s="1">
        <f ca="1">IFERROR(__xludf.DUMMYFUNCTION("""COMPUTED_VALUE"""),47)</f>
        <v>47</v>
      </c>
      <c r="L185" s="1">
        <f ca="1">IFERROR(__xludf.DUMMYFUNCTION("""COMPUTED_VALUE"""),-0.055)</f>
        <v>-5.5E-2</v>
      </c>
      <c r="M185" s="1">
        <f ca="1">IFERROR(__xludf.DUMMYFUNCTION("""COMPUTED_VALUE"""),297)</f>
        <v>297</v>
      </c>
      <c r="N185" s="1">
        <f ca="1">IFERROR(__xludf.DUMMYFUNCTION("""COMPUTED_VALUE"""),-5.82)</f>
        <v>-5.82</v>
      </c>
      <c r="O185" s="1">
        <f ca="1">IFERROR(__xludf.DUMMYFUNCTION("""COMPUTED_VALUE"""),276)</f>
        <v>276</v>
      </c>
      <c r="P185" s="1">
        <f ca="1">IFERROR(__xludf.DUMMYFUNCTION("""COMPUTED_VALUE"""),101.4)</f>
        <v>101.4</v>
      </c>
      <c r="Q185" s="1">
        <f ca="1">IFERROR(__xludf.DUMMYFUNCTION("""COMPUTED_VALUE"""),249)</f>
        <v>249</v>
      </c>
      <c r="R185" s="1">
        <f ca="1">IFERROR(__xludf.DUMMYFUNCTION("""COMPUTED_VALUE"""),107.2)</f>
        <v>107.2</v>
      </c>
      <c r="S185" s="1">
        <f ca="1">IFERROR(__xludf.DUMMYFUNCTION("""COMPUTED_VALUE"""),307)</f>
        <v>307</v>
      </c>
      <c r="T185" s="1">
        <f ca="1">IFERROR(__xludf.DUMMYFUNCTION("""COMPUTED_VALUE"""),-3.43)</f>
        <v>-3.43</v>
      </c>
      <c r="U185" s="1">
        <f ca="1">IFERROR(__xludf.DUMMYFUNCTION("""COMPUTED_VALUE"""),258)</f>
        <v>258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IFERROR(__xludf.DUMMYFUNCTION("""COMPUTED_VALUE"""),"Albany")</f>
        <v>Albany</v>
      </c>
      <c r="C186" s="1" t="str">
        <f ca="1">IFERROR(__xludf.DUMMYFUNCTION("""COMPUTED_VALUE"""),"AE")</f>
        <v>AE</v>
      </c>
      <c r="D186" s="1" t="str">
        <f ca="1">IFERROR(__xludf.DUMMYFUNCTION("""COMPUTED_VALUE"""),"15-15")</f>
        <v>15-15</v>
      </c>
      <c r="E186" s="1">
        <f ca="1">IFERROR(__xludf.DUMMYFUNCTION("""COMPUTED_VALUE"""),-1.82)</f>
        <v>-1.82</v>
      </c>
      <c r="F186" s="1">
        <f ca="1">IFERROR(__xludf.DUMMYFUNCTION("""COMPUTED_VALUE"""),103.1)</f>
        <v>103.1</v>
      </c>
      <c r="G186" s="1">
        <f ca="1">IFERROR(__xludf.DUMMYFUNCTION("""COMPUTED_VALUE"""),181)</f>
        <v>181</v>
      </c>
      <c r="H186" s="1">
        <f ca="1">IFERROR(__xludf.DUMMYFUNCTION("""COMPUTED_VALUE"""),104.9)</f>
        <v>104.9</v>
      </c>
      <c r="I186" s="1">
        <f ca="1">IFERROR(__xludf.DUMMYFUNCTION("""COMPUTED_VALUE"""),196)</f>
        <v>196</v>
      </c>
      <c r="J186" s="1">
        <f ca="1">IFERROR(__xludf.DUMMYFUNCTION("""COMPUTED_VALUE"""),63.4)</f>
        <v>63.4</v>
      </c>
      <c r="K186" s="1">
        <f ca="1">IFERROR(__xludf.DUMMYFUNCTION("""COMPUTED_VALUE"""),245)</f>
        <v>245</v>
      </c>
      <c r="L186" s="1">
        <f ca="1">IFERROR(__xludf.DUMMYFUNCTION("""COMPUTED_VALUE"""),-0.063)</f>
        <v>-6.3E-2</v>
      </c>
      <c r="M186" s="1">
        <f ca="1">IFERROR(__xludf.DUMMYFUNCTION("""COMPUTED_VALUE"""),310)</f>
        <v>310</v>
      </c>
      <c r="N186" s="1">
        <f ca="1">IFERROR(__xludf.DUMMYFUNCTION("""COMPUTED_VALUE"""),-5.85)</f>
        <v>-5.85</v>
      </c>
      <c r="O186" s="1">
        <f ca="1">IFERROR(__xludf.DUMMYFUNCTION("""COMPUTED_VALUE"""),279)</f>
        <v>279</v>
      </c>
      <c r="P186" s="1">
        <f ca="1">IFERROR(__xludf.DUMMYFUNCTION("""COMPUTED_VALUE"""),100.2)</f>
        <v>100.2</v>
      </c>
      <c r="Q186" s="1">
        <f ca="1">IFERROR(__xludf.DUMMYFUNCTION("""COMPUTED_VALUE"""),287)</f>
        <v>287</v>
      </c>
      <c r="R186" s="1">
        <f ca="1">IFERROR(__xludf.DUMMYFUNCTION("""COMPUTED_VALUE"""),106.1)</f>
        <v>106.1</v>
      </c>
      <c r="S186" s="1">
        <f ca="1">IFERROR(__xludf.DUMMYFUNCTION("""COMPUTED_VALUE"""),261)</f>
        <v>261</v>
      </c>
      <c r="T186" s="1">
        <f ca="1">IFERROR(__xludf.DUMMYFUNCTION("""COMPUTED_VALUE"""),-2.33)</f>
        <v>-2.33</v>
      </c>
      <c r="U186" s="1">
        <f ca="1">IFERROR(__xludf.DUMMYFUNCTION("""COMPUTED_VALUE"""),221)</f>
        <v>221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IFERROR(__xludf.DUMMYFUNCTION("""COMPUTED_VALUE"""),"TCU")</f>
        <v>TCU</v>
      </c>
      <c r="C187" s="1" t="str">
        <f ca="1">IFERROR(__xludf.DUMMYFUNCTION("""COMPUTED_VALUE"""),"MWC")</f>
        <v>MWC</v>
      </c>
      <c r="D187" s="1" t="str">
        <f ca="1">IFERROR(__xludf.DUMMYFUNCTION("""COMPUTED_VALUE"""),"14-16")</f>
        <v>14-16</v>
      </c>
      <c r="E187" s="1">
        <f ca="1">IFERROR(__xludf.DUMMYFUNCTION("""COMPUTED_VALUE"""),-1.87)</f>
        <v>-1.87</v>
      </c>
      <c r="F187" s="1">
        <f ca="1">IFERROR(__xludf.DUMMYFUNCTION("""COMPUTED_VALUE"""),100.7)</f>
        <v>100.7</v>
      </c>
      <c r="G187" s="1">
        <f ca="1">IFERROR(__xludf.DUMMYFUNCTION("""COMPUTED_VALUE"""),213)</f>
        <v>213</v>
      </c>
      <c r="H187" s="1">
        <f ca="1">IFERROR(__xludf.DUMMYFUNCTION("""COMPUTED_VALUE"""),102.5)</f>
        <v>102.5</v>
      </c>
      <c r="I187" s="1">
        <f ca="1">IFERROR(__xludf.DUMMYFUNCTION("""COMPUTED_VALUE"""),148)</f>
        <v>148</v>
      </c>
      <c r="J187" s="1">
        <f ca="1">IFERROR(__xludf.DUMMYFUNCTION("""COMPUTED_VALUE"""),66.7)</f>
        <v>66.7</v>
      </c>
      <c r="K187" s="1">
        <f ca="1">IFERROR(__xludf.DUMMYFUNCTION("""COMPUTED_VALUE"""),113)</f>
        <v>113</v>
      </c>
      <c r="L187" s="1">
        <f ca="1">IFERROR(__xludf.DUMMYFUNCTION("""COMPUTED_VALUE"""),-0.018)</f>
        <v>-1.7999999999999999E-2</v>
      </c>
      <c r="M187" s="1">
        <f ca="1">IFERROR(__xludf.DUMMYFUNCTION("""COMPUTED_VALUE"""),214)</f>
        <v>214</v>
      </c>
      <c r="N187" s="1" t="str">
        <f ca="1">IFERROR(__xludf.DUMMYFUNCTION("""COMPUTED_VALUE"""),"+0.09")</f>
        <v>+0.09</v>
      </c>
      <c r="O187" s="1">
        <f ca="1">IFERROR(__xludf.DUMMYFUNCTION("""COMPUTED_VALUE"""),152)</f>
        <v>152</v>
      </c>
      <c r="P187" s="1">
        <f ca="1">IFERROR(__xludf.DUMMYFUNCTION("""COMPUTED_VALUE"""),101.9)</f>
        <v>101.9</v>
      </c>
      <c r="Q187" s="1">
        <f ca="1">IFERROR(__xludf.DUMMYFUNCTION("""COMPUTED_VALUE"""),223)</f>
        <v>223</v>
      </c>
      <c r="R187" s="1">
        <f ca="1">IFERROR(__xludf.DUMMYFUNCTION("""COMPUTED_VALUE"""),101.8)</f>
        <v>101.8</v>
      </c>
      <c r="S187" s="1">
        <f ca="1">IFERROR(__xludf.DUMMYFUNCTION("""COMPUTED_VALUE"""),99)</f>
        <v>99</v>
      </c>
      <c r="T187" s="1">
        <f ca="1">IFERROR(__xludf.DUMMYFUNCTION("""COMPUTED_VALUE"""),-13.31)</f>
        <v>-13.31</v>
      </c>
      <c r="U187" s="1">
        <f ca="1">IFERROR(__xludf.DUMMYFUNCTION("""COMPUTED_VALUE"""),341)</f>
        <v>341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IFERROR(__xludf.DUMMYFUNCTION("""COMPUTED_VALUE"""),"Central Michigan")</f>
        <v>Central Michigan</v>
      </c>
      <c r="C188" s="1" t="str">
        <f ca="1">IFERROR(__xludf.DUMMYFUNCTION("""COMPUTED_VALUE"""),"MAC")</f>
        <v>MAC</v>
      </c>
      <c r="D188" s="1" t="str">
        <f ca="1">IFERROR(__xludf.DUMMYFUNCTION("""COMPUTED_VALUE"""),"14-17")</f>
        <v>14-17</v>
      </c>
      <c r="E188" s="1">
        <f ca="1">IFERROR(__xludf.DUMMYFUNCTION("""COMPUTED_VALUE"""),-2.06)</f>
        <v>-2.06</v>
      </c>
      <c r="F188" s="1">
        <f ca="1">IFERROR(__xludf.DUMMYFUNCTION("""COMPUTED_VALUE"""),103.1)</f>
        <v>103.1</v>
      </c>
      <c r="G188" s="1">
        <f ca="1">IFERROR(__xludf.DUMMYFUNCTION("""COMPUTED_VALUE"""),180)</f>
        <v>180</v>
      </c>
      <c r="H188" s="1">
        <f ca="1">IFERROR(__xludf.DUMMYFUNCTION("""COMPUTED_VALUE"""),105.2)</f>
        <v>105.2</v>
      </c>
      <c r="I188" s="1">
        <f ca="1">IFERROR(__xludf.DUMMYFUNCTION("""COMPUTED_VALUE"""),201)</f>
        <v>201</v>
      </c>
      <c r="J188" s="1">
        <f ca="1">IFERROR(__xludf.DUMMYFUNCTION("""COMPUTED_VALUE"""),67.9)</f>
        <v>67.900000000000006</v>
      </c>
      <c r="K188" s="1">
        <f ca="1">IFERROR(__xludf.DUMMYFUNCTION("""COMPUTED_VALUE"""),79)</f>
        <v>79</v>
      </c>
      <c r="L188" s="1" t="str">
        <f ca="1">IFERROR(__xludf.DUMMYFUNCTION("""COMPUTED_VALUE"""),"+.082")</f>
        <v>+.082</v>
      </c>
      <c r="M188" s="1">
        <f ca="1">IFERROR(__xludf.DUMMYFUNCTION("""COMPUTED_VALUE"""),20)</f>
        <v>20</v>
      </c>
      <c r="N188" s="1" t="str">
        <f ca="1">IFERROR(__xludf.DUMMYFUNCTION("""COMPUTED_VALUE"""),"+2.54")</f>
        <v>+2.54</v>
      </c>
      <c r="O188" s="1">
        <f ca="1">IFERROR(__xludf.DUMMYFUNCTION("""COMPUTED_VALUE"""),113)</f>
        <v>113</v>
      </c>
      <c r="P188" s="1">
        <f ca="1">IFERROR(__xludf.DUMMYFUNCTION("""COMPUTED_VALUE"""),104.3)</f>
        <v>104.3</v>
      </c>
      <c r="Q188" s="1">
        <f ca="1">IFERROR(__xludf.DUMMYFUNCTION("""COMPUTED_VALUE"""),128)</f>
        <v>128</v>
      </c>
      <c r="R188" s="1">
        <f ca="1">IFERROR(__xludf.DUMMYFUNCTION("""COMPUTED_VALUE"""),101.8)</f>
        <v>101.8</v>
      </c>
      <c r="S188" s="1">
        <f ca="1">IFERROR(__xludf.DUMMYFUNCTION("""COMPUTED_VALUE"""),95)</f>
        <v>95</v>
      </c>
      <c r="T188" s="1" t="str">
        <f ca="1">IFERROR(__xludf.DUMMYFUNCTION("""COMPUTED_VALUE"""),"+7.64")</f>
        <v>+7.64</v>
      </c>
      <c r="U188" s="1">
        <f ca="1">IFERROR(__xludf.DUMMYFUNCTION("""COMPUTED_VALUE"""),25)</f>
        <v>25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IFERROR(__xludf.DUMMYFUNCTION("""COMPUTED_VALUE"""),"New Orleans")</f>
        <v>New Orleans</v>
      </c>
      <c r="C189" s="1" t="str">
        <f ca="1">IFERROR(__xludf.DUMMYFUNCTION("""COMPUTED_VALUE"""),"SB")</f>
        <v>SB</v>
      </c>
      <c r="D189" s="1" t="str">
        <f ca="1">IFERROR(__xludf.DUMMYFUNCTION("""COMPUTED_VALUE"""),"19-13")</f>
        <v>19-13</v>
      </c>
      <c r="E189" s="1">
        <f ca="1">IFERROR(__xludf.DUMMYFUNCTION("""COMPUTED_VALUE"""),-2.07)</f>
        <v>-2.0699999999999998</v>
      </c>
      <c r="F189" s="1">
        <f ca="1">IFERROR(__xludf.DUMMYFUNCTION("""COMPUTED_VALUE"""),104.7)</f>
        <v>104.7</v>
      </c>
      <c r="G189" s="1">
        <f ca="1">IFERROR(__xludf.DUMMYFUNCTION("""COMPUTED_VALUE"""),158)</f>
        <v>158</v>
      </c>
      <c r="H189" s="1">
        <f ca="1">IFERROR(__xludf.DUMMYFUNCTION("""COMPUTED_VALUE"""),106.7)</f>
        <v>106.7</v>
      </c>
      <c r="I189" s="1">
        <f ca="1">IFERROR(__xludf.DUMMYFUNCTION("""COMPUTED_VALUE"""),228)</f>
        <v>228</v>
      </c>
      <c r="J189" s="1">
        <f ca="1">IFERROR(__xludf.DUMMYFUNCTION("""COMPUTED_VALUE"""),68.2)</f>
        <v>68.2</v>
      </c>
      <c r="K189" s="1">
        <f ca="1">IFERROR(__xludf.DUMMYFUNCTION("""COMPUTED_VALUE"""),73)</f>
        <v>73</v>
      </c>
      <c r="L189" s="1" t="str">
        <f ca="1">IFERROR(__xludf.DUMMYFUNCTION("""COMPUTED_VALUE"""),"+.048")</f>
        <v>+.048</v>
      </c>
      <c r="M189" s="1">
        <f ca="1">IFERROR(__xludf.DUMMYFUNCTION("""COMPUTED_VALUE"""),61)</f>
        <v>61</v>
      </c>
      <c r="N189" s="1">
        <f ca="1">IFERROR(__xludf.DUMMYFUNCTION("""COMPUTED_VALUE"""),-3.36)</f>
        <v>-3.36</v>
      </c>
      <c r="O189" s="1">
        <f ca="1">IFERROR(__xludf.DUMMYFUNCTION("""COMPUTED_VALUE"""),227)</f>
        <v>227</v>
      </c>
      <c r="P189" s="1">
        <f ca="1">IFERROR(__xludf.DUMMYFUNCTION("""COMPUTED_VALUE"""),101.8)</f>
        <v>101.8</v>
      </c>
      <c r="Q189" s="1">
        <f ca="1">IFERROR(__xludf.DUMMYFUNCTION("""COMPUTED_VALUE"""),229)</f>
        <v>229</v>
      </c>
      <c r="R189" s="1">
        <f ca="1">IFERROR(__xludf.DUMMYFUNCTION("""COMPUTED_VALUE"""),105.2)</f>
        <v>105.2</v>
      </c>
      <c r="S189" s="1">
        <f ca="1">IFERROR(__xludf.DUMMYFUNCTION("""COMPUTED_VALUE"""),220)</f>
        <v>220</v>
      </c>
      <c r="T189" s="1">
        <f ca="1">IFERROR(__xludf.DUMMYFUNCTION("""COMPUTED_VALUE"""),-5.63)</f>
        <v>-5.63</v>
      </c>
      <c r="U189" s="1">
        <f ca="1">IFERROR(__xludf.DUMMYFUNCTION("""COMPUTED_VALUE"""),299)</f>
        <v>299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IFERROR(__xludf.DUMMYFUNCTION("""COMPUTED_VALUE"""),"UT Arlington16")</f>
        <v>UT Arlington16</v>
      </c>
      <c r="C190" s="1" t="str">
        <f ca="1">IFERROR(__xludf.DUMMYFUNCTION("""COMPUTED_VALUE"""),"Slnd")</f>
        <v>Slnd</v>
      </c>
      <c r="D190" s="1" t="str">
        <f ca="1">IFERROR(__xludf.DUMMYFUNCTION("""COMPUTED_VALUE"""),"21-12")</f>
        <v>21-12</v>
      </c>
      <c r="E190" s="1">
        <f ca="1">IFERROR(__xludf.DUMMYFUNCTION("""COMPUTED_VALUE"""),-2.31)</f>
        <v>-2.31</v>
      </c>
      <c r="F190" s="1">
        <f ca="1">IFERROR(__xludf.DUMMYFUNCTION("""COMPUTED_VALUE"""),101.3)</f>
        <v>101.3</v>
      </c>
      <c r="G190" s="1">
        <f ca="1">IFERROR(__xludf.DUMMYFUNCTION("""COMPUTED_VALUE"""),202)</f>
        <v>202</v>
      </c>
      <c r="H190" s="1">
        <f ca="1">IFERROR(__xludf.DUMMYFUNCTION("""COMPUTED_VALUE"""),103.6)</f>
        <v>103.6</v>
      </c>
      <c r="I190" s="1">
        <f ca="1">IFERROR(__xludf.DUMMYFUNCTION("""COMPUTED_VALUE"""),170)</f>
        <v>170</v>
      </c>
      <c r="J190" s="1">
        <f ca="1">IFERROR(__xludf.DUMMYFUNCTION("""COMPUTED_VALUE"""),68.6)</f>
        <v>68.599999999999994</v>
      </c>
      <c r="K190" s="1">
        <f ca="1">IFERROR(__xludf.DUMMYFUNCTION("""COMPUTED_VALUE"""),57)</f>
        <v>57</v>
      </c>
      <c r="L190" s="1" t="str">
        <f ca="1">IFERROR(__xludf.DUMMYFUNCTION("""COMPUTED_VALUE"""),"+.045")</f>
        <v>+.045</v>
      </c>
      <c r="M190" s="1">
        <f ca="1">IFERROR(__xludf.DUMMYFUNCTION("""COMPUTED_VALUE"""),64)</f>
        <v>64</v>
      </c>
      <c r="N190" s="1">
        <f ca="1">IFERROR(__xludf.DUMMYFUNCTION("""COMPUTED_VALUE"""),-4.81)</f>
        <v>-4.8099999999999996</v>
      </c>
      <c r="O190" s="1">
        <f ca="1">IFERROR(__xludf.DUMMYFUNCTION("""COMPUTED_VALUE"""),253)</f>
        <v>253</v>
      </c>
      <c r="P190" s="1">
        <f ca="1">IFERROR(__xludf.DUMMYFUNCTION("""COMPUTED_VALUE"""),99.5)</f>
        <v>99.5</v>
      </c>
      <c r="Q190" s="1">
        <f ca="1">IFERROR(__xludf.DUMMYFUNCTION("""COMPUTED_VALUE"""),304)</f>
        <v>304</v>
      </c>
      <c r="R190" s="1">
        <f ca="1">IFERROR(__xludf.DUMMYFUNCTION("""COMPUTED_VALUE"""),104.3)</f>
        <v>104.3</v>
      </c>
      <c r="S190" s="1">
        <f ca="1">IFERROR(__xludf.DUMMYFUNCTION("""COMPUTED_VALUE"""),182)</f>
        <v>182</v>
      </c>
      <c r="T190" s="1">
        <f ca="1">IFERROR(__xludf.DUMMYFUNCTION("""COMPUTED_VALUE"""),-5.9)</f>
        <v>-5.9</v>
      </c>
      <c r="U190" s="1">
        <f ca="1">IFERROR(__xludf.DUMMYFUNCTION("""COMPUTED_VALUE"""),301)</f>
        <v>301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IFERROR(__xludf.DUMMYFUNCTION("""COMPUTED_VALUE"""),"Buffalo")</f>
        <v>Buffalo</v>
      </c>
      <c r="C191" s="1" t="str">
        <f ca="1">IFERROR(__xludf.DUMMYFUNCTION("""COMPUTED_VALUE"""),"MAC")</f>
        <v>MAC</v>
      </c>
      <c r="D191" s="2">
        <f ca="1">IFERROR(__xludf.DUMMYFUNCTION("""COMPUTED_VALUE"""),44854)</f>
        <v>44854</v>
      </c>
      <c r="E191" s="1">
        <f ca="1">IFERROR(__xludf.DUMMYFUNCTION("""COMPUTED_VALUE"""),-2.46)</f>
        <v>-2.46</v>
      </c>
      <c r="F191" s="1">
        <f ca="1">IFERROR(__xludf.DUMMYFUNCTION("""COMPUTED_VALUE"""),100.6)</f>
        <v>100.6</v>
      </c>
      <c r="G191" s="1">
        <f ca="1">IFERROR(__xludf.DUMMYFUNCTION("""COMPUTED_VALUE"""),216)</f>
        <v>216</v>
      </c>
      <c r="H191" s="1">
        <f ca="1">IFERROR(__xludf.DUMMYFUNCTION("""COMPUTED_VALUE"""),103.1)</f>
        <v>103.1</v>
      </c>
      <c r="I191" s="1">
        <f ca="1">IFERROR(__xludf.DUMMYFUNCTION("""COMPUTED_VALUE"""),159)</f>
        <v>159</v>
      </c>
      <c r="J191" s="1">
        <f ca="1">IFERROR(__xludf.DUMMYFUNCTION("""COMPUTED_VALUE"""),71.2)</f>
        <v>71.2</v>
      </c>
      <c r="K191" s="1">
        <f ca="1">IFERROR(__xludf.DUMMYFUNCTION("""COMPUTED_VALUE"""),15)</f>
        <v>15</v>
      </c>
      <c r="L191" s="1">
        <f ca="1">IFERROR(__xludf.DUMMYFUNCTION("""COMPUTED_VALUE"""),-0.104)</f>
        <v>-0.104</v>
      </c>
      <c r="M191" s="1">
        <f ca="1">IFERROR(__xludf.DUMMYFUNCTION("""COMPUTED_VALUE"""),337)</f>
        <v>337</v>
      </c>
      <c r="N191" s="1" t="str">
        <f ca="1">IFERROR(__xludf.DUMMYFUNCTION("""COMPUTED_VALUE"""),"+0.96")</f>
        <v>+0.96</v>
      </c>
      <c r="O191" s="1">
        <f ca="1">IFERROR(__xludf.DUMMYFUNCTION("""COMPUTED_VALUE"""),141)</f>
        <v>141</v>
      </c>
      <c r="P191" s="1">
        <f ca="1">IFERROR(__xludf.DUMMYFUNCTION("""COMPUTED_VALUE"""),103.7)</f>
        <v>103.7</v>
      </c>
      <c r="Q191" s="1">
        <f ca="1">IFERROR(__xludf.DUMMYFUNCTION("""COMPUTED_VALUE"""),157)</f>
        <v>157</v>
      </c>
      <c r="R191" s="1">
        <f ca="1">IFERROR(__xludf.DUMMYFUNCTION("""COMPUTED_VALUE"""),102.8)</f>
        <v>102.8</v>
      </c>
      <c r="S191" s="1">
        <f ca="1">IFERROR(__xludf.DUMMYFUNCTION("""COMPUTED_VALUE"""),141)</f>
        <v>141</v>
      </c>
      <c r="T191" s="1">
        <f ca="1">IFERROR(__xludf.DUMMYFUNCTION("""COMPUTED_VALUE"""),-2.09)</f>
        <v>-2.09</v>
      </c>
      <c r="U191" s="1">
        <f ca="1">IFERROR(__xludf.DUMMYFUNCTION("""COMPUTED_VALUE"""),212)</f>
        <v>212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IFERROR(__xludf.DUMMYFUNCTION("""COMPUTED_VALUE"""),"Eastern Michigan")</f>
        <v>Eastern Michigan</v>
      </c>
      <c r="C192" s="1" t="str">
        <f ca="1">IFERROR(__xludf.DUMMYFUNCTION("""COMPUTED_VALUE"""),"MAC")</f>
        <v>MAC</v>
      </c>
      <c r="D192" s="1" t="str">
        <f ca="1">IFERROR(__xludf.DUMMYFUNCTION("""COMPUTED_VALUE"""),"14-17")</f>
        <v>14-17</v>
      </c>
      <c r="E192" s="1">
        <f ca="1">IFERROR(__xludf.DUMMYFUNCTION("""COMPUTED_VALUE"""),-2.48)</f>
        <v>-2.48</v>
      </c>
      <c r="F192" s="1">
        <f ca="1">IFERROR(__xludf.DUMMYFUNCTION("""COMPUTED_VALUE"""),104.7)</f>
        <v>104.7</v>
      </c>
      <c r="G192" s="1">
        <f ca="1">IFERROR(__xludf.DUMMYFUNCTION("""COMPUTED_VALUE"""),154)</f>
        <v>154</v>
      </c>
      <c r="H192" s="1">
        <f ca="1">IFERROR(__xludf.DUMMYFUNCTION("""COMPUTED_VALUE"""),107.2)</f>
        <v>107.2</v>
      </c>
      <c r="I192" s="1">
        <f ca="1">IFERROR(__xludf.DUMMYFUNCTION("""COMPUTED_VALUE"""),242)</f>
        <v>242</v>
      </c>
      <c r="J192" s="1">
        <f ca="1">IFERROR(__xludf.DUMMYFUNCTION("""COMPUTED_VALUE"""),62.4)</f>
        <v>62.4</v>
      </c>
      <c r="K192" s="1">
        <f ca="1">IFERROR(__xludf.DUMMYFUNCTION("""COMPUTED_VALUE"""),281)</f>
        <v>281</v>
      </c>
      <c r="L192" s="1">
        <f ca="1">IFERROR(__xludf.DUMMYFUNCTION("""COMPUTED_VALUE"""),0)</f>
        <v>0</v>
      </c>
      <c r="M192" s="1">
        <f ca="1">IFERROR(__xludf.DUMMYFUNCTION("""COMPUTED_VALUE"""),169)</f>
        <v>169</v>
      </c>
      <c r="N192" s="1">
        <f ca="1">IFERROR(__xludf.DUMMYFUNCTION("""COMPUTED_VALUE"""),-1.21)</f>
        <v>-1.21</v>
      </c>
      <c r="O192" s="1">
        <f ca="1">IFERROR(__xludf.DUMMYFUNCTION("""COMPUTED_VALUE"""),182)</f>
        <v>182</v>
      </c>
      <c r="P192" s="1">
        <f ca="1">IFERROR(__xludf.DUMMYFUNCTION("""COMPUTED_VALUE"""),103.1)</f>
        <v>103.1</v>
      </c>
      <c r="Q192" s="1">
        <f ca="1">IFERROR(__xludf.DUMMYFUNCTION("""COMPUTED_VALUE"""),183)</f>
        <v>183</v>
      </c>
      <c r="R192" s="1">
        <f ca="1">IFERROR(__xludf.DUMMYFUNCTION("""COMPUTED_VALUE"""),104.3)</f>
        <v>104.3</v>
      </c>
      <c r="S192" s="1">
        <f ca="1">IFERROR(__xludf.DUMMYFUNCTION("""COMPUTED_VALUE"""),181)</f>
        <v>181</v>
      </c>
      <c r="T192" s="1">
        <f ca="1">IFERROR(__xludf.DUMMYFUNCTION("""COMPUTED_VALUE"""),-1.79)</f>
        <v>-1.79</v>
      </c>
      <c r="U192" s="1">
        <f ca="1">IFERROR(__xludf.DUMMYFUNCTION("""COMPUTED_VALUE"""),199)</f>
        <v>199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IFERROR(__xludf.DUMMYFUNCTION("""COMPUTED_VALUE"""),"Rutgers")</f>
        <v>Rutgers</v>
      </c>
      <c r="C193" s="1" t="str">
        <f ca="1">IFERROR(__xludf.DUMMYFUNCTION("""COMPUTED_VALUE"""),"BE")</f>
        <v>BE</v>
      </c>
      <c r="D193" s="2">
        <f ca="1">IFERROR(__xludf.DUMMYFUNCTION("""COMPUTED_VALUE"""),44885)</f>
        <v>44885</v>
      </c>
      <c r="E193" s="1">
        <f ca="1">IFERROR(__xludf.DUMMYFUNCTION("""COMPUTED_VALUE"""),-2.52)</f>
        <v>-2.52</v>
      </c>
      <c r="F193" s="1">
        <f ca="1">IFERROR(__xludf.DUMMYFUNCTION("""COMPUTED_VALUE"""),96.2)</f>
        <v>96.2</v>
      </c>
      <c r="G193" s="1">
        <f ca="1">IFERROR(__xludf.DUMMYFUNCTION("""COMPUTED_VALUE"""),278)</f>
        <v>278</v>
      </c>
      <c r="H193" s="1">
        <f ca="1">IFERROR(__xludf.DUMMYFUNCTION("""COMPUTED_VALUE"""),98.8)</f>
        <v>98.8</v>
      </c>
      <c r="I193" s="1">
        <f ca="1">IFERROR(__xludf.DUMMYFUNCTION("""COMPUTED_VALUE"""),80)</f>
        <v>80</v>
      </c>
      <c r="J193" s="1">
        <f ca="1">IFERROR(__xludf.DUMMYFUNCTION("""COMPUTED_VALUE"""),64.6)</f>
        <v>64.599999999999994</v>
      </c>
      <c r="K193" s="1">
        <f ca="1">IFERROR(__xludf.DUMMYFUNCTION("""COMPUTED_VALUE"""),190)</f>
        <v>190</v>
      </c>
      <c r="L193" s="1" t="str">
        <f ca="1">IFERROR(__xludf.DUMMYFUNCTION("""COMPUTED_VALUE"""),"+.022")</f>
        <v>+.022</v>
      </c>
      <c r="M193" s="1">
        <f ca="1">IFERROR(__xludf.DUMMYFUNCTION("""COMPUTED_VALUE"""),117)</f>
        <v>117</v>
      </c>
      <c r="N193" s="1" t="str">
        <f ca="1">IFERROR(__xludf.DUMMYFUNCTION("""COMPUTED_VALUE"""),"+5.88")</f>
        <v>+5.88</v>
      </c>
      <c r="O193" s="1">
        <f ca="1">IFERROR(__xludf.DUMMYFUNCTION("""COMPUTED_VALUE"""),71)</f>
        <v>71</v>
      </c>
      <c r="P193" s="1">
        <f ca="1">IFERROR(__xludf.DUMMYFUNCTION("""COMPUTED_VALUE"""),106.7)</f>
        <v>106.7</v>
      </c>
      <c r="Q193" s="1">
        <f ca="1">IFERROR(__xludf.DUMMYFUNCTION("""COMPUTED_VALUE"""),71)</f>
        <v>71</v>
      </c>
      <c r="R193" s="1">
        <f ca="1">IFERROR(__xludf.DUMMYFUNCTION("""COMPUTED_VALUE"""),100.8)</f>
        <v>100.8</v>
      </c>
      <c r="S193" s="1">
        <f ca="1">IFERROR(__xludf.DUMMYFUNCTION("""COMPUTED_VALUE"""),70)</f>
        <v>70</v>
      </c>
      <c r="T193" s="1">
        <f ca="1">IFERROR(__xludf.DUMMYFUNCTION("""COMPUTED_VALUE"""),-8.11)</f>
        <v>-8.11</v>
      </c>
      <c r="U193" s="1">
        <f ca="1">IFERROR(__xludf.DUMMYFUNCTION("""COMPUTED_VALUE"""),320)</f>
        <v>320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IFERROR(__xludf.DUMMYFUNCTION("""COMPUTED_VALUE"""),"Elon")</f>
        <v>Elon</v>
      </c>
      <c r="C194" s="1" t="str">
        <f ca="1">IFERROR(__xludf.DUMMYFUNCTION("""COMPUTED_VALUE"""),"SC")</f>
        <v>SC</v>
      </c>
      <c r="D194" s="1" t="str">
        <f ca="1">IFERROR(__xludf.DUMMYFUNCTION("""COMPUTED_VALUE"""),"14-19")</f>
        <v>14-19</v>
      </c>
      <c r="E194" s="1">
        <f ca="1">IFERROR(__xludf.DUMMYFUNCTION("""COMPUTED_VALUE"""),-2.63)</f>
        <v>-2.63</v>
      </c>
      <c r="F194" s="1">
        <f ca="1">IFERROR(__xludf.DUMMYFUNCTION("""COMPUTED_VALUE"""),98)</f>
        <v>98</v>
      </c>
      <c r="G194" s="1">
        <f ca="1">IFERROR(__xludf.DUMMYFUNCTION("""COMPUTED_VALUE"""),250)</f>
        <v>250</v>
      </c>
      <c r="H194" s="1">
        <f ca="1">IFERROR(__xludf.DUMMYFUNCTION("""COMPUTED_VALUE"""),100.6)</f>
        <v>100.6</v>
      </c>
      <c r="I194" s="1">
        <f ca="1">IFERROR(__xludf.DUMMYFUNCTION("""COMPUTED_VALUE"""),105)</f>
        <v>105</v>
      </c>
      <c r="J194" s="1">
        <f ca="1">IFERROR(__xludf.DUMMYFUNCTION("""COMPUTED_VALUE"""),61.8)</f>
        <v>61.8</v>
      </c>
      <c r="K194" s="1">
        <f ca="1">IFERROR(__xludf.DUMMYFUNCTION("""COMPUTED_VALUE"""),292)</f>
        <v>292</v>
      </c>
      <c r="L194" s="1" t="str">
        <f ca="1">IFERROR(__xludf.DUMMYFUNCTION("""COMPUTED_VALUE"""),"+.001")</f>
        <v>+.001</v>
      </c>
      <c r="M194" s="1">
        <f ca="1">IFERROR(__xludf.DUMMYFUNCTION("""COMPUTED_VALUE"""),164)</f>
        <v>164</v>
      </c>
      <c r="N194" s="1" t="str">
        <f ca="1">IFERROR(__xludf.DUMMYFUNCTION("""COMPUTED_VALUE"""),"+0.21")</f>
        <v>+0.21</v>
      </c>
      <c r="O194" s="1">
        <f ca="1">IFERROR(__xludf.DUMMYFUNCTION("""COMPUTED_VALUE"""),149)</f>
        <v>149</v>
      </c>
      <c r="P194" s="1">
        <f ca="1">IFERROR(__xludf.DUMMYFUNCTION("""COMPUTED_VALUE"""),104.3)</f>
        <v>104.3</v>
      </c>
      <c r="Q194" s="1">
        <f ca="1">IFERROR(__xludf.DUMMYFUNCTION("""COMPUTED_VALUE"""),124)</f>
        <v>124</v>
      </c>
      <c r="R194" s="1">
        <f ca="1">IFERROR(__xludf.DUMMYFUNCTION("""COMPUTED_VALUE"""),104.1)</f>
        <v>104.1</v>
      </c>
      <c r="S194" s="1">
        <f ca="1">IFERROR(__xludf.DUMMYFUNCTION("""COMPUTED_VALUE"""),172)</f>
        <v>172</v>
      </c>
      <c r="T194" s="1" t="str">
        <f ca="1">IFERROR(__xludf.DUMMYFUNCTION("""COMPUTED_VALUE"""),"+4.35")</f>
        <v>+4.35</v>
      </c>
      <c r="U194" s="1">
        <f ca="1">IFERROR(__xludf.DUMMYFUNCTION("""COMPUTED_VALUE"""),51)</f>
        <v>51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IFERROR(__xludf.DUMMYFUNCTION("""COMPUTED_VALUE"""),"Lafayette")</f>
        <v>Lafayette</v>
      </c>
      <c r="C195" s="1" t="str">
        <f ca="1">IFERROR(__xludf.DUMMYFUNCTION("""COMPUTED_VALUE"""),"Pat")</f>
        <v>Pat</v>
      </c>
      <c r="D195" s="1" t="str">
        <f ca="1">IFERROR(__xludf.DUMMYFUNCTION("""COMPUTED_VALUE"""),"15-15")</f>
        <v>15-15</v>
      </c>
      <c r="E195" s="1">
        <f ca="1">IFERROR(__xludf.DUMMYFUNCTION("""COMPUTED_VALUE"""),-2.64)</f>
        <v>-2.64</v>
      </c>
      <c r="F195" s="1">
        <f ca="1">IFERROR(__xludf.DUMMYFUNCTION("""COMPUTED_VALUE"""),106.5)</f>
        <v>106.5</v>
      </c>
      <c r="G195" s="1">
        <f ca="1">IFERROR(__xludf.DUMMYFUNCTION("""COMPUTED_VALUE"""),126)</f>
        <v>126</v>
      </c>
      <c r="H195" s="1">
        <f ca="1">IFERROR(__xludf.DUMMYFUNCTION("""COMPUTED_VALUE"""),109.2)</f>
        <v>109.2</v>
      </c>
      <c r="I195" s="1">
        <f ca="1">IFERROR(__xludf.DUMMYFUNCTION("""COMPUTED_VALUE"""),278)</f>
        <v>278</v>
      </c>
      <c r="J195" s="1">
        <f ca="1">IFERROR(__xludf.DUMMYFUNCTION("""COMPUTED_VALUE"""),68.6)</f>
        <v>68.599999999999994</v>
      </c>
      <c r="K195" s="1">
        <f ca="1">IFERROR(__xludf.DUMMYFUNCTION("""COMPUTED_VALUE"""),56)</f>
        <v>56</v>
      </c>
      <c r="L195" s="1">
        <f ca="1">IFERROR(__xludf.DUMMYFUNCTION("""COMPUTED_VALUE"""),-0.036)</f>
        <v>-3.5999999999999997E-2</v>
      </c>
      <c r="M195" s="1">
        <f ca="1">IFERROR(__xludf.DUMMYFUNCTION("""COMPUTED_VALUE"""),262)</f>
        <v>262</v>
      </c>
      <c r="N195" s="1">
        <f ca="1">IFERROR(__xludf.DUMMYFUNCTION("""COMPUTED_VALUE"""),-4.88)</f>
        <v>-4.88</v>
      </c>
      <c r="O195" s="1">
        <f ca="1">IFERROR(__xludf.DUMMYFUNCTION("""COMPUTED_VALUE"""),255)</f>
        <v>255</v>
      </c>
      <c r="P195" s="1">
        <f ca="1">IFERROR(__xludf.DUMMYFUNCTION("""COMPUTED_VALUE"""),99.2)</f>
        <v>99.2</v>
      </c>
      <c r="Q195" s="1">
        <f ca="1">IFERROR(__xludf.DUMMYFUNCTION("""COMPUTED_VALUE"""),311)</f>
        <v>311</v>
      </c>
      <c r="R195" s="1">
        <f ca="1">IFERROR(__xludf.DUMMYFUNCTION("""COMPUTED_VALUE"""),104.1)</f>
        <v>104.1</v>
      </c>
      <c r="S195" s="1">
        <f ca="1">IFERROR(__xludf.DUMMYFUNCTION("""COMPUTED_VALUE"""),170)</f>
        <v>170</v>
      </c>
      <c r="T195" s="1">
        <f ca="1">IFERROR(__xludf.DUMMYFUNCTION("""COMPUTED_VALUE"""),-4.96)</f>
        <v>-4.96</v>
      </c>
      <c r="U195" s="1">
        <f ca="1">IFERROR(__xludf.DUMMYFUNCTION("""COMPUTED_VALUE"""),288)</f>
        <v>288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IFERROR(__xludf.DUMMYFUNCTION("""COMPUTED_VALUE"""),"Weber St.")</f>
        <v>Weber St.</v>
      </c>
      <c r="C196" s="1" t="str">
        <f ca="1">IFERROR(__xludf.DUMMYFUNCTION("""COMPUTED_VALUE"""),"BSky")</f>
        <v>BSky</v>
      </c>
      <c r="D196" s="1" t="str">
        <f ca="1">IFERROR(__xludf.DUMMYFUNCTION("""COMPUTED_VALUE"""),"16-14")</f>
        <v>16-14</v>
      </c>
      <c r="E196" s="1">
        <f ca="1">IFERROR(__xludf.DUMMYFUNCTION("""COMPUTED_VALUE"""),-2.72)</f>
        <v>-2.72</v>
      </c>
      <c r="F196" s="1">
        <f ca="1">IFERROR(__xludf.DUMMYFUNCTION("""COMPUTED_VALUE"""),99.6)</f>
        <v>99.6</v>
      </c>
      <c r="G196" s="1">
        <f ca="1">IFERROR(__xludf.DUMMYFUNCTION("""COMPUTED_VALUE"""),231)</f>
        <v>231</v>
      </c>
      <c r="H196" s="1">
        <f ca="1">IFERROR(__xludf.DUMMYFUNCTION("""COMPUTED_VALUE"""),102.4)</f>
        <v>102.4</v>
      </c>
      <c r="I196" s="1">
        <f ca="1">IFERROR(__xludf.DUMMYFUNCTION("""COMPUTED_VALUE"""),144)</f>
        <v>144</v>
      </c>
      <c r="J196" s="1">
        <f ca="1">IFERROR(__xludf.DUMMYFUNCTION("""COMPUTED_VALUE"""),63.9)</f>
        <v>63.9</v>
      </c>
      <c r="K196" s="1">
        <f ca="1">IFERROR(__xludf.DUMMYFUNCTION("""COMPUTED_VALUE"""),220)</f>
        <v>220</v>
      </c>
      <c r="L196" s="1" t="str">
        <f ca="1">IFERROR(__xludf.DUMMYFUNCTION("""COMPUTED_VALUE"""),"+.012")</f>
        <v>+.012</v>
      </c>
      <c r="M196" s="1">
        <f ca="1">IFERROR(__xludf.DUMMYFUNCTION("""COMPUTED_VALUE"""),139)</f>
        <v>139</v>
      </c>
      <c r="N196" s="1">
        <f ca="1">IFERROR(__xludf.DUMMYFUNCTION("""COMPUTED_VALUE"""),-5.06)</f>
        <v>-5.0599999999999996</v>
      </c>
      <c r="O196" s="1">
        <f ca="1">IFERROR(__xludf.DUMMYFUNCTION("""COMPUTED_VALUE"""),260)</f>
        <v>260</v>
      </c>
      <c r="P196" s="1">
        <f ca="1">IFERROR(__xludf.DUMMYFUNCTION("""COMPUTED_VALUE"""),102)</f>
        <v>102</v>
      </c>
      <c r="Q196" s="1">
        <f ca="1">IFERROR(__xludf.DUMMYFUNCTION("""COMPUTED_VALUE"""),221)</f>
        <v>221</v>
      </c>
      <c r="R196" s="1">
        <f ca="1">IFERROR(__xludf.DUMMYFUNCTION("""COMPUTED_VALUE"""),107)</f>
        <v>107</v>
      </c>
      <c r="S196" s="1">
        <f ca="1">IFERROR(__xludf.DUMMYFUNCTION("""COMPUTED_VALUE"""),301)</f>
        <v>301</v>
      </c>
      <c r="T196" s="1" t="str">
        <f ca="1">IFERROR(__xludf.DUMMYFUNCTION("""COMPUTED_VALUE"""),"+0.04")</f>
        <v>+0.04</v>
      </c>
      <c r="U196" s="1">
        <f ca="1">IFERROR(__xludf.DUMMYFUNCTION("""COMPUTED_VALUE"""),147)</f>
        <v>147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IFERROR(__xludf.DUMMYFUNCTION("""COMPUTED_VALUE"""),"High Point")</f>
        <v>High Point</v>
      </c>
      <c r="C197" s="1" t="str">
        <f ca="1">IFERROR(__xludf.DUMMYFUNCTION("""COMPUTED_VALUE"""),"BSth")</f>
        <v>BSth</v>
      </c>
      <c r="D197" s="1" t="str">
        <f ca="1">IFERROR(__xludf.DUMMYFUNCTION("""COMPUTED_VALUE"""),"17-14")</f>
        <v>17-14</v>
      </c>
      <c r="E197" s="1">
        <f ca="1">IFERROR(__xludf.DUMMYFUNCTION("""COMPUTED_VALUE"""),-2.76)</f>
        <v>-2.76</v>
      </c>
      <c r="F197" s="1">
        <f ca="1">IFERROR(__xludf.DUMMYFUNCTION("""COMPUTED_VALUE"""),103.3)</f>
        <v>103.3</v>
      </c>
      <c r="G197" s="1">
        <f ca="1">IFERROR(__xludf.DUMMYFUNCTION("""COMPUTED_VALUE"""),176)</f>
        <v>176</v>
      </c>
      <c r="H197" s="1">
        <f ca="1">IFERROR(__xludf.DUMMYFUNCTION("""COMPUTED_VALUE"""),106)</f>
        <v>106</v>
      </c>
      <c r="I197" s="1">
        <f ca="1">IFERROR(__xludf.DUMMYFUNCTION("""COMPUTED_VALUE"""),212)</f>
        <v>212</v>
      </c>
      <c r="J197" s="1">
        <f ca="1">IFERROR(__xludf.DUMMYFUNCTION("""COMPUTED_VALUE"""),61.9)</f>
        <v>61.9</v>
      </c>
      <c r="K197" s="1">
        <f ca="1">IFERROR(__xludf.DUMMYFUNCTION("""COMPUTED_VALUE"""),290)</f>
        <v>290</v>
      </c>
      <c r="L197" s="1">
        <f ca="1">IFERROR(__xludf.DUMMYFUNCTION("""COMPUTED_VALUE"""),-0.077)</f>
        <v>-7.6999999999999999E-2</v>
      </c>
      <c r="M197" s="1">
        <f ca="1">IFERROR(__xludf.DUMMYFUNCTION("""COMPUTED_VALUE"""),324)</f>
        <v>324</v>
      </c>
      <c r="N197" s="1">
        <f ca="1">IFERROR(__xludf.DUMMYFUNCTION("""COMPUTED_VALUE"""),-6.36)</f>
        <v>-6.36</v>
      </c>
      <c r="O197" s="1">
        <f ca="1">IFERROR(__xludf.DUMMYFUNCTION("""COMPUTED_VALUE"""),292)</f>
        <v>292</v>
      </c>
      <c r="P197" s="1">
        <f ca="1">IFERROR(__xludf.DUMMYFUNCTION("""COMPUTED_VALUE"""),100.5)</f>
        <v>100.5</v>
      </c>
      <c r="Q197" s="1">
        <f ca="1">IFERROR(__xludf.DUMMYFUNCTION("""COMPUTED_VALUE"""),281)</f>
        <v>281</v>
      </c>
      <c r="R197" s="1">
        <f ca="1">IFERROR(__xludf.DUMMYFUNCTION("""COMPUTED_VALUE"""),106.8)</f>
        <v>106.8</v>
      </c>
      <c r="S197" s="1">
        <f ca="1">IFERROR(__xludf.DUMMYFUNCTION("""COMPUTED_VALUE"""),293)</f>
        <v>293</v>
      </c>
      <c r="T197" s="1">
        <f ca="1">IFERROR(__xludf.DUMMYFUNCTION("""COMPUTED_VALUE"""),-2.78)</f>
        <v>-2.78</v>
      </c>
      <c r="U197" s="1">
        <f ca="1">IFERROR(__xludf.DUMMYFUNCTION("""COMPUTED_VALUE"""),241)</f>
        <v>241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IFERROR(__xludf.DUMMYFUNCTION("""COMPUTED_VALUE"""),"Gardner Webb")</f>
        <v>Gardner Webb</v>
      </c>
      <c r="C198" s="1" t="str">
        <f ca="1">IFERROR(__xludf.DUMMYFUNCTION("""COMPUTED_VALUE"""),"ASun")</f>
        <v>ASun</v>
      </c>
      <c r="D198" s="1" t="str">
        <f ca="1">IFERROR(__xludf.DUMMYFUNCTION("""COMPUTED_VALUE"""),"16-16")</f>
        <v>16-16</v>
      </c>
      <c r="E198" s="1">
        <f ca="1">IFERROR(__xludf.DUMMYFUNCTION("""COMPUTED_VALUE"""),-2.97)</f>
        <v>-2.97</v>
      </c>
      <c r="F198" s="1">
        <f ca="1">IFERROR(__xludf.DUMMYFUNCTION("""COMPUTED_VALUE"""),103.6)</f>
        <v>103.6</v>
      </c>
      <c r="G198" s="1">
        <f ca="1">IFERROR(__xludf.DUMMYFUNCTION("""COMPUTED_VALUE"""),174)</f>
        <v>174</v>
      </c>
      <c r="H198" s="1">
        <f ca="1">IFERROR(__xludf.DUMMYFUNCTION("""COMPUTED_VALUE"""),106.6)</f>
        <v>106.6</v>
      </c>
      <c r="I198" s="1">
        <f ca="1">IFERROR(__xludf.DUMMYFUNCTION("""COMPUTED_VALUE"""),225)</f>
        <v>225</v>
      </c>
      <c r="J198" s="1">
        <f ca="1">IFERROR(__xludf.DUMMYFUNCTION("""COMPUTED_VALUE"""),70.1)</f>
        <v>70.099999999999994</v>
      </c>
      <c r="K198" s="1">
        <f ca="1">IFERROR(__xludf.DUMMYFUNCTION("""COMPUTED_VALUE"""),23)</f>
        <v>23</v>
      </c>
      <c r="L198" s="1">
        <f ca="1">IFERROR(__xludf.DUMMYFUNCTION("""COMPUTED_VALUE"""),-0.037)</f>
        <v>-3.6999999999999998E-2</v>
      </c>
      <c r="M198" s="1">
        <f ca="1">IFERROR(__xludf.DUMMYFUNCTION("""COMPUTED_VALUE"""),265)</f>
        <v>265</v>
      </c>
      <c r="N198" s="1">
        <f ca="1">IFERROR(__xludf.DUMMYFUNCTION("""COMPUTED_VALUE"""),-5.49)</f>
        <v>-5.49</v>
      </c>
      <c r="O198" s="1">
        <f ca="1">IFERROR(__xludf.DUMMYFUNCTION("""COMPUTED_VALUE"""),268)</f>
        <v>268</v>
      </c>
      <c r="P198" s="1">
        <f ca="1">IFERROR(__xludf.DUMMYFUNCTION("""COMPUTED_VALUE"""),100.4)</f>
        <v>100.4</v>
      </c>
      <c r="Q198" s="1">
        <f ca="1">IFERROR(__xludf.DUMMYFUNCTION("""COMPUTED_VALUE"""),282)</f>
        <v>282</v>
      </c>
      <c r="R198" s="1">
        <f ca="1">IFERROR(__xludf.DUMMYFUNCTION("""COMPUTED_VALUE"""),105.9)</f>
        <v>105.9</v>
      </c>
      <c r="S198" s="1">
        <f ca="1">IFERROR(__xludf.DUMMYFUNCTION("""COMPUTED_VALUE"""),251)</f>
        <v>251</v>
      </c>
      <c r="T198" s="1" t="str">
        <f ca="1">IFERROR(__xludf.DUMMYFUNCTION("""COMPUTED_VALUE"""),"+1.90")</f>
        <v>+1.90</v>
      </c>
      <c r="U198" s="1">
        <f ca="1">IFERROR(__xludf.DUMMYFUNCTION("""COMPUTED_VALUE"""),99)</f>
        <v>99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IFERROR(__xludf.DUMMYFUNCTION("""COMPUTED_VALUE"""),"William &amp; Mary")</f>
        <v>William &amp; Mary</v>
      </c>
      <c r="C199" s="1" t="str">
        <f ca="1">IFERROR(__xludf.DUMMYFUNCTION("""COMPUTED_VALUE"""),"CAA")</f>
        <v>CAA</v>
      </c>
      <c r="D199" s="1" t="str">
        <f ca="1">IFERROR(__xludf.DUMMYFUNCTION("""COMPUTED_VALUE"""),"17-16")</f>
        <v>17-16</v>
      </c>
      <c r="E199" s="1">
        <f ca="1">IFERROR(__xludf.DUMMYFUNCTION("""COMPUTED_VALUE"""),-2.99)</f>
        <v>-2.99</v>
      </c>
      <c r="F199" s="1">
        <f ca="1">IFERROR(__xludf.DUMMYFUNCTION("""COMPUTED_VALUE"""),100.3)</f>
        <v>100.3</v>
      </c>
      <c r="G199" s="1">
        <f ca="1">IFERROR(__xludf.DUMMYFUNCTION("""COMPUTED_VALUE"""),219)</f>
        <v>219</v>
      </c>
      <c r="H199" s="1">
        <f ca="1">IFERROR(__xludf.DUMMYFUNCTION("""COMPUTED_VALUE"""),103.3)</f>
        <v>103.3</v>
      </c>
      <c r="I199" s="1">
        <f ca="1">IFERROR(__xludf.DUMMYFUNCTION("""COMPUTED_VALUE"""),165)</f>
        <v>165</v>
      </c>
      <c r="J199" s="1">
        <f ca="1">IFERROR(__xludf.DUMMYFUNCTION("""COMPUTED_VALUE"""),61.4)</f>
        <v>61.4</v>
      </c>
      <c r="K199" s="1">
        <f ca="1">IFERROR(__xludf.DUMMYFUNCTION("""COMPUTED_VALUE"""),303)</f>
        <v>303</v>
      </c>
      <c r="L199" s="1" t="str">
        <f ca="1">IFERROR(__xludf.DUMMYFUNCTION("""COMPUTED_VALUE"""),"+.053")</f>
        <v>+.053</v>
      </c>
      <c r="M199" s="1">
        <f ca="1">IFERROR(__xludf.DUMMYFUNCTION("""COMPUTED_VALUE"""),51)</f>
        <v>51</v>
      </c>
      <c r="N199" s="1">
        <f ca="1">IFERROR(__xludf.DUMMYFUNCTION("""COMPUTED_VALUE"""),-1.04)</f>
        <v>-1.04</v>
      </c>
      <c r="O199" s="1">
        <f ca="1">IFERROR(__xludf.DUMMYFUNCTION("""COMPUTED_VALUE"""),176)</f>
        <v>176</v>
      </c>
      <c r="P199" s="1">
        <f ca="1">IFERROR(__xludf.DUMMYFUNCTION("""COMPUTED_VALUE"""),102.2)</f>
        <v>102.2</v>
      </c>
      <c r="Q199" s="1">
        <f ca="1">IFERROR(__xludf.DUMMYFUNCTION("""COMPUTED_VALUE"""),213)</f>
        <v>213</v>
      </c>
      <c r="R199" s="1">
        <f ca="1">IFERROR(__xludf.DUMMYFUNCTION("""COMPUTED_VALUE"""),103.2)</f>
        <v>103.2</v>
      </c>
      <c r="S199" s="1">
        <f ca="1">IFERROR(__xludf.DUMMYFUNCTION("""COMPUTED_VALUE"""),151)</f>
        <v>151</v>
      </c>
      <c r="T199" s="1">
        <f ca="1">IFERROR(__xludf.DUMMYFUNCTION("""COMPUTED_VALUE"""),-2.13)</f>
        <v>-2.13</v>
      </c>
      <c r="U199" s="1">
        <f ca="1">IFERROR(__xludf.DUMMYFUNCTION("""COMPUTED_VALUE"""),214)</f>
        <v>214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IFERROR(__xludf.DUMMYFUNCTION("""COMPUTED_VALUE"""),"Fresno St.")</f>
        <v>Fresno St.</v>
      </c>
      <c r="C200" s="1" t="str">
        <f ca="1">IFERROR(__xludf.DUMMYFUNCTION("""COMPUTED_VALUE"""),"WAC")</f>
        <v>WAC</v>
      </c>
      <c r="D200" s="1" t="str">
        <f ca="1">IFERROR(__xludf.DUMMYFUNCTION("""COMPUTED_VALUE"""),"13-19")</f>
        <v>13-19</v>
      </c>
      <c r="E200" s="1">
        <f ca="1">IFERROR(__xludf.DUMMYFUNCTION("""COMPUTED_VALUE"""),-3.02)</f>
        <v>-3.02</v>
      </c>
      <c r="F200" s="1">
        <f ca="1">IFERROR(__xludf.DUMMYFUNCTION("""COMPUTED_VALUE"""),98.8)</f>
        <v>98.8</v>
      </c>
      <c r="G200" s="1">
        <f ca="1">IFERROR(__xludf.DUMMYFUNCTION("""COMPUTED_VALUE"""),242)</f>
        <v>242</v>
      </c>
      <c r="H200" s="1">
        <f ca="1">IFERROR(__xludf.DUMMYFUNCTION("""COMPUTED_VALUE"""),101.8)</f>
        <v>101.8</v>
      </c>
      <c r="I200" s="1">
        <f ca="1">IFERROR(__xludf.DUMMYFUNCTION("""COMPUTED_VALUE"""),132)</f>
        <v>132</v>
      </c>
      <c r="J200" s="1">
        <f ca="1">IFERROR(__xludf.DUMMYFUNCTION("""COMPUTED_VALUE"""),66.6)</f>
        <v>66.599999999999994</v>
      </c>
      <c r="K200" s="1">
        <f ca="1">IFERROR(__xludf.DUMMYFUNCTION("""COMPUTED_VALUE"""),115)</f>
        <v>115</v>
      </c>
      <c r="L200" s="1">
        <f ca="1">IFERROR(__xludf.DUMMYFUNCTION("""COMPUTED_VALUE"""),-0.096)</f>
        <v>-9.6000000000000002E-2</v>
      </c>
      <c r="M200" s="1">
        <f ca="1">IFERROR(__xludf.DUMMYFUNCTION("""COMPUTED_VALUE"""),335)</f>
        <v>335</v>
      </c>
      <c r="N200" s="1">
        <f ca="1">IFERROR(__xludf.DUMMYFUNCTION("""COMPUTED_VALUE"""),-2.72)</f>
        <v>-2.72</v>
      </c>
      <c r="O200" s="1">
        <f ca="1">IFERROR(__xludf.DUMMYFUNCTION("""COMPUTED_VALUE"""),213)</f>
        <v>213</v>
      </c>
      <c r="P200" s="1">
        <f ca="1">IFERROR(__xludf.DUMMYFUNCTION("""COMPUTED_VALUE"""),103.1)</f>
        <v>103.1</v>
      </c>
      <c r="Q200" s="1">
        <f ca="1">IFERROR(__xludf.DUMMYFUNCTION("""COMPUTED_VALUE"""),185)</f>
        <v>185</v>
      </c>
      <c r="R200" s="1">
        <f ca="1">IFERROR(__xludf.DUMMYFUNCTION("""COMPUTED_VALUE"""),105.8)</f>
        <v>105.8</v>
      </c>
      <c r="S200" s="1">
        <f ca="1">IFERROR(__xludf.DUMMYFUNCTION("""COMPUTED_VALUE"""),246)</f>
        <v>246</v>
      </c>
      <c r="T200" s="1">
        <f ca="1">IFERROR(__xludf.DUMMYFUNCTION("""COMPUTED_VALUE"""),-2.46)</f>
        <v>-2.46</v>
      </c>
      <c r="U200" s="1">
        <f ca="1">IFERROR(__xludf.DUMMYFUNCTION("""COMPUTED_VALUE"""),224)</f>
        <v>224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IFERROR(__xludf.DUMMYFUNCTION("""COMPUTED_VALUE"""),"Northwestern")</f>
        <v>Northwestern</v>
      </c>
      <c r="C201" s="1" t="str">
        <f ca="1">IFERROR(__xludf.DUMMYFUNCTION("""COMPUTED_VALUE"""),"B10")</f>
        <v>B10</v>
      </c>
      <c r="D201" s="2">
        <f ca="1">IFERROR(__xludf.DUMMYFUNCTION("""COMPUTED_VALUE"""),44795)</f>
        <v>44795</v>
      </c>
      <c r="E201" s="1">
        <f ca="1">IFERROR(__xludf.DUMMYFUNCTION("""COMPUTED_VALUE"""),-3.2)</f>
        <v>-3.2</v>
      </c>
      <c r="F201" s="1">
        <f ca="1">IFERROR(__xludf.DUMMYFUNCTION("""COMPUTED_VALUE"""),105.3)</f>
        <v>105.3</v>
      </c>
      <c r="G201" s="1">
        <f ca="1">IFERROR(__xludf.DUMMYFUNCTION("""COMPUTED_VALUE"""),142)</f>
        <v>142</v>
      </c>
      <c r="H201" s="1">
        <f ca="1">IFERROR(__xludf.DUMMYFUNCTION("""COMPUTED_VALUE"""),108.5)</f>
        <v>108.5</v>
      </c>
      <c r="I201" s="1">
        <f ca="1">IFERROR(__xludf.DUMMYFUNCTION("""COMPUTED_VALUE"""),261)</f>
        <v>261</v>
      </c>
      <c r="J201" s="1">
        <f ca="1">IFERROR(__xludf.DUMMYFUNCTION("""COMPUTED_VALUE"""),61)</f>
        <v>61</v>
      </c>
      <c r="K201" s="1">
        <f ca="1">IFERROR(__xludf.DUMMYFUNCTION("""COMPUTED_VALUE"""),311)</f>
        <v>311</v>
      </c>
      <c r="L201" s="1">
        <f ca="1">IFERROR(__xludf.DUMMYFUNCTION("""COMPUTED_VALUE"""),-0.059)</f>
        <v>-5.8999999999999997E-2</v>
      </c>
      <c r="M201" s="1">
        <f ca="1">IFERROR(__xludf.DUMMYFUNCTION("""COMPUTED_VALUE"""),302)</f>
        <v>302</v>
      </c>
      <c r="N201" s="1" t="str">
        <f ca="1">IFERROR(__xludf.DUMMYFUNCTION("""COMPUTED_VALUE"""),"+8.25")</f>
        <v>+8.25</v>
      </c>
      <c r="O201" s="1">
        <f ca="1">IFERROR(__xludf.DUMMYFUNCTION("""COMPUTED_VALUE"""),39)</f>
        <v>39</v>
      </c>
      <c r="P201" s="1">
        <f ca="1">IFERROR(__xludf.DUMMYFUNCTION("""COMPUTED_VALUE"""),107.4)</f>
        <v>107.4</v>
      </c>
      <c r="Q201" s="1">
        <f ca="1">IFERROR(__xludf.DUMMYFUNCTION("""COMPUTED_VALUE"""),52)</f>
        <v>52</v>
      </c>
      <c r="R201" s="1">
        <f ca="1">IFERROR(__xludf.DUMMYFUNCTION("""COMPUTED_VALUE"""),99.1)</f>
        <v>99.1</v>
      </c>
      <c r="S201" s="1">
        <f ca="1">IFERROR(__xludf.DUMMYFUNCTION("""COMPUTED_VALUE"""),21)</f>
        <v>21</v>
      </c>
      <c r="T201" s="1">
        <f ca="1">IFERROR(__xludf.DUMMYFUNCTION("""COMPUTED_VALUE"""),-3.39)</f>
        <v>-3.39</v>
      </c>
      <c r="U201" s="1">
        <f ca="1">IFERROR(__xludf.DUMMYFUNCTION("""COMPUTED_VALUE"""),257)</f>
        <v>257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IFERROR(__xludf.DUMMYFUNCTION("""COMPUTED_VALUE"""),"Colgate")</f>
        <v>Colgate</v>
      </c>
      <c r="C202" s="1" t="str">
        <f ca="1">IFERROR(__xludf.DUMMYFUNCTION("""COMPUTED_VALUE"""),"Pat")</f>
        <v>Pat</v>
      </c>
      <c r="D202" s="1" t="str">
        <f ca="1">IFERROR(__xludf.DUMMYFUNCTION("""COMPUTED_VALUE"""),"18-14")</f>
        <v>18-14</v>
      </c>
      <c r="E202" s="1">
        <f ca="1">IFERROR(__xludf.DUMMYFUNCTION("""COMPUTED_VALUE"""),-3.2)</f>
        <v>-3.2</v>
      </c>
      <c r="F202" s="1">
        <f ca="1">IFERROR(__xludf.DUMMYFUNCTION("""COMPUTED_VALUE"""),98.1)</f>
        <v>98.1</v>
      </c>
      <c r="G202" s="1">
        <f ca="1">IFERROR(__xludf.DUMMYFUNCTION("""COMPUTED_VALUE"""),249)</f>
        <v>249</v>
      </c>
      <c r="H202" s="1">
        <f ca="1">IFERROR(__xludf.DUMMYFUNCTION("""COMPUTED_VALUE"""),101.3)</f>
        <v>101.3</v>
      </c>
      <c r="I202" s="1">
        <f ca="1">IFERROR(__xludf.DUMMYFUNCTION("""COMPUTED_VALUE"""),124)</f>
        <v>124</v>
      </c>
      <c r="J202" s="1">
        <f ca="1">IFERROR(__xludf.DUMMYFUNCTION("""COMPUTED_VALUE"""),63.9)</f>
        <v>63.9</v>
      </c>
      <c r="K202" s="1">
        <f ca="1">IFERROR(__xludf.DUMMYFUNCTION("""COMPUTED_VALUE"""),219)</f>
        <v>219</v>
      </c>
      <c r="L202" s="1" t="str">
        <f ca="1">IFERROR(__xludf.DUMMYFUNCTION("""COMPUTED_VALUE"""),"+.038")</f>
        <v>+.038</v>
      </c>
      <c r="M202" s="1">
        <f ca="1">IFERROR(__xludf.DUMMYFUNCTION("""COMPUTED_VALUE"""),83)</f>
        <v>83</v>
      </c>
      <c r="N202" s="1">
        <f ca="1">IFERROR(__xludf.DUMMYFUNCTION("""COMPUTED_VALUE"""),-5.71)</f>
        <v>-5.71</v>
      </c>
      <c r="O202" s="1">
        <f ca="1">IFERROR(__xludf.DUMMYFUNCTION("""COMPUTED_VALUE"""),274)</f>
        <v>274</v>
      </c>
      <c r="P202" s="1">
        <f ca="1">IFERROR(__xludf.DUMMYFUNCTION("""COMPUTED_VALUE"""),100.2)</f>
        <v>100.2</v>
      </c>
      <c r="Q202" s="1">
        <f ca="1">IFERROR(__xludf.DUMMYFUNCTION("""COMPUTED_VALUE"""),286)</f>
        <v>286</v>
      </c>
      <c r="R202" s="1">
        <f ca="1">IFERROR(__xludf.DUMMYFUNCTION("""COMPUTED_VALUE"""),105.9)</f>
        <v>105.9</v>
      </c>
      <c r="S202" s="1">
        <f ca="1">IFERROR(__xludf.DUMMYFUNCTION("""COMPUTED_VALUE"""),255)</f>
        <v>255</v>
      </c>
      <c r="T202" s="1">
        <f ca="1">IFERROR(__xludf.DUMMYFUNCTION("""COMPUTED_VALUE"""),-6.27)</f>
        <v>-6.27</v>
      </c>
      <c r="U202" s="1">
        <f ca="1">IFERROR(__xludf.DUMMYFUNCTION("""COMPUTED_VALUE"""),305)</f>
        <v>305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IFERROR(__xludf.DUMMYFUNCTION("""COMPUTED_VALUE"""),"Arkansas Little Rock")</f>
        <v>Arkansas Little Rock</v>
      </c>
      <c r="C203" s="1" t="str">
        <f ca="1">IFERROR(__xludf.DUMMYFUNCTION("""COMPUTED_VALUE"""),"SB")</f>
        <v>SB</v>
      </c>
      <c r="D203" s="1" t="str">
        <f ca="1">IFERROR(__xludf.DUMMYFUNCTION("""COMPUTED_VALUE"""),"20-11")</f>
        <v>20-11</v>
      </c>
      <c r="E203" s="1">
        <f ca="1">IFERROR(__xludf.DUMMYFUNCTION("""COMPUTED_VALUE"""),-3.28)</f>
        <v>-3.28</v>
      </c>
      <c r="F203" s="1">
        <f ca="1">IFERROR(__xludf.DUMMYFUNCTION("""COMPUTED_VALUE"""),95)</f>
        <v>95</v>
      </c>
      <c r="G203" s="1">
        <f ca="1">IFERROR(__xludf.DUMMYFUNCTION("""COMPUTED_VALUE"""),295)</f>
        <v>295</v>
      </c>
      <c r="H203" s="1">
        <f ca="1">IFERROR(__xludf.DUMMYFUNCTION("""COMPUTED_VALUE"""),98.3)</f>
        <v>98.3</v>
      </c>
      <c r="I203" s="1">
        <f ca="1">IFERROR(__xludf.DUMMYFUNCTION("""COMPUTED_VALUE"""),72)</f>
        <v>72</v>
      </c>
      <c r="J203" s="1">
        <f ca="1">IFERROR(__xludf.DUMMYFUNCTION("""COMPUTED_VALUE"""),64.7)</f>
        <v>64.7</v>
      </c>
      <c r="K203" s="1">
        <f ca="1">IFERROR(__xludf.DUMMYFUNCTION("""COMPUTED_VALUE"""),186)</f>
        <v>186</v>
      </c>
      <c r="L203" s="1" t="str">
        <f ca="1">IFERROR(__xludf.DUMMYFUNCTION("""COMPUTED_VALUE"""),"+.092")</f>
        <v>+.092</v>
      </c>
      <c r="M203" s="1">
        <f ca="1">IFERROR(__xludf.DUMMYFUNCTION("""COMPUTED_VALUE"""),10)</f>
        <v>10</v>
      </c>
      <c r="N203" s="1">
        <f ca="1">IFERROR(__xludf.DUMMYFUNCTION("""COMPUTED_VALUE"""),-5.46)</f>
        <v>-5.46</v>
      </c>
      <c r="O203" s="1">
        <f ca="1">IFERROR(__xludf.DUMMYFUNCTION("""COMPUTED_VALUE"""),267)</f>
        <v>267</v>
      </c>
      <c r="P203" s="1">
        <f ca="1">IFERROR(__xludf.DUMMYFUNCTION("""COMPUTED_VALUE"""),101)</f>
        <v>101</v>
      </c>
      <c r="Q203" s="1">
        <f ca="1">IFERROR(__xludf.DUMMYFUNCTION("""COMPUTED_VALUE"""),263)</f>
        <v>263</v>
      </c>
      <c r="R203" s="1">
        <f ca="1">IFERROR(__xludf.DUMMYFUNCTION("""COMPUTED_VALUE"""),106.5)</f>
        <v>106.5</v>
      </c>
      <c r="S203" s="1">
        <f ca="1">IFERROR(__xludf.DUMMYFUNCTION("""COMPUTED_VALUE"""),281)</f>
        <v>281</v>
      </c>
      <c r="T203" s="1">
        <f ca="1">IFERROR(__xludf.DUMMYFUNCTION("""COMPUTED_VALUE"""),-9.11)</f>
        <v>-9.11</v>
      </c>
      <c r="U203" s="1">
        <f ca="1">IFERROR(__xludf.DUMMYFUNCTION("""COMPUTED_VALUE"""),328)</f>
        <v>328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IFERROR(__xludf.DUMMYFUNCTION("""COMPUTED_VALUE"""),"Wyoming")</f>
        <v>Wyoming</v>
      </c>
      <c r="C204" s="1" t="str">
        <f ca="1">IFERROR(__xludf.DUMMYFUNCTION("""COMPUTED_VALUE"""),"MWC")</f>
        <v>MWC</v>
      </c>
      <c r="D204" s="2">
        <f ca="1">IFERROR(__xludf.DUMMYFUNCTION("""COMPUTED_VALUE"""),44913)</f>
        <v>44913</v>
      </c>
      <c r="E204" s="1">
        <f ca="1">IFERROR(__xludf.DUMMYFUNCTION("""COMPUTED_VALUE"""),-3.32)</f>
        <v>-3.32</v>
      </c>
      <c r="F204" s="1">
        <f ca="1">IFERROR(__xludf.DUMMYFUNCTION("""COMPUTED_VALUE"""),100.8)</f>
        <v>100.8</v>
      </c>
      <c r="G204" s="1">
        <f ca="1">IFERROR(__xludf.DUMMYFUNCTION("""COMPUTED_VALUE"""),211)</f>
        <v>211</v>
      </c>
      <c r="H204" s="1">
        <f ca="1">IFERROR(__xludf.DUMMYFUNCTION("""COMPUTED_VALUE"""),104.1)</f>
        <v>104.1</v>
      </c>
      <c r="I204" s="1">
        <f ca="1">IFERROR(__xludf.DUMMYFUNCTION("""COMPUTED_VALUE"""),180)</f>
        <v>180</v>
      </c>
      <c r="J204" s="1">
        <f ca="1">IFERROR(__xludf.DUMMYFUNCTION("""COMPUTED_VALUE"""),68.6)</f>
        <v>68.599999999999994</v>
      </c>
      <c r="K204" s="1">
        <f ca="1">IFERROR(__xludf.DUMMYFUNCTION("""COMPUTED_VALUE"""),52)</f>
        <v>52</v>
      </c>
      <c r="L204" s="1">
        <f ca="1">IFERROR(__xludf.DUMMYFUNCTION("""COMPUTED_VALUE"""),-0.018)</f>
        <v>-1.7999999999999999E-2</v>
      </c>
      <c r="M204" s="1">
        <f ca="1">IFERROR(__xludf.DUMMYFUNCTION("""COMPUTED_VALUE"""),215)</f>
        <v>215</v>
      </c>
      <c r="N204" s="1" t="str">
        <f ca="1">IFERROR(__xludf.DUMMYFUNCTION("""COMPUTED_VALUE"""),"+2.35")</f>
        <v>+2.35</v>
      </c>
      <c r="O204" s="1">
        <f ca="1">IFERROR(__xludf.DUMMYFUNCTION("""COMPUTED_VALUE"""),115)</f>
        <v>115</v>
      </c>
      <c r="P204" s="1">
        <f ca="1">IFERROR(__xludf.DUMMYFUNCTION("""COMPUTED_VALUE"""),104.3)</f>
        <v>104.3</v>
      </c>
      <c r="Q204" s="1">
        <f ca="1">IFERROR(__xludf.DUMMYFUNCTION("""COMPUTED_VALUE"""),129)</f>
        <v>129</v>
      </c>
      <c r="R204" s="1">
        <f ca="1">IFERROR(__xludf.DUMMYFUNCTION("""COMPUTED_VALUE"""),102)</f>
        <v>102</v>
      </c>
      <c r="S204" s="1">
        <f ca="1">IFERROR(__xludf.DUMMYFUNCTION("""COMPUTED_VALUE"""),105)</f>
        <v>105</v>
      </c>
      <c r="T204" s="1">
        <f ca="1">IFERROR(__xludf.DUMMYFUNCTION("""COMPUTED_VALUE"""),-2.74)</f>
        <v>-2.74</v>
      </c>
      <c r="U204" s="1">
        <f ca="1">IFERROR(__xludf.DUMMYFUNCTION("""COMPUTED_VALUE"""),238)</f>
        <v>238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IFERROR(__xludf.DUMMYFUNCTION("""COMPUTED_VALUE"""),"Louisiana Lafayette")</f>
        <v>Louisiana Lafayette</v>
      </c>
      <c r="C205" s="1" t="str">
        <f ca="1">IFERROR(__xludf.DUMMYFUNCTION("""COMPUTED_VALUE"""),"SB")</f>
        <v>SB</v>
      </c>
      <c r="D205" s="1" t="str">
        <f ca="1">IFERROR(__xludf.DUMMYFUNCTION("""COMPUTED_VALUE"""),"15-15")</f>
        <v>15-15</v>
      </c>
      <c r="E205" s="1">
        <f ca="1">IFERROR(__xludf.DUMMYFUNCTION("""COMPUTED_VALUE"""),-3.42)</f>
        <v>-3.42</v>
      </c>
      <c r="F205" s="1">
        <f ca="1">IFERROR(__xludf.DUMMYFUNCTION("""COMPUTED_VALUE"""),97.6)</f>
        <v>97.6</v>
      </c>
      <c r="G205" s="1">
        <f ca="1">IFERROR(__xludf.DUMMYFUNCTION("""COMPUTED_VALUE"""),260)</f>
        <v>260</v>
      </c>
      <c r="H205" s="1">
        <f ca="1">IFERROR(__xludf.DUMMYFUNCTION("""COMPUTED_VALUE"""),101)</f>
        <v>101</v>
      </c>
      <c r="I205" s="1">
        <f ca="1">IFERROR(__xludf.DUMMYFUNCTION("""COMPUTED_VALUE"""),116)</f>
        <v>116</v>
      </c>
      <c r="J205" s="1">
        <f ca="1">IFERROR(__xludf.DUMMYFUNCTION("""COMPUTED_VALUE"""),63.5)</f>
        <v>63.5</v>
      </c>
      <c r="K205" s="1">
        <f ca="1">IFERROR(__xludf.DUMMYFUNCTION("""COMPUTED_VALUE"""),238)</f>
        <v>238</v>
      </c>
      <c r="L205" s="1" t="str">
        <f ca="1">IFERROR(__xludf.DUMMYFUNCTION("""COMPUTED_VALUE"""),"+.035")</f>
        <v>+.035</v>
      </c>
      <c r="M205" s="1">
        <f ca="1">IFERROR(__xludf.DUMMYFUNCTION("""COMPUTED_VALUE"""),89)</f>
        <v>89</v>
      </c>
      <c r="N205" s="1">
        <f ca="1">IFERROR(__xludf.DUMMYFUNCTION("""COMPUTED_VALUE"""),-2.34)</f>
        <v>-2.34</v>
      </c>
      <c r="O205" s="1">
        <f ca="1">IFERROR(__xludf.DUMMYFUNCTION("""COMPUTED_VALUE"""),202)</f>
        <v>202</v>
      </c>
      <c r="P205" s="1">
        <f ca="1">IFERROR(__xludf.DUMMYFUNCTION("""COMPUTED_VALUE"""),103.4)</f>
        <v>103.4</v>
      </c>
      <c r="Q205" s="1">
        <f ca="1">IFERROR(__xludf.DUMMYFUNCTION("""COMPUTED_VALUE"""),170)</f>
        <v>170</v>
      </c>
      <c r="R205" s="1">
        <f ca="1">IFERROR(__xludf.DUMMYFUNCTION("""COMPUTED_VALUE"""),105.8)</f>
        <v>105.8</v>
      </c>
      <c r="S205" s="1">
        <f ca="1">IFERROR(__xludf.DUMMYFUNCTION("""COMPUTED_VALUE"""),245)</f>
        <v>245</v>
      </c>
      <c r="T205" s="1" t="str">
        <f ca="1">IFERROR(__xludf.DUMMYFUNCTION("""COMPUTED_VALUE"""),"+2.16")</f>
        <v>+2.16</v>
      </c>
      <c r="U205" s="1">
        <f ca="1">IFERROR(__xludf.DUMMYFUNCTION("""COMPUTED_VALUE"""),96)</f>
        <v>96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IFERROR(__xludf.DUMMYFUNCTION("""COMPUTED_VALUE"""),"Montana")</f>
        <v>Montana</v>
      </c>
      <c r="C206" s="1" t="str">
        <f ca="1">IFERROR(__xludf.DUMMYFUNCTION("""COMPUTED_VALUE"""),"BSky")</f>
        <v>BSky</v>
      </c>
      <c r="D206" s="1" t="str">
        <f ca="1">IFERROR(__xludf.DUMMYFUNCTION("""COMPUTED_VALUE"""),"14-16")</f>
        <v>14-16</v>
      </c>
      <c r="E206" s="1">
        <f ca="1">IFERROR(__xludf.DUMMYFUNCTION("""COMPUTED_VALUE"""),-3.52)</f>
        <v>-3.52</v>
      </c>
      <c r="F206" s="1">
        <f ca="1">IFERROR(__xludf.DUMMYFUNCTION("""COMPUTED_VALUE"""),106.9)</f>
        <v>106.9</v>
      </c>
      <c r="G206" s="1">
        <f ca="1">IFERROR(__xludf.DUMMYFUNCTION("""COMPUTED_VALUE"""),121)</f>
        <v>121</v>
      </c>
      <c r="H206" s="1">
        <f ca="1">IFERROR(__xludf.DUMMYFUNCTION("""COMPUTED_VALUE"""),110.4)</f>
        <v>110.4</v>
      </c>
      <c r="I206" s="1">
        <f ca="1">IFERROR(__xludf.DUMMYFUNCTION("""COMPUTED_VALUE"""),300)</f>
        <v>300</v>
      </c>
      <c r="J206" s="1">
        <f ca="1">IFERROR(__xludf.DUMMYFUNCTION("""COMPUTED_VALUE"""),62.2)</f>
        <v>62.2</v>
      </c>
      <c r="K206" s="1">
        <f ca="1">IFERROR(__xludf.DUMMYFUNCTION("""COMPUTED_VALUE"""),285)</f>
        <v>285</v>
      </c>
      <c r="L206" s="1">
        <f ca="1">IFERROR(__xludf.DUMMYFUNCTION("""COMPUTED_VALUE"""),-0.08)</f>
        <v>-0.08</v>
      </c>
      <c r="M206" s="1">
        <f ca="1">IFERROR(__xludf.DUMMYFUNCTION("""COMPUTED_VALUE"""),327)</f>
        <v>327</v>
      </c>
      <c r="N206" s="1">
        <f ca="1">IFERROR(__xludf.DUMMYFUNCTION("""COMPUTED_VALUE"""),-3.97)</f>
        <v>-3.97</v>
      </c>
      <c r="O206" s="1">
        <f ca="1">IFERROR(__xludf.DUMMYFUNCTION("""COMPUTED_VALUE"""),237)</f>
        <v>237</v>
      </c>
      <c r="P206" s="1">
        <f ca="1">IFERROR(__xludf.DUMMYFUNCTION("""COMPUTED_VALUE"""),101.9)</f>
        <v>101.9</v>
      </c>
      <c r="Q206" s="1">
        <f ca="1">IFERROR(__xludf.DUMMYFUNCTION("""COMPUTED_VALUE"""),227)</f>
        <v>227</v>
      </c>
      <c r="R206" s="1">
        <f ca="1">IFERROR(__xludf.DUMMYFUNCTION("""COMPUTED_VALUE"""),105.8)</f>
        <v>105.8</v>
      </c>
      <c r="S206" s="1">
        <f ca="1">IFERROR(__xludf.DUMMYFUNCTION("""COMPUTED_VALUE"""),249)</f>
        <v>249</v>
      </c>
      <c r="T206" s="1" t="str">
        <f ca="1">IFERROR(__xludf.DUMMYFUNCTION("""COMPUTED_VALUE"""),"+2.41")</f>
        <v>+2.41</v>
      </c>
      <c r="U206" s="1">
        <f ca="1">IFERROR(__xludf.DUMMYFUNCTION("""COMPUTED_VALUE"""),85)</f>
        <v>85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IFERROR(__xludf.DUMMYFUNCTION("""COMPUTED_VALUE"""),"Lipscomb")</f>
        <v>Lipscomb</v>
      </c>
      <c r="C207" s="1" t="str">
        <f ca="1">IFERROR(__xludf.DUMMYFUNCTION("""COMPUTED_VALUE"""),"ASun")</f>
        <v>ASun</v>
      </c>
      <c r="D207" s="1" t="str">
        <f ca="1">IFERROR(__xludf.DUMMYFUNCTION("""COMPUTED_VALUE"""),"15-16")</f>
        <v>15-16</v>
      </c>
      <c r="E207" s="1">
        <f ca="1">IFERROR(__xludf.DUMMYFUNCTION("""COMPUTED_VALUE"""),-3.59)</f>
        <v>-3.59</v>
      </c>
      <c r="F207" s="1">
        <f ca="1">IFERROR(__xludf.DUMMYFUNCTION("""COMPUTED_VALUE"""),101.3)</f>
        <v>101.3</v>
      </c>
      <c r="G207" s="1">
        <f ca="1">IFERROR(__xludf.DUMMYFUNCTION("""COMPUTED_VALUE"""),203)</f>
        <v>203</v>
      </c>
      <c r="H207" s="1">
        <f ca="1">IFERROR(__xludf.DUMMYFUNCTION("""COMPUTED_VALUE"""),104.9)</f>
        <v>104.9</v>
      </c>
      <c r="I207" s="1">
        <f ca="1">IFERROR(__xludf.DUMMYFUNCTION("""COMPUTED_VALUE"""),197)</f>
        <v>197</v>
      </c>
      <c r="J207" s="1">
        <f ca="1">IFERROR(__xludf.DUMMYFUNCTION("""COMPUTED_VALUE"""),66.2)</f>
        <v>66.2</v>
      </c>
      <c r="K207" s="1">
        <f ca="1">IFERROR(__xludf.DUMMYFUNCTION("""COMPUTED_VALUE"""),132)</f>
        <v>132</v>
      </c>
      <c r="L207" s="1">
        <f ca="1">IFERROR(__xludf.DUMMYFUNCTION("""COMPUTED_VALUE"""),-0.077)</f>
        <v>-7.6999999999999999E-2</v>
      </c>
      <c r="M207" s="1">
        <f ca="1">IFERROR(__xludf.DUMMYFUNCTION("""COMPUTED_VALUE"""),323)</f>
        <v>323</v>
      </c>
      <c r="N207" s="1">
        <f ca="1">IFERROR(__xludf.DUMMYFUNCTION("""COMPUTED_VALUE"""),-6.32)</f>
        <v>-6.32</v>
      </c>
      <c r="O207" s="1">
        <f ca="1">IFERROR(__xludf.DUMMYFUNCTION("""COMPUTED_VALUE"""),290)</f>
        <v>290</v>
      </c>
      <c r="P207" s="1">
        <f ca="1">IFERROR(__xludf.DUMMYFUNCTION("""COMPUTED_VALUE"""),99.8)</f>
        <v>99.8</v>
      </c>
      <c r="Q207" s="1">
        <f ca="1">IFERROR(__xludf.DUMMYFUNCTION("""COMPUTED_VALUE"""),298)</f>
        <v>298</v>
      </c>
      <c r="R207" s="1">
        <f ca="1">IFERROR(__xludf.DUMMYFUNCTION("""COMPUTED_VALUE"""),106.1)</f>
        <v>106.1</v>
      </c>
      <c r="S207" s="1">
        <f ca="1">IFERROR(__xludf.DUMMYFUNCTION("""COMPUTED_VALUE"""),263)</f>
        <v>263</v>
      </c>
      <c r="T207" s="1">
        <f ca="1">IFERROR(__xludf.DUMMYFUNCTION("""COMPUTED_VALUE"""),-2.59)</f>
        <v>-2.59</v>
      </c>
      <c r="U207" s="1">
        <f ca="1">IFERROR(__xludf.DUMMYFUNCTION("""COMPUTED_VALUE"""),229)</f>
        <v>229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IFERROR(__xludf.DUMMYFUNCTION("""COMPUTED_VALUE"""),"IPFW")</f>
        <v>IPFW</v>
      </c>
      <c r="C208" s="1" t="str">
        <f ca="1">IFERROR(__xludf.DUMMYFUNCTION("""COMPUTED_VALUE"""),"Sum")</f>
        <v>Sum</v>
      </c>
      <c r="D208" s="1" t="str">
        <f ca="1">IFERROR(__xludf.DUMMYFUNCTION("""COMPUTED_VALUE"""),"13-18")</f>
        <v>13-18</v>
      </c>
      <c r="E208" s="1">
        <f ca="1">IFERROR(__xludf.DUMMYFUNCTION("""COMPUTED_VALUE"""),-3.85)</f>
        <v>-3.85</v>
      </c>
      <c r="F208" s="1">
        <f ca="1">IFERROR(__xludf.DUMMYFUNCTION("""COMPUTED_VALUE"""),100.5)</f>
        <v>100.5</v>
      </c>
      <c r="G208" s="1">
        <f ca="1">IFERROR(__xludf.DUMMYFUNCTION("""COMPUTED_VALUE"""),218)</f>
        <v>218</v>
      </c>
      <c r="H208" s="1">
        <f ca="1">IFERROR(__xludf.DUMMYFUNCTION("""COMPUTED_VALUE"""),104.4)</f>
        <v>104.4</v>
      </c>
      <c r="I208" s="1">
        <f ca="1">IFERROR(__xludf.DUMMYFUNCTION("""COMPUTED_VALUE"""),186)</f>
        <v>186</v>
      </c>
      <c r="J208" s="1">
        <f ca="1">IFERROR(__xludf.DUMMYFUNCTION("""COMPUTED_VALUE"""),65.6)</f>
        <v>65.599999999999994</v>
      </c>
      <c r="K208" s="1">
        <f ca="1">IFERROR(__xludf.DUMMYFUNCTION("""COMPUTED_VALUE"""),151)</f>
        <v>151</v>
      </c>
      <c r="L208" s="1">
        <f ca="1">IFERROR(__xludf.DUMMYFUNCTION("""COMPUTED_VALUE"""),-0.006)</f>
        <v>-6.0000000000000001E-3</v>
      </c>
      <c r="M208" s="1">
        <f ca="1">IFERROR(__xludf.DUMMYFUNCTION("""COMPUTED_VALUE"""),187)</f>
        <v>187</v>
      </c>
      <c r="N208" s="1" t="str">
        <f ca="1">IFERROR(__xludf.DUMMYFUNCTION("""COMPUTED_VALUE"""),"+1.56")</f>
        <v>+1.56</v>
      </c>
      <c r="O208" s="1">
        <f ca="1">IFERROR(__xludf.DUMMYFUNCTION("""COMPUTED_VALUE"""),128)</f>
        <v>128</v>
      </c>
      <c r="P208" s="1">
        <f ca="1">IFERROR(__xludf.DUMMYFUNCTION("""COMPUTED_VALUE"""),105)</f>
        <v>105</v>
      </c>
      <c r="Q208" s="1">
        <f ca="1">IFERROR(__xludf.DUMMYFUNCTION("""COMPUTED_VALUE"""),109)</f>
        <v>109</v>
      </c>
      <c r="R208" s="1">
        <f ca="1">IFERROR(__xludf.DUMMYFUNCTION("""COMPUTED_VALUE"""),103.5)</f>
        <v>103.5</v>
      </c>
      <c r="S208" s="1">
        <f ca="1">IFERROR(__xludf.DUMMYFUNCTION("""COMPUTED_VALUE"""),158)</f>
        <v>158</v>
      </c>
      <c r="T208" s="1" t="str">
        <f ca="1">IFERROR(__xludf.DUMMYFUNCTION("""COMPUTED_VALUE"""),"+13.11")</f>
        <v>+13.11</v>
      </c>
      <c r="U208" s="1">
        <f ca="1">IFERROR(__xludf.DUMMYFUNCTION("""COMPUTED_VALUE"""),3)</f>
        <v>3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IFERROR(__xludf.DUMMYFUNCTION("""COMPUTED_VALUE"""),"Loyola Chicago")</f>
        <v>Loyola Chicago</v>
      </c>
      <c r="C209" s="1" t="str">
        <f ca="1">IFERROR(__xludf.DUMMYFUNCTION("""COMPUTED_VALUE"""),"Horz")</f>
        <v>Horz</v>
      </c>
      <c r="D209" s="2">
        <f ca="1">IFERROR(__xludf.DUMMYFUNCTION("""COMPUTED_VALUE"""),44914)</f>
        <v>44914</v>
      </c>
      <c r="E209" s="1">
        <f ca="1">IFERROR(__xludf.DUMMYFUNCTION("""COMPUTED_VALUE"""),-3.88)</f>
        <v>-3.88</v>
      </c>
      <c r="F209" s="1">
        <f ca="1">IFERROR(__xludf.DUMMYFUNCTION("""COMPUTED_VALUE"""),100.1)</f>
        <v>100.1</v>
      </c>
      <c r="G209" s="1">
        <f ca="1">IFERROR(__xludf.DUMMYFUNCTION("""COMPUTED_VALUE"""),220)</f>
        <v>220</v>
      </c>
      <c r="H209" s="1">
        <f ca="1">IFERROR(__xludf.DUMMYFUNCTION("""COMPUTED_VALUE"""),104)</f>
        <v>104</v>
      </c>
      <c r="I209" s="1">
        <f ca="1">IFERROR(__xludf.DUMMYFUNCTION("""COMPUTED_VALUE"""),178)</f>
        <v>178</v>
      </c>
      <c r="J209" s="1">
        <f ca="1">IFERROR(__xludf.DUMMYFUNCTION("""COMPUTED_VALUE"""),60.3)</f>
        <v>60.3</v>
      </c>
      <c r="K209" s="1">
        <f ca="1">IFERROR(__xludf.DUMMYFUNCTION("""COMPUTED_VALUE"""),322)</f>
        <v>322</v>
      </c>
      <c r="L209" s="1" t="str">
        <f ca="1">IFERROR(__xludf.DUMMYFUNCTION("""COMPUTED_VALUE"""),"+.037")</f>
        <v>+.037</v>
      </c>
      <c r="M209" s="1">
        <f ca="1">IFERROR(__xludf.DUMMYFUNCTION("""COMPUTED_VALUE"""),86)</f>
        <v>86</v>
      </c>
      <c r="N209" s="1" t="str">
        <f ca="1">IFERROR(__xludf.DUMMYFUNCTION("""COMPUTED_VALUE"""),"+2.28")</f>
        <v>+2.28</v>
      </c>
      <c r="O209" s="1">
        <f ca="1">IFERROR(__xludf.DUMMYFUNCTION("""COMPUTED_VALUE"""),116)</f>
        <v>116</v>
      </c>
      <c r="P209" s="1">
        <f ca="1">IFERROR(__xludf.DUMMYFUNCTION("""COMPUTED_VALUE"""),104.3)</f>
        <v>104.3</v>
      </c>
      <c r="Q209" s="1">
        <f ca="1">IFERROR(__xludf.DUMMYFUNCTION("""COMPUTED_VALUE"""),127)</f>
        <v>127</v>
      </c>
      <c r="R209" s="1">
        <f ca="1">IFERROR(__xludf.DUMMYFUNCTION("""COMPUTED_VALUE"""),102)</f>
        <v>102</v>
      </c>
      <c r="S209" s="1">
        <f ca="1">IFERROR(__xludf.DUMMYFUNCTION("""COMPUTED_VALUE"""),109)</f>
        <v>109</v>
      </c>
      <c r="T209" s="1" t="str">
        <f ca="1">IFERROR(__xludf.DUMMYFUNCTION("""COMPUTED_VALUE"""),"+1.49")</f>
        <v>+1.49</v>
      </c>
      <c r="U209" s="1">
        <f ca="1">IFERROR(__xludf.DUMMYFUNCTION("""COMPUTED_VALUE"""),108)</f>
        <v>108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IFERROR(__xludf.DUMMYFUNCTION("""COMPUTED_VALUE"""),"Navy")</f>
        <v>Navy</v>
      </c>
      <c r="C210" s="1" t="str">
        <f ca="1">IFERROR(__xludf.DUMMYFUNCTION("""COMPUTED_VALUE"""),"Pat")</f>
        <v>Pat</v>
      </c>
      <c r="D210" s="1" t="str">
        <f ca="1">IFERROR(__xludf.DUMMYFUNCTION("""COMPUTED_VALUE"""),"16-14")</f>
        <v>16-14</v>
      </c>
      <c r="E210" s="1">
        <f ca="1">IFERROR(__xludf.DUMMYFUNCTION("""COMPUTED_VALUE"""),-3.92)</f>
        <v>-3.92</v>
      </c>
      <c r="F210" s="1">
        <f ca="1">IFERROR(__xludf.DUMMYFUNCTION("""COMPUTED_VALUE"""),101.5)</f>
        <v>101.5</v>
      </c>
      <c r="G210" s="1">
        <f ca="1">IFERROR(__xludf.DUMMYFUNCTION("""COMPUTED_VALUE"""),199)</f>
        <v>199</v>
      </c>
      <c r="H210" s="1">
        <f ca="1">IFERROR(__xludf.DUMMYFUNCTION("""COMPUTED_VALUE"""),105.4)</f>
        <v>105.4</v>
      </c>
      <c r="I210" s="1">
        <f ca="1">IFERROR(__xludf.DUMMYFUNCTION("""COMPUTED_VALUE"""),203)</f>
        <v>203</v>
      </c>
      <c r="J210" s="1">
        <f ca="1">IFERROR(__xludf.DUMMYFUNCTION("""COMPUTED_VALUE"""),73.3)</f>
        <v>73.3</v>
      </c>
      <c r="K210" s="1">
        <f ca="1">IFERROR(__xludf.DUMMYFUNCTION("""COMPUTED_VALUE"""),6)</f>
        <v>6</v>
      </c>
      <c r="L210" s="1">
        <f ca="1">IFERROR(__xludf.DUMMYFUNCTION("""COMPUTED_VALUE"""),-0.069)</f>
        <v>-6.9000000000000006E-2</v>
      </c>
      <c r="M210" s="1">
        <f ca="1">IFERROR(__xludf.DUMMYFUNCTION("""COMPUTED_VALUE"""),317)</f>
        <v>317</v>
      </c>
      <c r="N210" s="1">
        <f ca="1">IFERROR(__xludf.DUMMYFUNCTION("""COMPUTED_VALUE"""),-8.48)</f>
        <v>-8.48</v>
      </c>
      <c r="O210" s="1">
        <f ca="1">IFERROR(__xludf.DUMMYFUNCTION("""COMPUTED_VALUE"""),318)</f>
        <v>318</v>
      </c>
      <c r="P210" s="1">
        <f ca="1">IFERROR(__xludf.DUMMYFUNCTION("""COMPUTED_VALUE"""),97.3)</f>
        <v>97.3</v>
      </c>
      <c r="Q210" s="1">
        <f ca="1">IFERROR(__xludf.DUMMYFUNCTION("""COMPUTED_VALUE"""),327)</f>
        <v>327</v>
      </c>
      <c r="R210" s="1">
        <f ca="1">IFERROR(__xludf.DUMMYFUNCTION("""COMPUTED_VALUE"""),105.7)</f>
        <v>105.7</v>
      </c>
      <c r="S210" s="1">
        <f ca="1">IFERROR(__xludf.DUMMYFUNCTION("""COMPUTED_VALUE"""),242)</f>
        <v>242</v>
      </c>
      <c r="T210" s="1">
        <f ca="1">IFERROR(__xludf.DUMMYFUNCTION("""COMPUTED_VALUE"""),-11.64)</f>
        <v>-11.64</v>
      </c>
      <c r="U210" s="1">
        <f ca="1">IFERROR(__xludf.DUMMYFUNCTION("""COMPUTED_VALUE"""),339)</f>
        <v>339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IFERROR(__xludf.DUMMYFUNCTION("""COMPUTED_VALUE"""),"Central Connecticut")</f>
        <v>Central Connecticut</v>
      </c>
      <c r="C213" s="1" t="str">
        <f ca="1">IFERROR(__xludf.DUMMYFUNCTION("""COMPUTED_VALUE"""),"NEC")</f>
        <v>NEC</v>
      </c>
      <c r="D213" s="1" t="str">
        <f ca="1">IFERROR(__xludf.DUMMYFUNCTION("""COMPUTED_VALUE"""),"14-16")</f>
        <v>14-16</v>
      </c>
      <c r="E213" s="1">
        <f ca="1">IFERROR(__xludf.DUMMYFUNCTION("""COMPUTED_VALUE"""),-3.96)</f>
        <v>-3.96</v>
      </c>
      <c r="F213" s="1">
        <f ca="1">IFERROR(__xludf.DUMMYFUNCTION("""COMPUTED_VALUE"""),104.3)</f>
        <v>104.3</v>
      </c>
      <c r="G213" s="1">
        <f ca="1">IFERROR(__xludf.DUMMYFUNCTION("""COMPUTED_VALUE"""),163)</f>
        <v>163</v>
      </c>
      <c r="H213" s="1">
        <f ca="1">IFERROR(__xludf.DUMMYFUNCTION("""COMPUTED_VALUE"""),108.3)</f>
        <v>108.3</v>
      </c>
      <c r="I213" s="1">
        <f ca="1">IFERROR(__xludf.DUMMYFUNCTION("""COMPUTED_VALUE"""),257)</f>
        <v>257</v>
      </c>
      <c r="J213" s="1">
        <f ca="1">IFERROR(__xludf.DUMMYFUNCTION("""COMPUTED_VALUE"""),62.5)</f>
        <v>62.5</v>
      </c>
      <c r="K213" s="1">
        <f ca="1">IFERROR(__xludf.DUMMYFUNCTION("""COMPUTED_VALUE"""),278)</f>
        <v>278</v>
      </c>
      <c r="L213" s="1">
        <f ca="1">IFERROR(__xludf.DUMMYFUNCTION("""COMPUTED_VALUE"""),-0.07)</f>
        <v>-7.0000000000000007E-2</v>
      </c>
      <c r="M213" s="1">
        <f ca="1">IFERROR(__xludf.DUMMYFUNCTION("""COMPUTED_VALUE"""),319)</f>
        <v>319</v>
      </c>
      <c r="N213" s="1">
        <f ca="1">IFERROR(__xludf.DUMMYFUNCTION("""COMPUTED_VALUE"""),-6.62)</f>
        <v>-6.62</v>
      </c>
      <c r="O213" s="1">
        <f ca="1">IFERROR(__xludf.DUMMYFUNCTION("""COMPUTED_VALUE"""),294)</f>
        <v>294</v>
      </c>
      <c r="P213" s="1">
        <f ca="1">IFERROR(__xludf.DUMMYFUNCTION("""COMPUTED_VALUE"""),100.5)</f>
        <v>100.5</v>
      </c>
      <c r="Q213" s="1">
        <f ca="1">IFERROR(__xludf.DUMMYFUNCTION("""COMPUTED_VALUE"""),280)</f>
        <v>280</v>
      </c>
      <c r="R213" s="1">
        <f ca="1">IFERROR(__xludf.DUMMYFUNCTION("""COMPUTED_VALUE"""),107.1)</f>
        <v>107.1</v>
      </c>
      <c r="S213" s="1">
        <f ca="1">IFERROR(__xludf.DUMMYFUNCTION("""COMPUTED_VALUE"""),305)</f>
        <v>305</v>
      </c>
      <c r="T213" s="1">
        <f ca="1">IFERROR(__xludf.DUMMYFUNCTION("""COMPUTED_VALUE"""),-3.13)</f>
        <v>-3.13</v>
      </c>
      <c r="U213" s="1">
        <f ca="1">IFERROR(__xludf.DUMMYFUNCTION("""COMPUTED_VALUE"""),250)</f>
        <v>250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IFERROR(__xludf.DUMMYFUNCTION("""COMPUTED_VALUE"""),"Murray St.")</f>
        <v>Murray St.</v>
      </c>
      <c r="C214" s="1" t="str">
        <f ca="1">IFERROR(__xludf.DUMMYFUNCTION("""COMPUTED_VALUE"""),"OVC")</f>
        <v>OVC</v>
      </c>
      <c r="D214" s="1" t="str">
        <f ca="1">IFERROR(__xludf.DUMMYFUNCTION("""COMPUTED_VALUE"""),"18-13")</f>
        <v>18-13</v>
      </c>
      <c r="E214" s="1">
        <f ca="1">IFERROR(__xludf.DUMMYFUNCTION("""COMPUTED_VALUE"""),-3.97)</f>
        <v>-3.97</v>
      </c>
      <c r="F214" s="1">
        <f ca="1">IFERROR(__xludf.DUMMYFUNCTION("""COMPUTED_VALUE"""),104.3)</f>
        <v>104.3</v>
      </c>
      <c r="G214" s="1">
        <f ca="1">IFERROR(__xludf.DUMMYFUNCTION("""COMPUTED_VALUE"""),164)</f>
        <v>164</v>
      </c>
      <c r="H214" s="1">
        <f ca="1">IFERROR(__xludf.DUMMYFUNCTION("""COMPUTED_VALUE"""),108.3)</f>
        <v>108.3</v>
      </c>
      <c r="I214" s="1">
        <f ca="1">IFERROR(__xludf.DUMMYFUNCTION("""COMPUTED_VALUE"""),256)</f>
        <v>256</v>
      </c>
      <c r="J214" s="1">
        <f ca="1">IFERROR(__xludf.DUMMYFUNCTION("""COMPUTED_VALUE"""),63.8)</f>
        <v>63.8</v>
      </c>
      <c r="K214" s="1">
        <f ca="1">IFERROR(__xludf.DUMMYFUNCTION("""COMPUTED_VALUE"""),227)</f>
        <v>227</v>
      </c>
      <c r="L214" s="1">
        <f ca="1">IFERROR(__xludf.DUMMYFUNCTION("""COMPUTED_VALUE"""),-0.023)</f>
        <v>-2.3E-2</v>
      </c>
      <c r="M214" s="1">
        <f ca="1">IFERROR(__xludf.DUMMYFUNCTION("""COMPUTED_VALUE"""),226)</f>
        <v>226</v>
      </c>
      <c r="N214" s="1">
        <f ca="1">IFERROR(__xludf.DUMMYFUNCTION("""COMPUTED_VALUE"""),-8.8)</f>
        <v>-8.8000000000000007</v>
      </c>
      <c r="O214" s="1">
        <f ca="1">IFERROR(__xludf.DUMMYFUNCTION("""COMPUTED_VALUE"""),321)</f>
        <v>321</v>
      </c>
      <c r="P214" s="1">
        <f ca="1">IFERROR(__xludf.DUMMYFUNCTION("""COMPUTED_VALUE"""),100.8)</f>
        <v>100.8</v>
      </c>
      <c r="Q214" s="1">
        <f ca="1">IFERROR(__xludf.DUMMYFUNCTION("""COMPUTED_VALUE"""),271)</f>
        <v>271</v>
      </c>
      <c r="R214" s="1">
        <f ca="1">IFERROR(__xludf.DUMMYFUNCTION("""COMPUTED_VALUE"""),109.6)</f>
        <v>109.6</v>
      </c>
      <c r="S214" s="1">
        <f ca="1">IFERROR(__xludf.DUMMYFUNCTION("""COMPUTED_VALUE"""),340)</f>
        <v>340</v>
      </c>
      <c r="T214" s="1" t="str">
        <f ca="1">IFERROR(__xludf.DUMMYFUNCTION("""COMPUTED_VALUE"""),"+4.03")</f>
        <v>+4.03</v>
      </c>
      <c r="U214" s="1">
        <f ca="1">IFERROR(__xludf.DUMMYFUNCTION("""COMPUTED_VALUE"""),57)</f>
        <v>57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IFERROR(__xludf.DUMMYFUNCTION("""COMPUTED_VALUE"""),"Wofford")</f>
        <v>Wofford</v>
      </c>
      <c r="C215" s="1" t="str">
        <f ca="1">IFERROR(__xludf.DUMMYFUNCTION("""COMPUTED_VALUE"""),"SC")</f>
        <v>SC</v>
      </c>
      <c r="D215" s="1" t="str">
        <f ca="1">IFERROR(__xludf.DUMMYFUNCTION("""COMPUTED_VALUE"""),"16-16")</f>
        <v>16-16</v>
      </c>
      <c r="E215" s="1">
        <f ca="1">IFERROR(__xludf.DUMMYFUNCTION("""COMPUTED_VALUE"""),-4.05)</f>
        <v>-4.05</v>
      </c>
      <c r="F215" s="1">
        <f ca="1">IFERROR(__xludf.DUMMYFUNCTION("""COMPUTED_VALUE"""),106.7)</f>
        <v>106.7</v>
      </c>
      <c r="G215" s="1">
        <f ca="1">IFERROR(__xludf.DUMMYFUNCTION("""COMPUTED_VALUE"""),122)</f>
        <v>122</v>
      </c>
      <c r="H215" s="1">
        <f ca="1">IFERROR(__xludf.DUMMYFUNCTION("""COMPUTED_VALUE"""),110.8)</f>
        <v>110.8</v>
      </c>
      <c r="I215" s="1">
        <f ca="1">IFERROR(__xludf.DUMMYFUNCTION("""COMPUTED_VALUE"""),304)</f>
        <v>304</v>
      </c>
      <c r="J215" s="1">
        <f ca="1">IFERROR(__xludf.DUMMYFUNCTION("""COMPUTED_VALUE"""),61.2)</f>
        <v>61.2</v>
      </c>
      <c r="K215" s="1">
        <f ca="1">IFERROR(__xludf.DUMMYFUNCTION("""COMPUTED_VALUE"""),304)</f>
        <v>304</v>
      </c>
      <c r="L215" s="1" t="str">
        <f ca="1">IFERROR(__xludf.DUMMYFUNCTION("""COMPUTED_VALUE"""),"+.034")</f>
        <v>+.034</v>
      </c>
      <c r="M215" s="1">
        <f ca="1">IFERROR(__xludf.DUMMYFUNCTION("""COMPUTED_VALUE"""),92)</f>
        <v>92</v>
      </c>
      <c r="N215" s="1" t="str">
        <f ca="1">IFERROR(__xludf.DUMMYFUNCTION("""COMPUTED_VALUE"""),"+1.17")</f>
        <v>+1.17</v>
      </c>
      <c r="O215" s="1">
        <f ca="1">IFERROR(__xludf.DUMMYFUNCTION("""COMPUTED_VALUE"""),136)</f>
        <v>136</v>
      </c>
      <c r="P215" s="1">
        <f ca="1">IFERROR(__xludf.DUMMYFUNCTION("""COMPUTED_VALUE"""),104)</f>
        <v>104</v>
      </c>
      <c r="Q215" s="1">
        <f ca="1">IFERROR(__xludf.DUMMYFUNCTION("""COMPUTED_VALUE"""),146)</f>
        <v>146</v>
      </c>
      <c r="R215" s="1">
        <f ca="1">IFERROR(__xludf.DUMMYFUNCTION("""COMPUTED_VALUE"""),102.9)</f>
        <v>102.9</v>
      </c>
      <c r="S215" s="1">
        <f ca="1">IFERROR(__xludf.DUMMYFUNCTION("""COMPUTED_VALUE"""),142)</f>
        <v>142</v>
      </c>
      <c r="T215" s="1" t="str">
        <f ca="1">IFERROR(__xludf.DUMMYFUNCTION("""COMPUTED_VALUE"""),"+11.09")</f>
        <v>+11.09</v>
      </c>
      <c r="U215" s="1">
        <f ca="1">IFERROR(__xludf.DUMMYFUNCTION("""COMPUTED_VALUE"""),8)</f>
        <v>8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IFERROR(__xludf.DUMMYFUNCTION("""COMPUTED_VALUE"""),"Bowling Green")</f>
        <v>Bowling Green</v>
      </c>
      <c r="C216" s="1" t="str">
        <f ca="1">IFERROR(__xludf.DUMMYFUNCTION("""COMPUTED_VALUE"""),"MAC")</f>
        <v>MAC</v>
      </c>
      <c r="D216" s="1" t="str">
        <f ca="1">IFERROR(__xludf.DUMMYFUNCTION("""COMPUTED_VALUE"""),"13-17")</f>
        <v>13-17</v>
      </c>
      <c r="E216" s="1">
        <f ca="1">IFERROR(__xludf.DUMMYFUNCTION("""COMPUTED_VALUE"""),-4.3)</f>
        <v>-4.3</v>
      </c>
      <c r="F216" s="1">
        <f ca="1">IFERROR(__xludf.DUMMYFUNCTION("""COMPUTED_VALUE"""),100.5)</f>
        <v>100.5</v>
      </c>
      <c r="G216" s="1">
        <f ca="1">IFERROR(__xludf.DUMMYFUNCTION("""COMPUTED_VALUE"""),217)</f>
        <v>217</v>
      </c>
      <c r="H216" s="1">
        <f ca="1">IFERROR(__xludf.DUMMYFUNCTION("""COMPUTED_VALUE"""),104.8)</f>
        <v>104.8</v>
      </c>
      <c r="I216" s="1">
        <f ca="1">IFERROR(__xludf.DUMMYFUNCTION("""COMPUTED_VALUE"""),194)</f>
        <v>194</v>
      </c>
      <c r="J216" s="1">
        <f ca="1">IFERROR(__xludf.DUMMYFUNCTION("""COMPUTED_VALUE"""),63.7)</f>
        <v>63.7</v>
      </c>
      <c r="K216" s="1">
        <f ca="1">IFERROR(__xludf.DUMMYFUNCTION("""COMPUTED_VALUE"""),229)</f>
        <v>229</v>
      </c>
      <c r="L216" s="1" t="str">
        <f ca="1">IFERROR(__xludf.DUMMYFUNCTION("""COMPUTED_VALUE"""),"+.050")</f>
        <v>+.050</v>
      </c>
      <c r="M216" s="1">
        <f ca="1">IFERROR(__xludf.DUMMYFUNCTION("""COMPUTED_VALUE"""),54)</f>
        <v>54</v>
      </c>
      <c r="N216" s="1" t="str">
        <f ca="1">IFERROR(__xludf.DUMMYFUNCTION("""COMPUTED_VALUE"""),"+0.84")</f>
        <v>+0.84</v>
      </c>
      <c r="O216" s="1">
        <f ca="1">IFERROR(__xludf.DUMMYFUNCTION("""COMPUTED_VALUE"""),143)</f>
        <v>143</v>
      </c>
      <c r="P216" s="1">
        <f ca="1">IFERROR(__xludf.DUMMYFUNCTION("""COMPUTED_VALUE"""),103.9)</f>
        <v>103.9</v>
      </c>
      <c r="Q216" s="1">
        <f ca="1">IFERROR(__xludf.DUMMYFUNCTION("""COMPUTED_VALUE"""),152)</f>
        <v>152</v>
      </c>
      <c r="R216" s="1">
        <f ca="1">IFERROR(__xludf.DUMMYFUNCTION("""COMPUTED_VALUE"""),103.1)</f>
        <v>103.1</v>
      </c>
      <c r="S216" s="1">
        <f ca="1">IFERROR(__xludf.DUMMYFUNCTION("""COMPUTED_VALUE"""),147)</f>
        <v>147</v>
      </c>
      <c r="T216" s="1">
        <f ca="1">IFERROR(__xludf.DUMMYFUNCTION("""COMPUTED_VALUE"""),-0.86)</f>
        <v>-0.86</v>
      </c>
      <c r="U216" s="1">
        <f ca="1">IFERROR(__xludf.DUMMYFUNCTION("""COMPUTED_VALUE"""),172)</f>
        <v>172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IFERROR(__xludf.DUMMYFUNCTION("""COMPUTED_VALUE"""),"Liberty")</f>
        <v>Liberty</v>
      </c>
      <c r="C217" s="1" t="str">
        <f ca="1">IFERROR(__xludf.DUMMYFUNCTION("""COMPUTED_VALUE"""),"BSth")</f>
        <v>BSth</v>
      </c>
      <c r="D217" s="1" t="str">
        <f ca="1">IFERROR(__xludf.DUMMYFUNCTION("""COMPUTED_VALUE"""),"16-16")</f>
        <v>16-16</v>
      </c>
      <c r="E217" s="1">
        <f ca="1">IFERROR(__xludf.DUMMYFUNCTION("""COMPUTED_VALUE"""),-4.55)</f>
        <v>-4.55</v>
      </c>
      <c r="F217" s="1">
        <f ca="1">IFERROR(__xludf.DUMMYFUNCTION("""COMPUTED_VALUE"""),103.6)</f>
        <v>103.6</v>
      </c>
      <c r="G217" s="1">
        <f ca="1">IFERROR(__xludf.DUMMYFUNCTION("""COMPUTED_VALUE"""),173)</f>
        <v>173</v>
      </c>
      <c r="H217" s="1">
        <f ca="1">IFERROR(__xludf.DUMMYFUNCTION("""COMPUTED_VALUE"""),108.2)</f>
        <v>108.2</v>
      </c>
      <c r="I217" s="1">
        <f ca="1">IFERROR(__xludf.DUMMYFUNCTION("""COMPUTED_VALUE"""),255)</f>
        <v>255</v>
      </c>
      <c r="J217" s="1">
        <f ca="1">IFERROR(__xludf.DUMMYFUNCTION("""COMPUTED_VALUE"""),62.3)</f>
        <v>62.3</v>
      </c>
      <c r="K217" s="1">
        <f ca="1">IFERROR(__xludf.DUMMYFUNCTION("""COMPUTED_VALUE"""),284)</f>
        <v>284</v>
      </c>
      <c r="L217" s="1">
        <f ca="1">IFERROR(__xludf.DUMMYFUNCTION("""COMPUTED_VALUE"""),-0.063)</f>
        <v>-6.3E-2</v>
      </c>
      <c r="M217" s="1">
        <f ca="1">IFERROR(__xludf.DUMMYFUNCTION("""COMPUTED_VALUE"""),309)</f>
        <v>309</v>
      </c>
      <c r="N217" s="1">
        <f ca="1">IFERROR(__xludf.DUMMYFUNCTION("""COMPUTED_VALUE"""),-6.02)</f>
        <v>-6.02</v>
      </c>
      <c r="O217" s="1">
        <f ca="1">IFERROR(__xludf.DUMMYFUNCTION("""COMPUTED_VALUE"""),282)</f>
        <v>282</v>
      </c>
      <c r="P217" s="1">
        <f ca="1">IFERROR(__xludf.DUMMYFUNCTION("""COMPUTED_VALUE"""),101.8)</f>
        <v>101.8</v>
      </c>
      <c r="Q217" s="1">
        <f ca="1">IFERROR(__xludf.DUMMYFUNCTION("""COMPUTED_VALUE"""),233)</f>
        <v>233</v>
      </c>
      <c r="R217" s="1">
        <f ca="1">IFERROR(__xludf.DUMMYFUNCTION("""COMPUTED_VALUE"""),107.8)</f>
        <v>107.8</v>
      </c>
      <c r="S217" s="1">
        <f ca="1">IFERROR(__xludf.DUMMYFUNCTION("""COMPUTED_VALUE"""),319)</f>
        <v>319</v>
      </c>
      <c r="T217" s="1">
        <f ca="1">IFERROR(__xludf.DUMMYFUNCTION("""COMPUTED_VALUE"""),-3.33)</f>
        <v>-3.33</v>
      </c>
      <c r="U217" s="1">
        <f ca="1">IFERROR(__xludf.DUMMYFUNCTION("""COMPUTED_VALUE"""),253)</f>
        <v>253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IFERROR(__xludf.DUMMYFUNCTION("""COMPUTED_VALUE"""),"Alabama St.8")</f>
        <v>Alabama St.8</v>
      </c>
      <c r="C218" s="1" t="str">
        <f ca="1">IFERROR(__xludf.DUMMYFUNCTION("""COMPUTED_VALUE"""),"SWAC")</f>
        <v>SWAC</v>
      </c>
      <c r="D218" s="1" t="str">
        <f ca="1">IFERROR(__xludf.DUMMYFUNCTION("""COMPUTED_VALUE"""),"20-11")</f>
        <v>20-11</v>
      </c>
      <c r="E218" s="1">
        <f ca="1">IFERROR(__xludf.DUMMYFUNCTION("""COMPUTED_VALUE"""),-4.55)</f>
        <v>-4.55</v>
      </c>
      <c r="F218" s="1">
        <f ca="1">IFERROR(__xludf.DUMMYFUNCTION("""COMPUTED_VALUE"""),102)</f>
        <v>102</v>
      </c>
      <c r="G218" s="1">
        <f ca="1">IFERROR(__xludf.DUMMYFUNCTION("""COMPUTED_VALUE"""),193)</f>
        <v>193</v>
      </c>
      <c r="H218" s="1">
        <f ca="1">IFERROR(__xludf.DUMMYFUNCTION("""COMPUTED_VALUE"""),106.5)</f>
        <v>106.5</v>
      </c>
      <c r="I218" s="1">
        <f ca="1">IFERROR(__xludf.DUMMYFUNCTION("""COMPUTED_VALUE"""),222)</f>
        <v>222</v>
      </c>
      <c r="J218" s="1">
        <f ca="1">IFERROR(__xludf.DUMMYFUNCTION("""COMPUTED_VALUE"""),64.3)</f>
        <v>64.3</v>
      </c>
      <c r="K218" s="1">
        <f ca="1">IFERROR(__xludf.DUMMYFUNCTION("""COMPUTED_VALUE"""),200)</f>
        <v>200</v>
      </c>
      <c r="L218" s="1">
        <f ca="1">IFERROR(__xludf.DUMMYFUNCTION("""COMPUTED_VALUE"""),-0.034)</f>
        <v>-3.4000000000000002E-2</v>
      </c>
      <c r="M218" s="1">
        <f ca="1">IFERROR(__xludf.DUMMYFUNCTION("""COMPUTED_VALUE"""),257)</f>
        <v>257</v>
      </c>
      <c r="N218" s="1">
        <f ca="1">IFERROR(__xludf.DUMMYFUNCTION("""COMPUTED_VALUE"""),-13.98)</f>
        <v>-13.98</v>
      </c>
      <c r="O218" s="1">
        <f ca="1">IFERROR(__xludf.DUMMYFUNCTION("""COMPUTED_VALUE"""),340)</f>
        <v>340</v>
      </c>
      <c r="P218" s="1">
        <f ca="1">IFERROR(__xludf.DUMMYFUNCTION("""COMPUTED_VALUE"""),94.8)</f>
        <v>94.8</v>
      </c>
      <c r="Q218" s="1">
        <f ca="1">IFERROR(__xludf.DUMMYFUNCTION("""COMPUTED_VALUE"""),339)</f>
        <v>339</v>
      </c>
      <c r="R218" s="1">
        <f ca="1">IFERROR(__xludf.DUMMYFUNCTION("""COMPUTED_VALUE"""),108.8)</f>
        <v>108.8</v>
      </c>
      <c r="S218" s="1">
        <f ca="1">IFERROR(__xludf.DUMMYFUNCTION("""COMPUTED_VALUE"""),332)</f>
        <v>332</v>
      </c>
      <c r="T218" s="1" t="str">
        <f ca="1">IFERROR(__xludf.DUMMYFUNCTION("""COMPUTED_VALUE"""),"+5.71")</f>
        <v>+5.71</v>
      </c>
      <c r="U218" s="1">
        <f ca="1">IFERROR(__xludf.DUMMYFUNCTION("""COMPUTED_VALUE"""),35)</f>
        <v>35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IFERROR(__xludf.DUMMYFUNCTION("""COMPUTED_VALUE"""),"Delaware")</f>
        <v>Delaware</v>
      </c>
      <c r="C219" s="1" t="str">
        <f ca="1">IFERROR(__xludf.DUMMYFUNCTION("""COMPUTED_VALUE"""),"CAA")</f>
        <v>CAA</v>
      </c>
      <c r="D219" s="1" t="str">
        <f ca="1">IFERROR(__xludf.DUMMYFUNCTION("""COMPUTED_VALUE"""),"14-17")</f>
        <v>14-17</v>
      </c>
      <c r="E219" s="1">
        <f ca="1">IFERROR(__xludf.DUMMYFUNCTION("""COMPUTED_VALUE"""),-4.57)</f>
        <v>-4.57</v>
      </c>
      <c r="F219" s="1">
        <f ca="1">IFERROR(__xludf.DUMMYFUNCTION("""COMPUTED_VALUE"""),97.7)</f>
        <v>97.7</v>
      </c>
      <c r="G219" s="1">
        <f ca="1">IFERROR(__xludf.DUMMYFUNCTION("""COMPUTED_VALUE"""),256)</f>
        <v>256</v>
      </c>
      <c r="H219" s="1">
        <f ca="1">IFERROR(__xludf.DUMMYFUNCTION("""COMPUTED_VALUE"""),102.3)</f>
        <v>102.3</v>
      </c>
      <c r="I219" s="1">
        <f ca="1">IFERROR(__xludf.DUMMYFUNCTION("""COMPUTED_VALUE"""),142)</f>
        <v>142</v>
      </c>
      <c r="J219" s="1">
        <f ca="1">IFERROR(__xludf.DUMMYFUNCTION("""COMPUTED_VALUE"""),64.9)</f>
        <v>64.900000000000006</v>
      </c>
      <c r="K219" s="1">
        <f ca="1">IFERROR(__xludf.DUMMYFUNCTION("""COMPUTED_VALUE"""),177)</f>
        <v>177</v>
      </c>
      <c r="L219" s="1" t="str">
        <f ca="1">IFERROR(__xludf.DUMMYFUNCTION("""COMPUTED_VALUE"""),"+.056")</f>
        <v>+.056</v>
      </c>
      <c r="M219" s="1">
        <f ca="1">IFERROR(__xludf.DUMMYFUNCTION("""COMPUTED_VALUE"""),47)</f>
        <v>47</v>
      </c>
      <c r="N219" s="1">
        <f ca="1">IFERROR(__xludf.DUMMYFUNCTION("""COMPUTED_VALUE"""),-0.86)</f>
        <v>-0.86</v>
      </c>
      <c r="O219" s="1">
        <f ca="1">IFERROR(__xludf.DUMMYFUNCTION("""COMPUTED_VALUE"""),173)</f>
        <v>173</v>
      </c>
      <c r="P219" s="1">
        <f ca="1">IFERROR(__xludf.DUMMYFUNCTION("""COMPUTED_VALUE"""),101.7)</f>
        <v>101.7</v>
      </c>
      <c r="Q219" s="1">
        <f ca="1">IFERROR(__xludf.DUMMYFUNCTION("""COMPUTED_VALUE"""),234)</f>
        <v>234</v>
      </c>
      <c r="R219" s="1">
        <f ca="1">IFERROR(__xludf.DUMMYFUNCTION("""COMPUTED_VALUE"""),102.6)</f>
        <v>102.6</v>
      </c>
      <c r="S219" s="1">
        <f ca="1">IFERROR(__xludf.DUMMYFUNCTION("""COMPUTED_VALUE"""),129)</f>
        <v>129</v>
      </c>
      <c r="T219" s="1" t="str">
        <f ca="1">IFERROR(__xludf.DUMMYFUNCTION("""COMPUTED_VALUE"""),"+1.63")</f>
        <v>+1.63</v>
      </c>
      <c r="U219" s="1">
        <f ca="1">IFERROR(__xludf.DUMMYFUNCTION("""COMPUTED_VALUE"""),103)</f>
        <v>103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IFERROR(__xludf.DUMMYFUNCTION("""COMPUTED_VALUE"""),"Southeastern Louisiana")</f>
        <v>Southeastern Louisiana</v>
      </c>
      <c r="C220" s="1" t="str">
        <f ca="1">IFERROR(__xludf.DUMMYFUNCTION("""COMPUTED_VALUE"""),"Slnd")</f>
        <v>Slnd</v>
      </c>
      <c r="D220" s="1" t="str">
        <f ca="1">IFERROR(__xludf.DUMMYFUNCTION("""COMPUTED_VALUE"""),"17-13")</f>
        <v>17-13</v>
      </c>
      <c r="E220" s="1">
        <f ca="1">IFERROR(__xludf.DUMMYFUNCTION("""COMPUTED_VALUE"""),-4.59)</f>
        <v>-4.59</v>
      </c>
      <c r="F220" s="1">
        <f ca="1">IFERROR(__xludf.DUMMYFUNCTION("""COMPUTED_VALUE"""),95.9)</f>
        <v>95.9</v>
      </c>
      <c r="G220" s="1">
        <f ca="1">IFERROR(__xludf.DUMMYFUNCTION("""COMPUTED_VALUE"""),284)</f>
        <v>284</v>
      </c>
      <c r="H220" s="1">
        <f ca="1">IFERROR(__xludf.DUMMYFUNCTION("""COMPUTED_VALUE"""),100.5)</f>
        <v>100.5</v>
      </c>
      <c r="I220" s="1">
        <f ca="1">IFERROR(__xludf.DUMMYFUNCTION("""COMPUTED_VALUE"""),103)</f>
        <v>103</v>
      </c>
      <c r="J220" s="1">
        <f ca="1">IFERROR(__xludf.DUMMYFUNCTION("""COMPUTED_VALUE"""),64.1)</f>
        <v>64.099999999999994</v>
      </c>
      <c r="K220" s="1">
        <f ca="1">IFERROR(__xludf.DUMMYFUNCTION("""COMPUTED_VALUE"""),213)</f>
        <v>213</v>
      </c>
      <c r="L220" s="1" t="str">
        <f ca="1">IFERROR(__xludf.DUMMYFUNCTION("""COMPUTED_VALUE"""),"+.002")</f>
        <v>+.002</v>
      </c>
      <c r="M220" s="1">
        <f ca="1">IFERROR(__xludf.DUMMYFUNCTION("""COMPUTED_VALUE"""),162)</f>
        <v>162</v>
      </c>
      <c r="N220" s="1">
        <f ca="1">IFERROR(__xludf.DUMMYFUNCTION("""COMPUTED_VALUE"""),-4.98)</f>
        <v>-4.9800000000000004</v>
      </c>
      <c r="O220" s="1">
        <f ca="1">IFERROR(__xludf.DUMMYFUNCTION("""COMPUTED_VALUE"""),258)</f>
        <v>258</v>
      </c>
      <c r="P220" s="1">
        <f ca="1">IFERROR(__xludf.DUMMYFUNCTION("""COMPUTED_VALUE"""),99.5)</f>
        <v>99.5</v>
      </c>
      <c r="Q220" s="1">
        <f ca="1">IFERROR(__xludf.DUMMYFUNCTION("""COMPUTED_VALUE"""),302)</f>
        <v>302</v>
      </c>
      <c r="R220" s="1">
        <f ca="1">IFERROR(__xludf.DUMMYFUNCTION("""COMPUTED_VALUE"""),104.5)</f>
        <v>104.5</v>
      </c>
      <c r="S220" s="1">
        <f ca="1">IFERROR(__xludf.DUMMYFUNCTION("""COMPUTED_VALUE"""),192)</f>
        <v>192</v>
      </c>
      <c r="T220" s="1">
        <f ca="1">IFERROR(__xludf.DUMMYFUNCTION("""COMPUTED_VALUE"""),-0.17)</f>
        <v>-0.17</v>
      </c>
      <c r="U220" s="1">
        <f ca="1">IFERROR(__xludf.DUMMYFUNCTION("""COMPUTED_VALUE"""),153)</f>
        <v>153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IFERROR(__xludf.DUMMYFUNCTION("""COMPUTED_VALUE"""),"Sacred Heart")</f>
        <v>Sacred Heart</v>
      </c>
      <c r="C221" s="1" t="str">
        <f ca="1">IFERROR(__xludf.DUMMYFUNCTION("""COMPUTED_VALUE"""),"NEC")</f>
        <v>NEC</v>
      </c>
      <c r="D221" s="1" t="str">
        <f ca="1">IFERROR(__xludf.DUMMYFUNCTION("""COMPUTED_VALUE"""),"18-14")</f>
        <v>18-14</v>
      </c>
      <c r="E221" s="1">
        <f ca="1">IFERROR(__xludf.DUMMYFUNCTION("""COMPUTED_VALUE"""),-4.74)</f>
        <v>-4.74</v>
      </c>
      <c r="F221" s="1">
        <f ca="1">IFERROR(__xludf.DUMMYFUNCTION("""COMPUTED_VALUE"""),101.7)</f>
        <v>101.7</v>
      </c>
      <c r="G221" s="1">
        <f ca="1">IFERROR(__xludf.DUMMYFUNCTION("""COMPUTED_VALUE"""),197)</f>
        <v>197</v>
      </c>
      <c r="H221" s="1">
        <f ca="1">IFERROR(__xludf.DUMMYFUNCTION("""COMPUTED_VALUE"""),106.4)</f>
        <v>106.4</v>
      </c>
      <c r="I221" s="1">
        <f ca="1">IFERROR(__xludf.DUMMYFUNCTION("""COMPUTED_VALUE"""),220)</f>
        <v>220</v>
      </c>
      <c r="J221" s="1">
        <f ca="1">IFERROR(__xludf.DUMMYFUNCTION("""COMPUTED_VALUE"""),67.9)</f>
        <v>67.900000000000006</v>
      </c>
      <c r="K221" s="1">
        <f ca="1">IFERROR(__xludf.DUMMYFUNCTION("""COMPUTED_VALUE"""),81)</f>
        <v>81</v>
      </c>
      <c r="L221" s="1" t="str">
        <f ca="1">IFERROR(__xludf.DUMMYFUNCTION("""COMPUTED_VALUE"""),"+.043")</f>
        <v>+.043</v>
      </c>
      <c r="M221" s="1">
        <f ca="1">IFERROR(__xludf.DUMMYFUNCTION("""COMPUTED_VALUE"""),70)</f>
        <v>70</v>
      </c>
      <c r="N221" s="1">
        <f ca="1">IFERROR(__xludf.DUMMYFUNCTION("""COMPUTED_VALUE"""),-6.52)</f>
        <v>-6.52</v>
      </c>
      <c r="O221" s="1">
        <f ca="1">IFERROR(__xludf.DUMMYFUNCTION("""COMPUTED_VALUE"""),293)</f>
        <v>293</v>
      </c>
      <c r="P221" s="1">
        <f ca="1">IFERROR(__xludf.DUMMYFUNCTION("""COMPUTED_VALUE"""),100.1)</f>
        <v>100.1</v>
      </c>
      <c r="Q221" s="1">
        <f ca="1">IFERROR(__xludf.DUMMYFUNCTION("""COMPUTED_VALUE"""),289)</f>
        <v>289</v>
      </c>
      <c r="R221" s="1">
        <f ca="1">IFERROR(__xludf.DUMMYFUNCTION("""COMPUTED_VALUE"""),106.6)</f>
        <v>106.6</v>
      </c>
      <c r="S221" s="1">
        <f ca="1">IFERROR(__xludf.DUMMYFUNCTION("""COMPUTED_VALUE"""),287)</f>
        <v>287</v>
      </c>
      <c r="T221" s="1">
        <f ca="1">IFERROR(__xludf.DUMMYFUNCTION("""COMPUTED_VALUE"""),-2.31)</f>
        <v>-2.31</v>
      </c>
      <c r="U221" s="1">
        <f ca="1">IFERROR(__xludf.DUMMYFUNCTION("""COMPUTED_VALUE"""),220)</f>
        <v>220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IFERROR(__xludf.DUMMYFUNCTION("""COMPUTED_VALUE"""),"Fairfield")</f>
        <v>Fairfield</v>
      </c>
      <c r="C222" s="1" t="str">
        <f ca="1">IFERROR(__xludf.DUMMYFUNCTION("""COMPUTED_VALUE"""),"MAAC")</f>
        <v>MAAC</v>
      </c>
      <c r="D222" s="1" t="str">
        <f ca="1">IFERROR(__xludf.DUMMYFUNCTION("""COMPUTED_VALUE"""),"14-16")</f>
        <v>14-16</v>
      </c>
      <c r="E222" s="1">
        <f ca="1">IFERROR(__xludf.DUMMYFUNCTION("""COMPUTED_VALUE"""),-4.97)</f>
        <v>-4.97</v>
      </c>
      <c r="F222" s="1">
        <f ca="1">IFERROR(__xludf.DUMMYFUNCTION("""COMPUTED_VALUE"""),105.2)</f>
        <v>105.2</v>
      </c>
      <c r="G222" s="1">
        <f ca="1">IFERROR(__xludf.DUMMYFUNCTION("""COMPUTED_VALUE"""),143)</f>
        <v>143</v>
      </c>
      <c r="H222" s="1">
        <f ca="1">IFERROR(__xludf.DUMMYFUNCTION("""COMPUTED_VALUE"""),110.1)</f>
        <v>110.1</v>
      </c>
      <c r="I222" s="1">
        <f ca="1">IFERROR(__xludf.DUMMYFUNCTION("""COMPUTED_VALUE"""),296)</f>
        <v>296</v>
      </c>
      <c r="J222" s="1">
        <f ca="1">IFERROR(__xludf.DUMMYFUNCTION("""COMPUTED_VALUE"""),60.5)</f>
        <v>60.5</v>
      </c>
      <c r="K222" s="1">
        <f ca="1">IFERROR(__xludf.DUMMYFUNCTION("""COMPUTED_VALUE"""),317)</f>
        <v>317</v>
      </c>
      <c r="L222" s="1" t="str">
        <f ca="1">IFERROR(__xludf.DUMMYFUNCTION("""COMPUTED_VALUE"""),"+.073")</f>
        <v>+.073</v>
      </c>
      <c r="M222" s="1">
        <f ca="1">IFERROR(__xludf.DUMMYFUNCTION("""COMPUTED_VALUE"""),30)</f>
        <v>30</v>
      </c>
      <c r="N222" s="1">
        <f ca="1">IFERROR(__xludf.DUMMYFUNCTION("""COMPUTED_VALUE"""),-1.15)</f>
        <v>-1.1499999999999999</v>
      </c>
      <c r="O222" s="1">
        <f ca="1">IFERROR(__xludf.DUMMYFUNCTION("""COMPUTED_VALUE"""),179)</f>
        <v>179</v>
      </c>
      <c r="P222" s="1">
        <f ca="1">IFERROR(__xludf.DUMMYFUNCTION("""COMPUTED_VALUE"""),103.1)</f>
        <v>103.1</v>
      </c>
      <c r="Q222" s="1">
        <f ca="1">IFERROR(__xludf.DUMMYFUNCTION("""COMPUTED_VALUE"""),181)</f>
        <v>181</v>
      </c>
      <c r="R222" s="1">
        <f ca="1">IFERROR(__xludf.DUMMYFUNCTION("""COMPUTED_VALUE"""),104.3)</f>
        <v>104.3</v>
      </c>
      <c r="S222" s="1">
        <f ca="1">IFERROR(__xludf.DUMMYFUNCTION("""COMPUTED_VALUE"""),180)</f>
        <v>180</v>
      </c>
      <c r="T222" s="1" t="str">
        <f ca="1">IFERROR(__xludf.DUMMYFUNCTION("""COMPUTED_VALUE"""),"+2.24")</f>
        <v>+2.24</v>
      </c>
      <c r="U222" s="1">
        <f ca="1">IFERROR(__xludf.DUMMYFUNCTION("""COMPUTED_VALUE"""),91)</f>
        <v>91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IFERROR(__xludf.DUMMYFUNCTION("""COMPUTED_VALUE"""),"Jacksonville")</f>
        <v>Jacksonville</v>
      </c>
      <c r="C223" s="1" t="str">
        <f ca="1">IFERROR(__xludf.DUMMYFUNCTION("""COMPUTED_VALUE"""),"ASun")</f>
        <v>ASun</v>
      </c>
      <c r="D223" s="1" t="str">
        <f ca="1">IFERROR(__xludf.DUMMYFUNCTION("""COMPUTED_VALUE"""),"18-13")</f>
        <v>18-13</v>
      </c>
      <c r="E223" s="1">
        <f ca="1">IFERROR(__xludf.DUMMYFUNCTION("""COMPUTED_VALUE"""),-5.02)</f>
        <v>-5.0199999999999996</v>
      </c>
      <c r="F223" s="1">
        <f ca="1">IFERROR(__xludf.DUMMYFUNCTION("""COMPUTED_VALUE"""),102.1)</f>
        <v>102.1</v>
      </c>
      <c r="G223" s="1">
        <f ca="1">IFERROR(__xludf.DUMMYFUNCTION("""COMPUTED_VALUE"""),192)</f>
        <v>192</v>
      </c>
      <c r="H223" s="1">
        <f ca="1">IFERROR(__xludf.DUMMYFUNCTION("""COMPUTED_VALUE"""),107.1)</f>
        <v>107.1</v>
      </c>
      <c r="I223" s="1">
        <f ca="1">IFERROR(__xludf.DUMMYFUNCTION("""COMPUTED_VALUE"""),238)</f>
        <v>238</v>
      </c>
      <c r="J223" s="1">
        <f ca="1">IFERROR(__xludf.DUMMYFUNCTION("""COMPUTED_VALUE"""),66.1)</f>
        <v>66.099999999999994</v>
      </c>
      <c r="K223" s="1">
        <f ca="1">IFERROR(__xludf.DUMMYFUNCTION("""COMPUTED_VALUE"""),136)</f>
        <v>136</v>
      </c>
      <c r="L223" s="1" t="str">
        <f ca="1">IFERROR(__xludf.DUMMYFUNCTION("""COMPUTED_VALUE"""),"+.089")</f>
        <v>+.089</v>
      </c>
      <c r="M223" s="1">
        <f ca="1">IFERROR(__xludf.DUMMYFUNCTION("""COMPUTED_VALUE"""),14)</f>
        <v>14</v>
      </c>
      <c r="N223" s="1">
        <f ca="1">IFERROR(__xludf.DUMMYFUNCTION("""COMPUTED_VALUE"""),-5.98)</f>
        <v>-5.98</v>
      </c>
      <c r="O223" s="1">
        <f ca="1">IFERROR(__xludf.DUMMYFUNCTION("""COMPUTED_VALUE"""),281)</f>
        <v>281</v>
      </c>
      <c r="P223" s="1">
        <f ca="1">IFERROR(__xludf.DUMMYFUNCTION("""COMPUTED_VALUE"""),100)</f>
        <v>100</v>
      </c>
      <c r="Q223" s="1">
        <f ca="1">IFERROR(__xludf.DUMMYFUNCTION("""COMPUTED_VALUE"""),291)</f>
        <v>291</v>
      </c>
      <c r="R223" s="1">
        <f ca="1">IFERROR(__xludf.DUMMYFUNCTION("""COMPUTED_VALUE"""),106)</f>
        <v>106</v>
      </c>
      <c r="S223" s="1">
        <f ca="1">IFERROR(__xludf.DUMMYFUNCTION("""COMPUTED_VALUE"""),260)</f>
        <v>260</v>
      </c>
      <c r="T223" s="1" t="str">
        <f ca="1">IFERROR(__xludf.DUMMYFUNCTION("""COMPUTED_VALUE"""),"+5.48")</f>
        <v>+5.48</v>
      </c>
      <c r="U223" s="1">
        <f ca="1">IFERROR(__xludf.DUMMYFUNCTION("""COMPUTED_VALUE"""),37)</f>
        <v>37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IFERROR(__xludf.DUMMYFUNCTION("""COMPUTED_VALUE"""),"Hampton")</f>
        <v>Hampton</v>
      </c>
      <c r="C224" s="1" t="str">
        <f ca="1">IFERROR(__xludf.DUMMYFUNCTION("""COMPUTED_VALUE"""),"MEAC")</f>
        <v>MEAC</v>
      </c>
      <c r="D224" s="1" t="str">
        <f ca="1">IFERROR(__xludf.DUMMYFUNCTION("""COMPUTED_VALUE"""),"18-12")</f>
        <v>18-12</v>
      </c>
      <c r="E224" s="1">
        <f ca="1">IFERROR(__xludf.DUMMYFUNCTION("""COMPUTED_VALUE"""),-5.15)</f>
        <v>-5.15</v>
      </c>
      <c r="F224" s="1">
        <f ca="1">IFERROR(__xludf.DUMMYFUNCTION("""COMPUTED_VALUE"""),94.4)</f>
        <v>94.4</v>
      </c>
      <c r="G224" s="1">
        <f ca="1">IFERROR(__xludf.DUMMYFUNCTION("""COMPUTED_VALUE"""),303)</f>
        <v>303</v>
      </c>
      <c r="H224" s="1">
        <f ca="1">IFERROR(__xludf.DUMMYFUNCTION("""COMPUTED_VALUE"""),99.6)</f>
        <v>99.6</v>
      </c>
      <c r="I224" s="1">
        <f ca="1">IFERROR(__xludf.DUMMYFUNCTION("""COMPUTED_VALUE"""),87)</f>
        <v>87</v>
      </c>
      <c r="J224" s="1">
        <f ca="1">IFERROR(__xludf.DUMMYFUNCTION("""COMPUTED_VALUE"""),66.5)</f>
        <v>66.5</v>
      </c>
      <c r="K224" s="1">
        <f ca="1">IFERROR(__xludf.DUMMYFUNCTION("""COMPUTED_VALUE"""),123)</f>
        <v>123</v>
      </c>
      <c r="L224" s="1" t="str">
        <f ca="1">IFERROR(__xludf.DUMMYFUNCTION("""COMPUTED_VALUE"""),"+.012")</f>
        <v>+.012</v>
      </c>
      <c r="M224" s="1">
        <f ca="1">IFERROR(__xludf.DUMMYFUNCTION("""COMPUTED_VALUE"""),140)</f>
        <v>140</v>
      </c>
      <c r="N224" s="1">
        <f ca="1">IFERROR(__xludf.DUMMYFUNCTION("""COMPUTED_VALUE"""),-9.14)</f>
        <v>-9.14</v>
      </c>
      <c r="O224" s="1">
        <f ca="1">IFERROR(__xludf.DUMMYFUNCTION("""COMPUTED_VALUE"""),324)</f>
        <v>324</v>
      </c>
      <c r="P224" s="1">
        <f ca="1">IFERROR(__xludf.DUMMYFUNCTION("""COMPUTED_VALUE"""),97.6)</f>
        <v>97.6</v>
      </c>
      <c r="Q224" s="1">
        <f ca="1">IFERROR(__xludf.DUMMYFUNCTION("""COMPUTED_VALUE"""),326)</f>
        <v>326</v>
      </c>
      <c r="R224" s="1">
        <f ca="1">IFERROR(__xludf.DUMMYFUNCTION("""COMPUTED_VALUE"""),106.8)</f>
        <v>106.8</v>
      </c>
      <c r="S224" s="1">
        <f ca="1">IFERROR(__xludf.DUMMYFUNCTION("""COMPUTED_VALUE"""),291)</f>
        <v>291</v>
      </c>
      <c r="T224" s="1" t="str">
        <f ca="1">IFERROR(__xludf.DUMMYFUNCTION("""COMPUTED_VALUE"""),"+2.03")</f>
        <v>+2.03</v>
      </c>
      <c r="U224" s="1">
        <f ca="1">IFERROR(__xludf.DUMMYFUNCTION("""COMPUTED_VALUE"""),97)</f>
        <v>97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IFERROR(__xludf.DUMMYFUNCTION("""COMPUTED_VALUE"""),"LIU Brooklyn")</f>
        <v>LIU Brooklyn</v>
      </c>
      <c r="C225" s="1" t="str">
        <f ca="1">IFERROR(__xludf.DUMMYFUNCTION("""COMPUTED_VALUE"""),"NEC")</f>
        <v>NEC</v>
      </c>
      <c r="D225" s="1" t="str">
        <f ca="1">IFERROR(__xludf.DUMMYFUNCTION("""COMPUTED_VALUE"""),"15-15")</f>
        <v>15-15</v>
      </c>
      <c r="E225" s="1">
        <f ca="1">IFERROR(__xludf.DUMMYFUNCTION("""COMPUTED_VALUE"""),-5.17)</f>
        <v>-5.17</v>
      </c>
      <c r="F225" s="1">
        <f ca="1">IFERROR(__xludf.DUMMYFUNCTION("""COMPUTED_VALUE"""),100.6)</f>
        <v>100.6</v>
      </c>
      <c r="G225" s="1">
        <f ca="1">IFERROR(__xludf.DUMMYFUNCTION("""COMPUTED_VALUE"""),215)</f>
        <v>215</v>
      </c>
      <c r="H225" s="1">
        <f ca="1">IFERROR(__xludf.DUMMYFUNCTION("""COMPUTED_VALUE"""),105.8)</f>
        <v>105.8</v>
      </c>
      <c r="I225" s="1">
        <f ca="1">IFERROR(__xludf.DUMMYFUNCTION("""COMPUTED_VALUE"""),209)</f>
        <v>209</v>
      </c>
      <c r="J225" s="1">
        <f ca="1">IFERROR(__xludf.DUMMYFUNCTION("""COMPUTED_VALUE"""),69.4)</f>
        <v>69.400000000000006</v>
      </c>
      <c r="K225" s="1">
        <f ca="1">IFERROR(__xludf.DUMMYFUNCTION("""COMPUTED_VALUE"""),37)</f>
        <v>37</v>
      </c>
      <c r="L225" s="1">
        <f ca="1">IFERROR(__xludf.DUMMYFUNCTION("""COMPUTED_VALUE"""),-0.024)</f>
        <v>-2.4E-2</v>
      </c>
      <c r="M225" s="1">
        <f ca="1">IFERROR(__xludf.DUMMYFUNCTION("""COMPUTED_VALUE"""),227)</f>
        <v>227</v>
      </c>
      <c r="N225" s="1">
        <f ca="1">IFERROR(__xludf.DUMMYFUNCTION("""COMPUTED_VALUE"""),-7.44)</f>
        <v>-7.44</v>
      </c>
      <c r="O225" s="1">
        <f ca="1">IFERROR(__xludf.DUMMYFUNCTION("""COMPUTED_VALUE"""),307)</f>
        <v>307</v>
      </c>
      <c r="P225" s="1">
        <f ca="1">IFERROR(__xludf.DUMMYFUNCTION("""COMPUTED_VALUE"""),99.4)</f>
        <v>99.4</v>
      </c>
      <c r="Q225" s="1">
        <f ca="1">IFERROR(__xludf.DUMMYFUNCTION("""COMPUTED_VALUE"""),308)</f>
        <v>308</v>
      </c>
      <c r="R225" s="1">
        <f ca="1">IFERROR(__xludf.DUMMYFUNCTION("""COMPUTED_VALUE"""),106.8)</f>
        <v>106.8</v>
      </c>
      <c r="S225" s="1">
        <f ca="1">IFERROR(__xludf.DUMMYFUNCTION("""COMPUTED_VALUE"""),292)</f>
        <v>292</v>
      </c>
      <c r="T225" s="1">
        <f ca="1">IFERROR(__xludf.DUMMYFUNCTION("""COMPUTED_VALUE"""),-6.9)</f>
        <v>-6.9</v>
      </c>
      <c r="U225" s="1">
        <f ca="1">IFERROR(__xludf.DUMMYFUNCTION("""COMPUTED_VALUE"""),312)</f>
        <v>312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IFERROR(__xludf.DUMMYFUNCTION("""COMPUTED_VALUE"""),"Hofstra")</f>
        <v>Hofstra</v>
      </c>
      <c r="C226" s="1" t="str">
        <f ca="1">IFERROR(__xludf.DUMMYFUNCTION("""COMPUTED_VALUE"""),"CAA")</f>
        <v>CAA</v>
      </c>
      <c r="D226" s="2">
        <f ca="1">IFERROR(__xludf.DUMMYFUNCTION("""COMPUTED_VALUE"""),44913)</f>
        <v>44913</v>
      </c>
      <c r="E226" s="1">
        <f ca="1">IFERROR(__xludf.DUMMYFUNCTION("""COMPUTED_VALUE"""),-5.17)</f>
        <v>-5.17</v>
      </c>
      <c r="F226" s="1">
        <f ca="1">IFERROR(__xludf.DUMMYFUNCTION("""COMPUTED_VALUE"""),97.9)</f>
        <v>97.9</v>
      </c>
      <c r="G226" s="1">
        <f ca="1">IFERROR(__xludf.DUMMYFUNCTION("""COMPUTED_VALUE"""),255)</f>
        <v>255</v>
      </c>
      <c r="H226" s="1">
        <f ca="1">IFERROR(__xludf.DUMMYFUNCTION("""COMPUTED_VALUE"""),103)</f>
        <v>103</v>
      </c>
      <c r="I226" s="1">
        <f ca="1">IFERROR(__xludf.DUMMYFUNCTION("""COMPUTED_VALUE"""),158)</f>
        <v>158</v>
      </c>
      <c r="J226" s="1">
        <f ca="1">IFERROR(__xludf.DUMMYFUNCTION("""COMPUTED_VALUE"""),67.2)</f>
        <v>67.2</v>
      </c>
      <c r="K226" s="1">
        <f ca="1">IFERROR(__xludf.DUMMYFUNCTION("""COMPUTED_VALUE"""),98)</f>
        <v>98</v>
      </c>
      <c r="L226" s="1">
        <f ca="1">IFERROR(__xludf.DUMMYFUNCTION("""COMPUTED_VALUE"""),-0.001)</f>
        <v>-1E-3</v>
      </c>
      <c r="M226" s="1">
        <f ca="1">IFERROR(__xludf.DUMMYFUNCTION("""COMPUTED_VALUE"""),172)</f>
        <v>172</v>
      </c>
      <c r="N226" s="1">
        <f ca="1">IFERROR(__xludf.DUMMYFUNCTION("""COMPUTED_VALUE"""),-2.29)</f>
        <v>-2.29</v>
      </c>
      <c r="O226" s="1">
        <f ca="1">IFERROR(__xludf.DUMMYFUNCTION("""COMPUTED_VALUE"""),200)</f>
        <v>200</v>
      </c>
      <c r="P226" s="1">
        <f ca="1">IFERROR(__xludf.DUMMYFUNCTION("""COMPUTED_VALUE"""),101.5)</f>
        <v>101.5</v>
      </c>
      <c r="Q226" s="1">
        <f ca="1">IFERROR(__xludf.DUMMYFUNCTION("""COMPUTED_VALUE"""),246)</f>
        <v>246</v>
      </c>
      <c r="R226" s="1">
        <f ca="1">IFERROR(__xludf.DUMMYFUNCTION("""COMPUTED_VALUE"""),103.7)</f>
        <v>103.7</v>
      </c>
      <c r="S226" s="1">
        <f ca="1">IFERROR(__xludf.DUMMYFUNCTION("""COMPUTED_VALUE"""),162)</f>
        <v>162</v>
      </c>
      <c r="T226" s="1">
        <f ca="1">IFERROR(__xludf.DUMMYFUNCTION("""COMPUTED_VALUE"""),-1.97)</f>
        <v>-1.97</v>
      </c>
      <c r="U226" s="1">
        <f ca="1">IFERROR(__xludf.DUMMYFUNCTION("""COMPUTED_VALUE"""),208)</f>
        <v>208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IFERROR(__xludf.DUMMYFUNCTION("""COMPUTED_VALUE"""),"Utah Valley St.")</f>
        <v>Utah Valley St.</v>
      </c>
      <c r="C227" s="1" t="str">
        <f ca="1">IFERROR(__xludf.DUMMYFUNCTION("""COMPUTED_VALUE"""),"ind")</f>
        <v>ind</v>
      </c>
      <c r="D227" s="1" t="str">
        <f ca="1">IFERROR(__xludf.DUMMYFUNCTION("""COMPUTED_VALUE"""),"15-14")</f>
        <v>15-14</v>
      </c>
      <c r="E227" s="1">
        <f ca="1">IFERROR(__xludf.DUMMYFUNCTION("""COMPUTED_VALUE"""),-5.22)</f>
        <v>-5.22</v>
      </c>
      <c r="F227" s="1">
        <f ca="1">IFERROR(__xludf.DUMMYFUNCTION("""COMPUTED_VALUE"""),105)</f>
        <v>105</v>
      </c>
      <c r="G227" s="1">
        <f ca="1">IFERROR(__xludf.DUMMYFUNCTION("""COMPUTED_VALUE"""),144)</f>
        <v>144</v>
      </c>
      <c r="H227" s="1">
        <f ca="1">IFERROR(__xludf.DUMMYFUNCTION("""COMPUTED_VALUE"""),110.2)</f>
        <v>110.2</v>
      </c>
      <c r="I227" s="1">
        <f ca="1">IFERROR(__xludf.DUMMYFUNCTION("""COMPUTED_VALUE"""),297)</f>
        <v>297</v>
      </c>
      <c r="J227" s="1">
        <f ca="1">IFERROR(__xludf.DUMMYFUNCTION("""COMPUTED_VALUE"""),60.6)</f>
        <v>60.6</v>
      </c>
      <c r="K227" s="1">
        <f ca="1">IFERROR(__xludf.DUMMYFUNCTION("""COMPUTED_VALUE"""),315)</f>
        <v>315</v>
      </c>
      <c r="L227" s="1">
        <f ca="1">IFERROR(__xludf.DUMMYFUNCTION("""COMPUTED_VALUE"""),-0.045)</f>
        <v>-4.4999999999999998E-2</v>
      </c>
      <c r="M227" s="1">
        <f ca="1">IFERROR(__xludf.DUMMYFUNCTION("""COMPUTED_VALUE"""),284)</f>
        <v>284</v>
      </c>
      <c r="N227" s="1">
        <f ca="1">IFERROR(__xludf.DUMMYFUNCTION("""COMPUTED_VALUE"""),-6.71)</f>
        <v>-6.71</v>
      </c>
      <c r="O227" s="1">
        <f ca="1">IFERROR(__xludf.DUMMYFUNCTION("""COMPUTED_VALUE"""),295)</f>
        <v>295</v>
      </c>
      <c r="P227" s="1">
        <f ca="1">IFERROR(__xludf.DUMMYFUNCTION("""COMPUTED_VALUE"""),100.2)</f>
        <v>100.2</v>
      </c>
      <c r="Q227" s="1">
        <f ca="1">IFERROR(__xludf.DUMMYFUNCTION("""COMPUTED_VALUE"""),285)</f>
        <v>285</v>
      </c>
      <c r="R227" s="1">
        <f ca="1">IFERROR(__xludf.DUMMYFUNCTION("""COMPUTED_VALUE"""),107)</f>
        <v>107</v>
      </c>
      <c r="S227" s="1">
        <f ca="1">IFERROR(__xludf.DUMMYFUNCTION("""COMPUTED_VALUE"""),298)</f>
        <v>298</v>
      </c>
      <c r="T227" s="1">
        <f ca="1">IFERROR(__xludf.DUMMYFUNCTION("""COMPUTED_VALUE"""),-0.53)</f>
        <v>-0.53</v>
      </c>
      <c r="U227" s="1">
        <f ca="1">IFERROR(__xludf.DUMMYFUNCTION("""COMPUTED_VALUE"""),159)</f>
        <v>159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IFERROR(__xludf.DUMMYFUNCTION("""COMPUTED_VALUE"""),"James Madison")</f>
        <v>James Madison</v>
      </c>
      <c r="C228" s="1" t="str">
        <f ca="1">IFERROR(__xludf.DUMMYFUNCTION("""COMPUTED_VALUE"""),"CAA")</f>
        <v>CAA</v>
      </c>
      <c r="D228" s="1" t="str">
        <f ca="1">IFERROR(__xludf.DUMMYFUNCTION("""COMPUTED_VALUE"""),"13-17")</f>
        <v>13-17</v>
      </c>
      <c r="E228" s="1">
        <f ca="1">IFERROR(__xludf.DUMMYFUNCTION("""COMPUTED_VALUE"""),-5.33)</f>
        <v>-5.33</v>
      </c>
      <c r="F228" s="1">
        <f ca="1">IFERROR(__xludf.DUMMYFUNCTION("""COMPUTED_VALUE"""),103.9)</f>
        <v>103.9</v>
      </c>
      <c r="G228" s="1">
        <f ca="1">IFERROR(__xludf.DUMMYFUNCTION("""COMPUTED_VALUE"""),171)</f>
        <v>171</v>
      </c>
      <c r="H228" s="1">
        <f ca="1">IFERROR(__xludf.DUMMYFUNCTION("""COMPUTED_VALUE"""),109.3)</f>
        <v>109.3</v>
      </c>
      <c r="I228" s="1">
        <f ca="1">IFERROR(__xludf.DUMMYFUNCTION("""COMPUTED_VALUE"""),280)</f>
        <v>280</v>
      </c>
      <c r="J228" s="1">
        <f ca="1">IFERROR(__xludf.DUMMYFUNCTION("""COMPUTED_VALUE"""),68.6)</f>
        <v>68.599999999999994</v>
      </c>
      <c r="K228" s="1">
        <f ca="1">IFERROR(__xludf.DUMMYFUNCTION("""COMPUTED_VALUE"""),55)</f>
        <v>55</v>
      </c>
      <c r="L228" s="1">
        <f ca="1">IFERROR(__xludf.DUMMYFUNCTION("""COMPUTED_VALUE"""),-0.029)</f>
        <v>-2.9000000000000001E-2</v>
      </c>
      <c r="M228" s="1">
        <f ca="1">IFERROR(__xludf.DUMMYFUNCTION("""COMPUTED_VALUE"""),244)</f>
        <v>244</v>
      </c>
      <c r="N228" s="1">
        <f ca="1">IFERROR(__xludf.DUMMYFUNCTION("""COMPUTED_VALUE"""),-3.45)</f>
        <v>-3.45</v>
      </c>
      <c r="O228" s="1">
        <f ca="1">IFERROR(__xludf.DUMMYFUNCTION("""COMPUTED_VALUE"""),230)</f>
        <v>230</v>
      </c>
      <c r="P228" s="1">
        <f ca="1">IFERROR(__xludf.DUMMYFUNCTION("""COMPUTED_VALUE"""),101.6)</f>
        <v>101.6</v>
      </c>
      <c r="Q228" s="1">
        <f ca="1">IFERROR(__xludf.DUMMYFUNCTION("""COMPUTED_VALUE"""),240)</f>
        <v>240</v>
      </c>
      <c r="R228" s="1">
        <f ca="1">IFERROR(__xludf.DUMMYFUNCTION("""COMPUTED_VALUE"""),105)</f>
        <v>105</v>
      </c>
      <c r="S228" s="1">
        <f ca="1">IFERROR(__xludf.DUMMYFUNCTION("""COMPUTED_VALUE"""),208)</f>
        <v>208</v>
      </c>
      <c r="T228" s="1">
        <f ca="1">IFERROR(__xludf.DUMMYFUNCTION("""COMPUTED_VALUE"""),-8.35)</f>
        <v>-8.35</v>
      </c>
      <c r="U228" s="1">
        <f ca="1">IFERROR(__xludf.DUMMYFUNCTION("""COMPUTED_VALUE"""),322)</f>
        <v>322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IFERROR(__xludf.DUMMYFUNCTION("""COMPUTED_VALUE"""),"Evansville")</f>
        <v>Evansville</v>
      </c>
      <c r="C229" s="1" t="str">
        <f ca="1">IFERROR(__xludf.DUMMYFUNCTION("""COMPUTED_VALUE"""),"MVC")</f>
        <v>MVC</v>
      </c>
      <c r="D229" s="2">
        <f ca="1">IFERROR(__xludf.DUMMYFUNCTION("""COMPUTED_VALUE"""),44825)</f>
        <v>44825</v>
      </c>
      <c r="E229" s="1">
        <f ca="1">IFERROR(__xludf.DUMMYFUNCTION("""COMPUTED_VALUE"""),-5.47)</f>
        <v>-5.47</v>
      </c>
      <c r="F229" s="1">
        <f ca="1">IFERROR(__xludf.DUMMYFUNCTION("""COMPUTED_VALUE"""),98.8)</f>
        <v>98.8</v>
      </c>
      <c r="G229" s="1">
        <f ca="1">IFERROR(__xludf.DUMMYFUNCTION("""COMPUTED_VALUE"""),240)</f>
        <v>240</v>
      </c>
      <c r="H229" s="1">
        <f ca="1">IFERROR(__xludf.DUMMYFUNCTION("""COMPUTED_VALUE"""),104.3)</f>
        <v>104.3</v>
      </c>
      <c r="I229" s="1">
        <f ca="1">IFERROR(__xludf.DUMMYFUNCTION("""COMPUTED_VALUE"""),185)</f>
        <v>185</v>
      </c>
      <c r="J229" s="1">
        <f ca="1">IFERROR(__xludf.DUMMYFUNCTION("""COMPUTED_VALUE"""),62.8)</f>
        <v>62.8</v>
      </c>
      <c r="K229" s="1">
        <f ca="1">IFERROR(__xludf.DUMMYFUNCTION("""COMPUTED_VALUE"""),271)</f>
        <v>271</v>
      </c>
      <c r="L229" s="1">
        <f ca="1">IFERROR(__xludf.DUMMYFUNCTION("""COMPUTED_VALUE"""),-0.044)</f>
        <v>-4.3999999999999997E-2</v>
      </c>
      <c r="M229" s="1">
        <f ca="1">IFERROR(__xludf.DUMMYFUNCTION("""COMPUTED_VALUE"""),282)</f>
        <v>282</v>
      </c>
      <c r="N229" s="1" t="str">
        <f ca="1">IFERROR(__xludf.DUMMYFUNCTION("""COMPUTED_VALUE"""),"+3.48")</f>
        <v>+3.48</v>
      </c>
      <c r="O229" s="1">
        <f ca="1">IFERROR(__xludf.DUMMYFUNCTION("""COMPUTED_VALUE"""),100)</f>
        <v>100</v>
      </c>
      <c r="P229" s="1">
        <f ca="1">IFERROR(__xludf.DUMMYFUNCTION("""COMPUTED_VALUE"""),105.6)</f>
        <v>105.6</v>
      </c>
      <c r="Q229" s="1">
        <f ca="1">IFERROR(__xludf.DUMMYFUNCTION("""COMPUTED_VALUE"""),96)</f>
        <v>96</v>
      </c>
      <c r="R229" s="1">
        <f ca="1">IFERROR(__xludf.DUMMYFUNCTION("""COMPUTED_VALUE"""),102.2)</f>
        <v>102.2</v>
      </c>
      <c r="S229" s="1">
        <f ca="1">IFERROR(__xludf.DUMMYFUNCTION("""COMPUTED_VALUE"""),114)</f>
        <v>114</v>
      </c>
      <c r="T229" s="1">
        <f ca="1">IFERROR(__xludf.DUMMYFUNCTION("""COMPUTED_VALUE"""),-7.24)</f>
        <v>-7.24</v>
      </c>
      <c r="U229" s="1">
        <f ca="1">IFERROR(__xludf.DUMMYFUNCTION("""COMPUTED_VALUE"""),316)</f>
        <v>316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IFERROR(__xludf.DUMMYFUNCTION("""COMPUTED_VALUE"""),"St. Bonaventure")</f>
        <v>St. Bonaventure</v>
      </c>
      <c r="C230" s="1" t="str">
        <f ca="1">IFERROR(__xludf.DUMMYFUNCTION("""COMPUTED_VALUE"""),"A10")</f>
        <v>A10</v>
      </c>
      <c r="D230" s="2">
        <f ca="1">IFERROR(__xludf.DUMMYFUNCTION("""COMPUTED_VALUE"""),44795)</f>
        <v>44795</v>
      </c>
      <c r="E230" s="1">
        <f ca="1">IFERROR(__xludf.DUMMYFUNCTION("""COMPUTED_VALUE"""),-5.58)</f>
        <v>-5.58</v>
      </c>
      <c r="F230" s="1">
        <f ca="1">IFERROR(__xludf.DUMMYFUNCTION("""COMPUTED_VALUE"""),104.7)</f>
        <v>104.7</v>
      </c>
      <c r="G230" s="1">
        <f ca="1">IFERROR(__xludf.DUMMYFUNCTION("""COMPUTED_VALUE"""),156)</f>
        <v>156</v>
      </c>
      <c r="H230" s="1">
        <f ca="1">IFERROR(__xludf.DUMMYFUNCTION("""COMPUTED_VALUE"""),110.2)</f>
        <v>110.2</v>
      </c>
      <c r="I230" s="1">
        <f ca="1">IFERROR(__xludf.DUMMYFUNCTION("""COMPUTED_VALUE"""),299)</f>
        <v>299</v>
      </c>
      <c r="J230" s="1">
        <f ca="1">IFERROR(__xludf.DUMMYFUNCTION("""COMPUTED_VALUE"""),64.8)</f>
        <v>64.8</v>
      </c>
      <c r="K230" s="1">
        <f ca="1">IFERROR(__xludf.DUMMYFUNCTION("""COMPUTED_VALUE"""),179)</f>
        <v>179</v>
      </c>
      <c r="L230" s="1">
        <f ca="1">IFERROR(__xludf.DUMMYFUNCTION("""COMPUTED_VALUE"""),-0.058)</f>
        <v>-5.8000000000000003E-2</v>
      </c>
      <c r="M230" s="1">
        <f ca="1">IFERROR(__xludf.DUMMYFUNCTION("""COMPUTED_VALUE"""),301)</f>
        <v>301</v>
      </c>
      <c r="N230" s="1" t="str">
        <f ca="1">IFERROR(__xludf.DUMMYFUNCTION("""COMPUTED_VALUE"""),"+2.25")</f>
        <v>+2.25</v>
      </c>
      <c r="O230" s="1">
        <f ca="1">IFERROR(__xludf.DUMMYFUNCTION("""COMPUTED_VALUE"""),118)</f>
        <v>118</v>
      </c>
      <c r="P230" s="1">
        <f ca="1">IFERROR(__xludf.DUMMYFUNCTION("""COMPUTED_VALUE"""),104.7)</f>
        <v>104.7</v>
      </c>
      <c r="Q230" s="1">
        <f ca="1">IFERROR(__xludf.DUMMYFUNCTION("""COMPUTED_VALUE"""),114)</f>
        <v>114</v>
      </c>
      <c r="R230" s="1">
        <f ca="1">IFERROR(__xludf.DUMMYFUNCTION("""COMPUTED_VALUE"""),102.5)</f>
        <v>102.5</v>
      </c>
      <c r="S230" s="1">
        <f ca="1">IFERROR(__xludf.DUMMYFUNCTION("""COMPUTED_VALUE"""),126)</f>
        <v>126</v>
      </c>
      <c r="T230" s="1">
        <f ca="1">IFERROR(__xludf.DUMMYFUNCTION("""COMPUTED_VALUE"""),-3.98)</f>
        <v>-3.98</v>
      </c>
      <c r="U230" s="1">
        <f ca="1">IFERROR(__xludf.DUMMYFUNCTION("""COMPUTED_VALUE"""),272)</f>
        <v>272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IFERROR(__xludf.DUMMYFUNCTION("""COMPUTED_VALUE"""),"Iona")</f>
        <v>Iona</v>
      </c>
      <c r="C231" s="1" t="str">
        <f ca="1">IFERROR(__xludf.DUMMYFUNCTION("""COMPUTED_VALUE"""),"MAAC")</f>
        <v>MAAC</v>
      </c>
      <c r="D231" s="2">
        <f ca="1">IFERROR(__xludf.DUMMYFUNCTION("""COMPUTED_VALUE"""),44915)</f>
        <v>44915</v>
      </c>
      <c r="E231" s="1">
        <f ca="1">IFERROR(__xludf.DUMMYFUNCTION("""COMPUTED_VALUE"""),-5.7)</f>
        <v>-5.7</v>
      </c>
      <c r="F231" s="1">
        <f ca="1">IFERROR(__xludf.DUMMYFUNCTION("""COMPUTED_VALUE"""),95.2)</f>
        <v>95.2</v>
      </c>
      <c r="G231" s="1">
        <f ca="1">IFERROR(__xludf.DUMMYFUNCTION("""COMPUTED_VALUE"""),293)</f>
        <v>293</v>
      </c>
      <c r="H231" s="1">
        <f ca="1">IFERROR(__xludf.DUMMYFUNCTION("""COMPUTED_VALUE"""),100.9)</f>
        <v>100.9</v>
      </c>
      <c r="I231" s="1">
        <f ca="1">IFERROR(__xludf.DUMMYFUNCTION("""COMPUTED_VALUE"""),112)</f>
        <v>112</v>
      </c>
      <c r="J231" s="1">
        <f ca="1">IFERROR(__xludf.DUMMYFUNCTION("""COMPUTED_VALUE"""),66.3)</f>
        <v>66.3</v>
      </c>
      <c r="K231" s="1">
        <f ca="1">IFERROR(__xludf.DUMMYFUNCTION("""COMPUTED_VALUE"""),128)</f>
        <v>128</v>
      </c>
      <c r="L231" s="1">
        <f ca="1">IFERROR(__xludf.DUMMYFUNCTION("""COMPUTED_VALUE"""),-0.026)</f>
        <v>-2.5999999999999999E-2</v>
      </c>
      <c r="M231" s="1">
        <f ca="1">IFERROR(__xludf.DUMMYFUNCTION("""COMPUTED_VALUE"""),236)</f>
        <v>236</v>
      </c>
      <c r="N231" s="1">
        <f ca="1">IFERROR(__xludf.DUMMYFUNCTION("""COMPUTED_VALUE"""),-2.49)</f>
        <v>-2.4900000000000002</v>
      </c>
      <c r="O231" s="1">
        <f ca="1">IFERROR(__xludf.DUMMYFUNCTION("""COMPUTED_VALUE"""),208)</f>
        <v>208</v>
      </c>
      <c r="P231" s="1">
        <f ca="1">IFERROR(__xludf.DUMMYFUNCTION("""COMPUTED_VALUE"""),103)</f>
        <v>103</v>
      </c>
      <c r="Q231" s="1">
        <f ca="1">IFERROR(__xludf.DUMMYFUNCTION("""COMPUTED_VALUE"""),187)</f>
        <v>187</v>
      </c>
      <c r="R231" s="1">
        <f ca="1">IFERROR(__xludf.DUMMYFUNCTION("""COMPUTED_VALUE"""),105.5)</f>
        <v>105.5</v>
      </c>
      <c r="S231" s="1">
        <f ca="1">IFERROR(__xludf.DUMMYFUNCTION("""COMPUTED_VALUE"""),234)</f>
        <v>234</v>
      </c>
      <c r="T231" s="1">
        <f ca="1">IFERROR(__xludf.DUMMYFUNCTION("""COMPUTED_VALUE"""),-0.45)</f>
        <v>-0.45</v>
      </c>
      <c r="U231" s="1">
        <f ca="1">IFERROR(__xludf.DUMMYFUNCTION("""COMPUTED_VALUE"""),158)</f>
        <v>158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IFERROR(__xludf.DUMMYFUNCTION("""COMPUTED_VALUE"""),"Southern Utah")</f>
        <v>Southern Utah</v>
      </c>
      <c r="C232" s="1" t="str">
        <f ca="1">IFERROR(__xludf.DUMMYFUNCTION("""COMPUTED_VALUE"""),"Sum")</f>
        <v>Sum</v>
      </c>
      <c r="D232" s="2">
        <f ca="1">IFERROR(__xludf.DUMMYFUNCTION("""COMPUTED_VALUE"""),44884)</f>
        <v>44884</v>
      </c>
      <c r="E232" s="1">
        <f ca="1">IFERROR(__xludf.DUMMYFUNCTION("""COMPUTED_VALUE"""),-5.82)</f>
        <v>-5.82</v>
      </c>
      <c r="F232" s="1">
        <f ca="1">IFERROR(__xludf.DUMMYFUNCTION("""COMPUTED_VALUE"""),102.2)</f>
        <v>102.2</v>
      </c>
      <c r="G232" s="1">
        <f ca="1">IFERROR(__xludf.DUMMYFUNCTION("""COMPUTED_VALUE"""),187)</f>
        <v>187</v>
      </c>
      <c r="H232" s="1">
        <f ca="1">IFERROR(__xludf.DUMMYFUNCTION("""COMPUTED_VALUE"""),108)</f>
        <v>108</v>
      </c>
      <c r="I232" s="1">
        <f ca="1">IFERROR(__xludf.DUMMYFUNCTION("""COMPUTED_VALUE"""),252)</f>
        <v>252</v>
      </c>
      <c r="J232" s="1">
        <f ca="1">IFERROR(__xludf.DUMMYFUNCTION("""COMPUTED_VALUE"""),64.7)</f>
        <v>64.7</v>
      </c>
      <c r="K232" s="1">
        <f ca="1">IFERROR(__xludf.DUMMYFUNCTION("""COMPUTED_VALUE"""),187)</f>
        <v>187</v>
      </c>
      <c r="L232" s="1" t="str">
        <f ca="1">IFERROR(__xludf.DUMMYFUNCTION("""COMPUTED_VALUE"""),"+.027")</f>
        <v>+.027</v>
      </c>
      <c r="M232" s="1">
        <f ca="1">IFERROR(__xludf.DUMMYFUNCTION("""COMPUTED_VALUE"""),105)</f>
        <v>105</v>
      </c>
      <c r="N232" s="1">
        <f ca="1">IFERROR(__xludf.DUMMYFUNCTION("""COMPUTED_VALUE"""),-1.39)</f>
        <v>-1.39</v>
      </c>
      <c r="O232" s="1">
        <f ca="1">IFERROR(__xludf.DUMMYFUNCTION("""COMPUTED_VALUE"""),185)</f>
        <v>185</v>
      </c>
      <c r="P232" s="1">
        <f ca="1">IFERROR(__xludf.DUMMYFUNCTION("""COMPUTED_VALUE"""),104.2)</f>
        <v>104.2</v>
      </c>
      <c r="Q232" s="1">
        <f ca="1">IFERROR(__xludf.DUMMYFUNCTION("""COMPUTED_VALUE"""),136)</f>
        <v>136</v>
      </c>
      <c r="R232" s="1">
        <f ca="1">IFERROR(__xludf.DUMMYFUNCTION("""COMPUTED_VALUE"""),105.6)</f>
        <v>105.6</v>
      </c>
      <c r="S232" s="1">
        <f ca="1">IFERROR(__xludf.DUMMYFUNCTION("""COMPUTED_VALUE"""),237)</f>
        <v>237</v>
      </c>
      <c r="T232" s="1" t="str">
        <f ca="1">IFERROR(__xludf.DUMMYFUNCTION("""COMPUTED_VALUE"""),"+1.64")</f>
        <v>+1.64</v>
      </c>
      <c r="U232" s="1">
        <f ca="1">IFERROR(__xludf.DUMMYFUNCTION("""COMPUTED_VALUE"""),102)</f>
        <v>102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IFERROR(__xludf.DUMMYFUNCTION("""COMPUTED_VALUE"""),"Toledo")</f>
        <v>Toledo</v>
      </c>
      <c r="C233" s="1" t="str">
        <f ca="1">IFERROR(__xludf.DUMMYFUNCTION("""COMPUTED_VALUE"""),"MAC")</f>
        <v>MAC</v>
      </c>
      <c r="D233" s="2">
        <f ca="1">IFERROR(__xludf.DUMMYFUNCTION("""COMPUTED_VALUE"""),44884)</f>
        <v>44884</v>
      </c>
      <c r="E233" s="1">
        <f ca="1">IFERROR(__xludf.DUMMYFUNCTION("""COMPUTED_VALUE"""),-5.85)</f>
        <v>-5.85</v>
      </c>
      <c r="F233" s="1">
        <f ca="1">IFERROR(__xludf.DUMMYFUNCTION("""COMPUTED_VALUE"""),94.1)</f>
        <v>94.1</v>
      </c>
      <c r="G233" s="1">
        <f ca="1">IFERROR(__xludf.DUMMYFUNCTION("""COMPUTED_VALUE"""),307)</f>
        <v>307</v>
      </c>
      <c r="H233" s="1">
        <f ca="1">IFERROR(__xludf.DUMMYFUNCTION("""COMPUTED_VALUE"""),99.9)</f>
        <v>99.9</v>
      </c>
      <c r="I233" s="1">
        <f ca="1">IFERROR(__xludf.DUMMYFUNCTION("""COMPUTED_VALUE"""),94)</f>
        <v>94</v>
      </c>
      <c r="J233" s="1">
        <f ca="1">IFERROR(__xludf.DUMMYFUNCTION("""COMPUTED_VALUE"""),64.3)</f>
        <v>64.3</v>
      </c>
      <c r="K233" s="1">
        <f ca="1">IFERROR(__xludf.DUMMYFUNCTION("""COMPUTED_VALUE"""),202)</f>
        <v>202</v>
      </c>
      <c r="L233" s="1" t="str">
        <f ca="1">IFERROR(__xludf.DUMMYFUNCTION("""COMPUTED_VALUE"""),"+.084")</f>
        <v>+.084</v>
      </c>
      <c r="M233" s="1">
        <f ca="1">IFERROR(__xludf.DUMMYFUNCTION("""COMPUTED_VALUE"""),18)</f>
        <v>18</v>
      </c>
      <c r="N233" s="1" t="str">
        <f ca="1">IFERROR(__xludf.DUMMYFUNCTION("""COMPUTED_VALUE"""),"+3.89")</f>
        <v>+3.89</v>
      </c>
      <c r="O233" s="1">
        <f ca="1">IFERROR(__xludf.DUMMYFUNCTION("""COMPUTED_VALUE"""),94)</f>
        <v>94</v>
      </c>
      <c r="P233" s="1">
        <f ca="1">IFERROR(__xludf.DUMMYFUNCTION("""COMPUTED_VALUE"""),106)</f>
        <v>106</v>
      </c>
      <c r="Q233" s="1">
        <f ca="1">IFERROR(__xludf.DUMMYFUNCTION("""COMPUTED_VALUE"""),89)</f>
        <v>89</v>
      </c>
      <c r="R233" s="1">
        <f ca="1">IFERROR(__xludf.DUMMYFUNCTION("""COMPUTED_VALUE"""),102.1)</f>
        <v>102.1</v>
      </c>
      <c r="S233" s="1">
        <f ca="1">IFERROR(__xludf.DUMMYFUNCTION("""COMPUTED_VALUE"""),111)</f>
        <v>111</v>
      </c>
      <c r="T233" s="1" t="str">
        <f ca="1">IFERROR(__xludf.DUMMYFUNCTION("""COMPUTED_VALUE"""),"+7.92")</f>
        <v>+7.92</v>
      </c>
      <c r="U233" s="1">
        <f ca="1">IFERROR(__xludf.DUMMYFUNCTION("""COMPUTED_VALUE"""),17)</f>
        <v>17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IFERROR(__xludf.DUMMYFUNCTION("""COMPUTED_VALUE"""),"Youngstown St.")</f>
        <v>Youngstown St.</v>
      </c>
      <c r="C234" s="1" t="str">
        <f ca="1">IFERROR(__xludf.DUMMYFUNCTION("""COMPUTED_VALUE"""),"Horz")</f>
        <v>Horz</v>
      </c>
      <c r="D234" s="2">
        <f ca="1">IFERROR(__xludf.DUMMYFUNCTION("""COMPUTED_VALUE"""),44825)</f>
        <v>44825</v>
      </c>
      <c r="E234" s="1">
        <f ca="1">IFERROR(__xludf.DUMMYFUNCTION("""COMPUTED_VALUE"""),-5.88)</f>
        <v>-5.88</v>
      </c>
      <c r="F234" s="1">
        <f ca="1">IFERROR(__xludf.DUMMYFUNCTION("""COMPUTED_VALUE"""),97.9)</f>
        <v>97.9</v>
      </c>
      <c r="G234" s="1">
        <f ca="1">IFERROR(__xludf.DUMMYFUNCTION("""COMPUTED_VALUE"""),251)</f>
        <v>251</v>
      </c>
      <c r="H234" s="1">
        <f ca="1">IFERROR(__xludf.DUMMYFUNCTION("""COMPUTED_VALUE"""),103.8)</f>
        <v>103.8</v>
      </c>
      <c r="I234" s="1">
        <f ca="1">IFERROR(__xludf.DUMMYFUNCTION("""COMPUTED_VALUE"""),174)</f>
        <v>174</v>
      </c>
      <c r="J234" s="1">
        <f ca="1">IFERROR(__xludf.DUMMYFUNCTION("""COMPUTED_VALUE"""),67.2)</f>
        <v>67.2</v>
      </c>
      <c r="K234" s="1">
        <f ca="1">IFERROR(__xludf.DUMMYFUNCTION("""COMPUTED_VALUE"""),99)</f>
        <v>99</v>
      </c>
      <c r="L234" s="1" t="str">
        <f ca="1">IFERROR(__xludf.DUMMYFUNCTION("""COMPUTED_VALUE"""),"+.013")</f>
        <v>+.013</v>
      </c>
      <c r="M234" s="1">
        <f ca="1">IFERROR(__xludf.DUMMYFUNCTION("""COMPUTED_VALUE"""),137)</f>
        <v>137</v>
      </c>
      <c r="N234" s="1" t="str">
        <f ca="1">IFERROR(__xludf.DUMMYFUNCTION("""COMPUTED_VALUE"""),"+3.76")</f>
        <v>+3.76</v>
      </c>
      <c r="O234" s="1">
        <f ca="1">IFERROR(__xludf.DUMMYFUNCTION("""COMPUTED_VALUE"""),97)</f>
        <v>97</v>
      </c>
      <c r="P234" s="1">
        <f ca="1">IFERROR(__xludf.DUMMYFUNCTION("""COMPUTED_VALUE"""),105.2)</f>
        <v>105.2</v>
      </c>
      <c r="Q234" s="1">
        <f ca="1">IFERROR(__xludf.DUMMYFUNCTION("""COMPUTED_VALUE"""),104)</f>
        <v>104</v>
      </c>
      <c r="R234" s="1">
        <f ca="1">IFERROR(__xludf.DUMMYFUNCTION("""COMPUTED_VALUE"""),101.4)</f>
        <v>101.4</v>
      </c>
      <c r="S234" s="1">
        <f ca="1">IFERROR(__xludf.DUMMYFUNCTION("""COMPUTED_VALUE"""),88)</f>
        <v>88</v>
      </c>
      <c r="T234" s="1" t="str">
        <f ca="1">IFERROR(__xludf.DUMMYFUNCTION("""COMPUTED_VALUE"""),"+5.45")</f>
        <v>+5.45</v>
      </c>
      <c r="U234" s="1">
        <f ca="1">IFERROR(__xludf.DUMMYFUNCTION("""COMPUTED_VALUE"""),38)</f>
        <v>38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IFERROR(__xludf.DUMMYFUNCTION("""COMPUTED_VALUE"""),"Florida Atlantic")</f>
        <v>Florida Atlantic</v>
      </c>
      <c r="C235" s="1" t="str">
        <f ca="1">IFERROR(__xludf.DUMMYFUNCTION("""COMPUTED_VALUE"""),"SB")</f>
        <v>SB</v>
      </c>
      <c r="D235" s="1" t="str">
        <f ca="1">IFERROR(__xludf.DUMMYFUNCTION("""COMPUTED_VALUE"""),"15-18")</f>
        <v>15-18</v>
      </c>
      <c r="E235" s="1">
        <f ca="1">IFERROR(__xludf.DUMMYFUNCTION("""COMPUTED_VALUE"""),-5.88)</f>
        <v>-5.88</v>
      </c>
      <c r="F235" s="1">
        <f ca="1">IFERROR(__xludf.DUMMYFUNCTION("""COMPUTED_VALUE"""),102.7)</f>
        <v>102.7</v>
      </c>
      <c r="G235" s="1">
        <f ca="1">IFERROR(__xludf.DUMMYFUNCTION("""COMPUTED_VALUE"""),182)</f>
        <v>182</v>
      </c>
      <c r="H235" s="1">
        <f ca="1">IFERROR(__xludf.DUMMYFUNCTION("""COMPUTED_VALUE"""),108.6)</f>
        <v>108.6</v>
      </c>
      <c r="I235" s="1">
        <f ca="1">IFERROR(__xludf.DUMMYFUNCTION("""COMPUTED_VALUE"""),264)</f>
        <v>264</v>
      </c>
      <c r="J235" s="1">
        <f ca="1">IFERROR(__xludf.DUMMYFUNCTION("""COMPUTED_VALUE"""),68.6)</f>
        <v>68.599999999999994</v>
      </c>
      <c r="K235" s="1">
        <f ca="1">IFERROR(__xludf.DUMMYFUNCTION("""COMPUTED_VALUE"""),51)</f>
        <v>51</v>
      </c>
      <c r="L235" s="1" t="str">
        <f ca="1">IFERROR(__xludf.DUMMYFUNCTION("""COMPUTED_VALUE"""),"+.029")</f>
        <v>+.029</v>
      </c>
      <c r="M235" s="1">
        <f ca="1">IFERROR(__xludf.DUMMYFUNCTION("""COMPUTED_VALUE"""),98)</f>
        <v>98</v>
      </c>
      <c r="N235" s="1">
        <f ca="1">IFERROR(__xludf.DUMMYFUNCTION("""COMPUTED_VALUE"""),-4.02)</f>
        <v>-4.0199999999999996</v>
      </c>
      <c r="O235" s="1">
        <f ca="1">IFERROR(__xludf.DUMMYFUNCTION("""COMPUTED_VALUE"""),238)</f>
        <v>238</v>
      </c>
      <c r="P235" s="1">
        <f ca="1">IFERROR(__xludf.DUMMYFUNCTION("""COMPUTED_VALUE"""),101.2)</f>
        <v>101.2</v>
      </c>
      <c r="Q235" s="1">
        <f ca="1">IFERROR(__xludf.DUMMYFUNCTION("""COMPUTED_VALUE"""),256)</f>
        <v>256</v>
      </c>
      <c r="R235" s="1">
        <f ca="1">IFERROR(__xludf.DUMMYFUNCTION("""COMPUTED_VALUE"""),105.2)</f>
        <v>105.2</v>
      </c>
      <c r="S235" s="1">
        <f ca="1">IFERROR(__xludf.DUMMYFUNCTION("""COMPUTED_VALUE"""),224)</f>
        <v>224</v>
      </c>
      <c r="T235" s="1">
        <f ca="1">IFERROR(__xludf.DUMMYFUNCTION("""COMPUTED_VALUE"""),-5.96)</f>
        <v>-5.96</v>
      </c>
      <c r="U235" s="1">
        <f ca="1">IFERROR(__xludf.DUMMYFUNCTION("""COMPUTED_VALUE"""),302)</f>
        <v>302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IFERROR(__xludf.DUMMYFUNCTION("""COMPUTED_VALUE"""),"Binghamton")</f>
        <v>Binghamton</v>
      </c>
      <c r="C236" s="1" t="str">
        <f ca="1">IFERROR(__xludf.DUMMYFUNCTION("""COMPUTED_VALUE"""),"AE")</f>
        <v>AE</v>
      </c>
      <c r="D236" s="1" t="str">
        <f ca="1">IFERROR(__xludf.DUMMYFUNCTION("""COMPUTED_VALUE"""),"14-16")</f>
        <v>14-16</v>
      </c>
      <c r="E236" s="1">
        <f ca="1">IFERROR(__xludf.DUMMYFUNCTION("""COMPUTED_VALUE"""),-5.89)</f>
        <v>-5.89</v>
      </c>
      <c r="F236" s="1">
        <f ca="1">IFERROR(__xludf.DUMMYFUNCTION("""COMPUTED_VALUE"""),100)</f>
        <v>100</v>
      </c>
      <c r="G236" s="1">
        <f ca="1">IFERROR(__xludf.DUMMYFUNCTION("""COMPUTED_VALUE"""),224)</f>
        <v>224</v>
      </c>
      <c r="H236" s="1">
        <f ca="1">IFERROR(__xludf.DUMMYFUNCTION("""COMPUTED_VALUE"""),105.9)</f>
        <v>105.9</v>
      </c>
      <c r="I236" s="1">
        <f ca="1">IFERROR(__xludf.DUMMYFUNCTION("""COMPUTED_VALUE"""),211)</f>
        <v>211</v>
      </c>
      <c r="J236" s="1">
        <f ca="1">IFERROR(__xludf.DUMMYFUNCTION("""COMPUTED_VALUE"""),62.3)</f>
        <v>62.3</v>
      </c>
      <c r="K236" s="1">
        <f ca="1">IFERROR(__xludf.DUMMYFUNCTION("""COMPUTED_VALUE"""),283)</f>
        <v>283</v>
      </c>
      <c r="L236" s="1">
        <f ca="1">IFERROR(__xludf.DUMMYFUNCTION("""COMPUTED_VALUE"""),-0.018)</f>
        <v>-1.7999999999999999E-2</v>
      </c>
      <c r="M236" s="1">
        <f ca="1">IFERROR(__xludf.DUMMYFUNCTION("""COMPUTED_VALUE"""),212)</f>
        <v>212</v>
      </c>
      <c r="N236" s="1">
        <f ca="1">IFERROR(__xludf.DUMMYFUNCTION("""COMPUTED_VALUE"""),-5.84)</f>
        <v>-5.84</v>
      </c>
      <c r="O236" s="1">
        <f ca="1">IFERROR(__xludf.DUMMYFUNCTION("""COMPUTED_VALUE"""),277)</f>
        <v>277</v>
      </c>
      <c r="P236" s="1">
        <f ca="1">IFERROR(__xludf.DUMMYFUNCTION("""COMPUTED_VALUE"""),101.5)</f>
        <v>101.5</v>
      </c>
      <c r="Q236" s="1">
        <f ca="1">IFERROR(__xludf.DUMMYFUNCTION("""COMPUTED_VALUE"""),242)</f>
        <v>242</v>
      </c>
      <c r="R236" s="1">
        <f ca="1">IFERROR(__xludf.DUMMYFUNCTION("""COMPUTED_VALUE"""),107.4)</f>
        <v>107.4</v>
      </c>
      <c r="S236" s="1">
        <f ca="1">IFERROR(__xludf.DUMMYFUNCTION("""COMPUTED_VALUE"""),309)</f>
        <v>309</v>
      </c>
      <c r="T236" s="1">
        <f ca="1">IFERROR(__xludf.DUMMYFUNCTION("""COMPUTED_VALUE"""),-3.08)</f>
        <v>-3.08</v>
      </c>
      <c r="U236" s="1">
        <f ca="1">IFERROR(__xludf.DUMMYFUNCTION("""COMPUTED_VALUE"""),246)</f>
        <v>246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IFERROR(__xludf.DUMMYFUNCTION("""COMPUTED_VALUE"""),"East Carolina")</f>
        <v>East Carolina</v>
      </c>
      <c r="C237" s="1" t="str">
        <f ca="1">IFERROR(__xludf.DUMMYFUNCTION("""COMPUTED_VALUE"""),"CUSA")</f>
        <v>CUSA</v>
      </c>
      <c r="D237" s="2">
        <f ca="1">IFERROR(__xludf.DUMMYFUNCTION("""COMPUTED_VALUE"""),44884)</f>
        <v>44884</v>
      </c>
      <c r="E237" s="1">
        <f ca="1">IFERROR(__xludf.DUMMYFUNCTION("""COMPUTED_VALUE"""),-6.08)</f>
        <v>-6.08</v>
      </c>
      <c r="F237" s="1">
        <f ca="1">IFERROR(__xludf.DUMMYFUNCTION("""COMPUTED_VALUE"""),103.8)</f>
        <v>103.8</v>
      </c>
      <c r="G237" s="1">
        <f ca="1">IFERROR(__xludf.DUMMYFUNCTION("""COMPUTED_VALUE"""),172)</f>
        <v>172</v>
      </c>
      <c r="H237" s="1">
        <f ca="1">IFERROR(__xludf.DUMMYFUNCTION("""COMPUTED_VALUE"""),109.9)</f>
        <v>109.9</v>
      </c>
      <c r="I237" s="1">
        <f ca="1">IFERROR(__xludf.DUMMYFUNCTION("""COMPUTED_VALUE"""),287)</f>
        <v>287</v>
      </c>
      <c r="J237" s="1">
        <f ca="1">IFERROR(__xludf.DUMMYFUNCTION("""COMPUTED_VALUE"""),65.2)</f>
        <v>65.2</v>
      </c>
      <c r="K237" s="1">
        <f ca="1">IFERROR(__xludf.DUMMYFUNCTION("""COMPUTED_VALUE"""),161)</f>
        <v>161</v>
      </c>
      <c r="L237" s="1">
        <f ca="1">IFERROR(__xludf.DUMMYFUNCTION("""COMPUTED_VALUE"""),-0.036)</f>
        <v>-3.5999999999999997E-2</v>
      </c>
      <c r="M237" s="1">
        <f ca="1">IFERROR(__xludf.DUMMYFUNCTION("""COMPUTED_VALUE"""),263)</f>
        <v>263</v>
      </c>
      <c r="N237" s="1" t="str">
        <f ca="1">IFERROR(__xludf.DUMMYFUNCTION("""COMPUTED_VALUE"""),"+1.09")</f>
        <v>+1.09</v>
      </c>
      <c r="O237" s="1">
        <f ca="1">IFERROR(__xludf.DUMMYFUNCTION("""COMPUTED_VALUE"""),139)</f>
        <v>139</v>
      </c>
      <c r="P237" s="1">
        <f ca="1">IFERROR(__xludf.DUMMYFUNCTION("""COMPUTED_VALUE"""),103.5)</f>
        <v>103.5</v>
      </c>
      <c r="Q237" s="1">
        <f ca="1">IFERROR(__xludf.DUMMYFUNCTION("""COMPUTED_VALUE"""),165)</f>
        <v>165</v>
      </c>
      <c r="R237" s="1">
        <f ca="1">IFERROR(__xludf.DUMMYFUNCTION("""COMPUTED_VALUE"""),102.5)</f>
        <v>102.5</v>
      </c>
      <c r="S237" s="1">
        <f ca="1">IFERROR(__xludf.DUMMYFUNCTION("""COMPUTED_VALUE"""),125)</f>
        <v>125</v>
      </c>
      <c r="T237" s="1">
        <f ca="1">IFERROR(__xludf.DUMMYFUNCTION("""COMPUTED_VALUE"""),-3.11)</f>
        <v>-3.11</v>
      </c>
      <c r="U237" s="1">
        <f ca="1">IFERROR(__xludf.DUMMYFUNCTION("""COMPUTED_VALUE"""),247)</f>
        <v>247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IFERROR(__xludf.DUMMYFUNCTION("""COMPUTED_VALUE"""),"Boston University")</f>
        <v>Boston University</v>
      </c>
      <c r="C238" s="1" t="str">
        <f ca="1">IFERROR(__xludf.DUMMYFUNCTION("""COMPUTED_VALUE"""),"AE")</f>
        <v>AE</v>
      </c>
      <c r="D238" s="1" t="str">
        <f ca="1">IFERROR(__xludf.DUMMYFUNCTION("""COMPUTED_VALUE"""),"14-17")</f>
        <v>14-17</v>
      </c>
      <c r="E238" s="1">
        <f ca="1">IFERROR(__xludf.DUMMYFUNCTION("""COMPUTED_VALUE"""),-6.08)</f>
        <v>-6.08</v>
      </c>
      <c r="F238" s="1">
        <f ca="1">IFERROR(__xludf.DUMMYFUNCTION("""COMPUTED_VALUE"""),97.2)</f>
        <v>97.2</v>
      </c>
      <c r="G238" s="1">
        <f ca="1">IFERROR(__xludf.DUMMYFUNCTION("""COMPUTED_VALUE"""),263)</f>
        <v>263</v>
      </c>
      <c r="H238" s="1">
        <f ca="1">IFERROR(__xludf.DUMMYFUNCTION("""COMPUTED_VALUE"""),103.3)</f>
        <v>103.3</v>
      </c>
      <c r="I238" s="1">
        <f ca="1">IFERROR(__xludf.DUMMYFUNCTION("""COMPUTED_VALUE"""),163)</f>
        <v>163</v>
      </c>
      <c r="J238" s="1">
        <f ca="1">IFERROR(__xludf.DUMMYFUNCTION("""COMPUTED_VALUE"""),63.1)</f>
        <v>63.1</v>
      </c>
      <c r="K238" s="1">
        <f ca="1">IFERROR(__xludf.DUMMYFUNCTION("""COMPUTED_VALUE"""),257)</f>
        <v>257</v>
      </c>
      <c r="L238" s="1" t="str">
        <f ca="1">IFERROR(__xludf.DUMMYFUNCTION("""COMPUTED_VALUE"""),"+.010")</f>
        <v>+.010</v>
      </c>
      <c r="M238" s="1">
        <f ca="1">IFERROR(__xludf.DUMMYFUNCTION("""COMPUTED_VALUE"""),149)</f>
        <v>149</v>
      </c>
      <c r="N238" s="1">
        <f ca="1">IFERROR(__xludf.DUMMYFUNCTION("""COMPUTED_VALUE"""),-4.37)</f>
        <v>-4.37</v>
      </c>
      <c r="O238" s="1">
        <f ca="1">IFERROR(__xludf.DUMMYFUNCTION("""COMPUTED_VALUE"""),242)</f>
        <v>242</v>
      </c>
      <c r="P238" s="1">
        <f ca="1">IFERROR(__xludf.DUMMYFUNCTION("""COMPUTED_VALUE"""),101.9)</f>
        <v>101.9</v>
      </c>
      <c r="Q238" s="1">
        <f ca="1">IFERROR(__xludf.DUMMYFUNCTION("""COMPUTED_VALUE"""),224)</f>
        <v>224</v>
      </c>
      <c r="R238" s="1">
        <f ca="1">IFERROR(__xludf.DUMMYFUNCTION("""COMPUTED_VALUE"""),106.3)</f>
        <v>106.3</v>
      </c>
      <c r="S238" s="1">
        <f ca="1">IFERROR(__xludf.DUMMYFUNCTION("""COMPUTED_VALUE"""),273)</f>
        <v>273</v>
      </c>
      <c r="T238" s="1" t="str">
        <f ca="1">IFERROR(__xludf.DUMMYFUNCTION("""COMPUTED_VALUE"""),"+0.53")</f>
        <v>+0.53</v>
      </c>
      <c r="U238" s="1">
        <f ca="1">IFERROR(__xludf.DUMMYFUNCTION("""COMPUTED_VALUE"""),132)</f>
        <v>132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IFERROR(__xludf.DUMMYFUNCTION("""COMPUTED_VALUE"""),"Pepperdine")</f>
        <v>Pepperdine</v>
      </c>
      <c r="C239" s="1" t="str">
        <f ca="1">IFERROR(__xludf.DUMMYFUNCTION("""COMPUTED_VALUE"""),"WCC")</f>
        <v>WCC</v>
      </c>
      <c r="D239" s="2">
        <f ca="1">IFERROR(__xludf.DUMMYFUNCTION("""COMPUTED_VALUE"""),44886)</f>
        <v>44886</v>
      </c>
      <c r="E239" s="1">
        <f ca="1">IFERROR(__xludf.DUMMYFUNCTION("""COMPUTED_VALUE"""),-6.39)</f>
        <v>-6.39</v>
      </c>
      <c r="F239" s="1">
        <f ca="1">IFERROR(__xludf.DUMMYFUNCTION("""COMPUTED_VALUE"""),99.9)</f>
        <v>99.9</v>
      </c>
      <c r="G239" s="1">
        <f ca="1">IFERROR(__xludf.DUMMYFUNCTION("""COMPUTED_VALUE"""),228)</f>
        <v>228</v>
      </c>
      <c r="H239" s="1">
        <f ca="1">IFERROR(__xludf.DUMMYFUNCTION("""COMPUTED_VALUE"""),106.3)</f>
        <v>106.3</v>
      </c>
      <c r="I239" s="1">
        <f ca="1">IFERROR(__xludf.DUMMYFUNCTION("""COMPUTED_VALUE"""),219)</f>
        <v>219</v>
      </c>
      <c r="J239" s="1">
        <f ca="1">IFERROR(__xludf.DUMMYFUNCTION("""COMPUTED_VALUE"""),72.7)</f>
        <v>72.7</v>
      </c>
      <c r="K239" s="1">
        <f ca="1">IFERROR(__xludf.DUMMYFUNCTION("""COMPUTED_VALUE"""),7)</f>
        <v>7</v>
      </c>
      <c r="L239" s="1">
        <f ca="1">IFERROR(__xludf.DUMMYFUNCTION("""COMPUTED_VALUE"""),-0.008)</f>
        <v>-8.0000000000000002E-3</v>
      </c>
      <c r="M239" s="1">
        <f ca="1">IFERROR(__xludf.DUMMYFUNCTION("""COMPUTED_VALUE"""),192)</f>
        <v>192</v>
      </c>
      <c r="N239" s="1" t="str">
        <f ca="1">IFERROR(__xludf.DUMMYFUNCTION("""COMPUTED_VALUE"""),"+1.33")</f>
        <v>+1.33</v>
      </c>
      <c r="O239" s="1">
        <f ca="1">IFERROR(__xludf.DUMMYFUNCTION("""COMPUTED_VALUE"""),133)</f>
        <v>133</v>
      </c>
      <c r="P239" s="1">
        <f ca="1">IFERROR(__xludf.DUMMYFUNCTION("""COMPUTED_VALUE"""),104)</f>
        <v>104</v>
      </c>
      <c r="Q239" s="1">
        <f ca="1">IFERROR(__xludf.DUMMYFUNCTION("""COMPUTED_VALUE"""),151)</f>
        <v>151</v>
      </c>
      <c r="R239" s="1">
        <f ca="1">IFERROR(__xludf.DUMMYFUNCTION("""COMPUTED_VALUE"""),102.6)</f>
        <v>102.6</v>
      </c>
      <c r="S239" s="1">
        <f ca="1">IFERROR(__xludf.DUMMYFUNCTION("""COMPUTED_VALUE"""),133)</f>
        <v>133</v>
      </c>
      <c r="T239" s="1" t="str">
        <f ca="1">IFERROR(__xludf.DUMMYFUNCTION("""COMPUTED_VALUE"""),"+3.35")</f>
        <v>+3.35</v>
      </c>
      <c r="U239" s="1">
        <f ca="1">IFERROR(__xludf.DUMMYFUNCTION("""COMPUTED_VALUE"""),74)</f>
        <v>74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IFERROR(__xludf.DUMMYFUNCTION("""COMPUTED_VALUE"""),"Wagner")</f>
        <v>Wagner</v>
      </c>
      <c r="C240" s="1" t="str">
        <f ca="1">IFERROR(__xludf.DUMMYFUNCTION("""COMPUTED_VALUE"""),"NEC")</f>
        <v>NEC</v>
      </c>
      <c r="D240" s="1" t="str">
        <f ca="1">IFERROR(__xludf.DUMMYFUNCTION("""COMPUTED_VALUE"""),"23-8")</f>
        <v>23-8</v>
      </c>
      <c r="E240" s="1">
        <f ca="1">IFERROR(__xludf.DUMMYFUNCTION("""COMPUTED_VALUE"""),-6.44)</f>
        <v>-6.44</v>
      </c>
      <c r="F240" s="1">
        <f ca="1">IFERROR(__xludf.DUMMYFUNCTION("""COMPUTED_VALUE"""),97.1)</f>
        <v>97.1</v>
      </c>
      <c r="G240" s="1">
        <f ca="1">IFERROR(__xludf.DUMMYFUNCTION("""COMPUTED_VALUE"""),265)</f>
        <v>265</v>
      </c>
      <c r="H240" s="1">
        <f ca="1">IFERROR(__xludf.DUMMYFUNCTION("""COMPUTED_VALUE"""),103.6)</f>
        <v>103.6</v>
      </c>
      <c r="I240" s="1">
        <f ca="1">IFERROR(__xludf.DUMMYFUNCTION("""COMPUTED_VALUE"""),168)</f>
        <v>168</v>
      </c>
      <c r="J240" s="1">
        <f ca="1">IFERROR(__xludf.DUMMYFUNCTION("""COMPUTED_VALUE"""),67.4)</f>
        <v>67.400000000000006</v>
      </c>
      <c r="K240" s="1">
        <f ca="1">IFERROR(__xludf.DUMMYFUNCTION("""COMPUTED_VALUE"""),91)</f>
        <v>91</v>
      </c>
      <c r="L240" s="1" t="str">
        <f ca="1">IFERROR(__xludf.DUMMYFUNCTION("""COMPUTED_VALUE"""),"+.226")</f>
        <v>+.226</v>
      </c>
      <c r="M240" s="1">
        <f ca="1">IFERROR(__xludf.DUMMYFUNCTION("""COMPUTED_VALUE"""),1)</f>
        <v>1</v>
      </c>
      <c r="N240" s="1">
        <f ca="1">IFERROR(__xludf.DUMMYFUNCTION("""COMPUTED_VALUE"""),-8.81)</f>
        <v>-8.81</v>
      </c>
      <c r="O240" s="1">
        <f ca="1">IFERROR(__xludf.DUMMYFUNCTION("""COMPUTED_VALUE"""),322)</f>
        <v>322</v>
      </c>
      <c r="P240" s="1">
        <f ca="1">IFERROR(__xludf.DUMMYFUNCTION("""COMPUTED_VALUE"""),99.5)</f>
        <v>99.5</v>
      </c>
      <c r="Q240" s="1">
        <f ca="1">IFERROR(__xludf.DUMMYFUNCTION("""COMPUTED_VALUE"""),305)</f>
        <v>305</v>
      </c>
      <c r="R240" s="1">
        <f ca="1">IFERROR(__xludf.DUMMYFUNCTION("""COMPUTED_VALUE"""),108.3)</f>
        <v>108.3</v>
      </c>
      <c r="S240" s="1">
        <f ca="1">IFERROR(__xludf.DUMMYFUNCTION("""COMPUTED_VALUE"""),328)</f>
        <v>328</v>
      </c>
      <c r="T240" s="1">
        <f ca="1">IFERROR(__xludf.DUMMYFUNCTION("""COMPUTED_VALUE"""),-7.79)</f>
        <v>-7.79</v>
      </c>
      <c r="U240" s="1">
        <f ca="1">IFERROR(__xludf.DUMMYFUNCTION("""COMPUTED_VALUE"""),318)</f>
        <v>318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IFERROR(__xludf.DUMMYFUNCTION("""COMPUTED_VALUE"""),"Tennessee St.")</f>
        <v>Tennessee St.</v>
      </c>
      <c r="C241" s="1" t="str">
        <f ca="1">IFERROR(__xludf.DUMMYFUNCTION("""COMPUTED_VALUE"""),"OVC")</f>
        <v>OVC</v>
      </c>
      <c r="D241" s="1" t="str">
        <f ca="1">IFERROR(__xludf.DUMMYFUNCTION("""COMPUTED_VALUE"""),"15-17")</f>
        <v>15-17</v>
      </c>
      <c r="E241" s="1">
        <f ca="1">IFERROR(__xludf.DUMMYFUNCTION("""COMPUTED_VALUE"""),-6.76)</f>
        <v>-6.76</v>
      </c>
      <c r="F241" s="1">
        <f ca="1">IFERROR(__xludf.DUMMYFUNCTION("""COMPUTED_VALUE"""),104.1)</f>
        <v>104.1</v>
      </c>
      <c r="G241" s="1">
        <f ca="1">IFERROR(__xludf.DUMMYFUNCTION("""COMPUTED_VALUE"""),168)</f>
        <v>168</v>
      </c>
      <c r="H241" s="1">
        <f ca="1">IFERROR(__xludf.DUMMYFUNCTION("""COMPUTED_VALUE"""),110.8)</f>
        <v>110.8</v>
      </c>
      <c r="I241" s="1">
        <f ca="1">IFERROR(__xludf.DUMMYFUNCTION("""COMPUTED_VALUE"""),305)</f>
        <v>305</v>
      </c>
      <c r="J241" s="1">
        <f ca="1">IFERROR(__xludf.DUMMYFUNCTION("""COMPUTED_VALUE"""),68.6)</f>
        <v>68.599999999999994</v>
      </c>
      <c r="K241" s="1">
        <f ca="1">IFERROR(__xludf.DUMMYFUNCTION("""COMPUTED_VALUE"""),58)</f>
        <v>58</v>
      </c>
      <c r="L241" s="1">
        <f ca="1">IFERROR(__xludf.DUMMYFUNCTION("""COMPUTED_VALUE"""),-0.019)</f>
        <v>-1.9E-2</v>
      </c>
      <c r="M241" s="1">
        <f ca="1">IFERROR(__xludf.DUMMYFUNCTION("""COMPUTED_VALUE"""),216)</f>
        <v>216</v>
      </c>
      <c r="N241" s="1">
        <f ca="1">IFERROR(__xludf.DUMMYFUNCTION("""COMPUTED_VALUE"""),-6.32)</f>
        <v>-6.32</v>
      </c>
      <c r="O241" s="1">
        <f ca="1">IFERROR(__xludf.DUMMYFUNCTION("""COMPUTED_VALUE"""),289)</f>
        <v>289</v>
      </c>
      <c r="P241" s="1">
        <f ca="1">IFERROR(__xludf.DUMMYFUNCTION("""COMPUTED_VALUE"""),102.1)</f>
        <v>102.1</v>
      </c>
      <c r="Q241" s="1">
        <f ca="1">IFERROR(__xludf.DUMMYFUNCTION("""COMPUTED_VALUE"""),219)</f>
        <v>219</v>
      </c>
      <c r="R241" s="1">
        <f ca="1">IFERROR(__xludf.DUMMYFUNCTION("""COMPUTED_VALUE"""),108.4)</f>
        <v>108.4</v>
      </c>
      <c r="S241" s="1">
        <f ca="1">IFERROR(__xludf.DUMMYFUNCTION("""COMPUTED_VALUE"""),330)</f>
        <v>330</v>
      </c>
      <c r="T241" s="1" t="str">
        <f ca="1">IFERROR(__xludf.DUMMYFUNCTION("""COMPUTED_VALUE"""),"+10.98")</f>
        <v>+10.98</v>
      </c>
      <c r="U241" s="1">
        <f ca="1">IFERROR(__xludf.DUMMYFUNCTION("""COMPUTED_VALUE"""),9)</f>
        <v>9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IFERROR(__xludf.DUMMYFUNCTION("""COMPUTED_VALUE"""),"Montana St.")</f>
        <v>Montana St.</v>
      </c>
      <c r="C242" s="1" t="str">
        <f ca="1">IFERROR(__xludf.DUMMYFUNCTION("""COMPUTED_VALUE"""),"BSky")</f>
        <v>BSky</v>
      </c>
      <c r="D242" s="1" t="str">
        <f ca="1">IFERROR(__xludf.DUMMYFUNCTION("""COMPUTED_VALUE"""),"15-15")</f>
        <v>15-15</v>
      </c>
      <c r="E242" s="1">
        <f ca="1">IFERROR(__xludf.DUMMYFUNCTION("""COMPUTED_VALUE"""),-6.95)</f>
        <v>-6.95</v>
      </c>
      <c r="F242" s="1">
        <f ca="1">IFERROR(__xludf.DUMMYFUNCTION("""COMPUTED_VALUE"""),104.8)</f>
        <v>104.8</v>
      </c>
      <c r="G242" s="1">
        <f ca="1">IFERROR(__xludf.DUMMYFUNCTION("""COMPUTED_VALUE"""),150)</f>
        <v>150</v>
      </c>
      <c r="H242" s="1">
        <f ca="1">IFERROR(__xludf.DUMMYFUNCTION("""COMPUTED_VALUE"""),111.8)</f>
        <v>111.8</v>
      </c>
      <c r="I242" s="1">
        <f ca="1">IFERROR(__xludf.DUMMYFUNCTION("""COMPUTED_VALUE"""),317)</f>
        <v>317</v>
      </c>
      <c r="J242" s="1">
        <f ca="1">IFERROR(__xludf.DUMMYFUNCTION("""COMPUTED_VALUE"""),66.4)</f>
        <v>66.400000000000006</v>
      </c>
      <c r="K242" s="1">
        <f ca="1">IFERROR(__xludf.DUMMYFUNCTION("""COMPUTED_VALUE"""),125)</f>
        <v>125</v>
      </c>
      <c r="L242" s="1" t="str">
        <f ca="1">IFERROR(__xludf.DUMMYFUNCTION("""COMPUTED_VALUE"""),"+.015")</f>
        <v>+.015</v>
      </c>
      <c r="M242" s="1">
        <f ca="1">IFERROR(__xludf.DUMMYFUNCTION("""COMPUTED_VALUE"""),129)</f>
        <v>129</v>
      </c>
      <c r="N242" s="1">
        <f ca="1">IFERROR(__xludf.DUMMYFUNCTION("""COMPUTED_VALUE"""),-4.18)</f>
        <v>-4.18</v>
      </c>
      <c r="O242" s="1">
        <f ca="1">IFERROR(__xludf.DUMMYFUNCTION("""COMPUTED_VALUE"""),239)</f>
        <v>239</v>
      </c>
      <c r="P242" s="1">
        <f ca="1">IFERROR(__xludf.DUMMYFUNCTION("""COMPUTED_VALUE"""),101.3)</f>
        <v>101.3</v>
      </c>
      <c r="Q242" s="1">
        <f ca="1">IFERROR(__xludf.DUMMYFUNCTION("""COMPUTED_VALUE"""),253)</f>
        <v>253</v>
      </c>
      <c r="R242" s="1">
        <f ca="1">IFERROR(__xludf.DUMMYFUNCTION("""COMPUTED_VALUE"""),105.5)</f>
        <v>105.5</v>
      </c>
      <c r="S242" s="1">
        <f ca="1">IFERROR(__xludf.DUMMYFUNCTION("""COMPUTED_VALUE"""),233)</f>
        <v>233</v>
      </c>
      <c r="T242" s="1">
        <f ca="1">IFERROR(__xludf.DUMMYFUNCTION("""COMPUTED_VALUE"""),-0.33)</f>
        <v>-0.33</v>
      </c>
      <c r="U242" s="1">
        <f ca="1">IFERROR(__xludf.DUMMYFUNCTION("""COMPUTED_VALUE"""),156)</f>
        <v>156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IFERROR(__xludf.DUMMYFUNCTION("""COMPUTED_VALUE"""),"Hawaii")</f>
        <v>Hawaii</v>
      </c>
      <c r="C243" s="1" t="str">
        <f ca="1">IFERROR(__xludf.DUMMYFUNCTION("""COMPUTED_VALUE"""),"WAC")</f>
        <v>WAC</v>
      </c>
      <c r="D243" s="2">
        <f ca="1">IFERROR(__xludf.DUMMYFUNCTION("""COMPUTED_VALUE"""),44884)</f>
        <v>44884</v>
      </c>
      <c r="E243" s="1">
        <f ca="1">IFERROR(__xludf.DUMMYFUNCTION("""COMPUTED_VALUE"""),-7.02)</f>
        <v>-7.02</v>
      </c>
      <c r="F243" s="1">
        <f ca="1">IFERROR(__xludf.DUMMYFUNCTION("""COMPUTED_VALUE"""),102.2)</f>
        <v>102.2</v>
      </c>
      <c r="G243" s="1">
        <f ca="1">IFERROR(__xludf.DUMMYFUNCTION("""COMPUTED_VALUE"""),188)</f>
        <v>188</v>
      </c>
      <c r="H243" s="1">
        <f ca="1">IFERROR(__xludf.DUMMYFUNCTION("""COMPUTED_VALUE"""),109.2)</f>
        <v>109.2</v>
      </c>
      <c r="I243" s="1">
        <f ca="1">IFERROR(__xludf.DUMMYFUNCTION("""COMPUTED_VALUE"""),275)</f>
        <v>275</v>
      </c>
      <c r="J243" s="1">
        <f ca="1">IFERROR(__xludf.DUMMYFUNCTION("""COMPUTED_VALUE"""),66.8)</f>
        <v>66.8</v>
      </c>
      <c r="K243" s="1">
        <f ca="1">IFERROR(__xludf.DUMMYFUNCTION("""COMPUTED_VALUE"""),108)</f>
        <v>108</v>
      </c>
      <c r="L243" s="1">
        <f ca="1">IFERROR(__xludf.DUMMYFUNCTION("""COMPUTED_VALUE"""),-0.054)</f>
        <v>-5.3999999999999999E-2</v>
      </c>
      <c r="M243" s="1">
        <f ca="1">IFERROR(__xludf.DUMMYFUNCTION("""COMPUTED_VALUE"""),295)</f>
        <v>295</v>
      </c>
      <c r="N243" s="1">
        <f ca="1">IFERROR(__xludf.DUMMYFUNCTION("""COMPUTED_VALUE"""),-3.48)</f>
        <v>-3.48</v>
      </c>
      <c r="O243" s="1">
        <f ca="1">IFERROR(__xludf.DUMMYFUNCTION("""COMPUTED_VALUE"""),231)</f>
        <v>231</v>
      </c>
      <c r="P243" s="1">
        <f ca="1">IFERROR(__xludf.DUMMYFUNCTION("""COMPUTED_VALUE"""),101.6)</f>
        <v>101.6</v>
      </c>
      <c r="Q243" s="1">
        <f ca="1">IFERROR(__xludf.DUMMYFUNCTION("""COMPUTED_VALUE"""),239)</f>
        <v>239</v>
      </c>
      <c r="R243" s="1">
        <f ca="1">IFERROR(__xludf.DUMMYFUNCTION("""COMPUTED_VALUE"""),105.1)</f>
        <v>105.1</v>
      </c>
      <c r="S243" s="1">
        <f ca="1">IFERROR(__xludf.DUMMYFUNCTION("""COMPUTED_VALUE"""),214)</f>
        <v>214</v>
      </c>
      <c r="T243" s="1">
        <f ca="1">IFERROR(__xludf.DUMMYFUNCTION("""COMPUTED_VALUE"""),-4.96)</f>
        <v>-4.96</v>
      </c>
      <c r="U243" s="1">
        <f ca="1">IFERROR(__xludf.DUMMYFUNCTION("""COMPUTED_VALUE"""),287)</f>
        <v>287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IFERROR(__xludf.DUMMYFUNCTION("""COMPUTED_VALUE"""),"Yale")</f>
        <v>Yale</v>
      </c>
      <c r="C244" s="1" t="str">
        <f ca="1">IFERROR(__xludf.DUMMYFUNCTION("""COMPUTED_VALUE"""),"Ivy")</f>
        <v>Ivy</v>
      </c>
      <c r="D244" s="1" t="str">
        <f ca="1">IFERROR(__xludf.DUMMYFUNCTION("""COMPUTED_VALUE"""),"13-15")</f>
        <v>13-15</v>
      </c>
      <c r="E244" s="1">
        <f ca="1">IFERROR(__xludf.DUMMYFUNCTION("""COMPUTED_VALUE"""),-7.15)</f>
        <v>-7.15</v>
      </c>
      <c r="F244" s="1">
        <f ca="1">IFERROR(__xludf.DUMMYFUNCTION("""COMPUTED_VALUE"""),99.9)</f>
        <v>99.9</v>
      </c>
      <c r="G244" s="1">
        <f ca="1">IFERROR(__xludf.DUMMYFUNCTION("""COMPUTED_VALUE"""),226)</f>
        <v>226</v>
      </c>
      <c r="H244" s="1">
        <f ca="1">IFERROR(__xludf.DUMMYFUNCTION("""COMPUTED_VALUE"""),107.1)</f>
        <v>107.1</v>
      </c>
      <c r="I244" s="1">
        <f ca="1">IFERROR(__xludf.DUMMYFUNCTION("""COMPUTED_VALUE"""),239)</f>
        <v>239</v>
      </c>
      <c r="J244" s="1">
        <f ca="1">IFERROR(__xludf.DUMMYFUNCTION("""COMPUTED_VALUE"""),65.4)</f>
        <v>65.400000000000006</v>
      </c>
      <c r="K244" s="1">
        <f ca="1">IFERROR(__xludf.DUMMYFUNCTION("""COMPUTED_VALUE"""),158)</f>
        <v>158</v>
      </c>
      <c r="L244" s="1" t="str">
        <f ca="1">IFERROR(__xludf.DUMMYFUNCTION("""COMPUTED_VALUE"""),"+.019")</f>
        <v>+.019</v>
      </c>
      <c r="M244" s="1">
        <f ca="1">IFERROR(__xludf.DUMMYFUNCTION("""COMPUTED_VALUE"""),122)</f>
        <v>122</v>
      </c>
      <c r="N244" s="1">
        <f ca="1">IFERROR(__xludf.DUMMYFUNCTION("""COMPUTED_VALUE"""),-4.77)</f>
        <v>-4.7699999999999996</v>
      </c>
      <c r="O244" s="1">
        <f ca="1">IFERROR(__xludf.DUMMYFUNCTION("""COMPUTED_VALUE"""),250)</f>
        <v>250</v>
      </c>
      <c r="P244" s="1">
        <f ca="1">IFERROR(__xludf.DUMMYFUNCTION("""COMPUTED_VALUE"""),101.4)</f>
        <v>101.4</v>
      </c>
      <c r="Q244" s="1">
        <f ca="1">IFERROR(__xludf.DUMMYFUNCTION("""COMPUTED_VALUE"""),247)</f>
        <v>247</v>
      </c>
      <c r="R244" s="1">
        <f ca="1">IFERROR(__xludf.DUMMYFUNCTION("""COMPUTED_VALUE"""),106.2)</f>
        <v>106.2</v>
      </c>
      <c r="S244" s="1">
        <f ca="1">IFERROR(__xludf.DUMMYFUNCTION("""COMPUTED_VALUE"""),269)</f>
        <v>269</v>
      </c>
      <c r="T244" s="1" t="str">
        <f ca="1">IFERROR(__xludf.DUMMYFUNCTION("""COMPUTED_VALUE"""),"+1.17")</f>
        <v>+1.17</v>
      </c>
      <c r="U244" s="1">
        <f ca="1">IFERROR(__xludf.DUMMYFUNCTION("""COMPUTED_VALUE"""),117)</f>
        <v>117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IFERROR(__xludf.DUMMYFUNCTION("""COMPUTED_VALUE"""),"Denver")</f>
        <v>Denver</v>
      </c>
      <c r="C245" s="1" t="str">
        <f ca="1">IFERROR(__xludf.DUMMYFUNCTION("""COMPUTED_VALUE"""),"SB")</f>
        <v>SB</v>
      </c>
      <c r="D245" s="2">
        <f ca="1">IFERROR(__xludf.DUMMYFUNCTION("""COMPUTED_VALUE"""),44884)</f>
        <v>44884</v>
      </c>
      <c r="E245" s="1">
        <f ca="1">IFERROR(__xludf.DUMMYFUNCTION("""COMPUTED_VALUE"""),-7.16)</f>
        <v>-7.16</v>
      </c>
      <c r="F245" s="1">
        <f ca="1">IFERROR(__xludf.DUMMYFUNCTION("""COMPUTED_VALUE"""),98.4)</f>
        <v>98.4</v>
      </c>
      <c r="G245" s="1">
        <f ca="1">IFERROR(__xludf.DUMMYFUNCTION("""COMPUTED_VALUE"""),247)</f>
        <v>247</v>
      </c>
      <c r="H245" s="1">
        <f ca="1">IFERROR(__xludf.DUMMYFUNCTION("""COMPUTED_VALUE"""),105.5)</f>
        <v>105.5</v>
      </c>
      <c r="I245" s="1">
        <f ca="1">IFERROR(__xludf.DUMMYFUNCTION("""COMPUTED_VALUE"""),205)</f>
        <v>205</v>
      </c>
      <c r="J245" s="1">
        <f ca="1">IFERROR(__xludf.DUMMYFUNCTION("""COMPUTED_VALUE"""),55.2)</f>
        <v>55.2</v>
      </c>
      <c r="K245" s="1">
        <f ca="1">IFERROR(__xludf.DUMMYFUNCTION("""COMPUTED_VALUE"""),340)</f>
        <v>340</v>
      </c>
      <c r="L245" s="1">
        <f ca="1">IFERROR(__xludf.DUMMYFUNCTION("""COMPUTED_VALUE"""),-0.042)</f>
        <v>-4.2000000000000003E-2</v>
      </c>
      <c r="M245" s="1">
        <f ca="1">IFERROR(__xludf.DUMMYFUNCTION("""COMPUTED_VALUE"""),274)</f>
        <v>274</v>
      </c>
      <c r="N245" s="1">
        <f ca="1">IFERROR(__xludf.DUMMYFUNCTION("""COMPUTED_VALUE"""),-1.93)</f>
        <v>-1.93</v>
      </c>
      <c r="O245" s="1">
        <f ca="1">IFERROR(__xludf.DUMMYFUNCTION("""COMPUTED_VALUE"""),192)</f>
        <v>192</v>
      </c>
      <c r="P245" s="1">
        <f ca="1">IFERROR(__xludf.DUMMYFUNCTION("""COMPUTED_VALUE"""),102.9)</f>
        <v>102.9</v>
      </c>
      <c r="Q245" s="1">
        <f ca="1">IFERROR(__xludf.DUMMYFUNCTION("""COMPUTED_VALUE"""),194)</f>
        <v>194</v>
      </c>
      <c r="R245" s="1">
        <f ca="1">IFERROR(__xludf.DUMMYFUNCTION("""COMPUTED_VALUE"""),104.8)</f>
        <v>104.8</v>
      </c>
      <c r="S245" s="1">
        <f ca="1">IFERROR(__xludf.DUMMYFUNCTION("""COMPUTED_VALUE"""),199)</f>
        <v>199</v>
      </c>
      <c r="T245" s="1">
        <f ca="1">IFERROR(__xludf.DUMMYFUNCTION("""COMPUTED_VALUE"""),-0.58)</f>
        <v>-0.57999999999999996</v>
      </c>
      <c r="U245" s="1">
        <f ca="1">IFERROR(__xludf.DUMMYFUNCTION("""COMPUTED_VALUE"""),162)</f>
        <v>162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IFERROR(__xludf.DUMMYFUNCTION("""COMPUTED_VALUE"""),"Ball St.")</f>
        <v>Ball St.</v>
      </c>
      <c r="C246" s="1" t="str">
        <f ca="1">IFERROR(__xludf.DUMMYFUNCTION("""COMPUTED_VALUE"""),"MAC")</f>
        <v>MAC</v>
      </c>
      <c r="D246" s="2">
        <f ca="1">IFERROR(__xludf.DUMMYFUNCTION("""COMPUTED_VALUE"""),44736)</f>
        <v>44736</v>
      </c>
      <c r="E246" s="1">
        <f ca="1">IFERROR(__xludf.DUMMYFUNCTION("""COMPUTED_VALUE"""),-7.21)</f>
        <v>-7.21</v>
      </c>
      <c r="F246" s="1">
        <f ca="1">IFERROR(__xludf.DUMMYFUNCTION("""COMPUTED_VALUE"""),95.7)</f>
        <v>95.7</v>
      </c>
      <c r="G246" s="1">
        <f ca="1">IFERROR(__xludf.DUMMYFUNCTION("""COMPUTED_VALUE"""),288)</f>
        <v>288</v>
      </c>
      <c r="H246" s="1">
        <f ca="1">IFERROR(__xludf.DUMMYFUNCTION("""COMPUTED_VALUE"""),102.9)</f>
        <v>102.9</v>
      </c>
      <c r="I246" s="1">
        <f ca="1">IFERROR(__xludf.DUMMYFUNCTION("""COMPUTED_VALUE"""),156)</f>
        <v>156</v>
      </c>
      <c r="J246" s="1">
        <f ca="1">IFERROR(__xludf.DUMMYFUNCTION("""COMPUTED_VALUE"""),61.1)</f>
        <v>61.1</v>
      </c>
      <c r="K246" s="1">
        <f ca="1">IFERROR(__xludf.DUMMYFUNCTION("""COMPUTED_VALUE"""),308)</f>
        <v>308</v>
      </c>
      <c r="L246" s="1">
        <f ca="1">IFERROR(__xludf.DUMMYFUNCTION("""COMPUTED_VALUE"""),-0.048)</f>
        <v>-4.8000000000000001E-2</v>
      </c>
      <c r="M246" s="1">
        <f ca="1">IFERROR(__xludf.DUMMYFUNCTION("""COMPUTED_VALUE"""),289)</f>
        <v>289</v>
      </c>
      <c r="N246" s="1" t="str">
        <f ca="1">IFERROR(__xludf.DUMMYFUNCTION("""COMPUTED_VALUE"""),"+1.36")</f>
        <v>+1.36</v>
      </c>
      <c r="O246" s="1">
        <f ca="1">IFERROR(__xludf.DUMMYFUNCTION("""COMPUTED_VALUE"""),132)</f>
        <v>132</v>
      </c>
      <c r="P246" s="1">
        <f ca="1">IFERROR(__xludf.DUMMYFUNCTION("""COMPUTED_VALUE"""),104.1)</f>
        <v>104.1</v>
      </c>
      <c r="Q246" s="1">
        <f ca="1">IFERROR(__xludf.DUMMYFUNCTION("""COMPUTED_VALUE"""),142)</f>
        <v>142</v>
      </c>
      <c r="R246" s="1">
        <f ca="1">IFERROR(__xludf.DUMMYFUNCTION("""COMPUTED_VALUE"""),102.7)</f>
        <v>102.7</v>
      </c>
      <c r="S246" s="1">
        <f ca="1">IFERROR(__xludf.DUMMYFUNCTION("""COMPUTED_VALUE"""),140)</f>
        <v>140</v>
      </c>
      <c r="T246" s="1" t="str">
        <f ca="1">IFERROR(__xludf.DUMMYFUNCTION("""COMPUTED_VALUE"""),"+4.12")</f>
        <v>+4.12</v>
      </c>
      <c r="U246" s="1">
        <f ca="1">IFERROR(__xludf.DUMMYFUNCTION("""COMPUTED_VALUE"""),52)</f>
        <v>52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IFERROR(__xludf.DUMMYFUNCTION("""COMPUTED_VALUE"""),"Northern Colorado")</f>
        <v>Northern Colorado</v>
      </c>
      <c r="C247" s="1" t="str">
        <f ca="1">IFERROR(__xludf.DUMMYFUNCTION("""COMPUTED_VALUE"""),"BSky")</f>
        <v>BSky</v>
      </c>
      <c r="D247" s="1" t="str">
        <f ca="1">IFERROR(__xludf.DUMMYFUNCTION("""COMPUTED_VALUE"""),"13-16")</f>
        <v>13-16</v>
      </c>
      <c r="E247" s="1">
        <f ca="1">IFERROR(__xludf.DUMMYFUNCTION("""COMPUTED_VALUE"""),-7.22)</f>
        <v>-7.22</v>
      </c>
      <c r="F247" s="1">
        <f ca="1">IFERROR(__xludf.DUMMYFUNCTION("""COMPUTED_VALUE"""),100)</f>
        <v>100</v>
      </c>
      <c r="G247" s="1">
        <f ca="1">IFERROR(__xludf.DUMMYFUNCTION("""COMPUTED_VALUE"""),221)</f>
        <v>221</v>
      </c>
      <c r="H247" s="1">
        <f ca="1">IFERROR(__xludf.DUMMYFUNCTION("""COMPUTED_VALUE"""),107.3)</f>
        <v>107.3</v>
      </c>
      <c r="I247" s="1">
        <f ca="1">IFERROR(__xludf.DUMMYFUNCTION("""COMPUTED_VALUE"""),243)</f>
        <v>243</v>
      </c>
      <c r="J247" s="1">
        <f ca="1">IFERROR(__xludf.DUMMYFUNCTION("""COMPUTED_VALUE"""),67.7)</f>
        <v>67.7</v>
      </c>
      <c r="K247" s="1">
        <f ca="1">IFERROR(__xludf.DUMMYFUNCTION("""COMPUTED_VALUE"""),85)</f>
        <v>85</v>
      </c>
      <c r="L247" s="1">
        <f ca="1">IFERROR(__xludf.DUMMYFUNCTION("""COMPUTED_VALUE"""),-0.011)</f>
        <v>-1.0999999999999999E-2</v>
      </c>
      <c r="M247" s="1">
        <f ca="1">IFERROR(__xludf.DUMMYFUNCTION("""COMPUTED_VALUE"""),198)</f>
        <v>198</v>
      </c>
      <c r="N247" s="1">
        <f ca="1">IFERROR(__xludf.DUMMYFUNCTION("""COMPUTED_VALUE"""),-4.78)</f>
        <v>-4.78</v>
      </c>
      <c r="O247" s="1">
        <f ca="1">IFERROR(__xludf.DUMMYFUNCTION("""COMPUTED_VALUE"""),251)</f>
        <v>251</v>
      </c>
      <c r="P247" s="1">
        <f ca="1">IFERROR(__xludf.DUMMYFUNCTION("""COMPUTED_VALUE"""),101.3)</f>
        <v>101.3</v>
      </c>
      <c r="Q247" s="1">
        <f ca="1">IFERROR(__xludf.DUMMYFUNCTION("""COMPUTED_VALUE"""),252)</f>
        <v>252</v>
      </c>
      <c r="R247" s="1">
        <f ca="1">IFERROR(__xludf.DUMMYFUNCTION("""COMPUTED_VALUE"""),106.1)</f>
        <v>106.1</v>
      </c>
      <c r="S247" s="1">
        <f ca="1">IFERROR(__xludf.DUMMYFUNCTION("""COMPUTED_VALUE"""),264)</f>
        <v>264</v>
      </c>
      <c r="T247" s="1">
        <f ca="1">IFERROR(__xludf.DUMMYFUNCTION("""COMPUTED_VALUE"""),-1.42)</f>
        <v>-1.42</v>
      </c>
      <c r="U247" s="1">
        <f ca="1">IFERROR(__xludf.DUMMYFUNCTION("""COMPUTED_VALUE"""),185)</f>
        <v>185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IFERROR(__xludf.DUMMYFUNCTION("""COMPUTED_VALUE"""),"McNeese St.")</f>
        <v>McNeese St.</v>
      </c>
      <c r="C248" s="1" t="str">
        <f ca="1">IFERROR(__xludf.DUMMYFUNCTION("""COMPUTED_VALUE"""),"Slnd")</f>
        <v>Slnd</v>
      </c>
      <c r="D248" s="1" t="str">
        <f ca="1">IFERROR(__xludf.DUMMYFUNCTION("""COMPUTED_VALUE"""),"13-16")</f>
        <v>13-16</v>
      </c>
      <c r="E248" s="1">
        <f ca="1">IFERROR(__xludf.DUMMYFUNCTION("""COMPUTED_VALUE"""),-7.26)</f>
        <v>-7.26</v>
      </c>
      <c r="F248" s="1">
        <f ca="1">IFERROR(__xludf.DUMMYFUNCTION("""COMPUTED_VALUE"""),96.6)</f>
        <v>96.6</v>
      </c>
      <c r="G248" s="1">
        <f ca="1">IFERROR(__xludf.DUMMYFUNCTION("""COMPUTED_VALUE"""),272)</f>
        <v>272</v>
      </c>
      <c r="H248" s="1">
        <f ca="1">IFERROR(__xludf.DUMMYFUNCTION("""COMPUTED_VALUE"""),103.8)</f>
        <v>103.8</v>
      </c>
      <c r="I248" s="1">
        <f ca="1">IFERROR(__xludf.DUMMYFUNCTION("""COMPUTED_VALUE"""),175)</f>
        <v>175</v>
      </c>
      <c r="J248" s="1">
        <f ca="1">IFERROR(__xludf.DUMMYFUNCTION("""COMPUTED_VALUE"""),65.2)</f>
        <v>65.2</v>
      </c>
      <c r="K248" s="1">
        <f ca="1">IFERROR(__xludf.DUMMYFUNCTION("""COMPUTED_VALUE"""),163)</f>
        <v>163</v>
      </c>
      <c r="L248" s="1" t="str">
        <f ca="1">IFERROR(__xludf.DUMMYFUNCTION("""COMPUTED_VALUE"""),"+.004")</f>
        <v>+.004</v>
      </c>
      <c r="M248" s="1">
        <f ca="1">IFERROR(__xludf.DUMMYFUNCTION("""COMPUTED_VALUE"""),158)</f>
        <v>158</v>
      </c>
      <c r="N248" s="1">
        <f ca="1">IFERROR(__xludf.DUMMYFUNCTION("""COMPUTED_VALUE"""),-2.46)</f>
        <v>-2.46</v>
      </c>
      <c r="O248" s="1">
        <f ca="1">IFERROR(__xludf.DUMMYFUNCTION("""COMPUTED_VALUE"""),205)</f>
        <v>205</v>
      </c>
      <c r="P248" s="1">
        <f ca="1">IFERROR(__xludf.DUMMYFUNCTION("""COMPUTED_VALUE"""),100.8)</f>
        <v>100.8</v>
      </c>
      <c r="Q248" s="1">
        <f ca="1">IFERROR(__xludf.DUMMYFUNCTION("""COMPUTED_VALUE"""),272)</f>
        <v>272</v>
      </c>
      <c r="R248" s="1">
        <f ca="1">IFERROR(__xludf.DUMMYFUNCTION("""COMPUTED_VALUE"""),103.3)</f>
        <v>103.3</v>
      </c>
      <c r="S248" s="1">
        <f ca="1">IFERROR(__xludf.DUMMYFUNCTION("""COMPUTED_VALUE"""),154)</f>
        <v>154</v>
      </c>
      <c r="T248" s="1" t="str">
        <f ca="1">IFERROR(__xludf.DUMMYFUNCTION("""COMPUTED_VALUE"""),"+4.78")</f>
        <v>+4.78</v>
      </c>
      <c r="U248" s="1">
        <f ca="1">IFERROR(__xludf.DUMMYFUNCTION("""COMPUTED_VALUE"""),48)</f>
        <v>48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IFERROR(__xludf.DUMMYFUNCTION("""COMPUTED_VALUE"""),"Quinnipiac")</f>
        <v>Quinnipiac</v>
      </c>
      <c r="C249" s="1" t="str">
        <f ca="1">IFERROR(__xludf.DUMMYFUNCTION("""COMPUTED_VALUE"""),"NEC")</f>
        <v>NEC</v>
      </c>
      <c r="D249" s="1" t="str">
        <f ca="1">IFERROR(__xludf.DUMMYFUNCTION("""COMPUTED_VALUE"""),"15-15")</f>
        <v>15-15</v>
      </c>
      <c r="E249" s="1">
        <f ca="1">IFERROR(__xludf.DUMMYFUNCTION("""COMPUTED_VALUE"""),-7.37)</f>
        <v>-7.37</v>
      </c>
      <c r="F249" s="1">
        <f ca="1">IFERROR(__xludf.DUMMYFUNCTION("""COMPUTED_VALUE"""),104.8)</f>
        <v>104.8</v>
      </c>
      <c r="G249" s="1">
        <f ca="1">IFERROR(__xludf.DUMMYFUNCTION("""COMPUTED_VALUE"""),151)</f>
        <v>151</v>
      </c>
      <c r="H249" s="1">
        <f ca="1">IFERROR(__xludf.DUMMYFUNCTION("""COMPUTED_VALUE"""),112.2)</f>
        <v>112.2</v>
      </c>
      <c r="I249" s="1">
        <f ca="1">IFERROR(__xludf.DUMMYFUNCTION("""COMPUTED_VALUE"""),321)</f>
        <v>321</v>
      </c>
      <c r="J249" s="1">
        <f ca="1">IFERROR(__xludf.DUMMYFUNCTION("""COMPUTED_VALUE"""),66.6)</f>
        <v>66.599999999999994</v>
      </c>
      <c r="K249" s="1">
        <f ca="1">IFERROR(__xludf.DUMMYFUNCTION("""COMPUTED_VALUE"""),116)</f>
        <v>116</v>
      </c>
      <c r="L249" s="1" t="str">
        <f ca="1">IFERROR(__xludf.DUMMYFUNCTION("""COMPUTED_VALUE"""),"+.025")</f>
        <v>+.025</v>
      </c>
      <c r="M249" s="1">
        <f ca="1">IFERROR(__xludf.DUMMYFUNCTION("""COMPUTED_VALUE"""),110)</f>
        <v>110</v>
      </c>
      <c r="N249" s="1">
        <f ca="1">IFERROR(__xludf.DUMMYFUNCTION("""COMPUTED_VALUE"""),-7.16)</f>
        <v>-7.16</v>
      </c>
      <c r="O249" s="1">
        <f ca="1">IFERROR(__xludf.DUMMYFUNCTION("""COMPUTED_VALUE"""),302)</f>
        <v>302</v>
      </c>
      <c r="P249" s="1">
        <f ca="1">IFERROR(__xludf.DUMMYFUNCTION("""COMPUTED_VALUE"""),99.3)</f>
        <v>99.3</v>
      </c>
      <c r="Q249" s="1">
        <f ca="1">IFERROR(__xludf.DUMMYFUNCTION("""COMPUTED_VALUE"""),310)</f>
        <v>310</v>
      </c>
      <c r="R249" s="1">
        <f ca="1">IFERROR(__xludf.DUMMYFUNCTION("""COMPUTED_VALUE"""),106.4)</f>
        <v>106.4</v>
      </c>
      <c r="S249" s="1">
        <f ca="1">IFERROR(__xludf.DUMMYFUNCTION("""COMPUTED_VALUE"""),278)</f>
        <v>278</v>
      </c>
      <c r="T249" s="1">
        <f ca="1">IFERROR(__xludf.DUMMYFUNCTION("""COMPUTED_VALUE"""),-5.23)</f>
        <v>-5.23</v>
      </c>
      <c r="U249" s="1">
        <f ca="1">IFERROR(__xludf.DUMMYFUNCTION("""COMPUTED_VALUE"""),292)</f>
        <v>292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IFERROR(__xludf.DUMMYFUNCTION("""COMPUTED_VALUE"""),"Manhattan")</f>
        <v>Manhattan</v>
      </c>
      <c r="C250" s="1" t="str">
        <f ca="1">IFERROR(__xludf.DUMMYFUNCTION("""COMPUTED_VALUE"""),"MAAC")</f>
        <v>MAAC</v>
      </c>
      <c r="D250" s="2">
        <f ca="1">IFERROR(__xludf.DUMMYFUNCTION("""COMPUTED_VALUE"""),44914)</f>
        <v>44914</v>
      </c>
      <c r="E250" s="1">
        <f ca="1">IFERROR(__xludf.DUMMYFUNCTION("""COMPUTED_VALUE"""),-7.41)</f>
        <v>-7.41</v>
      </c>
      <c r="F250" s="1">
        <f ca="1">IFERROR(__xludf.DUMMYFUNCTION("""COMPUTED_VALUE"""),101.8)</f>
        <v>101.8</v>
      </c>
      <c r="G250" s="1">
        <f ca="1">IFERROR(__xludf.DUMMYFUNCTION("""COMPUTED_VALUE"""),194)</f>
        <v>194</v>
      </c>
      <c r="H250" s="1">
        <f ca="1">IFERROR(__xludf.DUMMYFUNCTION("""COMPUTED_VALUE"""),109.3)</f>
        <v>109.3</v>
      </c>
      <c r="I250" s="1">
        <f ca="1">IFERROR(__xludf.DUMMYFUNCTION("""COMPUTED_VALUE"""),279)</f>
        <v>279</v>
      </c>
      <c r="J250" s="1">
        <f ca="1">IFERROR(__xludf.DUMMYFUNCTION("""COMPUTED_VALUE"""),66)</f>
        <v>66</v>
      </c>
      <c r="K250" s="1">
        <f ca="1">IFERROR(__xludf.DUMMYFUNCTION("""COMPUTED_VALUE"""),139)</f>
        <v>139</v>
      </c>
      <c r="L250" s="1">
        <f ca="1">IFERROR(__xludf.DUMMYFUNCTION("""COMPUTED_VALUE"""),-0.061)</f>
        <v>-6.0999999999999999E-2</v>
      </c>
      <c r="M250" s="1">
        <f ca="1">IFERROR(__xludf.DUMMYFUNCTION("""COMPUTED_VALUE"""),307)</f>
        <v>307</v>
      </c>
      <c r="N250" s="1">
        <f ca="1">IFERROR(__xludf.DUMMYFUNCTION("""COMPUTED_VALUE"""),-4.72)</f>
        <v>-4.72</v>
      </c>
      <c r="O250" s="1">
        <f ca="1">IFERROR(__xludf.DUMMYFUNCTION("""COMPUTED_VALUE"""),249)</f>
        <v>249</v>
      </c>
      <c r="P250" s="1">
        <f ca="1">IFERROR(__xludf.DUMMYFUNCTION("""COMPUTED_VALUE"""),100.6)</f>
        <v>100.6</v>
      </c>
      <c r="Q250" s="1">
        <f ca="1">IFERROR(__xludf.DUMMYFUNCTION("""COMPUTED_VALUE"""),276)</f>
        <v>276</v>
      </c>
      <c r="R250" s="1">
        <f ca="1">IFERROR(__xludf.DUMMYFUNCTION("""COMPUTED_VALUE"""),105.4)</f>
        <v>105.4</v>
      </c>
      <c r="S250" s="1">
        <f ca="1">IFERROR(__xludf.DUMMYFUNCTION("""COMPUTED_VALUE"""),225)</f>
        <v>225</v>
      </c>
      <c r="T250" s="1">
        <f ca="1">IFERROR(__xludf.DUMMYFUNCTION("""COMPUTED_VALUE"""),-8.85)</f>
        <v>-8.85</v>
      </c>
      <c r="U250" s="1">
        <f ca="1">IFERROR(__xludf.DUMMYFUNCTION("""COMPUTED_VALUE"""),326)</f>
        <v>326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IFERROR(__xludf.DUMMYFUNCTION("""COMPUTED_VALUE"""),"Troy")</f>
        <v>Troy</v>
      </c>
      <c r="C251" s="1" t="str">
        <f ca="1">IFERROR(__xludf.DUMMYFUNCTION("""COMPUTED_VALUE"""),"SB")</f>
        <v>SB</v>
      </c>
      <c r="D251" s="2">
        <f ca="1">IFERROR(__xludf.DUMMYFUNCTION("""COMPUTED_VALUE"""),44914)</f>
        <v>44914</v>
      </c>
      <c r="E251" s="1">
        <f ca="1">IFERROR(__xludf.DUMMYFUNCTION("""COMPUTED_VALUE"""),-7.42)</f>
        <v>-7.42</v>
      </c>
      <c r="F251" s="1">
        <f ca="1">IFERROR(__xludf.DUMMYFUNCTION("""COMPUTED_VALUE"""),104.5)</f>
        <v>104.5</v>
      </c>
      <c r="G251" s="1">
        <f ca="1">IFERROR(__xludf.DUMMYFUNCTION("""COMPUTED_VALUE"""),161)</f>
        <v>161</v>
      </c>
      <c r="H251" s="1">
        <f ca="1">IFERROR(__xludf.DUMMYFUNCTION("""COMPUTED_VALUE"""),111.9)</f>
        <v>111.9</v>
      </c>
      <c r="I251" s="1">
        <f ca="1">IFERROR(__xludf.DUMMYFUNCTION("""COMPUTED_VALUE"""),318)</f>
        <v>318</v>
      </c>
      <c r="J251" s="1">
        <f ca="1">IFERROR(__xludf.DUMMYFUNCTION("""COMPUTED_VALUE"""),70.2)</f>
        <v>70.2</v>
      </c>
      <c r="K251" s="1">
        <f ca="1">IFERROR(__xludf.DUMMYFUNCTION("""COMPUTED_VALUE"""),22)</f>
        <v>22</v>
      </c>
      <c r="L251" s="1">
        <f ca="1">IFERROR(__xludf.DUMMYFUNCTION("""COMPUTED_VALUE"""),-0.03)</f>
        <v>-0.03</v>
      </c>
      <c r="M251" s="1">
        <f ca="1">IFERROR(__xludf.DUMMYFUNCTION("""COMPUTED_VALUE"""),247)</f>
        <v>247</v>
      </c>
      <c r="N251" s="1">
        <f ca="1">IFERROR(__xludf.DUMMYFUNCTION("""COMPUTED_VALUE"""),-1.83)</f>
        <v>-1.83</v>
      </c>
      <c r="O251" s="1">
        <f ca="1">IFERROR(__xludf.DUMMYFUNCTION("""COMPUTED_VALUE"""),191)</f>
        <v>191</v>
      </c>
      <c r="P251" s="1">
        <f ca="1">IFERROR(__xludf.DUMMYFUNCTION("""COMPUTED_VALUE"""),103.2)</f>
        <v>103.2</v>
      </c>
      <c r="Q251" s="1">
        <f ca="1">IFERROR(__xludf.DUMMYFUNCTION("""COMPUTED_VALUE"""),178)</f>
        <v>178</v>
      </c>
      <c r="R251" s="1">
        <f ca="1">IFERROR(__xludf.DUMMYFUNCTION("""COMPUTED_VALUE"""),105.1)</f>
        <v>105.1</v>
      </c>
      <c r="S251" s="1">
        <f ca="1">IFERROR(__xludf.DUMMYFUNCTION("""COMPUTED_VALUE"""),213)</f>
        <v>213</v>
      </c>
      <c r="T251" s="1">
        <f ca="1">IFERROR(__xludf.DUMMYFUNCTION("""COMPUTED_VALUE"""),-3.63)</f>
        <v>-3.63</v>
      </c>
      <c r="U251" s="1">
        <f ca="1">IFERROR(__xludf.DUMMYFUNCTION("""COMPUTED_VALUE"""),266)</f>
        <v>266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IFERROR(__xludf.DUMMYFUNCTION("""COMPUTED_VALUE"""),"Towson")</f>
        <v>Towson</v>
      </c>
      <c r="C252" s="1" t="str">
        <f ca="1">IFERROR(__xludf.DUMMYFUNCTION("""COMPUTED_VALUE"""),"CAA")</f>
        <v>CAA</v>
      </c>
      <c r="D252" s="1" t="str">
        <f ca="1">IFERROR(__xludf.DUMMYFUNCTION("""COMPUTED_VALUE"""),"13-18")</f>
        <v>13-18</v>
      </c>
      <c r="E252" s="1">
        <f ca="1">IFERROR(__xludf.DUMMYFUNCTION("""COMPUTED_VALUE"""),-7.45)</f>
        <v>-7.45</v>
      </c>
      <c r="F252" s="1">
        <f ca="1">IFERROR(__xludf.DUMMYFUNCTION("""COMPUTED_VALUE"""),99.2)</f>
        <v>99.2</v>
      </c>
      <c r="G252" s="1">
        <f ca="1">IFERROR(__xludf.DUMMYFUNCTION("""COMPUTED_VALUE"""),234)</f>
        <v>234</v>
      </c>
      <c r="H252" s="1">
        <f ca="1">IFERROR(__xludf.DUMMYFUNCTION("""COMPUTED_VALUE"""),106.7)</f>
        <v>106.7</v>
      </c>
      <c r="I252" s="1">
        <f ca="1">IFERROR(__xludf.DUMMYFUNCTION("""COMPUTED_VALUE"""),226)</f>
        <v>226</v>
      </c>
      <c r="J252" s="1">
        <f ca="1">IFERROR(__xludf.DUMMYFUNCTION("""COMPUTED_VALUE"""),65.5)</f>
        <v>65.5</v>
      </c>
      <c r="K252" s="1">
        <f ca="1">IFERROR(__xludf.DUMMYFUNCTION("""COMPUTED_VALUE"""),154)</f>
        <v>154</v>
      </c>
      <c r="L252" s="1" t="str">
        <f ca="1">IFERROR(__xludf.DUMMYFUNCTION("""COMPUTED_VALUE"""),"+.039")</f>
        <v>+.039</v>
      </c>
      <c r="M252" s="1">
        <f ca="1">IFERROR(__xludf.DUMMYFUNCTION("""COMPUTED_VALUE"""),80)</f>
        <v>80</v>
      </c>
      <c r="N252" s="1">
        <f ca="1">IFERROR(__xludf.DUMMYFUNCTION("""COMPUTED_VALUE"""),-2.97)</f>
        <v>-2.97</v>
      </c>
      <c r="O252" s="1">
        <f ca="1">IFERROR(__xludf.DUMMYFUNCTION("""COMPUTED_VALUE"""),219)</f>
        <v>219</v>
      </c>
      <c r="P252" s="1">
        <f ca="1">IFERROR(__xludf.DUMMYFUNCTION("""COMPUTED_VALUE"""),101.4)</f>
        <v>101.4</v>
      </c>
      <c r="Q252" s="1">
        <f ca="1">IFERROR(__xludf.DUMMYFUNCTION("""COMPUTED_VALUE"""),250)</f>
        <v>250</v>
      </c>
      <c r="R252" s="1">
        <f ca="1">IFERROR(__xludf.DUMMYFUNCTION("""COMPUTED_VALUE"""),104.4)</f>
        <v>104.4</v>
      </c>
      <c r="S252" s="1">
        <f ca="1">IFERROR(__xludf.DUMMYFUNCTION("""COMPUTED_VALUE"""),184)</f>
        <v>184</v>
      </c>
      <c r="T252" s="1">
        <f ca="1">IFERROR(__xludf.DUMMYFUNCTION("""COMPUTED_VALUE"""),-4.45)</f>
        <v>-4.45</v>
      </c>
      <c r="U252" s="1">
        <f ca="1">IFERROR(__xludf.DUMMYFUNCTION("""COMPUTED_VALUE"""),279)</f>
        <v>279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IFERROR(__xludf.DUMMYFUNCTION("""COMPUTED_VALUE"""),"Bucknell")</f>
        <v>Bucknell</v>
      </c>
      <c r="C255" s="1" t="str">
        <f ca="1">IFERROR(__xludf.DUMMYFUNCTION("""COMPUTED_VALUE"""),"Pat")</f>
        <v>Pat</v>
      </c>
      <c r="D255" s="2">
        <f ca="1">IFERROR(__xludf.DUMMYFUNCTION("""COMPUTED_VALUE"""),44914)</f>
        <v>44914</v>
      </c>
      <c r="E255" s="1">
        <f ca="1">IFERROR(__xludf.DUMMYFUNCTION("""COMPUTED_VALUE"""),-7.46)</f>
        <v>-7.46</v>
      </c>
      <c r="F255" s="1">
        <f ca="1">IFERROR(__xludf.DUMMYFUNCTION("""COMPUTED_VALUE"""),95.8)</f>
        <v>95.8</v>
      </c>
      <c r="G255" s="1">
        <f ca="1">IFERROR(__xludf.DUMMYFUNCTION("""COMPUTED_VALUE"""),285)</f>
        <v>285</v>
      </c>
      <c r="H255" s="1">
        <f ca="1">IFERROR(__xludf.DUMMYFUNCTION("""COMPUTED_VALUE"""),103.3)</f>
        <v>103.3</v>
      </c>
      <c r="I255" s="1">
        <f ca="1">IFERROR(__xludf.DUMMYFUNCTION("""COMPUTED_VALUE"""),166)</f>
        <v>166</v>
      </c>
      <c r="J255" s="1">
        <f ca="1">IFERROR(__xludf.DUMMYFUNCTION("""COMPUTED_VALUE"""),62.2)</f>
        <v>62.2</v>
      </c>
      <c r="K255" s="1">
        <f ca="1">IFERROR(__xludf.DUMMYFUNCTION("""COMPUTED_VALUE"""),286)</f>
        <v>286</v>
      </c>
      <c r="L255" s="1" t="str">
        <f ca="1">IFERROR(__xludf.DUMMYFUNCTION("""COMPUTED_VALUE"""),"+.048")</f>
        <v>+.048</v>
      </c>
      <c r="M255" s="1">
        <f ca="1">IFERROR(__xludf.DUMMYFUNCTION("""COMPUTED_VALUE"""),60)</f>
        <v>60</v>
      </c>
      <c r="N255" s="1">
        <f ca="1">IFERROR(__xludf.DUMMYFUNCTION("""COMPUTED_VALUE"""),-2.53)</f>
        <v>-2.5299999999999998</v>
      </c>
      <c r="O255" s="1">
        <f ca="1">IFERROR(__xludf.DUMMYFUNCTION("""COMPUTED_VALUE"""),209)</f>
        <v>209</v>
      </c>
      <c r="P255" s="1">
        <f ca="1">IFERROR(__xludf.DUMMYFUNCTION("""COMPUTED_VALUE"""),101.8)</f>
        <v>101.8</v>
      </c>
      <c r="Q255" s="1">
        <f ca="1">IFERROR(__xludf.DUMMYFUNCTION("""COMPUTED_VALUE"""),230)</f>
        <v>230</v>
      </c>
      <c r="R255" s="1">
        <f ca="1">IFERROR(__xludf.DUMMYFUNCTION("""COMPUTED_VALUE"""),104.3)</f>
        <v>104.3</v>
      </c>
      <c r="S255" s="1">
        <f ca="1">IFERROR(__xludf.DUMMYFUNCTION("""COMPUTED_VALUE"""),183)</f>
        <v>183</v>
      </c>
      <c r="T255" s="1">
        <f ca="1">IFERROR(__xludf.DUMMYFUNCTION("""COMPUTED_VALUE"""),-1.12)</f>
        <v>-1.1200000000000001</v>
      </c>
      <c r="U255" s="1">
        <f ca="1">IFERROR(__xludf.DUMMYFUNCTION("""COMPUTED_VALUE"""),178)</f>
        <v>178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IFERROR(__xludf.DUMMYFUNCTION("""COMPUTED_VALUE"""),"Nicholls St.")</f>
        <v>Nicholls St.</v>
      </c>
      <c r="C256" s="1" t="str">
        <f ca="1">IFERROR(__xludf.DUMMYFUNCTION("""COMPUTED_VALUE"""),"Slnd")</f>
        <v>Slnd</v>
      </c>
      <c r="D256" s="2">
        <f ca="1">IFERROR(__xludf.DUMMYFUNCTION("""COMPUTED_VALUE"""),44855)</f>
        <v>44855</v>
      </c>
      <c r="E256" s="1">
        <f ca="1">IFERROR(__xludf.DUMMYFUNCTION("""COMPUTED_VALUE"""),-7.52)</f>
        <v>-7.52</v>
      </c>
      <c r="F256" s="1">
        <f ca="1">IFERROR(__xludf.DUMMYFUNCTION("""COMPUTED_VALUE"""),94.9)</f>
        <v>94.9</v>
      </c>
      <c r="G256" s="1">
        <f ca="1">IFERROR(__xludf.DUMMYFUNCTION("""COMPUTED_VALUE"""),299)</f>
        <v>299</v>
      </c>
      <c r="H256" s="1">
        <f ca="1">IFERROR(__xludf.DUMMYFUNCTION("""COMPUTED_VALUE"""),102.4)</f>
        <v>102.4</v>
      </c>
      <c r="I256" s="1">
        <f ca="1">IFERROR(__xludf.DUMMYFUNCTION("""COMPUTED_VALUE"""),146)</f>
        <v>146</v>
      </c>
      <c r="J256" s="1">
        <f ca="1">IFERROR(__xludf.DUMMYFUNCTION("""COMPUTED_VALUE"""),64.8)</f>
        <v>64.8</v>
      </c>
      <c r="K256" s="1">
        <f ca="1">IFERROR(__xludf.DUMMYFUNCTION("""COMPUTED_VALUE"""),180)</f>
        <v>180</v>
      </c>
      <c r="L256" s="1">
        <f ca="1">IFERROR(__xludf.DUMMYFUNCTION("""COMPUTED_VALUE"""),-0.045)</f>
        <v>-4.4999999999999998E-2</v>
      </c>
      <c r="M256" s="1">
        <f ca="1">IFERROR(__xludf.DUMMYFUNCTION("""COMPUTED_VALUE"""),283)</f>
        <v>283</v>
      </c>
      <c r="N256" s="1">
        <f ca="1">IFERROR(__xludf.DUMMYFUNCTION("""COMPUTED_VALUE"""),-0.72)</f>
        <v>-0.72</v>
      </c>
      <c r="O256" s="1">
        <f ca="1">IFERROR(__xludf.DUMMYFUNCTION("""COMPUTED_VALUE"""),168)</f>
        <v>168</v>
      </c>
      <c r="P256" s="1">
        <f ca="1">IFERROR(__xludf.DUMMYFUNCTION("""COMPUTED_VALUE"""),102.8)</f>
        <v>102.8</v>
      </c>
      <c r="Q256" s="1">
        <f ca="1">IFERROR(__xludf.DUMMYFUNCTION("""COMPUTED_VALUE"""),200)</f>
        <v>200</v>
      </c>
      <c r="R256" s="1">
        <f ca="1">IFERROR(__xludf.DUMMYFUNCTION("""COMPUTED_VALUE"""),103.5)</f>
        <v>103.5</v>
      </c>
      <c r="S256" s="1">
        <f ca="1">IFERROR(__xludf.DUMMYFUNCTION("""COMPUTED_VALUE"""),159)</f>
        <v>159</v>
      </c>
      <c r="T256" s="1" t="str">
        <f ca="1">IFERROR(__xludf.DUMMYFUNCTION("""COMPUTED_VALUE"""),"+7.30")</f>
        <v>+7.30</v>
      </c>
      <c r="U256" s="1">
        <f ca="1">IFERROR(__xludf.DUMMYFUNCTION("""COMPUTED_VALUE"""),27)</f>
        <v>27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IFERROR(__xludf.DUMMYFUNCTION("""COMPUTED_VALUE"""),"Western Carolina")</f>
        <v>Western Carolina</v>
      </c>
      <c r="C257" s="1" t="str">
        <f ca="1">IFERROR(__xludf.DUMMYFUNCTION("""COMPUTED_VALUE"""),"SC")</f>
        <v>SC</v>
      </c>
      <c r="D257" s="2">
        <f ca="1">IFERROR(__xludf.DUMMYFUNCTION("""COMPUTED_VALUE"""),44855)</f>
        <v>44855</v>
      </c>
      <c r="E257" s="1">
        <f ca="1">IFERROR(__xludf.DUMMYFUNCTION("""COMPUTED_VALUE"""),-7.58)</f>
        <v>-7.58</v>
      </c>
      <c r="F257" s="1">
        <f ca="1">IFERROR(__xludf.DUMMYFUNCTION("""COMPUTED_VALUE"""),98.6)</f>
        <v>98.6</v>
      </c>
      <c r="G257" s="1">
        <f ca="1">IFERROR(__xludf.DUMMYFUNCTION("""COMPUTED_VALUE"""),244)</f>
        <v>244</v>
      </c>
      <c r="H257" s="1">
        <f ca="1">IFERROR(__xludf.DUMMYFUNCTION("""COMPUTED_VALUE"""),106.1)</f>
        <v>106.1</v>
      </c>
      <c r="I257" s="1">
        <f ca="1">IFERROR(__xludf.DUMMYFUNCTION("""COMPUTED_VALUE"""),214)</f>
        <v>214</v>
      </c>
      <c r="J257" s="1">
        <f ca="1">IFERROR(__xludf.DUMMYFUNCTION("""COMPUTED_VALUE"""),63.3)</f>
        <v>63.3</v>
      </c>
      <c r="K257" s="1">
        <f ca="1">IFERROR(__xludf.DUMMYFUNCTION("""COMPUTED_VALUE"""),251)</f>
        <v>251</v>
      </c>
      <c r="L257" s="1">
        <f ca="1">IFERROR(__xludf.DUMMYFUNCTION("""COMPUTED_VALUE"""),-0.04)</f>
        <v>-0.04</v>
      </c>
      <c r="M257" s="1">
        <f ca="1">IFERROR(__xludf.DUMMYFUNCTION("""COMPUTED_VALUE"""),268)</f>
        <v>268</v>
      </c>
      <c r="N257" s="1">
        <f ca="1">IFERROR(__xludf.DUMMYFUNCTION("""COMPUTED_VALUE"""),-0.5)</f>
        <v>-0.5</v>
      </c>
      <c r="O257" s="1">
        <f ca="1">IFERROR(__xludf.DUMMYFUNCTION("""COMPUTED_VALUE"""),163)</f>
        <v>163</v>
      </c>
      <c r="P257" s="1">
        <f ca="1">IFERROR(__xludf.DUMMYFUNCTION("""COMPUTED_VALUE"""),104.1)</f>
        <v>104.1</v>
      </c>
      <c r="Q257" s="1">
        <f ca="1">IFERROR(__xludf.DUMMYFUNCTION("""COMPUTED_VALUE"""),143)</f>
        <v>143</v>
      </c>
      <c r="R257" s="1">
        <f ca="1">IFERROR(__xludf.DUMMYFUNCTION("""COMPUTED_VALUE"""),104.6)</f>
        <v>104.6</v>
      </c>
      <c r="S257" s="1">
        <f ca="1">IFERROR(__xludf.DUMMYFUNCTION("""COMPUTED_VALUE"""),197)</f>
        <v>197</v>
      </c>
      <c r="T257" s="1" t="str">
        <f ca="1">IFERROR(__xludf.DUMMYFUNCTION("""COMPUTED_VALUE"""),"+1.44")</f>
        <v>+1.44</v>
      </c>
      <c r="U257" s="1">
        <f ca="1">IFERROR(__xludf.DUMMYFUNCTION("""COMPUTED_VALUE"""),111)</f>
        <v>111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IFERROR(__xludf.DUMMYFUNCTION("""COMPUTED_VALUE"""),"Texas Pan American")</f>
        <v>Texas Pan American</v>
      </c>
      <c r="C258" s="1" t="str">
        <f ca="1">IFERROR(__xludf.DUMMYFUNCTION("""COMPUTED_VALUE"""),"ind")</f>
        <v>ind</v>
      </c>
      <c r="D258" s="1" t="str">
        <f ca="1">IFERROR(__xludf.DUMMYFUNCTION("""COMPUTED_VALUE"""),"18-13")</f>
        <v>18-13</v>
      </c>
      <c r="E258" s="1">
        <f ca="1">IFERROR(__xludf.DUMMYFUNCTION("""COMPUTED_VALUE"""),-7.73)</f>
        <v>-7.73</v>
      </c>
      <c r="F258" s="1">
        <f ca="1">IFERROR(__xludf.DUMMYFUNCTION("""COMPUTED_VALUE"""),105.5)</f>
        <v>105.5</v>
      </c>
      <c r="G258" s="1">
        <f ca="1">IFERROR(__xludf.DUMMYFUNCTION("""COMPUTED_VALUE"""),140)</f>
        <v>140</v>
      </c>
      <c r="H258" s="1">
        <f ca="1">IFERROR(__xludf.DUMMYFUNCTION("""COMPUTED_VALUE"""),113.2)</f>
        <v>113.2</v>
      </c>
      <c r="I258" s="1">
        <f ca="1">IFERROR(__xludf.DUMMYFUNCTION("""COMPUTED_VALUE"""),325)</f>
        <v>325</v>
      </c>
      <c r="J258" s="1">
        <f ca="1">IFERROR(__xludf.DUMMYFUNCTION("""COMPUTED_VALUE"""),62.6)</f>
        <v>62.6</v>
      </c>
      <c r="K258" s="1">
        <f ca="1">IFERROR(__xludf.DUMMYFUNCTION("""COMPUTED_VALUE"""),277)</f>
        <v>277</v>
      </c>
      <c r="L258" s="1">
        <f ca="1">IFERROR(__xludf.DUMMYFUNCTION("""COMPUTED_VALUE"""),-0.005)</f>
        <v>-5.0000000000000001E-3</v>
      </c>
      <c r="M258" s="1">
        <f ca="1">IFERROR(__xludf.DUMMYFUNCTION("""COMPUTED_VALUE"""),183)</f>
        <v>183</v>
      </c>
      <c r="N258" s="1">
        <f ca="1">IFERROR(__xludf.DUMMYFUNCTION("""COMPUTED_VALUE"""),-9.72)</f>
        <v>-9.7200000000000006</v>
      </c>
      <c r="O258" s="1">
        <f ca="1">IFERROR(__xludf.DUMMYFUNCTION("""COMPUTED_VALUE"""),326)</f>
        <v>326</v>
      </c>
      <c r="P258" s="1">
        <f ca="1">IFERROR(__xludf.DUMMYFUNCTION("""COMPUTED_VALUE"""),97.8)</f>
        <v>97.8</v>
      </c>
      <c r="Q258" s="1">
        <f ca="1">IFERROR(__xludf.DUMMYFUNCTION("""COMPUTED_VALUE"""),324)</f>
        <v>324</v>
      </c>
      <c r="R258" s="1">
        <f ca="1">IFERROR(__xludf.DUMMYFUNCTION("""COMPUTED_VALUE"""),107.5)</f>
        <v>107.5</v>
      </c>
      <c r="S258" s="1">
        <f ca="1">IFERROR(__xludf.DUMMYFUNCTION("""COMPUTED_VALUE"""),312)</f>
        <v>312</v>
      </c>
      <c r="T258" s="1">
        <f ca="1">IFERROR(__xludf.DUMMYFUNCTION("""COMPUTED_VALUE"""),-4.81)</f>
        <v>-4.8099999999999996</v>
      </c>
      <c r="U258" s="1">
        <f ca="1">IFERROR(__xludf.DUMMYFUNCTION("""COMPUTED_VALUE"""),285)</f>
        <v>285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IFERROR(__xludf.DUMMYFUNCTION("""COMPUTED_VALUE"""),"Hartford")</f>
        <v>Hartford</v>
      </c>
      <c r="C259" s="1" t="str">
        <f ca="1">IFERROR(__xludf.DUMMYFUNCTION("""COMPUTED_VALUE"""),"AE")</f>
        <v>AE</v>
      </c>
      <c r="D259" s="1" t="str">
        <f ca="1">IFERROR(__xludf.DUMMYFUNCTION("""COMPUTED_VALUE"""),"18-16")</f>
        <v>18-16</v>
      </c>
      <c r="E259" s="1">
        <f ca="1">IFERROR(__xludf.DUMMYFUNCTION("""COMPUTED_VALUE"""),-7.73)</f>
        <v>-7.73</v>
      </c>
      <c r="F259" s="1">
        <f ca="1">IFERROR(__xludf.DUMMYFUNCTION("""COMPUTED_VALUE"""),102.4)</f>
        <v>102.4</v>
      </c>
      <c r="G259" s="1">
        <f ca="1">IFERROR(__xludf.DUMMYFUNCTION("""COMPUTED_VALUE"""),183)</f>
        <v>183</v>
      </c>
      <c r="H259" s="1">
        <f ca="1">IFERROR(__xludf.DUMMYFUNCTION("""COMPUTED_VALUE"""),110.1)</f>
        <v>110.1</v>
      </c>
      <c r="I259" s="1">
        <f ca="1">IFERROR(__xludf.DUMMYFUNCTION("""COMPUTED_VALUE"""),295)</f>
        <v>295</v>
      </c>
      <c r="J259" s="1">
        <f ca="1">IFERROR(__xludf.DUMMYFUNCTION("""COMPUTED_VALUE"""),66.5)</f>
        <v>66.5</v>
      </c>
      <c r="K259" s="1">
        <f ca="1">IFERROR(__xludf.DUMMYFUNCTION("""COMPUTED_VALUE"""),120)</f>
        <v>120</v>
      </c>
      <c r="L259" s="1" t="str">
        <f ca="1">IFERROR(__xludf.DUMMYFUNCTION("""COMPUTED_VALUE"""),"+.116")</f>
        <v>+.116</v>
      </c>
      <c r="M259" s="1">
        <f ca="1">IFERROR(__xludf.DUMMYFUNCTION("""COMPUTED_VALUE"""),2)</f>
        <v>2</v>
      </c>
      <c r="N259" s="1">
        <f ca="1">IFERROR(__xludf.DUMMYFUNCTION("""COMPUTED_VALUE"""),-5.23)</f>
        <v>-5.23</v>
      </c>
      <c r="O259" s="1">
        <f ca="1">IFERROR(__xludf.DUMMYFUNCTION("""COMPUTED_VALUE"""),263)</f>
        <v>263</v>
      </c>
      <c r="P259" s="1">
        <f ca="1">IFERROR(__xludf.DUMMYFUNCTION("""COMPUTED_VALUE"""),100.5)</f>
        <v>100.5</v>
      </c>
      <c r="Q259" s="1">
        <f ca="1">IFERROR(__xludf.DUMMYFUNCTION("""COMPUTED_VALUE"""),279)</f>
        <v>279</v>
      </c>
      <c r="R259" s="1">
        <f ca="1">IFERROR(__xludf.DUMMYFUNCTION("""COMPUTED_VALUE"""),105.8)</f>
        <v>105.8</v>
      </c>
      <c r="S259" s="1">
        <f ca="1">IFERROR(__xludf.DUMMYFUNCTION("""COMPUTED_VALUE"""),244)</f>
        <v>244</v>
      </c>
      <c r="T259" s="1">
        <f ca="1">IFERROR(__xludf.DUMMYFUNCTION("""COMPUTED_VALUE"""),-2.54)</f>
        <v>-2.54</v>
      </c>
      <c r="U259" s="1">
        <f ca="1">IFERROR(__xludf.DUMMYFUNCTION("""COMPUTED_VALUE"""),227)</f>
        <v>227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IFERROR(__xludf.DUMMYFUNCTION("""COMPUTED_VALUE"""),"Oregon St.")</f>
        <v>Oregon St.</v>
      </c>
      <c r="C260" s="1" t="str">
        <f ca="1">IFERROR(__xludf.DUMMYFUNCTION("""COMPUTED_VALUE"""),"P10")</f>
        <v>P10</v>
      </c>
      <c r="D260" s="2">
        <f ca="1">IFERROR(__xludf.DUMMYFUNCTION("""COMPUTED_VALUE"""),44737)</f>
        <v>44737</v>
      </c>
      <c r="E260" s="1">
        <f ca="1">IFERROR(__xludf.DUMMYFUNCTION("""COMPUTED_VALUE"""),-7.91)</f>
        <v>-7.91</v>
      </c>
      <c r="F260" s="1">
        <f ca="1">IFERROR(__xludf.DUMMYFUNCTION("""COMPUTED_VALUE"""),95.3)</f>
        <v>95.3</v>
      </c>
      <c r="G260" s="1">
        <f ca="1">IFERROR(__xludf.DUMMYFUNCTION("""COMPUTED_VALUE"""),290)</f>
        <v>290</v>
      </c>
      <c r="H260" s="1">
        <f ca="1">IFERROR(__xludf.DUMMYFUNCTION("""COMPUTED_VALUE"""),103.3)</f>
        <v>103.3</v>
      </c>
      <c r="I260" s="1">
        <f ca="1">IFERROR(__xludf.DUMMYFUNCTION("""COMPUTED_VALUE"""),164)</f>
        <v>164</v>
      </c>
      <c r="J260" s="1">
        <f ca="1">IFERROR(__xludf.DUMMYFUNCTION("""COMPUTED_VALUE"""),65.1)</f>
        <v>65.099999999999994</v>
      </c>
      <c r="K260" s="1">
        <f ca="1">IFERROR(__xludf.DUMMYFUNCTION("""COMPUTED_VALUE"""),174)</f>
        <v>174</v>
      </c>
      <c r="L260" s="1">
        <f ca="1">IFERROR(__xludf.DUMMYFUNCTION("""COMPUTED_VALUE"""),-0.051)</f>
        <v>-5.0999999999999997E-2</v>
      </c>
      <c r="M260" s="1">
        <f ca="1">IFERROR(__xludf.DUMMYFUNCTION("""COMPUTED_VALUE"""),294)</f>
        <v>294</v>
      </c>
      <c r="N260" s="1" t="str">
        <f ca="1">IFERROR(__xludf.DUMMYFUNCTION("""COMPUTED_VALUE"""),"+7.87")</f>
        <v>+7.87</v>
      </c>
      <c r="O260" s="1">
        <f ca="1">IFERROR(__xludf.DUMMYFUNCTION("""COMPUTED_VALUE"""),43)</f>
        <v>43</v>
      </c>
      <c r="P260" s="1">
        <f ca="1">IFERROR(__xludf.DUMMYFUNCTION("""COMPUTED_VALUE"""),108.7)</f>
        <v>108.7</v>
      </c>
      <c r="Q260" s="1">
        <f ca="1">IFERROR(__xludf.DUMMYFUNCTION("""COMPUTED_VALUE"""),16)</f>
        <v>16</v>
      </c>
      <c r="R260" s="1">
        <f ca="1">IFERROR(__xludf.DUMMYFUNCTION("""COMPUTED_VALUE"""),100.8)</f>
        <v>100.8</v>
      </c>
      <c r="S260" s="1">
        <f ca="1">IFERROR(__xludf.DUMMYFUNCTION("""COMPUTED_VALUE"""),71)</f>
        <v>71</v>
      </c>
      <c r="T260" s="1">
        <f ca="1">IFERROR(__xludf.DUMMYFUNCTION("""COMPUTED_VALUE"""),-11.14)</f>
        <v>-11.14</v>
      </c>
      <c r="U260" s="1">
        <f ca="1">IFERROR(__xludf.DUMMYFUNCTION("""COMPUTED_VALUE"""),338)</f>
        <v>338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IFERROR(__xludf.DUMMYFUNCTION("""COMPUTED_VALUE"""),"Tennessee Martin")</f>
        <v>Tennessee Martin</v>
      </c>
      <c r="C261" s="1" t="str">
        <f ca="1">IFERROR(__xludf.DUMMYFUNCTION("""COMPUTED_VALUE"""),"OVC")</f>
        <v>OVC</v>
      </c>
      <c r="D261" s="1" t="str">
        <f ca="1">IFERROR(__xludf.DUMMYFUNCTION("""COMPUTED_VALUE"""),"17-16")</f>
        <v>17-16</v>
      </c>
      <c r="E261" s="1">
        <f ca="1">IFERROR(__xludf.DUMMYFUNCTION("""COMPUTED_VALUE"""),-8.1)</f>
        <v>-8.1</v>
      </c>
      <c r="F261" s="1">
        <f ca="1">IFERROR(__xludf.DUMMYFUNCTION("""COMPUTED_VALUE"""),106.1)</f>
        <v>106.1</v>
      </c>
      <c r="G261" s="1">
        <f ca="1">IFERROR(__xludf.DUMMYFUNCTION("""COMPUTED_VALUE"""),132)</f>
        <v>132</v>
      </c>
      <c r="H261" s="1">
        <f ca="1">IFERROR(__xludf.DUMMYFUNCTION("""COMPUTED_VALUE"""),114.2)</f>
        <v>114.2</v>
      </c>
      <c r="I261" s="1">
        <f ca="1">IFERROR(__xludf.DUMMYFUNCTION("""COMPUTED_VALUE"""),330)</f>
        <v>330</v>
      </c>
      <c r="J261" s="1">
        <f ca="1">IFERROR(__xludf.DUMMYFUNCTION("""COMPUTED_VALUE"""),68.1)</f>
        <v>68.099999999999994</v>
      </c>
      <c r="K261" s="1">
        <f ca="1">IFERROR(__xludf.DUMMYFUNCTION("""COMPUTED_VALUE"""),75)</f>
        <v>75</v>
      </c>
      <c r="L261" s="1" t="str">
        <f ca="1">IFERROR(__xludf.DUMMYFUNCTION("""COMPUTED_VALUE"""),"+.026")</f>
        <v>+.026</v>
      </c>
      <c r="M261" s="1">
        <f ca="1">IFERROR(__xludf.DUMMYFUNCTION("""COMPUTED_VALUE"""),108)</f>
        <v>108</v>
      </c>
      <c r="N261" s="1">
        <f ca="1">IFERROR(__xludf.DUMMYFUNCTION("""COMPUTED_VALUE"""),-7.99)</f>
        <v>-7.99</v>
      </c>
      <c r="O261" s="1">
        <f ca="1">IFERROR(__xludf.DUMMYFUNCTION("""COMPUTED_VALUE"""),313)</f>
        <v>313</v>
      </c>
      <c r="P261" s="1">
        <f ca="1">IFERROR(__xludf.DUMMYFUNCTION("""COMPUTED_VALUE"""),100.2)</f>
        <v>100.2</v>
      </c>
      <c r="Q261" s="1">
        <f ca="1">IFERROR(__xludf.DUMMYFUNCTION("""COMPUTED_VALUE"""),288)</f>
        <v>288</v>
      </c>
      <c r="R261" s="1">
        <f ca="1">IFERROR(__xludf.DUMMYFUNCTION("""COMPUTED_VALUE"""),108.2)</f>
        <v>108.2</v>
      </c>
      <c r="S261" s="1">
        <f ca="1">IFERROR(__xludf.DUMMYFUNCTION("""COMPUTED_VALUE"""),326)</f>
        <v>326</v>
      </c>
      <c r="T261" s="1" t="str">
        <f ca="1">IFERROR(__xludf.DUMMYFUNCTION("""COMPUTED_VALUE"""),"+4.93")</f>
        <v>+4.93</v>
      </c>
      <c r="U261" s="1">
        <f ca="1">IFERROR(__xludf.DUMMYFUNCTION("""COMPUTED_VALUE"""),45)</f>
        <v>45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IFERROR(__xludf.DUMMYFUNCTION("""COMPUTED_VALUE"""),"Eastern Washington")</f>
        <v>Eastern Washington</v>
      </c>
      <c r="C262" s="1" t="str">
        <f ca="1">IFERROR(__xludf.DUMMYFUNCTION("""COMPUTED_VALUE"""),"BSky")</f>
        <v>BSky</v>
      </c>
      <c r="D262" s="2">
        <f ca="1">IFERROR(__xludf.DUMMYFUNCTION("""COMPUTED_VALUE"""),44884)</f>
        <v>44884</v>
      </c>
      <c r="E262" s="1">
        <f ca="1">IFERROR(__xludf.DUMMYFUNCTION("""COMPUTED_VALUE"""),-8.11)</f>
        <v>-8.11</v>
      </c>
      <c r="F262" s="1">
        <f ca="1">IFERROR(__xludf.DUMMYFUNCTION("""COMPUTED_VALUE"""),96.3)</f>
        <v>96.3</v>
      </c>
      <c r="G262" s="1">
        <f ca="1">IFERROR(__xludf.DUMMYFUNCTION("""COMPUTED_VALUE"""),275)</f>
        <v>275</v>
      </c>
      <c r="H262" s="1">
        <f ca="1">IFERROR(__xludf.DUMMYFUNCTION("""COMPUTED_VALUE"""),104.4)</f>
        <v>104.4</v>
      </c>
      <c r="I262" s="1">
        <f ca="1">IFERROR(__xludf.DUMMYFUNCTION("""COMPUTED_VALUE"""),188)</f>
        <v>188</v>
      </c>
      <c r="J262" s="1">
        <f ca="1">IFERROR(__xludf.DUMMYFUNCTION("""COMPUTED_VALUE"""),64)</f>
        <v>64</v>
      </c>
      <c r="K262" s="1">
        <f ca="1">IFERROR(__xludf.DUMMYFUNCTION("""COMPUTED_VALUE"""),215)</f>
        <v>215</v>
      </c>
      <c r="L262" s="1">
        <f ca="1">IFERROR(__xludf.DUMMYFUNCTION("""COMPUTED_VALUE"""),-0.032)</f>
        <v>-3.2000000000000001E-2</v>
      </c>
      <c r="M262" s="1">
        <f ca="1">IFERROR(__xludf.DUMMYFUNCTION("""COMPUTED_VALUE"""),252)</f>
        <v>252</v>
      </c>
      <c r="N262" s="1">
        <f ca="1">IFERROR(__xludf.DUMMYFUNCTION("""COMPUTED_VALUE"""),-2.47)</f>
        <v>-2.4700000000000002</v>
      </c>
      <c r="O262" s="1">
        <f ca="1">IFERROR(__xludf.DUMMYFUNCTION("""COMPUTED_VALUE"""),206)</f>
        <v>206</v>
      </c>
      <c r="P262" s="1">
        <f ca="1">IFERROR(__xludf.DUMMYFUNCTION("""COMPUTED_VALUE"""),102.5)</f>
        <v>102.5</v>
      </c>
      <c r="Q262" s="1">
        <f ca="1">IFERROR(__xludf.DUMMYFUNCTION("""COMPUTED_VALUE"""),207)</f>
        <v>207</v>
      </c>
      <c r="R262" s="1">
        <f ca="1">IFERROR(__xludf.DUMMYFUNCTION("""COMPUTED_VALUE"""),104.9)</f>
        <v>104.9</v>
      </c>
      <c r="S262" s="1">
        <f ca="1">IFERROR(__xludf.DUMMYFUNCTION("""COMPUTED_VALUE"""),203)</f>
        <v>203</v>
      </c>
      <c r="T262" s="1" t="str">
        <f ca="1">IFERROR(__xludf.DUMMYFUNCTION("""COMPUTED_VALUE"""),"+5.02")</f>
        <v>+5.02</v>
      </c>
      <c r="U262" s="1">
        <f ca="1">IFERROR(__xludf.DUMMYFUNCTION("""COMPUTED_VALUE"""),43)</f>
        <v>43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IFERROR(__xludf.DUMMYFUNCTION("""COMPUTED_VALUE"""),"Tennessee Tech")</f>
        <v>Tennessee Tech</v>
      </c>
      <c r="C263" s="1" t="str">
        <f ca="1">IFERROR(__xludf.DUMMYFUNCTION("""COMPUTED_VALUE"""),"OVC")</f>
        <v>OVC</v>
      </c>
      <c r="D263" s="1" t="str">
        <f ca="1">IFERROR(__xludf.DUMMYFUNCTION("""COMPUTED_VALUE"""),"13-19")</f>
        <v>13-19</v>
      </c>
      <c r="E263" s="1">
        <f ca="1">IFERROR(__xludf.DUMMYFUNCTION("""COMPUTED_VALUE"""),-8.17)</f>
        <v>-8.17</v>
      </c>
      <c r="F263" s="1">
        <f ca="1">IFERROR(__xludf.DUMMYFUNCTION("""COMPUTED_VALUE"""),99.9)</f>
        <v>99.9</v>
      </c>
      <c r="G263" s="1">
        <f ca="1">IFERROR(__xludf.DUMMYFUNCTION("""COMPUTED_VALUE"""),225)</f>
        <v>225</v>
      </c>
      <c r="H263" s="1">
        <f ca="1">IFERROR(__xludf.DUMMYFUNCTION("""COMPUTED_VALUE"""),108.1)</f>
        <v>108.1</v>
      </c>
      <c r="I263" s="1">
        <f ca="1">IFERROR(__xludf.DUMMYFUNCTION("""COMPUTED_VALUE"""),254)</f>
        <v>254</v>
      </c>
      <c r="J263" s="1">
        <f ca="1">IFERROR(__xludf.DUMMYFUNCTION("""COMPUTED_VALUE"""),69.9)</f>
        <v>69.900000000000006</v>
      </c>
      <c r="K263" s="1">
        <f ca="1">IFERROR(__xludf.DUMMYFUNCTION("""COMPUTED_VALUE"""),28)</f>
        <v>28</v>
      </c>
      <c r="L263" s="1">
        <f ca="1">IFERROR(__xludf.DUMMYFUNCTION("""COMPUTED_VALUE"""),-0.086)</f>
        <v>-8.5999999999999993E-2</v>
      </c>
      <c r="M263" s="1">
        <f ca="1">IFERROR(__xludf.DUMMYFUNCTION("""COMPUTED_VALUE"""),333)</f>
        <v>333</v>
      </c>
      <c r="N263" s="1">
        <f ca="1">IFERROR(__xludf.DUMMYFUNCTION("""COMPUTED_VALUE"""),-7.2)</f>
        <v>-7.2</v>
      </c>
      <c r="O263" s="1">
        <f ca="1">IFERROR(__xludf.DUMMYFUNCTION("""COMPUTED_VALUE"""),304)</f>
        <v>304</v>
      </c>
      <c r="P263" s="1">
        <f ca="1">IFERROR(__xludf.DUMMYFUNCTION("""COMPUTED_VALUE"""),101.1)</f>
        <v>101.1</v>
      </c>
      <c r="Q263" s="1">
        <f ca="1">IFERROR(__xludf.DUMMYFUNCTION("""COMPUTED_VALUE"""),259)</f>
        <v>259</v>
      </c>
      <c r="R263" s="1">
        <f ca="1">IFERROR(__xludf.DUMMYFUNCTION("""COMPUTED_VALUE"""),108.3)</f>
        <v>108.3</v>
      </c>
      <c r="S263" s="1">
        <f ca="1">IFERROR(__xludf.DUMMYFUNCTION("""COMPUTED_VALUE"""),329)</f>
        <v>329</v>
      </c>
      <c r="T263" s="1" t="str">
        <f ca="1">IFERROR(__xludf.DUMMYFUNCTION("""COMPUTED_VALUE"""),"+3.02")</f>
        <v>+3.02</v>
      </c>
      <c r="U263" s="1">
        <f ca="1">IFERROR(__xludf.DUMMYFUNCTION("""COMPUTED_VALUE"""),76)</f>
        <v>76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IFERROR(__xludf.DUMMYFUNCTION("""COMPUTED_VALUE"""),"Lehigh")</f>
        <v>Lehigh</v>
      </c>
      <c r="C264" s="1" t="str">
        <f ca="1">IFERROR(__xludf.DUMMYFUNCTION("""COMPUTED_VALUE"""),"Pat")</f>
        <v>Pat</v>
      </c>
      <c r="D264" s="1" t="str">
        <f ca="1">IFERROR(__xludf.DUMMYFUNCTION("""COMPUTED_VALUE"""),"14-15")</f>
        <v>14-15</v>
      </c>
      <c r="E264" s="1">
        <f ca="1">IFERROR(__xludf.DUMMYFUNCTION("""COMPUTED_VALUE"""),-8.26)</f>
        <v>-8.26</v>
      </c>
      <c r="F264" s="1">
        <f ca="1">IFERROR(__xludf.DUMMYFUNCTION("""COMPUTED_VALUE"""),96.6)</f>
        <v>96.6</v>
      </c>
      <c r="G264" s="1">
        <f ca="1">IFERROR(__xludf.DUMMYFUNCTION("""COMPUTED_VALUE"""),273)</f>
        <v>273</v>
      </c>
      <c r="H264" s="1">
        <f ca="1">IFERROR(__xludf.DUMMYFUNCTION("""COMPUTED_VALUE"""),104.8)</f>
        <v>104.8</v>
      </c>
      <c r="I264" s="1">
        <f ca="1">IFERROR(__xludf.DUMMYFUNCTION("""COMPUTED_VALUE"""),193)</f>
        <v>193</v>
      </c>
      <c r="J264" s="1">
        <f ca="1">IFERROR(__xludf.DUMMYFUNCTION("""COMPUTED_VALUE"""),64.2)</f>
        <v>64.2</v>
      </c>
      <c r="K264" s="1">
        <f ca="1">IFERROR(__xludf.DUMMYFUNCTION("""COMPUTED_VALUE"""),206)</f>
        <v>206</v>
      </c>
      <c r="L264" s="1" t="str">
        <f ca="1">IFERROR(__xludf.DUMMYFUNCTION("""COMPUTED_VALUE"""),"+.025")</f>
        <v>+.025</v>
      </c>
      <c r="M264" s="1">
        <f ca="1">IFERROR(__xludf.DUMMYFUNCTION("""COMPUTED_VALUE"""),111)</f>
        <v>111</v>
      </c>
      <c r="N264" s="1">
        <f ca="1">IFERROR(__xludf.DUMMYFUNCTION("""COMPUTED_VALUE"""),-6.99)</f>
        <v>-6.99</v>
      </c>
      <c r="O264" s="1">
        <f ca="1">IFERROR(__xludf.DUMMYFUNCTION("""COMPUTED_VALUE"""),299)</f>
        <v>299</v>
      </c>
      <c r="P264" s="1">
        <f ca="1">IFERROR(__xludf.DUMMYFUNCTION("""COMPUTED_VALUE"""),98.8)</f>
        <v>98.8</v>
      </c>
      <c r="Q264" s="1">
        <f ca="1">IFERROR(__xludf.DUMMYFUNCTION("""COMPUTED_VALUE"""),317)</f>
        <v>317</v>
      </c>
      <c r="R264" s="1">
        <f ca="1">IFERROR(__xludf.DUMMYFUNCTION("""COMPUTED_VALUE"""),105.8)</f>
        <v>105.8</v>
      </c>
      <c r="S264" s="1">
        <f ca="1">IFERROR(__xludf.DUMMYFUNCTION("""COMPUTED_VALUE"""),247)</f>
        <v>247</v>
      </c>
      <c r="T264" s="1">
        <f ca="1">IFERROR(__xludf.DUMMYFUNCTION("""COMPUTED_VALUE"""),-9.38)</f>
        <v>-9.3800000000000008</v>
      </c>
      <c r="U264" s="1">
        <f ca="1">IFERROR(__xludf.DUMMYFUNCTION("""COMPUTED_VALUE"""),331)</f>
        <v>331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IFERROR(__xludf.DUMMYFUNCTION("""COMPUTED_VALUE"""),"Detroit")</f>
        <v>Detroit</v>
      </c>
      <c r="C265" s="1" t="str">
        <f ca="1">IFERROR(__xludf.DUMMYFUNCTION("""COMPUTED_VALUE"""),"Horz")</f>
        <v>Horz</v>
      </c>
      <c r="D265" s="2">
        <f ca="1">IFERROR(__xludf.DUMMYFUNCTION("""COMPUTED_VALUE"""),44765)</f>
        <v>44765</v>
      </c>
      <c r="E265" s="1">
        <f ca="1">IFERROR(__xludf.DUMMYFUNCTION("""COMPUTED_VALUE"""),-8.32)</f>
        <v>-8.32</v>
      </c>
      <c r="F265" s="1">
        <f ca="1">IFERROR(__xludf.DUMMYFUNCTION("""COMPUTED_VALUE"""),100.7)</f>
        <v>100.7</v>
      </c>
      <c r="G265" s="1">
        <f ca="1">IFERROR(__xludf.DUMMYFUNCTION("""COMPUTED_VALUE"""),212)</f>
        <v>212</v>
      </c>
      <c r="H265" s="1">
        <f ca="1">IFERROR(__xludf.DUMMYFUNCTION("""COMPUTED_VALUE"""),109)</f>
        <v>109</v>
      </c>
      <c r="I265" s="1">
        <f ca="1">IFERROR(__xludf.DUMMYFUNCTION("""COMPUTED_VALUE"""),273)</f>
        <v>273</v>
      </c>
      <c r="J265" s="1">
        <f ca="1">IFERROR(__xludf.DUMMYFUNCTION("""COMPUTED_VALUE"""),60.3)</f>
        <v>60.3</v>
      </c>
      <c r="K265" s="1">
        <f ca="1">IFERROR(__xludf.DUMMYFUNCTION("""COMPUTED_VALUE"""),321)</f>
        <v>321</v>
      </c>
      <c r="L265" s="1">
        <f ca="1">IFERROR(__xludf.DUMMYFUNCTION("""COMPUTED_VALUE"""),-0.061)</f>
        <v>-6.0999999999999999E-2</v>
      </c>
      <c r="M265" s="1">
        <f ca="1">IFERROR(__xludf.DUMMYFUNCTION("""COMPUTED_VALUE"""),305)</f>
        <v>305</v>
      </c>
      <c r="N265" s="1" t="str">
        <f ca="1">IFERROR(__xludf.DUMMYFUNCTION("""COMPUTED_VALUE"""),"+1.91")</f>
        <v>+1.91</v>
      </c>
      <c r="O265" s="1">
        <f ca="1">IFERROR(__xludf.DUMMYFUNCTION("""COMPUTED_VALUE"""),123)</f>
        <v>123</v>
      </c>
      <c r="P265" s="1">
        <f ca="1">IFERROR(__xludf.DUMMYFUNCTION("""COMPUTED_VALUE"""),104.2)</f>
        <v>104.2</v>
      </c>
      <c r="Q265" s="1">
        <f ca="1">IFERROR(__xludf.DUMMYFUNCTION("""COMPUTED_VALUE"""),138)</f>
        <v>138</v>
      </c>
      <c r="R265" s="1">
        <f ca="1">IFERROR(__xludf.DUMMYFUNCTION("""COMPUTED_VALUE"""),102.3)</f>
        <v>102.3</v>
      </c>
      <c r="S265" s="1">
        <f ca="1">IFERROR(__xludf.DUMMYFUNCTION("""COMPUTED_VALUE"""),122)</f>
        <v>122</v>
      </c>
      <c r="T265" s="1">
        <f ca="1">IFERROR(__xludf.DUMMYFUNCTION("""COMPUTED_VALUE"""),-0.65)</f>
        <v>-0.65</v>
      </c>
      <c r="U265" s="1">
        <f ca="1">IFERROR(__xludf.DUMMYFUNCTION("""COMPUTED_VALUE"""),165)</f>
        <v>165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IFERROR(__xludf.DUMMYFUNCTION("""COMPUTED_VALUE"""),"Georgia St.")</f>
        <v>Georgia St.</v>
      </c>
      <c r="C266" s="1" t="str">
        <f ca="1">IFERROR(__xludf.DUMMYFUNCTION("""COMPUTED_VALUE"""),"CAA")</f>
        <v>CAA</v>
      </c>
      <c r="D266" s="2">
        <f ca="1">IFERROR(__xludf.DUMMYFUNCTION("""COMPUTED_VALUE"""),44825)</f>
        <v>44825</v>
      </c>
      <c r="E266" s="1">
        <f ca="1">IFERROR(__xludf.DUMMYFUNCTION("""COMPUTED_VALUE"""),-8.47)</f>
        <v>-8.4700000000000006</v>
      </c>
      <c r="F266" s="1">
        <f ca="1">IFERROR(__xludf.DUMMYFUNCTION("""COMPUTED_VALUE"""),98.3)</f>
        <v>98.3</v>
      </c>
      <c r="G266" s="1">
        <f ca="1">IFERROR(__xludf.DUMMYFUNCTION("""COMPUTED_VALUE"""),248)</f>
        <v>248</v>
      </c>
      <c r="H266" s="1">
        <f ca="1">IFERROR(__xludf.DUMMYFUNCTION("""COMPUTED_VALUE"""),106.8)</f>
        <v>106.8</v>
      </c>
      <c r="I266" s="1">
        <f ca="1">IFERROR(__xludf.DUMMYFUNCTION("""COMPUTED_VALUE"""),231)</f>
        <v>231</v>
      </c>
      <c r="J266" s="1">
        <f ca="1">IFERROR(__xludf.DUMMYFUNCTION("""COMPUTED_VALUE"""),62.2)</f>
        <v>62.2</v>
      </c>
      <c r="K266" s="1">
        <f ca="1">IFERROR(__xludf.DUMMYFUNCTION("""COMPUTED_VALUE"""),287)</f>
        <v>287</v>
      </c>
      <c r="L266" s="1">
        <f ca="1">IFERROR(__xludf.DUMMYFUNCTION("""COMPUTED_VALUE"""),-0.016)</f>
        <v>-1.6E-2</v>
      </c>
      <c r="M266" s="1">
        <f ca="1">IFERROR(__xludf.DUMMYFUNCTION("""COMPUTED_VALUE"""),210)</f>
        <v>210</v>
      </c>
      <c r="N266" s="1">
        <f ca="1">IFERROR(__xludf.DUMMYFUNCTION("""COMPUTED_VALUE"""),-2.8)</f>
        <v>-2.8</v>
      </c>
      <c r="O266" s="1">
        <f ca="1">IFERROR(__xludf.DUMMYFUNCTION("""COMPUTED_VALUE"""),215)</f>
        <v>215</v>
      </c>
      <c r="P266" s="1">
        <f ca="1">IFERROR(__xludf.DUMMYFUNCTION("""COMPUTED_VALUE"""),101.4)</f>
        <v>101.4</v>
      </c>
      <c r="Q266" s="1">
        <f ca="1">IFERROR(__xludf.DUMMYFUNCTION("""COMPUTED_VALUE"""),251)</f>
        <v>251</v>
      </c>
      <c r="R266" s="1">
        <f ca="1">IFERROR(__xludf.DUMMYFUNCTION("""COMPUTED_VALUE"""),104.2)</f>
        <v>104.2</v>
      </c>
      <c r="S266" s="1">
        <f ca="1">IFERROR(__xludf.DUMMYFUNCTION("""COMPUTED_VALUE"""),177)</f>
        <v>177</v>
      </c>
      <c r="T266" s="1">
        <f ca="1">IFERROR(__xludf.DUMMYFUNCTION("""COMPUTED_VALUE"""),-5.32)</f>
        <v>-5.32</v>
      </c>
      <c r="U266" s="1">
        <f ca="1">IFERROR(__xludf.DUMMYFUNCTION("""COMPUTED_VALUE"""),294)</f>
        <v>294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IFERROR(__xludf.DUMMYFUNCTION("""COMPUTED_VALUE"""),"Northwestern St.")</f>
        <v>Northwestern St.</v>
      </c>
      <c r="C267" s="1" t="str">
        <f ca="1">IFERROR(__xludf.DUMMYFUNCTION("""COMPUTED_VALUE"""),"Slnd")</f>
        <v>Slnd</v>
      </c>
      <c r="D267" s="1" t="str">
        <f ca="1">IFERROR(__xludf.DUMMYFUNCTION("""COMPUTED_VALUE"""),"15-18")</f>
        <v>15-18</v>
      </c>
      <c r="E267" s="1">
        <f ca="1">IFERROR(__xludf.DUMMYFUNCTION("""COMPUTED_VALUE"""),-8.6)</f>
        <v>-8.6</v>
      </c>
      <c r="F267" s="1">
        <f ca="1">IFERROR(__xludf.DUMMYFUNCTION("""COMPUTED_VALUE"""),98.5)</f>
        <v>98.5</v>
      </c>
      <c r="G267" s="1">
        <f ca="1">IFERROR(__xludf.DUMMYFUNCTION("""COMPUTED_VALUE"""),245)</f>
        <v>245</v>
      </c>
      <c r="H267" s="1">
        <f ca="1">IFERROR(__xludf.DUMMYFUNCTION("""COMPUTED_VALUE"""),107.1)</f>
        <v>107.1</v>
      </c>
      <c r="I267" s="1">
        <f ca="1">IFERROR(__xludf.DUMMYFUNCTION("""COMPUTED_VALUE"""),241)</f>
        <v>241</v>
      </c>
      <c r="J267" s="1">
        <f ca="1">IFERROR(__xludf.DUMMYFUNCTION("""COMPUTED_VALUE"""),72.6)</f>
        <v>72.599999999999994</v>
      </c>
      <c r="K267" s="1">
        <f ca="1">IFERROR(__xludf.DUMMYFUNCTION("""COMPUTED_VALUE"""),8)</f>
        <v>8</v>
      </c>
      <c r="L267" s="1" t="str">
        <f ca="1">IFERROR(__xludf.DUMMYFUNCTION("""COMPUTED_VALUE"""),"+.090")</f>
        <v>+.090</v>
      </c>
      <c r="M267" s="1">
        <f ca="1">IFERROR(__xludf.DUMMYFUNCTION("""COMPUTED_VALUE"""),13)</f>
        <v>13</v>
      </c>
      <c r="N267" s="1">
        <f ca="1">IFERROR(__xludf.DUMMYFUNCTION("""COMPUTED_VALUE"""),-2.35)</f>
        <v>-2.35</v>
      </c>
      <c r="O267" s="1">
        <f ca="1">IFERROR(__xludf.DUMMYFUNCTION("""COMPUTED_VALUE"""),203)</f>
        <v>203</v>
      </c>
      <c r="P267" s="1">
        <f ca="1">IFERROR(__xludf.DUMMYFUNCTION("""COMPUTED_VALUE"""),101)</f>
        <v>101</v>
      </c>
      <c r="Q267" s="1">
        <f ca="1">IFERROR(__xludf.DUMMYFUNCTION("""COMPUTED_VALUE"""),264)</f>
        <v>264</v>
      </c>
      <c r="R267" s="1">
        <f ca="1">IFERROR(__xludf.DUMMYFUNCTION("""COMPUTED_VALUE"""),103.3)</f>
        <v>103.3</v>
      </c>
      <c r="S267" s="1">
        <f ca="1">IFERROR(__xludf.DUMMYFUNCTION("""COMPUTED_VALUE"""),155)</f>
        <v>155</v>
      </c>
      <c r="T267" s="1" t="str">
        <f ca="1">IFERROR(__xludf.DUMMYFUNCTION("""COMPUTED_VALUE"""),"+4.81")</f>
        <v>+4.81</v>
      </c>
      <c r="U267" s="1">
        <f ca="1">IFERROR(__xludf.DUMMYFUNCTION("""COMPUTED_VALUE"""),47)</f>
        <v>47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IFERROR(__xludf.DUMMYFUNCTION("""COMPUTED_VALUE"""),"San Francisco")</f>
        <v>San Francisco</v>
      </c>
      <c r="C268" s="1" t="str">
        <f ca="1">IFERROR(__xludf.DUMMYFUNCTION("""COMPUTED_VALUE"""),"WCC")</f>
        <v>WCC</v>
      </c>
      <c r="D268" s="2">
        <f ca="1">IFERROR(__xludf.DUMMYFUNCTION("""COMPUTED_VALUE"""),44855)</f>
        <v>44855</v>
      </c>
      <c r="E268" s="1">
        <f ca="1">IFERROR(__xludf.DUMMYFUNCTION("""COMPUTED_VALUE"""),-8.63)</f>
        <v>-8.6300000000000008</v>
      </c>
      <c r="F268" s="1">
        <f ca="1">IFERROR(__xludf.DUMMYFUNCTION("""COMPUTED_VALUE"""),99.1)</f>
        <v>99.1</v>
      </c>
      <c r="G268" s="1">
        <f ca="1">IFERROR(__xludf.DUMMYFUNCTION("""COMPUTED_VALUE"""),236)</f>
        <v>236</v>
      </c>
      <c r="H268" s="1">
        <f ca="1">IFERROR(__xludf.DUMMYFUNCTION("""COMPUTED_VALUE"""),107.7)</f>
        <v>107.7</v>
      </c>
      <c r="I268" s="1">
        <f ca="1">IFERROR(__xludf.DUMMYFUNCTION("""COMPUTED_VALUE"""),247)</f>
        <v>247</v>
      </c>
      <c r="J268" s="1">
        <f ca="1">IFERROR(__xludf.DUMMYFUNCTION("""COMPUTED_VALUE"""),65.9)</f>
        <v>65.900000000000006</v>
      </c>
      <c r="K268" s="1">
        <f ca="1">IFERROR(__xludf.DUMMYFUNCTION("""COMPUTED_VALUE"""),141)</f>
        <v>141</v>
      </c>
      <c r="L268" s="1">
        <f ca="1">IFERROR(__xludf.DUMMYFUNCTION("""COMPUTED_VALUE"""),-0.042)</f>
        <v>-4.2000000000000003E-2</v>
      </c>
      <c r="M268" s="1">
        <f ca="1">IFERROR(__xludf.DUMMYFUNCTION("""COMPUTED_VALUE"""),275)</f>
        <v>275</v>
      </c>
      <c r="N268" s="1">
        <f ca="1">IFERROR(__xludf.DUMMYFUNCTION("""COMPUTED_VALUE"""),-0.72)</f>
        <v>-0.72</v>
      </c>
      <c r="O268" s="1">
        <f ca="1">IFERROR(__xludf.DUMMYFUNCTION("""COMPUTED_VALUE"""),169)</f>
        <v>169</v>
      </c>
      <c r="P268" s="1">
        <f ca="1">IFERROR(__xludf.DUMMYFUNCTION("""COMPUTED_VALUE"""),102.9)</f>
        <v>102.9</v>
      </c>
      <c r="Q268" s="1">
        <f ca="1">IFERROR(__xludf.DUMMYFUNCTION("""COMPUTED_VALUE"""),193)</f>
        <v>193</v>
      </c>
      <c r="R268" s="1">
        <f ca="1">IFERROR(__xludf.DUMMYFUNCTION("""COMPUTED_VALUE"""),103.6)</f>
        <v>103.6</v>
      </c>
      <c r="S268" s="1">
        <f ca="1">IFERROR(__xludf.DUMMYFUNCTION("""COMPUTED_VALUE"""),160)</f>
        <v>160</v>
      </c>
      <c r="T268" s="1" t="str">
        <f ca="1">IFERROR(__xludf.DUMMYFUNCTION("""COMPUTED_VALUE"""),"+0.65")</f>
        <v>+0.65</v>
      </c>
      <c r="U268" s="1">
        <f ca="1">IFERROR(__xludf.DUMMYFUNCTION("""COMPUTED_VALUE"""),127)</f>
        <v>127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IFERROR(__xludf.DUMMYFUNCTION("""COMPUTED_VALUE"""),"VMI")</f>
        <v>VMI</v>
      </c>
      <c r="C269" s="1" t="str">
        <f ca="1">IFERROR(__xludf.DUMMYFUNCTION("""COMPUTED_VALUE"""),"BSth")</f>
        <v>BSth</v>
      </c>
      <c r="D269" s="1" t="str">
        <f ca="1">IFERROR(__xludf.DUMMYFUNCTION("""COMPUTED_VALUE"""),"14-15")</f>
        <v>14-15</v>
      </c>
      <c r="E269" s="1">
        <f ca="1">IFERROR(__xludf.DUMMYFUNCTION("""COMPUTED_VALUE"""),-8.65)</f>
        <v>-8.65</v>
      </c>
      <c r="F269" s="1">
        <f ca="1">IFERROR(__xludf.DUMMYFUNCTION("""COMPUTED_VALUE"""),105.4)</f>
        <v>105.4</v>
      </c>
      <c r="G269" s="1">
        <f ca="1">IFERROR(__xludf.DUMMYFUNCTION("""COMPUTED_VALUE"""),141)</f>
        <v>141</v>
      </c>
      <c r="H269" s="1">
        <f ca="1">IFERROR(__xludf.DUMMYFUNCTION("""COMPUTED_VALUE"""),114.1)</f>
        <v>114.1</v>
      </c>
      <c r="I269" s="1">
        <f ca="1">IFERROR(__xludf.DUMMYFUNCTION("""COMPUTED_VALUE"""),328)</f>
        <v>328</v>
      </c>
      <c r="J269" s="1">
        <f ca="1">IFERROR(__xludf.DUMMYFUNCTION("""COMPUTED_VALUE"""),77.7)</f>
        <v>77.7</v>
      </c>
      <c r="K269" s="1">
        <f ca="1">IFERROR(__xludf.DUMMYFUNCTION("""COMPUTED_VALUE"""),2)</f>
        <v>2</v>
      </c>
      <c r="L269" s="1">
        <f ca="1">IFERROR(__xludf.DUMMYFUNCTION("""COMPUTED_VALUE"""),-0.04)</f>
        <v>-0.04</v>
      </c>
      <c r="M269" s="1">
        <f ca="1">IFERROR(__xludf.DUMMYFUNCTION("""COMPUTED_VALUE"""),269)</f>
        <v>269</v>
      </c>
      <c r="N269" s="1">
        <f ca="1">IFERROR(__xludf.DUMMYFUNCTION("""COMPUTED_VALUE"""),-7.36)</f>
        <v>-7.36</v>
      </c>
      <c r="O269" s="1">
        <f ca="1">IFERROR(__xludf.DUMMYFUNCTION("""COMPUTED_VALUE"""),305)</f>
        <v>305</v>
      </c>
      <c r="P269" s="1">
        <f ca="1">IFERROR(__xludf.DUMMYFUNCTION("""COMPUTED_VALUE"""),99.7)</f>
        <v>99.7</v>
      </c>
      <c r="Q269" s="1">
        <f ca="1">IFERROR(__xludf.DUMMYFUNCTION("""COMPUTED_VALUE"""),299)</f>
        <v>299</v>
      </c>
      <c r="R269" s="1">
        <f ca="1">IFERROR(__xludf.DUMMYFUNCTION("""COMPUTED_VALUE"""),107)</f>
        <v>107</v>
      </c>
      <c r="S269" s="1">
        <f ca="1">IFERROR(__xludf.DUMMYFUNCTION("""COMPUTED_VALUE"""),300)</f>
        <v>300</v>
      </c>
      <c r="T269" s="1">
        <f ca="1">IFERROR(__xludf.DUMMYFUNCTION("""COMPUTED_VALUE"""),-8.07)</f>
        <v>-8.07</v>
      </c>
      <c r="U269" s="1">
        <f ca="1">IFERROR(__xludf.DUMMYFUNCTION("""COMPUTED_VALUE"""),319)</f>
        <v>319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IFERROR(__xludf.DUMMYFUNCTION("""COMPUTED_VALUE"""),"Western Illinois")</f>
        <v>Western Illinois</v>
      </c>
      <c r="C270" s="1" t="str">
        <f ca="1">IFERROR(__xludf.DUMMYFUNCTION("""COMPUTED_VALUE"""),"Sum")</f>
        <v>Sum</v>
      </c>
      <c r="D270" s="2">
        <f ca="1">IFERROR(__xludf.DUMMYFUNCTION("""COMPUTED_VALUE"""),44913)</f>
        <v>44913</v>
      </c>
      <c r="E270" s="1">
        <f ca="1">IFERROR(__xludf.DUMMYFUNCTION("""COMPUTED_VALUE"""),-8.66)</f>
        <v>-8.66</v>
      </c>
      <c r="F270" s="1">
        <f ca="1">IFERROR(__xludf.DUMMYFUNCTION("""COMPUTED_VALUE"""),98.4)</f>
        <v>98.4</v>
      </c>
      <c r="G270" s="1">
        <f ca="1">IFERROR(__xludf.DUMMYFUNCTION("""COMPUTED_VALUE"""),246)</f>
        <v>246</v>
      </c>
      <c r="H270" s="1">
        <f ca="1">IFERROR(__xludf.DUMMYFUNCTION("""COMPUTED_VALUE"""),107.1)</f>
        <v>107.1</v>
      </c>
      <c r="I270" s="1">
        <f ca="1">IFERROR(__xludf.DUMMYFUNCTION("""COMPUTED_VALUE"""),237)</f>
        <v>237</v>
      </c>
      <c r="J270" s="1">
        <f ca="1">IFERROR(__xludf.DUMMYFUNCTION("""COMPUTED_VALUE"""),66.1)</f>
        <v>66.099999999999994</v>
      </c>
      <c r="K270" s="1">
        <f ca="1">IFERROR(__xludf.DUMMYFUNCTION("""COMPUTED_VALUE"""),137)</f>
        <v>137</v>
      </c>
      <c r="L270" s="1" t="str">
        <f ca="1">IFERROR(__xludf.DUMMYFUNCTION("""COMPUTED_VALUE"""),"+.006")</f>
        <v>+.006</v>
      </c>
      <c r="M270" s="1">
        <f ca="1">IFERROR(__xludf.DUMMYFUNCTION("""COMPUTED_VALUE"""),155)</f>
        <v>155</v>
      </c>
      <c r="N270" s="1">
        <f ca="1">IFERROR(__xludf.DUMMYFUNCTION("""COMPUTED_VALUE"""),-1.58)</f>
        <v>-1.58</v>
      </c>
      <c r="O270" s="1">
        <f ca="1">IFERROR(__xludf.DUMMYFUNCTION("""COMPUTED_VALUE"""),188)</f>
        <v>188</v>
      </c>
      <c r="P270" s="1">
        <f ca="1">IFERROR(__xludf.DUMMYFUNCTION("""COMPUTED_VALUE"""),104.7)</f>
        <v>104.7</v>
      </c>
      <c r="Q270" s="1">
        <f ca="1">IFERROR(__xludf.DUMMYFUNCTION("""COMPUTED_VALUE"""),115)</f>
        <v>115</v>
      </c>
      <c r="R270" s="1">
        <f ca="1">IFERROR(__xludf.DUMMYFUNCTION("""COMPUTED_VALUE"""),106.3)</f>
        <v>106.3</v>
      </c>
      <c r="S270" s="1">
        <f ca="1">IFERROR(__xludf.DUMMYFUNCTION("""COMPUTED_VALUE"""),274)</f>
        <v>274</v>
      </c>
      <c r="T270" s="1">
        <f ca="1">IFERROR(__xludf.DUMMYFUNCTION("""COMPUTED_VALUE"""),-0.08)</f>
        <v>-0.08</v>
      </c>
      <c r="U270" s="1">
        <f ca="1">IFERROR(__xludf.DUMMYFUNCTION("""COMPUTED_VALUE"""),149)</f>
        <v>149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IFERROR(__xludf.DUMMYFUNCTION("""COMPUTED_VALUE"""),"Drexel")</f>
        <v>Drexel</v>
      </c>
      <c r="C271" s="1" t="str">
        <f ca="1">IFERROR(__xludf.DUMMYFUNCTION("""COMPUTED_VALUE"""),"CAA")</f>
        <v>CAA</v>
      </c>
      <c r="D271" s="2">
        <f ca="1">IFERROR(__xludf.DUMMYFUNCTION("""COMPUTED_VALUE"""),44915)</f>
        <v>44915</v>
      </c>
      <c r="E271" s="1">
        <f ca="1">IFERROR(__xludf.DUMMYFUNCTION("""COMPUTED_VALUE"""),-8.68)</f>
        <v>-8.68</v>
      </c>
      <c r="F271" s="1">
        <f ca="1">IFERROR(__xludf.DUMMYFUNCTION("""COMPUTED_VALUE"""),90.8)</f>
        <v>90.8</v>
      </c>
      <c r="G271" s="1">
        <f ca="1">IFERROR(__xludf.DUMMYFUNCTION("""COMPUTED_VALUE"""),326)</f>
        <v>326</v>
      </c>
      <c r="H271" s="1">
        <f ca="1">IFERROR(__xludf.DUMMYFUNCTION("""COMPUTED_VALUE"""),99.4)</f>
        <v>99.4</v>
      </c>
      <c r="I271" s="1">
        <f ca="1">IFERROR(__xludf.DUMMYFUNCTION("""COMPUTED_VALUE"""),84)</f>
        <v>84</v>
      </c>
      <c r="J271" s="1">
        <f ca="1">IFERROR(__xludf.DUMMYFUNCTION("""COMPUTED_VALUE"""),64.4)</f>
        <v>64.400000000000006</v>
      </c>
      <c r="K271" s="1">
        <f ca="1">IFERROR(__xludf.DUMMYFUNCTION("""COMPUTED_VALUE"""),199)</f>
        <v>199</v>
      </c>
      <c r="L271" s="1" t="str">
        <f ca="1">IFERROR(__xludf.DUMMYFUNCTION("""COMPUTED_VALUE"""),"+.015")</f>
        <v>+.015</v>
      </c>
      <c r="M271" s="1">
        <f ca="1">IFERROR(__xludf.DUMMYFUNCTION("""COMPUTED_VALUE"""),128)</f>
        <v>128</v>
      </c>
      <c r="N271" s="1">
        <f ca="1">IFERROR(__xludf.DUMMYFUNCTION("""COMPUTED_VALUE"""),-2.48)</f>
        <v>-2.48</v>
      </c>
      <c r="O271" s="1">
        <f ca="1">IFERROR(__xludf.DUMMYFUNCTION("""COMPUTED_VALUE"""),207)</f>
        <v>207</v>
      </c>
      <c r="P271" s="1">
        <f ca="1">IFERROR(__xludf.DUMMYFUNCTION("""COMPUTED_VALUE"""),102.1)</f>
        <v>102.1</v>
      </c>
      <c r="Q271" s="1">
        <f ca="1">IFERROR(__xludf.DUMMYFUNCTION("""COMPUTED_VALUE"""),217)</f>
        <v>217</v>
      </c>
      <c r="R271" s="1">
        <f ca="1">IFERROR(__xludf.DUMMYFUNCTION("""COMPUTED_VALUE"""),104.6)</f>
        <v>104.6</v>
      </c>
      <c r="S271" s="1">
        <f ca="1">IFERROR(__xludf.DUMMYFUNCTION("""COMPUTED_VALUE"""),196)</f>
        <v>196</v>
      </c>
      <c r="T271" s="1">
        <f ca="1">IFERROR(__xludf.DUMMYFUNCTION("""COMPUTED_VALUE"""),-2.45)</f>
        <v>-2.4500000000000002</v>
      </c>
      <c r="U271" s="1">
        <f ca="1">IFERROR(__xludf.DUMMYFUNCTION("""COMPUTED_VALUE"""),223)</f>
        <v>223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IFERROR(__xludf.DUMMYFUNCTION("""COMPUTED_VALUE"""),"UMKC")</f>
        <v>UMKC</v>
      </c>
      <c r="C272" s="1" t="str">
        <f ca="1">IFERROR(__xludf.DUMMYFUNCTION("""COMPUTED_VALUE"""),"Sum")</f>
        <v>Sum</v>
      </c>
      <c r="D272" s="2">
        <f ca="1">IFERROR(__xludf.DUMMYFUNCTION("""COMPUTED_VALUE"""),44886)</f>
        <v>44886</v>
      </c>
      <c r="E272" s="1">
        <f ca="1">IFERROR(__xludf.DUMMYFUNCTION("""COMPUTED_VALUE"""),-8.72)</f>
        <v>-8.7200000000000006</v>
      </c>
      <c r="F272" s="1">
        <f ca="1">IFERROR(__xludf.DUMMYFUNCTION("""COMPUTED_VALUE"""),100)</f>
        <v>100</v>
      </c>
      <c r="G272" s="1">
        <f ca="1">IFERROR(__xludf.DUMMYFUNCTION("""COMPUTED_VALUE"""),223)</f>
        <v>223</v>
      </c>
      <c r="H272" s="1">
        <f ca="1">IFERROR(__xludf.DUMMYFUNCTION("""COMPUTED_VALUE"""),108.7)</f>
        <v>108.7</v>
      </c>
      <c r="I272" s="1">
        <f ca="1">IFERROR(__xludf.DUMMYFUNCTION("""COMPUTED_VALUE"""),266)</f>
        <v>266</v>
      </c>
      <c r="J272" s="1">
        <f ca="1">IFERROR(__xludf.DUMMYFUNCTION("""COMPUTED_VALUE"""),65.9)</f>
        <v>65.900000000000006</v>
      </c>
      <c r="K272" s="1">
        <f ca="1">IFERROR(__xludf.DUMMYFUNCTION("""COMPUTED_VALUE"""),142)</f>
        <v>142</v>
      </c>
      <c r="L272" s="1" t="str">
        <f ca="1">IFERROR(__xludf.DUMMYFUNCTION("""COMPUTED_VALUE"""),"+.011")</f>
        <v>+.011</v>
      </c>
      <c r="M272" s="1">
        <f ca="1">IFERROR(__xludf.DUMMYFUNCTION("""COMPUTED_VALUE"""),144)</f>
        <v>144</v>
      </c>
      <c r="N272" s="1">
        <f ca="1">IFERROR(__xludf.DUMMYFUNCTION("""COMPUTED_VALUE"""),-0.81)</f>
        <v>-0.81</v>
      </c>
      <c r="O272" s="1">
        <f ca="1">IFERROR(__xludf.DUMMYFUNCTION("""COMPUTED_VALUE"""),171)</f>
        <v>171</v>
      </c>
      <c r="P272" s="1">
        <f ca="1">IFERROR(__xludf.DUMMYFUNCTION("""COMPUTED_VALUE"""),104.4)</f>
        <v>104.4</v>
      </c>
      <c r="Q272" s="1">
        <f ca="1">IFERROR(__xludf.DUMMYFUNCTION("""COMPUTED_VALUE"""),121)</f>
        <v>121</v>
      </c>
      <c r="R272" s="1">
        <f ca="1">IFERROR(__xludf.DUMMYFUNCTION("""COMPUTED_VALUE"""),105.2)</f>
        <v>105.2</v>
      </c>
      <c r="S272" s="1">
        <f ca="1">IFERROR(__xludf.DUMMYFUNCTION("""COMPUTED_VALUE"""),223)</f>
        <v>223</v>
      </c>
      <c r="T272" s="1" t="str">
        <f ca="1">IFERROR(__xludf.DUMMYFUNCTION("""COMPUTED_VALUE"""),"+0.84")</f>
        <v>+0.84</v>
      </c>
      <c r="U272" s="1">
        <f ca="1">IFERROR(__xludf.DUMMYFUNCTION("""COMPUTED_VALUE"""),124)</f>
        <v>124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IFERROR(__xludf.DUMMYFUNCTION("""COMPUTED_VALUE"""),"San Jose St.")</f>
        <v>San Jose St.</v>
      </c>
      <c r="C273" s="1" t="str">
        <f ca="1">IFERROR(__xludf.DUMMYFUNCTION("""COMPUTED_VALUE"""),"WAC")</f>
        <v>WAC</v>
      </c>
      <c r="D273" s="1" t="str">
        <f ca="1">IFERROR(__xludf.DUMMYFUNCTION("""COMPUTED_VALUE"""),"13-19")</f>
        <v>13-19</v>
      </c>
      <c r="E273" s="1">
        <f ca="1">IFERROR(__xludf.DUMMYFUNCTION("""COMPUTED_VALUE"""),-8.83)</f>
        <v>-8.83</v>
      </c>
      <c r="F273" s="1">
        <f ca="1">IFERROR(__xludf.DUMMYFUNCTION("""COMPUTED_VALUE"""),97.9)</f>
        <v>97.9</v>
      </c>
      <c r="G273" s="1">
        <f ca="1">IFERROR(__xludf.DUMMYFUNCTION("""COMPUTED_VALUE"""),254)</f>
        <v>254</v>
      </c>
      <c r="H273" s="1">
        <f ca="1">IFERROR(__xludf.DUMMYFUNCTION("""COMPUTED_VALUE"""),106.7)</f>
        <v>106.7</v>
      </c>
      <c r="I273" s="1">
        <f ca="1">IFERROR(__xludf.DUMMYFUNCTION("""COMPUTED_VALUE"""),229)</f>
        <v>229</v>
      </c>
      <c r="J273" s="1">
        <f ca="1">IFERROR(__xludf.DUMMYFUNCTION("""COMPUTED_VALUE"""),66.7)</f>
        <v>66.7</v>
      </c>
      <c r="K273" s="1">
        <f ca="1">IFERROR(__xludf.DUMMYFUNCTION("""COMPUTED_VALUE"""),112)</f>
        <v>112</v>
      </c>
      <c r="L273" s="1" t="str">
        <f ca="1">IFERROR(__xludf.DUMMYFUNCTION("""COMPUTED_VALUE"""),"+.065")</f>
        <v>+.065</v>
      </c>
      <c r="M273" s="1">
        <f ca="1">IFERROR(__xludf.DUMMYFUNCTION("""COMPUTED_VALUE"""),35)</f>
        <v>35</v>
      </c>
      <c r="N273" s="1">
        <f ca="1">IFERROR(__xludf.DUMMYFUNCTION("""COMPUTED_VALUE"""),-2.39)</f>
        <v>-2.39</v>
      </c>
      <c r="O273" s="1">
        <f ca="1">IFERROR(__xludf.DUMMYFUNCTION("""COMPUTED_VALUE"""),204)</f>
        <v>204</v>
      </c>
      <c r="P273" s="1">
        <f ca="1">IFERROR(__xludf.DUMMYFUNCTION("""COMPUTED_VALUE"""),103.6)</f>
        <v>103.6</v>
      </c>
      <c r="Q273" s="1">
        <f ca="1">IFERROR(__xludf.DUMMYFUNCTION("""COMPUTED_VALUE"""),164)</f>
        <v>164</v>
      </c>
      <c r="R273" s="1">
        <f ca="1">IFERROR(__xludf.DUMMYFUNCTION("""COMPUTED_VALUE"""),106)</f>
        <v>106</v>
      </c>
      <c r="S273" s="1">
        <f ca="1">IFERROR(__xludf.DUMMYFUNCTION("""COMPUTED_VALUE"""),256)</f>
        <v>256</v>
      </c>
      <c r="T273" s="1">
        <f ca="1">IFERROR(__xludf.DUMMYFUNCTION("""COMPUTED_VALUE"""),-1.27)</f>
        <v>-1.27</v>
      </c>
      <c r="U273" s="1">
        <f ca="1">IFERROR(__xludf.DUMMYFUNCTION("""COMPUTED_VALUE"""),180)</f>
        <v>180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IFERROR(__xludf.DUMMYFUNCTION("""COMPUTED_VALUE"""),"FIU")</f>
        <v>FIU</v>
      </c>
      <c r="C274" s="1" t="str">
        <f ca="1">IFERROR(__xludf.DUMMYFUNCTION("""COMPUTED_VALUE"""),"SB")</f>
        <v>SB</v>
      </c>
      <c r="D274" s="2">
        <f ca="1">IFERROR(__xludf.DUMMYFUNCTION("""COMPUTED_VALUE"""),44824)</f>
        <v>44824</v>
      </c>
      <c r="E274" s="1">
        <f ca="1">IFERROR(__xludf.DUMMYFUNCTION("""COMPUTED_VALUE"""),-8.94)</f>
        <v>-8.94</v>
      </c>
      <c r="F274" s="1">
        <f ca="1">IFERROR(__xludf.DUMMYFUNCTION("""COMPUTED_VALUE"""),93)</f>
        <v>93</v>
      </c>
      <c r="G274" s="1">
        <f ca="1">IFERROR(__xludf.DUMMYFUNCTION("""COMPUTED_VALUE"""),314)</f>
        <v>314</v>
      </c>
      <c r="H274" s="1">
        <f ca="1">IFERROR(__xludf.DUMMYFUNCTION("""COMPUTED_VALUE"""),102)</f>
        <v>102</v>
      </c>
      <c r="I274" s="1">
        <f ca="1">IFERROR(__xludf.DUMMYFUNCTION("""COMPUTED_VALUE"""),135)</f>
        <v>135</v>
      </c>
      <c r="J274" s="1">
        <f ca="1">IFERROR(__xludf.DUMMYFUNCTION("""COMPUTED_VALUE"""),66.3)</f>
        <v>66.3</v>
      </c>
      <c r="K274" s="1">
        <f ca="1">IFERROR(__xludf.DUMMYFUNCTION("""COMPUTED_VALUE"""),127)</f>
        <v>127</v>
      </c>
      <c r="L274" s="1">
        <f ca="1">IFERROR(__xludf.DUMMYFUNCTION("""COMPUTED_VALUE"""),-0.041)</f>
        <v>-4.1000000000000002E-2</v>
      </c>
      <c r="M274" s="1">
        <f ca="1">IFERROR(__xludf.DUMMYFUNCTION("""COMPUTED_VALUE"""),271)</f>
        <v>271</v>
      </c>
      <c r="N274" s="1">
        <f ca="1">IFERROR(__xludf.DUMMYFUNCTION("""COMPUTED_VALUE"""),-1.33)</f>
        <v>-1.33</v>
      </c>
      <c r="O274" s="1">
        <f ca="1">IFERROR(__xludf.DUMMYFUNCTION("""COMPUTED_VALUE"""),184)</f>
        <v>184</v>
      </c>
      <c r="P274" s="1">
        <f ca="1">IFERROR(__xludf.DUMMYFUNCTION("""COMPUTED_VALUE"""),103.6)</f>
        <v>103.6</v>
      </c>
      <c r="Q274" s="1">
        <f ca="1">IFERROR(__xludf.DUMMYFUNCTION("""COMPUTED_VALUE"""),163)</f>
        <v>163</v>
      </c>
      <c r="R274" s="1">
        <f ca="1">IFERROR(__xludf.DUMMYFUNCTION("""COMPUTED_VALUE"""),104.9)</f>
        <v>104.9</v>
      </c>
      <c r="S274" s="1">
        <f ca="1">IFERROR(__xludf.DUMMYFUNCTION("""COMPUTED_VALUE"""),204)</f>
        <v>204</v>
      </c>
      <c r="T274" s="1">
        <f ca="1">IFERROR(__xludf.DUMMYFUNCTION("""COMPUTED_VALUE"""),-0.94)</f>
        <v>-0.94</v>
      </c>
      <c r="U274" s="1">
        <f ca="1">IFERROR(__xludf.DUMMYFUNCTION("""COMPUTED_VALUE"""),175)</f>
        <v>175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IFERROR(__xludf.DUMMYFUNCTION("""COMPUTED_VALUE"""),"Texas St.")</f>
        <v>Texas St.</v>
      </c>
      <c r="C275" s="1" t="str">
        <f ca="1">IFERROR(__xludf.DUMMYFUNCTION("""COMPUTED_VALUE"""),"Slnd")</f>
        <v>Slnd</v>
      </c>
      <c r="D275" s="1" t="str">
        <f ca="1">IFERROR(__xludf.DUMMYFUNCTION("""COMPUTED_VALUE"""),"13-16")</f>
        <v>13-16</v>
      </c>
      <c r="E275" s="1">
        <f ca="1">IFERROR(__xludf.DUMMYFUNCTION("""COMPUTED_VALUE"""),-9.08)</f>
        <v>-9.08</v>
      </c>
      <c r="F275" s="1">
        <f ca="1">IFERROR(__xludf.DUMMYFUNCTION("""COMPUTED_VALUE"""),100.9)</f>
        <v>100.9</v>
      </c>
      <c r="G275" s="1">
        <f ca="1">IFERROR(__xludf.DUMMYFUNCTION("""COMPUTED_VALUE"""),209)</f>
        <v>209</v>
      </c>
      <c r="H275" s="1">
        <f ca="1">IFERROR(__xludf.DUMMYFUNCTION("""COMPUTED_VALUE"""),110)</f>
        <v>110</v>
      </c>
      <c r="I275" s="1">
        <f ca="1">IFERROR(__xludf.DUMMYFUNCTION("""COMPUTED_VALUE"""),290)</f>
        <v>290</v>
      </c>
      <c r="J275" s="1">
        <f ca="1">IFERROR(__xludf.DUMMYFUNCTION("""COMPUTED_VALUE"""),78)</f>
        <v>78</v>
      </c>
      <c r="K275" s="1">
        <f ca="1">IFERROR(__xludf.DUMMYFUNCTION("""COMPUTED_VALUE"""),1)</f>
        <v>1</v>
      </c>
      <c r="L275" s="1" t="str">
        <f ca="1">IFERROR(__xludf.DUMMYFUNCTION("""COMPUTED_VALUE"""),"+.015")</f>
        <v>+.015</v>
      </c>
      <c r="M275" s="1">
        <f ca="1">IFERROR(__xludf.DUMMYFUNCTION("""COMPUTED_VALUE"""),130)</f>
        <v>130</v>
      </c>
      <c r="N275" s="1">
        <f ca="1">IFERROR(__xludf.DUMMYFUNCTION("""COMPUTED_VALUE"""),-6.26)</f>
        <v>-6.26</v>
      </c>
      <c r="O275" s="1">
        <f ca="1">IFERROR(__xludf.DUMMYFUNCTION("""COMPUTED_VALUE"""),287)</f>
        <v>287</v>
      </c>
      <c r="P275" s="1">
        <f ca="1">IFERROR(__xludf.DUMMYFUNCTION("""COMPUTED_VALUE"""),98.9)</f>
        <v>98.9</v>
      </c>
      <c r="Q275" s="1">
        <f ca="1">IFERROR(__xludf.DUMMYFUNCTION("""COMPUTED_VALUE"""),316)</f>
        <v>316</v>
      </c>
      <c r="R275" s="1">
        <f ca="1">IFERROR(__xludf.DUMMYFUNCTION("""COMPUTED_VALUE"""),105.2)</f>
        <v>105.2</v>
      </c>
      <c r="S275" s="1">
        <f ca="1">IFERROR(__xludf.DUMMYFUNCTION("""COMPUTED_VALUE"""),218)</f>
        <v>218</v>
      </c>
      <c r="T275" s="1">
        <f ca="1">IFERROR(__xludf.DUMMYFUNCTION("""COMPUTED_VALUE"""),-8.65)</f>
        <v>-8.65</v>
      </c>
      <c r="U275" s="1">
        <f ca="1">IFERROR(__xludf.DUMMYFUNCTION("""COMPUTED_VALUE"""),323)</f>
        <v>323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IFERROR(__xludf.DUMMYFUNCTION("""COMPUTED_VALUE"""),"Columbia")</f>
        <v>Columbia</v>
      </c>
      <c r="C276" s="1" t="str">
        <f ca="1">IFERROR(__xludf.DUMMYFUNCTION("""COMPUTED_VALUE"""),"Ivy")</f>
        <v>Ivy</v>
      </c>
      <c r="D276" s="1" t="str">
        <f ca="1">IFERROR(__xludf.DUMMYFUNCTION("""COMPUTED_VALUE"""),"14-15")</f>
        <v>14-15</v>
      </c>
      <c r="E276" s="1">
        <f ca="1">IFERROR(__xludf.DUMMYFUNCTION("""COMPUTED_VALUE"""),-9.2)</f>
        <v>-9.1999999999999993</v>
      </c>
      <c r="F276" s="1">
        <f ca="1">IFERROR(__xludf.DUMMYFUNCTION("""COMPUTED_VALUE"""),97.3)</f>
        <v>97.3</v>
      </c>
      <c r="G276" s="1">
        <f ca="1">IFERROR(__xludf.DUMMYFUNCTION("""COMPUTED_VALUE"""),262)</f>
        <v>262</v>
      </c>
      <c r="H276" s="1">
        <f ca="1">IFERROR(__xludf.DUMMYFUNCTION("""COMPUTED_VALUE"""),106.5)</f>
        <v>106.5</v>
      </c>
      <c r="I276" s="1">
        <f ca="1">IFERROR(__xludf.DUMMYFUNCTION("""COMPUTED_VALUE"""),221)</f>
        <v>221</v>
      </c>
      <c r="J276" s="1">
        <f ca="1">IFERROR(__xludf.DUMMYFUNCTION("""COMPUTED_VALUE"""),61.9)</f>
        <v>61.9</v>
      </c>
      <c r="K276" s="1">
        <f ca="1">IFERROR(__xludf.DUMMYFUNCTION("""COMPUTED_VALUE"""),291)</f>
        <v>291</v>
      </c>
      <c r="L276" s="1" t="str">
        <f ca="1">IFERROR(__xludf.DUMMYFUNCTION("""COMPUTED_VALUE"""),"+.028")</f>
        <v>+.028</v>
      </c>
      <c r="M276" s="1">
        <f ca="1">IFERROR(__xludf.DUMMYFUNCTION("""COMPUTED_VALUE"""),103)</f>
        <v>103</v>
      </c>
      <c r="N276" s="1">
        <f ca="1">IFERROR(__xludf.DUMMYFUNCTION("""COMPUTED_VALUE"""),-6.83)</f>
        <v>-6.83</v>
      </c>
      <c r="O276" s="1">
        <f ca="1">IFERROR(__xludf.DUMMYFUNCTION("""COMPUTED_VALUE"""),296)</f>
        <v>296</v>
      </c>
      <c r="P276" s="1">
        <f ca="1">IFERROR(__xludf.DUMMYFUNCTION("""COMPUTED_VALUE"""),99.9)</f>
        <v>99.9</v>
      </c>
      <c r="Q276" s="1">
        <f ca="1">IFERROR(__xludf.DUMMYFUNCTION("""COMPUTED_VALUE"""),294)</f>
        <v>294</v>
      </c>
      <c r="R276" s="1">
        <f ca="1">IFERROR(__xludf.DUMMYFUNCTION("""COMPUTED_VALUE"""),106.8)</f>
        <v>106.8</v>
      </c>
      <c r="S276" s="1">
        <f ca="1">IFERROR(__xludf.DUMMYFUNCTION("""COMPUTED_VALUE"""),290)</f>
        <v>290</v>
      </c>
      <c r="T276" s="1">
        <f ca="1">IFERROR(__xludf.DUMMYFUNCTION("""COMPUTED_VALUE"""),-4.72)</f>
        <v>-4.72</v>
      </c>
      <c r="U276" s="1">
        <f ca="1">IFERROR(__xludf.DUMMYFUNCTION("""COMPUTED_VALUE"""),281)</f>
        <v>281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IFERROR(__xludf.DUMMYFUNCTION("""COMPUTED_VALUE"""),"Chicago St.")</f>
        <v>Chicago St.</v>
      </c>
      <c r="C277" s="1" t="str">
        <f ca="1">IFERROR(__xludf.DUMMYFUNCTION("""COMPUTED_VALUE"""),"ind")</f>
        <v>ind</v>
      </c>
      <c r="D277" s="2">
        <f ca="1">IFERROR(__xludf.DUMMYFUNCTION("""COMPUTED_VALUE"""),44882)</f>
        <v>44882</v>
      </c>
      <c r="E277" s="1">
        <f ca="1">IFERROR(__xludf.DUMMYFUNCTION("""COMPUTED_VALUE"""),-9.36)</f>
        <v>-9.36</v>
      </c>
      <c r="F277" s="1">
        <f ca="1">IFERROR(__xludf.DUMMYFUNCTION("""COMPUTED_VALUE"""),102.3)</f>
        <v>102.3</v>
      </c>
      <c r="G277" s="1">
        <f ca="1">IFERROR(__xludf.DUMMYFUNCTION("""COMPUTED_VALUE"""),185)</f>
        <v>185</v>
      </c>
      <c r="H277" s="1">
        <f ca="1">IFERROR(__xludf.DUMMYFUNCTION("""COMPUTED_VALUE"""),111.6)</f>
        <v>111.6</v>
      </c>
      <c r="I277" s="1">
        <f ca="1">IFERROR(__xludf.DUMMYFUNCTION("""COMPUTED_VALUE"""),315)</f>
        <v>315</v>
      </c>
      <c r="J277" s="1">
        <f ca="1">IFERROR(__xludf.DUMMYFUNCTION("""COMPUTED_VALUE"""),70.9)</f>
        <v>70.900000000000006</v>
      </c>
      <c r="K277" s="1">
        <f ca="1">IFERROR(__xludf.DUMMYFUNCTION("""COMPUTED_VALUE"""),18)</f>
        <v>18</v>
      </c>
      <c r="L277" s="1" t="str">
        <f ca="1">IFERROR(__xludf.DUMMYFUNCTION("""COMPUTED_VALUE"""),"+.028")</f>
        <v>+.028</v>
      </c>
      <c r="M277" s="1">
        <f ca="1">IFERROR(__xludf.DUMMYFUNCTION("""COMPUTED_VALUE"""),101)</f>
        <v>101</v>
      </c>
      <c r="N277" s="1" t="str">
        <f ca="1">IFERROR(__xludf.DUMMYFUNCTION("""COMPUTED_VALUE"""),"+2.04")</f>
        <v>+2.04</v>
      </c>
      <c r="O277" s="1">
        <f ca="1">IFERROR(__xludf.DUMMYFUNCTION("""COMPUTED_VALUE"""),122)</f>
        <v>122</v>
      </c>
      <c r="P277" s="1">
        <f ca="1">IFERROR(__xludf.DUMMYFUNCTION("""COMPUTED_VALUE"""),105.5)</f>
        <v>105.5</v>
      </c>
      <c r="Q277" s="1">
        <f ca="1">IFERROR(__xludf.DUMMYFUNCTION("""COMPUTED_VALUE"""),102)</f>
        <v>102</v>
      </c>
      <c r="R277" s="1">
        <f ca="1">IFERROR(__xludf.DUMMYFUNCTION("""COMPUTED_VALUE"""),103.4)</f>
        <v>103.4</v>
      </c>
      <c r="S277" s="1">
        <f ca="1">IFERROR(__xludf.DUMMYFUNCTION("""COMPUTED_VALUE"""),157)</f>
        <v>157</v>
      </c>
      <c r="T277" s="1" t="str">
        <f ca="1">IFERROR(__xludf.DUMMYFUNCTION("""COMPUTED_VALUE"""),"+6.87")</f>
        <v>+6.87</v>
      </c>
      <c r="U277" s="1">
        <f ca="1">IFERROR(__xludf.DUMMYFUNCTION("""COMPUTED_VALUE"""),28)</f>
        <v>28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IFERROR(__xludf.DUMMYFUNCTION("""COMPUTED_VALUE"""),"Army")</f>
        <v>Army</v>
      </c>
      <c r="C278" s="1" t="str">
        <f ca="1">IFERROR(__xludf.DUMMYFUNCTION("""COMPUTED_VALUE"""),"Pat")</f>
        <v>Pat</v>
      </c>
      <c r="D278" s="1" t="str">
        <f ca="1">IFERROR(__xludf.DUMMYFUNCTION("""COMPUTED_VALUE"""),"14-16")</f>
        <v>14-16</v>
      </c>
      <c r="E278" s="1">
        <f ca="1">IFERROR(__xludf.DUMMYFUNCTION("""COMPUTED_VALUE"""),-9.47)</f>
        <v>-9.4700000000000006</v>
      </c>
      <c r="F278" s="1">
        <f ca="1">IFERROR(__xludf.DUMMYFUNCTION("""COMPUTED_VALUE"""),89.3)</f>
        <v>89.3</v>
      </c>
      <c r="G278" s="1">
        <f ca="1">IFERROR(__xludf.DUMMYFUNCTION("""COMPUTED_VALUE"""),332)</f>
        <v>332</v>
      </c>
      <c r="H278" s="1">
        <f ca="1">IFERROR(__xludf.DUMMYFUNCTION("""COMPUTED_VALUE"""),98.8)</f>
        <v>98.8</v>
      </c>
      <c r="I278" s="1">
        <f ca="1">IFERROR(__xludf.DUMMYFUNCTION("""COMPUTED_VALUE"""),81)</f>
        <v>81</v>
      </c>
      <c r="J278" s="1">
        <f ca="1">IFERROR(__xludf.DUMMYFUNCTION("""COMPUTED_VALUE"""),62.9)</f>
        <v>62.9</v>
      </c>
      <c r="K278" s="1">
        <f ca="1">IFERROR(__xludf.DUMMYFUNCTION("""COMPUTED_VALUE"""),268)</f>
        <v>268</v>
      </c>
      <c r="L278" s="1" t="str">
        <f ca="1">IFERROR(__xludf.DUMMYFUNCTION("""COMPUTED_VALUE"""),"+.073")</f>
        <v>+.073</v>
      </c>
      <c r="M278" s="1">
        <f ca="1">IFERROR(__xludf.DUMMYFUNCTION("""COMPUTED_VALUE"""),29)</f>
        <v>29</v>
      </c>
      <c r="N278" s="1">
        <f ca="1">IFERROR(__xludf.DUMMYFUNCTION("""COMPUTED_VALUE"""),-6.08)</f>
        <v>-6.08</v>
      </c>
      <c r="O278" s="1">
        <f ca="1">IFERROR(__xludf.DUMMYFUNCTION("""COMPUTED_VALUE"""),283)</f>
        <v>283</v>
      </c>
      <c r="P278" s="1">
        <f ca="1">IFERROR(__xludf.DUMMYFUNCTION("""COMPUTED_VALUE"""),100.6)</f>
        <v>100.6</v>
      </c>
      <c r="Q278" s="1">
        <f ca="1">IFERROR(__xludf.DUMMYFUNCTION("""COMPUTED_VALUE"""),275)</f>
        <v>275</v>
      </c>
      <c r="R278" s="1">
        <f ca="1">IFERROR(__xludf.DUMMYFUNCTION("""COMPUTED_VALUE"""),106.7)</f>
        <v>106.7</v>
      </c>
      <c r="S278" s="1">
        <f ca="1">IFERROR(__xludf.DUMMYFUNCTION("""COMPUTED_VALUE"""),289)</f>
        <v>289</v>
      </c>
      <c r="T278" s="1">
        <f ca="1">IFERROR(__xludf.DUMMYFUNCTION("""COMPUTED_VALUE"""),-9.38)</f>
        <v>-9.3800000000000008</v>
      </c>
      <c r="U278" s="1">
        <f ca="1">IFERROR(__xludf.DUMMYFUNCTION("""COMPUTED_VALUE"""),332)</f>
        <v>332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IFERROR(__xludf.DUMMYFUNCTION("""COMPUTED_VALUE"""),"Colorado St.")</f>
        <v>Colorado St.</v>
      </c>
      <c r="C279" s="1" t="str">
        <f ca="1">IFERROR(__xludf.DUMMYFUNCTION("""COMPUTED_VALUE"""),"MWC")</f>
        <v>MWC</v>
      </c>
      <c r="D279" s="2">
        <f ca="1">IFERROR(__xludf.DUMMYFUNCTION("""COMPUTED_VALUE"""),44767)</f>
        <v>44767</v>
      </c>
      <c r="E279" s="1">
        <f ca="1">IFERROR(__xludf.DUMMYFUNCTION("""COMPUTED_VALUE"""),-9.76)</f>
        <v>-9.76</v>
      </c>
      <c r="F279" s="1">
        <f ca="1">IFERROR(__xludf.DUMMYFUNCTION("""COMPUTED_VALUE"""),101.8)</f>
        <v>101.8</v>
      </c>
      <c r="G279" s="1">
        <f ca="1">IFERROR(__xludf.DUMMYFUNCTION("""COMPUTED_VALUE"""),195)</f>
        <v>195</v>
      </c>
      <c r="H279" s="1">
        <f ca="1">IFERROR(__xludf.DUMMYFUNCTION("""COMPUTED_VALUE"""),111.6)</f>
        <v>111.6</v>
      </c>
      <c r="I279" s="1">
        <f ca="1">IFERROR(__xludf.DUMMYFUNCTION("""COMPUTED_VALUE"""),314)</f>
        <v>314</v>
      </c>
      <c r="J279" s="1">
        <f ca="1">IFERROR(__xludf.DUMMYFUNCTION("""COMPUTED_VALUE"""),63.6)</f>
        <v>63.6</v>
      </c>
      <c r="K279" s="1">
        <f ca="1">IFERROR(__xludf.DUMMYFUNCTION("""COMPUTED_VALUE"""),235)</f>
        <v>235</v>
      </c>
      <c r="L279" s="1">
        <f ca="1">IFERROR(__xludf.DUMMYFUNCTION("""COMPUTED_VALUE"""),-0.043)</f>
        <v>-4.2999999999999997E-2</v>
      </c>
      <c r="M279" s="1">
        <f ca="1">IFERROR(__xludf.DUMMYFUNCTION("""COMPUTED_VALUE"""),276)</f>
        <v>276</v>
      </c>
      <c r="N279" s="1" t="str">
        <f ca="1">IFERROR(__xludf.DUMMYFUNCTION("""COMPUTED_VALUE"""),"+4.67")</f>
        <v>+4.67</v>
      </c>
      <c r="O279" s="1">
        <f ca="1">IFERROR(__xludf.DUMMYFUNCTION("""COMPUTED_VALUE"""),91)</f>
        <v>91</v>
      </c>
      <c r="P279" s="1">
        <f ca="1">IFERROR(__xludf.DUMMYFUNCTION("""COMPUTED_VALUE"""),105)</f>
        <v>105</v>
      </c>
      <c r="Q279" s="1">
        <f ca="1">IFERROR(__xludf.DUMMYFUNCTION("""COMPUTED_VALUE"""),111)</f>
        <v>111</v>
      </c>
      <c r="R279" s="1">
        <f ca="1">IFERROR(__xludf.DUMMYFUNCTION("""COMPUTED_VALUE"""),100.3)</f>
        <v>100.3</v>
      </c>
      <c r="S279" s="1">
        <f ca="1">IFERROR(__xludf.DUMMYFUNCTION("""COMPUTED_VALUE"""),58)</f>
        <v>58</v>
      </c>
      <c r="T279" s="1" t="str">
        <f ca="1">IFERROR(__xludf.DUMMYFUNCTION("""COMPUTED_VALUE"""),"+0.88")</f>
        <v>+0.88</v>
      </c>
      <c r="U279" s="1">
        <f ca="1">IFERROR(__xludf.DUMMYFUNCTION("""COMPUTED_VALUE"""),122)</f>
        <v>122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IFERROR(__xludf.DUMMYFUNCTION("""COMPUTED_VALUE"""),"Northern Illinois")</f>
        <v>Northern Illinois</v>
      </c>
      <c r="C280" s="1" t="str">
        <f ca="1">IFERROR(__xludf.DUMMYFUNCTION("""COMPUTED_VALUE"""),"MAC")</f>
        <v>MAC</v>
      </c>
      <c r="D280" s="2">
        <f ca="1">IFERROR(__xludf.DUMMYFUNCTION("""COMPUTED_VALUE"""),44734)</f>
        <v>44734</v>
      </c>
      <c r="E280" s="1">
        <f ca="1">IFERROR(__xludf.DUMMYFUNCTION("""COMPUTED_VALUE"""),-9.81)</f>
        <v>-9.81</v>
      </c>
      <c r="F280" s="1">
        <f ca="1">IFERROR(__xludf.DUMMYFUNCTION("""COMPUTED_VALUE"""),96.9)</f>
        <v>96.9</v>
      </c>
      <c r="G280" s="1">
        <f ca="1">IFERROR(__xludf.DUMMYFUNCTION("""COMPUTED_VALUE"""),269)</f>
        <v>269</v>
      </c>
      <c r="H280" s="1">
        <f ca="1">IFERROR(__xludf.DUMMYFUNCTION("""COMPUTED_VALUE"""),106.7)</f>
        <v>106.7</v>
      </c>
      <c r="I280" s="1">
        <f ca="1">IFERROR(__xludf.DUMMYFUNCTION("""COMPUTED_VALUE"""),227)</f>
        <v>227</v>
      </c>
      <c r="J280" s="1">
        <f ca="1">IFERROR(__xludf.DUMMYFUNCTION("""COMPUTED_VALUE"""),69.4)</f>
        <v>69.400000000000006</v>
      </c>
      <c r="K280" s="1">
        <f ca="1">IFERROR(__xludf.DUMMYFUNCTION("""COMPUTED_VALUE"""),36)</f>
        <v>36</v>
      </c>
      <c r="L280" s="1">
        <f ca="1">IFERROR(__xludf.DUMMYFUNCTION("""COMPUTED_VALUE"""),-0.015)</f>
        <v>-1.4999999999999999E-2</v>
      </c>
      <c r="M280" s="1">
        <f ca="1">IFERROR(__xludf.DUMMYFUNCTION("""COMPUTED_VALUE"""),205)</f>
        <v>205</v>
      </c>
      <c r="N280" s="1" t="str">
        <f ca="1">IFERROR(__xludf.DUMMYFUNCTION("""COMPUTED_VALUE"""),"+1.59")</f>
        <v>+1.59</v>
      </c>
      <c r="O280" s="1">
        <f ca="1">IFERROR(__xludf.DUMMYFUNCTION("""COMPUTED_VALUE"""),127)</f>
        <v>127</v>
      </c>
      <c r="P280" s="1">
        <f ca="1">IFERROR(__xludf.DUMMYFUNCTION("""COMPUTED_VALUE"""),103.9)</f>
        <v>103.9</v>
      </c>
      <c r="Q280" s="1">
        <f ca="1">IFERROR(__xludf.DUMMYFUNCTION("""COMPUTED_VALUE"""),154)</f>
        <v>154</v>
      </c>
      <c r="R280" s="1">
        <f ca="1">IFERROR(__xludf.DUMMYFUNCTION("""COMPUTED_VALUE"""),102.3)</f>
        <v>102.3</v>
      </c>
      <c r="S280" s="1">
        <f ca="1">IFERROR(__xludf.DUMMYFUNCTION("""COMPUTED_VALUE"""),121)</f>
        <v>121</v>
      </c>
      <c r="T280" s="1" t="str">
        <f ca="1">IFERROR(__xludf.DUMMYFUNCTION("""COMPUTED_VALUE"""),"+4.06")</f>
        <v>+4.06</v>
      </c>
      <c r="U280" s="1">
        <f ca="1">IFERROR(__xludf.DUMMYFUNCTION("""COMPUTED_VALUE"""),56)</f>
        <v>56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IFERROR(__xludf.DUMMYFUNCTION("""COMPUTED_VALUE"""),"Cal Poly")</f>
        <v>Cal Poly</v>
      </c>
      <c r="C281" s="1" t="str">
        <f ca="1">IFERROR(__xludf.DUMMYFUNCTION("""COMPUTED_VALUE"""),"BW")</f>
        <v>BW</v>
      </c>
      <c r="D281" s="2">
        <f ca="1">IFERROR(__xludf.DUMMYFUNCTION("""COMPUTED_VALUE"""),44913)</f>
        <v>44913</v>
      </c>
      <c r="E281" s="1">
        <f ca="1">IFERROR(__xludf.DUMMYFUNCTION("""COMPUTED_VALUE"""),-9.83)</f>
        <v>-9.83</v>
      </c>
      <c r="F281" s="1">
        <f ca="1">IFERROR(__xludf.DUMMYFUNCTION("""COMPUTED_VALUE"""),95.1)</f>
        <v>95.1</v>
      </c>
      <c r="G281" s="1">
        <f ca="1">IFERROR(__xludf.DUMMYFUNCTION("""COMPUTED_VALUE"""),294)</f>
        <v>294</v>
      </c>
      <c r="H281" s="1">
        <f ca="1">IFERROR(__xludf.DUMMYFUNCTION("""COMPUTED_VALUE"""),105)</f>
        <v>105</v>
      </c>
      <c r="I281" s="1">
        <f ca="1">IFERROR(__xludf.DUMMYFUNCTION("""COMPUTED_VALUE"""),198)</f>
        <v>198</v>
      </c>
      <c r="J281" s="1">
        <f ca="1">IFERROR(__xludf.DUMMYFUNCTION("""COMPUTED_VALUE"""),65.2)</f>
        <v>65.2</v>
      </c>
      <c r="K281" s="1">
        <f ca="1">IFERROR(__xludf.DUMMYFUNCTION("""COMPUTED_VALUE"""),165)</f>
        <v>165</v>
      </c>
      <c r="L281" s="1" t="str">
        <f ca="1">IFERROR(__xludf.DUMMYFUNCTION("""COMPUTED_VALUE"""),"+.057")</f>
        <v>+.057</v>
      </c>
      <c r="M281" s="1">
        <f ca="1">IFERROR(__xludf.DUMMYFUNCTION("""COMPUTED_VALUE"""),44)</f>
        <v>44</v>
      </c>
      <c r="N281" s="1">
        <f ca="1">IFERROR(__xludf.DUMMYFUNCTION("""COMPUTED_VALUE"""),-1.16)</f>
        <v>-1.1599999999999999</v>
      </c>
      <c r="O281" s="1">
        <f ca="1">IFERROR(__xludf.DUMMYFUNCTION("""COMPUTED_VALUE"""),180)</f>
        <v>180</v>
      </c>
      <c r="P281" s="1">
        <f ca="1">IFERROR(__xludf.DUMMYFUNCTION("""COMPUTED_VALUE"""),103.4)</f>
        <v>103.4</v>
      </c>
      <c r="Q281" s="1">
        <f ca="1">IFERROR(__xludf.DUMMYFUNCTION("""COMPUTED_VALUE"""),172)</f>
        <v>172</v>
      </c>
      <c r="R281" s="1">
        <f ca="1">IFERROR(__xludf.DUMMYFUNCTION("""COMPUTED_VALUE"""),104.5)</f>
        <v>104.5</v>
      </c>
      <c r="S281" s="1">
        <f ca="1">IFERROR(__xludf.DUMMYFUNCTION("""COMPUTED_VALUE"""),195)</f>
        <v>195</v>
      </c>
      <c r="T281" s="1" t="str">
        <f ca="1">IFERROR(__xludf.DUMMYFUNCTION("""COMPUTED_VALUE"""),"+3.36")</f>
        <v>+3.36</v>
      </c>
      <c r="U281" s="1">
        <f ca="1">IFERROR(__xludf.DUMMYFUNCTION("""COMPUTED_VALUE"""),72)</f>
        <v>72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IFERROR(__xludf.DUMMYFUNCTION("""COMPUTED_VALUE"""),"Portland")</f>
        <v>Portland</v>
      </c>
      <c r="C282" s="1" t="str">
        <f ca="1">IFERROR(__xludf.DUMMYFUNCTION("""COMPUTED_VALUE"""),"WCC")</f>
        <v>WCC</v>
      </c>
      <c r="D282" s="2">
        <f ca="1">IFERROR(__xludf.DUMMYFUNCTION("""COMPUTED_VALUE"""),44826)</f>
        <v>44826</v>
      </c>
      <c r="E282" s="1">
        <f ca="1">IFERROR(__xludf.DUMMYFUNCTION("""COMPUTED_VALUE"""),-9.88)</f>
        <v>-9.8800000000000008</v>
      </c>
      <c r="F282" s="1">
        <f ca="1">IFERROR(__xludf.DUMMYFUNCTION("""COMPUTED_VALUE"""),98.9)</f>
        <v>98.9</v>
      </c>
      <c r="G282" s="1">
        <f ca="1">IFERROR(__xludf.DUMMYFUNCTION("""COMPUTED_VALUE"""),239)</f>
        <v>239</v>
      </c>
      <c r="H282" s="1">
        <f ca="1">IFERROR(__xludf.DUMMYFUNCTION("""COMPUTED_VALUE"""),108.8)</f>
        <v>108.8</v>
      </c>
      <c r="I282" s="1">
        <f ca="1">IFERROR(__xludf.DUMMYFUNCTION("""COMPUTED_VALUE"""),267)</f>
        <v>267</v>
      </c>
      <c r="J282" s="1">
        <f ca="1">IFERROR(__xludf.DUMMYFUNCTION("""COMPUTED_VALUE"""),62.6)</f>
        <v>62.6</v>
      </c>
      <c r="K282" s="1">
        <f ca="1">IFERROR(__xludf.DUMMYFUNCTION("""COMPUTED_VALUE"""),275)</f>
        <v>275</v>
      </c>
      <c r="L282" s="1">
        <f ca="1">IFERROR(__xludf.DUMMYFUNCTION("""COMPUTED_VALUE"""),-0.046)</f>
        <v>-4.5999999999999999E-2</v>
      </c>
      <c r="M282" s="1">
        <f ca="1">IFERROR(__xludf.DUMMYFUNCTION("""COMPUTED_VALUE"""),286)</f>
        <v>286</v>
      </c>
      <c r="N282" s="1">
        <f ca="1">IFERROR(__xludf.DUMMYFUNCTION("""COMPUTED_VALUE"""),-1.27)</f>
        <v>-1.27</v>
      </c>
      <c r="O282" s="1">
        <f ca="1">IFERROR(__xludf.DUMMYFUNCTION("""COMPUTED_VALUE"""),183)</f>
        <v>183</v>
      </c>
      <c r="P282" s="1">
        <f ca="1">IFERROR(__xludf.DUMMYFUNCTION("""COMPUTED_VALUE"""),102.1)</f>
        <v>102.1</v>
      </c>
      <c r="Q282" s="1">
        <f ca="1">IFERROR(__xludf.DUMMYFUNCTION("""COMPUTED_VALUE"""),215)</f>
        <v>215</v>
      </c>
      <c r="R282" s="1">
        <f ca="1">IFERROR(__xludf.DUMMYFUNCTION("""COMPUTED_VALUE"""),103.4)</f>
        <v>103.4</v>
      </c>
      <c r="S282" s="1">
        <f ca="1">IFERROR(__xludf.DUMMYFUNCTION("""COMPUTED_VALUE"""),156)</f>
        <v>156</v>
      </c>
      <c r="T282" s="1">
        <f ca="1">IFERROR(__xludf.DUMMYFUNCTION("""COMPUTED_VALUE"""),-1.45)</f>
        <v>-1.45</v>
      </c>
      <c r="U282" s="1">
        <f ca="1">IFERROR(__xludf.DUMMYFUNCTION("""COMPUTED_VALUE"""),186)</f>
        <v>186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IFERROR(__xludf.DUMMYFUNCTION("""COMPUTED_VALUE"""),"Louisiana Monroe")</f>
        <v>Louisiana Monroe</v>
      </c>
      <c r="C283" s="1" t="str">
        <f ca="1">IFERROR(__xludf.DUMMYFUNCTION("""COMPUTED_VALUE"""),"SB")</f>
        <v>SB</v>
      </c>
      <c r="D283" s="2">
        <f ca="1">IFERROR(__xludf.DUMMYFUNCTION("""COMPUTED_VALUE"""),44855)</f>
        <v>44855</v>
      </c>
      <c r="E283" s="1">
        <f ca="1">IFERROR(__xludf.DUMMYFUNCTION("""COMPUTED_VALUE"""),-10.02)</f>
        <v>-10.02</v>
      </c>
      <c r="F283" s="1">
        <f ca="1">IFERROR(__xludf.DUMMYFUNCTION("""COMPUTED_VALUE"""),102.1)</f>
        <v>102.1</v>
      </c>
      <c r="G283" s="1">
        <f ca="1">IFERROR(__xludf.DUMMYFUNCTION("""COMPUTED_VALUE"""),191)</f>
        <v>191</v>
      </c>
      <c r="H283" s="1">
        <f ca="1">IFERROR(__xludf.DUMMYFUNCTION("""COMPUTED_VALUE"""),112.1)</f>
        <v>112.1</v>
      </c>
      <c r="I283" s="1">
        <f ca="1">IFERROR(__xludf.DUMMYFUNCTION("""COMPUTED_VALUE"""),319)</f>
        <v>319</v>
      </c>
      <c r="J283" s="1">
        <f ca="1">IFERROR(__xludf.DUMMYFUNCTION("""COMPUTED_VALUE"""),65.1)</f>
        <v>65.099999999999994</v>
      </c>
      <c r="K283" s="1">
        <f ca="1">IFERROR(__xludf.DUMMYFUNCTION("""COMPUTED_VALUE"""),170)</f>
        <v>170</v>
      </c>
      <c r="L283" s="1">
        <f ca="1">IFERROR(__xludf.DUMMYFUNCTION("""COMPUTED_VALUE"""),-0.031)</f>
        <v>-3.1E-2</v>
      </c>
      <c r="M283" s="1">
        <f ca="1">IFERROR(__xludf.DUMMYFUNCTION("""COMPUTED_VALUE"""),250)</f>
        <v>250</v>
      </c>
      <c r="N283" s="1" t="str">
        <f ca="1">IFERROR(__xludf.DUMMYFUNCTION("""COMPUTED_VALUE"""),"+1.14")</f>
        <v>+1.14</v>
      </c>
      <c r="O283" s="1">
        <f ca="1">IFERROR(__xludf.DUMMYFUNCTION("""COMPUTED_VALUE"""),137)</f>
        <v>137</v>
      </c>
      <c r="P283" s="1">
        <f ca="1">IFERROR(__xludf.DUMMYFUNCTION("""COMPUTED_VALUE"""),103.8)</f>
        <v>103.8</v>
      </c>
      <c r="Q283" s="1">
        <f ca="1">IFERROR(__xludf.DUMMYFUNCTION("""COMPUTED_VALUE"""),155)</f>
        <v>155</v>
      </c>
      <c r="R283" s="1">
        <f ca="1">IFERROR(__xludf.DUMMYFUNCTION("""COMPUTED_VALUE"""),102.7)</f>
        <v>102.7</v>
      </c>
      <c r="S283" s="1">
        <f ca="1">IFERROR(__xludf.DUMMYFUNCTION("""COMPUTED_VALUE"""),137)</f>
        <v>137</v>
      </c>
      <c r="T283" s="1" t="str">
        <f ca="1">IFERROR(__xludf.DUMMYFUNCTION("""COMPUTED_VALUE"""),"+10.35")</f>
        <v>+10.35</v>
      </c>
      <c r="U283" s="1">
        <f ca="1">IFERROR(__xludf.DUMMYFUNCTION("""COMPUTED_VALUE"""),10)</f>
        <v>10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IFERROR(__xludf.DUMMYFUNCTION("""COMPUTED_VALUE"""),"Arkansas St.")</f>
        <v>Arkansas St.</v>
      </c>
      <c r="C284" s="1" t="str">
        <f ca="1">IFERROR(__xludf.DUMMYFUNCTION("""COMPUTED_VALUE"""),"SB")</f>
        <v>SB</v>
      </c>
      <c r="D284" s="2">
        <f ca="1">IFERROR(__xludf.DUMMYFUNCTION("""COMPUTED_VALUE"""),44854)</f>
        <v>44854</v>
      </c>
      <c r="E284" s="1">
        <f ca="1">IFERROR(__xludf.DUMMYFUNCTION("""COMPUTED_VALUE"""),-10.29)</f>
        <v>-10.29</v>
      </c>
      <c r="F284" s="1">
        <f ca="1">IFERROR(__xludf.DUMMYFUNCTION("""COMPUTED_VALUE"""),104.9)</f>
        <v>104.9</v>
      </c>
      <c r="G284" s="1">
        <f ca="1">IFERROR(__xludf.DUMMYFUNCTION("""COMPUTED_VALUE"""),146)</f>
        <v>146</v>
      </c>
      <c r="H284" s="1">
        <f ca="1">IFERROR(__xludf.DUMMYFUNCTION("""COMPUTED_VALUE"""),115.2)</f>
        <v>115.2</v>
      </c>
      <c r="I284" s="1">
        <f ca="1">IFERROR(__xludf.DUMMYFUNCTION("""COMPUTED_VALUE"""),335)</f>
        <v>335</v>
      </c>
      <c r="J284" s="1">
        <f ca="1">IFERROR(__xludf.DUMMYFUNCTION("""COMPUTED_VALUE"""),64.1)</f>
        <v>64.099999999999994</v>
      </c>
      <c r="K284" s="1">
        <f ca="1">IFERROR(__xludf.DUMMYFUNCTION("""COMPUTED_VALUE"""),207)</f>
        <v>207</v>
      </c>
      <c r="L284" s="1">
        <f ca="1">IFERROR(__xludf.DUMMYFUNCTION("""COMPUTED_VALUE"""),-0.022)</f>
        <v>-2.1999999999999999E-2</v>
      </c>
      <c r="M284" s="1">
        <f ca="1">IFERROR(__xludf.DUMMYFUNCTION("""COMPUTED_VALUE"""),220)</f>
        <v>220</v>
      </c>
      <c r="N284" s="1">
        <f ca="1">IFERROR(__xludf.DUMMYFUNCTION("""COMPUTED_VALUE"""),-2.61)</f>
        <v>-2.61</v>
      </c>
      <c r="O284" s="1">
        <f ca="1">IFERROR(__xludf.DUMMYFUNCTION("""COMPUTED_VALUE"""),211)</f>
        <v>211</v>
      </c>
      <c r="P284" s="1">
        <f ca="1">IFERROR(__xludf.DUMMYFUNCTION("""COMPUTED_VALUE"""),102.8)</f>
        <v>102.8</v>
      </c>
      <c r="Q284" s="1">
        <f ca="1">IFERROR(__xludf.DUMMYFUNCTION("""COMPUTED_VALUE"""),196)</f>
        <v>196</v>
      </c>
      <c r="R284" s="1">
        <f ca="1">IFERROR(__xludf.DUMMYFUNCTION("""COMPUTED_VALUE"""),105.4)</f>
        <v>105.4</v>
      </c>
      <c r="S284" s="1">
        <f ca="1">IFERROR(__xludf.DUMMYFUNCTION("""COMPUTED_VALUE"""),227)</f>
        <v>227</v>
      </c>
      <c r="T284" s="1">
        <f ca="1">IFERROR(__xludf.DUMMYFUNCTION("""COMPUTED_VALUE"""),-2.6)</f>
        <v>-2.6</v>
      </c>
      <c r="U284" s="1">
        <f ca="1">IFERROR(__xludf.DUMMYFUNCTION("""COMPUTED_VALUE"""),232)</f>
        <v>232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IFERROR(__xludf.DUMMYFUNCTION("""COMPUTED_VALUE"""),"Stetson")</f>
        <v>Stetson</v>
      </c>
      <c r="C285" s="1" t="str">
        <f ca="1">IFERROR(__xludf.DUMMYFUNCTION("""COMPUTED_VALUE"""),"ASun")</f>
        <v>ASun</v>
      </c>
      <c r="D285" s="1" t="str">
        <f ca="1">IFERROR(__xludf.DUMMYFUNCTION("""COMPUTED_VALUE"""),"16-16")</f>
        <v>16-16</v>
      </c>
      <c r="E285" s="1">
        <f ca="1">IFERROR(__xludf.DUMMYFUNCTION("""COMPUTED_VALUE"""),-10.29)</f>
        <v>-10.29</v>
      </c>
      <c r="F285" s="1">
        <f ca="1">IFERROR(__xludf.DUMMYFUNCTION("""COMPUTED_VALUE"""),93.7)</f>
        <v>93.7</v>
      </c>
      <c r="G285" s="1">
        <f ca="1">IFERROR(__xludf.DUMMYFUNCTION("""COMPUTED_VALUE"""),308)</f>
        <v>308</v>
      </c>
      <c r="H285" s="1">
        <f ca="1">IFERROR(__xludf.DUMMYFUNCTION("""COMPUTED_VALUE"""),104)</f>
        <v>104</v>
      </c>
      <c r="I285" s="1">
        <f ca="1">IFERROR(__xludf.DUMMYFUNCTION("""COMPUTED_VALUE"""),179)</f>
        <v>179</v>
      </c>
      <c r="J285" s="1">
        <f ca="1">IFERROR(__xludf.DUMMYFUNCTION("""COMPUTED_VALUE"""),64.5)</f>
        <v>64.5</v>
      </c>
      <c r="K285" s="1">
        <f ca="1">IFERROR(__xludf.DUMMYFUNCTION("""COMPUTED_VALUE"""),193)</f>
        <v>193</v>
      </c>
      <c r="L285" s="1" t="str">
        <f ca="1">IFERROR(__xludf.DUMMYFUNCTION("""COMPUTED_VALUE"""),"+.069")</f>
        <v>+.069</v>
      </c>
      <c r="M285" s="1">
        <f ca="1">IFERROR(__xludf.DUMMYFUNCTION("""COMPUTED_VALUE"""),31)</f>
        <v>31</v>
      </c>
      <c r="N285" s="1">
        <f ca="1">IFERROR(__xludf.DUMMYFUNCTION("""COMPUTED_VALUE"""),-8.05)</f>
        <v>-8.0500000000000007</v>
      </c>
      <c r="O285" s="1">
        <f ca="1">IFERROR(__xludf.DUMMYFUNCTION("""COMPUTED_VALUE"""),315)</f>
        <v>315</v>
      </c>
      <c r="P285" s="1">
        <f ca="1">IFERROR(__xludf.DUMMYFUNCTION("""COMPUTED_VALUE"""),99.4)</f>
        <v>99.4</v>
      </c>
      <c r="Q285" s="1">
        <f ca="1">IFERROR(__xludf.DUMMYFUNCTION("""COMPUTED_VALUE"""),307)</f>
        <v>307</v>
      </c>
      <c r="R285" s="1">
        <f ca="1">IFERROR(__xludf.DUMMYFUNCTION("""COMPUTED_VALUE"""),107.4)</f>
        <v>107.4</v>
      </c>
      <c r="S285" s="1">
        <f ca="1">IFERROR(__xludf.DUMMYFUNCTION("""COMPUTED_VALUE"""),310)</f>
        <v>310</v>
      </c>
      <c r="T285" s="1">
        <f ca="1">IFERROR(__xludf.DUMMYFUNCTION("""COMPUTED_VALUE"""),-3.53)</f>
        <v>-3.53</v>
      </c>
      <c r="U285" s="1">
        <f ca="1">IFERROR(__xludf.DUMMYFUNCTION("""COMPUTED_VALUE"""),262)</f>
        <v>262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IFERROR(__xludf.DUMMYFUNCTION("""COMPUTED_VALUE"""),"Texas A&amp;M Corpus Chris")</f>
        <v>Texas A&amp;M Corpus Chris</v>
      </c>
      <c r="C286" s="1" t="str">
        <f ca="1">IFERROR(__xludf.DUMMYFUNCTION("""COMPUTED_VALUE"""),"Slnd")</f>
        <v>Slnd</v>
      </c>
      <c r="D286" s="2">
        <f ca="1">IFERROR(__xludf.DUMMYFUNCTION("""COMPUTED_VALUE"""),44824)</f>
        <v>44824</v>
      </c>
      <c r="E286" s="1">
        <f ca="1">IFERROR(__xludf.DUMMYFUNCTION("""COMPUTED_VALUE"""),-10.42)</f>
        <v>-10.42</v>
      </c>
      <c r="F286" s="1">
        <f ca="1">IFERROR(__xludf.DUMMYFUNCTION("""COMPUTED_VALUE"""),96.7)</f>
        <v>96.7</v>
      </c>
      <c r="G286" s="1">
        <f ca="1">IFERROR(__xludf.DUMMYFUNCTION("""COMPUTED_VALUE"""),271)</f>
        <v>271</v>
      </c>
      <c r="H286" s="1">
        <f ca="1">IFERROR(__xludf.DUMMYFUNCTION("""COMPUTED_VALUE"""),107.1)</f>
        <v>107.1</v>
      </c>
      <c r="I286" s="1">
        <f ca="1">IFERROR(__xludf.DUMMYFUNCTION("""COMPUTED_VALUE"""),240)</f>
        <v>240</v>
      </c>
      <c r="J286" s="1">
        <f ca="1">IFERROR(__xludf.DUMMYFUNCTION("""COMPUTED_VALUE"""),63.6)</f>
        <v>63.6</v>
      </c>
      <c r="K286" s="1">
        <f ca="1">IFERROR(__xludf.DUMMYFUNCTION("""COMPUTED_VALUE"""),234)</f>
        <v>234</v>
      </c>
      <c r="L286" s="1" t="str">
        <f ca="1">IFERROR(__xludf.DUMMYFUNCTION("""COMPUTED_VALUE"""),"+.020")</f>
        <v>+.020</v>
      </c>
      <c r="M286" s="1">
        <f ca="1">IFERROR(__xludf.DUMMYFUNCTION("""COMPUTED_VALUE"""),118)</f>
        <v>118</v>
      </c>
      <c r="N286" s="1">
        <f ca="1">IFERROR(__xludf.DUMMYFUNCTION("""COMPUTED_VALUE"""),-2.54)</f>
        <v>-2.54</v>
      </c>
      <c r="O286" s="1">
        <f ca="1">IFERROR(__xludf.DUMMYFUNCTION("""COMPUTED_VALUE"""),210)</f>
        <v>210</v>
      </c>
      <c r="P286" s="1">
        <f ca="1">IFERROR(__xludf.DUMMYFUNCTION("""COMPUTED_VALUE"""),101.6)</f>
        <v>101.6</v>
      </c>
      <c r="Q286" s="1">
        <f ca="1">IFERROR(__xludf.DUMMYFUNCTION("""COMPUTED_VALUE"""),237)</f>
        <v>237</v>
      </c>
      <c r="R286" s="1">
        <f ca="1">IFERROR(__xludf.DUMMYFUNCTION("""COMPUTED_VALUE"""),104.2)</f>
        <v>104.2</v>
      </c>
      <c r="S286" s="1">
        <f ca="1">IFERROR(__xludf.DUMMYFUNCTION("""COMPUTED_VALUE"""),175)</f>
        <v>175</v>
      </c>
      <c r="T286" s="1" t="str">
        <f ca="1">IFERROR(__xludf.DUMMYFUNCTION("""COMPUTED_VALUE"""),"+0.98")</f>
        <v>+0.98</v>
      </c>
      <c r="U286" s="1">
        <f ca="1">IFERROR(__xludf.DUMMYFUNCTION("""COMPUTED_VALUE"""),120)</f>
        <v>120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IFERROR(__xludf.DUMMYFUNCTION("""COMPUTED_VALUE"""),"Centenary")</f>
        <v>Centenary</v>
      </c>
      <c r="C287" s="1" t="str">
        <f ca="1">IFERROR(__xludf.DUMMYFUNCTION("""COMPUTED_VALUE"""),"Sum")</f>
        <v>Sum</v>
      </c>
      <c r="D287" s="2">
        <f ca="1">IFERROR(__xludf.DUMMYFUNCTION("""COMPUTED_VALUE"""),44855)</f>
        <v>44855</v>
      </c>
      <c r="E287" s="1">
        <f ca="1">IFERROR(__xludf.DUMMYFUNCTION("""COMPUTED_VALUE"""),-10.57)</f>
        <v>-10.57</v>
      </c>
      <c r="F287" s="1">
        <f ca="1">IFERROR(__xludf.DUMMYFUNCTION("""COMPUTED_VALUE"""),99.9)</f>
        <v>99.9</v>
      </c>
      <c r="G287" s="1">
        <f ca="1">IFERROR(__xludf.DUMMYFUNCTION("""COMPUTED_VALUE"""),229)</f>
        <v>229</v>
      </c>
      <c r="H287" s="1">
        <f ca="1">IFERROR(__xludf.DUMMYFUNCTION("""COMPUTED_VALUE"""),110.5)</f>
        <v>110.5</v>
      </c>
      <c r="I287" s="1">
        <f ca="1">IFERROR(__xludf.DUMMYFUNCTION("""COMPUTED_VALUE"""),302)</f>
        <v>302</v>
      </c>
      <c r="J287" s="1">
        <f ca="1">IFERROR(__xludf.DUMMYFUNCTION("""COMPUTED_VALUE"""),67.4)</f>
        <v>67.400000000000006</v>
      </c>
      <c r="K287" s="1">
        <f ca="1">IFERROR(__xludf.DUMMYFUNCTION("""COMPUTED_VALUE"""),94)</f>
        <v>94</v>
      </c>
      <c r="L287" s="1" t="str">
        <f ca="1">IFERROR(__xludf.DUMMYFUNCTION("""COMPUTED_VALUE"""),"+.014")</f>
        <v>+.014</v>
      </c>
      <c r="M287" s="1">
        <f ca="1">IFERROR(__xludf.DUMMYFUNCTION("""COMPUTED_VALUE"""),133)</f>
        <v>133</v>
      </c>
      <c r="N287" s="1">
        <f ca="1">IFERROR(__xludf.DUMMYFUNCTION("""COMPUTED_VALUE"""),-0.28)</f>
        <v>-0.28000000000000003</v>
      </c>
      <c r="O287" s="1">
        <f ca="1">IFERROR(__xludf.DUMMYFUNCTION("""COMPUTED_VALUE"""),158)</f>
        <v>158</v>
      </c>
      <c r="P287" s="1">
        <f ca="1">IFERROR(__xludf.DUMMYFUNCTION("""COMPUTED_VALUE"""),104.2)</f>
        <v>104.2</v>
      </c>
      <c r="Q287" s="1">
        <f ca="1">IFERROR(__xludf.DUMMYFUNCTION("""COMPUTED_VALUE"""),140)</f>
        <v>140</v>
      </c>
      <c r="R287" s="1">
        <f ca="1">IFERROR(__xludf.DUMMYFUNCTION("""COMPUTED_VALUE"""),104.4)</f>
        <v>104.4</v>
      </c>
      <c r="S287" s="1">
        <f ca="1">IFERROR(__xludf.DUMMYFUNCTION("""COMPUTED_VALUE"""),189)</f>
        <v>189</v>
      </c>
      <c r="T287" s="1" t="str">
        <f ca="1">IFERROR(__xludf.DUMMYFUNCTION("""COMPUTED_VALUE"""),"+1.53")</f>
        <v>+1.53</v>
      </c>
      <c r="U287" s="1">
        <f ca="1">IFERROR(__xludf.DUMMYFUNCTION("""COMPUTED_VALUE"""),106)</f>
        <v>106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IFERROR(__xludf.DUMMYFUNCTION("""COMPUTED_VALUE"""),"South Dakota St.")</f>
        <v>South Dakota St.</v>
      </c>
      <c r="C288" s="1" t="str">
        <f ca="1">IFERROR(__xludf.DUMMYFUNCTION("""COMPUTED_VALUE"""),"Sum")</f>
        <v>Sum</v>
      </c>
      <c r="D288" s="2">
        <f ca="1">IFERROR(__xludf.DUMMYFUNCTION("""COMPUTED_VALUE"""),44794)</f>
        <v>44794</v>
      </c>
      <c r="E288" s="1">
        <f ca="1">IFERROR(__xludf.DUMMYFUNCTION("""COMPUTED_VALUE"""),-10.66)</f>
        <v>-10.66</v>
      </c>
      <c r="F288" s="1">
        <f ca="1">IFERROR(__xludf.DUMMYFUNCTION("""COMPUTED_VALUE"""),99)</f>
        <v>99</v>
      </c>
      <c r="G288" s="1">
        <f ca="1">IFERROR(__xludf.DUMMYFUNCTION("""COMPUTED_VALUE"""),238)</f>
        <v>238</v>
      </c>
      <c r="H288" s="1">
        <f ca="1">IFERROR(__xludf.DUMMYFUNCTION("""COMPUTED_VALUE"""),109.6)</f>
        <v>109.6</v>
      </c>
      <c r="I288" s="1">
        <f ca="1">IFERROR(__xludf.DUMMYFUNCTION("""COMPUTED_VALUE"""),284)</f>
        <v>284</v>
      </c>
      <c r="J288" s="1">
        <f ca="1">IFERROR(__xludf.DUMMYFUNCTION("""COMPUTED_VALUE"""),64.5)</f>
        <v>64.5</v>
      </c>
      <c r="K288" s="1">
        <f ca="1">IFERROR(__xludf.DUMMYFUNCTION("""COMPUTED_VALUE"""),195)</f>
        <v>195</v>
      </c>
      <c r="L288" s="1">
        <f ca="1">IFERROR(__xludf.DUMMYFUNCTION("""COMPUTED_VALUE"""),-0.066)</f>
        <v>-6.6000000000000003E-2</v>
      </c>
      <c r="M288" s="1">
        <f ca="1">IFERROR(__xludf.DUMMYFUNCTION("""COMPUTED_VALUE"""),316)</f>
        <v>316</v>
      </c>
      <c r="N288" s="1">
        <f ca="1">IFERROR(__xludf.DUMMYFUNCTION("""COMPUTED_VALUE"""),-3.37)</f>
        <v>-3.37</v>
      </c>
      <c r="O288" s="1">
        <f ca="1">IFERROR(__xludf.DUMMYFUNCTION("""COMPUTED_VALUE"""),229)</f>
        <v>229</v>
      </c>
      <c r="P288" s="1">
        <f ca="1">IFERROR(__xludf.DUMMYFUNCTION("""COMPUTED_VALUE"""),103.1)</f>
        <v>103.1</v>
      </c>
      <c r="Q288" s="1">
        <f ca="1">IFERROR(__xludf.DUMMYFUNCTION("""COMPUTED_VALUE"""),184)</f>
        <v>184</v>
      </c>
      <c r="R288" s="1">
        <f ca="1">IFERROR(__xludf.DUMMYFUNCTION("""COMPUTED_VALUE"""),106.5)</f>
        <v>106.5</v>
      </c>
      <c r="S288" s="1">
        <f ca="1">IFERROR(__xludf.DUMMYFUNCTION("""COMPUTED_VALUE"""),280)</f>
        <v>280</v>
      </c>
      <c r="T288" s="1">
        <f ca="1">IFERROR(__xludf.DUMMYFUNCTION("""COMPUTED_VALUE"""),-5.7)</f>
        <v>-5.7</v>
      </c>
      <c r="U288" s="1">
        <f ca="1">IFERROR(__xludf.DUMMYFUNCTION("""COMPUTED_VALUE"""),300)</f>
        <v>300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IFERROR(__xludf.DUMMYFUNCTION("""COMPUTED_VALUE"""),"Delaware St.")</f>
        <v>Delaware St.</v>
      </c>
      <c r="C289" s="1" t="str">
        <f ca="1">IFERROR(__xludf.DUMMYFUNCTION("""COMPUTED_VALUE"""),"MEAC")</f>
        <v>MEAC</v>
      </c>
      <c r="D289" s="1" t="str">
        <f ca="1">IFERROR(__xludf.DUMMYFUNCTION("""COMPUTED_VALUE"""),"14-16")</f>
        <v>14-16</v>
      </c>
      <c r="E289" s="1">
        <f ca="1">IFERROR(__xludf.DUMMYFUNCTION("""COMPUTED_VALUE"""),-11.16)</f>
        <v>-11.16</v>
      </c>
      <c r="F289" s="1">
        <f ca="1">IFERROR(__xludf.DUMMYFUNCTION("""COMPUTED_VALUE"""),101.3)</f>
        <v>101.3</v>
      </c>
      <c r="G289" s="1">
        <f ca="1">IFERROR(__xludf.DUMMYFUNCTION("""COMPUTED_VALUE"""),201)</f>
        <v>201</v>
      </c>
      <c r="H289" s="1">
        <f ca="1">IFERROR(__xludf.DUMMYFUNCTION("""COMPUTED_VALUE"""),112.5)</f>
        <v>112.5</v>
      </c>
      <c r="I289" s="1">
        <f ca="1">IFERROR(__xludf.DUMMYFUNCTION("""COMPUTED_VALUE"""),324)</f>
        <v>324</v>
      </c>
      <c r="J289" s="1">
        <f ca="1">IFERROR(__xludf.DUMMYFUNCTION("""COMPUTED_VALUE"""),55.5)</f>
        <v>55.5</v>
      </c>
      <c r="K289" s="1">
        <f ca="1">IFERROR(__xludf.DUMMYFUNCTION("""COMPUTED_VALUE"""),339)</f>
        <v>339</v>
      </c>
      <c r="L289" s="1" t="str">
        <f ca="1">IFERROR(__xludf.DUMMYFUNCTION("""COMPUTED_VALUE"""),"+.039")</f>
        <v>+.039</v>
      </c>
      <c r="M289" s="1">
        <f ca="1">IFERROR(__xludf.DUMMYFUNCTION("""COMPUTED_VALUE"""),81)</f>
        <v>81</v>
      </c>
      <c r="N289" s="1">
        <f ca="1">IFERROR(__xludf.DUMMYFUNCTION("""COMPUTED_VALUE"""),-6.23)</f>
        <v>-6.23</v>
      </c>
      <c r="O289" s="1">
        <f ca="1">IFERROR(__xludf.DUMMYFUNCTION("""COMPUTED_VALUE"""),286)</f>
        <v>286</v>
      </c>
      <c r="P289" s="1">
        <f ca="1">IFERROR(__xludf.DUMMYFUNCTION("""COMPUTED_VALUE"""),99.3)</f>
        <v>99.3</v>
      </c>
      <c r="Q289" s="1">
        <f ca="1">IFERROR(__xludf.DUMMYFUNCTION("""COMPUTED_VALUE"""),309)</f>
        <v>309</v>
      </c>
      <c r="R289" s="1">
        <f ca="1">IFERROR(__xludf.DUMMYFUNCTION("""COMPUTED_VALUE"""),105.5)</f>
        <v>105.5</v>
      </c>
      <c r="S289" s="1">
        <f ca="1">IFERROR(__xludf.DUMMYFUNCTION("""COMPUTED_VALUE"""),235)</f>
        <v>235</v>
      </c>
      <c r="T289" s="1" t="str">
        <f ca="1">IFERROR(__xludf.DUMMYFUNCTION("""COMPUTED_VALUE"""),"+12.36")</f>
        <v>+12.36</v>
      </c>
      <c r="U289" s="1">
        <f ca="1">IFERROR(__xludf.DUMMYFUNCTION("""COMPUTED_VALUE"""),6)</f>
        <v>6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IFERROR(__xludf.DUMMYFUNCTION("""COMPUTED_VALUE"""),"New Hampshire")</f>
        <v>New Hampshire</v>
      </c>
      <c r="C290" s="1" t="str">
        <f ca="1">IFERROR(__xludf.DUMMYFUNCTION("""COMPUTED_VALUE"""),"AE")</f>
        <v>AE</v>
      </c>
      <c r="D290" s="2">
        <f ca="1">IFERROR(__xludf.DUMMYFUNCTION("""COMPUTED_VALUE"""),44824)</f>
        <v>44824</v>
      </c>
      <c r="E290" s="1">
        <f ca="1">IFERROR(__xludf.DUMMYFUNCTION("""COMPUTED_VALUE"""),-11.35)</f>
        <v>-11.35</v>
      </c>
      <c r="F290" s="1">
        <f ca="1">IFERROR(__xludf.DUMMYFUNCTION("""COMPUTED_VALUE"""),97.2)</f>
        <v>97.2</v>
      </c>
      <c r="G290" s="1">
        <f ca="1">IFERROR(__xludf.DUMMYFUNCTION("""COMPUTED_VALUE"""),264)</f>
        <v>264</v>
      </c>
      <c r="H290" s="1">
        <f ca="1">IFERROR(__xludf.DUMMYFUNCTION("""COMPUTED_VALUE"""),108.5)</f>
        <v>108.5</v>
      </c>
      <c r="I290" s="1">
        <f ca="1">IFERROR(__xludf.DUMMYFUNCTION("""COMPUTED_VALUE"""),263)</f>
        <v>263</v>
      </c>
      <c r="J290" s="1">
        <f ca="1">IFERROR(__xludf.DUMMYFUNCTION("""COMPUTED_VALUE"""),65.1)</f>
        <v>65.099999999999994</v>
      </c>
      <c r="K290" s="1">
        <f ca="1">IFERROR(__xludf.DUMMYFUNCTION("""COMPUTED_VALUE"""),168)</f>
        <v>168</v>
      </c>
      <c r="L290" s="1">
        <f ca="1">IFERROR(__xludf.DUMMYFUNCTION("""COMPUTED_VALUE"""),-0.05)</f>
        <v>-0.05</v>
      </c>
      <c r="M290" s="1">
        <f ca="1">IFERROR(__xludf.DUMMYFUNCTION("""COMPUTED_VALUE"""),291)</f>
        <v>291</v>
      </c>
      <c r="N290" s="1">
        <f ca="1">IFERROR(__xludf.DUMMYFUNCTION("""COMPUTED_VALUE"""),-6.18)</f>
        <v>-6.18</v>
      </c>
      <c r="O290" s="1">
        <f ca="1">IFERROR(__xludf.DUMMYFUNCTION("""COMPUTED_VALUE"""),284)</f>
        <v>284</v>
      </c>
      <c r="P290" s="1">
        <f ca="1">IFERROR(__xludf.DUMMYFUNCTION("""COMPUTED_VALUE"""),100.9)</f>
        <v>100.9</v>
      </c>
      <c r="Q290" s="1">
        <f ca="1">IFERROR(__xludf.DUMMYFUNCTION("""COMPUTED_VALUE"""),267)</f>
        <v>267</v>
      </c>
      <c r="R290" s="1">
        <f ca="1">IFERROR(__xludf.DUMMYFUNCTION("""COMPUTED_VALUE"""),107.1)</f>
        <v>107.1</v>
      </c>
      <c r="S290" s="1">
        <f ca="1">IFERROR(__xludf.DUMMYFUNCTION("""COMPUTED_VALUE"""),304)</f>
        <v>304</v>
      </c>
      <c r="T290" s="1">
        <f ca="1">IFERROR(__xludf.DUMMYFUNCTION("""COMPUTED_VALUE"""),-4.43)</f>
        <v>-4.43</v>
      </c>
      <c r="U290" s="1">
        <f ca="1">IFERROR(__xludf.DUMMYFUNCTION("""COMPUTED_VALUE"""),278)</f>
        <v>278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IFERROR(__xludf.DUMMYFUNCTION("""COMPUTED_VALUE"""),"Saint Peter's")</f>
        <v>Saint Peter's</v>
      </c>
      <c r="C291" s="1" t="str">
        <f ca="1">IFERROR(__xludf.DUMMYFUNCTION("""COMPUTED_VALUE"""),"MAAC")</f>
        <v>MAAC</v>
      </c>
      <c r="D291" s="2">
        <f ca="1">IFERROR(__xludf.DUMMYFUNCTION("""COMPUTED_VALUE"""),44736)</f>
        <v>44736</v>
      </c>
      <c r="E291" s="1">
        <f ca="1">IFERROR(__xludf.DUMMYFUNCTION("""COMPUTED_VALUE"""),-11.42)</f>
        <v>-11.42</v>
      </c>
      <c r="F291" s="1">
        <f ca="1">IFERROR(__xludf.DUMMYFUNCTION("""COMPUTED_VALUE"""),94.8)</f>
        <v>94.8</v>
      </c>
      <c r="G291" s="1">
        <f ca="1">IFERROR(__xludf.DUMMYFUNCTION("""COMPUTED_VALUE"""),300)</f>
        <v>300</v>
      </c>
      <c r="H291" s="1">
        <f ca="1">IFERROR(__xludf.DUMMYFUNCTION("""COMPUTED_VALUE"""),106.2)</f>
        <v>106.2</v>
      </c>
      <c r="I291" s="1">
        <f ca="1">IFERROR(__xludf.DUMMYFUNCTION("""COMPUTED_VALUE"""),217)</f>
        <v>217</v>
      </c>
      <c r="J291" s="1">
        <f ca="1">IFERROR(__xludf.DUMMYFUNCTION("""COMPUTED_VALUE"""),67.1)</f>
        <v>67.099999999999994</v>
      </c>
      <c r="K291" s="1">
        <f ca="1">IFERROR(__xludf.DUMMYFUNCTION("""COMPUTED_VALUE"""),103)</f>
        <v>103</v>
      </c>
      <c r="L291" s="1">
        <f ca="1">IFERROR(__xludf.DUMMYFUNCTION("""COMPUTED_VALUE"""),-0.05)</f>
        <v>-0.05</v>
      </c>
      <c r="M291" s="1">
        <f ca="1">IFERROR(__xludf.DUMMYFUNCTION("""COMPUTED_VALUE"""),292)</f>
        <v>292</v>
      </c>
      <c r="N291" s="1">
        <f ca="1">IFERROR(__xludf.DUMMYFUNCTION("""COMPUTED_VALUE"""),-3.37)</f>
        <v>-3.37</v>
      </c>
      <c r="O291" s="1">
        <f ca="1">IFERROR(__xludf.DUMMYFUNCTION("""COMPUTED_VALUE"""),228)</f>
        <v>228</v>
      </c>
      <c r="P291" s="1">
        <f ca="1">IFERROR(__xludf.DUMMYFUNCTION("""COMPUTED_VALUE"""),103)</f>
        <v>103</v>
      </c>
      <c r="Q291" s="1">
        <f ca="1">IFERROR(__xludf.DUMMYFUNCTION("""COMPUTED_VALUE"""),189)</f>
        <v>189</v>
      </c>
      <c r="R291" s="1">
        <f ca="1">IFERROR(__xludf.DUMMYFUNCTION("""COMPUTED_VALUE"""),106.3)</f>
        <v>106.3</v>
      </c>
      <c r="S291" s="1">
        <f ca="1">IFERROR(__xludf.DUMMYFUNCTION("""COMPUTED_VALUE"""),276)</f>
        <v>276</v>
      </c>
      <c r="T291" s="1">
        <f ca="1">IFERROR(__xludf.DUMMYFUNCTION("""COMPUTED_VALUE"""),-4.8)</f>
        <v>-4.8</v>
      </c>
      <c r="U291" s="1">
        <f ca="1">IFERROR(__xludf.DUMMYFUNCTION("""COMPUTED_VALUE"""),284)</f>
        <v>284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IFERROR(__xludf.DUMMYFUNCTION("""COMPUTED_VALUE"""),"Eastern Kentucky")</f>
        <v>Eastern Kentucky</v>
      </c>
      <c r="C292" s="1" t="str">
        <f ca="1">IFERROR(__xludf.DUMMYFUNCTION("""COMPUTED_VALUE"""),"OVC")</f>
        <v>OVC</v>
      </c>
      <c r="D292" s="1" t="str">
        <f ca="1">IFERROR(__xludf.DUMMYFUNCTION("""COMPUTED_VALUE"""),"14-16")</f>
        <v>14-16</v>
      </c>
      <c r="E292" s="1">
        <f ca="1">IFERROR(__xludf.DUMMYFUNCTION("""COMPUTED_VALUE"""),-11.48)</f>
        <v>-11.48</v>
      </c>
      <c r="F292" s="1">
        <f ca="1">IFERROR(__xludf.DUMMYFUNCTION("""COMPUTED_VALUE"""),97.6)</f>
        <v>97.6</v>
      </c>
      <c r="G292" s="1">
        <f ca="1">IFERROR(__xludf.DUMMYFUNCTION("""COMPUTED_VALUE"""),258)</f>
        <v>258</v>
      </c>
      <c r="H292" s="1">
        <f ca="1">IFERROR(__xludf.DUMMYFUNCTION("""COMPUTED_VALUE"""),109.1)</f>
        <v>109.1</v>
      </c>
      <c r="I292" s="1">
        <f ca="1">IFERROR(__xludf.DUMMYFUNCTION("""COMPUTED_VALUE"""),274)</f>
        <v>274</v>
      </c>
      <c r="J292" s="1">
        <f ca="1">IFERROR(__xludf.DUMMYFUNCTION("""COMPUTED_VALUE"""),60)</f>
        <v>60</v>
      </c>
      <c r="K292" s="1">
        <f ca="1">IFERROR(__xludf.DUMMYFUNCTION("""COMPUTED_VALUE"""),323)</f>
        <v>323</v>
      </c>
      <c r="L292" s="1" t="str">
        <f ca="1">IFERROR(__xludf.DUMMYFUNCTION("""COMPUTED_VALUE"""),"+.026")</f>
        <v>+.026</v>
      </c>
      <c r="M292" s="1">
        <f ca="1">IFERROR(__xludf.DUMMYFUNCTION("""COMPUTED_VALUE"""),109)</f>
        <v>109</v>
      </c>
      <c r="N292" s="1">
        <f ca="1">IFERROR(__xludf.DUMMYFUNCTION("""COMPUTED_VALUE"""),-7.78)</f>
        <v>-7.78</v>
      </c>
      <c r="O292" s="1">
        <f ca="1">IFERROR(__xludf.DUMMYFUNCTION("""COMPUTED_VALUE"""),311)</f>
        <v>311</v>
      </c>
      <c r="P292" s="1">
        <f ca="1">IFERROR(__xludf.DUMMYFUNCTION("""COMPUTED_VALUE"""),101.1)</f>
        <v>101.1</v>
      </c>
      <c r="Q292" s="1">
        <f ca="1">IFERROR(__xludf.DUMMYFUNCTION("""COMPUTED_VALUE"""),261)</f>
        <v>261</v>
      </c>
      <c r="R292" s="1">
        <f ca="1">IFERROR(__xludf.DUMMYFUNCTION("""COMPUTED_VALUE"""),108.9)</f>
        <v>108.9</v>
      </c>
      <c r="S292" s="1">
        <f ca="1">IFERROR(__xludf.DUMMYFUNCTION("""COMPUTED_VALUE"""),336)</f>
        <v>336</v>
      </c>
      <c r="T292" s="1" t="str">
        <f ca="1">IFERROR(__xludf.DUMMYFUNCTION("""COMPUTED_VALUE"""),"+2.47")</f>
        <v>+2.47</v>
      </c>
      <c r="U292" s="1">
        <f ca="1">IFERROR(__xludf.DUMMYFUNCTION("""COMPUTED_VALUE"""),82)</f>
        <v>82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IFERROR(__xludf.DUMMYFUNCTION("""COMPUTED_VALUE"""),"Central Arkansas")</f>
        <v>Central Arkansas</v>
      </c>
      <c r="C293" s="1" t="str">
        <f ca="1">IFERROR(__xludf.DUMMYFUNCTION("""COMPUTED_VALUE"""),"Slnd")</f>
        <v>Slnd</v>
      </c>
      <c r="D293" s="1" t="str">
        <f ca="1">IFERROR(__xludf.DUMMYFUNCTION("""COMPUTED_VALUE"""),"14-16")</f>
        <v>14-16</v>
      </c>
      <c r="E293" s="1">
        <f ca="1">IFERROR(__xludf.DUMMYFUNCTION("""COMPUTED_VALUE"""),-11.66)</f>
        <v>-11.66</v>
      </c>
      <c r="F293" s="1">
        <f ca="1">IFERROR(__xludf.DUMMYFUNCTION("""COMPUTED_VALUE"""),94.2)</f>
        <v>94.2</v>
      </c>
      <c r="G293" s="1">
        <f ca="1">IFERROR(__xludf.DUMMYFUNCTION("""COMPUTED_VALUE"""),306)</f>
        <v>306</v>
      </c>
      <c r="H293" s="1">
        <f ca="1">IFERROR(__xludf.DUMMYFUNCTION("""COMPUTED_VALUE"""),105.8)</f>
        <v>105.8</v>
      </c>
      <c r="I293" s="1">
        <f ca="1">IFERROR(__xludf.DUMMYFUNCTION("""COMPUTED_VALUE"""),210)</f>
        <v>210</v>
      </c>
      <c r="J293" s="1">
        <f ca="1">IFERROR(__xludf.DUMMYFUNCTION("""COMPUTED_VALUE"""),65.1)</f>
        <v>65.099999999999994</v>
      </c>
      <c r="K293" s="1">
        <f ca="1">IFERROR(__xludf.DUMMYFUNCTION("""COMPUTED_VALUE"""),175)</f>
        <v>175</v>
      </c>
      <c r="L293" s="1" t="str">
        <f ca="1">IFERROR(__xludf.DUMMYFUNCTION("""COMPUTED_VALUE"""),"+.028")</f>
        <v>+.028</v>
      </c>
      <c r="M293" s="1">
        <f ca="1">IFERROR(__xludf.DUMMYFUNCTION("""COMPUTED_VALUE"""),102)</f>
        <v>102</v>
      </c>
      <c r="N293" s="1">
        <f ca="1">IFERROR(__xludf.DUMMYFUNCTION("""COMPUTED_VALUE"""),-6.19)</f>
        <v>-6.19</v>
      </c>
      <c r="O293" s="1">
        <f ca="1">IFERROR(__xludf.DUMMYFUNCTION("""COMPUTED_VALUE"""),285)</f>
        <v>285</v>
      </c>
      <c r="P293" s="1">
        <f ca="1">IFERROR(__xludf.DUMMYFUNCTION("""COMPUTED_VALUE"""),99.5)</f>
        <v>99.5</v>
      </c>
      <c r="Q293" s="1">
        <f ca="1">IFERROR(__xludf.DUMMYFUNCTION("""COMPUTED_VALUE"""),301)</f>
        <v>301</v>
      </c>
      <c r="R293" s="1">
        <f ca="1">IFERROR(__xludf.DUMMYFUNCTION("""COMPUTED_VALUE"""),105.7)</f>
        <v>105.7</v>
      </c>
      <c r="S293" s="1">
        <f ca="1">IFERROR(__xludf.DUMMYFUNCTION("""COMPUTED_VALUE"""),241)</f>
        <v>241</v>
      </c>
      <c r="T293" s="1">
        <f ca="1">IFERROR(__xludf.DUMMYFUNCTION("""COMPUTED_VALUE"""),-6.95)</f>
        <v>-6.95</v>
      </c>
      <c r="U293" s="1">
        <f ca="1">IFERROR(__xludf.DUMMYFUNCTION("""COMPUTED_VALUE"""),313)</f>
        <v>313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IFERROR(__xludf.DUMMYFUNCTION("""COMPUTED_VALUE"""),"Harvard")</f>
        <v>Harvard</v>
      </c>
      <c r="C294" s="1" t="str">
        <f ca="1">IFERROR(__xludf.DUMMYFUNCTION("""COMPUTED_VALUE"""),"Ivy")</f>
        <v>Ivy</v>
      </c>
      <c r="D294" s="2">
        <f ca="1">IFERROR(__xludf.DUMMYFUNCTION("""COMPUTED_VALUE"""),44795)</f>
        <v>44795</v>
      </c>
      <c r="E294" s="1">
        <f ca="1">IFERROR(__xludf.DUMMYFUNCTION("""COMPUTED_VALUE"""),-11.73)</f>
        <v>-11.73</v>
      </c>
      <c r="F294" s="1">
        <f ca="1">IFERROR(__xludf.DUMMYFUNCTION("""COMPUTED_VALUE"""),99.7)</f>
        <v>99.7</v>
      </c>
      <c r="G294" s="1">
        <f ca="1">IFERROR(__xludf.DUMMYFUNCTION("""COMPUTED_VALUE"""),230)</f>
        <v>230</v>
      </c>
      <c r="H294" s="1">
        <f ca="1">IFERROR(__xludf.DUMMYFUNCTION("""COMPUTED_VALUE"""),111.5)</f>
        <v>111.5</v>
      </c>
      <c r="I294" s="1">
        <f ca="1">IFERROR(__xludf.DUMMYFUNCTION("""COMPUTED_VALUE"""),310)</f>
        <v>310</v>
      </c>
      <c r="J294" s="1">
        <f ca="1">IFERROR(__xludf.DUMMYFUNCTION("""COMPUTED_VALUE"""),67)</f>
        <v>67</v>
      </c>
      <c r="K294" s="1">
        <f ca="1">IFERROR(__xludf.DUMMYFUNCTION("""COMPUTED_VALUE"""),105)</f>
        <v>105</v>
      </c>
      <c r="L294" s="1">
        <f ca="1">IFERROR(__xludf.DUMMYFUNCTION("""COMPUTED_VALUE"""),-0.095)</f>
        <v>-9.5000000000000001E-2</v>
      </c>
      <c r="M294" s="1">
        <f ca="1">IFERROR(__xludf.DUMMYFUNCTION("""COMPUTED_VALUE"""),334)</f>
        <v>334</v>
      </c>
      <c r="N294" s="1">
        <f ca="1">IFERROR(__xludf.DUMMYFUNCTION("""COMPUTED_VALUE"""),-4.91)</f>
        <v>-4.91</v>
      </c>
      <c r="O294" s="1">
        <f ca="1">IFERROR(__xludf.DUMMYFUNCTION("""COMPUTED_VALUE"""),256)</f>
        <v>256</v>
      </c>
      <c r="P294" s="1">
        <f ca="1">IFERROR(__xludf.DUMMYFUNCTION("""COMPUTED_VALUE"""),100.6)</f>
        <v>100.6</v>
      </c>
      <c r="Q294" s="1">
        <f ca="1">IFERROR(__xludf.DUMMYFUNCTION("""COMPUTED_VALUE"""),277)</f>
        <v>277</v>
      </c>
      <c r="R294" s="1">
        <f ca="1">IFERROR(__xludf.DUMMYFUNCTION("""COMPUTED_VALUE"""),105.5)</f>
        <v>105.5</v>
      </c>
      <c r="S294" s="1">
        <f ca="1">IFERROR(__xludf.DUMMYFUNCTION("""COMPUTED_VALUE"""),231)</f>
        <v>231</v>
      </c>
      <c r="T294" s="1">
        <f ca="1">IFERROR(__xludf.DUMMYFUNCTION("""COMPUTED_VALUE"""),-1.9)</f>
        <v>-1.9</v>
      </c>
      <c r="U294" s="1">
        <f ca="1">IFERROR(__xludf.DUMMYFUNCTION("""COMPUTED_VALUE"""),204)</f>
        <v>204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IFERROR(__xludf.DUMMYFUNCTION("""COMPUTED_VALUE"""),"Mercer")</f>
        <v>Mercer</v>
      </c>
      <c r="C297" s="1" t="str">
        <f ca="1">IFERROR(__xludf.DUMMYFUNCTION("""COMPUTED_VALUE"""),"ASun")</f>
        <v>ASun</v>
      </c>
      <c r="D297" s="2">
        <f ca="1">IFERROR(__xludf.DUMMYFUNCTION("""COMPUTED_VALUE"""),44884)</f>
        <v>44884</v>
      </c>
      <c r="E297" s="1">
        <f ca="1">IFERROR(__xludf.DUMMYFUNCTION("""COMPUTED_VALUE"""),-11.85)</f>
        <v>-11.85</v>
      </c>
      <c r="F297" s="1">
        <f ca="1">IFERROR(__xludf.DUMMYFUNCTION("""COMPUTED_VALUE"""),97.6)</f>
        <v>97.6</v>
      </c>
      <c r="G297" s="1">
        <f ca="1">IFERROR(__xludf.DUMMYFUNCTION("""COMPUTED_VALUE"""),257)</f>
        <v>257</v>
      </c>
      <c r="H297" s="1">
        <f ca="1">IFERROR(__xludf.DUMMYFUNCTION("""COMPUTED_VALUE"""),109.5)</f>
        <v>109.5</v>
      </c>
      <c r="I297" s="1">
        <f ca="1">IFERROR(__xludf.DUMMYFUNCTION("""COMPUTED_VALUE"""),283)</f>
        <v>283</v>
      </c>
      <c r="J297" s="1">
        <f ca="1">IFERROR(__xludf.DUMMYFUNCTION("""COMPUTED_VALUE"""),70.9)</f>
        <v>70.900000000000006</v>
      </c>
      <c r="K297" s="1">
        <f ca="1">IFERROR(__xludf.DUMMYFUNCTION("""COMPUTED_VALUE"""),17)</f>
        <v>17</v>
      </c>
      <c r="L297" s="1">
        <f ca="1">IFERROR(__xludf.DUMMYFUNCTION("""COMPUTED_VALUE"""),-0.046)</f>
        <v>-4.5999999999999999E-2</v>
      </c>
      <c r="M297" s="1">
        <f ca="1">IFERROR(__xludf.DUMMYFUNCTION("""COMPUTED_VALUE"""),287)</f>
        <v>287</v>
      </c>
      <c r="N297" s="1">
        <f ca="1">IFERROR(__xludf.DUMMYFUNCTION("""COMPUTED_VALUE"""),-8.2)</f>
        <v>-8.1999999999999993</v>
      </c>
      <c r="O297" s="1">
        <f ca="1">IFERROR(__xludf.DUMMYFUNCTION("""COMPUTED_VALUE"""),316)</f>
        <v>316</v>
      </c>
      <c r="P297" s="1">
        <f ca="1">IFERROR(__xludf.DUMMYFUNCTION("""COMPUTED_VALUE"""),99.6)</f>
        <v>99.6</v>
      </c>
      <c r="Q297" s="1">
        <f ca="1">IFERROR(__xludf.DUMMYFUNCTION("""COMPUTED_VALUE"""),300)</f>
        <v>300</v>
      </c>
      <c r="R297" s="1">
        <f ca="1">IFERROR(__xludf.DUMMYFUNCTION("""COMPUTED_VALUE"""),107.8)</f>
        <v>107.8</v>
      </c>
      <c r="S297" s="1">
        <f ca="1">IFERROR(__xludf.DUMMYFUNCTION("""COMPUTED_VALUE"""),320)</f>
        <v>320</v>
      </c>
      <c r="T297" s="1">
        <f ca="1">IFERROR(__xludf.DUMMYFUNCTION("""COMPUTED_VALUE"""),-3.75)</f>
        <v>-3.75</v>
      </c>
      <c r="U297" s="1">
        <f ca="1">IFERROR(__xludf.DUMMYFUNCTION("""COMPUTED_VALUE"""),267)</f>
        <v>267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IFERROR(__xludf.DUMMYFUNCTION("""COMPUTED_VALUE"""),"UTSA")</f>
        <v>UTSA</v>
      </c>
      <c r="C298" s="1" t="str">
        <f ca="1">IFERROR(__xludf.DUMMYFUNCTION("""COMPUTED_VALUE"""),"Slnd")</f>
        <v>Slnd</v>
      </c>
      <c r="D298" s="1" t="str">
        <f ca="1">IFERROR(__xludf.DUMMYFUNCTION("""COMPUTED_VALUE"""),"13-17")</f>
        <v>13-17</v>
      </c>
      <c r="E298" s="1">
        <f ca="1">IFERROR(__xludf.DUMMYFUNCTION("""COMPUTED_VALUE"""),-11.88)</f>
        <v>-11.88</v>
      </c>
      <c r="F298" s="1">
        <f ca="1">IFERROR(__xludf.DUMMYFUNCTION("""COMPUTED_VALUE"""),94.6)</f>
        <v>94.6</v>
      </c>
      <c r="G298" s="1">
        <f ca="1">IFERROR(__xludf.DUMMYFUNCTION("""COMPUTED_VALUE"""),301)</f>
        <v>301</v>
      </c>
      <c r="H298" s="1">
        <f ca="1">IFERROR(__xludf.DUMMYFUNCTION("""COMPUTED_VALUE"""),106.5)</f>
        <v>106.5</v>
      </c>
      <c r="I298" s="1">
        <f ca="1">IFERROR(__xludf.DUMMYFUNCTION("""COMPUTED_VALUE"""),223)</f>
        <v>223</v>
      </c>
      <c r="J298" s="1">
        <f ca="1">IFERROR(__xludf.DUMMYFUNCTION("""COMPUTED_VALUE"""),63.4)</f>
        <v>63.4</v>
      </c>
      <c r="K298" s="1">
        <f ca="1">IFERROR(__xludf.DUMMYFUNCTION("""COMPUTED_VALUE"""),244)</f>
        <v>244</v>
      </c>
      <c r="L298" s="1" t="str">
        <f ca="1">IFERROR(__xludf.DUMMYFUNCTION("""COMPUTED_VALUE"""),"+.063")</f>
        <v>+.063</v>
      </c>
      <c r="M298" s="1">
        <f ca="1">IFERROR(__xludf.DUMMYFUNCTION("""COMPUTED_VALUE"""),39)</f>
        <v>39</v>
      </c>
      <c r="N298" s="1">
        <f ca="1">IFERROR(__xludf.DUMMYFUNCTION("""COMPUTED_VALUE"""),-2.28)</f>
        <v>-2.2799999999999998</v>
      </c>
      <c r="O298" s="1">
        <f ca="1">IFERROR(__xludf.DUMMYFUNCTION("""COMPUTED_VALUE"""),199)</f>
        <v>199</v>
      </c>
      <c r="P298" s="1">
        <f ca="1">IFERROR(__xludf.DUMMYFUNCTION("""COMPUTED_VALUE"""),101.5)</f>
        <v>101.5</v>
      </c>
      <c r="Q298" s="1">
        <f ca="1">IFERROR(__xludf.DUMMYFUNCTION("""COMPUTED_VALUE"""),245)</f>
        <v>245</v>
      </c>
      <c r="R298" s="1">
        <f ca="1">IFERROR(__xludf.DUMMYFUNCTION("""COMPUTED_VALUE"""),103.8)</f>
        <v>103.8</v>
      </c>
      <c r="S298" s="1">
        <f ca="1">IFERROR(__xludf.DUMMYFUNCTION("""COMPUTED_VALUE"""),163)</f>
        <v>163</v>
      </c>
      <c r="T298" s="1" t="str">
        <f ca="1">IFERROR(__xludf.DUMMYFUNCTION("""COMPUTED_VALUE"""),"+2.44")</f>
        <v>+2.44</v>
      </c>
      <c r="U298" s="1">
        <f ca="1">IFERROR(__xludf.DUMMYFUNCTION("""COMPUTED_VALUE"""),84)</f>
        <v>84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IFERROR(__xludf.DUMMYFUNCTION("""COMPUTED_VALUE"""),"SMU")</f>
        <v>SMU</v>
      </c>
      <c r="C299" s="1" t="str">
        <f ca="1">IFERROR(__xludf.DUMMYFUNCTION("""COMPUTED_VALUE"""),"CUSA")</f>
        <v>CUSA</v>
      </c>
      <c r="D299" s="2">
        <f ca="1">IFERROR(__xludf.DUMMYFUNCTION("""COMPUTED_VALUE"""),44854)</f>
        <v>44854</v>
      </c>
      <c r="E299" s="1">
        <f ca="1">IFERROR(__xludf.DUMMYFUNCTION("""COMPUTED_VALUE"""),-12.04)</f>
        <v>-12.04</v>
      </c>
      <c r="F299" s="1">
        <f ca="1">IFERROR(__xludf.DUMMYFUNCTION("""COMPUTED_VALUE"""),95)</f>
        <v>95</v>
      </c>
      <c r="G299" s="1">
        <f ca="1">IFERROR(__xludf.DUMMYFUNCTION("""COMPUTED_VALUE"""),296)</f>
        <v>296</v>
      </c>
      <c r="H299" s="1">
        <f ca="1">IFERROR(__xludf.DUMMYFUNCTION("""COMPUTED_VALUE"""),107)</f>
        <v>107</v>
      </c>
      <c r="I299" s="1">
        <f ca="1">IFERROR(__xludf.DUMMYFUNCTION("""COMPUTED_VALUE"""),234)</f>
        <v>234</v>
      </c>
      <c r="J299" s="1">
        <f ca="1">IFERROR(__xludf.DUMMYFUNCTION("""COMPUTED_VALUE"""),64.5)</f>
        <v>64.5</v>
      </c>
      <c r="K299" s="1">
        <f ca="1">IFERROR(__xludf.DUMMYFUNCTION("""COMPUTED_VALUE"""),194)</f>
        <v>194</v>
      </c>
      <c r="L299" s="1" t="str">
        <f ca="1">IFERROR(__xludf.DUMMYFUNCTION("""COMPUTED_VALUE"""),"+.054")</f>
        <v>+.054</v>
      </c>
      <c r="M299" s="1">
        <f ca="1">IFERROR(__xludf.DUMMYFUNCTION("""COMPUTED_VALUE"""),50)</f>
        <v>50</v>
      </c>
      <c r="N299" s="1">
        <f ca="1">IFERROR(__xludf.DUMMYFUNCTION("""COMPUTED_VALUE"""),-0.07)</f>
        <v>-7.0000000000000007E-2</v>
      </c>
      <c r="O299" s="1">
        <f ca="1">IFERROR(__xludf.DUMMYFUNCTION("""COMPUTED_VALUE"""),157)</f>
        <v>157</v>
      </c>
      <c r="P299" s="1">
        <f ca="1">IFERROR(__xludf.DUMMYFUNCTION("""COMPUTED_VALUE"""),103)</f>
        <v>103</v>
      </c>
      <c r="Q299" s="1">
        <f ca="1">IFERROR(__xludf.DUMMYFUNCTION("""COMPUTED_VALUE"""),190)</f>
        <v>190</v>
      </c>
      <c r="R299" s="1">
        <f ca="1">IFERROR(__xludf.DUMMYFUNCTION("""COMPUTED_VALUE"""),103)</f>
        <v>103</v>
      </c>
      <c r="S299" s="1">
        <f ca="1">IFERROR(__xludf.DUMMYFUNCTION("""COMPUTED_VALUE"""),146)</f>
        <v>146</v>
      </c>
      <c r="T299" s="1">
        <f ca="1">IFERROR(__xludf.DUMMYFUNCTION("""COMPUTED_VALUE"""),-10.17)</f>
        <v>-10.17</v>
      </c>
      <c r="U299" s="1">
        <f ca="1">IFERROR(__xludf.DUMMYFUNCTION("""COMPUTED_VALUE"""),335)</f>
        <v>335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IFERROR(__xludf.DUMMYFUNCTION("""COMPUTED_VALUE"""),"USC Upstate")</f>
        <v>USC Upstate</v>
      </c>
      <c r="C300" s="1" t="str">
        <f ca="1">IFERROR(__xludf.DUMMYFUNCTION("""COMPUTED_VALUE"""),"ASun")</f>
        <v>ASun</v>
      </c>
      <c r="D300" s="2">
        <f ca="1">IFERROR(__xludf.DUMMYFUNCTION("""COMPUTED_VALUE"""),44765)</f>
        <v>44765</v>
      </c>
      <c r="E300" s="1">
        <f ca="1">IFERROR(__xludf.DUMMYFUNCTION("""COMPUTED_VALUE"""),-12.15)</f>
        <v>-12.15</v>
      </c>
      <c r="F300" s="1">
        <f ca="1">IFERROR(__xludf.DUMMYFUNCTION("""COMPUTED_VALUE"""),93.7)</f>
        <v>93.7</v>
      </c>
      <c r="G300" s="1">
        <f ca="1">IFERROR(__xludf.DUMMYFUNCTION("""COMPUTED_VALUE"""),309)</f>
        <v>309</v>
      </c>
      <c r="H300" s="1">
        <f ca="1">IFERROR(__xludf.DUMMYFUNCTION("""COMPUTED_VALUE"""),105.8)</f>
        <v>105.8</v>
      </c>
      <c r="I300" s="1">
        <f ca="1">IFERROR(__xludf.DUMMYFUNCTION("""COMPUTED_VALUE"""),208)</f>
        <v>208</v>
      </c>
      <c r="J300" s="1">
        <f ca="1">IFERROR(__xludf.DUMMYFUNCTION("""COMPUTED_VALUE"""),63.4)</f>
        <v>63.4</v>
      </c>
      <c r="K300" s="1">
        <f ca="1">IFERROR(__xludf.DUMMYFUNCTION("""COMPUTED_VALUE"""),247)</f>
        <v>247</v>
      </c>
      <c r="L300" s="1">
        <f ca="1">IFERROR(__xludf.DUMMYFUNCTION("""COMPUTED_VALUE"""),-0.062)</f>
        <v>-6.2E-2</v>
      </c>
      <c r="M300" s="1">
        <f ca="1">IFERROR(__xludf.DUMMYFUNCTION("""COMPUTED_VALUE"""),308)</f>
        <v>308</v>
      </c>
      <c r="N300" s="1">
        <f ca="1">IFERROR(__xludf.DUMMYFUNCTION("""COMPUTED_VALUE"""),-1.21)</f>
        <v>-1.21</v>
      </c>
      <c r="O300" s="1">
        <f ca="1">IFERROR(__xludf.DUMMYFUNCTION("""COMPUTED_VALUE"""),181)</f>
        <v>181</v>
      </c>
      <c r="P300" s="1">
        <f ca="1">IFERROR(__xludf.DUMMYFUNCTION("""COMPUTED_VALUE"""),102.9)</f>
        <v>102.9</v>
      </c>
      <c r="Q300" s="1">
        <f ca="1">IFERROR(__xludf.DUMMYFUNCTION("""COMPUTED_VALUE"""),192)</f>
        <v>192</v>
      </c>
      <c r="R300" s="1">
        <f ca="1">IFERROR(__xludf.DUMMYFUNCTION("""COMPUTED_VALUE"""),104.1)</f>
        <v>104.1</v>
      </c>
      <c r="S300" s="1">
        <f ca="1">IFERROR(__xludf.DUMMYFUNCTION("""COMPUTED_VALUE"""),171)</f>
        <v>171</v>
      </c>
      <c r="T300" s="1" t="str">
        <f ca="1">IFERROR(__xludf.DUMMYFUNCTION("""COMPUTED_VALUE"""),"+8.17")</f>
        <v>+8.17</v>
      </c>
      <c r="U300" s="1">
        <f ca="1">IFERROR(__xludf.DUMMYFUNCTION("""COMPUTED_VALUE"""),14)</f>
        <v>14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IFERROR(__xludf.DUMMYFUNCTION("""COMPUTED_VALUE"""),"Savannah St.")</f>
        <v>Savannah St.</v>
      </c>
      <c r="C301" s="1" t="str">
        <f ca="1">IFERROR(__xludf.DUMMYFUNCTION("""COMPUTED_VALUE"""),"ind")</f>
        <v>ind</v>
      </c>
      <c r="D301" s="1" t="str">
        <f ca="1">IFERROR(__xludf.DUMMYFUNCTION("""COMPUTED_VALUE"""),"13-18")</f>
        <v>13-18</v>
      </c>
      <c r="E301" s="1">
        <f ca="1">IFERROR(__xludf.DUMMYFUNCTION("""COMPUTED_VALUE"""),-12.29)</f>
        <v>-12.29</v>
      </c>
      <c r="F301" s="1">
        <f ca="1">IFERROR(__xludf.DUMMYFUNCTION("""COMPUTED_VALUE"""),88.1)</f>
        <v>88.1</v>
      </c>
      <c r="G301" s="1">
        <f ca="1">IFERROR(__xludf.DUMMYFUNCTION("""COMPUTED_VALUE"""),334)</f>
        <v>334</v>
      </c>
      <c r="H301" s="1">
        <f ca="1">IFERROR(__xludf.DUMMYFUNCTION("""COMPUTED_VALUE"""),100.4)</f>
        <v>100.4</v>
      </c>
      <c r="I301" s="1">
        <f ca="1">IFERROR(__xludf.DUMMYFUNCTION("""COMPUTED_VALUE"""),99)</f>
        <v>99</v>
      </c>
      <c r="J301" s="1">
        <f ca="1">IFERROR(__xludf.DUMMYFUNCTION("""COMPUTED_VALUE"""),66.3)</f>
        <v>66.3</v>
      </c>
      <c r="K301" s="1">
        <f ca="1">IFERROR(__xludf.DUMMYFUNCTION("""COMPUTED_VALUE"""),129)</f>
        <v>129</v>
      </c>
      <c r="L301" s="1" t="str">
        <f ca="1">IFERROR(__xludf.DUMMYFUNCTION("""COMPUTED_VALUE"""),"+.050")</f>
        <v>+.050</v>
      </c>
      <c r="M301" s="1">
        <f ca="1">IFERROR(__xludf.DUMMYFUNCTION("""COMPUTED_VALUE"""),53)</f>
        <v>53</v>
      </c>
      <c r="N301" s="1">
        <f ca="1">IFERROR(__xludf.DUMMYFUNCTION("""COMPUTED_VALUE"""),-3.29)</f>
        <v>-3.29</v>
      </c>
      <c r="O301" s="1">
        <f ca="1">IFERROR(__xludf.DUMMYFUNCTION("""COMPUTED_VALUE"""),225)</f>
        <v>225</v>
      </c>
      <c r="P301" s="1">
        <f ca="1">IFERROR(__xludf.DUMMYFUNCTION("""COMPUTED_VALUE"""),101.9)</f>
        <v>101.9</v>
      </c>
      <c r="Q301" s="1">
        <f ca="1">IFERROR(__xludf.DUMMYFUNCTION("""COMPUTED_VALUE"""),225)</f>
        <v>225</v>
      </c>
      <c r="R301" s="1">
        <f ca="1">IFERROR(__xludf.DUMMYFUNCTION("""COMPUTED_VALUE"""),105.2)</f>
        <v>105.2</v>
      </c>
      <c r="S301" s="1">
        <f ca="1">IFERROR(__xludf.DUMMYFUNCTION("""COMPUTED_VALUE"""),221)</f>
        <v>221</v>
      </c>
      <c r="T301" s="1">
        <f ca="1">IFERROR(__xludf.DUMMYFUNCTION("""COMPUTED_VALUE"""),-0.55)</f>
        <v>-0.55000000000000004</v>
      </c>
      <c r="U301" s="1">
        <f ca="1">IFERROR(__xludf.DUMMYFUNCTION("""COMPUTED_VALUE"""),160)</f>
        <v>160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IFERROR(__xludf.DUMMYFUNCTION("""COMPUTED_VALUE"""),"Coastal Carolina")</f>
        <v>Coastal Carolina</v>
      </c>
      <c r="C302" s="1" t="str">
        <f ca="1">IFERROR(__xludf.DUMMYFUNCTION("""COMPUTED_VALUE"""),"BSth")</f>
        <v>BSth</v>
      </c>
      <c r="D302" s="1" t="str">
        <f ca="1">IFERROR(__xludf.DUMMYFUNCTION("""COMPUTED_VALUE"""),"13-15")</f>
        <v>13-15</v>
      </c>
      <c r="E302" s="1">
        <f ca="1">IFERROR(__xludf.DUMMYFUNCTION("""COMPUTED_VALUE"""),-12.35)</f>
        <v>-12.35</v>
      </c>
      <c r="F302" s="1">
        <f ca="1">IFERROR(__xludf.DUMMYFUNCTION("""COMPUTED_VALUE"""),99.1)</f>
        <v>99.1</v>
      </c>
      <c r="G302" s="1">
        <f ca="1">IFERROR(__xludf.DUMMYFUNCTION("""COMPUTED_VALUE"""),235)</f>
        <v>235</v>
      </c>
      <c r="H302" s="1">
        <f ca="1">IFERROR(__xludf.DUMMYFUNCTION("""COMPUTED_VALUE"""),111.5)</f>
        <v>111.5</v>
      </c>
      <c r="I302" s="1">
        <f ca="1">IFERROR(__xludf.DUMMYFUNCTION("""COMPUTED_VALUE"""),309)</f>
        <v>309</v>
      </c>
      <c r="J302" s="1">
        <f ca="1">IFERROR(__xludf.DUMMYFUNCTION("""COMPUTED_VALUE"""),63.7)</f>
        <v>63.7</v>
      </c>
      <c r="K302" s="1">
        <f ca="1">IFERROR(__xludf.DUMMYFUNCTION("""COMPUTED_VALUE"""),232)</f>
        <v>232</v>
      </c>
      <c r="L302" s="1" t="str">
        <f ca="1">IFERROR(__xludf.DUMMYFUNCTION("""COMPUTED_VALUE"""),"+.097")</f>
        <v>+.097</v>
      </c>
      <c r="M302" s="1">
        <f ca="1">IFERROR(__xludf.DUMMYFUNCTION("""COMPUTED_VALUE"""),8)</f>
        <v>8</v>
      </c>
      <c r="N302" s="1">
        <f ca="1">IFERROR(__xludf.DUMMYFUNCTION("""COMPUTED_VALUE"""),-5.01)</f>
        <v>-5.01</v>
      </c>
      <c r="O302" s="1">
        <f ca="1">IFERROR(__xludf.DUMMYFUNCTION("""COMPUTED_VALUE"""),259)</f>
        <v>259</v>
      </c>
      <c r="P302" s="1">
        <f ca="1">IFERROR(__xludf.DUMMYFUNCTION("""COMPUTED_VALUE"""),102.5)</f>
        <v>102.5</v>
      </c>
      <c r="Q302" s="1">
        <f ca="1">IFERROR(__xludf.DUMMYFUNCTION("""COMPUTED_VALUE"""),206)</f>
        <v>206</v>
      </c>
      <c r="R302" s="1">
        <f ca="1">IFERROR(__xludf.DUMMYFUNCTION("""COMPUTED_VALUE"""),107.5)</f>
        <v>107.5</v>
      </c>
      <c r="S302" s="1">
        <f ca="1">IFERROR(__xludf.DUMMYFUNCTION("""COMPUTED_VALUE"""),311)</f>
        <v>311</v>
      </c>
      <c r="T302" s="1">
        <f ca="1">IFERROR(__xludf.DUMMYFUNCTION("""COMPUTED_VALUE"""),-2.71)</f>
        <v>-2.71</v>
      </c>
      <c r="U302" s="1">
        <f ca="1">IFERROR(__xludf.DUMMYFUNCTION("""COMPUTED_VALUE"""),234)</f>
        <v>234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IFERROR(__xludf.DUMMYFUNCTION("""COMPUTED_VALUE"""),"Morehead St.")</f>
        <v>Morehead St.</v>
      </c>
      <c r="C303" s="1" t="str">
        <f ca="1">IFERROR(__xludf.DUMMYFUNCTION("""COMPUTED_VALUE"""),"OVC")</f>
        <v>OVC</v>
      </c>
      <c r="D303" s="1" t="str">
        <f ca="1">IFERROR(__xludf.DUMMYFUNCTION("""COMPUTED_VALUE"""),"15-15")</f>
        <v>15-15</v>
      </c>
      <c r="E303" s="1">
        <f ca="1">IFERROR(__xludf.DUMMYFUNCTION("""COMPUTED_VALUE"""),-12.64)</f>
        <v>-12.64</v>
      </c>
      <c r="F303" s="1">
        <f ca="1">IFERROR(__xludf.DUMMYFUNCTION("""COMPUTED_VALUE"""),95.3)</f>
        <v>95.3</v>
      </c>
      <c r="G303" s="1">
        <f ca="1">IFERROR(__xludf.DUMMYFUNCTION("""COMPUTED_VALUE"""),292)</f>
        <v>292</v>
      </c>
      <c r="H303" s="1">
        <f ca="1">IFERROR(__xludf.DUMMYFUNCTION("""COMPUTED_VALUE"""),107.9)</f>
        <v>107.9</v>
      </c>
      <c r="I303" s="1">
        <f ca="1">IFERROR(__xludf.DUMMYFUNCTION("""COMPUTED_VALUE"""),250)</f>
        <v>250</v>
      </c>
      <c r="J303" s="1">
        <f ca="1">IFERROR(__xludf.DUMMYFUNCTION("""COMPUTED_VALUE"""),62.6)</f>
        <v>62.6</v>
      </c>
      <c r="K303" s="1">
        <f ca="1">IFERROR(__xludf.DUMMYFUNCTION("""COMPUTED_VALUE"""),274)</f>
        <v>274</v>
      </c>
      <c r="L303" s="1" t="str">
        <f ca="1">IFERROR(__xludf.DUMMYFUNCTION("""COMPUTED_VALUE"""),"+.093")</f>
        <v>+.093</v>
      </c>
      <c r="M303" s="1">
        <f ca="1">IFERROR(__xludf.DUMMYFUNCTION("""COMPUTED_VALUE"""),9)</f>
        <v>9</v>
      </c>
      <c r="N303" s="1">
        <f ca="1">IFERROR(__xludf.DUMMYFUNCTION("""COMPUTED_VALUE"""),-7.16)</f>
        <v>-7.16</v>
      </c>
      <c r="O303" s="1">
        <f ca="1">IFERROR(__xludf.DUMMYFUNCTION("""COMPUTED_VALUE"""),303)</f>
        <v>303</v>
      </c>
      <c r="P303" s="1">
        <f ca="1">IFERROR(__xludf.DUMMYFUNCTION("""COMPUTED_VALUE"""),101.8)</f>
        <v>101.8</v>
      </c>
      <c r="Q303" s="1">
        <f ca="1">IFERROR(__xludf.DUMMYFUNCTION("""COMPUTED_VALUE"""),231)</f>
        <v>231</v>
      </c>
      <c r="R303" s="1">
        <f ca="1">IFERROR(__xludf.DUMMYFUNCTION("""COMPUTED_VALUE"""),109)</f>
        <v>109</v>
      </c>
      <c r="S303" s="1">
        <f ca="1">IFERROR(__xludf.DUMMYFUNCTION("""COMPUTED_VALUE"""),338)</f>
        <v>338</v>
      </c>
      <c r="T303" s="1" t="str">
        <f ca="1">IFERROR(__xludf.DUMMYFUNCTION("""COMPUTED_VALUE"""),"+8.74")</f>
        <v>+8.74</v>
      </c>
      <c r="U303" s="1">
        <f ca="1">IFERROR(__xludf.DUMMYFUNCTION("""COMPUTED_VALUE"""),13)</f>
        <v>13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IFERROR(__xludf.DUMMYFUNCTION("""COMPUTED_VALUE"""),"Campbell")</f>
        <v>Campbell</v>
      </c>
      <c r="C304" s="1" t="str">
        <f ca="1">IFERROR(__xludf.DUMMYFUNCTION("""COMPUTED_VALUE"""),"ASun")</f>
        <v>ASun</v>
      </c>
      <c r="D304" s="2">
        <f ca="1">IFERROR(__xludf.DUMMYFUNCTION("""COMPUTED_VALUE"""),44854)</f>
        <v>44854</v>
      </c>
      <c r="E304" s="1">
        <f ca="1">IFERROR(__xludf.DUMMYFUNCTION("""COMPUTED_VALUE"""),-12.69)</f>
        <v>-12.69</v>
      </c>
      <c r="F304" s="1">
        <f ca="1">IFERROR(__xludf.DUMMYFUNCTION("""COMPUTED_VALUE"""),96.1)</f>
        <v>96.1</v>
      </c>
      <c r="G304" s="1">
        <f ca="1">IFERROR(__xludf.DUMMYFUNCTION("""COMPUTED_VALUE"""),280)</f>
        <v>280</v>
      </c>
      <c r="H304" s="1">
        <f ca="1">IFERROR(__xludf.DUMMYFUNCTION("""COMPUTED_VALUE"""),108.8)</f>
        <v>108.8</v>
      </c>
      <c r="I304" s="1">
        <f ca="1">IFERROR(__xludf.DUMMYFUNCTION("""COMPUTED_VALUE"""),269)</f>
        <v>269</v>
      </c>
      <c r="J304" s="1">
        <f ca="1">IFERROR(__xludf.DUMMYFUNCTION("""COMPUTED_VALUE"""),68.5)</f>
        <v>68.5</v>
      </c>
      <c r="K304" s="1">
        <f ca="1">IFERROR(__xludf.DUMMYFUNCTION("""COMPUTED_VALUE"""),61)</f>
        <v>61</v>
      </c>
      <c r="L304" s="1">
        <f ca="1">IFERROR(__xludf.DUMMYFUNCTION("""COMPUTED_VALUE"""),-0.051)</f>
        <v>-5.0999999999999997E-2</v>
      </c>
      <c r="M304" s="1">
        <f ca="1">IFERROR(__xludf.DUMMYFUNCTION("""COMPUTED_VALUE"""),293)</f>
        <v>293</v>
      </c>
      <c r="N304" s="1">
        <f ca="1">IFERROR(__xludf.DUMMYFUNCTION("""COMPUTED_VALUE"""),-7.61)</f>
        <v>-7.61</v>
      </c>
      <c r="O304" s="1">
        <f ca="1">IFERROR(__xludf.DUMMYFUNCTION("""COMPUTED_VALUE"""),310)</f>
        <v>310</v>
      </c>
      <c r="P304" s="1">
        <f ca="1">IFERROR(__xludf.DUMMYFUNCTION("""COMPUTED_VALUE"""),100.7)</f>
        <v>100.7</v>
      </c>
      <c r="Q304" s="1">
        <f ca="1">IFERROR(__xludf.DUMMYFUNCTION("""COMPUTED_VALUE"""),273)</f>
        <v>273</v>
      </c>
      <c r="R304" s="1">
        <f ca="1">IFERROR(__xludf.DUMMYFUNCTION("""COMPUTED_VALUE"""),108.3)</f>
        <v>108.3</v>
      </c>
      <c r="S304" s="1">
        <f ca="1">IFERROR(__xludf.DUMMYFUNCTION("""COMPUTED_VALUE"""),327)</f>
        <v>327</v>
      </c>
      <c r="T304" s="1">
        <f ca="1">IFERROR(__xludf.DUMMYFUNCTION("""COMPUTED_VALUE"""),-8.83)</f>
        <v>-8.83</v>
      </c>
      <c r="U304" s="1">
        <f ca="1">IFERROR(__xludf.DUMMYFUNCTION("""COMPUTED_VALUE"""),324)</f>
        <v>324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IFERROR(__xludf.DUMMYFUNCTION("""COMPUTED_VALUE"""),"Penn")</f>
        <v>Penn</v>
      </c>
      <c r="C305" s="1" t="str">
        <f ca="1">IFERROR(__xludf.DUMMYFUNCTION("""COMPUTED_VALUE"""),"Ivy")</f>
        <v>Ivy</v>
      </c>
      <c r="D305" s="1" t="str">
        <f ca="1">IFERROR(__xludf.DUMMYFUNCTION("""COMPUTED_VALUE"""),"13-18")</f>
        <v>13-18</v>
      </c>
      <c r="E305" s="1">
        <f ca="1">IFERROR(__xludf.DUMMYFUNCTION("""COMPUTED_VALUE"""),-12.72)</f>
        <v>-12.72</v>
      </c>
      <c r="F305" s="1">
        <f ca="1">IFERROR(__xludf.DUMMYFUNCTION("""COMPUTED_VALUE"""),96.1)</f>
        <v>96.1</v>
      </c>
      <c r="G305" s="1">
        <f ca="1">IFERROR(__xludf.DUMMYFUNCTION("""COMPUTED_VALUE"""),282)</f>
        <v>282</v>
      </c>
      <c r="H305" s="1">
        <f ca="1">IFERROR(__xludf.DUMMYFUNCTION("""COMPUTED_VALUE"""),108.8)</f>
        <v>108.8</v>
      </c>
      <c r="I305" s="1">
        <f ca="1">IFERROR(__xludf.DUMMYFUNCTION("""COMPUTED_VALUE"""),268)</f>
        <v>268</v>
      </c>
      <c r="J305" s="1">
        <f ca="1">IFERROR(__xludf.DUMMYFUNCTION("""COMPUTED_VALUE"""),68.4)</f>
        <v>68.400000000000006</v>
      </c>
      <c r="K305" s="1">
        <f ca="1">IFERROR(__xludf.DUMMYFUNCTION("""COMPUTED_VALUE"""),62)</f>
        <v>62</v>
      </c>
      <c r="L305" s="1" t="str">
        <f ca="1">IFERROR(__xludf.DUMMYFUNCTION("""COMPUTED_VALUE"""),"+.078")</f>
        <v>+.078</v>
      </c>
      <c r="M305" s="1">
        <f ca="1">IFERROR(__xludf.DUMMYFUNCTION("""COMPUTED_VALUE"""),22)</f>
        <v>22</v>
      </c>
      <c r="N305" s="1">
        <f ca="1">IFERROR(__xludf.DUMMYFUNCTION("""COMPUTED_VALUE"""),-5.54)</f>
        <v>-5.54</v>
      </c>
      <c r="O305" s="1">
        <f ca="1">IFERROR(__xludf.DUMMYFUNCTION("""COMPUTED_VALUE"""),271)</f>
        <v>271</v>
      </c>
      <c r="P305" s="1">
        <f ca="1">IFERROR(__xludf.DUMMYFUNCTION("""COMPUTED_VALUE"""),100.9)</f>
        <v>100.9</v>
      </c>
      <c r="Q305" s="1">
        <f ca="1">IFERROR(__xludf.DUMMYFUNCTION("""COMPUTED_VALUE"""),268)</f>
        <v>268</v>
      </c>
      <c r="R305" s="1">
        <f ca="1">IFERROR(__xludf.DUMMYFUNCTION("""COMPUTED_VALUE"""),106.5)</f>
        <v>106.5</v>
      </c>
      <c r="S305" s="1">
        <f ca="1">IFERROR(__xludf.DUMMYFUNCTION("""COMPUTED_VALUE"""),279)</f>
        <v>279</v>
      </c>
      <c r="T305" s="1">
        <f ca="1">IFERROR(__xludf.DUMMYFUNCTION("""COMPUTED_VALUE"""),-2.73)</f>
        <v>-2.73</v>
      </c>
      <c r="U305" s="1">
        <f ca="1">IFERROR(__xludf.DUMMYFUNCTION("""COMPUTED_VALUE"""),236)</f>
        <v>236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IFERROR(__xludf.DUMMYFUNCTION("""COMPUTED_VALUE"""),"Norfolk St.")</f>
        <v>Norfolk St.</v>
      </c>
      <c r="C306" s="1" t="str">
        <f ca="1">IFERROR(__xludf.DUMMYFUNCTION("""COMPUTED_VALUE"""),"MEAC")</f>
        <v>MEAC</v>
      </c>
      <c r="D306" s="1" t="str">
        <f ca="1">IFERROR(__xludf.DUMMYFUNCTION("""COMPUTED_VALUE"""),"16-15")</f>
        <v>16-15</v>
      </c>
      <c r="E306" s="1">
        <f ca="1">IFERROR(__xludf.DUMMYFUNCTION("""COMPUTED_VALUE"""),-13.04)</f>
        <v>-13.04</v>
      </c>
      <c r="F306" s="1">
        <f ca="1">IFERROR(__xludf.DUMMYFUNCTION("""COMPUTED_VALUE"""),97)</f>
        <v>97</v>
      </c>
      <c r="G306" s="1">
        <f ca="1">IFERROR(__xludf.DUMMYFUNCTION("""COMPUTED_VALUE"""),267)</f>
        <v>267</v>
      </c>
      <c r="H306" s="1">
        <f ca="1">IFERROR(__xludf.DUMMYFUNCTION("""COMPUTED_VALUE"""),110)</f>
        <v>110</v>
      </c>
      <c r="I306" s="1">
        <f ca="1">IFERROR(__xludf.DUMMYFUNCTION("""COMPUTED_VALUE"""),292)</f>
        <v>292</v>
      </c>
      <c r="J306" s="1">
        <f ca="1">IFERROR(__xludf.DUMMYFUNCTION("""COMPUTED_VALUE"""),68.7)</f>
        <v>68.7</v>
      </c>
      <c r="K306" s="1">
        <f ca="1">IFERROR(__xludf.DUMMYFUNCTION("""COMPUTED_VALUE"""),49)</f>
        <v>49</v>
      </c>
      <c r="L306" s="1" t="str">
        <f ca="1">IFERROR(__xludf.DUMMYFUNCTION("""COMPUTED_VALUE"""),"+.057")</f>
        <v>+.057</v>
      </c>
      <c r="M306" s="1">
        <f ca="1">IFERROR(__xludf.DUMMYFUNCTION("""COMPUTED_VALUE"""),43)</f>
        <v>43</v>
      </c>
      <c r="N306" s="1">
        <f ca="1">IFERROR(__xludf.DUMMYFUNCTION("""COMPUTED_VALUE"""),-12.79)</f>
        <v>-12.79</v>
      </c>
      <c r="O306" s="1">
        <f ca="1">IFERROR(__xludf.DUMMYFUNCTION("""COMPUTED_VALUE"""),337)</f>
        <v>337</v>
      </c>
      <c r="P306" s="1">
        <f ca="1">IFERROR(__xludf.DUMMYFUNCTION("""COMPUTED_VALUE"""),95.4)</f>
        <v>95.4</v>
      </c>
      <c r="Q306" s="1">
        <f ca="1">IFERROR(__xludf.DUMMYFUNCTION("""COMPUTED_VALUE"""),337)</f>
        <v>337</v>
      </c>
      <c r="R306" s="1">
        <f ca="1">IFERROR(__xludf.DUMMYFUNCTION("""COMPUTED_VALUE"""),108.2)</f>
        <v>108.2</v>
      </c>
      <c r="S306" s="1">
        <f ca="1">IFERROR(__xludf.DUMMYFUNCTION("""COMPUTED_VALUE"""),325)</f>
        <v>325</v>
      </c>
      <c r="T306" s="1">
        <f ca="1">IFERROR(__xludf.DUMMYFUNCTION("""COMPUTED_VALUE"""),-7.47)</f>
        <v>-7.47</v>
      </c>
      <c r="U306" s="1">
        <f ca="1">IFERROR(__xludf.DUMMYFUNCTION("""COMPUTED_VALUE"""),317)</f>
        <v>317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IFERROR(__xludf.DUMMYFUNCTION("""COMPUTED_VALUE"""),"Furman")</f>
        <v>Furman</v>
      </c>
      <c r="C307" s="1" t="str">
        <f ca="1">IFERROR(__xludf.DUMMYFUNCTION("""COMPUTED_VALUE"""),"SC")</f>
        <v>SC</v>
      </c>
      <c r="D307" s="2">
        <f ca="1">IFERROR(__xludf.DUMMYFUNCTION("""COMPUTED_VALUE"""),44765)</f>
        <v>44765</v>
      </c>
      <c r="E307" s="1">
        <f ca="1">IFERROR(__xludf.DUMMYFUNCTION("""COMPUTED_VALUE"""),-13.31)</f>
        <v>-13.31</v>
      </c>
      <c r="F307" s="1">
        <f ca="1">IFERROR(__xludf.DUMMYFUNCTION("""COMPUTED_VALUE"""),95.3)</f>
        <v>95.3</v>
      </c>
      <c r="G307" s="1">
        <f ca="1">IFERROR(__xludf.DUMMYFUNCTION("""COMPUTED_VALUE"""),291)</f>
        <v>291</v>
      </c>
      <c r="H307" s="1">
        <f ca="1">IFERROR(__xludf.DUMMYFUNCTION("""COMPUTED_VALUE"""),108.6)</f>
        <v>108.6</v>
      </c>
      <c r="I307" s="1">
        <f ca="1">IFERROR(__xludf.DUMMYFUNCTION("""COMPUTED_VALUE"""),265)</f>
        <v>265</v>
      </c>
      <c r="J307" s="1">
        <f ca="1">IFERROR(__xludf.DUMMYFUNCTION("""COMPUTED_VALUE"""),64)</f>
        <v>64</v>
      </c>
      <c r="K307" s="1">
        <f ca="1">IFERROR(__xludf.DUMMYFUNCTION("""COMPUTED_VALUE"""),218)</f>
        <v>218</v>
      </c>
      <c r="L307" s="1" t="str">
        <f ca="1">IFERROR(__xludf.DUMMYFUNCTION("""COMPUTED_VALUE"""),"+.006")</f>
        <v>+.006</v>
      </c>
      <c r="M307" s="1">
        <f ca="1">IFERROR(__xludf.DUMMYFUNCTION("""COMPUTED_VALUE"""),154)</f>
        <v>154</v>
      </c>
      <c r="N307" s="1">
        <f ca="1">IFERROR(__xludf.DUMMYFUNCTION("""COMPUTED_VALUE"""),-0.4)</f>
        <v>-0.4</v>
      </c>
      <c r="O307" s="1">
        <f ca="1">IFERROR(__xludf.DUMMYFUNCTION("""COMPUTED_VALUE"""),161)</f>
        <v>161</v>
      </c>
      <c r="P307" s="1">
        <f ca="1">IFERROR(__xludf.DUMMYFUNCTION("""COMPUTED_VALUE"""),104)</f>
        <v>104</v>
      </c>
      <c r="Q307" s="1">
        <f ca="1">IFERROR(__xludf.DUMMYFUNCTION("""COMPUTED_VALUE"""),150)</f>
        <v>150</v>
      </c>
      <c r="R307" s="1">
        <f ca="1">IFERROR(__xludf.DUMMYFUNCTION("""COMPUTED_VALUE"""),104.4)</f>
        <v>104.4</v>
      </c>
      <c r="S307" s="1">
        <f ca="1">IFERROR(__xludf.DUMMYFUNCTION("""COMPUTED_VALUE"""),186)</f>
        <v>186</v>
      </c>
      <c r="T307" s="1" t="str">
        <f ca="1">IFERROR(__xludf.DUMMYFUNCTION("""COMPUTED_VALUE"""),"+0.05")</f>
        <v>+0.05</v>
      </c>
      <c r="U307" s="1">
        <f ca="1">IFERROR(__xludf.DUMMYFUNCTION("""COMPUTED_VALUE"""),145)</f>
        <v>145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IFERROR(__xludf.DUMMYFUNCTION("""COMPUTED_VALUE"""),"Idaho")</f>
        <v>Idaho</v>
      </c>
      <c r="C308" s="1" t="str">
        <f ca="1">IFERROR(__xludf.DUMMYFUNCTION("""COMPUTED_VALUE"""),"WAC")</f>
        <v>WAC</v>
      </c>
      <c r="D308" s="2">
        <f ca="1">IFERROR(__xludf.DUMMYFUNCTION("""COMPUTED_VALUE"""),44794)</f>
        <v>44794</v>
      </c>
      <c r="E308" s="1">
        <f ca="1">IFERROR(__xludf.DUMMYFUNCTION("""COMPUTED_VALUE"""),-13.4)</f>
        <v>-13.4</v>
      </c>
      <c r="F308" s="1">
        <f ca="1">IFERROR(__xludf.DUMMYFUNCTION("""COMPUTED_VALUE"""),96.3)</f>
        <v>96.3</v>
      </c>
      <c r="G308" s="1">
        <f ca="1">IFERROR(__xludf.DUMMYFUNCTION("""COMPUTED_VALUE"""),276)</f>
        <v>276</v>
      </c>
      <c r="H308" s="1">
        <f ca="1">IFERROR(__xludf.DUMMYFUNCTION("""COMPUTED_VALUE"""),109.7)</f>
        <v>109.7</v>
      </c>
      <c r="I308" s="1">
        <f ca="1">IFERROR(__xludf.DUMMYFUNCTION("""COMPUTED_VALUE"""),285)</f>
        <v>285</v>
      </c>
      <c r="J308" s="1">
        <f ca="1">IFERROR(__xludf.DUMMYFUNCTION("""COMPUTED_VALUE"""),64.2)</f>
        <v>64.2</v>
      </c>
      <c r="K308" s="1">
        <f ca="1">IFERROR(__xludf.DUMMYFUNCTION("""COMPUTED_VALUE"""),205)</f>
        <v>205</v>
      </c>
      <c r="L308" s="1">
        <f ca="1">IFERROR(__xludf.DUMMYFUNCTION("""COMPUTED_VALUE"""),-0.004)</f>
        <v>-4.0000000000000001E-3</v>
      </c>
      <c r="M308" s="1">
        <f ca="1">IFERROR(__xludf.DUMMYFUNCTION("""COMPUTED_VALUE"""),181)</f>
        <v>181</v>
      </c>
      <c r="N308" s="1">
        <f ca="1">IFERROR(__xludf.DUMMYFUNCTION("""COMPUTED_VALUE"""),-1.81)</f>
        <v>-1.81</v>
      </c>
      <c r="O308" s="1">
        <f ca="1">IFERROR(__xludf.DUMMYFUNCTION("""COMPUTED_VALUE"""),190)</f>
        <v>190</v>
      </c>
      <c r="P308" s="1">
        <f ca="1">IFERROR(__xludf.DUMMYFUNCTION("""COMPUTED_VALUE"""),103.2)</f>
        <v>103.2</v>
      </c>
      <c r="Q308" s="1">
        <f ca="1">IFERROR(__xludf.DUMMYFUNCTION("""COMPUTED_VALUE"""),179)</f>
        <v>179</v>
      </c>
      <c r="R308" s="1">
        <f ca="1">IFERROR(__xludf.DUMMYFUNCTION("""COMPUTED_VALUE"""),105)</f>
        <v>105</v>
      </c>
      <c r="S308" s="1">
        <f ca="1">IFERROR(__xludf.DUMMYFUNCTION("""COMPUTED_VALUE"""),209)</f>
        <v>209</v>
      </c>
      <c r="T308" s="1">
        <f ca="1">IFERROR(__xludf.DUMMYFUNCTION("""COMPUTED_VALUE"""),-2.76)</f>
        <v>-2.76</v>
      </c>
      <c r="U308" s="1">
        <f ca="1">IFERROR(__xludf.DUMMYFUNCTION("""COMPUTED_VALUE"""),240)</f>
        <v>240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IFERROR(__xludf.DUMMYFUNCTION("""COMPUTED_VALUE"""),"Presbyterian")</f>
        <v>Presbyterian</v>
      </c>
      <c r="C309" s="1" t="str">
        <f ca="1">IFERROR(__xludf.DUMMYFUNCTION("""COMPUTED_VALUE"""),"ind")</f>
        <v>ind</v>
      </c>
      <c r="D309" s="2">
        <f ca="1">IFERROR(__xludf.DUMMYFUNCTION("""COMPUTED_VALUE"""),44706)</f>
        <v>44706</v>
      </c>
      <c r="E309" s="1">
        <f ca="1">IFERROR(__xludf.DUMMYFUNCTION("""COMPUTED_VALUE"""),-13.62)</f>
        <v>-13.62</v>
      </c>
      <c r="F309" s="1">
        <f ca="1">IFERROR(__xludf.DUMMYFUNCTION("""COMPUTED_VALUE"""),97.6)</f>
        <v>97.6</v>
      </c>
      <c r="G309" s="1">
        <f ca="1">IFERROR(__xludf.DUMMYFUNCTION("""COMPUTED_VALUE"""),259)</f>
        <v>259</v>
      </c>
      <c r="H309" s="1">
        <f ca="1">IFERROR(__xludf.DUMMYFUNCTION("""COMPUTED_VALUE"""),111.2)</f>
        <v>111.2</v>
      </c>
      <c r="I309" s="1">
        <f ca="1">IFERROR(__xludf.DUMMYFUNCTION("""COMPUTED_VALUE"""),307)</f>
        <v>307</v>
      </c>
      <c r="J309" s="1">
        <f ca="1">IFERROR(__xludf.DUMMYFUNCTION("""COMPUTED_VALUE"""),58.5)</f>
        <v>58.5</v>
      </c>
      <c r="K309" s="1">
        <f ca="1">IFERROR(__xludf.DUMMYFUNCTION("""COMPUTED_VALUE"""),332)</f>
        <v>332</v>
      </c>
      <c r="L309" s="1">
        <f ca="1">IFERROR(__xludf.DUMMYFUNCTION("""COMPUTED_VALUE"""),-0.056)</f>
        <v>-5.6000000000000001E-2</v>
      </c>
      <c r="M309" s="1">
        <f ca="1">IFERROR(__xludf.DUMMYFUNCTION("""COMPUTED_VALUE"""),298)</f>
        <v>298</v>
      </c>
      <c r="N309" s="1" t="str">
        <f ca="1">IFERROR(__xludf.DUMMYFUNCTION("""COMPUTED_VALUE"""),"+6.20")</f>
        <v>+6.20</v>
      </c>
      <c r="O309" s="1">
        <f ca="1">IFERROR(__xludf.DUMMYFUNCTION("""COMPUTED_VALUE"""),68)</f>
        <v>68</v>
      </c>
      <c r="P309" s="1">
        <f ca="1">IFERROR(__xludf.DUMMYFUNCTION("""COMPUTED_VALUE"""),106.1)</f>
        <v>106.1</v>
      </c>
      <c r="Q309" s="1">
        <f ca="1">IFERROR(__xludf.DUMMYFUNCTION("""COMPUTED_VALUE"""),87)</f>
        <v>87</v>
      </c>
      <c r="R309" s="1">
        <f ca="1">IFERROR(__xludf.DUMMYFUNCTION("""COMPUTED_VALUE"""),99.9)</f>
        <v>99.9</v>
      </c>
      <c r="S309" s="1">
        <f ca="1">IFERROR(__xludf.DUMMYFUNCTION("""COMPUTED_VALUE"""),45)</f>
        <v>45</v>
      </c>
      <c r="T309" s="1" t="str">
        <f ca="1">IFERROR(__xludf.DUMMYFUNCTION("""COMPUTED_VALUE"""),"+6.20")</f>
        <v>+6.20</v>
      </c>
      <c r="U309" s="1">
        <f ca="1">IFERROR(__xludf.DUMMYFUNCTION("""COMPUTED_VALUE"""),32)</f>
        <v>32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IFERROR(__xludf.DUMMYFUNCTION("""COMPUTED_VALUE"""),"UC Riverside")</f>
        <v>UC Riverside</v>
      </c>
      <c r="C310" s="1" t="str">
        <f ca="1">IFERROR(__xludf.DUMMYFUNCTION("""COMPUTED_VALUE"""),"BW")</f>
        <v>BW</v>
      </c>
      <c r="D310" s="2">
        <f ca="1">IFERROR(__xludf.DUMMYFUNCTION("""COMPUTED_VALUE"""),44825)</f>
        <v>44825</v>
      </c>
      <c r="E310" s="1">
        <f ca="1">IFERROR(__xludf.DUMMYFUNCTION("""COMPUTED_VALUE"""),-13.65)</f>
        <v>-13.65</v>
      </c>
      <c r="F310" s="1">
        <f ca="1">IFERROR(__xludf.DUMMYFUNCTION("""COMPUTED_VALUE"""),93.7)</f>
        <v>93.7</v>
      </c>
      <c r="G310" s="1">
        <f ca="1">IFERROR(__xludf.DUMMYFUNCTION("""COMPUTED_VALUE"""),310)</f>
        <v>310</v>
      </c>
      <c r="H310" s="1">
        <f ca="1">IFERROR(__xludf.DUMMYFUNCTION("""COMPUTED_VALUE"""),107.3)</f>
        <v>107.3</v>
      </c>
      <c r="I310" s="1">
        <f ca="1">IFERROR(__xludf.DUMMYFUNCTION("""COMPUTED_VALUE"""),245)</f>
        <v>245</v>
      </c>
      <c r="J310" s="1">
        <f ca="1">IFERROR(__xludf.DUMMYFUNCTION("""COMPUTED_VALUE"""),61.8)</f>
        <v>61.8</v>
      </c>
      <c r="K310" s="1">
        <f ca="1">IFERROR(__xludf.DUMMYFUNCTION("""COMPUTED_VALUE"""),293)</f>
        <v>293</v>
      </c>
      <c r="L310" s="1" t="str">
        <f ca="1">IFERROR(__xludf.DUMMYFUNCTION("""COMPUTED_VALUE"""),"+.023")</f>
        <v>+.023</v>
      </c>
      <c r="M310" s="1">
        <f ca="1">IFERROR(__xludf.DUMMYFUNCTION("""COMPUTED_VALUE"""),114)</f>
        <v>114</v>
      </c>
      <c r="N310" s="1">
        <f ca="1">IFERROR(__xludf.DUMMYFUNCTION("""COMPUTED_VALUE"""),-1.52)</f>
        <v>-1.52</v>
      </c>
      <c r="O310" s="1">
        <f ca="1">IFERROR(__xludf.DUMMYFUNCTION("""COMPUTED_VALUE"""),187)</f>
        <v>187</v>
      </c>
      <c r="P310" s="1">
        <f ca="1">IFERROR(__xludf.DUMMYFUNCTION("""COMPUTED_VALUE"""),102.7)</f>
        <v>102.7</v>
      </c>
      <c r="Q310" s="1">
        <f ca="1">IFERROR(__xludf.DUMMYFUNCTION("""COMPUTED_VALUE"""),201)</f>
        <v>201</v>
      </c>
      <c r="R310" s="1">
        <f ca="1">IFERROR(__xludf.DUMMYFUNCTION("""COMPUTED_VALUE"""),104.3)</f>
        <v>104.3</v>
      </c>
      <c r="S310" s="1">
        <f ca="1">IFERROR(__xludf.DUMMYFUNCTION("""COMPUTED_VALUE"""),179)</f>
        <v>179</v>
      </c>
      <c r="T310" s="1" t="str">
        <f ca="1">IFERROR(__xludf.DUMMYFUNCTION("""COMPUTED_VALUE"""),"+1.41")</f>
        <v>+1.41</v>
      </c>
      <c r="U310" s="1">
        <f ca="1">IFERROR(__xludf.DUMMYFUNCTION("""COMPUTED_VALUE"""),112)</f>
        <v>112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IFERROR(__xludf.DUMMYFUNCTION("""COMPUTED_VALUE"""),"Idaho St.")</f>
        <v>Idaho St.</v>
      </c>
      <c r="C311" s="1" t="str">
        <f ca="1">IFERROR(__xludf.DUMMYFUNCTION("""COMPUTED_VALUE"""),"BSky")</f>
        <v>BSky</v>
      </c>
      <c r="D311" s="2">
        <f ca="1">IFERROR(__xludf.DUMMYFUNCTION("""COMPUTED_VALUE"""),44914)</f>
        <v>44914</v>
      </c>
      <c r="E311" s="1">
        <f ca="1">IFERROR(__xludf.DUMMYFUNCTION("""COMPUTED_VALUE"""),-14.07)</f>
        <v>-14.07</v>
      </c>
      <c r="F311" s="1">
        <f ca="1">IFERROR(__xludf.DUMMYFUNCTION("""COMPUTED_VALUE"""),95.8)</f>
        <v>95.8</v>
      </c>
      <c r="G311" s="1">
        <f ca="1">IFERROR(__xludf.DUMMYFUNCTION("""COMPUTED_VALUE"""),286)</f>
        <v>286</v>
      </c>
      <c r="H311" s="1">
        <f ca="1">IFERROR(__xludf.DUMMYFUNCTION("""COMPUTED_VALUE"""),109.9)</f>
        <v>109.9</v>
      </c>
      <c r="I311" s="1">
        <f ca="1">IFERROR(__xludf.DUMMYFUNCTION("""COMPUTED_VALUE"""),288)</f>
        <v>288</v>
      </c>
      <c r="J311" s="1">
        <f ca="1">IFERROR(__xludf.DUMMYFUNCTION("""COMPUTED_VALUE"""),60)</f>
        <v>60</v>
      </c>
      <c r="K311" s="1">
        <f ca="1">IFERROR(__xludf.DUMMYFUNCTION("""COMPUTED_VALUE"""),324)</f>
        <v>324</v>
      </c>
      <c r="L311" s="1" t="str">
        <f ca="1">IFERROR(__xludf.DUMMYFUNCTION("""COMPUTED_VALUE"""),"+.092")</f>
        <v>+.092</v>
      </c>
      <c r="M311" s="1">
        <f ca="1">IFERROR(__xludf.DUMMYFUNCTION("""COMPUTED_VALUE"""),11)</f>
        <v>11</v>
      </c>
      <c r="N311" s="1">
        <f ca="1">IFERROR(__xludf.DUMMYFUNCTION("""COMPUTED_VALUE"""),-1.07)</f>
        <v>-1.07</v>
      </c>
      <c r="O311" s="1">
        <f ca="1">IFERROR(__xludf.DUMMYFUNCTION("""COMPUTED_VALUE"""),178)</f>
        <v>178</v>
      </c>
      <c r="P311" s="1">
        <f ca="1">IFERROR(__xludf.DUMMYFUNCTION("""COMPUTED_VALUE"""),103.4)</f>
        <v>103.4</v>
      </c>
      <c r="Q311" s="1">
        <f ca="1">IFERROR(__xludf.DUMMYFUNCTION("""COMPUTED_VALUE"""),171)</f>
        <v>171</v>
      </c>
      <c r="R311" s="1">
        <f ca="1">IFERROR(__xludf.DUMMYFUNCTION("""COMPUTED_VALUE"""),104.5)</f>
        <v>104.5</v>
      </c>
      <c r="S311" s="1">
        <f ca="1">IFERROR(__xludf.DUMMYFUNCTION("""COMPUTED_VALUE"""),190)</f>
        <v>190</v>
      </c>
      <c r="T311" s="1" t="str">
        <f ca="1">IFERROR(__xludf.DUMMYFUNCTION("""COMPUTED_VALUE"""),"+7.47")</f>
        <v>+7.47</v>
      </c>
      <c r="U311" s="1">
        <f ca="1">IFERROR(__xludf.DUMMYFUNCTION("""COMPUTED_VALUE"""),26)</f>
        <v>26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IFERROR(__xludf.DUMMYFUNCTION("""COMPUTED_VALUE"""),"St. Francis NY")</f>
        <v>St. Francis NY</v>
      </c>
      <c r="C312" s="1" t="str">
        <f ca="1">IFERROR(__xludf.DUMMYFUNCTION("""COMPUTED_VALUE"""),"NEC")</f>
        <v>NEC</v>
      </c>
      <c r="D312" s="2">
        <f ca="1">IFERROR(__xludf.DUMMYFUNCTION("""COMPUTED_VALUE"""),44764)</f>
        <v>44764</v>
      </c>
      <c r="E312" s="1">
        <f ca="1">IFERROR(__xludf.DUMMYFUNCTION("""COMPUTED_VALUE"""),-14.19)</f>
        <v>-14.19</v>
      </c>
      <c r="F312" s="1">
        <f ca="1">IFERROR(__xludf.DUMMYFUNCTION("""COMPUTED_VALUE"""),92.8)</f>
        <v>92.8</v>
      </c>
      <c r="G312" s="1">
        <f ca="1">IFERROR(__xludf.DUMMYFUNCTION("""COMPUTED_VALUE"""),317)</f>
        <v>317</v>
      </c>
      <c r="H312" s="1">
        <f ca="1">IFERROR(__xludf.DUMMYFUNCTION("""COMPUTED_VALUE"""),107)</f>
        <v>107</v>
      </c>
      <c r="I312" s="1">
        <f ca="1">IFERROR(__xludf.DUMMYFUNCTION("""COMPUTED_VALUE"""),233)</f>
        <v>233</v>
      </c>
      <c r="J312" s="1">
        <f ca="1">IFERROR(__xludf.DUMMYFUNCTION("""COMPUTED_VALUE"""),67.4)</f>
        <v>67.400000000000006</v>
      </c>
      <c r="K312" s="1">
        <f ca="1">IFERROR(__xludf.DUMMYFUNCTION("""COMPUTED_VALUE"""),92)</f>
        <v>92</v>
      </c>
      <c r="L312" s="1">
        <f ca="1">IFERROR(__xludf.DUMMYFUNCTION("""COMPUTED_VALUE"""),-0.017)</f>
        <v>-1.7000000000000001E-2</v>
      </c>
      <c r="M312" s="1">
        <f ca="1">IFERROR(__xludf.DUMMYFUNCTION("""COMPUTED_VALUE"""),211)</f>
        <v>211</v>
      </c>
      <c r="N312" s="1">
        <f ca="1">IFERROR(__xludf.DUMMYFUNCTION("""COMPUTED_VALUE"""),-6.3)</f>
        <v>-6.3</v>
      </c>
      <c r="O312" s="1">
        <f ca="1">IFERROR(__xludf.DUMMYFUNCTION("""COMPUTED_VALUE"""),288)</f>
        <v>288</v>
      </c>
      <c r="P312" s="1">
        <f ca="1">IFERROR(__xludf.DUMMYFUNCTION("""COMPUTED_VALUE"""),100.9)</f>
        <v>100.9</v>
      </c>
      <c r="Q312" s="1">
        <f ca="1">IFERROR(__xludf.DUMMYFUNCTION("""COMPUTED_VALUE"""),266)</f>
        <v>266</v>
      </c>
      <c r="R312" s="1">
        <f ca="1">IFERROR(__xludf.DUMMYFUNCTION("""COMPUTED_VALUE"""),107.2)</f>
        <v>107.2</v>
      </c>
      <c r="S312" s="1">
        <f ca="1">IFERROR(__xludf.DUMMYFUNCTION("""COMPUTED_VALUE"""),308)</f>
        <v>308</v>
      </c>
      <c r="T312" s="1">
        <f ca="1">IFERROR(__xludf.DUMMYFUNCTION("""COMPUTED_VALUE"""),-4.27)</f>
        <v>-4.2699999999999996</v>
      </c>
      <c r="U312" s="1">
        <f ca="1">IFERROR(__xludf.DUMMYFUNCTION("""COMPUTED_VALUE"""),277)</f>
        <v>277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IFERROR(__xludf.DUMMYFUNCTION("""COMPUTED_VALUE"""),"Radford")</f>
        <v>Radford</v>
      </c>
      <c r="C313" s="1" t="str">
        <f ca="1">IFERROR(__xludf.DUMMYFUNCTION("""COMPUTED_VALUE"""),"BSth")</f>
        <v>BSth</v>
      </c>
      <c r="D313" s="2">
        <f ca="1">IFERROR(__xludf.DUMMYFUNCTION("""COMPUTED_VALUE"""),44854)</f>
        <v>44854</v>
      </c>
      <c r="E313" s="1">
        <f ca="1">IFERROR(__xludf.DUMMYFUNCTION("""COMPUTED_VALUE"""),-14.36)</f>
        <v>-14.36</v>
      </c>
      <c r="F313" s="1">
        <f ca="1">IFERROR(__xludf.DUMMYFUNCTION("""COMPUTED_VALUE"""),95.9)</f>
        <v>95.9</v>
      </c>
      <c r="G313" s="1">
        <f ca="1">IFERROR(__xludf.DUMMYFUNCTION("""COMPUTED_VALUE"""),283)</f>
        <v>283</v>
      </c>
      <c r="H313" s="1">
        <f ca="1">IFERROR(__xludf.DUMMYFUNCTION("""COMPUTED_VALUE"""),110.2)</f>
        <v>110.2</v>
      </c>
      <c r="I313" s="1">
        <f ca="1">IFERROR(__xludf.DUMMYFUNCTION("""COMPUTED_VALUE"""),298)</f>
        <v>298</v>
      </c>
      <c r="J313" s="1">
        <f ca="1">IFERROR(__xludf.DUMMYFUNCTION("""COMPUTED_VALUE"""),68.2)</f>
        <v>68.2</v>
      </c>
      <c r="K313" s="1">
        <f ca="1">IFERROR(__xludf.DUMMYFUNCTION("""COMPUTED_VALUE"""),68)</f>
        <v>68</v>
      </c>
      <c r="L313" s="1" t="str">
        <f ca="1">IFERROR(__xludf.DUMMYFUNCTION("""COMPUTED_VALUE"""),"+.026")</f>
        <v>+.026</v>
      </c>
      <c r="M313" s="1">
        <f ca="1">IFERROR(__xludf.DUMMYFUNCTION("""COMPUTED_VALUE"""),107)</f>
        <v>107</v>
      </c>
      <c r="N313" s="1">
        <f ca="1">IFERROR(__xludf.DUMMYFUNCTION("""COMPUTED_VALUE"""),-2.97)</f>
        <v>-2.97</v>
      </c>
      <c r="O313" s="1">
        <f ca="1">IFERROR(__xludf.DUMMYFUNCTION("""COMPUTED_VALUE"""),218)</f>
        <v>218</v>
      </c>
      <c r="P313" s="1">
        <f ca="1">IFERROR(__xludf.DUMMYFUNCTION("""COMPUTED_VALUE"""),103)</f>
        <v>103</v>
      </c>
      <c r="Q313" s="1">
        <f ca="1">IFERROR(__xludf.DUMMYFUNCTION("""COMPUTED_VALUE"""),186)</f>
        <v>186</v>
      </c>
      <c r="R313" s="1">
        <f ca="1">IFERROR(__xludf.DUMMYFUNCTION("""COMPUTED_VALUE"""),106)</f>
        <v>106</v>
      </c>
      <c r="S313" s="1">
        <f ca="1">IFERROR(__xludf.DUMMYFUNCTION("""COMPUTED_VALUE"""),258)</f>
        <v>258</v>
      </c>
      <c r="T313" s="1" t="str">
        <f ca="1">IFERROR(__xludf.DUMMYFUNCTION("""COMPUTED_VALUE"""),"+0.29")</f>
        <v>+0.29</v>
      </c>
      <c r="U313" s="1">
        <f ca="1">IFERROR(__xludf.DUMMYFUNCTION("""COMPUTED_VALUE"""),138)</f>
        <v>138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IFERROR(__xludf.DUMMYFUNCTION("""COMPUTED_VALUE"""),"Coppin St.16")</f>
        <v>Coppin St.16</v>
      </c>
      <c r="C314" s="1" t="str">
        <f ca="1">IFERROR(__xludf.DUMMYFUNCTION("""COMPUTED_VALUE"""),"MEAC")</f>
        <v>MEAC</v>
      </c>
      <c r="D314" s="1" t="str">
        <f ca="1">IFERROR(__xludf.DUMMYFUNCTION("""COMPUTED_VALUE"""),"16-21")</f>
        <v>16-21</v>
      </c>
      <c r="E314" s="1">
        <f ca="1">IFERROR(__xludf.DUMMYFUNCTION("""COMPUTED_VALUE"""),-14.41)</f>
        <v>-14.41</v>
      </c>
      <c r="F314" s="1">
        <f ca="1">IFERROR(__xludf.DUMMYFUNCTION("""COMPUTED_VALUE"""),92.4)</f>
        <v>92.4</v>
      </c>
      <c r="G314" s="1">
        <f ca="1">IFERROR(__xludf.DUMMYFUNCTION("""COMPUTED_VALUE"""),321)</f>
        <v>321</v>
      </c>
      <c r="H314" s="1">
        <f ca="1">IFERROR(__xludf.DUMMYFUNCTION("""COMPUTED_VALUE"""),106.8)</f>
        <v>106.8</v>
      </c>
      <c r="I314" s="1">
        <f ca="1">IFERROR(__xludf.DUMMYFUNCTION("""COMPUTED_VALUE"""),230)</f>
        <v>230</v>
      </c>
      <c r="J314" s="1">
        <f ca="1">IFERROR(__xludf.DUMMYFUNCTION("""COMPUTED_VALUE"""),62.9)</f>
        <v>62.9</v>
      </c>
      <c r="K314" s="1">
        <f ca="1">IFERROR(__xludf.DUMMYFUNCTION("""COMPUTED_VALUE"""),261)</f>
        <v>261</v>
      </c>
      <c r="L314" s="1" t="str">
        <f ca="1">IFERROR(__xludf.DUMMYFUNCTION("""COMPUTED_VALUE"""),"+.065")</f>
        <v>+.065</v>
      </c>
      <c r="M314" s="1">
        <f ca="1">IFERROR(__xludf.DUMMYFUNCTION("""COMPUTED_VALUE"""),36)</f>
        <v>36</v>
      </c>
      <c r="N314" s="1">
        <f ca="1">IFERROR(__xludf.DUMMYFUNCTION("""COMPUTED_VALUE"""),-7.38)</f>
        <v>-7.38</v>
      </c>
      <c r="O314" s="1">
        <f ca="1">IFERROR(__xludf.DUMMYFUNCTION("""COMPUTED_VALUE"""),306)</f>
        <v>306</v>
      </c>
      <c r="P314" s="1">
        <f ca="1">IFERROR(__xludf.DUMMYFUNCTION("""COMPUTED_VALUE"""),98.1)</f>
        <v>98.1</v>
      </c>
      <c r="Q314" s="1">
        <f ca="1">IFERROR(__xludf.DUMMYFUNCTION("""COMPUTED_VALUE"""),321)</f>
        <v>321</v>
      </c>
      <c r="R314" s="1">
        <f ca="1">IFERROR(__xludf.DUMMYFUNCTION("""COMPUTED_VALUE"""),105.5)</f>
        <v>105.5</v>
      </c>
      <c r="S314" s="1">
        <f ca="1">IFERROR(__xludf.DUMMYFUNCTION("""COMPUTED_VALUE"""),229)</f>
        <v>229</v>
      </c>
      <c r="T314" s="1" t="str">
        <f ca="1">IFERROR(__xludf.DUMMYFUNCTION("""COMPUTED_VALUE"""),"+7.87")</f>
        <v>+7.87</v>
      </c>
      <c r="U314" s="1">
        <f ca="1">IFERROR(__xludf.DUMMYFUNCTION("""COMPUTED_VALUE"""),18)</f>
        <v>18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IFERROR(__xludf.DUMMYFUNCTION("""COMPUTED_VALUE"""),"Samford")</f>
        <v>Samford</v>
      </c>
      <c r="C315" s="1" t="str">
        <f ca="1">IFERROR(__xludf.DUMMYFUNCTION("""COMPUTED_VALUE"""),"OVC")</f>
        <v>OVC</v>
      </c>
      <c r="D315" s="1" t="str">
        <f ca="1">IFERROR(__xludf.DUMMYFUNCTION("""COMPUTED_VALUE"""),"14-16")</f>
        <v>14-16</v>
      </c>
      <c r="E315" s="1">
        <f ca="1">IFERROR(__xludf.DUMMYFUNCTION("""COMPUTED_VALUE"""),-14.41)</f>
        <v>-14.41</v>
      </c>
      <c r="F315" s="1">
        <f ca="1">IFERROR(__xludf.DUMMYFUNCTION("""COMPUTED_VALUE"""),96.9)</f>
        <v>96.9</v>
      </c>
      <c r="G315" s="1">
        <f ca="1">IFERROR(__xludf.DUMMYFUNCTION("""COMPUTED_VALUE"""),268)</f>
        <v>268</v>
      </c>
      <c r="H315" s="1">
        <f ca="1">IFERROR(__xludf.DUMMYFUNCTION("""COMPUTED_VALUE"""),111.4)</f>
        <v>111.4</v>
      </c>
      <c r="I315" s="1">
        <f ca="1">IFERROR(__xludf.DUMMYFUNCTION("""COMPUTED_VALUE"""),308)</f>
        <v>308</v>
      </c>
      <c r="J315" s="1">
        <f ca="1">IFERROR(__xludf.DUMMYFUNCTION("""COMPUTED_VALUE"""),54.6)</f>
        <v>54.6</v>
      </c>
      <c r="K315" s="1">
        <f ca="1">IFERROR(__xludf.DUMMYFUNCTION("""COMPUTED_VALUE"""),341)</f>
        <v>341</v>
      </c>
      <c r="L315" s="1" t="str">
        <f ca="1">IFERROR(__xludf.DUMMYFUNCTION("""COMPUTED_VALUE"""),"+.083")</f>
        <v>+.083</v>
      </c>
      <c r="M315" s="1">
        <f ca="1">IFERROR(__xludf.DUMMYFUNCTION("""COMPUTED_VALUE"""),19)</f>
        <v>19</v>
      </c>
      <c r="N315" s="1">
        <f ca="1">IFERROR(__xludf.DUMMYFUNCTION("""COMPUTED_VALUE"""),-7.81)</f>
        <v>-7.81</v>
      </c>
      <c r="O315" s="1">
        <f ca="1">IFERROR(__xludf.DUMMYFUNCTION("""COMPUTED_VALUE"""),312)</f>
        <v>312</v>
      </c>
      <c r="P315" s="1">
        <f ca="1">IFERROR(__xludf.DUMMYFUNCTION("""COMPUTED_VALUE"""),101.2)</f>
        <v>101.2</v>
      </c>
      <c r="Q315" s="1">
        <f ca="1">IFERROR(__xludf.DUMMYFUNCTION("""COMPUTED_VALUE"""),255)</f>
        <v>255</v>
      </c>
      <c r="R315" s="1">
        <f ca="1">IFERROR(__xludf.DUMMYFUNCTION("""COMPUTED_VALUE"""),109)</f>
        <v>109</v>
      </c>
      <c r="S315" s="1">
        <f ca="1">IFERROR(__xludf.DUMMYFUNCTION("""COMPUTED_VALUE"""),339)</f>
        <v>339</v>
      </c>
      <c r="T315" s="1" t="str">
        <f ca="1">IFERROR(__xludf.DUMMYFUNCTION("""COMPUTED_VALUE"""),"+2.17")</f>
        <v>+2.17</v>
      </c>
      <c r="U315" s="1">
        <f ca="1">IFERROR(__xludf.DUMMYFUNCTION("""COMPUTED_VALUE"""),95)</f>
        <v>95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IFERROR(__xludf.DUMMYFUNCTION("""COMPUTED_VALUE"""),"Stony Brook")</f>
        <v>Stony Brook</v>
      </c>
      <c r="C316" s="1" t="str">
        <f ca="1">IFERROR(__xludf.DUMMYFUNCTION("""COMPUTED_VALUE"""),"AE")</f>
        <v>AE</v>
      </c>
      <c r="D316" s="2">
        <f ca="1">IFERROR(__xludf.DUMMYFUNCTION("""COMPUTED_VALUE"""),44765)</f>
        <v>44765</v>
      </c>
      <c r="E316" s="1">
        <f ca="1">IFERROR(__xludf.DUMMYFUNCTION("""COMPUTED_VALUE"""),-14.6)</f>
        <v>-14.6</v>
      </c>
      <c r="F316" s="1">
        <f ca="1">IFERROR(__xludf.DUMMYFUNCTION("""COMPUTED_VALUE"""),92.5)</f>
        <v>92.5</v>
      </c>
      <c r="G316" s="1">
        <f ca="1">IFERROR(__xludf.DUMMYFUNCTION("""COMPUTED_VALUE"""),319)</f>
        <v>319</v>
      </c>
      <c r="H316" s="1">
        <f ca="1">IFERROR(__xludf.DUMMYFUNCTION("""COMPUTED_VALUE"""),107.1)</f>
        <v>107.1</v>
      </c>
      <c r="I316" s="1">
        <f ca="1">IFERROR(__xludf.DUMMYFUNCTION("""COMPUTED_VALUE"""),235)</f>
        <v>235</v>
      </c>
      <c r="J316" s="1">
        <f ca="1">IFERROR(__xludf.DUMMYFUNCTION("""COMPUTED_VALUE"""),62.4)</f>
        <v>62.4</v>
      </c>
      <c r="K316" s="1">
        <f ca="1">IFERROR(__xludf.DUMMYFUNCTION("""COMPUTED_VALUE"""),280)</f>
        <v>280</v>
      </c>
      <c r="L316" s="1">
        <f ca="1">IFERROR(__xludf.DUMMYFUNCTION("""COMPUTED_VALUE"""),-0.076)</f>
        <v>-7.5999999999999998E-2</v>
      </c>
      <c r="M316" s="1">
        <f ca="1">IFERROR(__xludf.DUMMYFUNCTION("""COMPUTED_VALUE"""),322)</f>
        <v>322</v>
      </c>
      <c r="N316" s="1">
        <f ca="1">IFERROR(__xludf.DUMMYFUNCTION("""COMPUTED_VALUE"""),-6.84)</f>
        <v>-6.84</v>
      </c>
      <c r="O316" s="1">
        <f ca="1">IFERROR(__xludf.DUMMYFUNCTION("""COMPUTED_VALUE"""),297)</f>
        <v>297</v>
      </c>
      <c r="P316" s="1">
        <f ca="1">IFERROR(__xludf.DUMMYFUNCTION("""COMPUTED_VALUE"""),100.3)</f>
        <v>100.3</v>
      </c>
      <c r="Q316" s="1">
        <f ca="1">IFERROR(__xludf.DUMMYFUNCTION("""COMPUTED_VALUE"""),284)</f>
        <v>284</v>
      </c>
      <c r="R316" s="1">
        <f ca="1">IFERROR(__xludf.DUMMYFUNCTION("""COMPUTED_VALUE"""),107.1)</f>
        <v>107.1</v>
      </c>
      <c r="S316" s="1">
        <f ca="1">IFERROR(__xludf.DUMMYFUNCTION("""COMPUTED_VALUE"""),306)</f>
        <v>306</v>
      </c>
      <c r="T316" s="1">
        <f ca="1">IFERROR(__xludf.DUMMYFUNCTION("""COMPUTED_VALUE"""),-6.73)</f>
        <v>-6.73</v>
      </c>
      <c r="U316" s="1">
        <f ca="1">IFERROR(__xludf.DUMMYFUNCTION("""COMPUTED_VALUE"""),311)</f>
        <v>311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IFERROR(__xludf.DUMMYFUNCTION("""COMPUTED_VALUE"""),"Florida A&amp;M")</f>
        <v>Florida A&amp;M</v>
      </c>
      <c r="C317" s="1" t="str">
        <f ca="1">IFERROR(__xludf.DUMMYFUNCTION("""COMPUTED_VALUE"""),"MEAC")</f>
        <v>MEAC</v>
      </c>
      <c r="D317" s="1" t="str">
        <f ca="1">IFERROR(__xludf.DUMMYFUNCTION("""COMPUTED_VALUE"""),"15-17")</f>
        <v>15-17</v>
      </c>
      <c r="E317" s="1">
        <f ca="1">IFERROR(__xludf.DUMMYFUNCTION("""COMPUTED_VALUE"""),-14.71)</f>
        <v>-14.71</v>
      </c>
      <c r="F317" s="1">
        <f ca="1">IFERROR(__xludf.DUMMYFUNCTION("""COMPUTED_VALUE"""),94.3)</f>
        <v>94.3</v>
      </c>
      <c r="G317" s="1">
        <f ca="1">IFERROR(__xludf.DUMMYFUNCTION("""COMPUTED_VALUE"""),305)</f>
        <v>305</v>
      </c>
      <c r="H317" s="1">
        <f ca="1">IFERROR(__xludf.DUMMYFUNCTION("""COMPUTED_VALUE"""),109)</f>
        <v>109</v>
      </c>
      <c r="I317" s="1">
        <f ca="1">IFERROR(__xludf.DUMMYFUNCTION("""COMPUTED_VALUE"""),272)</f>
        <v>272</v>
      </c>
      <c r="J317" s="1">
        <f ca="1">IFERROR(__xludf.DUMMYFUNCTION("""COMPUTED_VALUE"""),65.6)</f>
        <v>65.599999999999994</v>
      </c>
      <c r="K317" s="1">
        <f ca="1">IFERROR(__xludf.DUMMYFUNCTION("""COMPUTED_VALUE"""),153)</f>
        <v>153</v>
      </c>
      <c r="L317" s="1" t="str">
        <f ca="1">IFERROR(__xludf.DUMMYFUNCTION("""COMPUTED_VALUE"""),"+.075")</f>
        <v>+.075</v>
      </c>
      <c r="M317" s="1">
        <f ca="1">IFERROR(__xludf.DUMMYFUNCTION("""COMPUTED_VALUE"""),27)</f>
        <v>27</v>
      </c>
      <c r="N317" s="1">
        <f ca="1">IFERROR(__xludf.DUMMYFUNCTION("""COMPUTED_VALUE"""),-9.96)</f>
        <v>-9.9600000000000009</v>
      </c>
      <c r="O317" s="1">
        <f ca="1">IFERROR(__xludf.DUMMYFUNCTION("""COMPUTED_VALUE"""),327)</f>
        <v>327</v>
      </c>
      <c r="P317" s="1">
        <f ca="1">IFERROR(__xludf.DUMMYFUNCTION("""COMPUTED_VALUE"""),97)</f>
        <v>97</v>
      </c>
      <c r="Q317" s="1">
        <f ca="1">IFERROR(__xludf.DUMMYFUNCTION("""COMPUTED_VALUE"""),328)</f>
        <v>328</v>
      </c>
      <c r="R317" s="1">
        <f ca="1">IFERROR(__xludf.DUMMYFUNCTION("""COMPUTED_VALUE"""),106.9)</f>
        <v>106.9</v>
      </c>
      <c r="S317" s="1">
        <f ca="1">IFERROR(__xludf.DUMMYFUNCTION("""COMPUTED_VALUE"""),296)</f>
        <v>296</v>
      </c>
      <c r="T317" s="1" t="str">
        <f ca="1">IFERROR(__xludf.DUMMYFUNCTION("""COMPUTED_VALUE"""),"+5.87")</f>
        <v>+5.87</v>
      </c>
      <c r="U317" s="1">
        <f ca="1">IFERROR(__xludf.DUMMYFUNCTION("""COMPUTED_VALUE"""),33)</f>
        <v>33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IFERROR(__xludf.DUMMYFUNCTION("""COMPUTED_VALUE"""),"Rice")</f>
        <v>Rice</v>
      </c>
      <c r="C318" s="1" t="str">
        <f ca="1">IFERROR(__xludf.DUMMYFUNCTION("""COMPUTED_VALUE"""),"CUSA")</f>
        <v>CUSA</v>
      </c>
      <c r="D318" s="2">
        <f ca="1">IFERROR(__xludf.DUMMYFUNCTION("""COMPUTED_VALUE"""),44647)</f>
        <v>44647</v>
      </c>
      <c r="E318" s="1">
        <f ca="1">IFERROR(__xludf.DUMMYFUNCTION("""COMPUTED_VALUE"""),-14.74)</f>
        <v>-14.74</v>
      </c>
      <c r="F318" s="1">
        <f ca="1">IFERROR(__xludf.DUMMYFUNCTION("""COMPUTED_VALUE"""),86.7)</f>
        <v>86.7</v>
      </c>
      <c r="G318" s="1">
        <f ca="1">IFERROR(__xludf.DUMMYFUNCTION("""COMPUTED_VALUE"""),336)</f>
        <v>336</v>
      </c>
      <c r="H318" s="1">
        <f ca="1">IFERROR(__xludf.DUMMYFUNCTION("""COMPUTED_VALUE"""),101.5)</f>
        <v>101.5</v>
      </c>
      <c r="I318" s="1">
        <f ca="1">IFERROR(__xludf.DUMMYFUNCTION("""COMPUTED_VALUE"""),126)</f>
        <v>126</v>
      </c>
      <c r="J318" s="1">
        <f ca="1">IFERROR(__xludf.DUMMYFUNCTION("""COMPUTED_VALUE"""),65.2)</f>
        <v>65.2</v>
      </c>
      <c r="K318" s="1">
        <f ca="1">IFERROR(__xludf.DUMMYFUNCTION("""COMPUTED_VALUE"""),167)</f>
        <v>167</v>
      </c>
      <c r="L318" s="1">
        <f ca="1">IFERROR(__xludf.DUMMYFUNCTION("""COMPUTED_VALUE"""),-0.002)</f>
        <v>-2E-3</v>
      </c>
      <c r="M318" s="1">
        <f ca="1">IFERROR(__xludf.DUMMYFUNCTION("""COMPUTED_VALUE"""),173)</f>
        <v>173</v>
      </c>
      <c r="N318" s="1" t="str">
        <f ca="1">IFERROR(__xludf.DUMMYFUNCTION("""COMPUTED_VALUE"""),"+3.30")</f>
        <v>+3.30</v>
      </c>
      <c r="O318" s="1">
        <f ca="1">IFERROR(__xludf.DUMMYFUNCTION("""COMPUTED_VALUE"""),104)</f>
        <v>104</v>
      </c>
      <c r="P318" s="1">
        <f ca="1">IFERROR(__xludf.DUMMYFUNCTION("""COMPUTED_VALUE"""),105.9)</f>
        <v>105.9</v>
      </c>
      <c r="Q318" s="1">
        <f ca="1">IFERROR(__xludf.DUMMYFUNCTION("""COMPUTED_VALUE"""),91)</f>
        <v>91</v>
      </c>
      <c r="R318" s="1">
        <f ca="1">IFERROR(__xludf.DUMMYFUNCTION("""COMPUTED_VALUE"""),102.6)</f>
        <v>102.6</v>
      </c>
      <c r="S318" s="1">
        <f ca="1">IFERROR(__xludf.DUMMYFUNCTION("""COMPUTED_VALUE"""),130)</f>
        <v>130</v>
      </c>
      <c r="T318" s="1" t="str">
        <f ca="1">IFERROR(__xludf.DUMMYFUNCTION("""COMPUTED_VALUE"""),"+2.34")</f>
        <v>+2.34</v>
      </c>
      <c r="U318" s="1">
        <f ca="1">IFERROR(__xludf.DUMMYFUNCTION("""COMPUTED_VALUE"""),87)</f>
        <v>87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IFERROR(__xludf.DUMMYFUNCTION("""COMPUTED_VALUE"""),"Fairleigh Dickinson")</f>
        <v>Fairleigh Dickinson</v>
      </c>
      <c r="C319" s="1" t="str">
        <f ca="1">IFERROR(__xludf.DUMMYFUNCTION("""COMPUTED_VALUE"""),"NEC")</f>
        <v>NEC</v>
      </c>
      <c r="D319" s="2">
        <f ca="1">IFERROR(__xludf.DUMMYFUNCTION("""COMPUTED_VALUE"""),44793)</f>
        <v>44793</v>
      </c>
      <c r="E319" s="1">
        <f ca="1">IFERROR(__xludf.DUMMYFUNCTION("""COMPUTED_VALUE"""),-14.81)</f>
        <v>-14.81</v>
      </c>
      <c r="F319" s="1">
        <f ca="1">IFERROR(__xludf.DUMMYFUNCTION("""COMPUTED_VALUE"""),99.9)</f>
        <v>99.9</v>
      </c>
      <c r="G319" s="1">
        <f ca="1">IFERROR(__xludf.DUMMYFUNCTION("""COMPUTED_VALUE"""),227)</f>
        <v>227</v>
      </c>
      <c r="H319" s="1">
        <f ca="1">IFERROR(__xludf.DUMMYFUNCTION("""COMPUTED_VALUE"""),114.7)</f>
        <v>114.7</v>
      </c>
      <c r="I319" s="1">
        <f ca="1">IFERROR(__xludf.DUMMYFUNCTION("""COMPUTED_VALUE"""),333)</f>
        <v>333</v>
      </c>
      <c r="J319" s="1">
        <f ca="1">IFERROR(__xludf.DUMMYFUNCTION("""COMPUTED_VALUE"""),67.6)</f>
        <v>67.599999999999994</v>
      </c>
      <c r="K319" s="1">
        <f ca="1">IFERROR(__xludf.DUMMYFUNCTION("""COMPUTED_VALUE"""),88)</f>
        <v>88</v>
      </c>
      <c r="L319" s="1">
        <f ca="1">IFERROR(__xludf.DUMMYFUNCTION("""COMPUTED_VALUE"""),-0.001)</f>
        <v>-1E-3</v>
      </c>
      <c r="M319" s="1">
        <f ca="1">IFERROR(__xludf.DUMMYFUNCTION("""COMPUTED_VALUE"""),171)</f>
        <v>171</v>
      </c>
      <c r="N319" s="1">
        <f ca="1">IFERROR(__xludf.DUMMYFUNCTION("""COMPUTED_VALUE"""),-4.79)</f>
        <v>-4.79</v>
      </c>
      <c r="O319" s="1">
        <f ca="1">IFERROR(__xludf.DUMMYFUNCTION("""COMPUTED_VALUE"""),252)</f>
        <v>252</v>
      </c>
      <c r="P319" s="1">
        <f ca="1">IFERROR(__xludf.DUMMYFUNCTION("""COMPUTED_VALUE"""),100.8)</f>
        <v>100.8</v>
      </c>
      <c r="Q319" s="1">
        <f ca="1">IFERROR(__xludf.DUMMYFUNCTION("""COMPUTED_VALUE"""),270)</f>
        <v>270</v>
      </c>
      <c r="R319" s="1">
        <f ca="1">IFERROR(__xludf.DUMMYFUNCTION("""COMPUTED_VALUE"""),105.6)</f>
        <v>105.6</v>
      </c>
      <c r="S319" s="1">
        <f ca="1">IFERROR(__xludf.DUMMYFUNCTION("""COMPUTED_VALUE"""),239)</f>
        <v>239</v>
      </c>
      <c r="T319" s="1" t="str">
        <f ca="1">IFERROR(__xludf.DUMMYFUNCTION("""COMPUTED_VALUE"""),"+2.38")</f>
        <v>+2.38</v>
      </c>
      <c r="U319" s="1">
        <f ca="1">IFERROR(__xludf.DUMMYFUNCTION("""COMPUTED_VALUE"""),86)</f>
        <v>86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IFERROR(__xludf.DUMMYFUNCTION("""COMPUTED_VALUE"""),"Long Beach St.")</f>
        <v>Long Beach St.</v>
      </c>
      <c r="C320" s="1" t="str">
        <f ca="1">IFERROR(__xludf.DUMMYFUNCTION("""COMPUTED_VALUE"""),"BW")</f>
        <v>BW</v>
      </c>
      <c r="D320" s="2">
        <f ca="1">IFERROR(__xludf.DUMMYFUNCTION("""COMPUTED_VALUE"""),44737)</f>
        <v>44737</v>
      </c>
      <c r="E320" s="1">
        <f ca="1">IFERROR(__xludf.DUMMYFUNCTION("""COMPUTED_VALUE"""),-14.88)</f>
        <v>-14.88</v>
      </c>
      <c r="F320" s="1">
        <f ca="1">IFERROR(__xludf.DUMMYFUNCTION("""COMPUTED_VALUE"""),96.3)</f>
        <v>96.3</v>
      </c>
      <c r="G320" s="1">
        <f ca="1">IFERROR(__xludf.DUMMYFUNCTION("""COMPUTED_VALUE"""),277)</f>
        <v>277</v>
      </c>
      <c r="H320" s="1">
        <f ca="1">IFERROR(__xludf.DUMMYFUNCTION("""COMPUTED_VALUE"""),111.2)</f>
        <v>111.2</v>
      </c>
      <c r="I320" s="1">
        <f ca="1">IFERROR(__xludf.DUMMYFUNCTION("""COMPUTED_VALUE"""),306)</f>
        <v>306</v>
      </c>
      <c r="J320" s="1">
        <f ca="1">IFERROR(__xludf.DUMMYFUNCTION("""COMPUTED_VALUE"""),62.9)</f>
        <v>62.9</v>
      </c>
      <c r="K320" s="1">
        <f ca="1">IFERROR(__xludf.DUMMYFUNCTION("""COMPUTED_VALUE"""),267)</f>
        <v>267</v>
      </c>
      <c r="L320" s="1">
        <f ca="1">IFERROR(__xludf.DUMMYFUNCTION("""COMPUTED_VALUE"""),-0.082)</f>
        <v>-8.2000000000000003E-2</v>
      </c>
      <c r="M320" s="1">
        <f ca="1">IFERROR(__xludf.DUMMYFUNCTION("""COMPUTED_VALUE"""),330)</f>
        <v>330</v>
      </c>
      <c r="N320" s="1">
        <f ca="1">IFERROR(__xludf.DUMMYFUNCTION("""COMPUTED_VALUE"""),-3.03)</f>
        <v>-3.03</v>
      </c>
      <c r="O320" s="1">
        <f ca="1">IFERROR(__xludf.DUMMYFUNCTION("""COMPUTED_VALUE"""),222)</f>
        <v>222</v>
      </c>
      <c r="P320" s="1">
        <f ca="1">IFERROR(__xludf.DUMMYFUNCTION("""COMPUTED_VALUE"""),102.2)</f>
        <v>102.2</v>
      </c>
      <c r="Q320" s="1">
        <f ca="1">IFERROR(__xludf.DUMMYFUNCTION("""COMPUTED_VALUE"""),214)</f>
        <v>214</v>
      </c>
      <c r="R320" s="1">
        <f ca="1">IFERROR(__xludf.DUMMYFUNCTION("""COMPUTED_VALUE"""),105.2)</f>
        <v>105.2</v>
      </c>
      <c r="S320" s="1">
        <f ca="1">IFERROR(__xludf.DUMMYFUNCTION("""COMPUTED_VALUE"""),222)</f>
        <v>222</v>
      </c>
      <c r="T320" s="1">
        <f ca="1">IFERROR(__xludf.DUMMYFUNCTION("""COMPUTED_VALUE"""),-3.44)</f>
        <v>-3.44</v>
      </c>
      <c r="U320" s="1">
        <f ca="1">IFERROR(__xludf.DUMMYFUNCTION("""COMPUTED_VALUE"""),259)</f>
        <v>259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IFERROR(__xludf.DUMMYFUNCTION("""COMPUTED_VALUE"""),"Canisius")</f>
        <v>Canisius</v>
      </c>
      <c r="C321" s="1" t="str">
        <f ca="1">IFERROR(__xludf.DUMMYFUNCTION("""COMPUTED_VALUE"""),"MAAC")</f>
        <v>MAAC</v>
      </c>
      <c r="D321" s="2">
        <f ca="1">IFERROR(__xludf.DUMMYFUNCTION("""COMPUTED_VALUE"""),44737)</f>
        <v>44737</v>
      </c>
      <c r="E321" s="1">
        <f ca="1">IFERROR(__xludf.DUMMYFUNCTION("""COMPUTED_VALUE"""),-15.08)</f>
        <v>-15.08</v>
      </c>
      <c r="F321" s="1">
        <f ca="1">IFERROR(__xludf.DUMMYFUNCTION("""COMPUTED_VALUE"""),95)</f>
        <v>95</v>
      </c>
      <c r="G321" s="1">
        <f ca="1">IFERROR(__xludf.DUMMYFUNCTION("""COMPUTED_VALUE"""),297)</f>
        <v>297</v>
      </c>
      <c r="H321" s="1">
        <f ca="1">IFERROR(__xludf.DUMMYFUNCTION("""COMPUTED_VALUE"""),110.1)</f>
        <v>110.1</v>
      </c>
      <c r="I321" s="1">
        <f ca="1">IFERROR(__xludf.DUMMYFUNCTION("""COMPUTED_VALUE"""),294)</f>
        <v>294</v>
      </c>
      <c r="J321" s="1">
        <f ca="1">IFERROR(__xludf.DUMMYFUNCTION("""COMPUTED_VALUE"""),64)</f>
        <v>64</v>
      </c>
      <c r="K321" s="1">
        <f ca="1">IFERROR(__xludf.DUMMYFUNCTION("""COMPUTED_VALUE"""),214)</f>
        <v>214</v>
      </c>
      <c r="L321" s="1">
        <f ca="1">IFERROR(__xludf.DUMMYFUNCTION("""COMPUTED_VALUE"""),-0.065)</f>
        <v>-6.5000000000000002E-2</v>
      </c>
      <c r="M321" s="1">
        <f ca="1">IFERROR(__xludf.DUMMYFUNCTION("""COMPUTED_VALUE"""),313)</f>
        <v>313</v>
      </c>
      <c r="N321" s="1">
        <f ca="1">IFERROR(__xludf.DUMMYFUNCTION("""COMPUTED_VALUE"""),-1.98)</f>
        <v>-1.98</v>
      </c>
      <c r="O321" s="1">
        <f ca="1">IFERROR(__xludf.DUMMYFUNCTION("""COMPUTED_VALUE"""),193)</f>
        <v>193</v>
      </c>
      <c r="P321" s="1">
        <f ca="1">IFERROR(__xludf.DUMMYFUNCTION("""COMPUTED_VALUE"""),103.2)</f>
        <v>103.2</v>
      </c>
      <c r="Q321" s="1">
        <f ca="1">IFERROR(__xludf.DUMMYFUNCTION("""COMPUTED_VALUE"""),180)</f>
        <v>180</v>
      </c>
      <c r="R321" s="1">
        <f ca="1">IFERROR(__xludf.DUMMYFUNCTION("""COMPUTED_VALUE"""),105.1)</f>
        <v>105.1</v>
      </c>
      <c r="S321" s="1">
        <f ca="1">IFERROR(__xludf.DUMMYFUNCTION("""COMPUTED_VALUE"""),217)</f>
        <v>217</v>
      </c>
      <c r="T321" s="1">
        <f ca="1">IFERROR(__xludf.DUMMYFUNCTION("""COMPUTED_VALUE"""),-2.19)</f>
        <v>-2.19</v>
      </c>
      <c r="U321" s="1">
        <f ca="1">IFERROR(__xludf.DUMMYFUNCTION("""COMPUTED_VALUE"""),217)</f>
        <v>217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IFERROR(__xludf.DUMMYFUNCTION("""COMPUTED_VALUE"""),"Mississippi Valley St.16")</f>
        <v>Mississippi Valley St.16</v>
      </c>
      <c r="C322" s="1" t="str">
        <f ca="1">IFERROR(__xludf.DUMMYFUNCTION("""COMPUTED_VALUE"""),"SWAC")</f>
        <v>SWAC</v>
      </c>
      <c r="D322" s="1" t="str">
        <f ca="1">IFERROR(__xludf.DUMMYFUNCTION("""COMPUTED_VALUE"""),"17-16")</f>
        <v>17-16</v>
      </c>
      <c r="E322" s="1">
        <f ca="1">IFERROR(__xludf.DUMMYFUNCTION("""COMPUTED_VALUE"""),-15.21)</f>
        <v>-15.21</v>
      </c>
      <c r="F322" s="1">
        <f ca="1">IFERROR(__xludf.DUMMYFUNCTION("""COMPUTED_VALUE"""),91.9)</f>
        <v>91.9</v>
      </c>
      <c r="G322" s="1">
        <f ca="1">IFERROR(__xludf.DUMMYFUNCTION("""COMPUTED_VALUE"""),323)</f>
        <v>323</v>
      </c>
      <c r="H322" s="1">
        <f ca="1">IFERROR(__xludf.DUMMYFUNCTION("""COMPUTED_VALUE"""),107.1)</f>
        <v>107.1</v>
      </c>
      <c r="I322" s="1">
        <f ca="1">IFERROR(__xludf.DUMMYFUNCTION("""COMPUTED_VALUE"""),236)</f>
        <v>236</v>
      </c>
      <c r="J322" s="1">
        <f ca="1">IFERROR(__xludf.DUMMYFUNCTION("""COMPUTED_VALUE"""),63)</f>
        <v>63</v>
      </c>
      <c r="K322" s="1">
        <f ca="1">IFERROR(__xludf.DUMMYFUNCTION("""COMPUTED_VALUE"""),259)</f>
        <v>259</v>
      </c>
      <c r="L322" s="1" t="str">
        <f ca="1">IFERROR(__xludf.DUMMYFUNCTION("""COMPUTED_VALUE"""),"+.115")</f>
        <v>+.115</v>
      </c>
      <c r="M322" s="1">
        <f ca="1">IFERROR(__xludf.DUMMYFUNCTION("""COMPUTED_VALUE"""),3)</f>
        <v>3</v>
      </c>
      <c r="N322" s="1">
        <f ca="1">IFERROR(__xludf.DUMMYFUNCTION("""COMPUTED_VALUE"""),-11)</f>
        <v>-11</v>
      </c>
      <c r="O322" s="1">
        <f ca="1">IFERROR(__xludf.DUMMYFUNCTION("""COMPUTED_VALUE"""),332)</f>
        <v>332</v>
      </c>
      <c r="P322" s="1">
        <f ca="1">IFERROR(__xludf.DUMMYFUNCTION("""COMPUTED_VALUE"""),96.7)</f>
        <v>96.7</v>
      </c>
      <c r="Q322" s="1">
        <f ca="1">IFERROR(__xludf.DUMMYFUNCTION("""COMPUTED_VALUE"""),331)</f>
        <v>331</v>
      </c>
      <c r="R322" s="1">
        <f ca="1">IFERROR(__xludf.DUMMYFUNCTION("""COMPUTED_VALUE"""),107.7)</f>
        <v>107.7</v>
      </c>
      <c r="S322" s="1">
        <f ca="1">IFERROR(__xludf.DUMMYFUNCTION("""COMPUTED_VALUE"""),315)</f>
        <v>315</v>
      </c>
      <c r="T322" s="1" t="str">
        <f ca="1">IFERROR(__xludf.DUMMYFUNCTION("""COMPUTED_VALUE"""),"+13.04")</f>
        <v>+13.04</v>
      </c>
      <c r="U322" s="1">
        <f ca="1">IFERROR(__xludf.DUMMYFUNCTION("""COMPUTED_VALUE"""),4)</f>
        <v>4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IFERROR(__xludf.DUMMYFUNCTION("""COMPUTED_VALUE"""),"Florida Gulf Coast")</f>
        <v>Florida Gulf Coast</v>
      </c>
      <c r="C323" s="1" t="str">
        <f ca="1">IFERROR(__xludf.DUMMYFUNCTION("""COMPUTED_VALUE"""),"ASun")</f>
        <v>ASun</v>
      </c>
      <c r="D323" s="2">
        <f ca="1">IFERROR(__xludf.DUMMYFUNCTION("""COMPUTED_VALUE"""),44855)</f>
        <v>44855</v>
      </c>
      <c r="E323" s="1">
        <f ca="1">IFERROR(__xludf.DUMMYFUNCTION("""COMPUTED_VALUE"""),-15.29)</f>
        <v>-15.29</v>
      </c>
      <c r="F323" s="1">
        <f ca="1">IFERROR(__xludf.DUMMYFUNCTION("""COMPUTED_VALUE"""),94.5)</f>
        <v>94.5</v>
      </c>
      <c r="G323" s="1">
        <f ca="1">IFERROR(__xludf.DUMMYFUNCTION("""COMPUTED_VALUE"""),302)</f>
        <v>302</v>
      </c>
      <c r="H323" s="1">
        <f ca="1">IFERROR(__xludf.DUMMYFUNCTION("""COMPUTED_VALUE"""),109.8)</f>
        <v>109.8</v>
      </c>
      <c r="I323" s="1">
        <f ca="1">IFERROR(__xludf.DUMMYFUNCTION("""COMPUTED_VALUE"""),286)</f>
        <v>286</v>
      </c>
      <c r="J323" s="1">
        <f ca="1">IFERROR(__xludf.DUMMYFUNCTION("""COMPUTED_VALUE"""),67.5)</f>
        <v>67.5</v>
      </c>
      <c r="K323" s="1">
        <f ca="1">IFERROR(__xludf.DUMMYFUNCTION("""COMPUTED_VALUE"""),90)</f>
        <v>90</v>
      </c>
      <c r="L323" s="1" t="str">
        <f ca="1">IFERROR(__xludf.DUMMYFUNCTION("""COMPUTED_VALUE"""),"+.035")</f>
        <v>+.035</v>
      </c>
      <c r="M323" s="1">
        <f ca="1">IFERROR(__xludf.DUMMYFUNCTION("""COMPUTED_VALUE"""),90)</f>
        <v>90</v>
      </c>
      <c r="N323" s="1">
        <f ca="1">IFERROR(__xludf.DUMMYFUNCTION("""COMPUTED_VALUE"""),-5.51)</f>
        <v>-5.51</v>
      </c>
      <c r="O323" s="1">
        <f ca="1">IFERROR(__xludf.DUMMYFUNCTION("""COMPUTED_VALUE"""),269)</f>
        <v>269</v>
      </c>
      <c r="P323" s="1">
        <f ca="1">IFERROR(__xludf.DUMMYFUNCTION("""COMPUTED_VALUE"""),99.9)</f>
        <v>99.9</v>
      </c>
      <c r="Q323" s="1">
        <f ca="1">IFERROR(__xludf.DUMMYFUNCTION("""COMPUTED_VALUE"""),296)</f>
        <v>296</v>
      </c>
      <c r="R323" s="1">
        <f ca="1">IFERROR(__xludf.DUMMYFUNCTION("""COMPUTED_VALUE"""),105.4)</f>
        <v>105.4</v>
      </c>
      <c r="S323" s="1">
        <f ca="1">IFERROR(__xludf.DUMMYFUNCTION("""COMPUTED_VALUE"""),226)</f>
        <v>226</v>
      </c>
      <c r="T323" s="1" t="str">
        <f ca="1">IFERROR(__xludf.DUMMYFUNCTION("""COMPUTED_VALUE"""),"+1.68")</f>
        <v>+1.68</v>
      </c>
      <c r="U323" s="1">
        <f ca="1">IFERROR(__xludf.DUMMYFUNCTION("""COMPUTED_VALUE"""),101)</f>
        <v>101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IFERROR(__xludf.DUMMYFUNCTION("""COMPUTED_VALUE"""),"North Carolina A&amp;T")</f>
        <v>North Carolina A&amp;T</v>
      </c>
      <c r="C324" s="1" t="str">
        <f ca="1">IFERROR(__xludf.DUMMYFUNCTION("""COMPUTED_VALUE"""),"MEAC")</f>
        <v>MEAC</v>
      </c>
      <c r="D324" s="1" t="str">
        <f ca="1">IFERROR(__xludf.DUMMYFUNCTION("""COMPUTED_VALUE"""),"15-16")</f>
        <v>15-16</v>
      </c>
      <c r="E324" s="1">
        <f ca="1">IFERROR(__xludf.DUMMYFUNCTION("""COMPUTED_VALUE"""),-15.38)</f>
        <v>-15.38</v>
      </c>
      <c r="F324" s="1">
        <f ca="1">IFERROR(__xludf.DUMMYFUNCTION("""COMPUTED_VALUE"""),96.1)</f>
        <v>96.1</v>
      </c>
      <c r="G324" s="1">
        <f ca="1">IFERROR(__xludf.DUMMYFUNCTION("""COMPUTED_VALUE"""),281)</f>
        <v>281</v>
      </c>
      <c r="H324" s="1">
        <f ca="1">IFERROR(__xludf.DUMMYFUNCTION("""COMPUTED_VALUE"""),111.5)</f>
        <v>111.5</v>
      </c>
      <c r="I324" s="1">
        <f ca="1">IFERROR(__xludf.DUMMYFUNCTION("""COMPUTED_VALUE"""),311)</f>
        <v>311</v>
      </c>
      <c r="J324" s="1">
        <f ca="1">IFERROR(__xludf.DUMMYFUNCTION("""COMPUTED_VALUE"""),67.3)</f>
        <v>67.3</v>
      </c>
      <c r="K324" s="1">
        <f ca="1">IFERROR(__xludf.DUMMYFUNCTION("""COMPUTED_VALUE"""),95)</f>
        <v>95</v>
      </c>
      <c r="L324" s="1" t="str">
        <f ca="1">IFERROR(__xludf.DUMMYFUNCTION("""COMPUTED_VALUE"""),"+.091")</f>
        <v>+.091</v>
      </c>
      <c r="M324" s="1">
        <f ca="1">IFERROR(__xludf.DUMMYFUNCTION("""COMPUTED_VALUE"""),12)</f>
        <v>12</v>
      </c>
      <c r="N324" s="1">
        <f ca="1">IFERROR(__xludf.DUMMYFUNCTION("""COMPUTED_VALUE"""),-7.58)</f>
        <v>-7.58</v>
      </c>
      <c r="O324" s="1">
        <f ca="1">IFERROR(__xludf.DUMMYFUNCTION("""COMPUTED_VALUE"""),309)</f>
        <v>309</v>
      </c>
      <c r="P324" s="1">
        <f ca="1">IFERROR(__xludf.DUMMYFUNCTION("""COMPUTED_VALUE"""),98.8)</f>
        <v>98.8</v>
      </c>
      <c r="Q324" s="1">
        <f ca="1">IFERROR(__xludf.DUMMYFUNCTION("""COMPUTED_VALUE"""),318)</f>
        <v>318</v>
      </c>
      <c r="R324" s="1">
        <f ca="1">IFERROR(__xludf.DUMMYFUNCTION("""COMPUTED_VALUE"""),106.4)</f>
        <v>106.4</v>
      </c>
      <c r="S324" s="1">
        <f ca="1">IFERROR(__xludf.DUMMYFUNCTION("""COMPUTED_VALUE"""),277)</f>
        <v>277</v>
      </c>
      <c r="T324" s="1" t="str">
        <f ca="1">IFERROR(__xludf.DUMMYFUNCTION("""COMPUTED_VALUE"""),"+12.90")</f>
        <v>+12.90</v>
      </c>
      <c r="U324" s="1">
        <f ca="1">IFERROR(__xludf.DUMMYFUNCTION("""COMPUTED_VALUE"""),5)</f>
        <v>5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IFERROR(__xludf.DUMMYFUNCTION("""COMPUTED_VALUE"""),"Monmouth")</f>
        <v>Monmouth</v>
      </c>
      <c r="C325" s="1" t="str">
        <f ca="1">IFERROR(__xludf.DUMMYFUNCTION("""COMPUTED_VALUE"""),"NEC")</f>
        <v>NEC</v>
      </c>
      <c r="D325" s="2">
        <f ca="1">IFERROR(__xludf.DUMMYFUNCTION("""COMPUTED_VALUE"""),44766)</f>
        <v>44766</v>
      </c>
      <c r="E325" s="1">
        <f ca="1">IFERROR(__xludf.DUMMYFUNCTION("""COMPUTED_VALUE"""),-15.45)</f>
        <v>-15.45</v>
      </c>
      <c r="F325" s="1">
        <f ca="1">IFERROR(__xludf.DUMMYFUNCTION("""COMPUTED_VALUE"""),93)</f>
        <v>93</v>
      </c>
      <c r="G325" s="1">
        <f ca="1">IFERROR(__xludf.DUMMYFUNCTION("""COMPUTED_VALUE"""),315)</f>
        <v>315</v>
      </c>
      <c r="H325" s="1">
        <f ca="1">IFERROR(__xludf.DUMMYFUNCTION("""COMPUTED_VALUE"""),108.5)</f>
        <v>108.5</v>
      </c>
      <c r="I325" s="1">
        <f ca="1">IFERROR(__xludf.DUMMYFUNCTION("""COMPUTED_VALUE"""),260)</f>
        <v>260</v>
      </c>
      <c r="J325" s="1">
        <f ca="1">IFERROR(__xludf.DUMMYFUNCTION("""COMPUTED_VALUE"""),60.3)</f>
        <v>60.3</v>
      </c>
      <c r="K325" s="1">
        <f ca="1">IFERROR(__xludf.DUMMYFUNCTION("""COMPUTED_VALUE"""),320)</f>
        <v>320</v>
      </c>
      <c r="L325" s="1">
        <f ca="1">IFERROR(__xludf.DUMMYFUNCTION("""COMPUTED_VALUE"""),-0.023)</f>
        <v>-2.3E-2</v>
      </c>
      <c r="M325" s="1">
        <f ca="1">IFERROR(__xludf.DUMMYFUNCTION("""COMPUTED_VALUE"""),223)</f>
        <v>223</v>
      </c>
      <c r="N325" s="1">
        <f ca="1">IFERROR(__xludf.DUMMYFUNCTION("""COMPUTED_VALUE"""),-5.08)</f>
        <v>-5.08</v>
      </c>
      <c r="O325" s="1">
        <f ca="1">IFERROR(__xludf.DUMMYFUNCTION("""COMPUTED_VALUE"""),261)</f>
        <v>261</v>
      </c>
      <c r="P325" s="1">
        <f ca="1">IFERROR(__xludf.DUMMYFUNCTION("""COMPUTED_VALUE"""),101.1)</f>
        <v>101.1</v>
      </c>
      <c r="Q325" s="1">
        <f ca="1">IFERROR(__xludf.DUMMYFUNCTION("""COMPUTED_VALUE"""),260)</f>
        <v>260</v>
      </c>
      <c r="R325" s="1">
        <f ca="1">IFERROR(__xludf.DUMMYFUNCTION("""COMPUTED_VALUE"""),106.2)</f>
        <v>106.2</v>
      </c>
      <c r="S325" s="1">
        <f ca="1">IFERROR(__xludf.DUMMYFUNCTION("""COMPUTED_VALUE"""),270)</f>
        <v>270</v>
      </c>
      <c r="T325" s="1">
        <f ca="1">IFERROR(__xludf.DUMMYFUNCTION("""COMPUTED_VALUE"""),-1.98)</f>
        <v>-1.98</v>
      </c>
      <c r="U325" s="1">
        <f ca="1">IFERROR(__xludf.DUMMYFUNCTION("""COMPUTED_VALUE"""),209)</f>
        <v>209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IFERROR(__xludf.DUMMYFUNCTION("""COMPUTED_VALUE"""),"Southeast Missouri St.")</f>
        <v>Southeast Missouri St.</v>
      </c>
      <c r="C326" s="1" t="str">
        <f ca="1">IFERROR(__xludf.DUMMYFUNCTION("""COMPUTED_VALUE"""),"OVC")</f>
        <v>OVC</v>
      </c>
      <c r="D326" s="2">
        <f ca="1">IFERROR(__xludf.DUMMYFUNCTION("""COMPUTED_VALUE"""),44914)</f>
        <v>44914</v>
      </c>
      <c r="E326" s="1">
        <f ca="1">IFERROR(__xludf.DUMMYFUNCTION("""COMPUTED_VALUE"""),-15.56)</f>
        <v>-15.56</v>
      </c>
      <c r="F326" s="1">
        <f ca="1">IFERROR(__xludf.DUMMYFUNCTION("""COMPUTED_VALUE"""),96.1)</f>
        <v>96.1</v>
      </c>
      <c r="G326" s="1">
        <f ca="1">IFERROR(__xludf.DUMMYFUNCTION("""COMPUTED_VALUE"""),279)</f>
        <v>279</v>
      </c>
      <c r="H326" s="1">
        <f ca="1">IFERROR(__xludf.DUMMYFUNCTION("""COMPUTED_VALUE"""),111.7)</f>
        <v>111.7</v>
      </c>
      <c r="I326" s="1">
        <f ca="1">IFERROR(__xludf.DUMMYFUNCTION("""COMPUTED_VALUE"""),316)</f>
        <v>316</v>
      </c>
      <c r="J326" s="1">
        <f ca="1">IFERROR(__xludf.DUMMYFUNCTION("""COMPUTED_VALUE"""),74.4)</f>
        <v>74.400000000000006</v>
      </c>
      <c r="K326" s="1">
        <f ca="1">IFERROR(__xludf.DUMMYFUNCTION("""COMPUTED_VALUE"""),4)</f>
        <v>4</v>
      </c>
      <c r="L326" s="1" t="str">
        <f ca="1">IFERROR(__xludf.DUMMYFUNCTION("""COMPUTED_VALUE"""),"+.040")</f>
        <v>+.040</v>
      </c>
      <c r="M326" s="1">
        <f ca="1">IFERROR(__xludf.DUMMYFUNCTION("""COMPUTED_VALUE"""),77)</f>
        <v>77</v>
      </c>
      <c r="N326" s="1">
        <f ca="1">IFERROR(__xludf.DUMMYFUNCTION("""COMPUTED_VALUE"""),-8.03)</f>
        <v>-8.0299999999999994</v>
      </c>
      <c r="O326" s="1">
        <f ca="1">IFERROR(__xludf.DUMMYFUNCTION("""COMPUTED_VALUE"""),314)</f>
        <v>314</v>
      </c>
      <c r="P326" s="1">
        <f ca="1">IFERROR(__xludf.DUMMYFUNCTION("""COMPUTED_VALUE"""),100.9)</f>
        <v>100.9</v>
      </c>
      <c r="Q326" s="1">
        <f ca="1">IFERROR(__xludf.DUMMYFUNCTION("""COMPUTED_VALUE"""),269)</f>
        <v>269</v>
      </c>
      <c r="R326" s="1">
        <f ca="1">IFERROR(__xludf.DUMMYFUNCTION("""COMPUTED_VALUE"""),108.9)</f>
        <v>108.9</v>
      </c>
      <c r="S326" s="1">
        <f ca="1">IFERROR(__xludf.DUMMYFUNCTION("""COMPUTED_VALUE"""),337)</f>
        <v>337</v>
      </c>
      <c r="T326" s="1" t="str">
        <f ca="1">IFERROR(__xludf.DUMMYFUNCTION("""COMPUTED_VALUE"""),"+1.23")</f>
        <v>+1.23</v>
      </c>
      <c r="U326" s="1">
        <f ca="1">IFERROR(__xludf.DUMMYFUNCTION("""COMPUTED_VALUE"""),116)</f>
        <v>116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IFERROR(__xludf.DUMMYFUNCTION("""COMPUTED_VALUE"""),"Kennesaw St.")</f>
        <v>Kennesaw St.</v>
      </c>
      <c r="C327" s="1" t="str">
        <f ca="1">IFERROR(__xludf.DUMMYFUNCTION("""COMPUTED_VALUE"""),"ASun")</f>
        <v>ASun</v>
      </c>
      <c r="D327" s="2">
        <f ca="1">IFERROR(__xludf.DUMMYFUNCTION("""COMPUTED_VALUE"""),44854)</f>
        <v>44854</v>
      </c>
      <c r="E327" s="1">
        <f ca="1">IFERROR(__xludf.DUMMYFUNCTION("""COMPUTED_VALUE"""),-15.6)</f>
        <v>-15.6</v>
      </c>
      <c r="F327" s="1">
        <f ca="1">IFERROR(__xludf.DUMMYFUNCTION("""COMPUTED_VALUE"""),94.4)</f>
        <v>94.4</v>
      </c>
      <c r="G327" s="1">
        <f ca="1">IFERROR(__xludf.DUMMYFUNCTION("""COMPUTED_VALUE"""),304)</f>
        <v>304</v>
      </c>
      <c r="H327" s="1">
        <f ca="1">IFERROR(__xludf.DUMMYFUNCTION("""COMPUTED_VALUE"""),110)</f>
        <v>110</v>
      </c>
      <c r="I327" s="1">
        <f ca="1">IFERROR(__xludf.DUMMYFUNCTION("""COMPUTED_VALUE"""),291)</f>
        <v>291</v>
      </c>
      <c r="J327" s="1">
        <f ca="1">IFERROR(__xludf.DUMMYFUNCTION("""COMPUTED_VALUE"""),68.2)</f>
        <v>68.2</v>
      </c>
      <c r="K327" s="1">
        <f ca="1">IFERROR(__xludf.DUMMYFUNCTION("""COMPUTED_VALUE"""),71)</f>
        <v>71</v>
      </c>
      <c r="L327" s="1" t="str">
        <f ca="1">IFERROR(__xludf.DUMMYFUNCTION("""COMPUTED_VALUE"""),"+.000")</f>
        <v>+.000</v>
      </c>
      <c r="M327" s="1">
        <f ca="1">IFERROR(__xludf.DUMMYFUNCTION("""COMPUTED_VALUE"""),166)</f>
        <v>166</v>
      </c>
      <c r="N327" s="1">
        <f ca="1">IFERROR(__xludf.DUMMYFUNCTION("""COMPUTED_VALUE"""),-8.52)</f>
        <v>-8.52</v>
      </c>
      <c r="O327" s="1">
        <f ca="1">IFERROR(__xludf.DUMMYFUNCTION("""COMPUTED_VALUE"""),319)</f>
        <v>319</v>
      </c>
      <c r="P327" s="1">
        <f ca="1">IFERROR(__xludf.DUMMYFUNCTION("""COMPUTED_VALUE"""),98.1)</f>
        <v>98.1</v>
      </c>
      <c r="Q327" s="1">
        <f ca="1">IFERROR(__xludf.DUMMYFUNCTION("""COMPUTED_VALUE"""),322)</f>
        <v>322</v>
      </c>
      <c r="R327" s="1">
        <f ca="1">IFERROR(__xludf.DUMMYFUNCTION("""COMPUTED_VALUE"""),106.6)</f>
        <v>106.6</v>
      </c>
      <c r="S327" s="1">
        <f ca="1">IFERROR(__xludf.DUMMYFUNCTION("""COMPUTED_VALUE"""),285)</f>
        <v>285</v>
      </c>
      <c r="T327" s="1">
        <f ca="1">IFERROR(__xludf.DUMMYFUNCTION("""COMPUTED_VALUE"""),-5.41)</f>
        <v>-5.41</v>
      </c>
      <c r="U327" s="1">
        <f ca="1">IFERROR(__xludf.DUMMYFUNCTION("""COMPUTED_VALUE"""),295)</f>
        <v>295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IFERROR(__xludf.DUMMYFUNCTION("""COMPUTED_VALUE"""),"Princeton")</f>
        <v>Princeton</v>
      </c>
      <c r="C328" s="1" t="str">
        <f ca="1">IFERROR(__xludf.DUMMYFUNCTION("""COMPUTED_VALUE"""),"Ivy")</f>
        <v>Ivy</v>
      </c>
      <c r="D328" s="2">
        <f ca="1">IFERROR(__xludf.DUMMYFUNCTION("""COMPUTED_VALUE"""),44735)</f>
        <v>44735</v>
      </c>
      <c r="E328" s="1">
        <f ca="1">IFERROR(__xludf.DUMMYFUNCTION("""COMPUTED_VALUE"""),-15.68)</f>
        <v>-15.68</v>
      </c>
      <c r="F328" s="1">
        <f ca="1">IFERROR(__xludf.DUMMYFUNCTION("""COMPUTED_VALUE"""),93.2)</f>
        <v>93.2</v>
      </c>
      <c r="G328" s="1">
        <f ca="1">IFERROR(__xludf.DUMMYFUNCTION("""COMPUTED_VALUE"""),313)</f>
        <v>313</v>
      </c>
      <c r="H328" s="1">
        <f ca="1">IFERROR(__xludf.DUMMYFUNCTION("""COMPUTED_VALUE"""),108.9)</f>
        <v>108.9</v>
      </c>
      <c r="I328" s="1">
        <f ca="1">IFERROR(__xludf.DUMMYFUNCTION("""COMPUTED_VALUE"""),271)</f>
        <v>271</v>
      </c>
      <c r="J328" s="1">
        <f ca="1">IFERROR(__xludf.DUMMYFUNCTION("""COMPUTED_VALUE"""),58.8)</f>
        <v>58.8</v>
      </c>
      <c r="K328" s="1">
        <f ca="1">IFERROR(__xludf.DUMMYFUNCTION("""COMPUTED_VALUE"""),330)</f>
        <v>330</v>
      </c>
      <c r="L328" s="1">
        <f ca="1">IFERROR(__xludf.DUMMYFUNCTION("""COMPUTED_VALUE"""),-0.039)</f>
        <v>-3.9E-2</v>
      </c>
      <c r="M328" s="1">
        <f ca="1">IFERROR(__xludf.DUMMYFUNCTION("""COMPUTED_VALUE"""),267)</f>
        <v>267</v>
      </c>
      <c r="N328" s="1">
        <f ca="1">IFERROR(__xludf.DUMMYFUNCTION("""COMPUTED_VALUE"""),-4.37)</f>
        <v>-4.37</v>
      </c>
      <c r="O328" s="1">
        <f ca="1">IFERROR(__xludf.DUMMYFUNCTION("""COMPUTED_VALUE"""),243)</f>
        <v>243</v>
      </c>
      <c r="P328" s="1">
        <f ca="1">IFERROR(__xludf.DUMMYFUNCTION("""COMPUTED_VALUE"""),101.7)</f>
        <v>101.7</v>
      </c>
      <c r="Q328" s="1">
        <f ca="1">IFERROR(__xludf.DUMMYFUNCTION("""COMPUTED_VALUE"""),236)</f>
        <v>236</v>
      </c>
      <c r="R328" s="1">
        <f ca="1">IFERROR(__xludf.DUMMYFUNCTION("""COMPUTED_VALUE"""),106.1)</f>
        <v>106.1</v>
      </c>
      <c r="S328" s="1">
        <f ca="1">IFERROR(__xludf.DUMMYFUNCTION("""COMPUTED_VALUE"""),262)</f>
        <v>262</v>
      </c>
      <c r="T328" s="1">
        <f ca="1">IFERROR(__xludf.DUMMYFUNCTION("""COMPUTED_VALUE"""),-0.39)</f>
        <v>-0.39</v>
      </c>
      <c r="U328" s="1">
        <f ca="1">IFERROR(__xludf.DUMMYFUNCTION("""COMPUTED_VALUE"""),157)</f>
        <v>157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IFERROR(__xludf.DUMMYFUNCTION("""COMPUTED_VALUE"""),"Dartmouth")</f>
        <v>Dartmouth</v>
      </c>
      <c r="C329" s="1" t="str">
        <f ca="1">IFERROR(__xludf.DUMMYFUNCTION("""COMPUTED_VALUE"""),"Ivy")</f>
        <v>Ivy</v>
      </c>
      <c r="D329" s="2">
        <f ca="1">IFERROR(__xludf.DUMMYFUNCTION("""COMPUTED_VALUE"""),44852)</f>
        <v>44852</v>
      </c>
      <c r="E329" s="1">
        <f ca="1">IFERROR(__xludf.DUMMYFUNCTION("""COMPUTED_VALUE"""),-15.91)</f>
        <v>-15.91</v>
      </c>
      <c r="F329" s="1">
        <f ca="1">IFERROR(__xludf.DUMMYFUNCTION("""COMPUTED_VALUE"""),92.4)</f>
        <v>92.4</v>
      </c>
      <c r="G329" s="1">
        <f ca="1">IFERROR(__xludf.DUMMYFUNCTION("""COMPUTED_VALUE"""),320)</f>
        <v>320</v>
      </c>
      <c r="H329" s="1">
        <f ca="1">IFERROR(__xludf.DUMMYFUNCTION("""COMPUTED_VALUE"""),108.3)</f>
        <v>108.3</v>
      </c>
      <c r="I329" s="1">
        <f ca="1">IFERROR(__xludf.DUMMYFUNCTION("""COMPUTED_VALUE"""),258)</f>
        <v>258</v>
      </c>
      <c r="J329" s="1">
        <f ca="1">IFERROR(__xludf.DUMMYFUNCTION("""COMPUTED_VALUE"""),64.6)</f>
        <v>64.599999999999994</v>
      </c>
      <c r="K329" s="1">
        <f ca="1">IFERROR(__xludf.DUMMYFUNCTION("""COMPUTED_VALUE"""),192)</f>
        <v>192</v>
      </c>
      <c r="L329" s="1">
        <f ca="1">IFERROR(__xludf.DUMMYFUNCTION("""COMPUTED_VALUE"""),0)</f>
        <v>0</v>
      </c>
      <c r="M329" s="1">
        <f ca="1">IFERROR(__xludf.DUMMYFUNCTION("""COMPUTED_VALUE"""),168)</f>
        <v>168</v>
      </c>
      <c r="N329" s="1">
        <f ca="1">IFERROR(__xludf.DUMMYFUNCTION("""COMPUTED_VALUE"""),-7.02)</f>
        <v>-7.02</v>
      </c>
      <c r="O329" s="1">
        <f ca="1">IFERROR(__xludf.DUMMYFUNCTION("""COMPUTED_VALUE"""),301)</f>
        <v>301</v>
      </c>
      <c r="P329" s="1">
        <f ca="1">IFERROR(__xludf.DUMMYFUNCTION("""COMPUTED_VALUE"""),100)</f>
        <v>100</v>
      </c>
      <c r="Q329" s="1">
        <f ca="1">IFERROR(__xludf.DUMMYFUNCTION("""COMPUTED_VALUE"""),292)</f>
        <v>292</v>
      </c>
      <c r="R329" s="1">
        <f ca="1">IFERROR(__xludf.DUMMYFUNCTION("""COMPUTED_VALUE"""),107.1)</f>
        <v>107.1</v>
      </c>
      <c r="S329" s="1">
        <f ca="1">IFERROR(__xludf.DUMMYFUNCTION("""COMPUTED_VALUE"""),303)</f>
        <v>303</v>
      </c>
      <c r="T329" s="1">
        <f ca="1">IFERROR(__xludf.DUMMYFUNCTION("""COMPUTED_VALUE"""),-6.17)</f>
        <v>-6.17</v>
      </c>
      <c r="U329" s="1">
        <f ca="1">IFERROR(__xludf.DUMMYFUNCTION("""COMPUTED_VALUE"""),303)</f>
        <v>303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IFERROR(__xludf.DUMMYFUNCTION("""COMPUTED_VALUE"""),"Southern")</f>
        <v>Southern</v>
      </c>
      <c r="C330" s="1" t="str">
        <f ca="1">IFERROR(__xludf.DUMMYFUNCTION("""COMPUTED_VALUE"""),"SWAC")</f>
        <v>SWAC</v>
      </c>
      <c r="D330" s="2">
        <f ca="1">IFERROR(__xludf.DUMMYFUNCTION("""COMPUTED_VALUE"""),44884)</f>
        <v>44884</v>
      </c>
      <c r="E330" s="1">
        <f ca="1">IFERROR(__xludf.DUMMYFUNCTION("""COMPUTED_VALUE"""),-16.09)</f>
        <v>-16.09</v>
      </c>
      <c r="F330" s="1">
        <f ca="1">IFERROR(__xludf.DUMMYFUNCTION("""COMPUTED_VALUE"""),90)</f>
        <v>90</v>
      </c>
      <c r="G330" s="1">
        <f ca="1">IFERROR(__xludf.DUMMYFUNCTION("""COMPUTED_VALUE"""),327)</f>
        <v>327</v>
      </c>
      <c r="H330" s="1">
        <f ca="1">IFERROR(__xludf.DUMMYFUNCTION("""COMPUTED_VALUE"""),106.1)</f>
        <v>106.1</v>
      </c>
      <c r="I330" s="1">
        <f ca="1">IFERROR(__xludf.DUMMYFUNCTION("""COMPUTED_VALUE"""),213)</f>
        <v>213</v>
      </c>
      <c r="J330" s="1">
        <f ca="1">IFERROR(__xludf.DUMMYFUNCTION("""COMPUTED_VALUE"""),63.3)</f>
        <v>63.3</v>
      </c>
      <c r="K330" s="1">
        <f ca="1">IFERROR(__xludf.DUMMYFUNCTION("""COMPUTED_VALUE"""),252)</f>
        <v>252</v>
      </c>
      <c r="L330" s="1">
        <f ca="1">IFERROR(__xludf.DUMMYFUNCTION("""COMPUTED_VALUE"""),-0.026)</f>
        <v>-2.5999999999999999E-2</v>
      </c>
      <c r="M330" s="1">
        <f ca="1">IFERROR(__xludf.DUMMYFUNCTION("""COMPUTED_VALUE"""),237)</f>
        <v>237</v>
      </c>
      <c r="N330" s="1">
        <f ca="1">IFERROR(__xludf.DUMMYFUNCTION("""COMPUTED_VALUE"""),-11.33)</f>
        <v>-11.33</v>
      </c>
      <c r="O330" s="1">
        <f ca="1">IFERROR(__xludf.DUMMYFUNCTION("""COMPUTED_VALUE"""),333)</f>
        <v>333</v>
      </c>
      <c r="P330" s="1">
        <f ca="1">IFERROR(__xludf.DUMMYFUNCTION("""COMPUTED_VALUE"""),96.7)</f>
        <v>96.7</v>
      </c>
      <c r="Q330" s="1">
        <f ca="1">IFERROR(__xludf.DUMMYFUNCTION("""COMPUTED_VALUE"""),332)</f>
        <v>332</v>
      </c>
      <c r="R330" s="1">
        <f ca="1">IFERROR(__xludf.DUMMYFUNCTION("""COMPUTED_VALUE"""),108)</f>
        <v>108</v>
      </c>
      <c r="S330" s="1">
        <f ca="1">IFERROR(__xludf.DUMMYFUNCTION("""COMPUTED_VALUE"""),323)</f>
        <v>323</v>
      </c>
      <c r="T330" s="1" t="str">
        <f ca="1">IFERROR(__xludf.DUMMYFUNCTION("""COMPUTED_VALUE"""),"+7.97")</f>
        <v>+7.97</v>
      </c>
      <c r="U330" s="1">
        <f ca="1">IFERROR(__xludf.DUMMYFUNCTION("""COMPUTED_VALUE"""),16)</f>
        <v>16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IFERROR(__xludf.DUMMYFUNCTION("""COMPUTED_VALUE"""),"Jackson St.")</f>
        <v>Jackson St.</v>
      </c>
      <c r="C331" s="1" t="str">
        <f ca="1">IFERROR(__xludf.DUMMYFUNCTION("""COMPUTED_VALUE"""),"SWAC")</f>
        <v>SWAC</v>
      </c>
      <c r="D331" s="1" t="str">
        <f ca="1">IFERROR(__xludf.DUMMYFUNCTION("""COMPUTED_VALUE"""),"14-20")</f>
        <v>14-20</v>
      </c>
      <c r="E331" s="1">
        <f ca="1">IFERROR(__xludf.DUMMYFUNCTION("""COMPUTED_VALUE"""),-16.17)</f>
        <v>-16.170000000000002</v>
      </c>
      <c r="F331" s="1">
        <f ca="1">IFERROR(__xludf.DUMMYFUNCTION("""COMPUTED_VALUE"""),93)</f>
        <v>93</v>
      </c>
      <c r="G331" s="1">
        <f ca="1">IFERROR(__xludf.DUMMYFUNCTION("""COMPUTED_VALUE"""),316)</f>
        <v>316</v>
      </c>
      <c r="H331" s="1">
        <f ca="1">IFERROR(__xludf.DUMMYFUNCTION("""COMPUTED_VALUE"""),109.2)</f>
        <v>109.2</v>
      </c>
      <c r="I331" s="1">
        <f ca="1">IFERROR(__xludf.DUMMYFUNCTION("""COMPUTED_VALUE"""),276)</f>
        <v>276</v>
      </c>
      <c r="J331" s="1">
        <f ca="1">IFERROR(__xludf.DUMMYFUNCTION("""COMPUTED_VALUE"""),70)</f>
        <v>70</v>
      </c>
      <c r="K331" s="1">
        <f ca="1">IFERROR(__xludf.DUMMYFUNCTION("""COMPUTED_VALUE"""),25)</f>
        <v>25</v>
      </c>
      <c r="L331" s="1" t="str">
        <f ca="1">IFERROR(__xludf.DUMMYFUNCTION("""COMPUTED_VALUE"""),"+.040")</f>
        <v>+.040</v>
      </c>
      <c r="M331" s="1">
        <f ca="1">IFERROR(__xludf.DUMMYFUNCTION("""COMPUTED_VALUE"""),79)</f>
        <v>79</v>
      </c>
      <c r="N331" s="1">
        <f ca="1">IFERROR(__xludf.DUMMYFUNCTION("""COMPUTED_VALUE"""),-11.87)</f>
        <v>-11.87</v>
      </c>
      <c r="O331" s="1">
        <f ca="1">IFERROR(__xludf.DUMMYFUNCTION("""COMPUTED_VALUE"""),335)</f>
        <v>335</v>
      </c>
      <c r="P331" s="1">
        <f ca="1">IFERROR(__xludf.DUMMYFUNCTION("""COMPUTED_VALUE"""),96.2)</f>
        <v>96.2</v>
      </c>
      <c r="Q331" s="1">
        <f ca="1">IFERROR(__xludf.DUMMYFUNCTION("""COMPUTED_VALUE"""),333)</f>
        <v>333</v>
      </c>
      <c r="R331" s="1">
        <f ca="1">IFERROR(__xludf.DUMMYFUNCTION("""COMPUTED_VALUE"""),108.1)</f>
        <v>108.1</v>
      </c>
      <c r="S331" s="1">
        <f ca="1">IFERROR(__xludf.DUMMYFUNCTION("""COMPUTED_VALUE"""),324)</f>
        <v>324</v>
      </c>
      <c r="T331" s="1" t="str">
        <f ca="1">IFERROR(__xludf.DUMMYFUNCTION("""COMPUTED_VALUE"""),"+2.20")</f>
        <v>+2.20</v>
      </c>
      <c r="U331" s="1">
        <f ca="1">IFERROR(__xludf.DUMMYFUNCTION("""COMPUTED_VALUE"""),94)</f>
        <v>94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IFERROR(__xludf.DUMMYFUNCTION("""COMPUTED_VALUE"""),"Charleston Southern")</f>
        <v>Charleston Southern</v>
      </c>
      <c r="C332" s="1" t="str">
        <f ca="1">IFERROR(__xludf.DUMMYFUNCTION("""COMPUTED_VALUE"""),"BSth")</f>
        <v>BSth</v>
      </c>
      <c r="D332" s="2">
        <f ca="1">IFERROR(__xludf.DUMMYFUNCTION("""COMPUTED_VALUE"""),44854)</f>
        <v>44854</v>
      </c>
      <c r="E332" s="1">
        <f ca="1">IFERROR(__xludf.DUMMYFUNCTION("""COMPUTED_VALUE"""),-16.55)</f>
        <v>-16.55</v>
      </c>
      <c r="F332" s="1">
        <f ca="1">IFERROR(__xludf.DUMMYFUNCTION("""COMPUTED_VALUE"""),99.1)</f>
        <v>99.1</v>
      </c>
      <c r="G332" s="1">
        <f ca="1">IFERROR(__xludf.DUMMYFUNCTION("""COMPUTED_VALUE"""),237)</f>
        <v>237</v>
      </c>
      <c r="H332" s="1">
        <f ca="1">IFERROR(__xludf.DUMMYFUNCTION("""COMPUTED_VALUE"""),115.6)</f>
        <v>115.6</v>
      </c>
      <c r="I332" s="1">
        <f ca="1">IFERROR(__xludf.DUMMYFUNCTION("""COMPUTED_VALUE"""),337)</f>
        <v>337</v>
      </c>
      <c r="J332" s="1">
        <f ca="1">IFERROR(__xludf.DUMMYFUNCTION("""COMPUTED_VALUE"""),68.3)</f>
        <v>68.3</v>
      </c>
      <c r="K332" s="1">
        <f ca="1">IFERROR(__xludf.DUMMYFUNCTION("""COMPUTED_VALUE"""),65)</f>
        <v>65</v>
      </c>
      <c r="L332" s="1" t="str">
        <f ca="1">IFERROR(__xludf.DUMMYFUNCTION("""COMPUTED_VALUE"""),"+.004")</f>
        <v>+.004</v>
      </c>
      <c r="M332" s="1">
        <f ca="1">IFERROR(__xludf.DUMMYFUNCTION("""COMPUTED_VALUE"""),157)</f>
        <v>157</v>
      </c>
      <c r="N332" s="1">
        <f ca="1">IFERROR(__xludf.DUMMYFUNCTION("""COMPUTED_VALUE"""),-4.82)</f>
        <v>-4.82</v>
      </c>
      <c r="O332" s="1">
        <f ca="1">IFERROR(__xludf.DUMMYFUNCTION("""COMPUTED_VALUE"""),254)</f>
        <v>254</v>
      </c>
      <c r="P332" s="1">
        <f ca="1">IFERROR(__xludf.DUMMYFUNCTION("""COMPUTED_VALUE"""),102.1)</f>
        <v>102.1</v>
      </c>
      <c r="Q332" s="1">
        <f ca="1">IFERROR(__xludf.DUMMYFUNCTION("""COMPUTED_VALUE"""),216)</f>
        <v>216</v>
      </c>
      <c r="R332" s="1">
        <f ca="1">IFERROR(__xludf.DUMMYFUNCTION("""COMPUTED_VALUE"""),106.9)</f>
        <v>106.9</v>
      </c>
      <c r="S332" s="1">
        <f ca="1">IFERROR(__xludf.DUMMYFUNCTION("""COMPUTED_VALUE"""),297)</f>
        <v>297</v>
      </c>
      <c r="T332" s="1">
        <f ca="1">IFERROR(__xludf.DUMMYFUNCTION("""COMPUTED_VALUE"""),-3.55)</f>
        <v>-3.55</v>
      </c>
      <c r="U332" s="1">
        <f ca="1">IFERROR(__xludf.DUMMYFUNCTION("""COMPUTED_VALUE"""),263)</f>
        <v>263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IFERROR(__xludf.DUMMYFUNCTION("""COMPUTED_VALUE"""),"South Carolina St.")</f>
        <v>South Carolina St.</v>
      </c>
      <c r="C333" s="1" t="str">
        <f ca="1">IFERROR(__xludf.DUMMYFUNCTION("""COMPUTED_VALUE"""),"MEAC")</f>
        <v>MEAC</v>
      </c>
      <c r="D333" s="1" t="str">
        <f ca="1">IFERROR(__xludf.DUMMYFUNCTION("""COMPUTED_VALUE"""),"13-20")</f>
        <v>13-20</v>
      </c>
      <c r="E333" s="1">
        <f ca="1">IFERROR(__xludf.DUMMYFUNCTION("""COMPUTED_VALUE"""),-16.61)</f>
        <v>-16.61</v>
      </c>
      <c r="F333" s="1">
        <f ca="1">IFERROR(__xludf.DUMMYFUNCTION("""COMPUTED_VALUE"""),95.5)</f>
        <v>95.5</v>
      </c>
      <c r="G333" s="1">
        <f ca="1">IFERROR(__xludf.DUMMYFUNCTION("""COMPUTED_VALUE"""),289)</f>
        <v>289</v>
      </c>
      <c r="H333" s="1">
        <f ca="1">IFERROR(__xludf.DUMMYFUNCTION("""COMPUTED_VALUE"""),112.1)</f>
        <v>112.1</v>
      </c>
      <c r="I333" s="1">
        <f ca="1">IFERROR(__xludf.DUMMYFUNCTION("""COMPUTED_VALUE"""),320)</f>
        <v>320</v>
      </c>
      <c r="J333" s="1">
        <f ca="1">IFERROR(__xludf.DUMMYFUNCTION("""COMPUTED_VALUE"""),70.3)</f>
        <v>70.3</v>
      </c>
      <c r="K333" s="1">
        <f ca="1">IFERROR(__xludf.DUMMYFUNCTION("""COMPUTED_VALUE"""),21)</f>
        <v>21</v>
      </c>
      <c r="L333" s="1" t="str">
        <f ca="1">IFERROR(__xludf.DUMMYFUNCTION("""COMPUTED_VALUE"""),"+.057")</f>
        <v>+.057</v>
      </c>
      <c r="M333" s="1">
        <f ca="1">IFERROR(__xludf.DUMMYFUNCTION("""COMPUTED_VALUE"""),45)</f>
        <v>45</v>
      </c>
      <c r="N333" s="1">
        <f ca="1">IFERROR(__xludf.DUMMYFUNCTION("""COMPUTED_VALUE"""),-10.71)</f>
        <v>-10.71</v>
      </c>
      <c r="O333" s="1">
        <f ca="1">IFERROR(__xludf.DUMMYFUNCTION("""COMPUTED_VALUE"""),330)</f>
        <v>330</v>
      </c>
      <c r="P333" s="1">
        <f ca="1">IFERROR(__xludf.DUMMYFUNCTION("""COMPUTED_VALUE"""),96.9)</f>
        <v>96.9</v>
      </c>
      <c r="Q333" s="1">
        <f ca="1">IFERROR(__xludf.DUMMYFUNCTION("""COMPUTED_VALUE"""),330)</f>
        <v>330</v>
      </c>
      <c r="R333" s="1">
        <f ca="1">IFERROR(__xludf.DUMMYFUNCTION("""COMPUTED_VALUE"""),107.7)</f>
        <v>107.7</v>
      </c>
      <c r="S333" s="1">
        <f ca="1">IFERROR(__xludf.DUMMYFUNCTION("""COMPUTED_VALUE"""),313)</f>
        <v>313</v>
      </c>
      <c r="T333" s="1">
        <f ca="1">IFERROR(__xludf.DUMMYFUNCTION("""COMPUTED_VALUE"""),-5.12)</f>
        <v>-5.12</v>
      </c>
      <c r="U333" s="1">
        <f ca="1">IFERROR(__xludf.DUMMYFUNCTION("""COMPUTED_VALUE"""),290)</f>
        <v>290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IFERROR(__xludf.DUMMYFUNCTION("""COMPUTED_VALUE"""),"Alabama A&amp;M")</f>
        <v>Alabama A&amp;M</v>
      </c>
      <c r="C334" s="1" t="str">
        <f ca="1">IFERROR(__xludf.DUMMYFUNCTION("""COMPUTED_VALUE"""),"SWAC")</f>
        <v>SWAC</v>
      </c>
      <c r="D334" s="1" t="str">
        <f ca="1">IFERROR(__xludf.DUMMYFUNCTION("""COMPUTED_VALUE"""),"14-15")</f>
        <v>14-15</v>
      </c>
      <c r="E334" s="1">
        <f ca="1">IFERROR(__xludf.DUMMYFUNCTION("""COMPUTED_VALUE"""),-16.72)</f>
        <v>-16.72</v>
      </c>
      <c r="F334" s="1">
        <f ca="1">IFERROR(__xludf.DUMMYFUNCTION("""COMPUTED_VALUE"""),89.4)</f>
        <v>89.4</v>
      </c>
      <c r="G334" s="1">
        <f ca="1">IFERROR(__xludf.DUMMYFUNCTION("""COMPUTED_VALUE"""),331)</f>
        <v>331</v>
      </c>
      <c r="H334" s="1">
        <f ca="1">IFERROR(__xludf.DUMMYFUNCTION("""COMPUTED_VALUE"""),106.2)</f>
        <v>106.2</v>
      </c>
      <c r="I334" s="1">
        <f ca="1">IFERROR(__xludf.DUMMYFUNCTION("""COMPUTED_VALUE"""),215)</f>
        <v>215</v>
      </c>
      <c r="J334" s="1">
        <f ca="1">IFERROR(__xludf.DUMMYFUNCTION("""COMPUTED_VALUE"""),68.2)</f>
        <v>68.2</v>
      </c>
      <c r="K334" s="1">
        <f ca="1">IFERROR(__xludf.DUMMYFUNCTION("""COMPUTED_VALUE"""),72)</f>
        <v>72</v>
      </c>
      <c r="L334" s="1" t="str">
        <f ca="1">IFERROR(__xludf.DUMMYFUNCTION("""COMPUTED_VALUE"""),"+.012")</f>
        <v>+.012</v>
      </c>
      <c r="M334" s="1">
        <f ca="1">IFERROR(__xludf.DUMMYFUNCTION("""COMPUTED_VALUE"""),143)</f>
        <v>143</v>
      </c>
      <c r="N334" s="1">
        <f ca="1">IFERROR(__xludf.DUMMYFUNCTION("""COMPUTED_VALUE"""),-14.24)</f>
        <v>-14.24</v>
      </c>
      <c r="O334" s="1">
        <f ca="1">IFERROR(__xludf.DUMMYFUNCTION("""COMPUTED_VALUE"""),341)</f>
        <v>341</v>
      </c>
      <c r="P334" s="1">
        <f ca="1">IFERROR(__xludf.DUMMYFUNCTION("""COMPUTED_VALUE"""),94.6)</f>
        <v>94.6</v>
      </c>
      <c r="Q334" s="1">
        <f ca="1">IFERROR(__xludf.DUMMYFUNCTION("""COMPUTED_VALUE"""),341)</f>
        <v>341</v>
      </c>
      <c r="R334" s="1">
        <f ca="1">IFERROR(__xludf.DUMMYFUNCTION("""COMPUTED_VALUE"""),108.9)</f>
        <v>108.9</v>
      </c>
      <c r="S334" s="1">
        <f ca="1">IFERROR(__xludf.DUMMYFUNCTION("""COMPUTED_VALUE"""),335)</f>
        <v>335</v>
      </c>
      <c r="T334" s="1" t="str">
        <f ca="1">IFERROR(__xludf.DUMMYFUNCTION("""COMPUTED_VALUE"""),"+4.87")</f>
        <v>+4.87</v>
      </c>
      <c r="U334" s="1">
        <f ca="1">IFERROR(__xludf.DUMMYFUNCTION("""COMPUTED_VALUE"""),46)</f>
        <v>46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IFERROR(__xludf.DUMMYFUNCTION("""COMPUTED_VALUE"""),"St. Francis PA")</f>
        <v>St. Francis PA</v>
      </c>
      <c r="C335" s="1" t="str">
        <f ca="1">IFERROR(__xludf.DUMMYFUNCTION("""COMPUTED_VALUE"""),"NEC")</f>
        <v>NEC</v>
      </c>
      <c r="D335" s="2">
        <f ca="1">IFERROR(__xludf.DUMMYFUNCTION("""COMPUTED_VALUE"""),44735)</f>
        <v>44735</v>
      </c>
      <c r="E335" s="1">
        <f ca="1">IFERROR(__xludf.DUMMYFUNCTION("""COMPUTED_VALUE"""),-17.22)</f>
        <v>-17.22</v>
      </c>
      <c r="F335" s="1">
        <f ca="1">IFERROR(__xludf.DUMMYFUNCTION("""COMPUTED_VALUE"""),97.1)</f>
        <v>97.1</v>
      </c>
      <c r="G335" s="1">
        <f ca="1">IFERROR(__xludf.DUMMYFUNCTION("""COMPUTED_VALUE"""),266)</f>
        <v>266</v>
      </c>
      <c r="H335" s="1">
        <f ca="1">IFERROR(__xludf.DUMMYFUNCTION("""COMPUTED_VALUE"""),114.3)</f>
        <v>114.3</v>
      </c>
      <c r="I335" s="1">
        <f ca="1">IFERROR(__xludf.DUMMYFUNCTION("""COMPUTED_VALUE"""),331)</f>
        <v>331</v>
      </c>
      <c r="J335" s="1">
        <f ca="1">IFERROR(__xludf.DUMMYFUNCTION("""COMPUTED_VALUE"""),60.9)</f>
        <v>60.9</v>
      </c>
      <c r="K335" s="1">
        <f ca="1">IFERROR(__xludf.DUMMYFUNCTION("""COMPUTED_VALUE"""),314)</f>
        <v>314</v>
      </c>
      <c r="L335" s="1">
        <f ca="1">IFERROR(__xludf.DUMMYFUNCTION("""COMPUTED_VALUE"""),-0.036)</f>
        <v>-3.5999999999999997E-2</v>
      </c>
      <c r="M335" s="1">
        <f ca="1">IFERROR(__xludf.DUMMYFUNCTION("""COMPUTED_VALUE"""),261)</f>
        <v>261</v>
      </c>
      <c r="N335" s="1">
        <f ca="1">IFERROR(__xludf.DUMMYFUNCTION("""COMPUTED_VALUE"""),-5.57)</f>
        <v>-5.57</v>
      </c>
      <c r="O335" s="1">
        <f ca="1">IFERROR(__xludf.DUMMYFUNCTION("""COMPUTED_VALUE"""),273)</f>
        <v>273</v>
      </c>
      <c r="P335" s="1">
        <f ca="1">IFERROR(__xludf.DUMMYFUNCTION("""COMPUTED_VALUE"""),100.4)</f>
        <v>100.4</v>
      </c>
      <c r="Q335" s="1">
        <f ca="1">IFERROR(__xludf.DUMMYFUNCTION("""COMPUTED_VALUE"""),283)</f>
        <v>283</v>
      </c>
      <c r="R335" s="1">
        <f ca="1">IFERROR(__xludf.DUMMYFUNCTION("""COMPUTED_VALUE"""),105.9)</f>
        <v>105.9</v>
      </c>
      <c r="S335" s="1">
        <f ca="1">IFERROR(__xludf.DUMMYFUNCTION("""COMPUTED_VALUE"""),254)</f>
        <v>254</v>
      </c>
      <c r="T335" s="1">
        <f ca="1">IFERROR(__xludf.DUMMYFUNCTION("""COMPUTED_VALUE"""),-0.69)</f>
        <v>-0.69</v>
      </c>
      <c r="U335" s="1">
        <f ca="1">IFERROR(__xludf.DUMMYFUNCTION("""COMPUTED_VALUE"""),166)</f>
        <v>166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IFERROR(__xludf.DUMMYFUNCTION("""COMPUTED_VALUE"""),"Cal St. Bakersfield")</f>
        <v>Cal St. Bakersfield</v>
      </c>
      <c r="C336" s="1" t="str">
        <f ca="1">IFERROR(__xludf.DUMMYFUNCTION("""COMPUTED_VALUE"""),"ind")</f>
        <v>ind</v>
      </c>
      <c r="D336" s="2">
        <f ca="1">IFERROR(__xludf.DUMMYFUNCTION("""COMPUTED_VALUE"""),44794)</f>
        <v>44794</v>
      </c>
      <c r="E336" s="1">
        <f ca="1">IFERROR(__xludf.DUMMYFUNCTION("""COMPUTED_VALUE"""),-17.31)</f>
        <v>-17.309999999999999</v>
      </c>
      <c r="F336" s="1">
        <f ca="1">IFERROR(__xludf.DUMMYFUNCTION("""COMPUTED_VALUE"""),96.7)</f>
        <v>96.7</v>
      </c>
      <c r="G336" s="1">
        <f ca="1">IFERROR(__xludf.DUMMYFUNCTION("""COMPUTED_VALUE"""),270)</f>
        <v>270</v>
      </c>
      <c r="H336" s="1">
        <f ca="1">IFERROR(__xludf.DUMMYFUNCTION("""COMPUTED_VALUE"""),114)</f>
        <v>114</v>
      </c>
      <c r="I336" s="1">
        <f ca="1">IFERROR(__xludf.DUMMYFUNCTION("""COMPUTED_VALUE"""),327)</f>
        <v>327</v>
      </c>
      <c r="J336" s="1">
        <f ca="1">IFERROR(__xludf.DUMMYFUNCTION("""COMPUTED_VALUE"""),65.2)</f>
        <v>65.2</v>
      </c>
      <c r="K336" s="1">
        <f ca="1">IFERROR(__xludf.DUMMYFUNCTION("""COMPUTED_VALUE"""),164)</f>
        <v>164</v>
      </c>
      <c r="L336" s="1">
        <f ca="1">IFERROR(__xludf.DUMMYFUNCTION("""COMPUTED_VALUE"""),-0.004)</f>
        <v>-4.0000000000000001E-3</v>
      </c>
      <c r="M336" s="1">
        <f ca="1">IFERROR(__xludf.DUMMYFUNCTION("""COMPUTED_VALUE"""),182)</f>
        <v>182</v>
      </c>
      <c r="N336" s="1">
        <f ca="1">IFERROR(__xludf.DUMMYFUNCTION("""COMPUTED_VALUE"""),-5.85)</f>
        <v>-5.85</v>
      </c>
      <c r="O336" s="1">
        <f ca="1">IFERROR(__xludf.DUMMYFUNCTION("""COMPUTED_VALUE"""),278)</f>
        <v>278</v>
      </c>
      <c r="P336" s="1">
        <f ca="1">IFERROR(__xludf.DUMMYFUNCTION("""COMPUTED_VALUE"""),101.2)</f>
        <v>101.2</v>
      </c>
      <c r="Q336" s="1">
        <f ca="1">IFERROR(__xludf.DUMMYFUNCTION("""COMPUTED_VALUE"""),258)</f>
        <v>258</v>
      </c>
      <c r="R336" s="1">
        <f ca="1">IFERROR(__xludf.DUMMYFUNCTION("""COMPUTED_VALUE"""),107)</f>
        <v>107</v>
      </c>
      <c r="S336" s="1">
        <f ca="1">IFERROR(__xludf.DUMMYFUNCTION("""COMPUTED_VALUE"""),299)</f>
        <v>299</v>
      </c>
      <c r="T336" s="1">
        <f ca="1">IFERROR(__xludf.DUMMYFUNCTION("""COMPUTED_VALUE"""),-5.61)</f>
        <v>-5.61</v>
      </c>
      <c r="U336" s="1">
        <f ca="1">IFERROR(__xludf.DUMMYFUNCTION("""COMPUTED_VALUE"""),297)</f>
        <v>297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IFERROR(__xludf.DUMMYFUNCTION("""COMPUTED_VALUE"""),"UC Davis")</f>
        <v>UC Davis</v>
      </c>
      <c r="C339" s="1" t="str">
        <f ca="1">IFERROR(__xludf.DUMMYFUNCTION("""COMPUTED_VALUE"""),"BW")</f>
        <v>BW</v>
      </c>
      <c r="D339" s="2">
        <f ca="1">IFERROR(__xludf.DUMMYFUNCTION("""COMPUTED_VALUE"""),44826)</f>
        <v>44826</v>
      </c>
      <c r="E339" s="1">
        <f ca="1">IFERROR(__xludf.DUMMYFUNCTION("""COMPUTED_VALUE"""),-17.65)</f>
        <v>-17.649999999999999</v>
      </c>
      <c r="F339" s="1">
        <f ca="1">IFERROR(__xludf.DUMMYFUNCTION("""COMPUTED_VALUE"""),97.9)</f>
        <v>97.9</v>
      </c>
      <c r="G339" s="1">
        <f ca="1">IFERROR(__xludf.DUMMYFUNCTION("""COMPUTED_VALUE"""),252)</f>
        <v>252</v>
      </c>
      <c r="H339" s="1">
        <f ca="1">IFERROR(__xludf.DUMMYFUNCTION("""COMPUTED_VALUE"""),115.6)</f>
        <v>115.6</v>
      </c>
      <c r="I339" s="1">
        <f ca="1">IFERROR(__xludf.DUMMYFUNCTION("""COMPUTED_VALUE"""),336)</f>
        <v>336</v>
      </c>
      <c r="J339" s="1">
        <f ca="1">IFERROR(__xludf.DUMMYFUNCTION("""COMPUTED_VALUE"""),62.9)</f>
        <v>62.9</v>
      </c>
      <c r="K339" s="1">
        <f ca="1">IFERROR(__xludf.DUMMYFUNCTION("""COMPUTED_VALUE"""),263)</f>
        <v>263</v>
      </c>
      <c r="L339" s="1" t="str">
        <f ca="1">IFERROR(__xludf.DUMMYFUNCTION("""COMPUTED_VALUE"""),"+.012")</f>
        <v>+.012</v>
      </c>
      <c r="M339" s="1">
        <f ca="1">IFERROR(__xludf.DUMMYFUNCTION("""COMPUTED_VALUE"""),142)</f>
        <v>142</v>
      </c>
      <c r="N339" s="1">
        <f ca="1">IFERROR(__xludf.DUMMYFUNCTION("""COMPUTED_VALUE"""),-2.92)</f>
        <v>-2.92</v>
      </c>
      <c r="O339" s="1">
        <f ca="1">IFERROR(__xludf.DUMMYFUNCTION("""COMPUTED_VALUE"""),217)</f>
        <v>217</v>
      </c>
      <c r="P339" s="1">
        <f ca="1">IFERROR(__xludf.DUMMYFUNCTION("""COMPUTED_VALUE"""),101.9)</f>
        <v>101.9</v>
      </c>
      <c r="Q339" s="1">
        <f ca="1">IFERROR(__xludf.DUMMYFUNCTION("""COMPUTED_VALUE"""),228)</f>
        <v>228</v>
      </c>
      <c r="R339" s="1">
        <f ca="1">IFERROR(__xludf.DUMMYFUNCTION("""COMPUTED_VALUE"""),104.8)</f>
        <v>104.8</v>
      </c>
      <c r="S339" s="1">
        <f ca="1">IFERROR(__xludf.DUMMYFUNCTION("""COMPUTED_VALUE"""),200)</f>
        <v>200</v>
      </c>
      <c r="T339" s="1">
        <f ca="1">IFERROR(__xludf.DUMMYFUNCTION("""COMPUTED_VALUE"""),-3.36)</f>
        <v>-3.36</v>
      </c>
      <c r="U339" s="1">
        <f ca="1">IFERROR(__xludf.DUMMYFUNCTION("""COMPUTED_VALUE"""),255)</f>
        <v>255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IFERROR(__xludf.DUMMYFUNCTION("""COMPUTED_VALUE"""),"Maine")</f>
        <v>Maine</v>
      </c>
      <c r="C340" s="1" t="str">
        <f ca="1">IFERROR(__xludf.DUMMYFUNCTION("""COMPUTED_VALUE"""),"AE")</f>
        <v>AE</v>
      </c>
      <c r="D340" s="2">
        <f ca="1">IFERROR(__xludf.DUMMYFUNCTION("""COMPUTED_VALUE"""),44765)</f>
        <v>44765</v>
      </c>
      <c r="E340" s="1">
        <f ca="1">IFERROR(__xludf.DUMMYFUNCTION("""COMPUTED_VALUE"""),-17.82)</f>
        <v>-17.82</v>
      </c>
      <c r="F340" s="1">
        <f ca="1">IFERROR(__xludf.DUMMYFUNCTION("""COMPUTED_VALUE"""),92.6)</f>
        <v>92.6</v>
      </c>
      <c r="G340" s="1">
        <f ca="1">IFERROR(__xludf.DUMMYFUNCTION("""COMPUTED_VALUE"""),318)</f>
        <v>318</v>
      </c>
      <c r="H340" s="1">
        <f ca="1">IFERROR(__xludf.DUMMYFUNCTION("""COMPUTED_VALUE"""),110.4)</f>
        <v>110.4</v>
      </c>
      <c r="I340" s="1">
        <f ca="1">IFERROR(__xludf.DUMMYFUNCTION("""COMPUTED_VALUE"""),301)</f>
        <v>301</v>
      </c>
      <c r="J340" s="1">
        <f ca="1">IFERROR(__xludf.DUMMYFUNCTION("""COMPUTED_VALUE"""),66.3)</f>
        <v>66.3</v>
      </c>
      <c r="K340" s="1">
        <f ca="1">IFERROR(__xludf.DUMMYFUNCTION("""COMPUTED_VALUE"""),130)</f>
        <v>130</v>
      </c>
      <c r="L340" s="1">
        <f ca="1">IFERROR(__xludf.DUMMYFUNCTION("""COMPUTED_VALUE"""),-0.034)</f>
        <v>-3.4000000000000002E-2</v>
      </c>
      <c r="M340" s="1">
        <f ca="1">IFERROR(__xludf.DUMMYFUNCTION("""COMPUTED_VALUE"""),255)</f>
        <v>255</v>
      </c>
      <c r="N340" s="1">
        <f ca="1">IFERROR(__xludf.DUMMYFUNCTION("""COMPUTED_VALUE"""),-5.33)</f>
        <v>-5.33</v>
      </c>
      <c r="O340" s="1">
        <f ca="1">IFERROR(__xludf.DUMMYFUNCTION("""COMPUTED_VALUE"""),264)</f>
        <v>264</v>
      </c>
      <c r="P340" s="1">
        <f ca="1">IFERROR(__xludf.DUMMYFUNCTION("""COMPUTED_VALUE"""),100.5)</f>
        <v>100.5</v>
      </c>
      <c r="Q340" s="1">
        <f ca="1">IFERROR(__xludf.DUMMYFUNCTION("""COMPUTED_VALUE"""),278)</f>
        <v>278</v>
      </c>
      <c r="R340" s="1">
        <f ca="1">IFERROR(__xludf.DUMMYFUNCTION("""COMPUTED_VALUE"""),105.9)</f>
        <v>105.9</v>
      </c>
      <c r="S340" s="1">
        <f ca="1">IFERROR(__xludf.DUMMYFUNCTION("""COMPUTED_VALUE"""),250)</f>
        <v>250</v>
      </c>
      <c r="T340" s="1">
        <f ca="1">IFERROR(__xludf.DUMMYFUNCTION("""COMPUTED_VALUE"""),-2.59)</f>
        <v>-2.59</v>
      </c>
      <c r="U340" s="1">
        <f ca="1">IFERROR(__xludf.DUMMYFUNCTION("""COMPUTED_VALUE"""),230)</f>
        <v>230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IFERROR(__xludf.DUMMYFUNCTION("""COMPUTED_VALUE"""),"Winston Salem St.")</f>
        <v>Winston Salem St.</v>
      </c>
      <c r="C341" s="1" t="str">
        <f ca="1">IFERROR(__xludf.DUMMYFUNCTION("""COMPUTED_VALUE"""),"ind")</f>
        <v>ind</v>
      </c>
      <c r="D341" s="2">
        <f ca="1">IFERROR(__xludf.DUMMYFUNCTION("""COMPUTED_VALUE"""),44913)</f>
        <v>44913</v>
      </c>
      <c r="E341" s="1">
        <f ca="1">IFERROR(__xludf.DUMMYFUNCTION("""COMPUTED_VALUE"""),-18.2)</f>
        <v>-18.2</v>
      </c>
      <c r="F341" s="1">
        <f ca="1">IFERROR(__xludf.DUMMYFUNCTION("""COMPUTED_VALUE"""),89.7)</f>
        <v>89.7</v>
      </c>
      <c r="G341" s="1">
        <f ca="1">IFERROR(__xludf.DUMMYFUNCTION("""COMPUTED_VALUE"""),330)</f>
        <v>330</v>
      </c>
      <c r="H341" s="1">
        <f ca="1">IFERROR(__xludf.DUMMYFUNCTION("""COMPUTED_VALUE"""),107.9)</f>
        <v>107.9</v>
      </c>
      <c r="I341" s="1">
        <f ca="1">IFERROR(__xludf.DUMMYFUNCTION("""COMPUTED_VALUE"""),251)</f>
        <v>251</v>
      </c>
      <c r="J341" s="1">
        <f ca="1">IFERROR(__xludf.DUMMYFUNCTION("""COMPUTED_VALUE"""),65.6)</f>
        <v>65.599999999999994</v>
      </c>
      <c r="K341" s="1">
        <f ca="1">IFERROR(__xludf.DUMMYFUNCTION("""COMPUTED_VALUE"""),150)</f>
        <v>150</v>
      </c>
      <c r="L341" s="1" t="str">
        <f ca="1">IFERROR(__xludf.DUMMYFUNCTION("""COMPUTED_VALUE"""),"+.009")</f>
        <v>+.009</v>
      </c>
      <c r="M341" s="1">
        <f ca="1">IFERROR(__xludf.DUMMYFUNCTION("""COMPUTED_VALUE"""),151)</f>
        <v>151</v>
      </c>
      <c r="N341" s="1">
        <f ca="1">IFERROR(__xludf.DUMMYFUNCTION("""COMPUTED_VALUE"""),-10.92)</f>
        <v>-10.92</v>
      </c>
      <c r="O341" s="1">
        <f ca="1">IFERROR(__xludf.DUMMYFUNCTION("""COMPUTED_VALUE"""),331)</f>
        <v>331</v>
      </c>
      <c r="P341" s="1">
        <f ca="1">IFERROR(__xludf.DUMMYFUNCTION("""COMPUTED_VALUE"""),96.1)</f>
        <v>96.1</v>
      </c>
      <c r="Q341" s="1">
        <f ca="1">IFERROR(__xludf.DUMMYFUNCTION("""COMPUTED_VALUE"""),335)</f>
        <v>335</v>
      </c>
      <c r="R341" s="1">
        <f ca="1">IFERROR(__xludf.DUMMYFUNCTION("""COMPUTED_VALUE"""),107)</f>
        <v>107</v>
      </c>
      <c r="S341" s="1">
        <f ca="1">IFERROR(__xludf.DUMMYFUNCTION("""COMPUTED_VALUE"""),302)</f>
        <v>302</v>
      </c>
      <c r="T341" s="1">
        <f ca="1">IFERROR(__xludf.DUMMYFUNCTION("""COMPUTED_VALUE"""),-10.32)</f>
        <v>-10.32</v>
      </c>
      <c r="U341" s="1">
        <f ca="1">IFERROR(__xludf.DUMMYFUNCTION("""COMPUTED_VALUE"""),337)</f>
        <v>337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IFERROR(__xludf.DUMMYFUNCTION("""COMPUTED_VALUE"""),"Bethune Cookman")</f>
        <v>Bethune Cookman</v>
      </c>
      <c r="C342" s="1" t="str">
        <f ca="1">IFERROR(__xludf.DUMMYFUNCTION("""COMPUTED_VALUE"""),"MEAC")</f>
        <v>MEAC</v>
      </c>
      <c r="D342" s="2">
        <f ca="1">IFERROR(__xludf.DUMMYFUNCTION("""COMPUTED_VALUE"""),44886)</f>
        <v>44886</v>
      </c>
      <c r="E342" s="1">
        <f ca="1">IFERROR(__xludf.DUMMYFUNCTION("""COMPUTED_VALUE"""),-18.4)</f>
        <v>-18.399999999999999</v>
      </c>
      <c r="F342" s="1">
        <f ca="1">IFERROR(__xludf.DUMMYFUNCTION("""COMPUTED_VALUE"""),92.1)</f>
        <v>92.1</v>
      </c>
      <c r="G342" s="1">
        <f ca="1">IFERROR(__xludf.DUMMYFUNCTION("""COMPUTED_VALUE"""),322)</f>
        <v>322</v>
      </c>
      <c r="H342" s="1">
        <f ca="1">IFERROR(__xludf.DUMMYFUNCTION("""COMPUTED_VALUE"""),110.5)</f>
        <v>110.5</v>
      </c>
      <c r="I342" s="1">
        <f ca="1">IFERROR(__xludf.DUMMYFUNCTION("""COMPUTED_VALUE"""),303)</f>
        <v>303</v>
      </c>
      <c r="J342" s="1">
        <f ca="1">IFERROR(__xludf.DUMMYFUNCTION("""COMPUTED_VALUE"""),57.8)</f>
        <v>57.8</v>
      </c>
      <c r="K342" s="1">
        <f ca="1">IFERROR(__xludf.DUMMYFUNCTION("""COMPUTED_VALUE"""),336)</f>
        <v>336</v>
      </c>
      <c r="L342" s="1">
        <f ca="1">IFERROR(__xludf.DUMMYFUNCTION("""COMPUTED_VALUE"""),-0.01)</f>
        <v>-0.01</v>
      </c>
      <c r="M342" s="1">
        <f ca="1">IFERROR(__xludf.DUMMYFUNCTION("""COMPUTED_VALUE"""),197)</f>
        <v>197</v>
      </c>
      <c r="N342" s="1">
        <f ca="1">IFERROR(__xludf.DUMMYFUNCTION("""COMPUTED_VALUE"""),-12)</f>
        <v>-12</v>
      </c>
      <c r="O342" s="1">
        <f ca="1">IFERROR(__xludf.DUMMYFUNCTION("""COMPUTED_VALUE"""),336)</f>
        <v>336</v>
      </c>
      <c r="P342" s="1">
        <f ca="1">IFERROR(__xludf.DUMMYFUNCTION("""COMPUTED_VALUE"""),95.8)</f>
        <v>95.8</v>
      </c>
      <c r="Q342" s="1">
        <f ca="1">IFERROR(__xludf.DUMMYFUNCTION("""COMPUTED_VALUE"""),336)</f>
        <v>336</v>
      </c>
      <c r="R342" s="1">
        <f ca="1">IFERROR(__xludf.DUMMYFUNCTION("""COMPUTED_VALUE"""),107.8)</f>
        <v>107.8</v>
      </c>
      <c r="S342" s="1">
        <f ca="1">IFERROR(__xludf.DUMMYFUNCTION("""COMPUTED_VALUE"""),321)</f>
        <v>321</v>
      </c>
      <c r="T342" s="1">
        <f ca="1">IFERROR(__xludf.DUMMYFUNCTION("""COMPUTED_VALUE"""),-6.51)</f>
        <v>-6.51</v>
      </c>
      <c r="U342" s="1">
        <f ca="1">IFERROR(__xludf.DUMMYFUNCTION("""COMPUTED_VALUE"""),310)</f>
        <v>310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IFERROR(__xludf.DUMMYFUNCTION("""COMPUTED_VALUE"""),"Eastern Illinois")</f>
        <v>Eastern Illinois</v>
      </c>
      <c r="C343" s="1" t="str">
        <f ca="1">IFERROR(__xludf.DUMMYFUNCTION("""COMPUTED_VALUE"""),"OVC")</f>
        <v>OVC</v>
      </c>
      <c r="D343" s="2">
        <f ca="1">IFERROR(__xludf.DUMMYFUNCTION("""COMPUTED_VALUE"""),44764)</f>
        <v>44764</v>
      </c>
      <c r="E343" s="1">
        <f ca="1">IFERROR(__xludf.DUMMYFUNCTION("""COMPUTED_VALUE"""),-18.41)</f>
        <v>-18.41</v>
      </c>
      <c r="F343" s="1">
        <f ca="1">IFERROR(__xludf.DUMMYFUNCTION("""COMPUTED_VALUE"""),95.7)</f>
        <v>95.7</v>
      </c>
      <c r="G343" s="1">
        <f ca="1">IFERROR(__xludf.DUMMYFUNCTION("""COMPUTED_VALUE"""),287)</f>
        <v>287</v>
      </c>
      <c r="H343" s="1">
        <f ca="1">IFERROR(__xludf.DUMMYFUNCTION("""COMPUTED_VALUE"""),114.1)</f>
        <v>114.1</v>
      </c>
      <c r="I343" s="1">
        <f ca="1">IFERROR(__xludf.DUMMYFUNCTION("""COMPUTED_VALUE"""),329)</f>
        <v>329</v>
      </c>
      <c r="J343" s="1">
        <f ca="1">IFERROR(__xludf.DUMMYFUNCTION("""COMPUTED_VALUE"""),61.6)</f>
        <v>61.6</v>
      </c>
      <c r="K343" s="1">
        <f ca="1">IFERROR(__xludf.DUMMYFUNCTION("""COMPUTED_VALUE"""),299)</f>
        <v>299</v>
      </c>
      <c r="L343" s="1">
        <f ca="1">IFERROR(__xludf.DUMMYFUNCTION("""COMPUTED_VALUE"""),-0.024)</f>
        <v>-2.4E-2</v>
      </c>
      <c r="M343" s="1">
        <f ca="1">IFERROR(__xludf.DUMMYFUNCTION("""COMPUTED_VALUE"""),229)</f>
        <v>229</v>
      </c>
      <c r="N343" s="1">
        <f ca="1">IFERROR(__xludf.DUMMYFUNCTION("""COMPUTED_VALUE"""),-8.81)</f>
        <v>-8.81</v>
      </c>
      <c r="O343" s="1">
        <f ca="1">IFERROR(__xludf.DUMMYFUNCTION("""COMPUTED_VALUE"""),323)</f>
        <v>323</v>
      </c>
      <c r="P343" s="1">
        <f ca="1">IFERROR(__xludf.DUMMYFUNCTION("""COMPUTED_VALUE"""),100.1)</f>
        <v>100.1</v>
      </c>
      <c r="Q343" s="1">
        <f ca="1">IFERROR(__xludf.DUMMYFUNCTION("""COMPUTED_VALUE"""),290)</f>
        <v>290</v>
      </c>
      <c r="R343" s="1">
        <f ca="1">IFERROR(__xludf.DUMMYFUNCTION("""COMPUTED_VALUE"""),108.9)</f>
        <v>108.9</v>
      </c>
      <c r="S343" s="1">
        <f ca="1">IFERROR(__xludf.DUMMYFUNCTION("""COMPUTED_VALUE"""),334)</f>
        <v>334</v>
      </c>
      <c r="T343" s="1">
        <f ca="1">IFERROR(__xludf.DUMMYFUNCTION("""COMPUTED_VALUE"""),-3.89)</f>
        <v>-3.89</v>
      </c>
      <c r="U343" s="1">
        <f ca="1">IFERROR(__xludf.DUMMYFUNCTION("""COMPUTED_VALUE"""),270)</f>
        <v>270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IFERROR(__xludf.DUMMYFUNCTION("""COMPUTED_VALUE"""),"Jacksonville St.")</f>
        <v>Jacksonville St.</v>
      </c>
      <c r="C344" s="1" t="str">
        <f ca="1">IFERROR(__xludf.DUMMYFUNCTION("""COMPUTED_VALUE"""),"OVC")</f>
        <v>OVC</v>
      </c>
      <c r="D344" s="2">
        <f ca="1">IFERROR(__xludf.DUMMYFUNCTION("""COMPUTED_VALUE"""),44764)</f>
        <v>44764</v>
      </c>
      <c r="E344" s="1">
        <f ca="1">IFERROR(__xludf.DUMMYFUNCTION("""COMPUTED_VALUE"""),-18.47)</f>
        <v>-18.47</v>
      </c>
      <c r="F344" s="1">
        <f ca="1">IFERROR(__xludf.DUMMYFUNCTION("""COMPUTED_VALUE"""),97.4)</f>
        <v>97.4</v>
      </c>
      <c r="G344" s="1">
        <f ca="1">IFERROR(__xludf.DUMMYFUNCTION("""COMPUTED_VALUE"""),261)</f>
        <v>261</v>
      </c>
      <c r="H344" s="1">
        <f ca="1">IFERROR(__xludf.DUMMYFUNCTION("""COMPUTED_VALUE"""),115.8)</f>
        <v>115.8</v>
      </c>
      <c r="I344" s="1">
        <f ca="1">IFERROR(__xludf.DUMMYFUNCTION("""COMPUTED_VALUE"""),338)</f>
        <v>338</v>
      </c>
      <c r="J344" s="1">
        <f ca="1">IFERROR(__xludf.DUMMYFUNCTION("""COMPUTED_VALUE"""),67.3)</f>
        <v>67.3</v>
      </c>
      <c r="K344" s="1">
        <f ca="1">IFERROR(__xludf.DUMMYFUNCTION("""COMPUTED_VALUE"""),96)</f>
        <v>96</v>
      </c>
      <c r="L344" s="1">
        <f ca="1">IFERROR(__xludf.DUMMYFUNCTION("""COMPUTED_VALUE"""),-0.081)</f>
        <v>-8.1000000000000003E-2</v>
      </c>
      <c r="M344" s="1">
        <f ca="1">IFERROR(__xludf.DUMMYFUNCTION("""COMPUTED_VALUE"""),329)</f>
        <v>329</v>
      </c>
      <c r="N344" s="1">
        <f ca="1">IFERROR(__xludf.DUMMYFUNCTION("""COMPUTED_VALUE"""),-10.53)</f>
        <v>-10.53</v>
      </c>
      <c r="O344" s="1">
        <f ca="1">IFERROR(__xludf.DUMMYFUNCTION("""COMPUTED_VALUE"""),328)</f>
        <v>328</v>
      </c>
      <c r="P344" s="1">
        <f ca="1">IFERROR(__xludf.DUMMYFUNCTION("""COMPUTED_VALUE"""),99.1)</f>
        <v>99.1</v>
      </c>
      <c r="Q344" s="1">
        <f ca="1">IFERROR(__xludf.DUMMYFUNCTION("""COMPUTED_VALUE"""),312)</f>
        <v>312</v>
      </c>
      <c r="R344" s="1">
        <f ca="1">IFERROR(__xludf.DUMMYFUNCTION("""COMPUTED_VALUE"""),109.7)</f>
        <v>109.7</v>
      </c>
      <c r="S344" s="1">
        <f ca="1">IFERROR(__xludf.DUMMYFUNCTION("""COMPUTED_VALUE"""),341)</f>
        <v>341</v>
      </c>
      <c r="T344" s="1">
        <f ca="1">IFERROR(__xludf.DUMMYFUNCTION("""COMPUTED_VALUE"""),-10.29)</f>
        <v>-10.29</v>
      </c>
      <c r="U344" s="1">
        <f ca="1">IFERROR(__xludf.DUMMYFUNCTION("""COMPUTED_VALUE"""),336)</f>
        <v>336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IFERROR(__xludf.DUMMYFUNCTION("""COMPUTED_VALUE"""),"Longwood")</f>
        <v>Longwood</v>
      </c>
      <c r="C345" s="1" t="str">
        <f ca="1">IFERROR(__xludf.DUMMYFUNCTION("""COMPUTED_VALUE"""),"ind")</f>
        <v>ind</v>
      </c>
      <c r="D345" s="2">
        <f ca="1">IFERROR(__xludf.DUMMYFUNCTION("""COMPUTED_VALUE"""),44826)</f>
        <v>44826</v>
      </c>
      <c r="E345" s="1">
        <f ca="1">IFERROR(__xludf.DUMMYFUNCTION("""COMPUTED_VALUE"""),-18.61)</f>
        <v>-18.61</v>
      </c>
      <c r="F345" s="1">
        <f ca="1">IFERROR(__xludf.DUMMYFUNCTION("""COMPUTED_VALUE"""),97.9)</f>
        <v>97.9</v>
      </c>
      <c r="G345" s="1">
        <f ca="1">IFERROR(__xludf.DUMMYFUNCTION("""COMPUTED_VALUE"""),253)</f>
        <v>253</v>
      </c>
      <c r="H345" s="1">
        <f ca="1">IFERROR(__xludf.DUMMYFUNCTION("""COMPUTED_VALUE"""),116.5)</f>
        <v>116.5</v>
      </c>
      <c r="I345" s="1">
        <f ca="1">IFERROR(__xludf.DUMMYFUNCTION("""COMPUTED_VALUE"""),340)</f>
        <v>340</v>
      </c>
      <c r="J345" s="1">
        <f ca="1">IFERROR(__xludf.DUMMYFUNCTION("""COMPUTED_VALUE"""),66.5)</f>
        <v>66.5</v>
      </c>
      <c r="K345" s="1">
        <f ca="1">IFERROR(__xludf.DUMMYFUNCTION("""COMPUTED_VALUE"""),122)</f>
        <v>122</v>
      </c>
      <c r="L345" s="1">
        <f ca="1">IFERROR(__xludf.DUMMYFUNCTION("""COMPUTED_VALUE"""),-0.009)</f>
        <v>-8.9999999999999993E-3</v>
      </c>
      <c r="M345" s="1">
        <f ca="1">IFERROR(__xludf.DUMMYFUNCTION("""COMPUTED_VALUE"""),194)</f>
        <v>194</v>
      </c>
      <c r="N345" s="1">
        <f ca="1">IFERROR(__xludf.DUMMYFUNCTION("""COMPUTED_VALUE"""),-4.68)</f>
        <v>-4.68</v>
      </c>
      <c r="O345" s="1">
        <f ca="1">IFERROR(__xludf.DUMMYFUNCTION("""COMPUTED_VALUE"""),247)</f>
        <v>247</v>
      </c>
      <c r="P345" s="1">
        <f ca="1">IFERROR(__xludf.DUMMYFUNCTION("""COMPUTED_VALUE"""),99.9)</f>
        <v>99.9</v>
      </c>
      <c r="Q345" s="1">
        <f ca="1">IFERROR(__xludf.DUMMYFUNCTION("""COMPUTED_VALUE"""),297)</f>
        <v>297</v>
      </c>
      <c r="R345" s="1">
        <f ca="1">IFERROR(__xludf.DUMMYFUNCTION("""COMPUTED_VALUE"""),104.5)</f>
        <v>104.5</v>
      </c>
      <c r="S345" s="1">
        <f ca="1">IFERROR(__xludf.DUMMYFUNCTION("""COMPUTED_VALUE"""),193)</f>
        <v>193</v>
      </c>
      <c r="T345" s="1">
        <f ca="1">IFERROR(__xludf.DUMMYFUNCTION("""COMPUTED_VALUE"""),-1.94)</f>
        <v>-1.94</v>
      </c>
      <c r="U345" s="1">
        <f ca="1">IFERROR(__xludf.DUMMYFUNCTION("""COMPUTED_VALUE"""),206)</f>
        <v>206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IFERROR(__xludf.DUMMYFUNCTION("""COMPUTED_VALUE"""),"Louisiana Tech")</f>
        <v>Louisiana Tech</v>
      </c>
      <c r="C346" s="1" t="str">
        <f ca="1">IFERROR(__xludf.DUMMYFUNCTION("""COMPUTED_VALUE"""),"WAC")</f>
        <v>WAC</v>
      </c>
      <c r="D346" s="2">
        <f ca="1">IFERROR(__xludf.DUMMYFUNCTION("""COMPUTED_VALUE"""),44736)</f>
        <v>44736</v>
      </c>
      <c r="E346" s="1">
        <f ca="1">IFERROR(__xludf.DUMMYFUNCTION("""COMPUTED_VALUE"""),-19.1)</f>
        <v>-19.100000000000001</v>
      </c>
      <c r="F346" s="1">
        <f ca="1">IFERROR(__xludf.DUMMYFUNCTION("""COMPUTED_VALUE"""),93.3)</f>
        <v>93.3</v>
      </c>
      <c r="G346" s="1">
        <f ca="1">IFERROR(__xludf.DUMMYFUNCTION("""COMPUTED_VALUE"""),312)</f>
        <v>312</v>
      </c>
      <c r="H346" s="1">
        <f ca="1">IFERROR(__xludf.DUMMYFUNCTION("""COMPUTED_VALUE"""),112.4)</f>
        <v>112.4</v>
      </c>
      <c r="I346" s="1">
        <f ca="1">IFERROR(__xludf.DUMMYFUNCTION("""COMPUTED_VALUE"""),322)</f>
        <v>322</v>
      </c>
      <c r="J346" s="1">
        <f ca="1">IFERROR(__xludf.DUMMYFUNCTION("""COMPUTED_VALUE"""),63.2)</f>
        <v>63.2</v>
      </c>
      <c r="K346" s="1">
        <f ca="1">IFERROR(__xludf.DUMMYFUNCTION("""COMPUTED_VALUE"""),254)</f>
        <v>254</v>
      </c>
      <c r="L346" s="1">
        <f ca="1">IFERROR(__xludf.DUMMYFUNCTION("""COMPUTED_VALUE"""),-0.003)</f>
        <v>-3.0000000000000001E-3</v>
      </c>
      <c r="M346" s="1">
        <f ca="1">IFERROR(__xludf.DUMMYFUNCTION("""COMPUTED_VALUE"""),177)</f>
        <v>177</v>
      </c>
      <c r="N346" s="1">
        <f ca="1">IFERROR(__xludf.DUMMYFUNCTION("""COMPUTED_VALUE"""),-4.94)</f>
        <v>-4.9400000000000004</v>
      </c>
      <c r="O346" s="1">
        <f ca="1">IFERROR(__xludf.DUMMYFUNCTION("""COMPUTED_VALUE"""),257)</f>
        <v>257</v>
      </c>
      <c r="P346" s="1">
        <f ca="1">IFERROR(__xludf.DUMMYFUNCTION("""COMPUTED_VALUE"""),101.2)</f>
        <v>101.2</v>
      </c>
      <c r="Q346" s="1">
        <f ca="1">IFERROR(__xludf.DUMMYFUNCTION("""COMPUTED_VALUE"""),257)</f>
        <v>257</v>
      </c>
      <c r="R346" s="1">
        <f ca="1">IFERROR(__xludf.DUMMYFUNCTION("""COMPUTED_VALUE"""),106.1)</f>
        <v>106.1</v>
      </c>
      <c r="S346" s="1">
        <f ca="1">IFERROR(__xludf.DUMMYFUNCTION("""COMPUTED_VALUE"""),265)</f>
        <v>265</v>
      </c>
      <c r="T346" s="1">
        <f ca="1">IFERROR(__xludf.DUMMYFUNCTION("""COMPUTED_VALUE"""),-9.31)</f>
        <v>-9.31</v>
      </c>
      <c r="U346" s="1">
        <f ca="1">IFERROR(__xludf.DUMMYFUNCTION("""COMPUTED_VALUE"""),329)</f>
        <v>329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IFERROR(__xludf.DUMMYFUNCTION("""COMPUTED_VALUE"""),"Arkansas Pine Bluff")</f>
        <v>Arkansas Pine Bluff</v>
      </c>
      <c r="C347" s="1" t="str">
        <f ca="1">IFERROR(__xludf.DUMMYFUNCTION("""COMPUTED_VALUE"""),"SWAC")</f>
        <v>SWAC</v>
      </c>
      <c r="D347" s="1" t="str">
        <f ca="1">IFERROR(__xludf.DUMMYFUNCTION("""COMPUTED_VALUE"""),"13-18")</f>
        <v>13-18</v>
      </c>
      <c r="E347" s="1">
        <f ca="1">IFERROR(__xludf.DUMMYFUNCTION("""COMPUTED_VALUE"""),-19.61)</f>
        <v>-19.61</v>
      </c>
      <c r="F347" s="1">
        <f ca="1">IFERROR(__xludf.DUMMYFUNCTION("""COMPUTED_VALUE"""),87.7)</f>
        <v>87.7</v>
      </c>
      <c r="G347" s="1">
        <f ca="1">IFERROR(__xludf.DUMMYFUNCTION("""COMPUTED_VALUE"""),335)</f>
        <v>335</v>
      </c>
      <c r="H347" s="1">
        <f ca="1">IFERROR(__xludf.DUMMYFUNCTION("""COMPUTED_VALUE"""),107.3)</f>
        <v>107.3</v>
      </c>
      <c r="I347" s="1">
        <f ca="1">IFERROR(__xludf.DUMMYFUNCTION("""COMPUTED_VALUE"""),244)</f>
        <v>244</v>
      </c>
      <c r="J347" s="1">
        <f ca="1">IFERROR(__xludf.DUMMYFUNCTION("""COMPUTED_VALUE"""),62.7)</f>
        <v>62.7</v>
      </c>
      <c r="K347" s="1">
        <f ca="1">IFERROR(__xludf.DUMMYFUNCTION("""COMPUTED_VALUE"""),273)</f>
        <v>273</v>
      </c>
      <c r="L347" s="1" t="str">
        <f ca="1">IFERROR(__xludf.DUMMYFUNCTION("""COMPUTED_VALUE"""),"+.025")</f>
        <v>+.025</v>
      </c>
      <c r="M347" s="1">
        <f ca="1">IFERROR(__xludf.DUMMYFUNCTION("""COMPUTED_VALUE"""),113)</f>
        <v>113</v>
      </c>
      <c r="N347" s="1">
        <f ca="1">IFERROR(__xludf.DUMMYFUNCTION("""COMPUTED_VALUE"""),-13.22)</f>
        <v>-13.22</v>
      </c>
      <c r="O347" s="1">
        <f ca="1">IFERROR(__xludf.DUMMYFUNCTION("""COMPUTED_VALUE"""),338)</f>
        <v>338</v>
      </c>
      <c r="P347" s="1">
        <f ca="1">IFERROR(__xludf.DUMMYFUNCTION("""COMPUTED_VALUE"""),95.3)</f>
        <v>95.3</v>
      </c>
      <c r="Q347" s="1">
        <f ca="1">IFERROR(__xludf.DUMMYFUNCTION("""COMPUTED_VALUE"""),338)</f>
        <v>338</v>
      </c>
      <c r="R347" s="1">
        <f ca="1">IFERROR(__xludf.DUMMYFUNCTION("""COMPUTED_VALUE"""),108.5)</f>
        <v>108.5</v>
      </c>
      <c r="S347" s="1">
        <f ca="1">IFERROR(__xludf.DUMMYFUNCTION("""COMPUTED_VALUE"""),331)</f>
        <v>331</v>
      </c>
      <c r="T347" s="1" t="str">
        <f ca="1">IFERROR(__xludf.DUMMYFUNCTION("""COMPUTED_VALUE"""),"+2.98")</f>
        <v>+2.98</v>
      </c>
      <c r="U347" s="1">
        <f ca="1">IFERROR(__xludf.DUMMYFUNCTION("""COMPUTED_VALUE"""),78)</f>
        <v>78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IFERROR(__xludf.DUMMYFUNCTION("""COMPUTED_VALUE"""),"The Citadel")</f>
        <v>The Citadel</v>
      </c>
      <c r="C348" s="1" t="str">
        <f ca="1">IFERROR(__xludf.DUMMYFUNCTION("""COMPUTED_VALUE"""),"SC")</f>
        <v>SC</v>
      </c>
      <c r="D348" s="2">
        <f ca="1">IFERROR(__xludf.DUMMYFUNCTION("""COMPUTED_VALUE"""),44736)</f>
        <v>44736</v>
      </c>
      <c r="E348" s="1">
        <f ca="1">IFERROR(__xludf.DUMMYFUNCTION("""COMPUTED_VALUE"""),-20.95)</f>
        <v>-20.95</v>
      </c>
      <c r="F348" s="1">
        <f ca="1">IFERROR(__xludf.DUMMYFUNCTION("""COMPUTED_VALUE"""),94.9)</f>
        <v>94.9</v>
      </c>
      <c r="G348" s="1">
        <f ca="1">IFERROR(__xludf.DUMMYFUNCTION("""COMPUTED_VALUE"""),298)</f>
        <v>298</v>
      </c>
      <c r="H348" s="1">
        <f ca="1">IFERROR(__xludf.DUMMYFUNCTION("""COMPUTED_VALUE"""),115.9)</f>
        <v>115.9</v>
      </c>
      <c r="I348" s="1">
        <f ca="1">IFERROR(__xludf.DUMMYFUNCTION("""COMPUTED_VALUE"""),339)</f>
        <v>339</v>
      </c>
      <c r="J348" s="1">
        <f ca="1">IFERROR(__xludf.DUMMYFUNCTION("""COMPUTED_VALUE"""),62.1)</f>
        <v>62.1</v>
      </c>
      <c r="K348" s="1">
        <f ca="1">IFERROR(__xludf.DUMMYFUNCTION("""COMPUTED_VALUE"""),289)</f>
        <v>289</v>
      </c>
      <c r="L348" s="1">
        <f ca="1">IFERROR(__xludf.DUMMYFUNCTION("""COMPUTED_VALUE"""),-0.023)</f>
        <v>-2.3E-2</v>
      </c>
      <c r="M348" s="1">
        <f ca="1">IFERROR(__xludf.DUMMYFUNCTION("""COMPUTED_VALUE"""),225)</f>
        <v>225</v>
      </c>
      <c r="N348" s="1" t="str">
        <f ca="1">IFERROR(__xludf.DUMMYFUNCTION("""COMPUTED_VALUE"""),"+0.82")</f>
        <v>+0.82</v>
      </c>
      <c r="O348" s="1">
        <f ca="1">IFERROR(__xludf.DUMMYFUNCTION("""COMPUTED_VALUE"""),145)</f>
        <v>145</v>
      </c>
      <c r="P348" s="1">
        <f ca="1">IFERROR(__xludf.DUMMYFUNCTION("""COMPUTED_VALUE"""),104.6)</f>
        <v>104.6</v>
      </c>
      <c r="Q348" s="1">
        <f ca="1">IFERROR(__xludf.DUMMYFUNCTION("""COMPUTED_VALUE"""),117)</f>
        <v>117</v>
      </c>
      <c r="R348" s="1">
        <f ca="1">IFERROR(__xludf.DUMMYFUNCTION("""COMPUTED_VALUE"""),103.8)</f>
        <v>103.8</v>
      </c>
      <c r="S348" s="1">
        <f ca="1">IFERROR(__xludf.DUMMYFUNCTION("""COMPUTED_VALUE"""),165)</f>
        <v>165</v>
      </c>
      <c r="T348" s="1" t="str">
        <f ca="1">IFERROR(__xludf.DUMMYFUNCTION("""COMPUTED_VALUE"""),"+4.11")</f>
        <v>+4.11</v>
      </c>
      <c r="U348" s="1">
        <f ca="1">IFERROR(__xludf.DUMMYFUNCTION("""COMPUTED_VALUE"""),54)</f>
        <v>54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IFERROR(__xludf.DUMMYFUNCTION("""COMPUTED_VALUE"""),"Prairie View A&amp;M")</f>
        <v>Prairie View A&amp;M</v>
      </c>
      <c r="C349" s="1" t="str">
        <f ca="1">IFERROR(__xludf.DUMMYFUNCTION("""COMPUTED_VALUE"""),"SWAC")</f>
        <v>SWAC</v>
      </c>
      <c r="D349" s="2">
        <f ca="1">IFERROR(__xludf.DUMMYFUNCTION("""COMPUTED_VALUE"""),44795)</f>
        <v>44795</v>
      </c>
      <c r="E349" s="1">
        <f ca="1">IFERROR(__xludf.DUMMYFUNCTION("""COMPUTED_VALUE"""),-21.82)</f>
        <v>-21.82</v>
      </c>
      <c r="F349" s="1">
        <f ca="1">IFERROR(__xludf.DUMMYFUNCTION("""COMPUTED_VALUE"""),89.8)</f>
        <v>89.8</v>
      </c>
      <c r="G349" s="1">
        <f ca="1">IFERROR(__xludf.DUMMYFUNCTION("""COMPUTED_VALUE"""),329)</f>
        <v>329</v>
      </c>
      <c r="H349" s="1">
        <f ca="1">IFERROR(__xludf.DUMMYFUNCTION("""COMPUTED_VALUE"""),111.6)</f>
        <v>111.6</v>
      </c>
      <c r="I349" s="1">
        <f ca="1">IFERROR(__xludf.DUMMYFUNCTION("""COMPUTED_VALUE"""),313)</f>
        <v>313</v>
      </c>
      <c r="J349" s="1">
        <f ca="1">IFERROR(__xludf.DUMMYFUNCTION("""COMPUTED_VALUE"""),69.4)</f>
        <v>69.400000000000006</v>
      </c>
      <c r="K349" s="1">
        <f ca="1">IFERROR(__xludf.DUMMYFUNCTION("""COMPUTED_VALUE"""),38)</f>
        <v>38</v>
      </c>
      <c r="L349" s="1">
        <f ca="1">IFERROR(__xludf.DUMMYFUNCTION("""COMPUTED_VALUE"""),-0.014)</f>
        <v>-1.4E-2</v>
      </c>
      <c r="M349" s="1">
        <f ca="1">IFERROR(__xludf.DUMMYFUNCTION("""COMPUTED_VALUE"""),203)</f>
        <v>203</v>
      </c>
      <c r="N349" s="1">
        <f ca="1">IFERROR(__xludf.DUMMYFUNCTION("""COMPUTED_VALUE"""),-10.71)</f>
        <v>-10.71</v>
      </c>
      <c r="O349" s="1">
        <f ca="1">IFERROR(__xludf.DUMMYFUNCTION("""COMPUTED_VALUE"""),329)</f>
        <v>329</v>
      </c>
      <c r="P349" s="1">
        <f ca="1">IFERROR(__xludf.DUMMYFUNCTION("""COMPUTED_VALUE"""),97)</f>
        <v>97</v>
      </c>
      <c r="Q349" s="1">
        <f ca="1">IFERROR(__xludf.DUMMYFUNCTION("""COMPUTED_VALUE"""),329)</f>
        <v>329</v>
      </c>
      <c r="R349" s="1">
        <f ca="1">IFERROR(__xludf.DUMMYFUNCTION("""COMPUTED_VALUE"""),107.7)</f>
        <v>107.7</v>
      </c>
      <c r="S349" s="1">
        <f ca="1">IFERROR(__xludf.DUMMYFUNCTION("""COMPUTED_VALUE"""),314)</f>
        <v>314</v>
      </c>
      <c r="T349" s="1" t="str">
        <f ca="1">IFERROR(__xludf.DUMMYFUNCTION("""COMPUTED_VALUE"""),"+7.80")</f>
        <v>+7.80</v>
      </c>
      <c r="U349" s="1">
        <f ca="1">IFERROR(__xludf.DUMMYFUNCTION("""COMPUTED_VALUE"""),21)</f>
        <v>21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IFERROR(__xludf.DUMMYFUNCTION("""COMPUTED_VALUE"""),"Loyola Marymount")</f>
        <v>Loyola Marymount</v>
      </c>
      <c r="C350" s="1" t="str">
        <f ca="1">IFERROR(__xludf.DUMMYFUNCTION("""COMPUTED_VALUE"""),"WCC")</f>
        <v>WCC</v>
      </c>
      <c r="D350" s="2">
        <f ca="1">IFERROR(__xludf.DUMMYFUNCTION("""COMPUTED_VALUE"""),44707)</f>
        <v>44707</v>
      </c>
      <c r="E350" s="1">
        <f ca="1">IFERROR(__xludf.DUMMYFUNCTION("""COMPUTED_VALUE"""),-22.33)</f>
        <v>-22.33</v>
      </c>
      <c r="F350" s="1">
        <f ca="1">IFERROR(__xludf.DUMMYFUNCTION("""COMPUTED_VALUE"""),91.2)</f>
        <v>91.2</v>
      </c>
      <c r="G350" s="1">
        <f ca="1">IFERROR(__xludf.DUMMYFUNCTION("""COMPUTED_VALUE"""),324)</f>
        <v>324</v>
      </c>
      <c r="H350" s="1">
        <f ca="1">IFERROR(__xludf.DUMMYFUNCTION("""COMPUTED_VALUE"""),113.6)</f>
        <v>113.6</v>
      </c>
      <c r="I350" s="1">
        <f ca="1">IFERROR(__xludf.DUMMYFUNCTION("""COMPUTED_VALUE"""),326)</f>
        <v>326</v>
      </c>
      <c r="J350" s="1">
        <f ca="1">IFERROR(__xludf.DUMMYFUNCTION("""COMPUTED_VALUE"""),68.2)</f>
        <v>68.2</v>
      </c>
      <c r="K350" s="1">
        <f ca="1">IFERROR(__xludf.DUMMYFUNCTION("""COMPUTED_VALUE"""),70)</f>
        <v>70</v>
      </c>
      <c r="L350" s="1" t="str">
        <f ca="1">IFERROR(__xludf.DUMMYFUNCTION("""COMPUTED_VALUE"""),"+.066")</f>
        <v>+.066</v>
      </c>
      <c r="M350" s="1">
        <f ca="1">IFERROR(__xludf.DUMMYFUNCTION("""COMPUTED_VALUE"""),33)</f>
        <v>33</v>
      </c>
      <c r="N350" s="1">
        <f ca="1">IFERROR(__xludf.DUMMYFUNCTION("""COMPUTED_VALUE"""),-0.71)</f>
        <v>-0.71</v>
      </c>
      <c r="O350" s="1">
        <f ca="1">IFERROR(__xludf.DUMMYFUNCTION("""COMPUTED_VALUE"""),167)</f>
        <v>167</v>
      </c>
      <c r="P350" s="1">
        <f ca="1">IFERROR(__xludf.DUMMYFUNCTION("""COMPUTED_VALUE"""),102)</f>
        <v>102</v>
      </c>
      <c r="Q350" s="1">
        <f ca="1">IFERROR(__xludf.DUMMYFUNCTION("""COMPUTED_VALUE"""),222)</f>
        <v>222</v>
      </c>
      <c r="R350" s="1">
        <f ca="1">IFERROR(__xludf.DUMMYFUNCTION("""COMPUTED_VALUE"""),102.7)</f>
        <v>102.7</v>
      </c>
      <c r="S350" s="1">
        <f ca="1">IFERROR(__xludf.DUMMYFUNCTION("""COMPUTED_VALUE"""),136)</f>
        <v>136</v>
      </c>
      <c r="T350" s="1">
        <f ca="1">IFERROR(__xludf.DUMMYFUNCTION("""COMPUTED_VALUE"""),-1.57)</f>
        <v>-1.57</v>
      </c>
      <c r="U350" s="1">
        <f ca="1">IFERROR(__xludf.DUMMYFUNCTION("""COMPUTED_VALUE"""),193)</f>
        <v>193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IFERROR(__xludf.DUMMYFUNCTION("""COMPUTED_VALUE"""),"Sacramento St.")</f>
        <v>Sacramento St.</v>
      </c>
      <c r="C351" s="1" t="str">
        <f ca="1">IFERROR(__xludf.DUMMYFUNCTION("""COMPUTED_VALUE"""),"BSky")</f>
        <v>BSky</v>
      </c>
      <c r="D351" s="2">
        <f ca="1">IFERROR(__xludf.DUMMYFUNCTION("""COMPUTED_VALUE"""),44675)</f>
        <v>44675</v>
      </c>
      <c r="E351" s="1">
        <f ca="1">IFERROR(__xludf.DUMMYFUNCTION("""COMPUTED_VALUE"""),-22.44)</f>
        <v>-22.44</v>
      </c>
      <c r="F351" s="1">
        <f ca="1">IFERROR(__xludf.DUMMYFUNCTION("""COMPUTED_VALUE"""),90)</f>
        <v>90</v>
      </c>
      <c r="G351" s="1">
        <f ca="1">IFERROR(__xludf.DUMMYFUNCTION("""COMPUTED_VALUE"""),328)</f>
        <v>328</v>
      </c>
      <c r="H351" s="1">
        <f ca="1">IFERROR(__xludf.DUMMYFUNCTION("""COMPUTED_VALUE"""),112.4)</f>
        <v>112.4</v>
      </c>
      <c r="I351" s="1">
        <f ca="1">IFERROR(__xludf.DUMMYFUNCTION("""COMPUTED_VALUE"""),323)</f>
        <v>323</v>
      </c>
      <c r="J351" s="1">
        <f ca="1">IFERROR(__xludf.DUMMYFUNCTION("""COMPUTED_VALUE"""),68.7)</f>
        <v>68.7</v>
      </c>
      <c r="K351" s="1">
        <f ca="1">IFERROR(__xludf.DUMMYFUNCTION("""COMPUTED_VALUE"""),50)</f>
        <v>50</v>
      </c>
      <c r="L351" s="1" t="str">
        <f ca="1">IFERROR(__xludf.DUMMYFUNCTION("""COMPUTED_VALUE"""),"+.001")</f>
        <v>+.001</v>
      </c>
      <c r="M351" s="1">
        <f ca="1">IFERROR(__xludf.DUMMYFUNCTION("""COMPUTED_VALUE"""),163)</f>
        <v>163</v>
      </c>
      <c r="N351" s="1">
        <f ca="1">IFERROR(__xludf.DUMMYFUNCTION("""COMPUTED_VALUE"""),-2.16)</f>
        <v>-2.16</v>
      </c>
      <c r="O351" s="1">
        <f ca="1">IFERROR(__xludf.DUMMYFUNCTION("""COMPUTED_VALUE"""),195)</f>
        <v>195</v>
      </c>
      <c r="P351" s="1">
        <f ca="1">IFERROR(__xludf.DUMMYFUNCTION("""COMPUTED_VALUE"""),103.7)</f>
        <v>103.7</v>
      </c>
      <c r="Q351" s="1">
        <f ca="1">IFERROR(__xludf.DUMMYFUNCTION("""COMPUTED_VALUE"""),159)</f>
        <v>159</v>
      </c>
      <c r="R351" s="1">
        <f ca="1">IFERROR(__xludf.DUMMYFUNCTION("""COMPUTED_VALUE"""),105.8)</f>
        <v>105.8</v>
      </c>
      <c r="S351" s="1">
        <f ca="1">IFERROR(__xludf.DUMMYFUNCTION("""COMPUTED_VALUE"""),248)</f>
        <v>248</v>
      </c>
      <c r="T351" s="1" t="str">
        <f ca="1">IFERROR(__xludf.DUMMYFUNCTION("""COMPUTED_VALUE"""),"+5.00")</f>
        <v>+5.00</v>
      </c>
      <c r="U351" s="1">
        <f ca="1">IFERROR(__xludf.DUMMYFUNCTION("""COMPUTED_VALUE"""),44)</f>
        <v>44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IFERROR(__xludf.DUMMYFUNCTION("""COMPUTED_VALUE"""),"North Carolina Central")</f>
        <v>North Carolina Central</v>
      </c>
      <c r="C352" s="1" t="str">
        <f ca="1">IFERROR(__xludf.DUMMYFUNCTION("""COMPUTED_VALUE"""),"ind")</f>
        <v>ind</v>
      </c>
      <c r="D352" s="2">
        <f ca="1">IFERROR(__xludf.DUMMYFUNCTION("""COMPUTED_VALUE"""),44677)</f>
        <v>44677</v>
      </c>
      <c r="E352" s="1">
        <f ca="1">IFERROR(__xludf.DUMMYFUNCTION("""COMPUTED_VALUE"""),-23.17)</f>
        <v>-23.17</v>
      </c>
      <c r="F352" s="1">
        <f ca="1">IFERROR(__xludf.DUMMYFUNCTION("""COMPUTED_VALUE"""),85.3)</f>
        <v>85.3</v>
      </c>
      <c r="G352" s="1">
        <f ca="1">IFERROR(__xludf.DUMMYFUNCTION("""COMPUTED_VALUE"""),340)</f>
        <v>340</v>
      </c>
      <c r="H352" s="1">
        <f ca="1">IFERROR(__xludf.DUMMYFUNCTION("""COMPUTED_VALUE"""),108.5)</f>
        <v>108.5</v>
      </c>
      <c r="I352" s="1">
        <f ca="1">IFERROR(__xludf.DUMMYFUNCTION("""COMPUTED_VALUE"""),262)</f>
        <v>262</v>
      </c>
      <c r="J352" s="1">
        <f ca="1">IFERROR(__xludf.DUMMYFUNCTION("""COMPUTED_VALUE"""),68.3)</f>
        <v>68.3</v>
      </c>
      <c r="K352" s="1">
        <f ca="1">IFERROR(__xludf.DUMMYFUNCTION("""COMPUTED_VALUE"""),66)</f>
        <v>66</v>
      </c>
      <c r="L352" s="1" t="str">
        <f ca="1">IFERROR(__xludf.DUMMYFUNCTION("""COMPUTED_VALUE"""),"+.032")</f>
        <v>+.032</v>
      </c>
      <c r="M352" s="1">
        <f ca="1">IFERROR(__xludf.DUMMYFUNCTION("""COMPUTED_VALUE"""),93)</f>
        <v>93</v>
      </c>
      <c r="N352" s="1" t="str">
        <f ca="1">IFERROR(__xludf.DUMMYFUNCTION("""COMPUTED_VALUE"""),"+5.67")</f>
        <v>+5.67</v>
      </c>
      <c r="O352" s="1">
        <f ca="1">IFERROR(__xludf.DUMMYFUNCTION("""COMPUTED_VALUE"""),77)</f>
        <v>77</v>
      </c>
      <c r="P352" s="1">
        <f ca="1">IFERROR(__xludf.DUMMYFUNCTION("""COMPUTED_VALUE"""),106.6)</f>
        <v>106.6</v>
      </c>
      <c r="Q352" s="1">
        <f ca="1">IFERROR(__xludf.DUMMYFUNCTION("""COMPUTED_VALUE"""),72)</f>
        <v>72</v>
      </c>
      <c r="R352" s="1">
        <f ca="1">IFERROR(__xludf.DUMMYFUNCTION("""COMPUTED_VALUE"""),100.9)</f>
        <v>100.9</v>
      </c>
      <c r="S352" s="1">
        <f ca="1">IFERROR(__xludf.DUMMYFUNCTION("""COMPUTED_VALUE"""),74)</f>
        <v>74</v>
      </c>
      <c r="T352" s="1" t="str">
        <f ca="1">IFERROR(__xludf.DUMMYFUNCTION("""COMPUTED_VALUE"""),"+7.81")</f>
        <v>+7.81</v>
      </c>
      <c r="U352" s="1">
        <f ca="1">IFERROR(__xludf.DUMMYFUNCTION("""COMPUTED_VALUE"""),20)</f>
        <v>20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IFERROR(__xludf.DUMMYFUNCTION("""COMPUTED_VALUE"""),"Texas Southern")</f>
        <v>Texas Southern</v>
      </c>
      <c r="C353" s="1" t="str">
        <f ca="1">IFERROR(__xludf.DUMMYFUNCTION("""COMPUTED_VALUE"""),"SWAC")</f>
        <v>SWAC</v>
      </c>
      <c r="D353" s="2">
        <f ca="1">IFERROR(__xludf.DUMMYFUNCTION("""COMPUTED_VALUE"""),44767)</f>
        <v>44767</v>
      </c>
      <c r="E353" s="1">
        <f ca="1">IFERROR(__xludf.DUMMYFUNCTION("""COMPUTED_VALUE"""),-23.21)</f>
        <v>-23.21</v>
      </c>
      <c r="F353" s="1">
        <f ca="1">IFERROR(__xludf.DUMMYFUNCTION("""COMPUTED_VALUE"""),88.3)</f>
        <v>88.3</v>
      </c>
      <c r="G353" s="1">
        <f ca="1">IFERROR(__xludf.DUMMYFUNCTION("""COMPUTED_VALUE"""),333)</f>
        <v>333</v>
      </c>
      <c r="H353" s="1">
        <f ca="1">IFERROR(__xludf.DUMMYFUNCTION("""COMPUTED_VALUE"""),111.5)</f>
        <v>111.5</v>
      </c>
      <c r="I353" s="1">
        <f ca="1">IFERROR(__xludf.DUMMYFUNCTION("""COMPUTED_VALUE"""),312)</f>
        <v>312</v>
      </c>
      <c r="J353" s="1">
        <f ca="1">IFERROR(__xludf.DUMMYFUNCTION("""COMPUTED_VALUE"""),67.4)</f>
        <v>67.400000000000006</v>
      </c>
      <c r="K353" s="1">
        <f ca="1">IFERROR(__xludf.DUMMYFUNCTION("""COMPUTED_VALUE"""),93)</f>
        <v>93</v>
      </c>
      <c r="L353" s="1" t="str">
        <f ca="1">IFERROR(__xludf.DUMMYFUNCTION("""COMPUTED_VALUE"""),"+.001")</f>
        <v>+.001</v>
      </c>
      <c r="M353" s="1">
        <f ca="1">IFERROR(__xludf.DUMMYFUNCTION("""COMPUTED_VALUE"""),165)</f>
        <v>165</v>
      </c>
      <c r="N353" s="1">
        <f ca="1">IFERROR(__xludf.DUMMYFUNCTION("""COMPUTED_VALUE"""),-8.75)</f>
        <v>-8.75</v>
      </c>
      <c r="O353" s="1">
        <f ca="1">IFERROR(__xludf.DUMMYFUNCTION("""COMPUTED_VALUE"""),320)</f>
        <v>320</v>
      </c>
      <c r="P353" s="1">
        <f ca="1">IFERROR(__xludf.DUMMYFUNCTION("""COMPUTED_VALUE"""),97.8)</f>
        <v>97.8</v>
      </c>
      <c r="Q353" s="1">
        <f ca="1">IFERROR(__xludf.DUMMYFUNCTION("""COMPUTED_VALUE"""),323)</f>
        <v>323</v>
      </c>
      <c r="R353" s="1">
        <f ca="1">IFERROR(__xludf.DUMMYFUNCTION("""COMPUTED_VALUE"""),106.6)</f>
        <v>106.6</v>
      </c>
      <c r="S353" s="1">
        <f ca="1">IFERROR(__xludf.DUMMYFUNCTION("""COMPUTED_VALUE"""),286)</f>
        <v>286</v>
      </c>
      <c r="T353" s="1" t="str">
        <f ca="1">IFERROR(__xludf.DUMMYFUNCTION("""COMPUTED_VALUE"""),"+6.29")</f>
        <v>+6.29</v>
      </c>
      <c r="U353" s="1">
        <f ca="1">IFERROR(__xludf.DUMMYFUNCTION("""COMPUTED_VALUE"""),31)</f>
        <v>31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IFERROR(__xludf.DUMMYFUNCTION("""COMPUTED_VALUE"""),"Howard")</f>
        <v>Howard</v>
      </c>
      <c r="C354" s="1" t="str">
        <f ca="1">IFERROR(__xludf.DUMMYFUNCTION("""COMPUTED_VALUE"""),"MEAC")</f>
        <v>MEAC</v>
      </c>
      <c r="D354" s="2">
        <f ca="1">IFERROR(__xludf.DUMMYFUNCTION("""COMPUTED_VALUE"""),44738)</f>
        <v>44738</v>
      </c>
      <c r="E354" s="1">
        <f ca="1">IFERROR(__xludf.DUMMYFUNCTION("""COMPUTED_VALUE"""),-23.29)</f>
        <v>-23.29</v>
      </c>
      <c r="F354" s="1">
        <f ca="1">IFERROR(__xludf.DUMMYFUNCTION("""COMPUTED_VALUE"""),85.9)</f>
        <v>85.9</v>
      </c>
      <c r="G354" s="1">
        <f ca="1">IFERROR(__xludf.DUMMYFUNCTION("""COMPUTED_VALUE"""),339)</f>
        <v>339</v>
      </c>
      <c r="H354" s="1">
        <f ca="1">IFERROR(__xludf.DUMMYFUNCTION("""COMPUTED_VALUE"""),109.2)</f>
        <v>109.2</v>
      </c>
      <c r="I354" s="1">
        <f ca="1">IFERROR(__xludf.DUMMYFUNCTION("""COMPUTED_VALUE"""),277)</f>
        <v>277</v>
      </c>
      <c r="J354" s="1">
        <f ca="1">IFERROR(__xludf.DUMMYFUNCTION("""COMPUTED_VALUE"""),62.6)</f>
        <v>62.6</v>
      </c>
      <c r="K354" s="1">
        <f ca="1">IFERROR(__xludf.DUMMYFUNCTION("""COMPUTED_VALUE"""),276)</f>
        <v>276</v>
      </c>
      <c r="L354" s="1">
        <f ca="1">IFERROR(__xludf.DUMMYFUNCTION("""COMPUTED_VALUE"""),-0.027)</f>
        <v>-2.7E-2</v>
      </c>
      <c r="M354" s="1">
        <f ca="1">IFERROR(__xludf.DUMMYFUNCTION("""COMPUTED_VALUE"""),239)</f>
        <v>239</v>
      </c>
      <c r="N354" s="1">
        <f ca="1">IFERROR(__xludf.DUMMYFUNCTION("""COMPUTED_VALUE"""),-7.55)</f>
        <v>-7.55</v>
      </c>
      <c r="O354" s="1">
        <f ca="1">IFERROR(__xludf.DUMMYFUNCTION("""COMPUTED_VALUE"""),308)</f>
        <v>308</v>
      </c>
      <c r="P354" s="1">
        <f ca="1">IFERROR(__xludf.DUMMYFUNCTION("""COMPUTED_VALUE"""),99.1)</f>
        <v>99.1</v>
      </c>
      <c r="Q354" s="1">
        <f ca="1">IFERROR(__xludf.DUMMYFUNCTION("""COMPUTED_VALUE"""),315)</f>
        <v>315</v>
      </c>
      <c r="R354" s="1">
        <f ca="1">IFERROR(__xludf.DUMMYFUNCTION("""COMPUTED_VALUE"""),106.6)</f>
        <v>106.6</v>
      </c>
      <c r="S354" s="1">
        <f ca="1">IFERROR(__xludf.DUMMYFUNCTION("""COMPUTED_VALUE"""),288)</f>
        <v>288</v>
      </c>
      <c r="T354" s="1">
        <f ca="1">IFERROR(__xludf.DUMMYFUNCTION("""COMPUTED_VALUE"""),-0.6)</f>
        <v>-0.6</v>
      </c>
      <c r="U354" s="1">
        <f ca="1">IFERROR(__xludf.DUMMYFUNCTION("""COMPUTED_VALUE"""),163)</f>
        <v>163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IFERROR(__xludf.DUMMYFUNCTION("""COMPUTED_VALUE"""),"North Florida")</f>
        <v>North Florida</v>
      </c>
      <c r="C355" s="1" t="str">
        <f ca="1">IFERROR(__xludf.DUMMYFUNCTION("""COMPUTED_VALUE"""),"ASun")</f>
        <v>ASun</v>
      </c>
      <c r="D355" s="2">
        <f ca="1">IFERROR(__xludf.DUMMYFUNCTION("""COMPUTED_VALUE"""),44646)</f>
        <v>44646</v>
      </c>
      <c r="E355" s="1">
        <f ca="1">IFERROR(__xludf.DUMMYFUNCTION("""COMPUTED_VALUE"""),-23.54)</f>
        <v>-23.54</v>
      </c>
      <c r="F355" s="1">
        <f ca="1">IFERROR(__xludf.DUMMYFUNCTION("""COMPUTED_VALUE"""),86.3)</f>
        <v>86.3</v>
      </c>
      <c r="G355" s="1">
        <f ca="1">IFERROR(__xludf.DUMMYFUNCTION("""COMPUTED_VALUE"""),337)</f>
        <v>337</v>
      </c>
      <c r="H355" s="1">
        <f ca="1">IFERROR(__xludf.DUMMYFUNCTION("""COMPUTED_VALUE"""),109.9)</f>
        <v>109.9</v>
      </c>
      <c r="I355" s="1">
        <f ca="1">IFERROR(__xludf.DUMMYFUNCTION("""COMPUTED_VALUE"""),289)</f>
        <v>289</v>
      </c>
      <c r="J355" s="1">
        <f ca="1">IFERROR(__xludf.DUMMYFUNCTION("""COMPUTED_VALUE"""),64.4)</f>
        <v>64.400000000000006</v>
      </c>
      <c r="K355" s="1">
        <f ca="1">IFERROR(__xludf.DUMMYFUNCTION("""COMPUTED_VALUE"""),197)</f>
        <v>197</v>
      </c>
      <c r="L355" s="1">
        <f ca="1">IFERROR(__xludf.DUMMYFUNCTION("""COMPUTED_VALUE"""),-0.061)</f>
        <v>-6.0999999999999999E-2</v>
      </c>
      <c r="M355" s="1">
        <f ca="1">IFERROR(__xludf.DUMMYFUNCTION("""COMPUTED_VALUE"""),306)</f>
        <v>306</v>
      </c>
      <c r="N355" s="1">
        <f ca="1">IFERROR(__xludf.DUMMYFUNCTION("""COMPUTED_VALUE"""),-5.56)</f>
        <v>-5.56</v>
      </c>
      <c r="O355" s="1">
        <f ca="1">IFERROR(__xludf.DUMMYFUNCTION("""COMPUTED_VALUE"""),272)</f>
        <v>272</v>
      </c>
      <c r="P355" s="1">
        <f ca="1">IFERROR(__xludf.DUMMYFUNCTION("""COMPUTED_VALUE"""),100)</f>
        <v>100</v>
      </c>
      <c r="Q355" s="1">
        <f ca="1">IFERROR(__xludf.DUMMYFUNCTION("""COMPUTED_VALUE"""),293)</f>
        <v>293</v>
      </c>
      <c r="R355" s="1">
        <f ca="1">IFERROR(__xludf.DUMMYFUNCTION("""COMPUTED_VALUE"""),105.5)</f>
        <v>105.5</v>
      </c>
      <c r="S355" s="1">
        <f ca="1">IFERROR(__xludf.DUMMYFUNCTION("""COMPUTED_VALUE"""),236)</f>
        <v>236</v>
      </c>
      <c r="T355" s="1" t="str">
        <f ca="1">IFERROR(__xludf.DUMMYFUNCTION("""COMPUTED_VALUE"""),"+1.95")</f>
        <v>+1.95</v>
      </c>
      <c r="U355" s="1">
        <f ca="1">IFERROR(__xludf.DUMMYFUNCTION("""COMPUTED_VALUE"""),98)</f>
        <v>98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IFERROR(__xludf.DUMMYFUNCTION("""COMPUTED_VALUE"""),"Grambling St.")</f>
        <v>Grambling St.</v>
      </c>
      <c r="C356" s="1" t="str">
        <f ca="1">IFERROR(__xludf.DUMMYFUNCTION("""COMPUTED_VALUE"""),"SWAC")</f>
        <v>SWAC</v>
      </c>
      <c r="D356" s="2">
        <f ca="1">IFERROR(__xludf.DUMMYFUNCTION("""COMPUTED_VALUE"""),44761)</f>
        <v>44761</v>
      </c>
      <c r="E356" s="1">
        <f ca="1">IFERROR(__xludf.DUMMYFUNCTION("""COMPUTED_VALUE"""),-24.32)</f>
        <v>-24.32</v>
      </c>
      <c r="F356" s="1">
        <f ca="1">IFERROR(__xludf.DUMMYFUNCTION("""COMPUTED_VALUE"""),90.9)</f>
        <v>90.9</v>
      </c>
      <c r="G356" s="1">
        <f ca="1">IFERROR(__xludf.DUMMYFUNCTION("""COMPUTED_VALUE"""),325)</f>
        <v>325</v>
      </c>
      <c r="H356" s="1">
        <f ca="1">IFERROR(__xludf.DUMMYFUNCTION("""COMPUTED_VALUE"""),115.2)</f>
        <v>115.2</v>
      </c>
      <c r="I356" s="1">
        <f ca="1">IFERROR(__xludf.DUMMYFUNCTION("""COMPUTED_VALUE"""),334)</f>
        <v>334</v>
      </c>
      <c r="J356" s="1">
        <f ca="1">IFERROR(__xludf.DUMMYFUNCTION("""COMPUTED_VALUE"""),68.4)</f>
        <v>68.400000000000006</v>
      </c>
      <c r="K356" s="1">
        <f ca="1">IFERROR(__xludf.DUMMYFUNCTION("""COMPUTED_VALUE"""),64)</f>
        <v>64</v>
      </c>
      <c r="L356" s="1" t="str">
        <f ca="1">IFERROR(__xludf.DUMMYFUNCTION("""COMPUTED_VALUE"""),"+.019")</f>
        <v>+.019</v>
      </c>
      <c r="M356" s="1">
        <f ca="1">IFERROR(__xludf.DUMMYFUNCTION("""COMPUTED_VALUE"""),120)</f>
        <v>120</v>
      </c>
      <c r="N356" s="1">
        <f ca="1">IFERROR(__xludf.DUMMYFUNCTION("""COMPUTED_VALUE"""),-13.25)</f>
        <v>-13.25</v>
      </c>
      <c r="O356" s="1">
        <f ca="1">IFERROR(__xludf.DUMMYFUNCTION("""COMPUTED_VALUE"""),339)</f>
        <v>339</v>
      </c>
      <c r="P356" s="1">
        <f ca="1">IFERROR(__xludf.DUMMYFUNCTION("""COMPUTED_VALUE"""),94.7)</f>
        <v>94.7</v>
      </c>
      <c r="Q356" s="1">
        <f ca="1">IFERROR(__xludf.DUMMYFUNCTION("""COMPUTED_VALUE"""),340)</f>
        <v>340</v>
      </c>
      <c r="R356" s="1">
        <f ca="1">IFERROR(__xludf.DUMMYFUNCTION("""COMPUTED_VALUE"""),107.9)</f>
        <v>107.9</v>
      </c>
      <c r="S356" s="1">
        <f ca="1">IFERROR(__xludf.DUMMYFUNCTION("""COMPUTED_VALUE"""),322)</f>
        <v>322</v>
      </c>
      <c r="T356" s="1" t="str">
        <f ca="1">IFERROR(__xludf.DUMMYFUNCTION("""COMPUTED_VALUE"""),"+11.62")</f>
        <v>+11.62</v>
      </c>
      <c r="U356" s="1">
        <f ca="1">IFERROR(__xludf.DUMMYFUNCTION("""COMPUTED_VALUE"""),7)</f>
        <v>7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IFERROR(__xludf.DUMMYFUNCTION("""COMPUTED_VALUE"""),"Alcorn St.")</f>
        <v>Alcorn St.</v>
      </c>
      <c r="C357" s="1" t="str">
        <f ca="1">IFERROR(__xludf.DUMMYFUNCTION("""COMPUTED_VALUE"""),"SWAC")</f>
        <v>SWAC</v>
      </c>
      <c r="D357" s="2">
        <f ca="1">IFERROR(__xludf.DUMMYFUNCTION("""COMPUTED_VALUE"""),44766)</f>
        <v>44766</v>
      </c>
      <c r="E357" s="1">
        <f ca="1">IFERROR(__xludf.DUMMYFUNCTION("""COMPUTED_VALUE"""),-24.83)</f>
        <v>-24.83</v>
      </c>
      <c r="F357" s="1">
        <f ca="1">IFERROR(__xludf.DUMMYFUNCTION("""COMPUTED_VALUE"""),93.5)</f>
        <v>93.5</v>
      </c>
      <c r="G357" s="1">
        <f ca="1">IFERROR(__xludf.DUMMYFUNCTION("""COMPUTED_VALUE"""),311)</f>
        <v>311</v>
      </c>
      <c r="H357" s="1">
        <f ca="1">IFERROR(__xludf.DUMMYFUNCTION("""COMPUTED_VALUE"""),118.3)</f>
        <v>118.3</v>
      </c>
      <c r="I357" s="1">
        <f ca="1">IFERROR(__xludf.DUMMYFUNCTION("""COMPUTED_VALUE"""),341)</f>
        <v>341</v>
      </c>
      <c r="J357" s="1">
        <f ca="1">IFERROR(__xludf.DUMMYFUNCTION("""COMPUTED_VALUE"""),67.8)</f>
        <v>67.8</v>
      </c>
      <c r="K357" s="1">
        <f ca="1">IFERROR(__xludf.DUMMYFUNCTION("""COMPUTED_VALUE"""),84)</f>
        <v>84</v>
      </c>
      <c r="L357" s="1" t="str">
        <f ca="1">IFERROR(__xludf.DUMMYFUNCTION("""COMPUTED_VALUE"""),"+.018")</f>
        <v>+.018</v>
      </c>
      <c r="M357" s="1">
        <f ca="1">IFERROR(__xludf.DUMMYFUNCTION("""COMPUTED_VALUE"""),125)</f>
        <v>125</v>
      </c>
      <c r="N357" s="1">
        <f ca="1">IFERROR(__xludf.DUMMYFUNCTION("""COMPUTED_VALUE"""),-11.56)</f>
        <v>-11.56</v>
      </c>
      <c r="O357" s="1">
        <f ca="1">IFERROR(__xludf.DUMMYFUNCTION("""COMPUTED_VALUE"""),334)</f>
        <v>334</v>
      </c>
      <c r="P357" s="1">
        <f ca="1">IFERROR(__xludf.DUMMYFUNCTION("""COMPUTED_VALUE"""),96.2)</f>
        <v>96.2</v>
      </c>
      <c r="Q357" s="1">
        <f ca="1">IFERROR(__xludf.DUMMYFUNCTION("""COMPUTED_VALUE"""),334)</f>
        <v>334</v>
      </c>
      <c r="R357" s="1">
        <f ca="1">IFERROR(__xludf.DUMMYFUNCTION("""COMPUTED_VALUE"""),107.7)</f>
        <v>107.7</v>
      </c>
      <c r="S357" s="1">
        <f ca="1">IFERROR(__xludf.DUMMYFUNCTION("""COMPUTED_VALUE"""),316)</f>
        <v>316</v>
      </c>
      <c r="T357" s="1" t="str">
        <f ca="1">IFERROR(__xludf.DUMMYFUNCTION("""COMPUTED_VALUE"""),"+1.39")</f>
        <v>+1.39</v>
      </c>
      <c r="U357" s="1">
        <f ca="1">IFERROR(__xludf.DUMMYFUNCTION("""COMPUTED_VALUE"""),113)</f>
        <v>113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IFERROR(__xludf.DUMMYFUNCTION("""COMPUTED_VALUE"""),"Maryland Eastern Shore")</f>
        <v>Maryland Eastern Shore</v>
      </c>
      <c r="C358" s="1" t="str">
        <f ca="1">IFERROR(__xludf.DUMMYFUNCTION("""COMPUTED_VALUE"""),"MEAC")</f>
        <v>MEAC</v>
      </c>
      <c r="D358" s="2">
        <f ca="1">IFERROR(__xludf.DUMMYFUNCTION("""COMPUTED_VALUE"""),44679)</f>
        <v>44679</v>
      </c>
      <c r="E358" s="1">
        <f ca="1">IFERROR(__xludf.DUMMYFUNCTION("""COMPUTED_VALUE"""),-28.29)</f>
        <v>-28.29</v>
      </c>
      <c r="F358" s="1">
        <f ca="1">IFERROR(__xludf.DUMMYFUNCTION("""COMPUTED_VALUE"""),86.1)</f>
        <v>86.1</v>
      </c>
      <c r="G358" s="1">
        <f ca="1">IFERROR(__xludf.DUMMYFUNCTION("""COMPUTED_VALUE"""),338)</f>
        <v>338</v>
      </c>
      <c r="H358" s="1">
        <f ca="1">IFERROR(__xludf.DUMMYFUNCTION("""COMPUTED_VALUE"""),114.4)</f>
        <v>114.4</v>
      </c>
      <c r="I358" s="1">
        <f ca="1">IFERROR(__xludf.DUMMYFUNCTION("""COMPUTED_VALUE"""),332)</f>
        <v>332</v>
      </c>
      <c r="J358" s="1">
        <f ca="1">IFERROR(__xludf.DUMMYFUNCTION("""COMPUTED_VALUE"""),67.1)</f>
        <v>67.099999999999994</v>
      </c>
      <c r="K358" s="1">
        <f ca="1">IFERROR(__xludf.DUMMYFUNCTION("""COMPUTED_VALUE"""),102)</f>
        <v>102</v>
      </c>
      <c r="L358" s="1">
        <f ca="1">IFERROR(__xludf.DUMMYFUNCTION("""COMPUTED_VALUE"""),-0.004)</f>
        <v>-4.0000000000000001E-3</v>
      </c>
      <c r="M358" s="1">
        <f ca="1">IFERROR(__xludf.DUMMYFUNCTION("""COMPUTED_VALUE"""),180)</f>
        <v>180</v>
      </c>
      <c r="N358" s="1">
        <f ca="1">IFERROR(__xludf.DUMMYFUNCTION("""COMPUTED_VALUE"""),-8.45)</f>
        <v>-8.4499999999999993</v>
      </c>
      <c r="O358" s="1">
        <f ca="1">IFERROR(__xludf.DUMMYFUNCTION("""COMPUTED_VALUE"""),317)</f>
        <v>317</v>
      </c>
      <c r="P358" s="1">
        <f ca="1">IFERROR(__xludf.DUMMYFUNCTION("""COMPUTED_VALUE"""),97.8)</f>
        <v>97.8</v>
      </c>
      <c r="Q358" s="1">
        <f ca="1">IFERROR(__xludf.DUMMYFUNCTION("""COMPUTED_VALUE"""),325)</f>
        <v>325</v>
      </c>
      <c r="R358" s="1">
        <f ca="1">IFERROR(__xludf.DUMMYFUNCTION("""COMPUTED_VALUE"""),106.2)</f>
        <v>106.2</v>
      </c>
      <c r="S358" s="1">
        <f ca="1">IFERROR(__xludf.DUMMYFUNCTION("""COMPUTED_VALUE"""),272)</f>
        <v>272</v>
      </c>
      <c r="T358" s="1" t="str">
        <f ca="1">IFERROR(__xludf.DUMMYFUNCTION("""COMPUTED_VALUE"""),"+0.24")</f>
        <v>+0.24</v>
      </c>
      <c r="U358" s="1">
        <f ca="1">IFERROR(__xludf.DUMMYFUNCTION("""COMPUTED_VALUE"""),139)</f>
        <v>139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IFERROR(__xludf.DUMMYFUNCTION("""COMPUTED_VALUE"""),"NJIT")</f>
        <v>NJIT</v>
      </c>
      <c r="C359" s="1" t="str">
        <f ca="1">IFERROR(__xludf.DUMMYFUNCTION("""COMPUTED_VALUE"""),"ind")</f>
        <v>ind</v>
      </c>
      <c r="D359" s="1" t="str">
        <f ca="1">IFERROR(__xludf.DUMMYFUNCTION("""COMPUTED_VALUE"""),"0-29")</f>
        <v>0-29</v>
      </c>
      <c r="E359" s="1">
        <f ca="1">IFERROR(__xludf.DUMMYFUNCTION("""COMPUTED_VALUE"""),-32.79)</f>
        <v>-32.79</v>
      </c>
      <c r="F359" s="1">
        <f ca="1">IFERROR(__xludf.DUMMYFUNCTION("""COMPUTED_VALUE"""),77.2)</f>
        <v>77.2</v>
      </c>
      <c r="G359" s="1">
        <f ca="1">IFERROR(__xludf.DUMMYFUNCTION("""COMPUTED_VALUE"""),341)</f>
        <v>341</v>
      </c>
      <c r="H359" s="1">
        <f ca="1">IFERROR(__xludf.DUMMYFUNCTION("""COMPUTED_VALUE"""),110)</f>
        <v>110</v>
      </c>
      <c r="I359" s="1">
        <f ca="1">IFERROR(__xludf.DUMMYFUNCTION("""COMPUTED_VALUE"""),293)</f>
        <v>293</v>
      </c>
      <c r="J359" s="1">
        <f ca="1">IFERROR(__xludf.DUMMYFUNCTION("""COMPUTED_VALUE"""),69.7)</f>
        <v>69.7</v>
      </c>
      <c r="K359" s="1">
        <f ca="1">IFERROR(__xludf.DUMMYFUNCTION("""COMPUTED_VALUE"""),31)</f>
        <v>31</v>
      </c>
      <c r="L359" s="1">
        <f ca="1">IFERROR(__xludf.DUMMYFUNCTION("""COMPUTED_VALUE"""),-0.025)</f>
        <v>-2.5000000000000001E-2</v>
      </c>
      <c r="M359" s="1">
        <f ca="1">IFERROR(__xludf.DUMMYFUNCTION("""COMPUTED_VALUE"""),235)</f>
        <v>235</v>
      </c>
      <c r="N359" s="1">
        <f ca="1">IFERROR(__xludf.DUMMYFUNCTION("""COMPUTED_VALUE"""),-5.53)</f>
        <v>-5.53</v>
      </c>
      <c r="O359" s="1">
        <f ca="1">IFERROR(__xludf.DUMMYFUNCTION("""COMPUTED_VALUE"""),270)</f>
        <v>270</v>
      </c>
      <c r="P359" s="1">
        <f ca="1">IFERROR(__xludf.DUMMYFUNCTION("""COMPUTED_VALUE"""),102.2)</f>
        <v>102.2</v>
      </c>
      <c r="Q359" s="1">
        <f ca="1">IFERROR(__xludf.DUMMYFUNCTION("""COMPUTED_VALUE"""),212)</f>
        <v>212</v>
      </c>
      <c r="R359" s="1">
        <f ca="1">IFERROR(__xludf.DUMMYFUNCTION("""COMPUTED_VALUE"""),107.7)</f>
        <v>107.7</v>
      </c>
      <c r="S359" s="1">
        <f ca="1">IFERROR(__xludf.DUMMYFUNCTION("""COMPUTED_VALUE"""),318)</f>
        <v>318</v>
      </c>
      <c r="T359" s="1">
        <f ca="1">IFERROR(__xludf.DUMMYFUNCTION("""COMPUTED_VALUE"""),-3.13)</f>
        <v>-3.13</v>
      </c>
      <c r="U359" s="1">
        <f ca="1">IFERROR(__xludf.DUMMYFUNCTION("""COMPUTED_VALUE"""),251)</f>
        <v>251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U362"/>
  <sheetViews>
    <sheetView topLeftCell="E1" workbookViewId="0">
      <selection activeCell="E2" sqref="A2:XFD2"/>
    </sheetView>
  </sheetViews>
  <sheetFormatPr baseColWidth="10" defaultColWidth="12.6640625" defaultRowHeight="15.75" customHeight="1" x14ac:dyDescent="0.15"/>
  <sheetData>
    <row r="1" spans="1:21" ht="13" x14ac:dyDescent="0.15">
      <c r="A1" s="3" t="str">
        <f ca="1">IFERROR(__xludf.DUMMYFUNCTION("IMPORThtML(""https://kenpom.com/index.php?y=2009"",""table"",1)"),"")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2</v>
      </c>
      <c r="H2" s="1" t="str">
        <f ca="1">IFERROR(__xludf.DUMMYFUNCTION("""COMPUTED_VALUE"""),"AdjD")</f>
        <v>AdjD</v>
      </c>
      <c r="I2" s="1" t="s">
        <v>3</v>
      </c>
      <c r="J2" s="1" t="str">
        <f ca="1">IFERROR(__xludf.DUMMYFUNCTION("""COMPUTED_VALUE"""),"AdjT")</f>
        <v>AdjT</v>
      </c>
      <c r="K2" s="1" t="s">
        <v>4</v>
      </c>
      <c r="L2" s="1" t="str">
        <f ca="1">IFERROR(__xludf.DUMMYFUNCTION("""COMPUTED_VALUE"""),"Luck")</f>
        <v>Luck</v>
      </c>
      <c r="M2" s="1" t="s">
        <v>5</v>
      </c>
      <c r="N2" s="1" t="s">
        <v>0</v>
      </c>
      <c r="O2" s="1" t="s">
        <v>6</v>
      </c>
      <c r="P2" s="1" t="str">
        <f ca="1">IFERROR(__xludf.DUMMYFUNCTION("""COMPUTED_VALUE"""),"OppO")</f>
        <v>OppO</v>
      </c>
      <c r="Q2" s="1" t="s">
        <v>7</v>
      </c>
      <c r="R2" s="1" t="str">
        <f ca="1">IFERROR(__xludf.DUMMYFUNCTION("""COMPUTED_VALUE"""),"OppD")</f>
        <v>OppD</v>
      </c>
      <c r="S2" s="1" t="s">
        <v>8</v>
      </c>
      <c r="T2" s="1" t="s">
        <v>1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IFERROR(__xludf.DUMMYFUNCTION("""COMPUTED_VALUE"""),"North Carolina1")</f>
        <v>North Carolina1</v>
      </c>
      <c r="C3" s="1" t="str">
        <f ca="1">IFERROR(__xludf.DUMMYFUNCTION("""COMPUTED_VALUE"""),"ACC")</f>
        <v>ACC</v>
      </c>
      <c r="D3" s="1" t="str">
        <f ca="1">IFERROR(__xludf.DUMMYFUNCTION("""COMPUTED_VALUE"""),"34-4")</f>
        <v>34-4</v>
      </c>
      <c r="E3" s="1" t="str">
        <f ca="1">IFERROR(__xludf.DUMMYFUNCTION("""COMPUTED_VALUE"""),"+31.14")</f>
        <v>+31.14</v>
      </c>
      <c r="F3" s="1">
        <f ca="1">IFERROR(__xludf.DUMMYFUNCTION("""COMPUTED_VALUE"""),123.2)</f>
        <v>123.2</v>
      </c>
      <c r="G3" s="1">
        <f ca="1">IFERROR(__xludf.DUMMYFUNCTION("""COMPUTED_VALUE"""),1)</f>
        <v>1</v>
      </c>
      <c r="H3" s="1">
        <f ca="1">IFERROR(__xludf.DUMMYFUNCTION("""COMPUTED_VALUE"""),92.1)</f>
        <v>92.1</v>
      </c>
      <c r="I3" s="1">
        <f ca="1">IFERROR(__xludf.DUMMYFUNCTION("""COMPUTED_VALUE"""),18)</f>
        <v>18</v>
      </c>
      <c r="J3" s="1">
        <f ca="1">IFERROR(__xludf.DUMMYFUNCTION("""COMPUTED_VALUE"""),72.9)</f>
        <v>72.900000000000006</v>
      </c>
      <c r="K3" s="1">
        <f ca="1">IFERROR(__xludf.DUMMYFUNCTION("""COMPUTED_VALUE"""),6)</f>
        <v>6</v>
      </c>
      <c r="L3" s="1">
        <f ca="1">IFERROR(__xludf.DUMMYFUNCTION("""COMPUTED_VALUE"""),-0.011)</f>
        <v>-1.0999999999999999E-2</v>
      </c>
      <c r="M3" s="1">
        <f ca="1">IFERROR(__xludf.DUMMYFUNCTION("""COMPUTED_VALUE"""),195)</f>
        <v>195</v>
      </c>
      <c r="N3" s="1" t="str">
        <f ca="1">IFERROR(__xludf.DUMMYFUNCTION("""COMPUTED_VALUE"""),"+9.91")</f>
        <v>+9.91</v>
      </c>
      <c r="O3" s="1">
        <f ca="1">IFERROR(__xludf.DUMMYFUNCTION("""COMPUTED_VALUE"""),24)</f>
        <v>24</v>
      </c>
      <c r="P3" s="1">
        <f ca="1">IFERROR(__xludf.DUMMYFUNCTION("""COMPUTED_VALUE"""),108.2)</f>
        <v>108.2</v>
      </c>
      <c r="Q3" s="1">
        <f ca="1">IFERROR(__xludf.DUMMYFUNCTION("""COMPUTED_VALUE"""),27)</f>
        <v>27</v>
      </c>
      <c r="R3" s="1">
        <f ca="1">IFERROR(__xludf.DUMMYFUNCTION("""COMPUTED_VALUE"""),98.3)</f>
        <v>98.3</v>
      </c>
      <c r="S3" s="1">
        <f ca="1">IFERROR(__xludf.DUMMYFUNCTION("""COMPUTED_VALUE"""),15)</f>
        <v>15</v>
      </c>
      <c r="T3" s="1" t="str">
        <f ca="1">IFERROR(__xludf.DUMMYFUNCTION("""COMPUTED_VALUE"""),"+1.06")</f>
        <v>+1.06</v>
      </c>
      <c r="U3" s="1">
        <f ca="1">IFERROR(__xludf.DUMMYFUNCTION("""COMPUTED_VALUE"""),126)</f>
        <v>126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IFERROR(__xludf.DUMMYFUNCTION("""COMPUTED_VALUE"""),"Connecticut1")</f>
        <v>Connecticut1</v>
      </c>
      <c r="C4" s="1" t="str">
        <f ca="1">IFERROR(__xludf.DUMMYFUNCTION("""COMPUTED_VALUE"""),"BE")</f>
        <v>BE</v>
      </c>
      <c r="D4" s="1" t="str">
        <f ca="1">IFERROR(__xludf.DUMMYFUNCTION("""COMPUTED_VALUE"""),"31-5")</f>
        <v>31-5</v>
      </c>
      <c r="E4" s="1" t="str">
        <f ca="1">IFERROR(__xludf.DUMMYFUNCTION("""COMPUTED_VALUE"""),"+29.25")</f>
        <v>+29.25</v>
      </c>
      <c r="F4" s="1">
        <f ca="1">IFERROR(__xludf.DUMMYFUNCTION("""COMPUTED_VALUE"""),116)</f>
        <v>116</v>
      </c>
      <c r="G4" s="1">
        <f ca="1">IFERROR(__xludf.DUMMYFUNCTION("""COMPUTED_VALUE"""),17)</f>
        <v>17</v>
      </c>
      <c r="H4" s="1">
        <f ca="1">IFERROR(__xludf.DUMMYFUNCTION("""COMPUTED_VALUE"""),86.8)</f>
        <v>86.8</v>
      </c>
      <c r="I4" s="1">
        <f ca="1">IFERROR(__xludf.DUMMYFUNCTION("""COMPUTED_VALUE"""),3)</f>
        <v>3</v>
      </c>
      <c r="J4" s="1">
        <f ca="1">IFERROR(__xludf.DUMMYFUNCTION("""COMPUTED_VALUE"""),67.1)</f>
        <v>67.099999999999994</v>
      </c>
      <c r="K4" s="1">
        <f ca="1">IFERROR(__xludf.DUMMYFUNCTION("""COMPUTED_VALUE"""),96)</f>
        <v>96</v>
      </c>
      <c r="L4" s="1" t="str">
        <f ca="1">IFERROR(__xludf.DUMMYFUNCTION("""COMPUTED_VALUE"""),"+.024")</f>
        <v>+.024</v>
      </c>
      <c r="M4" s="1">
        <f ca="1">IFERROR(__xludf.DUMMYFUNCTION("""COMPUTED_VALUE"""),107)</f>
        <v>107</v>
      </c>
      <c r="N4" s="1" t="str">
        <f ca="1">IFERROR(__xludf.DUMMYFUNCTION("""COMPUTED_VALUE"""),"+10.37")</f>
        <v>+10.37</v>
      </c>
      <c r="O4" s="1">
        <f ca="1">IFERROR(__xludf.DUMMYFUNCTION("""COMPUTED_VALUE"""),13)</f>
        <v>13</v>
      </c>
      <c r="P4" s="1">
        <f ca="1">IFERROR(__xludf.DUMMYFUNCTION("""COMPUTED_VALUE"""),109)</f>
        <v>109</v>
      </c>
      <c r="Q4" s="1">
        <f ca="1">IFERROR(__xludf.DUMMYFUNCTION("""COMPUTED_VALUE"""),11)</f>
        <v>11</v>
      </c>
      <c r="R4" s="1">
        <f ca="1">IFERROR(__xludf.DUMMYFUNCTION("""COMPUTED_VALUE"""),98.6)</f>
        <v>98.6</v>
      </c>
      <c r="S4" s="1">
        <f ca="1">IFERROR(__xludf.DUMMYFUNCTION("""COMPUTED_VALUE"""),24)</f>
        <v>24</v>
      </c>
      <c r="T4" s="1">
        <f ca="1">IFERROR(__xludf.DUMMYFUNCTION("""COMPUTED_VALUE"""),-1.68)</f>
        <v>-1.68</v>
      </c>
      <c r="U4" s="1">
        <f ca="1">IFERROR(__xludf.DUMMYFUNCTION("""COMPUTED_VALUE"""),200)</f>
        <v>200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IFERROR(__xludf.DUMMYFUNCTION("""COMPUTED_VALUE"""),"Pittsburgh1")</f>
        <v>Pittsburgh1</v>
      </c>
      <c r="C5" s="1" t="str">
        <f ca="1">IFERROR(__xludf.DUMMYFUNCTION("""COMPUTED_VALUE"""),"BE")</f>
        <v>BE</v>
      </c>
      <c r="D5" s="1" t="str">
        <f ca="1">IFERROR(__xludf.DUMMYFUNCTION("""COMPUTED_VALUE"""),"31-5")</f>
        <v>31-5</v>
      </c>
      <c r="E5" s="1" t="str">
        <f ca="1">IFERROR(__xludf.DUMMYFUNCTION("""COMPUTED_VALUE"""),"+28.96")</f>
        <v>+28.96</v>
      </c>
      <c r="F5" s="1">
        <f ca="1">IFERROR(__xludf.DUMMYFUNCTION("""COMPUTED_VALUE"""),121.2)</f>
        <v>121.2</v>
      </c>
      <c r="G5" s="1">
        <f ca="1">IFERROR(__xludf.DUMMYFUNCTION("""COMPUTED_VALUE"""),2)</f>
        <v>2</v>
      </c>
      <c r="H5" s="1">
        <f ca="1">IFERROR(__xludf.DUMMYFUNCTION("""COMPUTED_VALUE"""),92.3)</f>
        <v>92.3</v>
      </c>
      <c r="I5" s="1">
        <f ca="1">IFERROR(__xludf.DUMMYFUNCTION("""COMPUTED_VALUE"""),19)</f>
        <v>19</v>
      </c>
      <c r="J5" s="1">
        <f ca="1">IFERROR(__xludf.DUMMYFUNCTION("""COMPUTED_VALUE"""),65.2)</f>
        <v>65.2</v>
      </c>
      <c r="K5" s="1">
        <f ca="1">IFERROR(__xludf.DUMMYFUNCTION("""COMPUTED_VALUE"""),174)</f>
        <v>174</v>
      </c>
      <c r="L5" s="1">
        <f ca="1">IFERROR(__xludf.DUMMYFUNCTION("""COMPUTED_VALUE"""),-0.012)</f>
        <v>-1.2E-2</v>
      </c>
      <c r="M5" s="1">
        <f ca="1">IFERROR(__xludf.DUMMYFUNCTION("""COMPUTED_VALUE"""),201)</f>
        <v>201</v>
      </c>
      <c r="N5" s="1" t="str">
        <f ca="1">IFERROR(__xludf.DUMMYFUNCTION("""COMPUTED_VALUE"""),"+10.11")</f>
        <v>+10.11</v>
      </c>
      <c r="O5" s="1">
        <f ca="1">IFERROR(__xludf.DUMMYFUNCTION("""COMPUTED_VALUE"""),19)</f>
        <v>19</v>
      </c>
      <c r="P5" s="1">
        <f ca="1">IFERROR(__xludf.DUMMYFUNCTION("""COMPUTED_VALUE"""),108.1)</f>
        <v>108.1</v>
      </c>
      <c r="Q5" s="1">
        <f ca="1">IFERROR(__xludf.DUMMYFUNCTION("""COMPUTED_VALUE"""),28)</f>
        <v>28</v>
      </c>
      <c r="R5" s="1">
        <f ca="1">IFERROR(__xludf.DUMMYFUNCTION("""COMPUTED_VALUE"""),98)</f>
        <v>98</v>
      </c>
      <c r="S5" s="1">
        <f ca="1">IFERROR(__xludf.DUMMYFUNCTION("""COMPUTED_VALUE"""),12)</f>
        <v>12</v>
      </c>
      <c r="T5" s="1" t="str">
        <f ca="1">IFERROR(__xludf.DUMMYFUNCTION("""COMPUTED_VALUE"""),"+0.79")</f>
        <v>+0.79</v>
      </c>
      <c r="U5" s="1">
        <f ca="1">IFERROR(__xludf.DUMMYFUNCTION("""COMPUTED_VALUE"""),132)</f>
        <v>132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IFERROR(__xludf.DUMMYFUNCTION("""COMPUTED_VALUE"""),"Memphis2")</f>
        <v>Memphis2</v>
      </c>
      <c r="C6" s="1" t="str">
        <f ca="1">IFERROR(__xludf.DUMMYFUNCTION("""COMPUTED_VALUE"""),"CUSA")</f>
        <v>CUSA</v>
      </c>
      <c r="D6" s="1" t="str">
        <f ca="1">IFERROR(__xludf.DUMMYFUNCTION("""COMPUTED_VALUE"""),"33-4")</f>
        <v>33-4</v>
      </c>
      <c r="E6" s="1" t="str">
        <f ca="1">IFERROR(__xludf.DUMMYFUNCTION("""COMPUTED_VALUE"""),"+28.67")</f>
        <v>+28.67</v>
      </c>
      <c r="F6" s="1">
        <f ca="1">IFERROR(__xludf.DUMMYFUNCTION("""COMPUTED_VALUE"""),112.8)</f>
        <v>112.8</v>
      </c>
      <c r="G6" s="1">
        <f ca="1">IFERROR(__xludf.DUMMYFUNCTION("""COMPUTED_VALUE"""),37)</f>
        <v>37</v>
      </c>
      <c r="H6" s="1">
        <f ca="1">IFERROR(__xludf.DUMMYFUNCTION("""COMPUTED_VALUE"""),84.2)</f>
        <v>84.2</v>
      </c>
      <c r="I6" s="1">
        <f ca="1">IFERROR(__xludf.DUMMYFUNCTION("""COMPUTED_VALUE"""),1)</f>
        <v>1</v>
      </c>
      <c r="J6" s="1">
        <f ca="1">IFERROR(__xludf.DUMMYFUNCTION("""COMPUTED_VALUE"""),65.9)</f>
        <v>65.900000000000006</v>
      </c>
      <c r="K6" s="1">
        <f ca="1">IFERROR(__xludf.DUMMYFUNCTION("""COMPUTED_VALUE"""),145)</f>
        <v>145</v>
      </c>
      <c r="L6" s="1">
        <f ca="1">IFERROR(__xludf.DUMMYFUNCTION("""COMPUTED_VALUE"""),-0.009)</f>
        <v>-8.9999999999999993E-3</v>
      </c>
      <c r="M6" s="1">
        <f ca="1">IFERROR(__xludf.DUMMYFUNCTION("""COMPUTED_VALUE"""),190)</f>
        <v>190</v>
      </c>
      <c r="N6" s="1" t="str">
        <f ca="1">IFERROR(__xludf.DUMMYFUNCTION("""COMPUTED_VALUE"""),"+4.73")</f>
        <v>+4.73</v>
      </c>
      <c r="O6" s="1">
        <f ca="1">IFERROR(__xludf.DUMMYFUNCTION("""COMPUTED_VALUE"""),77)</f>
        <v>77</v>
      </c>
      <c r="P6" s="1">
        <f ca="1">IFERROR(__xludf.DUMMYFUNCTION("""COMPUTED_VALUE"""),105.5)</f>
        <v>105.5</v>
      </c>
      <c r="Q6" s="1">
        <f ca="1">IFERROR(__xludf.DUMMYFUNCTION("""COMPUTED_VALUE"""),73)</f>
        <v>73</v>
      </c>
      <c r="R6" s="1">
        <f ca="1">IFERROR(__xludf.DUMMYFUNCTION("""COMPUTED_VALUE"""),100.8)</f>
        <v>100.8</v>
      </c>
      <c r="S6" s="1">
        <f ca="1">IFERROR(__xludf.DUMMYFUNCTION("""COMPUTED_VALUE"""),78)</f>
        <v>78</v>
      </c>
      <c r="T6" s="1" t="str">
        <f ca="1">IFERROR(__xludf.DUMMYFUNCTION("""COMPUTED_VALUE"""),"+4.19")</f>
        <v>+4.19</v>
      </c>
      <c r="U6" s="1">
        <f ca="1">IFERROR(__xludf.DUMMYFUNCTION("""COMPUTED_VALUE"""),67)</f>
        <v>67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IFERROR(__xludf.DUMMYFUNCTION("""COMPUTED_VALUE"""),"Louisville1")</f>
        <v>Louisville1</v>
      </c>
      <c r="C7" s="1" t="str">
        <f ca="1">IFERROR(__xludf.DUMMYFUNCTION("""COMPUTED_VALUE"""),"BE")</f>
        <v>BE</v>
      </c>
      <c r="D7" s="1" t="str">
        <f ca="1">IFERROR(__xludf.DUMMYFUNCTION("""COMPUTED_VALUE"""),"31-6")</f>
        <v>31-6</v>
      </c>
      <c r="E7" s="1" t="str">
        <f ca="1">IFERROR(__xludf.DUMMYFUNCTION("""COMPUTED_VALUE"""),"+26.06")</f>
        <v>+26.06</v>
      </c>
      <c r="F7" s="1">
        <f ca="1">IFERROR(__xludf.DUMMYFUNCTION("""COMPUTED_VALUE"""),111.2)</f>
        <v>111.2</v>
      </c>
      <c r="G7" s="1">
        <f ca="1">IFERROR(__xludf.DUMMYFUNCTION("""COMPUTED_VALUE"""),49)</f>
        <v>49</v>
      </c>
      <c r="H7" s="1">
        <f ca="1">IFERROR(__xludf.DUMMYFUNCTION("""COMPUTED_VALUE"""),85.2)</f>
        <v>85.2</v>
      </c>
      <c r="I7" s="1">
        <f ca="1">IFERROR(__xludf.DUMMYFUNCTION("""COMPUTED_VALUE"""),2)</f>
        <v>2</v>
      </c>
      <c r="J7" s="1">
        <f ca="1">IFERROR(__xludf.DUMMYFUNCTION("""COMPUTED_VALUE"""),66.9)</f>
        <v>66.900000000000006</v>
      </c>
      <c r="K7" s="1">
        <f ca="1">IFERROR(__xludf.DUMMYFUNCTION("""COMPUTED_VALUE"""),103)</f>
        <v>103</v>
      </c>
      <c r="L7" s="1" t="str">
        <f ca="1">IFERROR(__xludf.DUMMYFUNCTION("""COMPUTED_VALUE"""),"+.068")</f>
        <v>+.068</v>
      </c>
      <c r="M7" s="1">
        <f ca="1">IFERROR(__xludf.DUMMYFUNCTION("""COMPUTED_VALUE"""),25)</f>
        <v>25</v>
      </c>
      <c r="N7" s="1" t="str">
        <f ca="1">IFERROR(__xludf.DUMMYFUNCTION("""COMPUTED_VALUE"""),"+9.57")</f>
        <v>+9.57</v>
      </c>
      <c r="O7" s="1">
        <f ca="1">IFERROR(__xludf.DUMMYFUNCTION("""COMPUTED_VALUE"""),27)</f>
        <v>27</v>
      </c>
      <c r="P7" s="1">
        <f ca="1">IFERROR(__xludf.DUMMYFUNCTION("""COMPUTED_VALUE"""),108.6)</f>
        <v>108.6</v>
      </c>
      <c r="Q7" s="1">
        <f ca="1">IFERROR(__xludf.DUMMYFUNCTION("""COMPUTED_VALUE"""),17)</f>
        <v>17</v>
      </c>
      <c r="R7" s="1">
        <f ca="1">IFERROR(__xludf.DUMMYFUNCTION("""COMPUTED_VALUE"""),99)</f>
        <v>99</v>
      </c>
      <c r="S7" s="1">
        <f ca="1">IFERROR(__xludf.DUMMYFUNCTION("""COMPUTED_VALUE"""),37)</f>
        <v>37</v>
      </c>
      <c r="T7" s="1">
        <f ca="1">IFERROR(__xludf.DUMMYFUNCTION("""COMPUTED_VALUE"""),-0.19)</f>
        <v>-0.19</v>
      </c>
      <c r="U7" s="1">
        <f ca="1">IFERROR(__xludf.DUMMYFUNCTION("""COMPUTED_VALUE"""),161)</f>
        <v>161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IFERROR(__xludf.DUMMYFUNCTION("""COMPUTED_VALUE"""),"Missouri3")</f>
        <v>Missouri3</v>
      </c>
      <c r="C8" s="1" t="str">
        <f ca="1">IFERROR(__xludf.DUMMYFUNCTION("""COMPUTED_VALUE"""),"B12")</f>
        <v>B12</v>
      </c>
      <c r="D8" s="1" t="str">
        <f ca="1">IFERROR(__xludf.DUMMYFUNCTION("""COMPUTED_VALUE"""),"31-7")</f>
        <v>31-7</v>
      </c>
      <c r="E8" s="1" t="str">
        <f ca="1">IFERROR(__xludf.DUMMYFUNCTION("""COMPUTED_VALUE"""),"+24.81")</f>
        <v>+24.81</v>
      </c>
      <c r="F8" s="1">
        <f ca="1">IFERROR(__xludf.DUMMYFUNCTION("""COMPUTED_VALUE"""),116.6)</f>
        <v>116.6</v>
      </c>
      <c r="G8" s="1">
        <f ca="1">IFERROR(__xludf.DUMMYFUNCTION("""COMPUTED_VALUE"""),13)</f>
        <v>13</v>
      </c>
      <c r="H8" s="1">
        <f ca="1">IFERROR(__xludf.DUMMYFUNCTION("""COMPUTED_VALUE"""),91.8)</f>
        <v>91.8</v>
      </c>
      <c r="I8" s="1">
        <f ca="1">IFERROR(__xludf.DUMMYFUNCTION("""COMPUTED_VALUE"""),17)</f>
        <v>17</v>
      </c>
      <c r="J8" s="1">
        <f ca="1">IFERROR(__xludf.DUMMYFUNCTION("""COMPUTED_VALUE"""),70.9)</f>
        <v>70.900000000000006</v>
      </c>
      <c r="K8" s="1">
        <f ca="1">IFERROR(__xludf.DUMMYFUNCTION("""COMPUTED_VALUE"""),15)</f>
        <v>15</v>
      </c>
      <c r="L8" s="1" t="str">
        <f ca="1">IFERROR(__xludf.DUMMYFUNCTION("""COMPUTED_VALUE"""),"+.031")</f>
        <v>+.031</v>
      </c>
      <c r="M8" s="1">
        <f ca="1">IFERROR(__xludf.DUMMYFUNCTION("""COMPUTED_VALUE"""),87)</f>
        <v>87</v>
      </c>
      <c r="N8" s="1" t="str">
        <f ca="1">IFERROR(__xludf.DUMMYFUNCTION("""COMPUTED_VALUE"""),"+7.96")</f>
        <v>+7.96</v>
      </c>
      <c r="O8" s="1">
        <f ca="1">IFERROR(__xludf.DUMMYFUNCTION("""COMPUTED_VALUE"""),44)</f>
        <v>44</v>
      </c>
      <c r="P8" s="1">
        <f ca="1">IFERROR(__xludf.DUMMYFUNCTION("""COMPUTED_VALUE"""),106.4)</f>
        <v>106.4</v>
      </c>
      <c r="Q8" s="1">
        <f ca="1">IFERROR(__xludf.DUMMYFUNCTION("""COMPUTED_VALUE"""),57)</f>
        <v>57</v>
      </c>
      <c r="R8" s="1">
        <f ca="1">IFERROR(__xludf.DUMMYFUNCTION("""COMPUTED_VALUE"""),98.4)</f>
        <v>98.4</v>
      </c>
      <c r="S8" s="1">
        <f ca="1">IFERROR(__xludf.DUMMYFUNCTION("""COMPUTED_VALUE"""),20)</f>
        <v>20</v>
      </c>
      <c r="T8" s="1">
        <f ca="1">IFERROR(__xludf.DUMMYFUNCTION("""COMPUTED_VALUE"""),-3.76)</f>
        <v>-3.76</v>
      </c>
      <c r="U8" s="1">
        <f ca="1">IFERROR(__xludf.DUMMYFUNCTION("""COMPUTED_VALUE"""),251)</f>
        <v>251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IFERROR(__xludf.DUMMYFUNCTION("""COMPUTED_VALUE"""),"Oklahoma2")</f>
        <v>Oklahoma2</v>
      </c>
      <c r="C9" s="1" t="str">
        <f ca="1">IFERROR(__xludf.DUMMYFUNCTION("""COMPUTED_VALUE"""),"B12")</f>
        <v>B12</v>
      </c>
      <c r="D9" s="1" t="str">
        <f ca="1">IFERROR(__xludf.DUMMYFUNCTION("""COMPUTED_VALUE"""),"30-6")</f>
        <v>30-6</v>
      </c>
      <c r="E9" s="1" t="str">
        <f ca="1">IFERROR(__xludf.DUMMYFUNCTION("""COMPUTED_VALUE"""),"+24.59")</f>
        <v>+24.59</v>
      </c>
      <c r="F9" s="1">
        <f ca="1">IFERROR(__xludf.DUMMYFUNCTION("""COMPUTED_VALUE"""),118.3)</f>
        <v>118.3</v>
      </c>
      <c r="G9" s="1">
        <f ca="1">IFERROR(__xludf.DUMMYFUNCTION("""COMPUTED_VALUE"""),4)</f>
        <v>4</v>
      </c>
      <c r="H9" s="1">
        <f ca="1">IFERROR(__xludf.DUMMYFUNCTION("""COMPUTED_VALUE"""),93.7)</f>
        <v>93.7</v>
      </c>
      <c r="I9" s="1">
        <f ca="1">IFERROR(__xludf.DUMMYFUNCTION("""COMPUTED_VALUE"""),33)</f>
        <v>33</v>
      </c>
      <c r="J9" s="1">
        <f ca="1">IFERROR(__xludf.DUMMYFUNCTION("""COMPUTED_VALUE"""),66.6)</f>
        <v>66.599999999999994</v>
      </c>
      <c r="K9" s="1">
        <f ca="1">IFERROR(__xludf.DUMMYFUNCTION("""COMPUTED_VALUE"""),109)</f>
        <v>109</v>
      </c>
      <c r="L9" s="1" t="str">
        <f ca="1">IFERROR(__xludf.DUMMYFUNCTION("""COMPUTED_VALUE"""),"+.018")</f>
        <v>+.018</v>
      </c>
      <c r="M9" s="1">
        <f ca="1">IFERROR(__xludf.DUMMYFUNCTION("""COMPUTED_VALUE"""),120)</f>
        <v>120</v>
      </c>
      <c r="N9" s="1" t="str">
        <f ca="1">IFERROR(__xludf.DUMMYFUNCTION("""COMPUTED_VALUE"""),"+9.49")</f>
        <v>+9.49</v>
      </c>
      <c r="O9" s="1">
        <f ca="1">IFERROR(__xludf.DUMMYFUNCTION("""COMPUTED_VALUE"""),29)</f>
        <v>29</v>
      </c>
      <c r="P9" s="1">
        <f ca="1">IFERROR(__xludf.DUMMYFUNCTION("""COMPUTED_VALUE"""),108.3)</f>
        <v>108.3</v>
      </c>
      <c r="Q9" s="1">
        <f ca="1">IFERROR(__xludf.DUMMYFUNCTION("""COMPUTED_VALUE"""),25)</f>
        <v>25</v>
      </c>
      <c r="R9" s="1">
        <f ca="1">IFERROR(__xludf.DUMMYFUNCTION("""COMPUTED_VALUE"""),98.9)</f>
        <v>98.9</v>
      </c>
      <c r="S9" s="1">
        <f ca="1">IFERROR(__xludf.DUMMYFUNCTION("""COMPUTED_VALUE"""),31)</f>
        <v>31</v>
      </c>
      <c r="T9" s="1" t="str">
        <f ca="1">IFERROR(__xludf.DUMMYFUNCTION("""COMPUTED_VALUE"""),"+0.46")</f>
        <v>+0.46</v>
      </c>
      <c r="U9" s="1">
        <f ca="1">IFERROR(__xludf.DUMMYFUNCTION("""COMPUTED_VALUE"""),143)</f>
        <v>143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IFERROR(__xludf.DUMMYFUNCTION("""COMPUTED_VALUE"""),"Gonzaga4")</f>
        <v>Gonzaga4</v>
      </c>
      <c r="C10" s="1" t="str">
        <f ca="1">IFERROR(__xludf.DUMMYFUNCTION("""COMPUTED_VALUE"""),"WCC")</f>
        <v>WCC</v>
      </c>
      <c r="D10" s="1" t="str">
        <f ca="1">IFERROR(__xludf.DUMMYFUNCTION("""COMPUTED_VALUE"""),"28-6")</f>
        <v>28-6</v>
      </c>
      <c r="E10" s="1" t="str">
        <f ca="1">IFERROR(__xludf.DUMMYFUNCTION("""COMPUTED_VALUE"""),"+24.51")</f>
        <v>+24.51</v>
      </c>
      <c r="F10" s="1">
        <f ca="1">IFERROR(__xludf.DUMMYFUNCTION("""COMPUTED_VALUE"""),117.5)</f>
        <v>117.5</v>
      </c>
      <c r="G10" s="1">
        <f ca="1">IFERROR(__xludf.DUMMYFUNCTION("""COMPUTED_VALUE"""),8)</f>
        <v>8</v>
      </c>
      <c r="H10" s="1">
        <f ca="1">IFERROR(__xludf.DUMMYFUNCTION("""COMPUTED_VALUE"""),93)</f>
        <v>93</v>
      </c>
      <c r="I10" s="1">
        <f ca="1">IFERROR(__xludf.DUMMYFUNCTION("""COMPUTED_VALUE"""),24)</f>
        <v>24</v>
      </c>
      <c r="J10" s="1">
        <f ca="1">IFERROR(__xludf.DUMMYFUNCTION("""COMPUTED_VALUE"""),67.1)</f>
        <v>67.099999999999994</v>
      </c>
      <c r="K10" s="1">
        <f ca="1">IFERROR(__xludf.DUMMYFUNCTION("""COMPUTED_VALUE"""),97)</f>
        <v>97</v>
      </c>
      <c r="L10" s="1" t="str">
        <f ca="1">IFERROR(__xludf.DUMMYFUNCTION("""COMPUTED_VALUE"""),"+.003")</f>
        <v>+.003</v>
      </c>
      <c r="M10" s="1">
        <f ca="1">IFERROR(__xludf.DUMMYFUNCTION("""COMPUTED_VALUE"""),156)</f>
        <v>156</v>
      </c>
      <c r="N10" s="1" t="str">
        <f ca="1">IFERROR(__xludf.DUMMYFUNCTION("""COMPUTED_VALUE"""),"+4.63")</f>
        <v>+4.63</v>
      </c>
      <c r="O10" s="1">
        <f ca="1">IFERROR(__xludf.DUMMYFUNCTION("""COMPUTED_VALUE"""),78)</f>
        <v>78</v>
      </c>
      <c r="P10" s="1">
        <f ca="1">IFERROR(__xludf.DUMMYFUNCTION("""COMPUTED_VALUE"""),105.1)</f>
        <v>105.1</v>
      </c>
      <c r="Q10" s="1">
        <f ca="1">IFERROR(__xludf.DUMMYFUNCTION("""COMPUTED_VALUE"""),89)</f>
        <v>89</v>
      </c>
      <c r="R10" s="1">
        <f ca="1">IFERROR(__xludf.DUMMYFUNCTION("""COMPUTED_VALUE"""),100.5)</f>
        <v>100.5</v>
      </c>
      <c r="S10" s="1">
        <f ca="1">IFERROR(__xludf.DUMMYFUNCTION("""COMPUTED_VALUE"""),74)</f>
        <v>74</v>
      </c>
      <c r="T10" s="1" t="str">
        <f ca="1">IFERROR(__xludf.DUMMYFUNCTION("""COMPUTED_VALUE"""),"+10.61")</f>
        <v>+10.61</v>
      </c>
      <c r="U10" s="1">
        <f ca="1">IFERROR(__xludf.DUMMYFUNCTION("""COMPUTED_VALUE"""),13)</f>
        <v>13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IFERROR(__xludf.DUMMYFUNCTION("""COMPUTED_VALUE"""),"Michigan St.2")</f>
        <v>Michigan St.2</v>
      </c>
      <c r="C11" s="1" t="str">
        <f ca="1">IFERROR(__xludf.DUMMYFUNCTION("""COMPUTED_VALUE"""),"B10")</f>
        <v>B10</v>
      </c>
      <c r="D11" s="1" t="str">
        <f ca="1">IFERROR(__xludf.DUMMYFUNCTION("""COMPUTED_VALUE"""),"31-7")</f>
        <v>31-7</v>
      </c>
      <c r="E11" s="1" t="str">
        <f ca="1">IFERROR(__xludf.DUMMYFUNCTION("""COMPUTED_VALUE"""),"+24.37")</f>
        <v>+24.37</v>
      </c>
      <c r="F11" s="1">
        <f ca="1">IFERROR(__xludf.DUMMYFUNCTION("""COMPUTED_VALUE"""),114.3)</f>
        <v>114.3</v>
      </c>
      <c r="G11" s="1">
        <f ca="1">IFERROR(__xludf.DUMMYFUNCTION("""COMPUTED_VALUE"""),26)</f>
        <v>26</v>
      </c>
      <c r="H11" s="1">
        <f ca="1">IFERROR(__xludf.DUMMYFUNCTION("""COMPUTED_VALUE"""),89.9)</f>
        <v>89.9</v>
      </c>
      <c r="I11" s="1">
        <f ca="1">IFERROR(__xludf.DUMMYFUNCTION("""COMPUTED_VALUE"""),6)</f>
        <v>6</v>
      </c>
      <c r="J11" s="1">
        <f ca="1">IFERROR(__xludf.DUMMYFUNCTION("""COMPUTED_VALUE"""),66.5)</f>
        <v>66.5</v>
      </c>
      <c r="K11" s="1">
        <f ca="1">IFERROR(__xludf.DUMMYFUNCTION("""COMPUTED_VALUE"""),112)</f>
        <v>112</v>
      </c>
      <c r="L11" s="1" t="str">
        <f ca="1">IFERROR(__xludf.DUMMYFUNCTION("""COMPUTED_VALUE"""),"+.091")</f>
        <v>+.091</v>
      </c>
      <c r="M11" s="1">
        <f ca="1">IFERROR(__xludf.DUMMYFUNCTION("""COMPUTED_VALUE"""),11)</f>
        <v>11</v>
      </c>
      <c r="N11" s="1" t="str">
        <f ca="1">IFERROR(__xludf.DUMMYFUNCTION("""COMPUTED_VALUE"""),"+12.33")</f>
        <v>+12.33</v>
      </c>
      <c r="O11" s="1">
        <f ca="1">IFERROR(__xludf.DUMMYFUNCTION("""COMPUTED_VALUE"""),2)</f>
        <v>2</v>
      </c>
      <c r="P11" s="1">
        <f ca="1">IFERROR(__xludf.DUMMYFUNCTION("""COMPUTED_VALUE"""),109.4)</f>
        <v>109.4</v>
      </c>
      <c r="Q11" s="1">
        <f ca="1">IFERROR(__xludf.DUMMYFUNCTION("""COMPUTED_VALUE"""),5)</f>
        <v>5</v>
      </c>
      <c r="R11" s="1">
        <f ca="1">IFERROR(__xludf.DUMMYFUNCTION("""COMPUTED_VALUE"""),97.1)</f>
        <v>97.1</v>
      </c>
      <c r="S11" s="1">
        <f ca="1">IFERROR(__xludf.DUMMYFUNCTION("""COMPUTED_VALUE"""),2)</f>
        <v>2</v>
      </c>
      <c r="T11" s="1" t="str">
        <f ca="1">IFERROR(__xludf.DUMMYFUNCTION("""COMPUTED_VALUE"""),"+5.81")</f>
        <v>+5.81</v>
      </c>
      <c r="U11" s="1">
        <f ca="1">IFERROR(__xludf.DUMMYFUNCTION("""COMPUTED_VALUE"""),42)</f>
        <v>42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IFERROR(__xludf.DUMMYFUNCTION("""COMPUTED_VALUE"""),"Duke2")</f>
        <v>Duke2</v>
      </c>
      <c r="C12" s="1" t="str">
        <f ca="1">IFERROR(__xludf.DUMMYFUNCTION("""COMPUTED_VALUE"""),"ACC")</f>
        <v>ACC</v>
      </c>
      <c r="D12" s="1" t="str">
        <f ca="1">IFERROR(__xludf.DUMMYFUNCTION("""COMPUTED_VALUE"""),"30-7")</f>
        <v>30-7</v>
      </c>
      <c r="E12" s="1" t="str">
        <f ca="1">IFERROR(__xludf.DUMMYFUNCTION("""COMPUTED_VALUE"""),"+24.31")</f>
        <v>+24.31</v>
      </c>
      <c r="F12" s="1">
        <f ca="1">IFERROR(__xludf.DUMMYFUNCTION("""COMPUTED_VALUE"""),117.5)</f>
        <v>117.5</v>
      </c>
      <c r="G12" s="1">
        <f ca="1">IFERROR(__xludf.DUMMYFUNCTION("""COMPUTED_VALUE"""),7)</f>
        <v>7</v>
      </c>
      <c r="H12" s="1">
        <f ca="1">IFERROR(__xludf.DUMMYFUNCTION("""COMPUTED_VALUE"""),93.2)</f>
        <v>93.2</v>
      </c>
      <c r="I12" s="1">
        <f ca="1">IFERROR(__xludf.DUMMYFUNCTION("""COMPUTED_VALUE"""),28)</f>
        <v>28</v>
      </c>
      <c r="J12" s="1">
        <f ca="1">IFERROR(__xludf.DUMMYFUNCTION("""COMPUTED_VALUE"""),66.3)</f>
        <v>66.3</v>
      </c>
      <c r="K12" s="1">
        <f ca="1">IFERROR(__xludf.DUMMYFUNCTION("""COMPUTED_VALUE"""),127)</f>
        <v>127</v>
      </c>
      <c r="L12" s="1" t="str">
        <f ca="1">IFERROR(__xludf.DUMMYFUNCTION("""COMPUTED_VALUE"""),"+.053")</f>
        <v>+.053</v>
      </c>
      <c r="M12" s="1">
        <f ca="1">IFERROR(__xludf.DUMMYFUNCTION("""COMPUTED_VALUE"""),47)</f>
        <v>47</v>
      </c>
      <c r="N12" s="1" t="str">
        <f ca="1">IFERROR(__xludf.DUMMYFUNCTION("""COMPUTED_VALUE"""),"+10.23")</f>
        <v>+10.23</v>
      </c>
      <c r="O12" s="1">
        <f ca="1">IFERROR(__xludf.DUMMYFUNCTION("""COMPUTED_VALUE"""),15)</f>
        <v>15</v>
      </c>
      <c r="P12" s="1">
        <f ca="1">IFERROR(__xludf.DUMMYFUNCTION("""COMPUTED_VALUE"""),108.5)</f>
        <v>108.5</v>
      </c>
      <c r="Q12" s="1">
        <f ca="1">IFERROR(__xludf.DUMMYFUNCTION("""COMPUTED_VALUE"""),19)</f>
        <v>19</v>
      </c>
      <c r="R12" s="1">
        <f ca="1">IFERROR(__xludf.DUMMYFUNCTION("""COMPUTED_VALUE"""),98.3)</f>
        <v>98.3</v>
      </c>
      <c r="S12" s="1">
        <f ca="1">IFERROR(__xludf.DUMMYFUNCTION("""COMPUTED_VALUE"""),17)</f>
        <v>17</v>
      </c>
      <c r="T12" s="1" t="str">
        <f ca="1">IFERROR(__xludf.DUMMYFUNCTION("""COMPUTED_VALUE"""),"+3.18")</f>
        <v>+3.18</v>
      </c>
      <c r="U12" s="1">
        <f ca="1">IFERROR(__xludf.DUMMYFUNCTION("""COMPUTED_VALUE"""),84)</f>
        <v>84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IFERROR(__xludf.DUMMYFUNCTION("""COMPUTED_VALUE"""),"West Virginia6")</f>
        <v>West Virginia6</v>
      </c>
      <c r="C13" s="1" t="str">
        <f ca="1">IFERROR(__xludf.DUMMYFUNCTION("""COMPUTED_VALUE"""),"BE")</f>
        <v>BE</v>
      </c>
      <c r="D13" s="1" t="str">
        <f ca="1">IFERROR(__xludf.DUMMYFUNCTION("""COMPUTED_VALUE"""),"23-12")</f>
        <v>23-12</v>
      </c>
      <c r="E13" s="1" t="str">
        <f ca="1">IFERROR(__xludf.DUMMYFUNCTION("""COMPUTED_VALUE"""),"+24.21")</f>
        <v>+24.21</v>
      </c>
      <c r="F13" s="1">
        <f ca="1">IFERROR(__xludf.DUMMYFUNCTION("""COMPUTED_VALUE"""),115.1)</f>
        <v>115.1</v>
      </c>
      <c r="G13" s="1">
        <f ca="1">IFERROR(__xludf.DUMMYFUNCTION("""COMPUTED_VALUE"""),19)</f>
        <v>19</v>
      </c>
      <c r="H13" s="1">
        <f ca="1">IFERROR(__xludf.DUMMYFUNCTION("""COMPUTED_VALUE"""),90.9)</f>
        <v>90.9</v>
      </c>
      <c r="I13" s="1">
        <f ca="1">IFERROR(__xludf.DUMMYFUNCTION("""COMPUTED_VALUE"""),13)</f>
        <v>13</v>
      </c>
      <c r="J13" s="1">
        <f ca="1">IFERROR(__xludf.DUMMYFUNCTION("""COMPUTED_VALUE"""),63.7)</f>
        <v>63.7</v>
      </c>
      <c r="K13" s="1">
        <f ca="1">IFERROR(__xludf.DUMMYFUNCTION("""COMPUTED_VALUE"""),240)</f>
        <v>240</v>
      </c>
      <c r="L13" s="1">
        <f ca="1">IFERROR(__xludf.DUMMYFUNCTION("""COMPUTED_VALUE"""),-0.067)</f>
        <v>-6.7000000000000004E-2</v>
      </c>
      <c r="M13" s="1">
        <f ca="1">IFERROR(__xludf.DUMMYFUNCTION("""COMPUTED_VALUE"""),315)</f>
        <v>315</v>
      </c>
      <c r="N13" s="1" t="str">
        <f ca="1">IFERROR(__xludf.DUMMYFUNCTION("""COMPUTED_VALUE"""),"+10.95")</f>
        <v>+10.95</v>
      </c>
      <c r="O13" s="1">
        <f ca="1">IFERROR(__xludf.DUMMYFUNCTION("""COMPUTED_VALUE"""),8)</f>
        <v>8</v>
      </c>
      <c r="P13" s="1">
        <f ca="1">IFERROR(__xludf.DUMMYFUNCTION("""COMPUTED_VALUE"""),108.9)</f>
        <v>108.9</v>
      </c>
      <c r="Q13" s="1">
        <f ca="1">IFERROR(__xludf.DUMMYFUNCTION("""COMPUTED_VALUE"""),12)</f>
        <v>12</v>
      </c>
      <c r="R13" s="1">
        <f ca="1">IFERROR(__xludf.DUMMYFUNCTION("""COMPUTED_VALUE"""),98)</f>
        <v>98</v>
      </c>
      <c r="S13" s="1">
        <f ca="1">IFERROR(__xludf.DUMMYFUNCTION("""COMPUTED_VALUE"""),10)</f>
        <v>10</v>
      </c>
      <c r="T13" s="1" t="str">
        <f ca="1">IFERROR(__xludf.DUMMYFUNCTION("""COMPUTED_VALUE"""),"+2.11")</f>
        <v>+2.11</v>
      </c>
      <c r="U13" s="1">
        <f ca="1">IFERROR(__xludf.DUMMYFUNCTION("""COMPUTED_VALUE"""),107)</f>
        <v>107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IFERROR(__xludf.DUMMYFUNCTION("""COMPUTED_VALUE"""),"UCLA6")</f>
        <v>UCLA6</v>
      </c>
      <c r="C14" s="1" t="str">
        <f ca="1">IFERROR(__xludf.DUMMYFUNCTION("""COMPUTED_VALUE"""),"P10")</f>
        <v>P10</v>
      </c>
      <c r="D14" s="1" t="str">
        <f ca="1">IFERROR(__xludf.DUMMYFUNCTION("""COMPUTED_VALUE"""),"26-9")</f>
        <v>26-9</v>
      </c>
      <c r="E14" s="1" t="str">
        <f ca="1">IFERROR(__xludf.DUMMYFUNCTION("""COMPUTED_VALUE"""),"+23.93")</f>
        <v>+23.93</v>
      </c>
      <c r="F14" s="1">
        <f ca="1">IFERROR(__xludf.DUMMYFUNCTION("""COMPUTED_VALUE"""),119.5)</f>
        <v>119.5</v>
      </c>
      <c r="G14" s="1">
        <f ca="1">IFERROR(__xludf.DUMMYFUNCTION("""COMPUTED_VALUE"""),3)</f>
        <v>3</v>
      </c>
      <c r="H14" s="1">
        <f ca="1">IFERROR(__xludf.DUMMYFUNCTION("""COMPUTED_VALUE"""),95.6)</f>
        <v>95.6</v>
      </c>
      <c r="I14" s="1">
        <f ca="1">IFERROR(__xludf.DUMMYFUNCTION("""COMPUTED_VALUE"""),44)</f>
        <v>44</v>
      </c>
      <c r="J14" s="1">
        <f ca="1">IFERROR(__xludf.DUMMYFUNCTION("""COMPUTED_VALUE"""),65.3)</f>
        <v>65.3</v>
      </c>
      <c r="K14" s="1">
        <f ca="1">IFERROR(__xludf.DUMMYFUNCTION("""COMPUTED_VALUE"""),171)</f>
        <v>171</v>
      </c>
      <c r="L14" s="1">
        <f ca="1">IFERROR(__xludf.DUMMYFUNCTION("""COMPUTED_VALUE"""),-0.03)</f>
        <v>-0.03</v>
      </c>
      <c r="M14" s="1">
        <f ca="1">IFERROR(__xludf.DUMMYFUNCTION("""COMPUTED_VALUE"""),251)</f>
        <v>251</v>
      </c>
      <c r="N14" s="1" t="str">
        <f ca="1">IFERROR(__xludf.DUMMYFUNCTION("""COMPUTED_VALUE"""),"+8.42")</f>
        <v>+8.42</v>
      </c>
      <c r="O14" s="1">
        <f ca="1">IFERROR(__xludf.DUMMYFUNCTION("""COMPUTED_VALUE"""),39)</f>
        <v>39</v>
      </c>
      <c r="P14" s="1">
        <f ca="1">IFERROR(__xludf.DUMMYFUNCTION("""COMPUTED_VALUE"""),107.6)</f>
        <v>107.6</v>
      </c>
      <c r="Q14" s="1">
        <f ca="1">IFERROR(__xludf.DUMMYFUNCTION("""COMPUTED_VALUE"""),39)</f>
        <v>39</v>
      </c>
      <c r="R14" s="1">
        <f ca="1">IFERROR(__xludf.DUMMYFUNCTION("""COMPUTED_VALUE"""),99.1)</f>
        <v>99.1</v>
      </c>
      <c r="S14" s="1">
        <f ca="1">IFERROR(__xludf.DUMMYFUNCTION("""COMPUTED_VALUE"""),40)</f>
        <v>40</v>
      </c>
      <c r="T14" s="1">
        <f ca="1">IFERROR(__xludf.DUMMYFUNCTION("""COMPUTED_VALUE"""),-3.43)</f>
        <v>-3.43</v>
      </c>
      <c r="U14" s="1">
        <f ca="1">IFERROR(__xludf.DUMMYFUNCTION("""COMPUTED_VALUE"""),243)</f>
        <v>243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IFERROR(__xludf.DUMMYFUNCTION("""COMPUTED_VALUE"""),"Villanova3")</f>
        <v>Villanova3</v>
      </c>
      <c r="C15" s="1" t="str">
        <f ca="1">IFERROR(__xludf.DUMMYFUNCTION("""COMPUTED_VALUE"""),"BE")</f>
        <v>BE</v>
      </c>
      <c r="D15" s="1" t="str">
        <f ca="1">IFERROR(__xludf.DUMMYFUNCTION("""COMPUTED_VALUE"""),"30-8")</f>
        <v>30-8</v>
      </c>
      <c r="E15" s="1" t="str">
        <f ca="1">IFERROR(__xludf.DUMMYFUNCTION("""COMPUTED_VALUE"""),"+23.89")</f>
        <v>+23.89</v>
      </c>
      <c r="F15" s="1">
        <f ca="1">IFERROR(__xludf.DUMMYFUNCTION("""COMPUTED_VALUE"""),114.4)</f>
        <v>114.4</v>
      </c>
      <c r="G15" s="1">
        <f ca="1">IFERROR(__xludf.DUMMYFUNCTION("""COMPUTED_VALUE"""),24)</f>
        <v>24</v>
      </c>
      <c r="H15" s="1">
        <f ca="1">IFERROR(__xludf.DUMMYFUNCTION("""COMPUTED_VALUE"""),90.5)</f>
        <v>90.5</v>
      </c>
      <c r="I15" s="1">
        <f ca="1">IFERROR(__xludf.DUMMYFUNCTION("""COMPUTED_VALUE"""),10)</f>
        <v>10</v>
      </c>
      <c r="J15" s="1">
        <f ca="1">IFERROR(__xludf.DUMMYFUNCTION("""COMPUTED_VALUE"""),68.3)</f>
        <v>68.3</v>
      </c>
      <c r="K15" s="1">
        <f ca="1">IFERROR(__xludf.DUMMYFUNCTION("""COMPUTED_VALUE"""),62)</f>
        <v>62</v>
      </c>
      <c r="L15" s="1" t="str">
        <f ca="1">IFERROR(__xludf.DUMMYFUNCTION("""COMPUTED_VALUE"""),"+.021")</f>
        <v>+.021</v>
      </c>
      <c r="M15" s="1">
        <f ca="1">IFERROR(__xludf.DUMMYFUNCTION("""COMPUTED_VALUE"""),116)</f>
        <v>116</v>
      </c>
      <c r="N15" s="1" t="str">
        <f ca="1">IFERROR(__xludf.DUMMYFUNCTION("""COMPUTED_VALUE"""),"+9.99")</f>
        <v>+9.99</v>
      </c>
      <c r="O15" s="1">
        <f ca="1">IFERROR(__xludf.DUMMYFUNCTION("""COMPUTED_VALUE"""),22)</f>
        <v>22</v>
      </c>
      <c r="P15" s="1">
        <f ca="1">IFERROR(__xludf.DUMMYFUNCTION("""COMPUTED_VALUE"""),108.9)</f>
        <v>108.9</v>
      </c>
      <c r="Q15" s="1">
        <f ca="1">IFERROR(__xludf.DUMMYFUNCTION("""COMPUTED_VALUE"""),14)</f>
        <v>14</v>
      </c>
      <c r="R15" s="1">
        <f ca="1">IFERROR(__xludf.DUMMYFUNCTION("""COMPUTED_VALUE"""),98.9)</f>
        <v>98.9</v>
      </c>
      <c r="S15" s="1">
        <f ca="1">IFERROR(__xludf.DUMMYFUNCTION("""COMPUTED_VALUE"""),32)</f>
        <v>32</v>
      </c>
      <c r="T15" s="1">
        <f ca="1">IFERROR(__xludf.DUMMYFUNCTION("""COMPUTED_VALUE"""),-5.37)</f>
        <v>-5.37</v>
      </c>
      <c r="U15" s="1">
        <f ca="1">IFERROR(__xludf.DUMMYFUNCTION("""COMPUTED_VALUE"""),286)</f>
        <v>286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IFERROR(__xludf.DUMMYFUNCTION("""COMPUTED_VALUE"""),"Kansas3")</f>
        <v>Kansas3</v>
      </c>
      <c r="C16" s="1" t="str">
        <f ca="1">IFERROR(__xludf.DUMMYFUNCTION("""COMPUTED_VALUE"""),"B12")</f>
        <v>B12</v>
      </c>
      <c r="D16" s="1" t="str">
        <f ca="1">IFERROR(__xludf.DUMMYFUNCTION("""COMPUTED_VALUE"""),"27-8")</f>
        <v>27-8</v>
      </c>
      <c r="E16" s="1" t="str">
        <f ca="1">IFERROR(__xludf.DUMMYFUNCTION("""COMPUTED_VALUE"""),"+23.83")</f>
        <v>+23.83</v>
      </c>
      <c r="F16" s="1">
        <f ca="1">IFERROR(__xludf.DUMMYFUNCTION("""COMPUTED_VALUE"""),114.5)</f>
        <v>114.5</v>
      </c>
      <c r="G16" s="1">
        <f ca="1">IFERROR(__xludf.DUMMYFUNCTION("""COMPUTED_VALUE"""),23)</f>
        <v>23</v>
      </c>
      <c r="H16" s="1">
        <f ca="1">IFERROR(__xludf.DUMMYFUNCTION("""COMPUTED_VALUE"""),90.7)</f>
        <v>90.7</v>
      </c>
      <c r="I16" s="1">
        <f ca="1">IFERROR(__xludf.DUMMYFUNCTION("""COMPUTED_VALUE"""),11)</f>
        <v>11</v>
      </c>
      <c r="J16" s="1">
        <f ca="1">IFERROR(__xludf.DUMMYFUNCTION("""COMPUTED_VALUE"""),67.2)</f>
        <v>67.2</v>
      </c>
      <c r="K16" s="1">
        <f ca="1">IFERROR(__xludf.DUMMYFUNCTION("""COMPUTED_VALUE"""),93)</f>
        <v>93</v>
      </c>
      <c r="L16" s="1">
        <f ca="1">IFERROR(__xludf.DUMMYFUNCTION("""COMPUTED_VALUE"""),-0.013)</f>
        <v>-1.2999999999999999E-2</v>
      </c>
      <c r="M16" s="1">
        <f ca="1">IFERROR(__xludf.DUMMYFUNCTION("""COMPUTED_VALUE"""),202)</f>
        <v>202</v>
      </c>
      <c r="N16" s="1" t="str">
        <f ca="1">IFERROR(__xludf.DUMMYFUNCTION("""COMPUTED_VALUE"""),"+8.83")</f>
        <v>+8.83</v>
      </c>
      <c r="O16" s="1">
        <f ca="1">IFERROR(__xludf.DUMMYFUNCTION("""COMPUTED_VALUE"""),37)</f>
        <v>37</v>
      </c>
      <c r="P16" s="1">
        <f ca="1">IFERROR(__xludf.DUMMYFUNCTION("""COMPUTED_VALUE"""),107.9)</f>
        <v>107.9</v>
      </c>
      <c r="Q16" s="1">
        <f ca="1">IFERROR(__xludf.DUMMYFUNCTION("""COMPUTED_VALUE"""),32)</f>
        <v>32</v>
      </c>
      <c r="R16" s="1">
        <f ca="1">IFERROR(__xludf.DUMMYFUNCTION("""COMPUTED_VALUE"""),99.1)</f>
        <v>99.1</v>
      </c>
      <c r="S16" s="1">
        <f ca="1">IFERROR(__xludf.DUMMYFUNCTION("""COMPUTED_VALUE"""),39)</f>
        <v>39</v>
      </c>
      <c r="T16" s="1" t="str">
        <f ca="1">IFERROR(__xludf.DUMMYFUNCTION("""COMPUTED_VALUE"""),"+1.55")</f>
        <v>+1.55</v>
      </c>
      <c r="U16" s="1">
        <f ca="1">IFERROR(__xludf.DUMMYFUNCTION("""COMPUTED_VALUE"""),117)</f>
        <v>117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IFERROR(__xludf.DUMMYFUNCTION("""COMPUTED_VALUE"""),"Arizona St.6")</f>
        <v>Arizona St.6</v>
      </c>
      <c r="C17" s="1" t="str">
        <f ca="1">IFERROR(__xludf.DUMMYFUNCTION("""COMPUTED_VALUE"""),"P10")</f>
        <v>P10</v>
      </c>
      <c r="D17" s="1" t="str">
        <f ca="1">IFERROR(__xludf.DUMMYFUNCTION("""COMPUTED_VALUE"""),"25-10")</f>
        <v>25-10</v>
      </c>
      <c r="E17" s="1" t="str">
        <f ca="1">IFERROR(__xludf.DUMMYFUNCTION("""COMPUTED_VALUE"""),"+23.03")</f>
        <v>+23.03</v>
      </c>
      <c r="F17" s="1">
        <f ca="1">IFERROR(__xludf.DUMMYFUNCTION("""COMPUTED_VALUE"""),118.2)</f>
        <v>118.2</v>
      </c>
      <c r="G17" s="1">
        <f ca="1">IFERROR(__xludf.DUMMYFUNCTION("""COMPUTED_VALUE"""),5)</f>
        <v>5</v>
      </c>
      <c r="H17" s="1">
        <f ca="1">IFERROR(__xludf.DUMMYFUNCTION("""COMPUTED_VALUE"""),95.2)</f>
        <v>95.2</v>
      </c>
      <c r="I17" s="1">
        <f ca="1">IFERROR(__xludf.DUMMYFUNCTION("""COMPUTED_VALUE"""),42)</f>
        <v>42</v>
      </c>
      <c r="J17" s="1">
        <f ca="1">IFERROR(__xludf.DUMMYFUNCTION("""COMPUTED_VALUE"""),59.1)</f>
        <v>59.1</v>
      </c>
      <c r="K17" s="1">
        <f ca="1">IFERROR(__xludf.DUMMYFUNCTION("""COMPUTED_VALUE"""),334)</f>
        <v>334</v>
      </c>
      <c r="L17" s="1">
        <f ca="1">IFERROR(__xludf.DUMMYFUNCTION("""COMPUTED_VALUE"""),-0.018)</f>
        <v>-1.7999999999999999E-2</v>
      </c>
      <c r="M17" s="1">
        <f ca="1">IFERROR(__xludf.DUMMYFUNCTION("""COMPUTED_VALUE"""),223)</f>
        <v>223</v>
      </c>
      <c r="N17" s="1" t="str">
        <f ca="1">IFERROR(__xludf.DUMMYFUNCTION("""COMPUTED_VALUE"""),"+10.14")</f>
        <v>+10.14</v>
      </c>
      <c r="O17" s="1">
        <f ca="1">IFERROR(__xludf.DUMMYFUNCTION("""COMPUTED_VALUE"""),18)</f>
        <v>18</v>
      </c>
      <c r="P17" s="1">
        <f ca="1">IFERROR(__xludf.DUMMYFUNCTION("""COMPUTED_VALUE"""),108.9)</f>
        <v>108.9</v>
      </c>
      <c r="Q17" s="1">
        <f ca="1">IFERROR(__xludf.DUMMYFUNCTION("""COMPUTED_VALUE"""),13)</f>
        <v>13</v>
      </c>
      <c r="R17" s="1">
        <f ca="1">IFERROR(__xludf.DUMMYFUNCTION("""COMPUTED_VALUE"""),98.8)</f>
        <v>98.8</v>
      </c>
      <c r="S17" s="1">
        <f ca="1">IFERROR(__xludf.DUMMYFUNCTION("""COMPUTED_VALUE"""),29)</f>
        <v>29</v>
      </c>
      <c r="T17" s="1">
        <f ca="1">IFERROR(__xludf.DUMMYFUNCTION("""COMPUTED_VALUE"""),-2.04)</f>
        <v>-2.04</v>
      </c>
      <c r="U17" s="1">
        <f ca="1">IFERROR(__xludf.DUMMYFUNCTION("""COMPUTED_VALUE"""),207)</f>
        <v>207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IFERROR(__xludf.DUMMYFUNCTION("""COMPUTED_VALUE"""),"Syracuse3")</f>
        <v>Syracuse3</v>
      </c>
      <c r="C18" s="1" t="str">
        <f ca="1">IFERROR(__xludf.DUMMYFUNCTION("""COMPUTED_VALUE"""),"BE")</f>
        <v>BE</v>
      </c>
      <c r="D18" s="1" t="str">
        <f ca="1">IFERROR(__xludf.DUMMYFUNCTION("""COMPUTED_VALUE"""),"28-10")</f>
        <v>28-10</v>
      </c>
      <c r="E18" s="1" t="str">
        <f ca="1">IFERROR(__xludf.DUMMYFUNCTION("""COMPUTED_VALUE"""),"+22.21")</f>
        <v>+22.21</v>
      </c>
      <c r="F18" s="1">
        <f ca="1">IFERROR(__xludf.DUMMYFUNCTION("""COMPUTED_VALUE"""),117)</f>
        <v>117</v>
      </c>
      <c r="G18" s="1">
        <f ca="1">IFERROR(__xludf.DUMMYFUNCTION("""COMPUTED_VALUE"""),10)</f>
        <v>10</v>
      </c>
      <c r="H18" s="1">
        <f ca="1">IFERROR(__xludf.DUMMYFUNCTION("""COMPUTED_VALUE"""),94.8)</f>
        <v>94.8</v>
      </c>
      <c r="I18" s="1">
        <f ca="1">IFERROR(__xludf.DUMMYFUNCTION("""COMPUTED_VALUE"""),39)</f>
        <v>39</v>
      </c>
      <c r="J18" s="1">
        <f ca="1">IFERROR(__xludf.DUMMYFUNCTION("""COMPUTED_VALUE"""),69.7)</f>
        <v>69.7</v>
      </c>
      <c r="K18" s="1">
        <f ca="1">IFERROR(__xludf.DUMMYFUNCTION("""COMPUTED_VALUE"""),29)</f>
        <v>29</v>
      </c>
      <c r="L18" s="1" t="str">
        <f ca="1">IFERROR(__xludf.DUMMYFUNCTION("""COMPUTED_VALUE"""),"+.024")</f>
        <v>+.024</v>
      </c>
      <c r="M18" s="1">
        <f ca="1">IFERROR(__xludf.DUMMYFUNCTION("""COMPUTED_VALUE"""),106)</f>
        <v>106</v>
      </c>
      <c r="N18" s="1" t="str">
        <f ca="1">IFERROR(__xludf.DUMMYFUNCTION("""COMPUTED_VALUE"""),"+11.46")</f>
        <v>+11.46</v>
      </c>
      <c r="O18" s="1">
        <f ca="1">IFERROR(__xludf.DUMMYFUNCTION("""COMPUTED_VALUE"""),4)</f>
        <v>4</v>
      </c>
      <c r="P18" s="1">
        <f ca="1">IFERROR(__xludf.DUMMYFUNCTION("""COMPUTED_VALUE"""),108.4)</f>
        <v>108.4</v>
      </c>
      <c r="Q18" s="1">
        <f ca="1">IFERROR(__xludf.DUMMYFUNCTION("""COMPUTED_VALUE"""),21)</f>
        <v>21</v>
      </c>
      <c r="R18" s="1">
        <f ca="1">IFERROR(__xludf.DUMMYFUNCTION("""COMPUTED_VALUE"""),97)</f>
        <v>97</v>
      </c>
      <c r="S18" s="1">
        <f ca="1">IFERROR(__xludf.DUMMYFUNCTION("""COMPUTED_VALUE"""),1)</f>
        <v>1</v>
      </c>
      <c r="T18" s="1" t="str">
        <f ca="1">IFERROR(__xludf.DUMMYFUNCTION("""COMPUTED_VALUE"""),"+0.77")</f>
        <v>+0.77</v>
      </c>
      <c r="U18" s="1">
        <f ca="1">IFERROR(__xludf.DUMMYFUNCTION("""COMPUTED_VALUE"""),133)</f>
        <v>133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IFERROR(__xludf.DUMMYFUNCTION("""COMPUTED_VALUE"""),"Washington4")</f>
        <v>Washington4</v>
      </c>
      <c r="C19" s="1" t="str">
        <f ca="1">IFERROR(__xludf.DUMMYFUNCTION("""COMPUTED_VALUE"""),"P10")</f>
        <v>P10</v>
      </c>
      <c r="D19" s="1" t="str">
        <f ca="1">IFERROR(__xludf.DUMMYFUNCTION("""COMPUTED_VALUE"""),"26-9")</f>
        <v>26-9</v>
      </c>
      <c r="E19" s="1" t="str">
        <f ca="1">IFERROR(__xludf.DUMMYFUNCTION("""COMPUTED_VALUE"""),"+22.09")</f>
        <v>+22.09</v>
      </c>
      <c r="F19" s="1">
        <f ca="1">IFERROR(__xludf.DUMMYFUNCTION("""COMPUTED_VALUE"""),113.1)</f>
        <v>113.1</v>
      </c>
      <c r="G19" s="1">
        <f ca="1">IFERROR(__xludf.DUMMYFUNCTION("""COMPUTED_VALUE"""),34)</f>
        <v>34</v>
      </c>
      <c r="H19" s="1">
        <f ca="1">IFERROR(__xludf.DUMMYFUNCTION("""COMPUTED_VALUE"""),91)</f>
        <v>91</v>
      </c>
      <c r="I19" s="1">
        <f ca="1">IFERROR(__xludf.DUMMYFUNCTION("""COMPUTED_VALUE"""),14)</f>
        <v>14</v>
      </c>
      <c r="J19" s="1">
        <f ca="1">IFERROR(__xludf.DUMMYFUNCTION("""COMPUTED_VALUE"""),72.2)</f>
        <v>72.2</v>
      </c>
      <c r="K19" s="1">
        <f ca="1">IFERROR(__xludf.DUMMYFUNCTION("""COMPUTED_VALUE"""),10)</f>
        <v>10</v>
      </c>
      <c r="L19" s="1">
        <f ca="1">IFERROR(__xludf.DUMMYFUNCTION("""COMPUTED_VALUE"""),-0.005)</f>
        <v>-5.0000000000000001E-3</v>
      </c>
      <c r="M19" s="1">
        <f ca="1">IFERROR(__xludf.DUMMYFUNCTION("""COMPUTED_VALUE"""),180)</f>
        <v>180</v>
      </c>
      <c r="N19" s="1" t="str">
        <f ca="1">IFERROR(__xludf.DUMMYFUNCTION("""COMPUTED_VALUE"""),"+10.18")</f>
        <v>+10.18</v>
      </c>
      <c r="O19" s="1">
        <f ca="1">IFERROR(__xludf.DUMMYFUNCTION("""COMPUTED_VALUE"""),16)</f>
        <v>16</v>
      </c>
      <c r="P19" s="1">
        <f ca="1">IFERROR(__xludf.DUMMYFUNCTION("""COMPUTED_VALUE"""),109.4)</f>
        <v>109.4</v>
      </c>
      <c r="Q19" s="1">
        <f ca="1">IFERROR(__xludf.DUMMYFUNCTION("""COMPUTED_VALUE"""),4)</f>
        <v>4</v>
      </c>
      <c r="R19" s="1">
        <f ca="1">IFERROR(__xludf.DUMMYFUNCTION("""COMPUTED_VALUE"""),99.2)</f>
        <v>99.2</v>
      </c>
      <c r="S19" s="1">
        <f ca="1">IFERROR(__xludf.DUMMYFUNCTION("""COMPUTED_VALUE"""),44)</f>
        <v>44</v>
      </c>
      <c r="T19" s="1" t="str">
        <f ca="1">IFERROR(__xludf.DUMMYFUNCTION("""COMPUTED_VALUE"""),"+0.09")</f>
        <v>+0.09</v>
      </c>
      <c r="U19" s="1">
        <f ca="1">IFERROR(__xludf.DUMMYFUNCTION("""COMPUTED_VALUE"""),151)</f>
        <v>151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IFERROR(__xludf.DUMMYFUNCTION("""COMPUTED_VALUE"""),"Purdue5")</f>
        <v>Purdue5</v>
      </c>
      <c r="C20" s="1" t="str">
        <f ca="1">IFERROR(__xludf.DUMMYFUNCTION("""COMPUTED_VALUE"""),"B10")</f>
        <v>B10</v>
      </c>
      <c r="D20" s="1" t="str">
        <f ca="1">IFERROR(__xludf.DUMMYFUNCTION("""COMPUTED_VALUE"""),"27-10")</f>
        <v>27-10</v>
      </c>
      <c r="E20" s="1" t="str">
        <f ca="1">IFERROR(__xludf.DUMMYFUNCTION("""COMPUTED_VALUE"""),"+21.84")</f>
        <v>+21.84</v>
      </c>
      <c r="F20" s="1">
        <f ca="1">IFERROR(__xludf.DUMMYFUNCTION("""COMPUTED_VALUE"""),110.5)</f>
        <v>110.5</v>
      </c>
      <c r="G20" s="1">
        <f ca="1">IFERROR(__xludf.DUMMYFUNCTION("""COMPUTED_VALUE"""),60)</f>
        <v>60</v>
      </c>
      <c r="H20" s="1">
        <f ca="1">IFERROR(__xludf.DUMMYFUNCTION("""COMPUTED_VALUE"""),88.7)</f>
        <v>88.7</v>
      </c>
      <c r="I20" s="1">
        <f ca="1">IFERROR(__xludf.DUMMYFUNCTION("""COMPUTED_VALUE"""),5)</f>
        <v>5</v>
      </c>
      <c r="J20" s="1">
        <f ca="1">IFERROR(__xludf.DUMMYFUNCTION("""COMPUTED_VALUE"""),65.9)</f>
        <v>65.900000000000006</v>
      </c>
      <c r="K20" s="1">
        <f ca="1">IFERROR(__xludf.DUMMYFUNCTION("""COMPUTED_VALUE"""),144)</f>
        <v>144</v>
      </c>
      <c r="L20" s="1">
        <f ca="1">IFERROR(__xludf.DUMMYFUNCTION("""COMPUTED_VALUE"""),-0.012)</f>
        <v>-1.2E-2</v>
      </c>
      <c r="M20" s="1">
        <f ca="1">IFERROR(__xludf.DUMMYFUNCTION("""COMPUTED_VALUE"""),199)</f>
        <v>199</v>
      </c>
      <c r="N20" s="1" t="str">
        <f ca="1">IFERROR(__xludf.DUMMYFUNCTION("""COMPUTED_VALUE"""),"+8.94")</f>
        <v>+8.94</v>
      </c>
      <c r="O20" s="1">
        <f ca="1">IFERROR(__xludf.DUMMYFUNCTION("""COMPUTED_VALUE"""),36)</f>
        <v>36</v>
      </c>
      <c r="P20" s="1">
        <f ca="1">IFERROR(__xludf.DUMMYFUNCTION("""COMPUTED_VALUE"""),107.2)</f>
        <v>107.2</v>
      </c>
      <c r="Q20" s="1">
        <f ca="1">IFERROR(__xludf.DUMMYFUNCTION("""COMPUTED_VALUE"""),46)</f>
        <v>46</v>
      </c>
      <c r="R20" s="1">
        <f ca="1">IFERROR(__xludf.DUMMYFUNCTION("""COMPUTED_VALUE"""),98.3)</f>
        <v>98.3</v>
      </c>
      <c r="S20" s="1">
        <f ca="1">IFERROR(__xludf.DUMMYFUNCTION("""COMPUTED_VALUE"""),16)</f>
        <v>16</v>
      </c>
      <c r="T20" s="1">
        <f ca="1">IFERROR(__xludf.DUMMYFUNCTION("""COMPUTED_VALUE"""),-5.45)</f>
        <v>-5.45</v>
      </c>
      <c r="U20" s="1">
        <f ca="1">IFERROR(__xludf.DUMMYFUNCTION("""COMPUTED_VALUE"""),289)</f>
        <v>289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IFERROR(__xludf.DUMMYFUNCTION("""COMPUTED_VALUE"""),"Marquette6")</f>
        <v>Marquette6</v>
      </c>
      <c r="C21" s="1" t="str">
        <f ca="1">IFERROR(__xludf.DUMMYFUNCTION("""COMPUTED_VALUE"""),"BE")</f>
        <v>BE</v>
      </c>
      <c r="D21" s="1" t="str">
        <f ca="1">IFERROR(__xludf.DUMMYFUNCTION("""COMPUTED_VALUE"""),"25-10")</f>
        <v>25-10</v>
      </c>
      <c r="E21" s="1" t="str">
        <f ca="1">IFERROR(__xludf.DUMMYFUNCTION("""COMPUTED_VALUE"""),"+21.02")</f>
        <v>+21.02</v>
      </c>
      <c r="F21" s="1">
        <f ca="1">IFERROR(__xludf.DUMMYFUNCTION("""COMPUTED_VALUE"""),117.1)</f>
        <v>117.1</v>
      </c>
      <c r="G21" s="1">
        <f ca="1">IFERROR(__xludf.DUMMYFUNCTION("""COMPUTED_VALUE"""),9)</f>
        <v>9</v>
      </c>
      <c r="H21" s="1">
        <f ca="1">IFERROR(__xludf.DUMMYFUNCTION("""COMPUTED_VALUE"""),96.1)</f>
        <v>96.1</v>
      </c>
      <c r="I21" s="1">
        <f ca="1">IFERROR(__xludf.DUMMYFUNCTION("""COMPUTED_VALUE"""),52)</f>
        <v>52</v>
      </c>
      <c r="J21" s="1">
        <f ca="1">IFERROR(__xludf.DUMMYFUNCTION("""COMPUTED_VALUE"""),67.5)</f>
        <v>67.5</v>
      </c>
      <c r="K21" s="1">
        <f ca="1">IFERROR(__xludf.DUMMYFUNCTION("""COMPUTED_VALUE"""),78)</f>
        <v>78</v>
      </c>
      <c r="L21" s="1">
        <f ca="1">IFERROR(__xludf.DUMMYFUNCTION("""COMPUTED_VALUE"""),-0.014)</f>
        <v>-1.4E-2</v>
      </c>
      <c r="M21" s="1">
        <f ca="1">IFERROR(__xludf.DUMMYFUNCTION("""COMPUTED_VALUE"""),203)</f>
        <v>203</v>
      </c>
      <c r="N21" s="1" t="str">
        <f ca="1">IFERROR(__xludf.DUMMYFUNCTION("""COMPUTED_VALUE"""),"+8.22")</f>
        <v>+8.22</v>
      </c>
      <c r="O21" s="1">
        <f ca="1">IFERROR(__xludf.DUMMYFUNCTION("""COMPUTED_VALUE"""),41)</f>
        <v>41</v>
      </c>
      <c r="P21" s="1">
        <f ca="1">IFERROR(__xludf.DUMMYFUNCTION("""COMPUTED_VALUE"""),107.8)</f>
        <v>107.8</v>
      </c>
      <c r="Q21" s="1">
        <f ca="1">IFERROR(__xludf.DUMMYFUNCTION("""COMPUTED_VALUE"""),34)</f>
        <v>34</v>
      </c>
      <c r="R21" s="1">
        <f ca="1">IFERROR(__xludf.DUMMYFUNCTION("""COMPUTED_VALUE"""),99.5)</f>
        <v>99.5</v>
      </c>
      <c r="S21" s="1">
        <f ca="1">IFERROR(__xludf.DUMMYFUNCTION("""COMPUTED_VALUE"""),49)</f>
        <v>49</v>
      </c>
      <c r="T21" s="1">
        <f ca="1">IFERROR(__xludf.DUMMYFUNCTION("""COMPUTED_VALUE"""),-4.95)</f>
        <v>-4.95</v>
      </c>
      <c r="U21" s="1">
        <f ca="1">IFERROR(__xludf.DUMMYFUNCTION("""COMPUTED_VALUE"""),279)</f>
        <v>279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IFERROR(__xludf.DUMMYFUNCTION("""COMPUTED_VALUE"""),"Xavier4")</f>
        <v>Xavier4</v>
      </c>
      <c r="C22" s="1" t="str">
        <f ca="1">IFERROR(__xludf.DUMMYFUNCTION("""COMPUTED_VALUE"""),"A10")</f>
        <v>A10</v>
      </c>
      <c r="D22" s="1" t="str">
        <f ca="1">IFERROR(__xludf.DUMMYFUNCTION("""COMPUTED_VALUE"""),"27-8")</f>
        <v>27-8</v>
      </c>
      <c r="E22" s="1" t="str">
        <f ca="1">IFERROR(__xludf.DUMMYFUNCTION("""COMPUTED_VALUE"""),"+20.24")</f>
        <v>+20.24</v>
      </c>
      <c r="F22" s="1">
        <f ca="1">IFERROR(__xludf.DUMMYFUNCTION("""COMPUTED_VALUE"""),111)</f>
        <v>111</v>
      </c>
      <c r="G22" s="1">
        <f ca="1">IFERROR(__xludf.DUMMYFUNCTION("""COMPUTED_VALUE"""),53)</f>
        <v>53</v>
      </c>
      <c r="H22" s="1">
        <f ca="1">IFERROR(__xludf.DUMMYFUNCTION("""COMPUTED_VALUE"""),90.8)</f>
        <v>90.8</v>
      </c>
      <c r="I22" s="1">
        <f ca="1">IFERROR(__xludf.DUMMYFUNCTION("""COMPUTED_VALUE"""),12)</f>
        <v>12</v>
      </c>
      <c r="J22" s="1">
        <f ca="1">IFERROR(__xludf.DUMMYFUNCTION("""COMPUTED_VALUE"""),65.8)</f>
        <v>65.8</v>
      </c>
      <c r="K22" s="1">
        <f ca="1">IFERROR(__xludf.DUMMYFUNCTION("""COMPUTED_VALUE"""),149)</f>
        <v>149</v>
      </c>
      <c r="L22" s="1">
        <f ca="1">IFERROR(__xludf.DUMMYFUNCTION("""COMPUTED_VALUE"""),-0.008)</f>
        <v>-8.0000000000000002E-3</v>
      </c>
      <c r="M22" s="1">
        <f ca="1">IFERROR(__xludf.DUMMYFUNCTION("""COMPUTED_VALUE"""),185)</f>
        <v>185</v>
      </c>
      <c r="N22" s="1" t="str">
        <f ca="1">IFERROR(__xludf.DUMMYFUNCTION("""COMPUTED_VALUE"""),"+5.81")</f>
        <v>+5.81</v>
      </c>
      <c r="O22" s="1">
        <f ca="1">IFERROR(__xludf.DUMMYFUNCTION("""COMPUTED_VALUE"""),64)</f>
        <v>64</v>
      </c>
      <c r="P22" s="1">
        <f ca="1">IFERROR(__xludf.DUMMYFUNCTION("""COMPUTED_VALUE"""),105.8)</f>
        <v>105.8</v>
      </c>
      <c r="Q22" s="1">
        <f ca="1">IFERROR(__xludf.DUMMYFUNCTION("""COMPUTED_VALUE"""),68)</f>
        <v>68</v>
      </c>
      <c r="R22" s="1">
        <f ca="1">IFERROR(__xludf.DUMMYFUNCTION("""COMPUTED_VALUE"""),100)</f>
        <v>100</v>
      </c>
      <c r="S22" s="1">
        <f ca="1">IFERROR(__xludf.DUMMYFUNCTION("""COMPUTED_VALUE"""),62)</f>
        <v>62</v>
      </c>
      <c r="T22" s="1" t="str">
        <f ca="1">IFERROR(__xludf.DUMMYFUNCTION("""COMPUTED_VALUE"""),"+7.97")</f>
        <v>+7.97</v>
      </c>
      <c r="U22" s="1">
        <f ca="1">IFERROR(__xludf.DUMMYFUNCTION("""COMPUTED_VALUE"""),24)</f>
        <v>24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IFERROR(__xludf.DUMMYFUNCTION("""COMPUTED_VALUE"""),"BYU8")</f>
        <v>BYU8</v>
      </c>
      <c r="C23" s="1" t="str">
        <f ca="1">IFERROR(__xludf.DUMMYFUNCTION("""COMPUTED_VALUE"""),"MWC")</f>
        <v>MWC</v>
      </c>
      <c r="D23" s="1" t="str">
        <f ca="1">IFERROR(__xludf.DUMMYFUNCTION("""COMPUTED_VALUE"""),"25-8")</f>
        <v>25-8</v>
      </c>
      <c r="E23" s="1" t="str">
        <f ca="1">IFERROR(__xludf.DUMMYFUNCTION("""COMPUTED_VALUE"""),"+20.10")</f>
        <v>+20.10</v>
      </c>
      <c r="F23" s="1">
        <f ca="1">IFERROR(__xludf.DUMMYFUNCTION("""COMPUTED_VALUE"""),114)</f>
        <v>114</v>
      </c>
      <c r="G23" s="1">
        <f ca="1">IFERROR(__xludf.DUMMYFUNCTION("""COMPUTED_VALUE"""),28)</f>
        <v>28</v>
      </c>
      <c r="H23" s="1">
        <f ca="1">IFERROR(__xludf.DUMMYFUNCTION("""COMPUTED_VALUE"""),93.9)</f>
        <v>93.9</v>
      </c>
      <c r="I23" s="1">
        <f ca="1">IFERROR(__xludf.DUMMYFUNCTION("""COMPUTED_VALUE"""),35)</f>
        <v>35</v>
      </c>
      <c r="J23" s="1">
        <f ca="1">IFERROR(__xludf.DUMMYFUNCTION("""COMPUTED_VALUE"""),69)</f>
        <v>69</v>
      </c>
      <c r="K23" s="1">
        <f ca="1">IFERROR(__xludf.DUMMYFUNCTION("""COMPUTED_VALUE"""),41)</f>
        <v>41</v>
      </c>
      <c r="L23" s="1">
        <f ca="1">IFERROR(__xludf.DUMMYFUNCTION("""COMPUTED_VALUE"""),-0.046)</f>
        <v>-4.5999999999999999E-2</v>
      </c>
      <c r="M23" s="1">
        <f ca="1">IFERROR(__xludf.DUMMYFUNCTION("""COMPUTED_VALUE"""),285)</f>
        <v>285</v>
      </c>
      <c r="N23" s="1" t="str">
        <f ca="1">IFERROR(__xludf.DUMMYFUNCTION("""COMPUTED_VALUE"""),"+4.57")</f>
        <v>+4.57</v>
      </c>
      <c r="O23" s="1">
        <f ca="1">IFERROR(__xludf.DUMMYFUNCTION("""COMPUTED_VALUE"""),79)</f>
        <v>79</v>
      </c>
      <c r="P23" s="1">
        <f ca="1">IFERROR(__xludf.DUMMYFUNCTION("""COMPUTED_VALUE"""),105.4)</f>
        <v>105.4</v>
      </c>
      <c r="Q23" s="1">
        <f ca="1">IFERROR(__xludf.DUMMYFUNCTION("""COMPUTED_VALUE"""),76)</f>
        <v>76</v>
      </c>
      <c r="R23" s="1">
        <f ca="1">IFERROR(__xludf.DUMMYFUNCTION("""COMPUTED_VALUE"""),100.9)</f>
        <v>100.9</v>
      </c>
      <c r="S23" s="1">
        <f ca="1">IFERROR(__xludf.DUMMYFUNCTION("""COMPUTED_VALUE"""),82)</f>
        <v>82</v>
      </c>
      <c r="T23" s="1" t="str">
        <f ca="1">IFERROR(__xludf.DUMMYFUNCTION("""COMPUTED_VALUE"""),"+0.39")</f>
        <v>+0.39</v>
      </c>
      <c r="U23" s="1">
        <f ca="1">IFERROR(__xludf.DUMMYFUNCTION("""COMPUTED_VALUE"""),145)</f>
        <v>145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IFERROR(__xludf.DUMMYFUNCTION("""COMPUTED_VALUE"""),"Texas7")</f>
        <v>Texas7</v>
      </c>
      <c r="C24" s="1" t="str">
        <f ca="1">IFERROR(__xludf.DUMMYFUNCTION("""COMPUTED_VALUE"""),"B12")</f>
        <v>B12</v>
      </c>
      <c r="D24" s="1" t="str">
        <f ca="1">IFERROR(__xludf.DUMMYFUNCTION("""COMPUTED_VALUE"""),"23-12")</f>
        <v>23-12</v>
      </c>
      <c r="E24" s="1" t="str">
        <f ca="1">IFERROR(__xludf.DUMMYFUNCTION("""COMPUTED_VALUE"""),"+19.65")</f>
        <v>+19.65</v>
      </c>
      <c r="F24" s="1">
        <f ca="1">IFERROR(__xludf.DUMMYFUNCTION("""COMPUTED_VALUE"""),112.2)</f>
        <v>112.2</v>
      </c>
      <c r="G24" s="1">
        <f ca="1">IFERROR(__xludf.DUMMYFUNCTION("""COMPUTED_VALUE"""),42)</f>
        <v>42</v>
      </c>
      <c r="H24" s="1">
        <f ca="1">IFERROR(__xludf.DUMMYFUNCTION("""COMPUTED_VALUE"""),92.5)</f>
        <v>92.5</v>
      </c>
      <c r="I24" s="1">
        <f ca="1">IFERROR(__xludf.DUMMYFUNCTION("""COMPUTED_VALUE"""),20)</f>
        <v>20</v>
      </c>
      <c r="J24" s="1">
        <f ca="1">IFERROR(__xludf.DUMMYFUNCTION("""COMPUTED_VALUE"""),65.4)</f>
        <v>65.400000000000006</v>
      </c>
      <c r="K24" s="1">
        <f ca="1">IFERROR(__xludf.DUMMYFUNCTION("""COMPUTED_VALUE"""),160)</f>
        <v>160</v>
      </c>
      <c r="L24" s="1">
        <f ca="1">IFERROR(__xludf.DUMMYFUNCTION("""COMPUTED_VALUE"""),-0.048)</f>
        <v>-4.8000000000000001E-2</v>
      </c>
      <c r="M24" s="1">
        <f ca="1">IFERROR(__xludf.DUMMYFUNCTION("""COMPUTED_VALUE"""),288)</f>
        <v>288</v>
      </c>
      <c r="N24" s="1" t="str">
        <f ca="1">IFERROR(__xludf.DUMMYFUNCTION("""COMPUTED_VALUE"""),"+10.16")</f>
        <v>+10.16</v>
      </c>
      <c r="O24" s="1">
        <f ca="1">IFERROR(__xludf.DUMMYFUNCTION("""COMPUTED_VALUE"""),17)</f>
        <v>17</v>
      </c>
      <c r="P24" s="1">
        <f ca="1">IFERROR(__xludf.DUMMYFUNCTION("""COMPUTED_VALUE"""),109.2)</f>
        <v>109.2</v>
      </c>
      <c r="Q24" s="1">
        <f ca="1">IFERROR(__xludf.DUMMYFUNCTION("""COMPUTED_VALUE"""),8)</f>
        <v>8</v>
      </c>
      <c r="R24" s="1">
        <f ca="1">IFERROR(__xludf.DUMMYFUNCTION("""COMPUTED_VALUE"""),99)</f>
        <v>99</v>
      </c>
      <c r="S24" s="1">
        <f ca="1">IFERROR(__xludf.DUMMYFUNCTION("""COMPUTED_VALUE"""),36)</f>
        <v>36</v>
      </c>
      <c r="T24" s="1" t="str">
        <f ca="1">IFERROR(__xludf.DUMMYFUNCTION("""COMPUTED_VALUE"""),"+2.01")</f>
        <v>+2.01</v>
      </c>
      <c r="U24" s="1">
        <f ca="1">IFERROR(__xludf.DUMMYFUNCTION("""COMPUTED_VALUE"""),108)</f>
        <v>108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IFERROR(__xludf.DUMMYFUNCTION("""COMPUTED_VALUE"""),"Clemson7")</f>
        <v>Clemson7</v>
      </c>
      <c r="C25" s="1" t="str">
        <f ca="1">IFERROR(__xludf.DUMMYFUNCTION("""COMPUTED_VALUE"""),"ACC")</f>
        <v>ACC</v>
      </c>
      <c r="D25" s="1" t="str">
        <f ca="1">IFERROR(__xludf.DUMMYFUNCTION("""COMPUTED_VALUE"""),"23-9")</f>
        <v>23-9</v>
      </c>
      <c r="E25" s="1" t="str">
        <f ca="1">IFERROR(__xludf.DUMMYFUNCTION("""COMPUTED_VALUE"""),"+19.62")</f>
        <v>+19.62</v>
      </c>
      <c r="F25" s="1">
        <f ca="1">IFERROR(__xludf.DUMMYFUNCTION("""COMPUTED_VALUE"""),116.4)</f>
        <v>116.4</v>
      </c>
      <c r="G25" s="1">
        <f ca="1">IFERROR(__xludf.DUMMYFUNCTION("""COMPUTED_VALUE"""),16)</f>
        <v>16</v>
      </c>
      <c r="H25" s="1">
        <f ca="1">IFERROR(__xludf.DUMMYFUNCTION("""COMPUTED_VALUE"""),96.7)</f>
        <v>96.7</v>
      </c>
      <c r="I25" s="1">
        <f ca="1">IFERROR(__xludf.DUMMYFUNCTION("""COMPUTED_VALUE"""),61)</f>
        <v>61</v>
      </c>
      <c r="J25" s="1">
        <f ca="1">IFERROR(__xludf.DUMMYFUNCTION("""COMPUTED_VALUE"""),67.9)</f>
        <v>67.900000000000006</v>
      </c>
      <c r="K25" s="1">
        <f ca="1">IFERROR(__xludf.DUMMYFUNCTION("""COMPUTED_VALUE"""),67)</f>
        <v>67</v>
      </c>
      <c r="L25" s="1">
        <f ca="1">IFERROR(__xludf.DUMMYFUNCTION("""COMPUTED_VALUE"""),-0.024)</f>
        <v>-2.4E-2</v>
      </c>
      <c r="M25" s="1">
        <f ca="1">IFERROR(__xludf.DUMMYFUNCTION("""COMPUTED_VALUE"""),236)</f>
        <v>236</v>
      </c>
      <c r="N25" s="1" t="str">
        <f ca="1">IFERROR(__xludf.DUMMYFUNCTION("""COMPUTED_VALUE"""),"+6.19")</f>
        <v>+6.19</v>
      </c>
      <c r="O25" s="1">
        <f ca="1">IFERROR(__xludf.DUMMYFUNCTION("""COMPUTED_VALUE"""),60)</f>
        <v>60</v>
      </c>
      <c r="P25" s="1">
        <f ca="1">IFERROR(__xludf.DUMMYFUNCTION("""COMPUTED_VALUE"""),105.4)</f>
        <v>105.4</v>
      </c>
      <c r="Q25" s="1">
        <f ca="1">IFERROR(__xludf.DUMMYFUNCTION("""COMPUTED_VALUE"""),77)</f>
        <v>77</v>
      </c>
      <c r="R25" s="1">
        <f ca="1">IFERROR(__xludf.DUMMYFUNCTION("""COMPUTED_VALUE"""),99.2)</f>
        <v>99.2</v>
      </c>
      <c r="S25" s="1">
        <f ca="1">IFERROR(__xludf.DUMMYFUNCTION("""COMPUTED_VALUE"""),43)</f>
        <v>43</v>
      </c>
      <c r="T25" s="1">
        <f ca="1">IFERROR(__xludf.DUMMYFUNCTION("""COMPUTED_VALUE"""),-4.45)</f>
        <v>-4.45</v>
      </c>
      <c r="U25" s="1">
        <f ca="1">IFERROR(__xludf.DUMMYFUNCTION("""COMPUTED_VALUE"""),266)</f>
        <v>266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IFERROR(__xludf.DUMMYFUNCTION("""COMPUTED_VALUE"""),"Wake Forest4")</f>
        <v>Wake Forest4</v>
      </c>
      <c r="C26" s="1" t="str">
        <f ca="1">IFERROR(__xludf.DUMMYFUNCTION("""COMPUTED_VALUE"""),"ACC")</f>
        <v>ACC</v>
      </c>
      <c r="D26" s="1" t="str">
        <f ca="1">IFERROR(__xludf.DUMMYFUNCTION("""COMPUTED_VALUE"""),"24-7")</f>
        <v>24-7</v>
      </c>
      <c r="E26" s="1" t="str">
        <f ca="1">IFERROR(__xludf.DUMMYFUNCTION("""COMPUTED_VALUE"""),"+18.88")</f>
        <v>+18.88</v>
      </c>
      <c r="F26" s="1">
        <f ca="1">IFERROR(__xludf.DUMMYFUNCTION("""COMPUTED_VALUE"""),111.6)</f>
        <v>111.6</v>
      </c>
      <c r="G26" s="1">
        <f ca="1">IFERROR(__xludf.DUMMYFUNCTION("""COMPUTED_VALUE"""),46)</f>
        <v>46</v>
      </c>
      <c r="H26" s="1">
        <f ca="1">IFERROR(__xludf.DUMMYFUNCTION("""COMPUTED_VALUE"""),92.7)</f>
        <v>92.7</v>
      </c>
      <c r="I26" s="1">
        <f ca="1">IFERROR(__xludf.DUMMYFUNCTION("""COMPUTED_VALUE"""),22)</f>
        <v>22</v>
      </c>
      <c r="J26" s="1">
        <f ca="1">IFERROR(__xludf.DUMMYFUNCTION("""COMPUTED_VALUE"""),72.8)</f>
        <v>72.8</v>
      </c>
      <c r="K26" s="1">
        <f ca="1">IFERROR(__xludf.DUMMYFUNCTION("""COMPUTED_VALUE"""),7)</f>
        <v>7</v>
      </c>
      <c r="L26" s="1" t="str">
        <f ca="1">IFERROR(__xludf.DUMMYFUNCTION("""COMPUTED_VALUE"""),"+.051")</f>
        <v>+.051</v>
      </c>
      <c r="M26" s="1">
        <f ca="1">IFERROR(__xludf.DUMMYFUNCTION("""COMPUTED_VALUE"""),52)</f>
        <v>52</v>
      </c>
      <c r="N26" s="1" t="str">
        <f ca="1">IFERROR(__xludf.DUMMYFUNCTION("""COMPUTED_VALUE"""),"+7.66")</f>
        <v>+7.66</v>
      </c>
      <c r="O26" s="1">
        <f ca="1">IFERROR(__xludf.DUMMYFUNCTION("""COMPUTED_VALUE"""),51)</f>
        <v>51</v>
      </c>
      <c r="P26" s="1">
        <f ca="1">IFERROR(__xludf.DUMMYFUNCTION("""COMPUTED_VALUE"""),107.5)</f>
        <v>107.5</v>
      </c>
      <c r="Q26" s="1">
        <f ca="1">IFERROR(__xludf.DUMMYFUNCTION("""COMPUTED_VALUE"""),41)</f>
        <v>41</v>
      </c>
      <c r="R26" s="1">
        <f ca="1">IFERROR(__xludf.DUMMYFUNCTION("""COMPUTED_VALUE"""),99.9)</f>
        <v>99.9</v>
      </c>
      <c r="S26" s="1">
        <f ca="1">IFERROR(__xludf.DUMMYFUNCTION("""COMPUTED_VALUE"""),55)</f>
        <v>55</v>
      </c>
      <c r="T26" s="1">
        <f ca="1">IFERROR(__xludf.DUMMYFUNCTION("""COMPUTED_VALUE"""),-4.35)</f>
        <v>-4.3499999999999996</v>
      </c>
      <c r="U26" s="1">
        <f ca="1">IFERROR(__xludf.DUMMYFUNCTION("""COMPUTED_VALUE"""),262)</f>
        <v>262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IFERROR(__xludf.DUMMYFUNCTION("""COMPUTED_VALUE"""),"Illinois5")</f>
        <v>Illinois5</v>
      </c>
      <c r="C27" s="1" t="str">
        <f ca="1">IFERROR(__xludf.DUMMYFUNCTION("""COMPUTED_VALUE"""),"B10")</f>
        <v>B10</v>
      </c>
      <c r="D27" s="1" t="str">
        <f ca="1">IFERROR(__xludf.DUMMYFUNCTION("""COMPUTED_VALUE"""),"24-10")</f>
        <v>24-10</v>
      </c>
      <c r="E27" s="1" t="str">
        <f ca="1">IFERROR(__xludf.DUMMYFUNCTION("""COMPUTED_VALUE"""),"+18.72")</f>
        <v>+18.72</v>
      </c>
      <c r="F27" s="1">
        <f ca="1">IFERROR(__xludf.DUMMYFUNCTION("""COMPUTED_VALUE"""),106.8)</f>
        <v>106.8</v>
      </c>
      <c r="G27" s="1">
        <f ca="1">IFERROR(__xludf.DUMMYFUNCTION("""COMPUTED_VALUE"""),104)</f>
        <v>104</v>
      </c>
      <c r="H27" s="1">
        <f ca="1">IFERROR(__xludf.DUMMYFUNCTION("""COMPUTED_VALUE"""),88.1)</f>
        <v>88.1</v>
      </c>
      <c r="I27" s="1">
        <f ca="1">IFERROR(__xludf.DUMMYFUNCTION("""COMPUTED_VALUE"""),4)</f>
        <v>4</v>
      </c>
      <c r="J27" s="1">
        <f ca="1">IFERROR(__xludf.DUMMYFUNCTION("""COMPUTED_VALUE"""),62.8)</f>
        <v>62.8</v>
      </c>
      <c r="K27" s="1">
        <f ca="1">IFERROR(__xludf.DUMMYFUNCTION("""COMPUTED_VALUE"""),271)</f>
        <v>271</v>
      </c>
      <c r="L27" s="1" t="str">
        <f ca="1">IFERROR(__xludf.DUMMYFUNCTION("""COMPUTED_VALUE"""),"+.001")</f>
        <v>+.001</v>
      </c>
      <c r="M27" s="1">
        <f ca="1">IFERROR(__xludf.DUMMYFUNCTION("""COMPUTED_VALUE"""),164)</f>
        <v>164</v>
      </c>
      <c r="N27" s="1" t="str">
        <f ca="1">IFERROR(__xludf.DUMMYFUNCTION("""COMPUTED_VALUE"""),"+7.96")</f>
        <v>+7.96</v>
      </c>
      <c r="O27" s="1">
        <f ca="1">IFERROR(__xludf.DUMMYFUNCTION("""COMPUTED_VALUE"""),45)</f>
        <v>45</v>
      </c>
      <c r="P27" s="1">
        <f ca="1">IFERROR(__xludf.DUMMYFUNCTION("""COMPUTED_VALUE"""),106.5)</f>
        <v>106.5</v>
      </c>
      <c r="Q27" s="1">
        <f ca="1">IFERROR(__xludf.DUMMYFUNCTION("""COMPUTED_VALUE"""),55)</f>
        <v>55</v>
      </c>
      <c r="R27" s="1">
        <f ca="1">IFERROR(__xludf.DUMMYFUNCTION("""COMPUTED_VALUE"""),98.6)</f>
        <v>98.6</v>
      </c>
      <c r="S27" s="1">
        <f ca="1">IFERROR(__xludf.DUMMYFUNCTION("""COMPUTED_VALUE"""),23)</f>
        <v>23</v>
      </c>
      <c r="T27" s="1">
        <f ca="1">IFERROR(__xludf.DUMMYFUNCTION("""COMPUTED_VALUE"""),-3.36)</f>
        <v>-3.36</v>
      </c>
      <c r="U27" s="1">
        <f ca="1">IFERROR(__xludf.DUMMYFUNCTION("""COMPUTED_VALUE"""),239)</f>
        <v>239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IFERROR(__xludf.DUMMYFUNCTION("""COMPUTED_VALUE"""),"Oklahoma St.8")</f>
        <v>Oklahoma St.8</v>
      </c>
      <c r="C28" s="1" t="str">
        <f ca="1">IFERROR(__xludf.DUMMYFUNCTION("""COMPUTED_VALUE"""),"B12")</f>
        <v>B12</v>
      </c>
      <c r="D28" s="1" t="str">
        <f ca="1">IFERROR(__xludf.DUMMYFUNCTION("""COMPUTED_VALUE"""),"23-12")</f>
        <v>23-12</v>
      </c>
      <c r="E28" s="1" t="str">
        <f ca="1">IFERROR(__xludf.DUMMYFUNCTION("""COMPUTED_VALUE"""),"+18.33")</f>
        <v>+18.33</v>
      </c>
      <c r="F28" s="1">
        <f ca="1">IFERROR(__xludf.DUMMYFUNCTION("""COMPUTED_VALUE"""),116.4)</f>
        <v>116.4</v>
      </c>
      <c r="G28" s="1">
        <f ca="1">IFERROR(__xludf.DUMMYFUNCTION("""COMPUTED_VALUE"""),15)</f>
        <v>15</v>
      </c>
      <c r="H28" s="1">
        <f ca="1">IFERROR(__xludf.DUMMYFUNCTION("""COMPUTED_VALUE"""),98.1)</f>
        <v>98.1</v>
      </c>
      <c r="I28" s="1">
        <f ca="1">IFERROR(__xludf.DUMMYFUNCTION("""COMPUTED_VALUE"""),73)</f>
        <v>73</v>
      </c>
      <c r="J28" s="1">
        <f ca="1">IFERROR(__xludf.DUMMYFUNCTION("""COMPUTED_VALUE"""),69.3)</f>
        <v>69.3</v>
      </c>
      <c r="K28" s="1">
        <f ca="1">IFERROR(__xludf.DUMMYFUNCTION("""COMPUTED_VALUE"""),36)</f>
        <v>36</v>
      </c>
      <c r="L28" s="1">
        <f ca="1">IFERROR(__xludf.DUMMYFUNCTION("""COMPUTED_VALUE"""),-0.003)</f>
        <v>-3.0000000000000001E-3</v>
      </c>
      <c r="M28" s="1">
        <f ca="1">IFERROR(__xludf.DUMMYFUNCTION("""COMPUTED_VALUE"""),169)</f>
        <v>169</v>
      </c>
      <c r="N28" s="1" t="str">
        <f ca="1">IFERROR(__xludf.DUMMYFUNCTION("""COMPUTED_VALUE"""),"+10.46")</f>
        <v>+10.46</v>
      </c>
      <c r="O28" s="1">
        <f ca="1">IFERROR(__xludf.DUMMYFUNCTION("""COMPUTED_VALUE"""),12)</f>
        <v>12</v>
      </c>
      <c r="P28" s="1">
        <f ca="1">IFERROR(__xludf.DUMMYFUNCTION("""COMPUTED_VALUE"""),108.8)</f>
        <v>108.8</v>
      </c>
      <c r="Q28" s="1">
        <f ca="1">IFERROR(__xludf.DUMMYFUNCTION("""COMPUTED_VALUE"""),15)</f>
        <v>15</v>
      </c>
      <c r="R28" s="1">
        <f ca="1">IFERROR(__xludf.DUMMYFUNCTION("""COMPUTED_VALUE"""),98.4)</f>
        <v>98.4</v>
      </c>
      <c r="S28" s="1">
        <f ca="1">IFERROR(__xludf.DUMMYFUNCTION("""COMPUTED_VALUE"""),19)</f>
        <v>19</v>
      </c>
      <c r="T28" s="1">
        <f ca="1">IFERROR(__xludf.DUMMYFUNCTION("""COMPUTED_VALUE"""),-0.28)</f>
        <v>-0.28000000000000003</v>
      </c>
      <c r="U28" s="1">
        <f ca="1">IFERROR(__xludf.DUMMYFUNCTION("""COMPUTED_VALUE"""),165)</f>
        <v>165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IFERROR(__xludf.DUMMYFUNCTION("""COMPUTED_VALUE"""),"USC10")</f>
        <v>USC10</v>
      </c>
      <c r="C29" s="1" t="str">
        <f ca="1">IFERROR(__xludf.DUMMYFUNCTION("""COMPUTED_VALUE"""),"P10")</f>
        <v>P10</v>
      </c>
      <c r="D29" s="1" t="str">
        <f ca="1">IFERROR(__xludf.DUMMYFUNCTION("""COMPUTED_VALUE"""),"22-13")</f>
        <v>22-13</v>
      </c>
      <c r="E29" s="1" t="str">
        <f ca="1">IFERROR(__xludf.DUMMYFUNCTION("""COMPUTED_VALUE"""),"+18.26")</f>
        <v>+18.26</v>
      </c>
      <c r="F29" s="1">
        <f ca="1">IFERROR(__xludf.DUMMYFUNCTION("""COMPUTED_VALUE"""),110)</f>
        <v>110</v>
      </c>
      <c r="G29" s="1">
        <f ca="1">IFERROR(__xludf.DUMMYFUNCTION("""COMPUTED_VALUE"""),65)</f>
        <v>65</v>
      </c>
      <c r="H29" s="1">
        <f ca="1">IFERROR(__xludf.DUMMYFUNCTION("""COMPUTED_VALUE"""),91.8)</f>
        <v>91.8</v>
      </c>
      <c r="I29" s="1">
        <f ca="1">IFERROR(__xludf.DUMMYFUNCTION("""COMPUTED_VALUE"""),16)</f>
        <v>16</v>
      </c>
      <c r="J29" s="1">
        <f ca="1">IFERROR(__xludf.DUMMYFUNCTION("""COMPUTED_VALUE"""),63.7)</f>
        <v>63.7</v>
      </c>
      <c r="K29" s="1">
        <f ca="1">IFERROR(__xludf.DUMMYFUNCTION("""COMPUTED_VALUE"""),242)</f>
        <v>242</v>
      </c>
      <c r="L29" s="1">
        <f ca="1">IFERROR(__xludf.DUMMYFUNCTION("""COMPUTED_VALUE"""),-0.032)</f>
        <v>-3.2000000000000001E-2</v>
      </c>
      <c r="M29" s="1">
        <f ca="1">IFERROR(__xludf.DUMMYFUNCTION("""COMPUTED_VALUE"""),260)</f>
        <v>260</v>
      </c>
      <c r="N29" s="1" t="str">
        <f ca="1">IFERROR(__xludf.DUMMYFUNCTION("""COMPUTED_VALUE"""),"+10.81")</f>
        <v>+10.81</v>
      </c>
      <c r="O29" s="1">
        <f ca="1">IFERROR(__xludf.DUMMYFUNCTION("""COMPUTED_VALUE"""),9)</f>
        <v>9</v>
      </c>
      <c r="P29" s="1">
        <f ca="1">IFERROR(__xludf.DUMMYFUNCTION("""COMPUTED_VALUE"""),110.5)</f>
        <v>110.5</v>
      </c>
      <c r="Q29" s="1">
        <f ca="1">IFERROR(__xludf.DUMMYFUNCTION("""COMPUTED_VALUE"""),2)</f>
        <v>2</v>
      </c>
      <c r="R29" s="1">
        <f ca="1">IFERROR(__xludf.DUMMYFUNCTION("""COMPUTED_VALUE"""),99.7)</f>
        <v>99.7</v>
      </c>
      <c r="S29" s="1">
        <f ca="1">IFERROR(__xludf.DUMMYFUNCTION("""COMPUTED_VALUE"""),51)</f>
        <v>51</v>
      </c>
      <c r="T29" s="1" t="str">
        <f ca="1">IFERROR(__xludf.DUMMYFUNCTION("""COMPUTED_VALUE"""),"+0.74")</f>
        <v>+0.74</v>
      </c>
      <c r="U29" s="1">
        <f ca="1">IFERROR(__xludf.DUMMYFUNCTION("""COMPUTED_VALUE"""),134)</f>
        <v>134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IFERROR(__xludf.DUMMYFUNCTION("""COMPUTED_VALUE"""),"Utah5")</f>
        <v>Utah5</v>
      </c>
      <c r="C30" s="1" t="str">
        <f ca="1">IFERROR(__xludf.DUMMYFUNCTION("""COMPUTED_VALUE"""),"MWC")</f>
        <v>MWC</v>
      </c>
      <c r="D30" s="1" t="str">
        <f ca="1">IFERROR(__xludf.DUMMYFUNCTION("""COMPUTED_VALUE"""),"24-10")</f>
        <v>24-10</v>
      </c>
      <c r="E30" s="1" t="str">
        <f ca="1">IFERROR(__xludf.DUMMYFUNCTION("""COMPUTED_VALUE"""),"+17.80")</f>
        <v>+17.80</v>
      </c>
      <c r="F30" s="1">
        <f ca="1">IFERROR(__xludf.DUMMYFUNCTION("""COMPUTED_VALUE"""),110.8)</f>
        <v>110.8</v>
      </c>
      <c r="G30" s="1">
        <f ca="1">IFERROR(__xludf.DUMMYFUNCTION("""COMPUTED_VALUE"""),56)</f>
        <v>56</v>
      </c>
      <c r="H30" s="1">
        <f ca="1">IFERROR(__xludf.DUMMYFUNCTION("""COMPUTED_VALUE"""),92.9)</f>
        <v>92.9</v>
      </c>
      <c r="I30" s="1">
        <f ca="1">IFERROR(__xludf.DUMMYFUNCTION("""COMPUTED_VALUE"""),23)</f>
        <v>23</v>
      </c>
      <c r="J30" s="1">
        <f ca="1">IFERROR(__xludf.DUMMYFUNCTION("""COMPUTED_VALUE"""),65)</f>
        <v>65</v>
      </c>
      <c r="K30" s="1">
        <f ca="1">IFERROR(__xludf.DUMMYFUNCTION("""COMPUTED_VALUE"""),184)</f>
        <v>184</v>
      </c>
      <c r="L30" s="1" t="str">
        <f ca="1">IFERROR(__xludf.DUMMYFUNCTION("""COMPUTED_VALUE"""),"+.013")</f>
        <v>+.013</v>
      </c>
      <c r="M30" s="1">
        <f ca="1">IFERROR(__xludf.DUMMYFUNCTION("""COMPUTED_VALUE"""),136)</f>
        <v>136</v>
      </c>
      <c r="N30" s="1" t="str">
        <f ca="1">IFERROR(__xludf.DUMMYFUNCTION("""COMPUTED_VALUE"""),"+7.29")</f>
        <v>+7.29</v>
      </c>
      <c r="O30" s="1">
        <f ca="1">IFERROR(__xludf.DUMMYFUNCTION("""COMPUTED_VALUE"""),53)</f>
        <v>53</v>
      </c>
      <c r="P30" s="1">
        <f ca="1">IFERROR(__xludf.DUMMYFUNCTION("""COMPUTED_VALUE"""),107.9)</f>
        <v>107.9</v>
      </c>
      <c r="Q30" s="1">
        <f ca="1">IFERROR(__xludf.DUMMYFUNCTION("""COMPUTED_VALUE"""),33)</f>
        <v>33</v>
      </c>
      <c r="R30" s="1">
        <f ca="1">IFERROR(__xludf.DUMMYFUNCTION("""COMPUTED_VALUE"""),100.6)</f>
        <v>100.6</v>
      </c>
      <c r="S30" s="1">
        <f ca="1">IFERROR(__xludf.DUMMYFUNCTION("""COMPUTED_VALUE"""),75)</f>
        <v>75</v>
      </c>
      <c r="T30" s="1" t="str">
        <f ca="1">IFERROR(__xludf.DUMMYFUNCTION("""COMPUTED_VALUE"""),"+6.96")</f>
        <v>+6.96</v>
      </c>
      <c r="U30" s="1">
        <f ca="1">IFERROR(__xludf.DUMMYFUNCTION("""COMPUTED_VALUE"""),34)</f>
        <v>34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IFERROR(__xludf.DUMMYFUNCTION("""COMPUTED_VALUE"""),"Wisconsin12")</f>
        <v>Wisconsin12</v>
      </c>
      <c r="C31" s="1" t="str">
        <f ca="1">IFERROR(__xludf.DUMMYFUNCTION("""COMPUTED_VALUE"""),"B10")</f>
        <v>B10</v>
      </c>
      <c r="D31" s="1" t="str">
        <f ca="1">IFERROR(__xludf.DUMMYFUNCTION("""COMPUTED_VALUE"""),"20-13")</f>
        <v>20-13</v>
      </c>
      <c r="E31" s="1" t="str">
        <f ca="1">IFERROR(__xludf.DUMMYFUNCTION("""COMPUTED_VALUE"""),"+17.62")</f>
        <v>+17.62</v>
      </c>
      <c r="F31" s="1">
        <f ca="1">IFERROR(__xludf.DUMMYFUNCTION("""COMPUTED_VALUE"""),113.3)</f>
        <v>113.3</v>
      </c>
      <c r="G31" s="1">
        <f ca="1">IFERROR(__xludf.DUMMYFUNCTION("""COMPUTED_VALUE"""),31)</f>
        <v>31</v>
      </c>
      <c r="H31" s="1">
        <f ca="1">IFERROR(__xludf.DUMMYFUNCTION("""COMPUTED_VALUE"""),95.7)</f>
        <v>95.7</v>
      </c>
      <c r="I31" s="1">
        <f ca="1">IFERROR(__xludf.DUMMYFUNCTION("""COMPUTED_VALUE"""),46)</f>
        <v>46</v>
      </c>
      <c r="J31" s="1">
        <f ca="1">IFERROR(__xludf.DUMMYFUNCTION("""COMPUTED_VALUE"""),59.1)</f>
        <v>59.1</v>
      </c>
      <c r="K31" s="1">
        <f ca="1">IFERROR(__xludf.DUMMYFUNCTION("""COMPUTED_VALUE"""),333)</f>
        <v>333</v>
      </c>
      <c r="L31" s="1">
        <f ca="1">IFERROR(__xludf.DUMMYFUNCTION("""COMPUTED_VALUE"""),-0.052)</f>
        <v>-5.1999999999999998E-2</v>
      </c>
      <c r="M31" s="1">
        <f ca="1">IFERROR(__xludf.DUMMYFUNCTION("""COMPUTED_VALUE"""),299)</f>
        <v>299</v>
      </c>
      <c r="N31" s="1" t="str">
        <f ca="1">IFERROR(__xludf.DUMMYFUNCTION("""COMPUTED_VALUE"""),"+9.51")</f>
        <v>+9.51</v>
      </c>
      <c r="O31" s="1">
        <f ca="1">IFERROR(__xludf.DUMMYFUNCTION("""COMPUTED_VALUE"""),28)</f>
        <v>28</v>
      </c>
      <c r="P31" s="1">
        <f ca="1">IFERROR(__xludf.DUMMYFUNCTION("""COMPUTED_VALUE"""),107.3)</f>
        <v>107.3</v>
      </c>
      <c r="Q31" s="1">
        <f ca="1">IFERROR(__xludf.DUMMYFUNCTION("""COMPUTED_VALUE"""),44)</f>
        <v>44</v>
      </c>
      <c r="R31" s="1">
        <f ca="1">IFERROR(__xludf.DUMMYFUNCTION("""COMPUTED_VALUE"""),97.8)</f>
        <v>97.8</v>
      </c>
      <c r="S31" s="1">
        <f ca="1">IFERROR(__xludf.DUMMYFUNCTION("""COMPUTED_VALUE"""),9)</f>
        <v>9</v>
      </c>
      <c r="T31" s="1" t="str">
        <f ca="1">IFERROR(__xludf.DUMMYFUNCTION("""COMPUTED_VALUE"""),"+1.32")</f>
        <v>+1.32</v>
      </c>
      <c r="U31" s="1">
        <f ca="1">IFERROR(__xludf.DUMMYFUNCTION("""COMPUTED_VALUE"""),121)</f>
        <v>121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IFERROR(__xludf.DUMMYFUNCTION("""COMPUTED_VALUE"""),"California7")</f>
        <v>California7</v>
      </c>
      <c r="C32" s="1" t="str">
        <f ca="1">IFERROR(__xludf.DUMMYFUNCTION("""COMPUTED_VALUE"""),"P10")</f>
        <v>P10</v>
      </c>
      <c r="D32" s="1" t="str">
        <f ca="1">IFERROR(__xludf.DUMMYFUNCTION("""COMPUTED_VALUE"""),"22-11")</f>
        <v>22-11</v>
      </c>
      <c r="E32" s="1" t="str">
        <f ca="1">IFERROR(__xludf.DUMMYFUNCTION("""COMPUTED_VALUE"""),"+17.37")</f>
        <v>+17.37</v>
      </c>
      <c r="F32" s="1">
        <f ca="1">IFERROR(__xludf.DUMMYFUNCTION("""COMPUTED_VALUE"""),116.8)</f>
        <v>116.8</v>
      </c>
      <c r="G32" s="1">
        <f ca="1">IFERROR(__xludf.DUMMYFUNCTION("""COMPUTED_VALUE"""),11)</f>
        <v>11</v>
      </c>
      <c r="H32" s="1">
        <f ca="1">IFERROR(__xludf.DUMMYFUNCTION("""COMPUTED_VALUE"""),99.4)</f>
        <v>99.4</v>
      </c>
      <c r="I32" s="1">
        <f ca="1">IFERROR(__xludf.DUMMYFUNCTION("""COMPUTED_VALUE"""),96)</f>
        <v>96</v>
      </c>
      <c r="J32" s="1">
        <f ca="1">IFERROR(__xludf.DUMMYFUNCTION("""COMPUTED_VALUE"""),66)</f>
        <v>66</v>
      </c>
      <c r="K32" s="1">
        <f ca="1">IFERROR(__xludf.DUMMYFUNCTION("""COMPUTED_VALUE"""),140)</f>
        <v>140</v>
      </c>
      <c r="L32" s="1" t="str">
        <f ca="1">IFERROR(__xludf.DUMMYFUNCTION("""COMPUTED_VALUE"""),"+.001")</f>
        <v>+.001</v>
      </c>
      <c r="M32" s="1">
        <f ca="1">IFERROR(__xludf.DUMMYFUNCTION("""COMPUTED_VALUE"""),162)</f>
        <v>162</v>
      </c>
      <c r="N32" s="1" t="str">
        <f ca="1">IFERROR(__xludf.DUMMYFUNCTION("""COMPUTED_VALUE"""),"+9.17")</f>
        <v>+9.17</v>
      </c>
      <c r="O32" s="1">
        <f ca="1">IFERROR(__xludf.DUMMYFUNCTION("""COMPUTED_VALUE"""),33)</f>
        <v>33</v>
      </c>
      <c r="P32" s="1">
        <f ca="1">IFERROR(__xludf.DUMMYFUNCTION("""COMPUTED_VALUE"""),108)</f>
        <v>108</v>
      </c>
      <c r="Q32" s="1">
        <f ca="1">IFERROR(__xludf.DUMMYFUNCTION("""COMPUTED_VALUE"""),30)</f>
        <v>30</v>
      </c>
      <c r="R32" s="1">
        <f ca="1">IFERROR(__xludf.DUMMYFUNCTION("""COMPUTED_VALUE"""),98.8)</f>
        <v>98.8</v>
      </c>
      <c r="S32" s="1">
        <f ca="1">IFERROR(__xludf.DUMMYFUNCTION("""COMPUTED_VALUE"""),30)</f>
        <v>30</v>
      </c>
      <c r="T32" s="1">
        <f ca="1">IFERROR(__xludf.DUMMYFUNCTION("""COMPUTED_VALUE"""),-3.54)</f>
        <v>-3.54</v>
      </c>
      <c r="U32" s="1">
        <f ca="1">IFERROR(__xludf.DUMMYFUNCTION("""COMPUTED_VALUE"""),246)</f>
        <v>246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IFERROR(__xludf.DUMMYFUNCTION("""COMPUTED_VALUE"""),"Georgetown6")</f>
        <v>Georgetown6</v>
      </c>
      <c r="C33" s="1" t="str">
        <f ca="1">IFERROR(__xludf.DUMMYFUNCTION("""COMPUTED_VALUE"""),"BE")</f>
        <v>BE</v>
      </c>
      <c r="D33" s="1" t="str">
        <f ca="1">IFERROR(__xludf.DUMMYFUNCTION("""COMPUTED_VALUE"""),"16-15")</f>
        <v>16-15</v>
      </c>
      <c r="E33" s="1" t="str">
        <f ca="1">IFERROR(__xludf.DUMMYFUNCTION("""COMPUTED_VALUE"""),"+16.96")</f>
        <v>+16.96</v>
      </c>
      <c r="F33" s="1">
        <f ca="1">IFERROR(__xludf.DUMMYFUNCTION("""COMPUTED_VALUE"""),111.1)</f>
        <v>111.1</v>
      </c>
      <c r="G33" s="1">
        <f ca="1">IFERROR(__xludf.DUMMYFUNCTION("""COMPUTED_VALUE"""),51)</f>
        <v>51</v>
      </c>
      <c r="H33" s="1">
        <f ca="1">IFERROR(__xludf.DUMMYFUNCTION("""COMPUTED_VALUE"""),94.2)</f>
        <v>94.2</v>
      </c>
      <c r="I33" s="1">
        <f ca="1">IFERROR(__xludf.DUMMYFUNCTION("""COMPUTED_VALUE"""),36)</f>
        <v>36</v>
      </c>
      <c r="J33" s="1">
        <f ca="1">IFERROR(__xludf.DUMMYFUNCTION("""COMPUTED_VALUE"""),62.7)</f>
        <v>62.7</v>
      </c>
      <c r="K33" s="1">
        <f ca="1">IFERROR(__xludf.DUMMYFUNCTION("""COMPUTED_VALUE"""),277)</f>
        <v>277</v>
      </c>
      <c r="L33" s="1">
        <f ca="1">IFERROR(__xludf.DUMMYFUNCTION("""COMPUTED_VALUE"""),-0.106)</f>
        <v>-0.106</v>
      </c>
      <c r="M33" s="1">
        <f ca="1">IFERROR(__xludf.DUMMYFUNCTION("""COMPUTED_VALUE"""),340)</f>
        <v>340</v>
      </c>
      <c r="N33" s="1" t="str">
        <f ca="1">IFERROR(__xludf.DUMMYFUNCTION("""COMPUTED_VALUE"""),"+11.11")</f>
        <v>+11.11</v>
      </c>
      <c r="O33" s="1">
        <f ca="1">IFERROR(__xludf.DUMMYFUNCTION("""COMPUTED_VALUE"""),7)</f>
        <v>7</v>
      </c>
      <c r="P33" s="1">
        <f ca="1">IFERROR(__xludf.DUMMYFUNCTION("""COMPUTED_VALUE"""),108.7)</f>
        <v>108.7</v>
      </c>
      <c r="Q33" s="1">
        <f ca="1">IFERROR(__xludf.DUMMYFUNCTION("""COMPUTED_VALUE"""),16)</f>
        <v>16</v>
      </c>
      <c r="R33" s="1">
        <f ca="1">IFERROR(__xludf.DUMMYFUNCTION("""COMPUTED_VALUE"""),97.6)</f>
        <v>97.6</v>
      </c>
      <c r="S33" s="1">
        <f ca="1">IFERROR(__xludf.DUMMYFUNCTION("""COMPUTED_VALUE"""),5)</f>
        <v>5</v>
      </c>
      <c r="T33" s="1" t="str">
        <f ca="1">IFERROR(__xludf.DUMMYFUNCTION("""COMPUTED_VALUE"""),"+2.49")</f>
        <v>+2.49</v>
      </c>
      <c r="U33" s="1">
        <f ca="1">IFERROR(__xludf.DUMMYFUNCTION("""COMPUTED_VALUE"""),96)</f>
        <v>96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IFERROR(__xludf.DUMMYFUNCTION("""COMPUTED_VALUE"""),"Tennessee9")</f>
        <v>Tennessee9</v>
      </c>
      <c r="C34" s="1" t="str">
        <f ca="1">IFERROR(__xludf.DUMMYFUNCTION("""COMPUTED_VALUE"""),"SEC")</f>
        <v>SEC</v>
      </c>
      <c r="D34" s="1" t="str">
        <f ca="1">IFERROR(__xludf.DUMMYFUNCTION("""COMPUTED_VALUE"""),"21-13")</f>
        <v>21-13</v>
      </c>
      <c r="E34" s="1" t="str">
        <f ca="1">IFERROR(__xludf.DUMMYFUNCTION("""COMPUTED_VALUE"""),"+16.48")</f>
        <v>+16.48</v>
      </c>
      <c r="F34" s="1">
        <f ca="1">IFERROR(__xludf.DUMMYFUNCTION("""COMPUTED_VALUE"""),115.1)</f>
        <v>115.1</v>
      </c>
      <c r="G34" s="1">
        <f ca="1">IFERROR(__xludf.DUMMYFUNCTION("""COMPUTED_VALUE"""),20)</f>
        <v>20</v>
      </c>
      <c r="H34" s="1">
        <f ca="1">IFERROR(__xludf.DUMMYFUNCTION("""COMPUTED_VALUE"""),98.7)</f>
        <v>98.7</v>
      </c>
      <c r="I34" s="1">
        <f ca="1">IFERROR(__xludf.DUMMYFUNCTION("""COMPUTED_VALUE"""),83)</f>
        <v>83</v>
      </c>
      <c r="J34" s="1">
        <f ca="1">IFERROR(__xludf.DUMMYFUNCTION("""COMPUTED_VALUE"""),67.7)</f>
        <v>67.7</v>
      </c>
      <c r="K34" s="1">
        <f ca="1">IFERROR(__xludf.DUMMYFUNCTION("""COMPUTED_VALUE"""),72)</f>
        <v>72</v>
      </c>
      <c r="L34" s="1">
        <f ca="1">IFERROR(__xludf.DUMMYFUNCTION("""COMPUTED_VALUE"""),-0.032)</f>
        <v>-3.2000000000000001E-2</v>
      </c>
      <c r="M34" s="1">
        <f ca="1">IFERROR(__xludf.DUMMYFUNCTION("""COMPUTED_VALUE"""),261)</f>
        <v>261</v>
      </c>
      <c r="N34" s="1" t="str">
        <f ca="1">IFERROR(__xludf.DUMMYFUNCTION("""COMPUTED_VALUE"""),"+9.40")</f>
        <v>+9.40</v>
      </c>
      <c r="O34" s="1">
        <f ca="1">IFERROR(__xludf.DUMMYFUNCTION("""COMPUTED_VALUE"""),31)</f>
        <v>31</v>
      </c>
      <c r="P34" s="1">
        <f ca="1">IFERROR(__xludf.DUMMYFUNCTION("""COMPUTED_VALUE"""),107.9)</f>
        <v>107.9</v>
      </c>
      <c r="Q34" s="1">
        <f ca="1">IFERROR(__xludf.DUMMYFUNCTION("""COMPUTED_VALUE"""),31)</f>
        <v>31</v>
      </c>
      <c r="R34" s="1">
        <f ca="1">IFERROR(__xludf.DUMMYFUNCTION("""COMPUTED_VALUE"""),98.5)</f>
        <v>98.5</v>
      </c>
      <c r="S34" s="1">
        <f ca="1">IFERROR(__xludf.DUMMYFUNCTION("""COMPUTED_VALUE"""),21)</f>
        <v>21</v>
      </c>
      <c r="T34" s="1" t="str">
        <f ca="1">IFERROR(__xludf.DUMMYFUNCTION("""COMPUTED_VALUE"""),"+9.15")</f>
        <v>+9.15</v>
      </c>
      <c r="U34" s="1">
        <f ca="1">IFERROR(__xludf.DUMMYFUNCTION("""COMPUTED_VALUE"""),21)</f>
        <v>21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IFERROR(__xludf.DUMMYFUNCTION("""COMPUTED_VALUE"""),"Baylor3")</f>
        <v>Baylor3</v>
      </c>
      <c r="C35" s="1" t="str">
        <f ca="1">IFERROR(__xludf.DUMMYFUNCTION("""COMPUTED_VALUE"""),"B12")</f>
        <v>B12</v>
      </c>
      <c r="D35" s="1" t="str">
        <f ca="1">IFERROR(__xludf.DUMMYFUNCTION("""COMPUTED_VALUE"""),"24-15")</f>
        <v>24-15</v>
      </c>
      <c r="E35" s="1" t="str">
        <f ca="1">IFERROR(__xludf.DUMMYFUNCTION("""COMPUTED_VALUE"""),"+16.38")</f>
        <v>+16.38</v>
      </c>
      <c r="F35" s="1">
        <f ca="1">IFERROR(__xludf.DUMMYFUNCTION("""COMPUTED_VALUE"""),116.5)</f>
        <v>116.5</v>
      </c>
      <c r="G35" s="1">
        <f ca="1">IFERROR(__xludf.DUMMYFUNCTION("""COMPUTED_VALUE"""),14)</f>
        <v>14</v>
      </c>
      <c r="H35" s="1">
        <f ca="1">IFERROR(__xludf.DUMMYFUNCTION("""COMPUTED_VALUE"""),100.1)</f>
        <v>100.1</v>
      </c>
      <c r="I35" s="1">
        <f ca="1">IFERROR(__xludf.DUMMYFUNCTION("""COMPUTED_VALUE"""),115)</f>
        <v>115</v>
      </c>
      <c r="J35" s="1">
        <f ca="1">IFERROR(__xludf.DUMMYFUNCTION("""COMPUTED_VALUE"""),65.8)</f>
        <v>65.8</v>
      </c>
      <c r="K35" s="1">
        <f ca="1">IFERROR(__xludf.DUMMYFUNCTION("""COMPUTED_VALUE"""),152)</f>
        <v>152</v>
      </c>
      <c r="L35" s="1">
        <f ca="1">IFERROR(__xludf.DUMMYFUNCTION("""COMPUTED_VALUE"""),-0.017)</f>
        <v>-1.7000000000000001E-2</v>
      </c>
      <c r="M35" s="1">
        <f ca="1">IFERROR(__xludf.DUMMYFUNCTION("""COMPUTED_VALUE"""),219)</f>
        <v>219</v>
      </c>
      <c r="N35" s="1" t="str">
        <f ca="1">IFERROR(__xludf.DUMMYFUNCTION("""COMPUTED_VALUE"""),"+10.57")</f>
        <v>+10.57</v>
      </c>
      <c r="O35" s="1">
        <f ca="1">IFERROR(__xludf.DUMMYFUNCTION("""COMPUTED_VALUE"""),11)</f>
        <v>11</v>
      </c>
      <c r="P35" s="1">
        <f ca="1">IFERROR(__xludf.DUMMYFUNCTION("""COMPUTED_VALUE"""),108.6)</f>
        <v>108.6</v>
      </c>
      <c r="Q35" s="1">
        <f ca="1">IFERROR(__xludf.DUMMYFUNCTION("""COMPUTED_VALUE"""),18)</f>
        <v>18</v>
      </c>
      <c r="R35" s="1">
        <f ca="1">IFERROR(__xludf.DUMMYFUNCTION("""COMPUTED_VALUE"""),98)</f>
        <v>98</v>
      </c>
      <c r="S35" s="1">
        <f ca="1">IFERROR(__xludf.DUMMYFUNCTION("""COMPUTED_VALUE"""),11)</f>
        <v>11</v>
      </c>
      <c r="T35" s="1">
        <f ca="1">IFERROR(__xludf.DUMMYFUNCTION("""COMPUTED_VALUE"""),-2.35)</f>
        <v>-2.35</v>
      </c>
      <c r="U35" s="1">
        <f ca="1">IFERROR(__xludf.DUMMYFUNCTION("""COMPUTED_VALUE"""),218)</f>
        <v>218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IFERROR(__xludf.DUMMYFUNCTION("""COMPUTED_VALUE"""),"Ohio St.8")</f>
        <v>Ohio St.8</v>
      </c>
      <c r="C36" s="1" t="str">
        <f ca="1">IFERROR(__xludf.DUMMYFUNCTION("""COMPUTED_VALUE"""),"B10")</f>
        <v>B10</v>
      </c>
      <c r="D36" s="1" t="str">
        <f ca="1">IFERROR(__xludf.DUMMYFUNCTION("""COMPUTED_VALUE"""),"22-11")</f>
        <v>22-11</v>
      </c>
      <c r="E36" s="1" t="str">
        <f ca="1">IFERROR(__xludf.DUMMYFUNCTION("""COMPUTED_VALUE"""),"+16.34")</f>
        <v>+16.34</v>
      </c>
      <c r="F36" s="1">
        <f ca="1">IFERROR(__xludf.DUMMYFUNCTION("""COMPUTED_VALUE"""),113.3)</f>
        <v>113.3</v>
      </c>
      <c r="G36" s="1">
        <f ca="1">IFERROR(__xludf.DUMMYFUNCTION("""COMPUTED_VALUE"""),32)</f>
        <v>32</v>
      </c>
      <c r="H36" s="1">
        <f ca="1">IFERROR(__xludf.DUMMYFUNCTION("""COMPUTED_VALUE"""),96.9)</f>
        <v>96.9</v>
      </c>
      <c r="I36" s="1">
        <f ca="1">IFERROR(__xludf.DUMMYFUNCTION("""COMPUTED_VALUE"""),63)</f>
        <v>63</v>
      </c>
      <c r="J36" s="1">
        <f ca="1">IFERROR(__xludf.DUMMYFUNCTION("""COMPUTED_VALUE"""),62.5)</f>
        <v>62.5</v>
      </c>
      <c r="K36" s="1">
        <f ca="1">IFERROR(__xludf.DUMMYFUNCTION("""COMPUTED_VALUE"""),284)</f>
        <v>284</v>
      </c>
      <c r="L36" s="1" t="str">
        <f ca="1">IFERROR(__xludf.DUMMYFUNCTION("""COMPUTED_VALUE"""),"+.042")</f>
        <v>+.042</v>
      </c>
      <c r="M36" s="1">
        <f ca="1">IFERROR(__xludf.DUMMYFUNCTION("""COMPUTED_VALUE"""),67)</f>
        <v>67</v>
      </c>
      <c r="N36" s="1" t="str">
        <f ca="1">IFERROR(__xludf.DUMMYFUNCTION("""COMPUTED_VALUE"""),"+9.46")</f>
        <v>+9.46</v>
      </c>
      <c r="O36" s="1">
        <f ca="1">IFERROR(__xludf.DUMMYFUNCTION("""COMPUTED_VALUE"""),30)</f>
        <v>30</v>
      </c>
      <c r="P36" s="1">
        <f ca="1">IFERROR(__xludf.DUMMYFUNCTION("""COMPUTED_VALUE"""),107.7)</f>
        <v>107.7</v>
      </c>
      <c r="Q36" s="1">
        <f ca="1">IFERROR(__xludf.DUMMYFUNCTION("""COMPUTED_VALUE"""),36)</f>
        <v>36</v>
      </c>
      <c r="R36" s="1">
        <f ca="1">IFERROR(__xludf.DUMMYFUNCTION("""COMPUTED_VALUE"""),98.2)</f>
        <v>98.2</v>
      </c>
      <c r="S36" s="1">
        <f ca="1">IFERROR(__xludf.DUMMYFUNCTION("""COMPUTED_VALUE"""),14)</f>
        <v>14</v>
      </c>
      <c r="T36" s="1">
        <f ca="1">IFERROR(__xludf.DUMMYFUNCTION("""COMPUTED_VALUE"""),-3.41)</f>
        <v>-3.41</v>
      </c>
      <c r="U36" s="1">
        <f ca="1">IFERROR(__xludf.DUMMYFUNCTION("""COMPUTED_VALUE"""),241)</f>
        <v>241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IFERROR(__xludf.DUMMYFUNCTION("""COMPUTED_VALUE"""),"Florida1")</f>
        <v>Florida1</v>
      </c>
      <c r="C37" s="1" t="str">
        <f ca="1">IFERROR(__xludf.DUMMYFUNCTION("""COMPUTED_VALUE"""),"SEC")</f>
        <v>SEC</v>
      </c>
      <c r="D37" s="1" t="str">
        <f ca="1">IFERROR(__xludf.DUMMYFUNCTION("""COMPUTED_VALUE"""),"25-11")</f>
        <v>25-11</v>
      </c>
      <c r="E37" s="1" t="str">
        <f ca="1">IFERROR(__xludf.DUMMYFUNCTION("""COMPUTED_VALUE"""),"+16.16")</f>
        <v>+16.16</v>
      </c>
      <c r="F37" s="1">
        <f ca="1">IFERROR(__xludf.DUMMYFUNCTION("""COMPUTED_VALUE"""),115.1)</f>
        <v>115.1</v>
      </c>
      <c r="G37" s="1">
        <f ca="1">IFERROR(__xludf.DUMMYFUNCTION("""COMPUTED_VALUE"""),21)</f>
        <v>21</v>
      </c>
      <c r="H37" s="1">
        <f ca="1">IFERROR(__xludf.DUMMYFUNCTION("""COMPUTED_VALUE"""),98.9)</f>
        <v>98.9</v>
      </c>
      <c r="I37" s="1">
        <f ca="1">IFERROR(__xludf.DUMMYFUNCTION("""COMPUTED_VALUE"""),88)</f>
        <v>88</v>
      </c>
      <c r="J37" s="1">
        <f ca="1">IFERROR(__xludf.DUMMYFUNCTION("""COMPUTED_VALUE"""),65.8)</f>
        <v>65.8</v>
      </c>
      <c r="K37" s="1">
        <f ca="1">IFERROR(__xludf.DUMMYFUNCTION("""COMPUTED_VALUE"""),151)</f>
        <v>151</v>
      </c>
      <c r="L37" s="1">
        <f ca="1">IFERROR(__xludf.DUMMYFUNCTION("""COMPUTED_VALUE"""),-0.076)</f>
        <v>-7.5999999999999998E-2</v>
      </c>
      <c r="M37" s="1">
        <f ca="1">IFERROR(__xludf.DUMMYFUNCTION("""COMPUTED_VALUE"""),326)</f>
        <v>326</v>
      </c>
      <c r="N37" s="1" t="str">
        <f ca="1">IFERROR(__xludf.DUMMYFUNCTION("""COMPUTED_VALUE"""),"+2.61")</f>
        <v>+2.61</v>
      </c>
      <c r="O37" s="1">
        <f ca="1">IFERROR(__xludf.DUMMYFUNCTION("""COMPUTED_VALUE"""),104)</f>
        <v>104</v>
      </c>
      <c r="P37" s="1">
        <f ca="1">IFERROR(__xludf.DUMMYFUNCTION("""COMPUTED_VALUE"""),104)</f>
        <v>104</v>
      </c>
      <c r="Q37" s="1">
        <f ca="1">IFERROR(__xludf.DUMMYFUNCTION("""COMPUTED_VALUE"""),122)</f>
        <v>122</v>
      </c>
      <c r="R37" s="1">
        <f ca="1">IFERROR(__xludf.DUMMYFUNCTION("""COMPUTED_VALUE"""),101.4)</f>
        <v>101.4</v>
      </c>
      <c r="S37" s="1">
        <f ca="1">IFERROR(__xludf.DUMMYFUNCTION("""COMPUTED_VALUE"""),104)</f>
        <v>104</v>
      </c>
      <c r="T37" s="1">
        <f ca="1">IFERROR(__xludf.DUMMYFUNCTION("""COMPUTED_VALUE"""),-8.15)</f>
        <v>-8.15</v>
      </c>
      <c r="U37" s="1">
        <f ca="1">IFERROR(__xludf.DUMMYFUNCTION("""COMPUTED_VALUE"""),321)</f>
        <v>321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IFERROR(__xludf.DUMMYFUNCTION("""COMPUTED_VALUE"""),"San Diego St.1")</f>
        <v>San Diego St.1</v>
      </c>
      <c r="C38" s="1" t="str">
        <f ca="1">IFERROR(__xludf.DUMMYFUNCTION("""COMPUTED_VALUE"""),"MWC")</f>
        <v>MWC</v>
      </c>
      <c r="D38" s="1" t="str">
        <f ca="1">IFERROR(__xludf.DUMMYFUNCTION("""COMPUTED_VALUE"""),"26-10")</f>
        <v>26-10</v>
      </c>
      <c r="E38" s="1" t="str">
        <f ca="1">IFERROR(__xludf.DUMMYFUNCTION("""COMPUTED_VALUE"""),"+16.05")</f>
        <v>+16.05</v>
      </c>
      <c r="F38" s="1">
        <f ca="1">IFERROR(__xludf.DUMMYFUNCTION("""COMPUTED_VALUE"""),109.4)</f>
        <v>109.4</v>
      </c>
      <c r="G38" s="1">
        <f ca="1">IFERROR(__xludf.DUMMYFUNCTION("""COMPUTED_VALUE"""),71)</f>
        <v>71</v>
      </c>
      <c r="H38" s="1">
        <f ca="1">IFERROR(__xludf.DUMMYFUNCTION("""COMPUTED_VALUE"""),93.3)</f>
        <v>93.3</v>
      </c>
      <c r="I38" s="1">
        <f ca="1">IFERROR(__xludf.DUMMYFUNCTION("""COMPUTED_VALUE"""),30)</f>
        <v>30</v>
      </c>
      <c r="J38" s="1">
        <f ca="1">IFERROR(__xludf.DUMMYFUNCTION("""COMPUTED_VALUE"""),61.8)</f>
        <v>61.8</v>
      </c>
      <c r="K38" s="1">
        <f ca="1">IFERROR(__xludf.DUMMYFUNCTION("""COMPUTED_VALUE"""),305)</f>
        <v>305</v>
      </c>
      <c r="L38" s="1" t="str">
        <f ca="1">IFERROR(__xludf.DUMMYFUNCTION("""COMPUTED_VALUE"""),"+.020")</f>
        <v>+.020</v>
      </c>
      <c r="M38" s="1">
        <f ca="1">IFERROR(__xludf.DUMMYFUNCTION("""COMPUTED_VALUE"""),117)</f>
        <v>117</v>
      </c>
      <c r="N38" s="1" t="str">
        <f ca="1">IFERROR(__xludf.DUMMYFUNCTION("""COMPUTED_VALUE"""),"+5.59")</f>
        <v>+5.59</v>
      </c>
      <c r="O38" s="1">
        <f ca="1">IFERROR(__xludf.DUMMYFUNCTION("""COMPUTED_VALUE"""),66)</f>
        <v>66</v>
      </c>
      <c r="P38" s="1">
        <f ca="1">IFERROR(__xludf.DUMMYFUNCTION("""COMPUTED_VALUE"""),105.6)</f>
        <v>105.6</v>
      </c>
      <c r="Q38" s="1">
        <f ca="1">IFERROR(__xludf.DUMMYFUNCTION("""COMPUTED_VALUE"""),70)</f>
        <v>70</v>
      </c>
      <c r="R38" s="1">
        <f ca="1">IFERROR(__xludf.DUMMYFUNCTION("""COMPUTED_VALUE"""),100)</f>
        <v>100</v>
      </c>
      <c r="S38" s="1">
        <f ca="1">IFERROR(__xludf.DUMMYFUNCTION("""COMPUTED_VALUE"""),61)</f>
        <v>61</v>
      </c>
      <c r="T38" s="1">
        <f ca="1">IFERROR(__xludf.DUMMYFUNCTION("""COMPUTED_VALUE"""),-1.71)</f>
        <v>-1.71</v>
      </c>
      <c r="U38" s="1">
        <f ca="1">IFERROR(__xludf.DUMMYFUNCTION("""COMPUTED_VALUE"""),201)</f>
        <v>201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IFERROR(__xludf.DUMMYFUNCTION("""COMPUTED_VALUE"""),"Arizona12")</f>
        <v>Arizona12</v>
      </c>
      <c r="C39" s="1" t="str">
        <f ca="1">IFERROR(__xludf.DUMMYFUNCTION("""COMPUTED_VALUE"""),"P10")</f>
        <v>P10</v>
      </c>
      <c r="D39" s="1" t="str">
        <f ca="1">IFERROR(__xludf.DUMMYFUNCTION("""COMPUTED_VALUE"""),"21-14")</f>
        <v>21-14</v>
      </c>
      <c r="E39" s="1" t="str">
        <f ca="1">IFERROR(__xludf.DUMMYFUNCTION("""COMPUTED_VALUE"""),"+15.96")</f>
        <v>+15.96</v>
      </c>
      <c r="F39" s="1">
        <f ca="1">IFERROR(__xludf.DUMMYFUNCTION("""COMPUTED_VALUE"""),117.7)</f>
        <v>117.7</v>
      </c>
      <c r="G39" s="1">
        <f ca="1">IFERROR(__xludf.DUMMYFUNCTION("""COMPUTED_VALUE"""),6)</f>
        <v>6</v>
      </c>
      <c r="H39" s="1">
        <f ca="1">IFERROR(__xludf.DUMMYFUNCTION("""COMPUTED_VALUE"""),101.8)</f>
        <v>101.8</v>
      </c>
      <c r="I39" s="1">
        <f ca="1">IFERROR(__xludf.DUMMYFUNCTION("""COMPUTED_VALUE"""),147)</f>
        <v>147</v>
      </c>
      <c r="J39" s="1">
        <f ca="1">IFERROR(__xludf.DUMMYFUNCTION("""COMPUTED_VALUE"""),64.9)</f>
        <v>64.900000000000006</v>
      </c>
      <c r="K39" s="1">
        <f ca="1">IFERROR(__xludf.DUMMYFUNCTION("""COMPUTED_VALUE"""),187)</f>
        <v>187</v>
      </c>
      <c r="L39" s="1" t="str">
        <f ca="1">IFERROR(__xludf.DUMMYFUNCTION("""COMPUTED_VALUE"""),"+.018")</f>
        <v>+.018</v>
      </c>
      <c r="M39" s="1">
        <f ca="1">IFERROR(__xludf.DUMMYFUNCTION("""COMPUTED_VALUE"""),119)</f>
        <v>119</v>
      </c>
      <c r="N39" s="1" t="str">
        <f ca="1">IFERROR(__xludf.DUMMYFUNCTION("""COMPUTED_VALUE"""),"+11.33")</f>
        <v>+11.33</v>
      </c>
      <c r="O39" s="1">
        <f ca="1">IFERROR(__xludf.DUMMYFUNCTION("""COMPUTED_VALUE"""),6)</f>
        <v>6</v>
      </c>
      <c r="P39" s="1">
        <f ca="1">IFERROR(__xludf.DUMMYFUNCTION("""COMPUTED_VALUE"""),109)</f>
        <v>109</v>
      </c>
      <c r="Q39" s="1">
        <f ca="1">IFERROR(__xludf.DUMMYFUNCTION("""COMPUTED_VALUE"""),10)</f>
        <v>10</v>
      </c>
      <c r="R39" s="1">
        <f ca="1">IFERROR(__xludf.DUMMYFUNCTION("""COMPUTED_VALUE"""),97.7)</f>
        <v>97.7</v>
      </c>
      <c r="S39" s="1">
        <f ca="1">IFERROR(__xludf.DUMMYFUNCTION("""COMPUTED_VALUE"""),8)</f>
        <v>8</v>
      </c>
      <c r="T39" s="1" t="str">
        <f ca="1">IFERROR(__xludf.DUMMYFUNCTION("""COMPUTED_VALUE"""),"+2.34")</f>
        <v>+2.34</v>
      </c>
      <c r="U39" s="1">
        <f ca="1">IFERROR(__xludf.DUMMYFUNCTION("""COMPUTED_VALUE"""),100)</f>
        <v>100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IFERROR(__xludf.DUMMYFUNCTION("""COMPUTED_VALUE"""),"Butler9")</f>
        <v>Butler9</v>
      </c>
      <c r="C40" s="1" t="str">
        <f ca="1">IFERROR(__xludf.DUMMYFUNCTION("""COMPUTED_VALUE"""),"Horz")</f>
        <v>Horz</v>
      </c>
      <c r="D40" s="1" t="str">
        <f ca="1">IFERROR(__xludf.DUMMYFUNCTION("""COMPUTED_VALUE"""),"26-6")</f>
        <v>26-6</v>
      </c>
      <c r="E40" s="1" t="str">
        <f ca="1">IFERROR(__xludf.DUMMYFUNCTION("""COMPUTED_VALUE"""),"+15.78")</f>
        <v>+15.78</v>
      </c>
      <c r="F40" s="1">
        <f ca="1">IFERROR(__xludf.DUMMYFUNCTION("""COMPUTED_VALUE"""),110.3)</f>
        <v>110.3</v>
      </c>
      <c r="G40" s="1">
        <f ca="1">IFERROR(__xludf.DUMMYFUNCTION("""COMPUTED_VALUE"""),62)</f>
        <v>62</v>
      </c>
      <c r="H40" s="1">
        <f ca="1">IFERROR(__xludf.DUMMYFUNCTION("""COMPUTED_VALUE"""),94.5)</f>
        <v>94.5</v>
      </c>
      <c r="I40" s="1">
        <f ca="1">IFERROR(__xludf.DUMMYFUNCTION("""COMPUTED_VALUE"""),38)</f>
        <v>38</v>
      </c>
      <c r="J40" s="1">
        <f ca="1">IFERROR(__xludf.DUMMYFUNCTION("""COMPUTED_VALUE"""),62.8)</f>
        <v>62.8</v>
      </c>
      <c r="K40" s="1">
        <f ca="1">IFERROR(__xludf.DUMMYFUNCTION("""COMPUTED_VALUE"""),274)</f>
        <v>274</v>
      </c>
      <c r="L40" s="1">
        <f ca="1">IFERROR(__xludf.DUMMYFUNCTION("""COMPUTED_VALUE"""),-0.014)</f>
        <v>-1.4E-2</v>
      </c>
      <c r="M40" s="1">
        <f ca="1">IFERROR(__xludf.DUMMYFUNCTION("""COMPUTED_VALUE"""),206)</f>
        <v>206</v>
      </c>
      <c r="N40" s="1" t="str">
        <f ca="1">IFERROR(__xludf.DUMMYFUNCTION("""COMPUTED_VALUE"""),"+2.51")</f>
        <v>+2.51</v>
      </c>
      <c r="O40" s="1">
        <f ca="1">IFERROR(__xludf.DUMMYFUNCTION("""COMPUTED_VALUE"""),105)</f>
        <v>105</v>
      </c>
      <c r="P40" s="1">
        <f ca="1">IFERROR(__xludf.DUMMYFUNCTION("""COMPUTED_VALUE"""),103)</f>
        <v>103</v>
      </c>
      <c r="Q40" s="1">
        <f ca="1">IFERROR(__xludf.DUMMYFUNCTION("""COMPUTED_VALUE"""),159)</f>
        <v>159</v>
      </c>
      <c r="R40" s="1">
        <f ca="1">IFERROR(__xludf.DUMMYFUNCTION("""COMPUTED_VALUE"""),100.5)</f>
        <v>100.5</v>
      </c>
      <c r="S40" s="1">
        <f ca="1">IFERROR(__xludf.DUMMYFUNCTION("""COMPUTED_VALUE"""),73)</f>
        <v>73</v>
      </c>
      <c r="T40" s="1" t="str">
        <f ca="1">IFERROR(__xludf.DUMMYFUNCTION("""COMPUTED_VALUE"""),"+6.15")</f>
        <v>+6.15</v>
      </c>
      <c r="U40" s="1">
        <f ca="1">IFERROR(__xludf.DUMMYFUNCTION("""COMPUTED_VALUE"""),39)</f>
        <v>39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IFERROR(__xludf.DUMMYFUNCTION("""COMPUTED_VALUE"""),"Florida St.5")</f>
        <v>Florida St.5</v>
      </c>
      <c r="C41" s="1" t="str">
        <f ca="1">IFERROR(__xludf.DUMMYFUNCTION("""COMPUTED_VALUE"""),"ACC")</f>
        <v>ACC</v>
      </c>
      <c r="D41" s="1" t="str">
        <f ca="1">IFERROR(__xludf.DUMMYFUNCTION("""COMPUTED_VALUE"""),"25-10")</f>
        <v>25-10</v>
      </c>
      <c r="E41" s="1" t="str">
        <f ca="1">IFERROR(__xludf.DUMMYFUNCTION("""COMPUTED_VALUE"""),"+15.76")</f>
        <v>+15.76</v>
      </c>
      <c r="F41" s="1">
        <f ca="1">IFERROR(__xludf.DUMMYFUNCTION("""COMPUTED_VALUE"""),105.9)</f>
        <v>105.9</v>
      </c>
      <c r="G41" s="1">
        <f ca="1">IFERROR(__xludf.DUMMYFUNCTION("""COMPUTED_VALUE"""),116)</f>
        <v>116</v>
      </c>
      <c r="H41" s="1">
        <f ca="1">IFERROR(__xludf.DUMMYFUNCTION("""COMPUTED_VALUE"""),90.1)</f>
        <v>90.1</v>
      </c>
      <c r="I41" s="1">
        <f ca="1">IFERROR(__xludf.DUMMYFUNCTION("""COMPUTED_VALUE"""),7)</f>
        <v>7</v>
      </c>
      <c r="J41" s="1">
        <f ca="1">IFERROR(__xludf.DUMMYFUNCTION("""COMPUTED_VALUE"""),65.9)</f>
        <v>65.900000000000006</v>
      </c>
      <c r="K41" s="1">
        <f ca="1">IFERROR(__xludf.DUMMYFUNCTION("""COMPUTED_VALUE"""),148)</f>
        <v>148</v>
      </c>
      <c r="L41" s="1" t="str">
        <f ca="1">IFERROR(__xludf.DUMMYFUNCTION("""COMPUTED_VALUE"""),"+.066")</f>
        <v>+.066</v>
      </c>
      <c r="M41" s="1">
        <f ca="1">IFERROR(__xludf.DUMMYFUNCTION("""COMPUTED_VALUE"""),28)</f>
        <v>28</v>
      </c>
      <c r="N41" s="1" t="str">
        <f ca="1">IFERROR(__xludf.DUMMYFUNCTION("""COMPUTED_VALUE"""),"+10.01")</f>
        <v>+10.01</v>
      </c>
      <c r="O41" s="1">
        <f ca="1">IFERROR(__xludf.DUMMYFUNCTION("""COMPUTED_VALUE"""),21)</f>
        <v>21</v>
      </c>
      <c r="P41" s="1">
        <f ca="1">IFERROR(__xludf.DUMMYFUNCTION("""COMPUTED_VALUE"""),109.2)</f>
        <v>109.2</v>
      </c>
      <c r="Q41" s="1">
        <f ca="1">IFERROR(__xludf.DUMMYFUNCTION("""COMPUTED_VALUE"""),6)</f>
        <v>6</v>
      </c>
      <c r="R41" s="1">
        <f ca="1">IFERROR(__xludf.DUMMYFUNCTION("""COMPUTED_VALUE"""),99.2)</f>
        <v>99.2</v>
      </c>
      <c r="S41" s="1">
        <f ca="1">IFERROR(__xludf.DUMMYFUNCTION("""COMPUTED_VALUE"""),42)</f>
        <v>42</v>
      </c>
      <c r="T41" s="1" t="str">
        <f ca="1">IFERROR(__xludf.DUMMYFUNCTION("""COMPUTED_VALUE"""),"+0.60")</f>
        <v>+0.60</v>
      </c>
      <c r="U41" s="1">
        <f ca="1">IFERROR(__xludf.DUMMYFUNCTION("""COMPUTED_VALUE"""),140)</f>
        <v>140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IFERROR(__xludf.DUMMYFUNCTION("""COMPUTED_VALUE"""),"Minnesota10")</f>
        <v>Minnesota10</v>
      </c>
      <c r="C42" s="1" t="str">
        <f ca="1">IFERROR(__xludf.DUMMYFUNCTION("""COMPUTED_VALUE"""),"B10")</f>
        <v>B10</v>
      </c>
      <c r="D42" s="1" t="str">
        <f ca="1">IFERROR(__xludf.DUMMYFUNCTION("""COMPUTED_VALUE"""),"22-11")</f>
        <v>22-11</v>
      </c>
      <c r="E42" s="1" t="str">
        <f ca="1">IFERROR(__xludf.DUMMYFUNCTION("""COMPUTED_VALUE"""),"+15.43")</f>
        <v>+15.43</v>
      </c>
      <c r="F42" s="1">
        <f ca="1">IFERROR(__xludf.DUMMYFUNCTION("""COMPUTED_VALUE"""),108.1)</f>
        <v>108.1</v>
      </c>
      <c r="G42" s="1">
        <f ca="1">IFERROR(__xludf.DUMMYFUNCTION("""COMPUTED_VALUE"""),90)</f>
        <v>90</v>
      </c>
      <c r="H42" s="1">
        <f ca="1">IFERROR(__xludf.DUMMYFUNCTION("""COMPUTED_VALUE"""),92.6)</f>
        <v>92.6</v>
      </c>
      <c r="I42" s="1">
        <f ca="1">IFERROR(__xludf.DUMMYFUNCTION("""COMPUTED_VALUE"""),21)</f>
        <v>21</v>
      </c>
      <c r="J42" s="1">
        <f ca="1">IFERROR(__xludf.DUMMYFUNCTION("""COMPUTED_VALUE"""),64.5)</f>
        <v>64.5</v>
      </c>
      <c r="K42" s="1">
        <f ca="1">IFERROR(__xludf.DUMMYFUNCTION("""COMPUTED_VALUE"""),211)</f>
        <v>211</v>
      </c>
      <c r="L42" s="1" t="str">
        <f ca="1">IFERROR(__xludf.DUMMYFUNCTION("""COMPUTED_VALUE"""),"+.031")</f>
        <v>+.031</v>
      </c>
      <c r="M42" s="1">
        <f ca="1">IFERROR(__xludf.DUMMYFUNCTION("""COMPUTED_VALUE"""),89)</f>
        <v>89</v>
      </c>
      <c r="N42" s="1" t="str">
        <f ca="1">IFERROR(__xludf.DUMMYFUNCTION("""COMPUTED_VALUE"""),"+8.44")</f>
        <v>+8.44</v>
      </c>
      <c r="O42" s="1">
        <f ca="1">IFERROR(__xludf.DUMMYFUNCTION("""COMPUTED_VALUE"""),38)</f>
        <v>38</v>
      </c>
      <c r="P42" s="1">
        <f ca="1">IFERROR(__xludf.DUMMYFUNCTION("""COMPUTED_VALUE"""),107.4)</f>
        <v>107.4</v>
      </c>
      <c r="Q42" s="1">
        <f ca="1">IFERROR(__xludf.DUMMYFUNCTION("""COMPUTED_VALUE"""),43)</f>
        <v>43</v>
      </c>
      <c r="R42" s="1">
        <f ca="1">IFERROR(__xludf.DUMMYFUNCTION("""COMPUTED_VALUE"""),98.9)</f>
        <v>98.9</v>
      </c>
      <c r="S42" s="1">
        <f ca="1">IFERROR(__xludf.DUMMYFUNCTION("""COMPUTED_VALUE"""),33)</f>
        <v>33</v>
      </c>
      <c r="T42" s="1">
        <f ca="1">IFERROR(__xludf.DUMMYFUNCTION("""COMPUTED_VALUE"""),-4.18)</f>
        <v>-4.18</v>
      </c>
      <c r="U42" s="1">
        <f ca="1">IFERROR(__xludf.DUMMYFUNCTION("""COMPUTED_VALUE"""),257)</f>
        <v>257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IFERROR(__xludf.DUMMYFUNCTION("""COMPUTED_VALUE"""),"Notre Dame2")</f>
        <v>Notre Dame2</v>
      </c>
      <c r="C45" s="1" t="str">
        <f ca="1">IFERROR(__xludf.DUMMYFUNCTION("""COMPUTED_VALUE"""),"BE")</f>
        <v>BE</v>
      </c>
      <c r="D45" s="1" t="str">
        <f ca="1">IFERROR(__xludf.DUMMYFUNCTION("""COMPUTED_VALUE"""),"21-15")</f>
        <v>21-15</v>
      </c>
      <c r="E45" s="1" t="str">
        <f ca="1">IFERROR(__xludf.DUMMYFUNCTION("""COMPUTED_VALUE"""),"+15.38")</f>
        <v>+15.38</v>
      </c>
      <c r="F45" s="1">
        <f ca="1">IFERROR(__xludf.DUMMYFUNCTION("""COMPUTED_VALUE"""),115)</f>
        <v>115</v>
      </c>
      <c r="G45" s="1">
        <f ca="1">IFERROR(__xludf.DUMMYFUNCTION("""COMPUTED_VALUE"""),22)</f>
        <v>22</v>
      </c>
      <c r="H45" s="1">
        <f ca="1">IFERROR(__xludf.DUMMYFUNCTION("""COMPUTED_VALUE"""),99.6)</f>
        <v>99.6</v>
      </c>
      <c r="I45" s="1">
        <f ca="1">IFERROR(__xludf.DUMMYFUNCTION("""COMPUTED_VALUE"""),100)</f>
        <v>100</v>
      </c>
      <c r="J45" s="1">
        <f ca="1">IFERROR(__xludf.DUMMYFUNCTION("""COMPUTED_VALUE"""),67.2)</f>
        <v>67.2</v>
      </c>
      <c r="K45" s="1">
        <f ca="1">IFERROR(__xludf.DUMMYFUNCTION("""COMPUTED_VALUE"""),94)</f>
        <v>94</v>
      </c>
      <c r="L45" s="1">
        <f ca="1">IFERROR(__xludf.DUMMYFUNCTION("""COMPUTED_VALUE"""),-0.034)</f>
        <v>-3.4000000000000002E-2</v>
      </c>
      <c r="M45" s="1">
        <f ca="1">IFERROR(__xludf.DUMMYFUNCTION("""COMPUTED_VALUE"""),267)</f>
        <v>267</v>
      </c>
      <c r="N45" s="1" t="str">
        <f ca="1">IFERROR(__xludf.DUMMYFUNCTION("""COMPUTED_VALUE"""),"+9.93")</f>
        <v>+9.93</v>
      </c>
      <c r="O45" s="1">
        <f ca="1">IFERROR(__xludf.DUMMYFUNCTION("""COMPUTED_VALUE"""),23)</f>
        <v>23</v>
      </c>
      <c r="P45" s="1">
        <f ca="1">IFERROR(__xludf.DUMMYFUNCTION("""COMPUTED_VALUE"""),107.5)</f>
        <v>107.5</v>
      </c>
      <c r="Q45" s="1">
        <f ca="1">IFERROR(__xludf.DUMMYFUNCTION("""COMPUTED_VALUE"""),42)</f>
        <v>42</v>
      </c>
      <c r="R45" s="1">
        <f ca="1">IFERROR(__xludf.DUMMYFUNCTION("""COMPUTED_VALUE"""),97.6)</f>
        <v>97.6</v>
      </c>
      <c r="S45" s="1">
        <f ca="1">IFERROR(__xludf.DUMMYFUNCTION("""COMPUTED_VALUE"""),6)</f>
        <v>6</v>
      </c>
      <c r="T45" s="1">
        <f ca="1">IFERROR(__xludf.DUMMYFUNCTION("""COMPUTED_VALUE"""),-3.71)</f>
        <v>-3.71</v>
      </c>
      <c r="U45" s="1">
        <f ca="1">IFERROR(__xludf.DUMMYFUNCTION("""COMPUTED_VALUE"""),250)</f>
        <v>250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IFERROR(__xludf.DUMMYFUNCTION("""COMPUTED_VALUE"""),"Miami FL4")</f>
        <v>Miami FL4</v>
      </c>
      <c r="C46" s="1" t="str">
        <f ca="1">IFERROR(__xludf.DUMMYFUNCTION("""COMPUTED_VALUE"""),"ACC")</f>
        <v>ACC</v>
      </c>
      <c r="D46" s="1" t="str">
        <f ca="1">IFERROR(__xludf.DUMMYFUNCTION("""COMPUTED_VALUE"""),"19-13")</f>
        <v>19-13</v>
      </c>
      <c r="E46" s="1" t="str">
        <f ca="1">IFERROR(__xludf.DUMMYFUNCTION("""COMPUTED_VALUE"""),"+15.30")</f>
        <v>+15.30</v>
      </c>
      <c r="F46" s="1">
        <f ca="1">IFERROR(__xludf.DUMMYFUNCTION("""COMPUTED_VALUE"""),111.2)</f>
        <v>111.2</v>
      </c>
      <c r="G46" s="1">
        <f ca="1">IFERROR(__xludf.DUMMYFUNCTION("""COMPUTED_VALUE"""),50)</f>
        <v>50</v>
      </c>
      <c r="H46" s="1">
        <f ca="1">IFERROR(__xludf.DUMMYFUNCTION("""COMPUTED_VALUE"""),95.9)</f>
        <v>95.9</v>
      </c>
      <c r="I46" s="1">
        <f ca="1">IFERROR(__xludf.DUMMYFUNCTION("""COMPUTED_VALUE"""),48)</f>
        <v>48</v>
      </c>
      <c r="J46" s="1">
        <f ca="1">IFERROR(__xludf.DUMMYFUNCTION("""COMPUTED_VALUE"""),64.3)</f>
        <v>64.3</v>
      </c>
      <c r="K46" s="1">
        <f ca="1">IFERROR(__xludf.DUMMYFUNCTION("""COMPUTED_VALUE"""),216)</f>
        <v>216</v>
      </c>
      <c r="L46" s="1">
        <f ca="1">IFERROR(__xludf.DUMMYFUNCTION("""COMPUTED_VALUE"""),-0.048)</f>
        <v>-4.8000000000000001E-2</v>
      </c>
      <c r="M46" s="1">
        <f ca="1">IFERROR(__xludf.DUMMYFUNCTION("""COMPUTED_VALUE"""),290)</f>
        <v>290</v>
      </c>
      <c r="N46" s="1" t="str">
        <f ca="1">IFERROR(__xludf.DUMMYFUNCTION("""COMPUTED_VALUE"""),"+9.10")</f>
        <v>+9.10</v>
      </c>
      <c r="O46" s="1">
        <f ca="1">IFERROR(__xludf.DUMMYFUNCTION("""COMPUTED_VALUE"""),35)</f>
        <v>35</v>
      </c>
      <c r="P46" s="1">
        <f ca="1">IFERROR(__xludf.DUMMYFUNCTION("""COMPUTED_VALUE"""),108.1)</f>
        <v>108.1</v>
      </c>
      <c r="Q46" s="1">
        <f ca="1">IFERROR(__xludf.DUMMYFUNCTION("""COMPUTED_VALUE"""),29)</f>
        <v>29</v>
      </c>
      <c r="R46" s="1">
        <f ca="1">IFERROR(__xludf.DUMMYFUNCTION("""COMPUTED_VALUE"""),98.9)</f>
        <v>98.9</v>
      </c>
      <c r="S46" s="1">
        <f ca="1">IFERROR(__xludf.DUMMYFUNCTION("""COMPUTED_VALUE"""),34)</f>
        <v>34</v>
      </c>
      <c r="T46" s="1">
        <f ca="1">IFERROR(__xludf.DUMMYFUNCTION("""COMPUTED_VALUE"""),-4.21)</f>
        <v>-4.21</v>
      </c>
      <c r="U46" s="1">
        <f ca="1">IFERROR(__xludf.DUMMYFUNCTION("""COMPUTED_VALUE"""),258)</f>
        <v>258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IFERROR(__xludf.DUMMYFUNCTION("""COMPUTED_VALUE"""),"New Mexico3")</f>
        <v>New Mexico3</v>
      </c>
      <c r="C47" s="1" t="str">
        <f ca="1">IFERROR(__xludf.DUMMYFUNCTION("""COMPUTED_VALUE"""),"MWC")</f>
        <v>MWC</v>
      </c>
      <c r="D47" s="1" t="str">
        <f ca="1">IFERROR(__xludf.DUMMYFUNCTION("""COMPUTED_VALUE"""),"22-12")</f>
        <v>22-12</v>
      </c>
      <c r="E47" s="1" t="str">
        <f ca="1">IFERROR(__xludf.DUMMYFUNCTION("""COMPUTED_VALUE"""),"+15.29")</f>
        <v>+15.29</v>
      </c>
      <c r="F47" s="1">
        <f ca="1">IFERROR(__xludf.DUMMYFUNCTION("""COMPUTED_VALUE"""),112.2)</f>
        <v>112.2</v>
      </c>
      <c r="G47" s="1">
        <f ca="1">IFERROR(__xludf.DUMMYFUNCTION("""COMPUTED_VALUE"""),41)</f>
        <v>41</v>
      </c>
      <c r="H47" s="1">
        <f ca="1">IFERROR(__xludf.DUMMYFUNCTION("""COMPUTED_VALUE"""),96.9)</f>
        <v>96.9</v>
      </c>
      <c r="I47" s="1">
        <f ca="1">IFERROR(__xludf.DUMMYFUNCTION("""COMPUTED_VALUE"""),62)</f>
        <v>62</v>
      </c>
      <c r="J47" s="1">
        <f ca="1">IFERROR(__xludf.DUMMYFUNCTION("""COMPUTED_VALUE"""),64.8)</f>
        <v>64.8</v>
      </c>
      <c r="K47" s="1">
        <f ca="1">IFERROR(__xludf.DUMMYFUNCTION("""COMPUTED_VALUE"""),196)</f>
        <v>196</v>
      </c>
      <c r="L47" s="1">
        <f ca="1">IFERROR(__xludf.DUMMYFUNCTION("""COMPUTED_VALUE"""),-0.054)</f>
        <v>-5.3999999999999999E-2</v>
      </c>
      <c r="M47" s="1">
        <f ca="1">IFERROR(__xludf.DUMMYFUNCTION("""COMPUTED_VALUE"""),302)</f>
        <v>302</v>
      </c>
      <c r="N47" s="1" t="str">
        <f ca="1">IFERROR(__xludf.DUMMYFUNCTION("""COMPUTED_VALUE"""),"+4.56")</f>
        <v>+4.56</v>
      </c>
      <c r="O47" s="1">
        <f ca="1">IFERROR(__xludf.DUMMYFUNCTION("""COMPUTED_VALUE"""),80)</f>
        <v>80</v>
      </c>
      <c r="P47" s="1">
        <f ca="1">IFERROR(__xludf.DUMMYFUNCTION("""COMPUTED_VALUE"""),105.9)</f>
        <v>105.9</v>
      </c>
      <c r="Q47" s="1">
        <f ca="1">IFERROR(__xludf.DUMMYFUNCTION("""COMPUTED_VALUE"""),66)</f>
        <v>66</v>
      </c>
      <c r="R47" s="1">
        <f ca="1">IFERROR(__xludf.DUMMYFUNCTION("""COMPUTED_VALUE"""),101.3)</f>
        <v>101.3</v>
      </c>
      <c r="S47" s="1">
        <f ca="1">IFERROR(__xludf.DUMMYFUNCTION("""COMPUTED_VALUE"""),100)</f>
        <v>100</v>
      </c>
      <c r="T47" s="1" t="str">
        <f ca="1">IFERROR(__xludf.DUMMYFUNCTION("""COMPUTED_VALUE"""),"+0.48")</f>
        <v>+0.48</v>
      </c>
      <c r="U47" s="1">
        <f ca="1">IFERROR(__xludf.DUMMYFUNCTION("""COMPUTED_VALUE"""),142)</f>
        <v>142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IFERROR(__xludf.DUMMYFUNCTION("""COMPUTED_VALUE"""),"Utah St.11")</f>
        <v>Utah St.11</v>
      </c>
      <c r="C48" s="1" t="str">
        <f ca="1">IFERROR(__xludf.DUMMYFUNCTION("""COMPUTED_VALUE"""),"WAC")</f>
        <v>WAC</v>
      </c>
      <c r="D48" s="1" t="str">
        <f ca="1">IFERROR(__xludf.DUMMYFUNCTION("""COMPUTED_VALUE"""),"30-5")</f>
        <v>30-5</v>
      </c>
      <c r="E48" s="1" t="str">
        <f ca="1">IFERROR(__xludf.DUMMYFUNCTION("""COMPUTED_VALUE"""),"+15.12")</f>
        <v>+15.12</v>
      </c>
      <c r="F48" s="1">
        <f ca="1">IFERROR(__xludf.DUMMYFUNCTION("""COMPUTED_VALUE"""),116.7)</f>
        <v>116.7</v>
      </c>
      <c r="G48" s="1">
        <f ca="1">IFERROR(__xludf.DUMMYFUNCTION("""COMPUTED_VALUE"""),12)</f>
        <v>12</v>
      </c>
      <c r="H48" s="1">
        <f ca="1">IFERROR(__xludf.DUMMYFUNCTION("""COMPUTED_VALUE"""),101.6)</f>
        <v>101.6</v>
      </c>
      <c r="I48" s="1">
        <f ca="1">IFERROR(__xludf.DUMMYFUNCTION("""COMPUTED_VALUE"""),143)</f>
        <v>143</v>
      </c>
      <c r="J48" s="1">
        <f ca="1">IFERROR(__xludf.DUMMYFUNCTION("""COMPUTED_VALUE"""),60)</f>
        <v>60</v>
      </c>
      <c r="K48" s="1">
        <f ca="1">IFERROR(__xludf.DUMMYFUNCTION("""COMPUTED_VALUE"""),327)</f>
        <v>327</v>
      </c>
      <c r="L48" s="1" t="str">
        <f ca="1">IFERROR(__xludf.DUMMYFUNCTION("""COMPUTED_VALUE"""),"+.046")</f>
        <v>+.046</v>
      </c>
      <c r="M48" s="1">
        <f ca="1">IFERROR(__xludf.DUMMYFUNCTION("""COMPUTED_VALUE"""),58)</f>
        <v>58</v>
      </c>
      <c r="N48" s="1">
        <f ca="1">IFERROR(__xludf.DUMMYFUNCTION("""COMPUTED_VALUE"""),-0.47)</f>
        <v>-0.47</v>
      </c>
      <c r="O48" s="1">
        <f ca="1">IFERROR(__xludf.DUMMYFUNCTION("""COMPUTED_VALUE"""),169)</f>
        <v>169</v>
      </c>
      <c r="P48" s="1">
        <f ca="1">IFERROR(__xludf.DUMMYFUNCTION("""COMPUTED_VALUE"""),103.2)</f>
        <v>103.2</v>
      </c>
      <c r="Q48" s="1">
        <f ca="1">IFERROR(__xludf.DUMMYFUNCTION("""COMPUTED_VALUE"""),151)</f>
        <v>151</v>
      </c>
      <c r="R48" s="1">
        <f ca="1">IFERROR(__xludf.DUMMYFUNCTION("""COMPUTED_VALUE"""),103.6)</f>
        <v>103.6</v>
      </c>
      <c r="S48" s="1">
        <f ca="1">IFERROR(__xludf.DUMMYFUNCTION("""COMPUTED_VALUE"""),192)</f>
        <v>192</v>
      </c>
      <c r="T48" s="1">
        <f ca="1">IFERROR(__xludf.DUMMYFUNCTION("""COMPUTED_VALUE"""),-2.77)</f>
        <v>-2.77</v>
      </c>
      <c r="U48" s="1">
        <f ca="1">IFERROR(__xludf.DUMMYFUNCTION("""COMPUTED_VALUE"""),225)</f>
        <v>225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IFERROR(__xludf.DUMMYFUNCTION("""COMPUTED_VALUE"""),"Texas A&amp;M9")</f>
        <v>Texas A&amp;M9</v>
      </c>
      <c r="C49" s="1" t="str">
        <f ca="1">IFERROR(__xludf.DUMMYFUNCTION("""COMPUTED_VALUE"""),"B12")</f>
        <v>B12</v>
      </c>
      <c r="D49" s="1" t="str">
        <f ca="1">IFERROR(__xludf.DUMMYFUNCTION("""COMPUTED_VALUE"""),"24-10")</f>
        <v>24-10</v>
      </c>
      <c r="E49" s="1" t="str">
        <f ca="1">IFERROR(__xludf.DUMMYFUNCTION("""COMPUTED_VALUE"""),"+15.01")</f>
        <v>+15.01</v>
      </c>
      <c r="F49" s="1">
        <f ca="1">IFERROR(__xludf.DUMMYFUNCTION("""COMPUTED_VALUE"""),113.1)</f>
        <v>113.1</v>
      </c>
      <c r="G49" s="1">
        <f ca="1">IFERROR(__xludf.DUMMYFUNCTION("""COMPUTED_VALUE"""),35)</f>
        <v>35</v>
      </c>
      <c r="H49" s="1">
        <f ca="1">IFERROR(__xludf.DUMMYFUNCTION("""COMPUTED_VALUE"""),98.1)</f>
        <v>98.1</v>
      </c>
      <c r="I49" s="1">
        <f ca="1">IFERROR(__xludf.DUMMYFUNCTION("""COMPUTED_VALUE"""),74)</f>
        <v>74</v>
      </c>
      <c r="J49" s="1">
        <f ca="1">IFERROR(__xludf.DUMMYFUNCTION("""COMPUTED_VALUE"""),63.9)</f>
        <v>63.9</v>
      </c>
      <c r="K49" s="1">
        <f ca="1">IFERROR(__xludf.DUMMYFUNCTION("""COMPUTED_VALUE"""),235)</f>
        <v>235</v>
      </c>
      <c r="L49" s="1" t="str">
        <f ca="1">IFERROR(__xludf.DUMMYFUNCTION("""COMPUTED_VALUE"""),"+.053")</f>
        <v>+.053</v>
      </c>
      <c r="M49" s="1">
        <f ca="1">IFERROR(__xludf.DUMMYFUNCTION("""COMPUTED_VALUE"""),48)</f>
        <v>48</v>
      </c>
      <c r="N49" s="1" t="str">
        <f ca="1">IFERROR(__xludf.DUMMYFUNCTION("""COMPUTED_VALUE"""),"+7.85")</f>
        <v>+7.85</v>
      </c>
      <c r="O49" s="1">
        <f ca="1">IFERROR(__xludf.DUMMYFUNCTION("""COMPUTED_VALUE"""),48)</f>
        <v>48</v>
      </c>
      <c r="P49" s="1">
        <f ca="1">IFERROR(__xludf.DUMMYFUNCTION("""COMPUTED_VALUE"""),107.1)</f>
        <v>107.1</v>
      </c>
      <c r="Q49" s="1">
        <f ca="1">IFERROR(__xludf.DUMMYFUNCTION("""COMPUTED_VALUE"""),48)</f>
        <v>48</v>
      </c>
      <c r="R49" s="1">
        <f ca="1">IFERROR(__xludf.DUMMYFUNCTION("""COMPUTED_VALUE"""),99.3)</f>
        <v>99.3</v>
      </c>
      <c r="S49" s="1">
        <f ca="1">IFERROR(__xludf.DUMMYFUNCTION("""COMPUTED_VALUE"""),45)</f>
        <v>45</v>
      </c>
      <c r="T49" s="1">
        <f ca="1">IFERROR(__xludf.DUMMYFUNCTION("""COMPUTED_VALUE"""),-4.3)</f>
        <v>-4.3</v>
      </c>
      <c r="U49" s="1">
        <f ca="1">IFERROR(__xludf.DUMMYFUNCTION("""COMPUTED_VALUE"""),261)</f>
        <v>261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IFERROR(__xludf.DUMMYFUNCTION("""COMPUTED_VALUE"""),"LSU8")</f>
        <v>LSU8</v>
      </c>
      <c r="C50" s="1" t="str">
        <f ca="1">IFERROR(__xludf.DUMMYFUNCTION("""COMPUTED_VALUE"""),"SEC")</f>
        <v>SEC</v>
      </c>
      <c r="D50" s="1" t="str">
        <f ca="1">IFERROR(__xludf.DUMMYFUNCTION("""COMPUTED_VALUE"""),"27-8")</f>
        <v>27-8</v>
      </c>
      <c r="E50" s="1" t="str">
        <f ca="1">IFERROR(__xludf.DUMMYFUNCTION("""COMPUTED_VALUE"""),"+14.86")</f>
        <v>+14.86</v>
      </c>
      <c r="F50" s="1">
        <f ca="1">IFERROR(__xludf.DUMMYFUNCTION("""COMPUTED_VALUE"""),111.5)</f>
        <v>111.5</v>
      </c>
      <c r="G50" s="1">
        <f ca="1">IFERROR(__xludf.DUMMYFUNCTION("""COMPUTED_VALUE"""),47)</f>
        <v>47</v>
      </c>
      <c r="H50" s="1">
        <f ca="1">IFERROR(__xludf.DUMMYFUNCTION("""COMPUTED_VALUE"""),96.6)</f>
        <v>96.6</v>
      </c>
      <c r="I50" s="1">
        <f ca="1">IFERROR(__xludf.DUMMYFUNCTION("""COMPUTED_VALUE"""),60)</f>
        <v>60</v>
      </c>
      <c r="J50" s="1">
        <f ca="1">IFERROR(__xludf.DUMMYFUNCTION("""COMPUTED_VALUE"""),66.1)</f>
        <v>66.099999999999994</v>
      </c>
      <c r="K50" s="1">
        <f ca="1">IFERROR(__xludf.DUMMYFUNCTION("""COMPUTED_VALUE"""),136)</f>
        <v>136</v>
      </c>
      <c r="L50" s="1" t="str">
        <f ca="1">IFERROR(__xludf.DUMMYFUNCTION("""COMPUTED_VALUE"""),"+.075")</f>
        <v>+.075</v>
      </c>
      <c r="M50" s="1">
        <f ca="1">IFERROR(__xludf.DUMMYFUNCTION("""COMPUTED_VALUE"""),22)</f>
        <v>22</v>
      </c>
      <c r="N50" s="1" t="str">
        <f ca="1">IFERROR(__xludf.DUMMYFUNCTION("""COMPUTED_VALUE"""),"+3.50")</f>
        <v>+3.50</v>
      </c>
      <c r="O50" s="1">
        <f ca="1">IFERROR(__xludf.DUMMYFUNCTION("""COMPUTED_VALUE"""),92)</f>
        <v>92</v>
      </c>
      <c r="P50" s="1">
        <f ca="1">IFERROR(__xludf.DUMMYFUNCTION("""COMPUTED_VALUE"""),104.6)</f>
        <v>104.6</v>
      </c>
      <c r="Q50" s="1">
        <f ca="1">IFERROR(__xludf.DUMMYFUNCTION("""COMPUTED_VALUE"""),101)</f>
        <v>101</v>
      </c>
      <c r="R50" s="1">
        <f ca="1">IFERROR(__xludf.DUMMYFUNCTION("""COMPUTED_VALUE"""),101.1)</f>
        <v>101.1</v>
      </c>
      <c r="S50" s="1">
        <f ca="1">IFERROR(__xludf.DUMMYFUNCTION("""COMPUTED_VALUE"""),86)</f>
        <v>86</v>
      </c>
      <c r="T50" s="1">
        <f ca="1">IFERROR(__xludf.DUMMYFUNCTION("""COMPUTED_VALUE"""),-8.66)</f>
        <v>-8.66</v>
      </c>
      <c r="U50" s="1">
        <f ca="1">IFERROR(__xludf.DUMMYFUNCTION("""COMPUTED_VALUE"""),327)</f>
        <v>327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IFERROR(__xludf.DUMMYFUNCTION("""COMPUTED_VALUE"""),"Michigan10")</f>
        <v>Michigan10</v>
      </c>
      <c r="C51" s="1" t="str">
        <f ca="1">IFERROR(__xludf.DUMMYFUNCTION("""COMPUTED_VALUE"""),"B10")</f>
        <v>B10</v>
      </c>
      <c r="D51" s="1" t="str">
        <f ca="1">IFERROR(__xludf.DUMMYFUNCTION("""COMPUTED_VALUE"""),"21-14")</f>
        <v>21-14</v>
      </c>
      <c r="E51" s="1" t="str">
        <f ca="1">IFERROR(__xludf.DUMMYFUNCTION("""COMPUTED_VALUE"""),"+14.75")</f>
        <v>+14.75</v>
      </c>
      <c r="F51" s="1">
        <f ca="1">IFERROR(__xludf.DUMMYFUNCTION("""COMPUTED_VALUE"""),112.2)</f>
        <v>112.2</v>
      </c>
      <c r="G51" s="1">
        <f ca="1">IFERROR(__xludf.DUMMYFUNCTION("""COMPUTED_VALUE"""),40)</f>
        <v>40</v>
      </c>
      <c r="H51" s="1">
        <f ca="1">IFERROR(__xludf.DUMMYFUNCTION("""COMPUTED_VALUE"""),97.5)</f>
        <v>97.5</v>
      </c>
      <c r="I51" s="1">
        <f ca="1">IFERROR(__xludf.DUMMYFUNCTION("""COMPUTED_VALUE"""),67)</f>
        <v>67</v>
      </c>
      <c r="J51" s="1">
        <f ca="1">IFERROR(__xludf.DUMMYFUNCTION("""COMPUTED_VALUE"""),62.5)</f>
        <v>62.5</v>
      </c>
      <c r="K51" s="1">
        <f ca="1">IFERROR(__xludf.DUMMYFUNCTION("""COMPUTED_VALUE"""),285)</f>
        <v>285</v>
      </c>
      <c r="L51" s="1" t="str">
        <f ca="1">IFERROR(__xludf.DUMMYFUNCTION("""COMPUTED_VALUE"""),"+.014")</f>
        <v>+.014</v>
      </c>
      <c r="M51" s="1">
        <f ca="1">IFERROR(__xludf.DUMMYFUNCTION("""COMPUTED_VALUE"""),132)</f>
        <v>132</v>
      </c>
      <c r="N51" s="1" t="str">
        <f ca="1">IFERROR(__xludf.DUMMYFUNCTION("""COMPUTED_VALUE"""),"+11.39")</f>
        <v>+11.39</v>
      </c>
      <c r="O51" s="1">
        <f ca="1">IFERROR(__xludf.DUMMYFUNCTION("""COMPUTED_VALUE"""),5)</f>
        <v>5</v>
      </c>
      <c r="P51" s="1">
        <f ca="1">IFERROR(__xludf.DUMMYFUNCTION("""COMPUTED_VALUE"""),108.5)</f>
        <v>108.5</v>
      </c>
      <c r="Q51" s="1">
        <f ca="1">IFERROR(__xludf.DUMMYFUNCTION("""COMPUTED_VALUE"""),20)</f>
        <v>20</v>
      </c>
      <c r="R51" s="1">
        <f ca="1">IFERROR(__xludf.DUMMYFUNCTION("""COMPUTED_VALUE"""),97.1)</f>
        <v>97.1</v>
      </c>
      <c r="S51" s="1">
        <f ca="1">IFERROR(__xludf.DUMMYFUNCTION("""COMPUTED_VALUE"""),3)</f>
        <v>3</v>
      </c>
      <c r="T51" s="1" t="str">
        <f ca="1">IFERROR(__xludf.DUMMYFUNCTION("""COMPUTED_VALUE"""),"+0.63")</f>
        <v>+0.63</v>
      </c>
      <c r="U51" s="1">
        <f ca="1">IFERROR(__xludf.DUMMYFUNCTION("""COMPUTED_VALUE"""),139)</f>
        <v>139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IFERROR(__xludf.DUMMYFUNCTION("""COMPUTED_VALUE"""),"Kentucky4")</f>
        <v>Kentucky4</v>
      </c>
      <c r="C52" s="1" t="str">
        <f ca="1">IFERROR(__xludf.DUMMYFUNCTION("""COMPUTED_VALUE"""),"SEC")</f>
        <v>SEC</v>
      </c>
      <c r="D52" s="1" t="str">
        <f ca="1">IFERROR(__xludf.DUMMYFUNCTION("""COMPUTED_VALUE"""),"22-14")</f>
        <v>22-14</v>
      </c>
      <c r="E52" s="1" t="str">
        <f ca="1">IFERROR(__xludf.DUMMYFUNCTION("""COMPUTED_VALUE"""),"+14.62")</f>
        <v>+14.62</v>
      </c>
      <c r="F52" s="1">
        <f ca="1">IFERROR(__xludf.DUMMYFUNCTION("""COMPUTED_VALUE"""),107.8)</f>
        <v>107.8</v>
      </c>
      <c r="G52" s="1">
        <f ca="1">IFERROR(__xludf.DUMMYFUNCTION("""COMPUTED_VALUE"""),91)</f>
        <v>91</v>
      </c>
      <c r="H52" s="1">
        <f ca="1">IFERROR(__xludf.DUMMYFUNCTION("""COMPUTED_VALUE"""),93.2)</f>
        <v>93.2</v>
      </c>
      <c r="I52" s="1">
        <f ca="1">IFERROR(__xludf.DUMMYFUNCTION("""COMPUTED_VALUE"""),27)</f>
        <v>27</v>
      </c>
      <c r="J52" s="1">
        <f ca="1">IFERROR(__xludf.DUMMYFUNCTION("""COMPUTED_VALUE"""),66.6)</f>
        <v>66.599999999999994</v>
      </c>
      <c r="K52" s="1">
        <f ca="1">IFERROR(__xludf.DUMMYFUNCTION("""COMPUTED_VALUE"""),111)</f>
        <v>111</v>
      </c>
      <c r="L52" s="1">
        <f ca="1">IFERROR(__xludf.DUMMYFUNCTION("""COMPUTED_VALUE"""),-0.073)</f>
        <v>-7.2999999999999995E-2</v>
      </c>
      <c r="M52" s="1">
        <f ca="1">IFERROR(__xludf.DUMMYFUNCTION("""COMPUTED_VALUE"""),321)</f>
        <v>321</v>
      </c>
      <c r="N52" s="1" t="str">
        <f ca="1">IFERROR(__xludf.DUMMYFUNCTION("""COMPUTED_VALUE"""),"+5.14")</f>
        <v>+5.14</v>
      </c>
      <c r="O52" s="1">
        <f ca="1">IFERROR(__xludf.DUMMYFUNCTION("""COMPUTED_VALUE"""),69)</f>
        <v>69</v>
      </c>
      <c r="P52" s="1">
        <f ca="1">IFERROR(__xludf.DUMMYFUNCTION("""COMPUTED_VALUE"""),106.5)</f>
        <v>106.5</v>
      </c>
      <c r="Q52" s="1">
        <f ca="1">IFERROR(__xludf.DUMMYFUNCTION("""COMPUTED_VALUE"""),56)</f>
        <v>56</v>
      </c>
      <c r="R52" s="1">
        <f ca="1">IFERROR(__xludf.DUMMYFUNCTION("""COMPUTED_VALUE"""),101.4)</f>
        <v>101.4</v>
      </c>
      <c r="S52" s="1">
        <f ca="1">IFERROR(__xludf.DUMMYFUNCTION("""COMPUTED_VALUE"""),101)</f>
        <v>101</v>
      </c>
      <c r="T52" s="1">
        <f ca="1">IFERROR(__xludf.DUMMYFUNCTION("""COMPUTED_VALUE"""),-5.74)</f>
        <v>-5.74</v>
      </c>
      <c r="U52" s="1">
        <f ca="1">IFERROR(__xludf.DUMMYFUNCTION("""COMPUTED_VALUE"""),295)</f>
        <v>295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IFERROR(__xludf.DUMMYFUNCTION("""COMPUTED_VALUE"""),"Washington St.7")</f>
        <v>Washington St.7</v>
      </c>
      <c r="C53" s="1" t="str">
        <f ca="1">IFERROR(__xludf.DUMMYFUNCTION("""COMPUTED_VALUE"""),"P10")</f>
        <v>P10</v>
      </c>
      <c r="D53" s="1" t="str">
        <f ca="1">IFERROR(__xludf.DUMMYFUNCTION("""COMPUTED_VALUE"""),"17-16")</f>
        <v>17-16</v>
      </c>
      <c r="E53" s="1" t="str">
        <f ca="1">IFERROR(__xludf.DUMMYFUNCTION("""COMPUTED_VALUE"""),"+14.58")</f>
        <v>+14.58</v>
      </c>
      <c r="F53" s="1">
        <f ca="1">IFERROR(__xludf.DUMMYFUNCTION("""COMPUTED_VALUE"""),105)</f>
        <v>105</v>
      </c>
      <c r="G53" s="1">
        <f ca="1">IFERROR(__xludf.DUMMYFUNCTION("""COMPUTED_VALUE"""),133)</f>
        <v>133</v>
      </c>
      <c r="H53" s="1">
        <f ca="1">IFERROR(__xludf.DUMMYFUNCTION("""COMPUTED_VALUE"""),90.4)</f>
        <v>90.4</v>
      </c>
      <c r="I53" s="1">
        <f ca="1">IFERROR(__xludf.DUMMYFUNCTION("""COMPUTED_VALUE"""),8)</f>
        <v>8</v>
      </c>
      <c r="J53" s="1">
        <f ca="1">IFERROR(__xludf.DUMMYFUNCTION("""COMPUTED_VALUE"""),57.6)</f>
        <v>57.6</v>
      </c>
      <c r="K53" s="1">
        <f ca="1">IFERROR(__xludf.DUMMYFUNCTION("""COMPUTED_VALUE"""),340)</f>
        <v>340</v>
      </c>
      <c r="L53" s="1">
        <f ca="1">IFERROR(__xludf.DUMMYFUNCTION("""COMPUTED_VALUE"""),-0.076)</f>
        <v>-7.5999999999999998E-2</v>
      </c>
      <c r="M53" s="1">
        <f ca="1">IFERROR(__xludf.DUMMYFUNCTION("""COMPUTED_VALUE"""),327)</f>
        <v>327</v>
      </c>
      <c r="N53" s="1" t="str">
        <f ca="1">IFERROR(__xludf.DUMMYFUNCTION("""COMPUTED_VALUE"""),"+10.04")</f>
        <v>+10.04</v>
      </c>
      <c r="O53" s="1">
        <f ca="1">IFERROR(__xludf.DUMMYFUNCTION("""COMPUTED_VALUE"""),20)</f>
        <v>20</v>
      </c>
      <c r="P53" s="1">
        <f ca="1">IFERROR(__xludf.DUMMYFUNCTION("""COMPUTED_VALUE"""),109.8)</f>
        <v>109.8</v>
      </c>
      <c r="Q53" s="1">
        <f ca="1">IFERROR(__xludf.DUMMYFUNCTION("""COMPUTED_VALUE"""),3)</f>
        <v>3</v>
      </c>
      <c r="R53" s="1">
        <f ca="1">IFERROR(__xludf.DUMMYFUNCTION("""COMPUTED_VALUE"""),99.7)</f>
        <v>99.7</v>
      </c>
      <c r="S53" s="1">
        <f ca="1">IFERROR(__xludf.DUMMYFUNCTION("""COMPUTED_VALUE"""),52)</f>
        <v>52</v>
      </c>
      <c r="T53" s="1">
        <f ca="1">IFERROR(__xludf.DUMMYFUNCTION("""COMPUTED_VALUE"""),-1.96)</f>
        <v>-1.96</v>
      </c>
      <c r="U53" s="1">
        <f ca="1">IFERROR(__xludf.DUMMYFUNCTION("""COMPUTED_VALUE"""),206)</f>
        <v>206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IFERROR(__xludf.DUMMYFUNCTION("""COMPUTED_VALUE"""),"Temple11")</f>
        <v>Temple11</v>
      </c>
      <c r="C54" s="1" t="str">
        <f ca="1">IFERROR(__xludf.DUMMYFUNCTION("""COMPUTED_VALUE"""),"A10")</f>
        <v>A10</v>
      </c>
      <c r="D54" s="1" t="str">
        <f ca="1">IFERROR(__xludf.DUMMYFUNCTION("""COMPUTED_VALUE"""),"22-12")</f>
        <v>22-12</v>
      </c>
      <c r="E54" s="1" t="str">
        <f ca="1">IFERROR(__xludf.DUMMYFUNCTION("""COMPUTED_VALUE"""),"+14.38")</f>
        <v>+14.38</v>
      </c>
      <c r="F54" s="1">
        <f ca="1">IFERROR(__xludf.DUMMYFUNCTION("""COMPUTED_VALUE"""),109.9)</f>
        <v>109.9</v>
      </c>
      <c r="G54" s="1">
        <f ca="1">IFERROR(__xludf.DUMMYFUNCTION("""COMPUTED_VALUE"""),68)</f>
        <v>68</v>
      </c>
      <c r="H54" s="1">
        <f ca="1">IFERROR(__xludf.DUMMYFUNCTION("""COMPUTED_VALUE"""),95.5)</f>
        <v>95.5</v>
      </c>
      <c r="I54" s="1">
        <f ca="1">IFERROR(__xludf.DUMMYFUNCTION("""COMPUTED_VALUE"""),43)</f>
        <v>43</v>
      </c>
      <c r="J54" s="1">
        <f ca="1">IFERROR(__xludf.DUMMYFUNCTION("""COMPUTED_VALUE"""),63.5)</f>
        <v>63.5</v>
      </c>
      <c r="K54" s="1">
        <f ca="1">IFERROR(__xludf.DUMMYFUNCTION("""COMPUTED_VALUE"""),255)</f>
        <v>255</v>
      </c>
      <c r="L54" s="1">
        <f ca="1">IFERROR(__xludf.DUMMYFUNCTION("""COMPUTED_VALUE"""),-0.005)</f>
        <v>-5.0000000000000001E-3</v>
      </c>
      <c r="M54" s="1">
        <f ca="1">IFERROR(__xludf.DUMMYFUNCTION("""COMPUTED_VALUE"""),173)</f>
        <v>173</v>
      </c>
      <c r="N54" s="1" t="str">
        <f ca="1">IFERROR(__xludf.DUMMYFUNCTION("""COMPUTED_VALUE"""),"+6.68")</f>
        <v>+6.68</v>
      </c>
      <c r="O54" s="1">
        <f ca="1">IFERROR(__xludf.DUMMYFUNCTION("""COMPUTED_VALUE"""),54)</f>
        <v>54</v>
      </c>
      <c r="P54" s="1">
        <f ca="1">IFERROR(__xludf.DUMMYFUNCTION("""COMPUTED_VALUE"""),106.9)</f>
        <v>106.9</v>
      </c>
      <c r="Q54" s="1">
        <f ca="1">IFERROR(__xludf.DUMMYFUNCTION("""COMPUTED_VALUE"""),49)</f>
        <v>49</v>
      </c>
      <c r="R54" s="1">
        <f ca="1">IFERROR(__xludf.DUMMYFUNCTION("""COMPUTED_VALUE"""),100.3)</f>
        <v>100.3</v>
      </c>
      <c r="S54" s="1">
        <f ca="1">IFERROR(__xludf.DUMMYFUNCTION("""COMPUTED_VALUE"""),68)</f>
        <v>68</v>
      </c>
      <c r="T54" s="1" t="str">
        <f ca="1">IFERROR(__xludf.DUMMYFUNCTION("""COMPUTED_VALUE"""),"+7.22")</f>
        <v>+7.22</v>
      </c>
      <c r="U54" s="1">
        <f ca="1">IFERROR(__xludf.DUMMYFUNCTION("""COMPUTED_VALUE"""),32)</f>
        <v>32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IFERROR(__xludf.DUMMYFUNCTION("""COMPUTED_VALUE"""),"Kansas St.4")</f>
        <v>Kansas St.4</v>
      </c>
      <c r="C55" s="1" t="str">
        <f ca="1">IFERROR(__xludf.DUMMYFUNCTION("""COMPUTED_VALUE"""),"B12")</f>
        <v>B12</v>
      </c>
      <c r="D55" s="1" t="str">
        <f ca="1">IFERROR(__xludf.DUMMYFUNCTION("""COMPUTED_VALUE"""),"22-12")</f>
        <v>22-12</v>
      </c>
      <c r="E55" s="1" t="str">
        <f ca="1">IFERROR(__xludf.DUMMYFUNCTION("""COMPUTED_VALUE"""),"+14.18")</f>
        <v>+14.18</v>
      </c>
      <c r="F55" s="1">
        <f ca="1">IFERROR(__xludf.DUMMYFUNCTION("""COMPUTED_VALUE"""),109.4)</f>
        <v>109.4</v>
      </c>
      <c r="G55" s="1">
        <f ca="1">IFERROR(__xludf.DUMMYFUNCTION("""COMPUTED_VALUE"""),72)</f>
        <v>72</v>
      </c>
      <c r="H55" s="1">
        <f ca="1">IFERROR(__xludf.DUMMYFUNCTION("""COMPUTED_VALUE"""),95.2)</f>
        <v>95.2</v>
      </c>
      <c r="I55" s="1">
        <f ca="1">IFERROR(__xludf.DUMMYFUNCTION("""COMPUTED_VALUE"""),40)</f>
        <v>40</v>
      </c>
      <c r="J55" s="1">
        <f ca="1">IFERROR(__xludf.DUMMYFUNCTION("""COMPUTED_VALUE"""),67.4)</f>
        <v>67.400000000000006</v>
      </c>
      <c r="K55" s="1">
        <f ca="1">IFERROR(__xludf.DUMMYFUNCTION("""COMPUTED_VALUE"""),84)</f>
        <v>84</v>
      </c>
      <c r="L55" s="1">
        <f ca="1">IFERROR(__xludf.DUMMYFUNCTION("""COMPUTED_VALUE"""),-0.019)</f>
        <v>-1.9E-2</v>
      </c>
      <c r="M55" s="1">
        <f ca="1">IFERROR(__xludf.DUMMYFUNCTION("""COMPUTED_VALUE"""),228)</f>
        <v>228</v>
      </c>
      <c r="N55" s="1" t="str">
        <f ca="1">IFERROR(__xludf.DUMMYFUNCTION("""COMPUTED_VALUE"""),"+5.84")</f>
        <v>+5.84</v>
      </c>
      <c r="O55" s="1">
        <f ca="1">IFERROR(__xludf.DUMMYFUNCTION("""COMPUTED_VALUE"""),63)</f>
        <v>63</v>
      </c>
      <c r="P55" s="1">
        <f ca="1">IFERROR(__xludf.DUMMYFUNCTION("""COMPUTED_VALUE"""),106.2)</f>
        <v>106.2</v>
      </c>
      <c r="Q55" s="1">
        <f ca="1">IFERROR(__xludf.DUMMYFUNCTION("""COMPUTED_VALUE"""),62)</f>
        <v>62</v>
      </c>
      <c r="R55" s="1">
        <f ca="1">IFERROR(__xludf.DUMMYFUNCTION("""COMPUTED_VALUE"""),100.3)</f>
        <v>100.3</v>
      </c>
      <c r="S55" s="1">
        <f ca="1">IFERROR(__xludf.DUMMYFUNCTION("""COMPUTED_VALUE"""),71)</f>
        <v>71</v>
      </c>
      <c r="T55" s="1">
        <f ca="1">IFERROR(__xludf.DUMMYFUNCTION("""COMPUTED_VALUE"""),-8.12)</f>
        <v>-8.1199999999999992</v>
      </c>
      <c r="U55" s="1">
        <f ca="1">IFERROR(__xludf.DUMMYFUNCTION("""COMPUTED_VALUE"""),320)</f>
        <v>320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IFERROR(__xludf.DUMMYFUNCTION("""COMPUTED_VALUE"""),"Stanford")</f>
        <v>Stanford</v>
      </c>
      <c r="C56" s="1" t="str">
        <f ca="1">IFERROR(__xludf.DUMMYFUNCTION("""COMPUTED_VALUE"""),"P10")</f>
        <v>P10</v>
      </c>
      <c r="D56" s="1" t="str">
        <f ca="1">IFERROR(__xludf.DUMMYFUNCTION("""COMPUTED_VALUE"""),"20-14")</f>
        <v>20-14</v>
      </c>
      <c r="E56" s="1" t="str">
        <f ca="1">IFERROR(__xludf.DUMMYFUNCTION("""COMPUTED_VALUE"""),"+14.13")</f>
        <v>+14.13</v>
      </c>
      <c r="F56" s="1">
        <f ca="1">IFERROR(__xludf.DUMMYFUNCTION("""COMPUTED_VALUE"""),112.5)</f>
        <v>112.5</v>
      </c>
      <c r="G56" s="1">
        <f ca="1">IFERROR(__xludf.DUMMYFUNCTION("""COMPUTED_VALUE"""),39)</f>
        <v>39</v>
      </c>
      <c r="H56" s="1">
        <f ca="1">IFERROR(__xludf.DUMMYFUNCTION("""COMPUTED_VALUE"""),98.3)</f>
        <v>98.3</v>
      </c>
      <c r="I56" s="1">
        <f ca="1">IFERROR(__xludf.DUMMYFUNCTION("""COMPUTED_VALUE"""),77)</f>
        <v>77</v>
      </c>
      <c r="J56" s="1">
        <f ca="1">IFERROR(__xludf.DUMMYFUNCTION("""COMPUTED_VALUE"""),67.5)</f>
        <v>67.5</v>
      </c>
      <c r="K56" s="1">
        <f ca="1">IFERROR(__xludf.DUMMYFUNCTION("""COMPUTED_VALUE"""),80)</f>
        <v>80</v>
      </c>
      <c r="L56" s="1">
        <f ca="1">IFERROR(__xludf.DUMMYFUNCTION("""COMPUTED_VALUE"""),-0.022)</f>
        <v>-2.1999999999999999E-2</v>
      </c>
      <c r="M56" s="1">
        <f ca="1">IFERROR(__xludf.DUMMYFUNCTION("""COMPUTED_VALUE"""),234)</f>
        <v>234</v>
      </c>
      <c r="N56" s="1" t="str">
        <f ca="1">IFERROR(__xludf.DUMMYFUNCTION("""COMPUTED_VALUE"""),"+7.65")</f>
        <v>+7.65</v>
      </c>
      <c r="O56" s="1">
        <f ca="1">IFERROR(__xludf.DUMMYFUNCTION("""COMPUTED_VALUE"""),52)</f>
        <v>52</v>
      </c>
      <c r="P56" s="1">
        <f ca="1">IFERROR(__xludf.DUMMYFUNCTION("""COMPUTED_VALUE"""),107.6)</f>
        <v>107.6</v>
      </c>
      <c r="Q56" s="1">
        <f ca="1">IFERROR(__xludf.DUMMYFUNCTION("""COMPUTED_VALUE"""),38)</f>
        <v>38</v>
      </c>
      <c r="R56" s="1">
        <f ca="1">IFERROR(__xludf.DUMMYFUNCTION("""COMPUTED_VALUE"""),99.9)</f>
        <v>99.9</v>
      </c>
      <c r="S56" s="1">
        <f ca="1">IFERROR(__xludf.DUMMYFUNCTION("""COMPUTED_VALUE"""),58)</f>
        <v>58</v>
      </c>
      <c r="T56" s="1">
        <f ca="1">IFERROR(__xludf.DUMMYFUNCTION("""COMPUTED_VALUE"""),-4.87)</f>
        <v>-4.87</v>
      </c>
      <c r="U56" s="1">
        <f ca="1">IFERROR(__xludf.DUMMYFUNCTION("""COMPUTED_VALUE"""),278)</f>
        <v>278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IFERROR(__xludf.DUMMYFUNCTION("""COMPUTED_VALUE"""),"UAB7")</f>
        <v>UAB7</v>
      </c>
      <c r="C57" s="1" t="str">
        <f ca="1">IFERROR(__xludf.DUMMYFUNCTION("""COMPUTED_VALUE"""),"CUSA")</f>
        <v>CUSA</v>
      </c>
      <c r="D57" s="1" t="str">
        <f ca="1">IFERROR(__xludf.DUMMYFUNCTION("""COMPUTED_VALUE"""),"22-12")</f>
        <v>22-12</v>
      </c>
      <c r="E57" s="1" t="str">
        <f ca="1">IFERROR(__xludf.DUMMYFUNCTION("""COMPUTED_VALUE"""),"+13.73")</f>
        <v>+13.73</v>
      </c>
      <c r="F57" s="1">
        <f ca="1">IFERROR(__xludf.DUMMYFUNCTION("""COMPUTED_VALUE"""),109.4)</f>
        <v>109.4</v>
      </c>
      <c r="G57" s="1">
        <f ca="1">IFERROR(__xludf.DUMMYFUNCTION("""COMPUTED_VALUE"""),70)</f>
        <v>70</v>
      </c>
      <c r="H57" s="1">
        <f ca="1">IFERROR(__xludf.DUMMYFUNCTION("""COMPUTED_VALUE"""),95.7)</f>
        <v>95.7</v>
      </c>
      <c r="I57" s="1">
        <f ca="1">IFERROR(__xludf.DUMMYFUNCTION("""COMPUTED_VALUE"""),47)</f>
        <v>47</v>
      </c>
      <c r="J57" s="1">
        <f ca="1">IFERROR(__xludf.DUMMYFUNCTION("""COMPUTED_VALUE"""),66.4)</f>
        <v>66.400000000000006</v>
      </c>
      <c r="K57" s="1">
        <f ca="1">IFERROR(__xludf.DUMMYFUNCTION("""COMPUTED_VALUE"""),122)</f>
        <v>122</v>
      </c>
      <c r="L57" s="1">
        <f ca="1">IFERROR(__xludf.DUMMYFUNCTION("""COMPUTED_VALUE"""),-0.009)</f>
        <v>-8.9999999999999993E-3</v>
      </c>
      <c r="M57" s="1">
        <f ca="1">IFERROR(__xludf.DUMMYFUNCTION("""COMPUTED_VALUE"""),188)</f>
        <v>188</v>
      </c>
      <c r="N57" s="1" t="str">
        <f ca="1">IFERROR(__xludf.DUMMYFUNCTION("""COMPUTED_VALUE"""),"+5.04")</f>
        <v>+5.04</v>
      </c>
      <c r="O57" s="1">
        <f ca="1">IFERROR(__xludf.DUMMYFUNCTION("""COMPUTED_VALUE"""),71)</f>
        <v>71</v>
      </c>
      <c r="P57" s="1">
        <f ca="1">IFERROR(__xludf.DUMMYFUNCTION("""COMPUTED_VALUE"""),106.2)</f>
        <v>106.2</v>
      </c>
      <c r="Q57" s="1">
        <f ca="1">IFERROR(__xludf.DUMMYFUNCTION("""COMPUTED_VALUE"""),61)</f>
        <v>61</v>
      </c>
      <c r="R57" s="1">
        <f ca="1">IFERROR(__xludf.DUMMYFUNCTION("""COMPUTED_VALUE"""),101.2)</f>
        <v>101.2</v>
      </c>
      <c r="S57" s="1">
        <f ca="1">IFERROR(__xludf.DUMMYFUNCTION("""COMPUTED_VALUE"""),92)</f>
        <v>92</v>
      </c>
      <c r="T57" s="1" t="str">
        <f ca="1">IFERROR(__xludf.DUMMYFUNCTION("""COMPUTED_VALUE"""),"+3.87")</f>
        <v>+3.87</v>
      </c>
      <c r="U57" s="1">
        <f ca="1">IFERROR(__xludf.DUMMYFUNCTION("""COMPUTED_VALUE"""),70)</f>
        <v>70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IFERROR(__xludf.DUMMYFUNCTION("""COMPUTED_VALUE"""),"VCU11")</f>
        <v>VCU11</v>
      </c>
      <c r="C58" s="1" t="str">
        <f ca="1">IFERROR(__xludf.DUMMYFUNCTION("""COMPUTED_VALUE"""),"CAA")</f>
        <v>CAA</v>
      </c>
      <c r="D58" s="1" t="str">
        <f ca="1">IFERROR(__xludf.DUMMYFUNCTION("""COMPUTED_VALUE"""),"24-10")</f>
        <v>24-10</v>
      </c>
      <c r="E58" s="1" t="str">
        <f ca="1">IFERROR(__xludf.DUMMYFUNCTION("""COMPUTED_VALUE"""),"+13.62")</f>
        <v>+13.62</v>
      </c>
      <c r="F58" s="1">
        <f ca="1">IFERROR(__xludf.DUMMYFUNCTION("""COMPUTED_VALUE"""),110.1)</f>
        <v>110.1</v>
      </c>
      <c r="G58" s="1">
        <f ca="1">IFERROR(__xludf.DUMMYFUNCTION("""COMPUTED_VALUE"""),64)</f>
        <v>64</v>
      </c>
      <c r="H58" s="1">
        <f ca="1">IFERROR(__xludf.DUMMYFUNCTION("""COMPUTED_VALUE"""),96.4)</f>
        <v>96.4</v>
      </c>
      <c r="I58" s="1">
        <f ca="1">IFERROR(__xludf.DUMMYFUNCTION("""COMPUTED_VALUE"""),57)</f>
        <v>57</v>
      </c>
      <c r="J58" s="1">
        <f ca="1">IFERROR(__xludf.DUMMYFUNCTION("""COMPUTED_VALUE"""),65.8)</f>
        <v>65.8</v>
      </c>
      <c r="K58" s="1">
        <f ca="1">IFERROR(__xludf.DUMMYFUNCTION("""COMPUTED_VALUE"""),150)</f>
        <v>150</v>
      </c>
      <c r="L58" s="1">
        <f ca="1">IFERROR(__xludf.DUMMYFUNCTION("""COMPUTED_VALUE"""),-0.073)</f>
        <v>-7.2999999999999995E-2</v>
      </c>
      <c r="M58" s="1">
        <f ca="1">IFERROR(__xludf.DUMMYFUNCTION("""COMPUTED_VALUE"""),320)</f>
        <v>320</v>
      </c>
      <c r="N58" s="1" t="str">
        <f ca="1">IFERROR(__xludf.DUMMYFUNCTION("""COMPUTED_VALUE"""),"+0.23")</f>
        <v>+0.23</v>
      </c>
      <c r="O58" s="1">
        <f ca="1">IFERROR(__xludf.DUMMYFUNCTION("""COMPUTED_VALUE"""),156)</f>
        <v>156</v>
      </c>
      <c r="P58" s="1">
        <f ca="1">IFERROR(__xludf.DUMMYFUNCTION("""COMPUTED_VALUE"""),102.9)</f>
        <v>102.9</v>
      </c>
      <c r="Q58" s="1">
        <f ca="1">IFERROR(__xludf.DUMMYFUNCTION("""COMPUTED_VALUE"""),166)</f>
        <v>166</v>
      </c>
      <c r="R58" s="1">
        <f ca="1">IFERROR(__xludf.DUMMYFUNCTION("""COMPUTED_VALUE"""),102.7)</f>
        <v>102.7</v>
      </c>
      <c r="S58" s="1">
        <f ca="1">IFERROR(__xludf.DUMMYFUNCTION("""COMPUTED_VALUE"""),157)</f>
        <v>157</v>
      </c>
      <c r="T58" s="1" t="str">
        <f ca="1">IFERROR(__xludf.DUMMYFUNCTION("""COMPUTED_VALUE"""),"+3.46")</f>
        <v>+3.46</v>
      </c>
      <c r="U58" s="1">
        <f ca="1">IFERROR(__xludf.DUMMYFUNCTION("""COMPUTED_VALUE"""),78)</f>
        <v>78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IFERROR(__xludf.DUMMYFUNCTION("""COMPUTED_VALUE"""),"Maryland10")</f>
        <v>Maryland10</v>
      </c>
      <c r="C59" s="1" t="str">
        <f ca="1">IFERROR(__xludf.DUMMYFUNCTION("""COMPUTED_VALUE"""),"ACC")</f>
        <v>ACC</v>
      </c>
      <c r="D59" s="1" t="str">
        <f ca="1">IFERROR(__xludf.DUMMYFUNCTION("""COMPUTED_VALUE"""),"21-14")</f>
        <v>21-14</v>
      </c>
      <c r="E59" s="1" t="str">
        <f ca="1">IFERROR(__xludf.DUMMYFUNCTION("""COMPUTED_VALUE"""),"+13.55")</f>
        <v>+13.55</v>
      </c>
      <c r="F59" s="1">
        <f ca="1">IFERROR(__xludf.DUMMYFUNCTION("""COMPUTED_VALUE"""),110)</f>
        <v>110</v>
      </c>
      <c r="G59" s="1">
        <f ca="1">IFERROR(__xludf.DUMMYFUNCTION("""COMPUTED_VALUE"""),67)</f>
        <v>67</v>
      </c>
      <c r="H59" s="1">
        <f ca="1">IFERROR(__xludf.DUMMYFUNCTION("""COMPUTED_VALUE"""),96.4)</f>
        <v>96.4</v>
      </c>
      <c r="I59" s="1">
        <f ca="1">IFERROR(__xludf.DUMMYFUNCTION("""COMPUTED_VALUE"""),56)</f>
        <v>56</v>
      </c>
      <c r="J59" s="1">
        <f ca="1">IFERROR(__xludf.DUMMYFUNCTION("""COMPUTED_VALUE"""),66.3)</f>
        <v>66.3</v>
      </c>
      <c r="K59" s="1">
        <f ca="1">IFERROR(__xludf.DUMMYFUNCTION("""COMPUTED_VALUE"""),126)</f>
        <v>126</v>
      </c>
      <c r="L59" s="1" t="str">
        <f ca="1">IFERROR(__xludf.DUMMYFUNCTION("""COMPUTED_VALUE"""),"+.039")</f>
        <v>+.039</v>
      </c>
      <c r="M59" s="1">
        <f ca="1">IFERROR(__xludf.DUMMYFUNCTION("""COMPUTED_VALUE"""),72)</f>
        <v>72</v>
      </c>
      <c r="N59" s="1" t="str">
        <f ca="1">IFERROR(__xludf.DUMMYFUNCTION("""COMPUTED_VALUE"""),"+9.61")</f>
        <v>+9.61</v>
      </c>
      <c r="O59" s="1">
        <f ca="1">IFERROR(__xludf.DUMMYFUNCTION("""COMPUTED_VALUE"""),26)</f>
        <v>26</v>
      </c>
      <c r="P59" s="1">
        <f ca="1">IFERROR(__xludf.DUMMYFUNCTION("""COMPUTED_VALUE"""),108.3)</f>
        <v>108.3</v>
      </c>
      <c r="Q59" s="1">
        <f ca="1">IFERROR(__xludf.DUMMYFUNCTION("""COMPUTED_VALUE"""),24)</f>
        <v>24</v>
      </c>
      <c r="R59" s="1">
        <f ca="1">IFERROR(__xludf.DUMMYFUNCTION("""COMPUTED_VALUE"""),98.7)</f>
        <v>98.7</v>
      </c>
      <c r="S59" s="1">
        <f ca="1">IFERROR(__xludf.DUMMYFUNCTION("""COMPUTED_VALUE"""),28)</f>
        <v>28</v>
      </c>
      <c r="T59" s="1">
        <f ca="1">IFERROR(__xludf.DUMMYFUNCTION("""COMPUTED_VALUE"""),-3.29)</f>
        <v>-3.29</v>
      </c>
      <c r="U59" s="1">
        <f ca="1">IFERROR(__xludf.DUMMYFUNCTION("""COMPUTED_VALUE"""),238)</f>
        <v>238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IFERROR(__xludf.DUMMYFUNCTION("""COMPUTED_VALUE"""),"Saint Mary's2")</f>
        <v>Saint Mary's2</v>
      </c>
      <c r="C60" s="1" t="str">
        <f ca="1">IFERROR(__xludf.DUMMYFUNCTION("""COMPUTED_VALUE"""),"WCC")</f>
        <v>WCC</v>
      </c>
      <c r="D60" s="1" t="str">
        <f ca="1">IFERROR(__xludf.DUMMYFUNCTION("""COMPUTED_VALUE"""),"28-7")</f>
        <v>28-7</v>
      </c>
      <c r="E60" s="1" t="str">
        <f ca="1">IFERROR(__xludf.DUMMYFUNCTION("""COMPUTED_VALUE"""),"+13.36")</f>
        <v>+13.36</v>
      </c>
      <c r="F60" s="1">
        <f ca="1">IFERROR(__xludf.DUMMYFUNCTION("""COMPUTED_VALUE"""),110.6)</f>
        <v>110.6</v>
      </c>
      <c r="G60" s="1">
        <f ca="1">IFERROR(__xludf.DUMMYFUNCTION("""COMPUTED_VALUE"""),58)</f>
        <v>58</v>
      </c>
      <c r="H60" s="1">
        <f ca="1">IFERROR(__xludf.DUMMYFUNCTION("""COMPUTED_VALUE"""),97.2)</f>
        <v>97.2</v>
      </c>
      <c r="I60" s="1">
        <f ca="1">IFERROR(__xludf.DUMMYFUNCTION("""COMPUTED_VALUE"""),65)</f>
        <v>65</v>
      </c>
      <c r="J60" s="1">
        <f ca="1">IFERROR(__xludf.DUMMYFUNCTION("""COMPUTED_VALUE"""),66.5)</f>
        <v>66.5</v>
      </c>
      <c r="K60" s="1">
        <f ca="1">IFERROR(__xludf.DUMMYFUNCTION("""COMPUTED_VALUE"""),114)</f>
        <v>114</v>
      </c>
      <c r="L60" s="1" t="str">
        <f ca="1">IFERROR(__xludf.DUMMYFUNCTION("""COMPUTED_VALUE"""),"+.083")</f>
        <v>+.083</v>
      </c>
      <c r="M60" s="1">
        <f ca="1">IFERROR(__xludf.DUMMYFUNCTION("""COMPUTED_VALUE"""),16)</f>
        <v>16</v>
      </c>
      <c r="N60" s="1" t="str">
        <f ca="1">IFERROR(__xludf.DUMMYFUNCTION("""COMPUTED_VALUE"""),"+1.81")</f>
        <v>+1.81</v>
      </c>
      <c r="O60" s="1">
        <f ca="1">IFERROR(__xludf.DUMMYFUNCTION("""COMPUTED_VALUE"""),115)</f>
        <v>115</v>
      </c>
      <c r="P60" s="1">
        <f ca="1">IFERROR(__xludf.DUMMYFUNCTION("""COMPUTED_VALUE"""),103.6)</f>
        <v>103.6</v>
      </c>
      <c r="Q60" s="1">
        <f ca="1">IFERROR(__xludf.DUMMYFUNCTION("""COMPUTED_VALUE"""),135)</f>
        <v>135</v>
      </c>
      <c r="R60" s="1">
        <f ca="1">IFERROR(__xludf.DUMMYFUNCTION("""COMPUTED_VALUE"""),101.8)</f>
        <v>101.8</v>
      </c>
      <c r="S60" s="1">
        <f ca="1">IFERROR(__xludf.DUMMYFUNCTION("""COMPUTED_VALUE"""),121)</f>
        <v>121</v>
      </c>
      <c r="T60" s="1" t="str">
        <f ca="1">IFERROR(__xludf.DUMMYFUNCTION("""COMPUTED_VALUE"""),"+1.62")</f>
        <v>+1.62</v>
      </c>
      <c r="U60" s="1">
        <f ca="1">IFERROR(__xludf.DUMMYFUNCTION("""COMPUTED_VALUE"""),115)</f>
        <v>115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IFERROR(__xludf.DUMMYFUNCTION("""COMPUTED_VALUE"""),"Penn St.2")</f>
        <v>Penn St.2</v>
      </c>
      <c r="C61" s="1" t="str">
        <f ca="1">IFERROR(__xludf.DUMMYFUNCTION("""COMPUTED_VALUE"""),"B10")</f>
        <v>B10</v>
      </c>
      <c r="D61" s="1" t="str">
        <f ca="1">IFERROR(__xludf.DUMMYFUNCTION("""COMPUTED_VALUE"""),"27-11")</f>
        <v>27-11</v>
      </c>
      <c r="E61" s="1" t="str">
        <f ca="1">IFERROR(__xludf.DUMMYFUNCTION("""COMPUTED_VALUE"""),"+12.91")</f>
        <v>+12.91</v>
      </c>
      <c r="F61" s="1">
        <f ca="1">IFERROR(__xludf.DUMMYFUNCTION("""COMPUTED_VALUE"""),111.8)</f>
        <v>111.8</v>
      </c>
      <c r="G61" s="1">
        <f ca="1">IFERROR(__xludf.DUMMYFUNCTION("""COMPUTED_VALUE"""),44)</f>
        <v>44</v>
      </c>
      <c r="H61" s="1">
        <f ca="1">IFERROR(__xludf.DUMMYFUNCTION("""COMPUTED_VALUE"""),98.9)</f>
        <v>98.9</v>
      </c>
      <c r="I61" s="1">
        <f ca="1">IFERROR(__xludf.DUMMYFUNCTION("""COMPUTED_VALUE"""),87)</f>
        <v>87</v>
      </c>
      <c r="J61" s="1">
        <f ca="1">IFERROR(__xludf.DUMMYFUNCTION("""COMPUTED_VALUE"""),61.8)</f>
        <v>61.8</v>
      </c>
      <c r="K61" s="1">
        <f ca="1">IFERROR(__xludf.DUMMYFUNCTION("""COMPUTED_VALUE"""),304)</f>
        <v>304</v>
      </c>
      <c r="L61" s="1" t="str">
        <f ca="1">IFERROR(__xludf.DUMMYFUNCTION("""COMPUTED_VALUE"""),"+.080")</f>
        <v>+.080</v>
      </c>
      <c r="M61" s="1">
        <f ca="1">IFERROR(__xludf.DUMMYFUNCTION("""COMPUTED_VALUE"""),18)</f>
        <v>18</v>
      </c>
      <c r="N61" s="1" t="str">
        <f ca="1">IFERROR(__xludf.DUMMYFUNCTION("""COMPUTED_VALUE"""),"+6.15")</f>
        <v>+6.15</v>
      </c>
      <c r="O61" s="1">
        <f ca="1">IFERROR(__xludf.DUMMYFUNCTION("""COMPUTED_VALUE"""),61)</f>
        <v>61</v>
      </c>
      <c r="P61" s="1">
        <f ca="1">IFERROR(__xludf.DUMMYFUNCTION("""COMPUTED_VALUE"""),105.2)</f>
        <v>105.2</v>
      </c>
      <c r="Q61" s="1">
        <f ca="1">IFERROR(__xludf.DUMMYFUNCTION("""COMPUTED_VALUE"""),86)</f>
        <v>86</v>
      </c>
      <c r="R61" s="1">
        <f ca="1">IFERROR(__xludf.DUMMYFUNCTION("""COMPUTED_VALUE"""),99)</f>
        <v>99</v>
      </c>
      <c r="S61" s="1">
        <f ca="1">IFERROR(__xludf.DUMMYFUNCTION("""COMPUTED_VALUE"""),38)</f>
        <v>38</v>
      </c>
      <c r="T61" s="1">
        <f ca="1">IFERROR(__xludf.DUMMYFUNCTION("""COMPUTED_VALUE"""),-9.92)</f>
        <v>-9.92</v>
      </c>
      <c r="U61" s="1">
        <f ca="1">IFERROR(__xludf.DUMMYFUNCTION("""COMPUTED_VALUE"""),337)</f>
        <v>337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IFERROR(__xludf.DUMMYFUNCTION("""COMPUTED_VALUE"""),"Tulsa4")</f>
        <v>Tulsa4</v>
      </c>
      <c r="C62" s="1" t="str">
        <f ca="1">IFERROR(__xludf.DUMMYFUNCTION("""COMPUTED_VALUE"""),"CUSA")</f>
        <v>CUSA</v>
      </c>
      <c r="D62" s="1" t="str">
        <f ca="1">IFERROR(__xludf.DUMMYFUNCTION("""COMPUTED_VALUE"""),"25-11")</f>
        <v>25-11</v>
      </c>
      <c r="E62" s="1" t="str">
        <f ca="1">IFERROR(__xludf.DUMMYFUNCTION("""COMPUTED_VALUE"""),"+12.75")</f>
        <v>+12.75</v>
      </c>
      <c r="F62" s="1">
        <f ca="1">IFERROR(__xludf.DUMMYFUNCTION("""COMPUTED_VALUE"""),106.2)</f>
        <v>106.2</v>
      </c>
      <c r="G62" s="1">
        <f ca="1">IFERROR(__xludf.DUMMYFUNCTION("""COMPUTED_VALUE"""),110)</f>
        <v>110</v>
      </c>
      <c r="H62" s="1">
        <f ca="1">IFERROR(__xludf.DUMMYFUNCTION("""COMPUTED_VALUE"""),93.4)</f>
        <v>93.4</v>
      </c>
      <c r="I62" s="1">
        <f ca="1">IFERROR(__xludf.DUMMYFUNCTION("""COMPUTED_VALUE"""),31)</f>
        <v>31</v>
      </c>
      <c r="J62" s="1">
        <f ca="1">IFERROR(__xludf.DUMMYFUNCTION("""COMPUTED_VALUE"""),64.1)</f>
        <v>64.099999999999994</v>
      </c>
      <c r="K62" s="1">
        <f ca="1">IFERROR(__xludf.DUMMYFUNCTION("""COMPUTED_VALUE"""),226)</f>
        <v>226</v>
      </c>
      <c r="L62" s="1" t="str">
        <f ca="1">IFERROR(__xludf.DUMMYFUNCTION("""COMPUTED_VALUE"""),"+.060")</f>
        <v>+.060</v>
      </c>
      <c r="M62" s="1">
        <f ca="1">IFERROR(__xludf.DUMMYFUNCTION("""COMPUTED_VALUE"""),36)</f>
        <v>36</v>
      </c>
      <c r="N62" s="1" t="str">
        <f ca="1">IFERROR(__xludf.DUMMYFUNCTION("""COMPUTED_VALUE"""),"+4.88")</f>
        <v>+4.88</v>
      </c>
      <c r="O62" s="1">
        <f ca="1">IFERROR(__xludf.DUMMYFUNCTION("""COMPUTED_VALUE"""),73)</f>
        <v>73</v>
      </c>
      <c r="P62" s="1">
        <f ca="1">IFERROR(__xludf.DUMMYFUNCTION("""COMPUTED_VALUE"""),105.4)</f>
        <v>105.4</v>
      </c>
      <c r="Q62" s="1">
        <f ca="1">IFERROR(__xludf.DUMMYFUNCTION("""COMPUTED_VALUE"""),79)</f>
        <v>79</v>
      </c>
      <c r="R62" s="1">
        <f ca="1">IFERROR(__xludf.DUMMYFUNCTION("""COMPUTED_VALUE"""),100.5)</f>
        <v>100.5</v>
      </c>
      <c r="S62" s="1">
        <f ca="1">IFERROR(__xludf.DUMMYFUNCTION("""COMPUTED_VALUE"""),72)</f>
        <v>72</v>
      </c>
      <c r="T62" s="1" t="str">
        <f ca="1">IFERROR(__xludf.DUMMYFUNCTION("""COMPUTED_VALUE"""),"+2.32")</f>
        <v>+2.32</v>
      </c>
      <c r="U62" s="1">
        <f ca="1">IFERROR(__xludf.DUMMYFUNCTION("""COMPUTED_VALUE"""),101)</f>
        <v>101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IFERROR(__xludf.DUMMYFUNCTION("""COMPUTED_VALUE"""),"Auburn1")</f>
        <v>Auburn1</v>
      </c>
      <c r="C63" s="1" t="str">
        <f ca="1">IFERROR(__xludf.DUMMYFUNCTION("""COMPUTED_VALUE"""),"SEC")</f>
        <v>SEC</v>
      </c>
      <c r="D63" s="1" t="str">
        <f ca="1">IFERROR(__xludf.DUMMYFUNCTION("""COMPUTED_VALUE"""),"24-12")</f>
        <v>24-12</v>
      </c>
      <c r="E63" s="1" t="str">
        <f ca="1">IFERROR(__xludf.DUMMYFUNCTION("""COMPUTED_VALUE"""),"+12.46")</f>
        <v>+12.46</v>
      </c>
      <c r="F63" s="1">
        <f ca="1">IFERROR(__xludf.DUMMYFUNCTION("""COMPUTED_VALUE"""),106.8)</f>
        <v>106.8</v>
      </c>
      <c r="G63" s="1">
        <f ca="1">IFERROR(__xludf.DUMMYFUNCTION("""COMPUTED_VALUE"""),102)</f>
        <v>102</v>
      </c>
      <c r="H63" s="1">
        <f ca="1">IFERROR(__xludf.DUMMYFUNCTION("""COMPUTED_VALUE"""),94.3)</f>
        <v>94.3</v>
      </c>
      <c r="I63" s="1">
        <f ca="1">IFERROR(__xludf.DUMMYFUNCTION("""COMPUTED_VALUE"""),37)</f>
        <v>37</v>
      </c>
      <c r="J63" s="1">
        <f ca="1">IFERROR(__xludf.DUMMYFUNCTION("""COMPUTED_VALUE"""),68.3)</f>
        <v>68.3</v>
      </c>
      <c r="K63" s="1">
        <f ca="1">IFERROR(__xludf.DUMMYFUNCTION("""COMPUTED_VALUE"""),60)</f>
        <v>60</v>
      </c>
      <c r="L63" s="1">
        <f ca="1">IFERROR(__xludf.DUMMYFUNCTION("""COMPUTED_VALUE"""),-0.032)</f>
        <v>-3.2000000000000001E-2</v>
      </c>
      <c r="M63" s="1">
        <f ca="1">IFERROR(__xludf.DUMMYFUNCTION("""COMPUTED_VALUE"""),259)</f>
        <v>259</v>
      </c>
      <c r="N63" s="1" t="str">
        <f ca="1">IFERROR(__xludf.DUMMYFUNCTION("""COMPUTED_VALUE"""),"+3.54")</f>
        <v>+3.54</v>
      </c>
      <c r="O63" s="1">
        <f ca="1">IFERROR(__xludf.DUMMYFUNCTION("""COMPUTED_VALUE"""),91)</f>
        <v>91</v>
      </c>
      <c r="P63" s="1">
        <f ca="1">IFERROR(__xludf.DUMMYFUNCTION("""COMPUTED_VALUE"""),104.7)</f>
        <v>104.7</v>
      </c>
      <c r="Q63" s="1">
        <f ca="1">IFERROR(__xludf.DUMMYFUNCTION("""COMPUTED_VALUE"""),96)</f>
        <v>96</v>
      </c>
      <c r="R63" s="1">
        <f ca="1">IFERROR(__xludf.DUMMYFUNCTION("""COMPUTED_VALUE"""),101.2)</f>
        <v>101.2</v>
      </c>
      <c r="S63" s="1">
        <f ca="1">IFERROR(__xludf.DUMMYFUNCTION("""COMPUTED_VALUE"""),95)</f>
        <v>95</v>
      </c>
      <c r="T63" s="1">
        <f ca="1">IFERROR(__xludf.DUMMYFUNCTION("""COMPUTED_VALUE"""),-7.27)</f>
        <v>-7.27</v>
      </c>
      <c r="U63" s="1">
        <f ca="1">IFERROR(__xludf.DUMMYFUNCTION("""COMPUTED_VALUE"""),310)</f>
        <v>310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IFERROR(__xludf.DUMMYFUNCTION("""COMPUTED_VALUE"""),"Illinois St.5")</f>
        <v>Illinois St.5</v>
      </c>
      <c r="C64" s="1" t="str">
        <f ca="1">IFERROR(__xludf.DUMMYFUNCTION("""COMPUTED_VALUE"""),"MVC")</f>
        <v>MVC</v>
      </c>
      <c r="D64" s="1" t="str">
        <f ca="1">IFERROR(__xludf.DUMMYFUNCTION("""COMPUTED_VALUE"""),"24-10")</f>
        <v>24-10</v>
      </c>
      <c r="E64" s="1" t="str">
        <f ca="1">IFERROR(__xludf.DUMMYFUNCTION("""COMPUTED_VALUE"""),"+12.44")</f>
        <v>+12.44</v>
      </c>
      <c r="F64" s="1">
        <f ca="1">IFERROR(__xludf.DUMMYFUNCTION("""COMPUTED_VALUE"""),109)</f>
        <v>109</v>
      </c>
      <c r="G64" s="1">
        <f ca="1">IFERROR(__xludf.DUMMYFUNCTION("""COMPUTED_VALUE"""),78)</f>
        <v>78</v>
      </c>
      <c r="H64" s="1">
        <f ca="1">IFERROR(__xludf.DUMMYFUNCTION("""COMPUTED_VALUE"""),96.5)</f>
        <v>96.5</v>
      </c>
      <c r="I64" s="1">
        <f ca="1">IFERROR(__xludf.DUMMYFUNCTION("""COMPUTED_VALUE"""),58)</f>
        <v>58</v>
      </c>
      <c r="J64" s="1">
        <f ca="1">IFERROR(__xludf.DUMMYFUNCTION("""COMPUTED_VALUE"""),64.2)</f>
        <v>64.2</v>
      </c>
      <c r="K64" s="1">
        <f ca="1">IFERROR(__xludf.DUMMYFUNCTION("""COMPUTED_VALUE"""),223)</f>
        <v>223</v>
      </c>
      <c r="L64" s="1">
        <f ca="1">IFERROR(__xludf.DUMMYFUNCTION("""COMPUTED_VALUE"""),-0.038)</f>
        <v>-3.7999999999999999E-2</v>
      </c>
      <c r="M64" s="1">
        <f ca="1">IFERROR(__xludf.DUMMYFUNCTION("""COMPUTED_VALUE"""),273)</f>
        <v>273</v>
      </c>
      <c r="N64" s="1" t="str">
        <f ca="1">IFERROR(__xludf.DUMMYFUNCTION("""COMPUTED_VALUE"""),"+1.10")</f>
        <v>+1.10</v>
      </c>
      <c r="O64" s="1">
        <f ca="1">IFERROR(__xludf.DUMMYFUNCTION("""COMPUTED_VALUE"""),131)</f>
        <v>131</v>
      </c>
      <c r="P64" s="1">
        <f ca="1">IFERROR(__xludf.DUMMYFUNCTION("""COMPUTED_VALUE"""),103.1)</f>
        <v>103.1</v>
      </c>
      <c r="Q64" s="1">
        <f ca="1">IFERROR(__xludf.DUMMYFUNCTION("""COMPUTED_VALUE"""),153)</f>
        <v>153</v>
      </c>
      <c r="R64" s="1">
        <f ca="1">IFERROR(__xludf.DUMMYFUNCTION("""COMPUTED_VALUE"""),102)</f>
        <v>102</v>
      </c>
      <c r="S64" s="1">
        <f ca="1">IFERROR(__xludf.DUMMYFUNCTION("""COMPUTED_VALUE"""),130)</f>
        <v>130</v>
      </c>
      <c r="T64" s="1">
        <f ca="1">IFERROR(__xludf.DUMMYFUNCTION("""COMPUTED_VALUE"""),-4.41)</f>
        <v>-4.41</v>
      </c>
      <c r="U64" s="1">
        <f ca="1">IFERROR(__xludf.DUMMYFUNCTION("""COMPUTED_VALUE"""),263)</f>
        <v>263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IFERROR(__xludf.DUMMYFUNCTION("""COMPUTED_VALUE"""),"North Dakota St.14")</f>
        <v>North Dakota St.14</v>
      </c>
      <c r="C65" s="1" t="str">
        <f ca="1">IFERROR(__xludf.DUMMYFUNCTION("""COMPUTED_VALUE"""),"Sum")</f>
        <v>Sum</v>
      </c>
      <c r="D65" s="1" t="str">
        <f ca="1">IFERROR(__xludf.DUMMYFUNCTION("""COMPUTED_VALUE"""),"26-7")</f>
        <v>26-7</v>
      </c>
      <c r="E65" s="1" t="str">
        <f ca="1">IFERROR(__xludf.DUMMYFUNCTION("""COMPUTED_VALUE"""),"+12.29")</f>
        <v>+12.29</v>
      </c>
      <c r="F65" s="1">
        <f ca="1">IFERROR(__xludf.DUMMYFUNCTION("""COMPUTED_VALUE"""),114.3)</f>
        <v>114.3</v>
      </c>
      <c r="G65" s="1">
        <f ca="1">IFERROR(__xludf.DUMMYFUNCTION("""COMPUTED_VALUE"""),25)</f>
        <v>25</v>
      </c>
      <c r="H65" s="1">
        <f ca="1">IFERROR(__xludf.DUMMYFUNCTION("""COMPUTED_VALUE"""),102)</f>
        <v>102</v>
      </c>
      <c r="I65" s="1">
        <f ca="1">IFERROR(__xludf.DUMMYFUNCTION("""COMPUTED_VALUE"""),152)</f>
        <v>152</v>
      </c>
      <c r="J65" s="1">
        <f ca="1">IFERROR(__xludf.DUMMYFUNCTION("""COMPUTED_VALUE"""),67.5)</f>
        <v>67.5</v>
      </c>
      <c r="K65" s="1">
        <f ca="1">IFERROR(__xludf.DUMMYFUNCTION("""COMPUTED_VALUE"""),79)</f>
        <v>79</v>
      </c>
      <c r="L65" s="1">
        <f ca="1">IFERROR(__xludf.DUMMYFUNCTION("""COMPUTED_VALUE"""),-0.009)</f>
        <v>-8.9999999999999993E-3</v>
      </c>
      <c r="M65" s="1">
        <f ca="1">IFERROR(__xludf.DUMMYFUNCTION("""COMPUTED_VALUE"""),187)</f>
        <v>187</v>
      </c>
      <c r="N65" s="1">
        <f ca="1">IFERROR(__xludf.DUMMYFUNCTION("""COMPUTED_VALUE"""),-1.6)</f>
        <v>-1.6</v>
      </c>
      <c r="O65" s="1">
        <f ca="1">IFERROR(__xludf.DUMMYFUNCTION("""COMPUTED_VALUE"""),193)</f>
        <v>193</v>
      </c>
      <c r="P65" s="1">
        <f ca="1">IFERROR(__xludf.DUMMYFUNCTION("""COMPUTED_VALUE"""),103.1)</f>
        <v>103.1</v>
      </c>
      <c r="Q65" s="1">
        <f ca="1">IFERROR(__xludf.DUMMYFUNCTION("""COMPUTED_VALUE"""),154)</f>
        <v>154</v>
      </c>
      <c r="R65" s="1">
        <f ca="1">IFERROR(__xludf.DUMMYFUNCTION("""COMPUTED_VALUE"""),104.7)</f>
        <v>104.7</v>
      </c>
      <c r="S65" s="1">
        <f ca="1">IFERROR(__xludf.DUMMYFUNCTION("""COMPUTED_VALUE"""),236)</f>
        <v>236</v>
      </c>
      <c r="T65" s="1" t="str">
        <f ca="1">IFERROR(__xludf.DUMMYFUNCTION("""COMPUTED_VALUE"""),"+2.21")</f>
        <v>+2.21</v>
      </c>
      <c r="U65" s="1">
        <f ca="1">IFERROR(__xludf.DUMMYFUNCTION("""COMPUTED_VALUE"""),105)</f>
        <v>105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IFERROR(__xludf.DUMMYFUNCTION("""COMPUTED_VALUE"""),"Rhode Island6")</f>
        <v>Rhode Island6</v>
      </c>
      <c r="C66" s="1" t="str">
        <f ca="1">IFERROR(__xludf.DUMMYFUNCTION("""COMPUTED_VALUE"""),"A10")</f>
        <v>A10</v>
      </c>
      <c r="D66" s="1" t="str">
        <f ca="1">IFERROR(__xludf.DUMMYFUNCTION("""COMPUTED_VALUE"""),"23-11")</f>
        <v>23-11</v>
      </c>
      <c r="E66" s="1" t="str">
        <f ca="1">IFERROR(__xludf.DUMMYFUNCTION("""COMPUTED_VALUE"""),"+12.26")</f>
        <v>+12.26</v>
      </c>
      <c r="F66" s="1">
        <f ca="1">IFERROR(__xludf.DUMMYFUNCTION("""COMPUTED_VALUE"""),113.7)</f>
        <v>113.7</v>
      </c>
      <c r="G66" s="1">
        <f ca="1">IFERROR(__xludf.DUMMYFUNCTION("""COMPUTED_VALUE"""),29)</f>
        <v>29</v>
      </c>
      <c r="H66" s="1">
        <f ca="1">IFERROR(__xludf.DUMMYFUNCTION("""COMPUTED_VALUE"""),101.5)</f>
        <v>101.5</v>
      </c>
      <c r="I66" s="1">
        <f ca="1">IFERROR(__xludf.DUMMYFUNCTION("""COMPUTED_VALUE"""),141)</f>
        <v>141</v>
      </c>
      <c r="J66" s="1">
        <f ca="1">IFERROR(__xludf.DUMMYFUNCTION("""COMPUTED_VALUE"""),67.7)</f>
        <v>67.7</v>
      </c>
      <c r="K66" s="1">
        <f ca="1">IFERROR(__xludf.DUMMYFUNCTION("""COMPUTED_VALUE"""),76)</f>
        <v>76</v>
      </c>
      <c r="L66" s="1">
        <f ca="1">IFERROR(__xludf.DUMMYFUNCTION("""COMPUTED_VALUE"""),-0.043)</f>
        <v>-4.2999999999999997E-2</v>
      </c>
      <c r="M66" s="1">
        <f ca="1">IFERROR(__xludf.DUMMYFUNCTION("""COMPUTED_VALUE"""),278)</f>
        <v>278</v>
      </c>
      <c r="N66" s="1" t="str">
        <f ca="1">IFERROR(__xludf.DUMMYFUNCTION("""COMPUTED_VALUE"""),"+3.16")</f>
        <v>+3.16</v>
      </c>
      <c r="O66" s="1">
        <f ca="1">IFERROR(__xludf.DUMMYFUNCTION("""COMPUTED_VALUE"""),96)</f>
        <v>96</v>
      </c>
      <c r="P66" s="1">
        <f ca="1">IFERROR(__xludf.DUMMYFUNCTION("""COMPUTED_VALUE"""),104.9)</f>
        <v>104.9</v>
      </c>
      <c r="Q66" s="1">
        <f ca="1">IFERROR(__xludf.DUMMYFUNCTION("""COMPUTED_VALUE"""),95)</f>
        <v>95</v>
      </c>
      <c r="R66" s="1">
        <f ca="1">IFERROR(__xludf.DUMMYFUNCTION("""COMPUTED_VALUE"""),101.7)</f>
        <v>101.7</v>
      </c>
      <c r="S66" s="1">
        <f ca="1">IFERROR(__xludf.DUMMYFUNCTION("""COMPUTED_VALUE"""),115)</f>
        <v>115</v>
      </c>
      <c r="T66" s="1" t="str">
        <f ca="1">IFERROR(__xludf.DUMMYFUNCTION("""COMPUTED_VALUE"""),"+0.22")</f>
        <v>+0.22</v>
      </c>
      <c r="U66" s="1">
        <f ca="1">IFERROR(__xludf.DUMMYFUNCTION("""COMPUTED_VALUE"""),148)</f>
        <v>148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IFERROR(__xludf.DUMMYFUNCTION("""COMPUTED_VALUE"""),"Nebraska6")</f>
        <v>Nebraska6</v>
      </c>
      <c r="C67" s="1" t="str">
        <f ca="1">IFERROR(__xludf.DUMMYFUNCTION("""COMPUTED_VALUE"""),"B12")</f>
        <v>B12</v>
      </c>
      <c r="D67" s="1" t="str">
        <f ca="1">IFERROR(__xludf.DUMMYFUNCTION("""COMPUTED_VALUE"""),"18-13")</f>
        <v>18-13</v>
      </c>
      <c r="E67" s="1" t="str">
        <f ca="1">IFERROR(__xludf.DUMMYFUNCTION("""COMPUTED_VALUE"""),"+12.21")</f>
        <v>+12.21</v>
      </c>
      <c r="F67" s="1">
        <f ca="1">IFERROR(__xludf.DUMMYFUNCTION("""COMPUTED_VALUE"""),103.5)</f>
        <v>103.5</v>
      </c>
      <c r="G67" s="1">
        <f ca="1">IFERROR(__xludf.DUMMYFUNCTION("""COMPUTED_VALUE"""),153)</f>
        <v>153</v>
      </c>
      <c r="H67" s="1">
        <f ca="1">IFERROR(__xludf.DUMMYFUNCTION("""COMPUTED_VALUE"""),91.3)</f>
        <v>91.3</v>
      </c>
      <c r="I67" s="1">
        <f ca="1">IFERROR(__xludf.DUMMYFUNCTION("""COMPUTED_VALUE"""),15)</f>
        <v>15</v>
      </c>
      <c r="J67" s="1">
        <f ca="1">IFERROR(__xludf.DUMMYFUNCTION("""COMPUTED_VALUE"""),62.9)</f>
        <v>62.9</v>
      </c>
      <c r="K67" s="1">
        <f ca="1">IFERROR(__xludf.DUMMYFUNCTION("""COMPUTED_VALUE"""),268)</f>
        <v>268</v>
      </c>
      <c r="L67" s="1">
        <f ca="1">IFERROR(__xludf.DUMMYFUNCTION("""COMPUTED_VALUE"""),-0.032)</f>
        <v>-3.2000000000000001E-2</v>
      </c>
      <c r="M67" s="1">
        <f ca="1">IFERROR(__xludf.DUMMYFUNCTION("""COMPUTED_VALUE"""),262)</f>
        <v>262</v>
      </c>
      <c r="N67" s="1" t="str">
        <f ca="1">IFERROR(__xludf.DUMMYFUNCTION("""COMPUTED_VALUE"""),"+6.32")</f>
        <v>+6.32</v>
      </c>
      <c r="O67" s="1">
        <f ca="1">IFERROR(__xludf.DUMMYFUNCTION("""COMPUTED_VALUE"""),58)</f>
        <v>58</v>
      </c>
      <c r="P67" s="1">
        <f ca="1">IFERROR(__xludf.DUMMYFUNCTION("""COMPUTED_VALUE"""),106.6)</f>
        <v>106.6</v>
      </c>
      <c r="Q67" s="1">
        <f ca="1">IFERROR(__xludf.DUMMYFUNCTION("""COMPUTED_VALUE"""),52)</f>
        <v>52</v>
      </c>
      <c r="R67" s="1">
        <f ca="1">IFERROR(__xludf.DUMMYFUNCTION("""COMPUTED_VALUE"""),100.3)</f>
        <v>100.3</v>
      </c>
      <c r="S67" s="1">
        <f ca="1">IFERROR(__xludf.DUMMYFUNCTION("""COMPUTED_VALUE"""),69)</f>
        <v>69</v>
      </c>
      <c r="T67" s="1">
        <f ca="1">IFERROR(__xludf.DUMMYFUNCTION("""COMPUTED_VALUE"""),-8.47)</f>
        <v>-8.4700000000000006</v>
      </c>
      <c r="U67" s="1">
        <f ca="1">IFERROR(__xludf.DUMMYFUNCTION("""COMPUTED_VALUE"""),325)</f>
        <v>325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IFERROR(__xludf.DUMMYFUNCTION("""COMPUTED_VALUE"""),"Davidson6")</f>
        <v>Davidson6</v>
      </c>
      <c r="C68" s="1" t="str">
        <f ca="1">IFERROR(__xludf.DUMMYFUNCTION("""COMPUTED_VALUE"""),"SC")</f>
        <v>SC</v>
      </c>
      <c r="D68" s="1" t="str">
        <f ca="1">IFERROR(__xludf.DUMMYFUNCTION("""COMPUTED_VALUE"""),"27-8")</f>
        <v>27-8</v>
      </c>
      <c r="E68" s="1" t="str">
        <f ca="1">IFERROR(__xludf.DUMMYFUNCTION("""COMPUTED_VALUE"""),"+12.06")</f>
        <v>+12.06</v>
      </c>
      <c r="F68" s="1">
        <f ca="1">IFERROR(__xludf.DUMMYFUNCTION("""COMPUTED_VALUE"""),105.1)</f>
        <v>105.1</v>
      </c>
      <c r="G68" s="1">
        <f ca="1">IFERROR(__xludf.DUMMYFUNCTION("""COMPUTED_VALUE"""),129)</f>
        <v>129</v>
      </c>
      <c r="H68" s="1">
        <f ca="1">IFERROR(__xludf.DUMMYFUNCTION("""COMPUTED_VALUE"""),93.1)</f>
        <v>93.1</v>
      </c>
      <c r="I68" s="1">
        <f ca="1">IFERROR(__xludf.DUMMYFUNCTION("""COMPUTED_VALUE"""),26)</f>
        <v>26</v>
      </c>
      <c r="J68" s="1">
        <f ca="1">IFERROR(__xludf.DUMMYFUNCTION("""COMPUTED_VALUE"""),70)</f>
        <v>70</v>
      </c>
      <c r="K68" s="1">
        <f ca="1">IFERROR(__xludf.DUMMYFUNCTION("""COMPUTED_VALUE"""),23)</f>
        <v>23</v>
      </c>
      <c r="L68" s="1" t="str">
        <f ca="1">IFERROR(__xludf.DUMMYFUNCTION("""COMPUTED_VALUE"""),"+.003")</f>
        <v>+.003</v>
      </c>
      <c r="M68" s="1">
        <f ca="1">IFERROR(__xludf.DUMMYFUNCTION("""COMPUTED_VALUE"""),153)</f>
        <v>153</v>
      </c>
      <c r="N68" s="1">
        <f ca="1">IFERROR(__xludf.DUMMYFUNCTION("""COMPUTED_VALUE"""),-3.79)</f>
        <v>-3.79</v>
      </c>
      <c r="O68" s="1">
        <f ca="1">IFERROR(__xludf.DUMMYFUNCTION("""COMPUTED_VALUE"""),245)</f>
        <v>245</v>
      </c>
      <c r="P68" s="1">
        <f ca="1">IFERROR(__xludf.DUMMYFUNCTION("""COMPUTED_VALUE"""),102.8)</f>
        <v>102.8</v>
      </c>
      <c r="Q68" s="1">
        <f ca="1">IFERROR(__xludf.DUMMYFUNCTION("""COMPUTED_VALUE"""),172)</f>
        <v>172</v>
      </c>
      <c r="R68" s="1">
        <f ca="1">IFERROR(__xludf.DUMMYFUNCTION("""COMPUTED_VALUE"""),106.6)</f>
        <v>106.6</v>
      </c>
      <c r="S68" s="1">
        <f ca="1">IFERROR(__xludf.DUMMYFUNCTION("""COMPUTED_VALUE"""),319)</f>
        <v>319</v>
      </c>
      <c r="T68" s="1" t="str">
        <f ca="1">IFERROR(__xludf.DUMMYFUNCTION("""COMPUTED_VALUE"""),"+8.47")</f>
        <v>+8.47</v>
      </c>
      <c r="U68" s="1">
        <f ca="1">IFERROR(__xludf.DUMMYFUNCTION("""COMPUTED_VALUE"""),23)</f>
        <v>23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IFERROR(__xludf.DUMMYFUNCTION("""COMPUTED_VALUE"""),"Northwestern5")</f>
        <v>Northwestern5</v>
      </c>
      <c r="C69" s="1" t="str">
        <f ca="1">IFERROR(__xludf.DUMMYFUNCTION("""COMPUTED_VALUE"""),"B10")</f>
        <v>B10</v>
      </c>
      <c r="D69" s="1" t="str">
        <f ca="1">IFERROR(__xludf.DUMMYFUNCTION("""COMPUTED_VALUE"""),"17-14")</f>
        <v>17-14</v>
      </c>
      <c r="E69" s="1" t="str">
        <f ca="1">IFERROR(__xludf.DUMMYFUNCTION("""COMPUTED_VALUE"""),"+12.01")</f>
        <v>+12.01</v>
      </c>
      <c r="F69" s="1">
        <f ca="1">IFERROR(__xludf.DUMMYFUNCTION("""COMPUTED_VALUE"""),111.7)</f>
        <v>111.7</v>
      </c>
      <c r="G69" s="1">
        <f ca="1">IFERROR(__xludf.DUMMYFUNCTION("""COMPUTED_VALUE"""),45)</f>
        <v>45</v>
      </c>
      <c r="H69" s="1">
        <f ca="1">IFERROR(__xludf.DUMMYFUNCTION("""COMPUTED_VALUE"""),99.7)</f>
        <v>99.7</v>
      </c>
      <c r="I69" s="1">
        <f ca="1">IFERROR(__xludf.DUMMYFUNCTION("""COMPUTED_VALUE"""),102)</f>
        <v>102</v>
      </c>
      <c r="J69" s="1">
        <f ca="1">IFERROR(__xludf.DUMMYFUNCTION("""COMPUTED_VALUE"""),60.2)</f>
        <v>60.2</v>
      </c>
      <c r="K69" s="1">
        <f ca="1">IFERROR(__xludf.DUMMYFUNCTION("""COMPUTED_VALUE"""),324)</f>
        <v>324</v>
      </c>
      <c r="L69" s="1">
        <f ca="1">IFERROR(__xludf.DUMMYFUNCTION("""COMPUTED_VALUE"""),-0.029)</f>
        <v>-2.9000000000000001E-2</v>
      </c>
      <c r="M69" s="1">
        <f ca="1">IFERROR(__xludf.DUMMYFUNCTION("""COMPUTED_VALUE"""),250)</f>
        <v>250</v>
      </c>
      <c r="N69" s="1" t="str">
        <f ca="1">IFERROR(__xludf.DUMMYFUNCTION("""COMPUTED_VALUE"""),"+7.92")</f>
        <v>+7.92</v>
      </c>
      <c r="O69" s="1">
        <f ca="1">IFERROR(__xludf.DUMMYFUNCTION("""COMPUTED_VALUE"""),46)</f>
        <v>46</v>
      </c>
      <c r="P69" s="1">
        <f ca="1">IFERROR(__xludf.DUMMYFUNCTION("""COMPUTED_VALUE"""),106.6)</f>
        <v>106.6</v>
      </c>
      <c r="Q69" s="1">
        <f ca="1">IFERROR(__xludf.DUMMYFUNCTION("""COMPUTED_VALUE"""),54)</f>
        <v>54</v>
      </c>
      <c r="R69" s="1">
        <f ca="1">IFERROR(__xludf.DUMMYFUNCTION("""COMPUTED_VALUE"""),98.6)</f>
        <v>98.6</v>
      </c>
      <c r="S69" s="1">
        <f ca="1">IFERROR(__xludf.DUMMYFUNCTION("""COMPUTED_VALUE"""),26)</f>
        <v>26</v>
      </c>
      <c r="T69" s="1">
        <f ca="1">IFERROR(__xludf.DUMMYFUNCTION("""COMPUTED_VALUE"""),-5.83)</f>
        <v>-5.83</v>
      </c>
      <c r="U69" s="1">
        <f ca="1">IFERROR(__xludf.DUMMYFUNCTION("""COMPUTED_VALUE"""),296)</f>
        <v>296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IFERROR(__xludf.DUMMYFUNCTION("""COMPUTED_VALUE"""),"Cleveland St.13")</f>
        <v>Cleveland St.13</v>
      </c>
      <c r="C70" s="1" t="str">
        <f ca="1">IFERROR(__xludf.DUMMYFUNCTION("""COMPUTED_VALUE"""),"Horz")</f>
        <v>Horz</v>
      </c>
      <c r="D70" s="1" t="str">
        <f ca="1">IFERROR(__xludf.DUMMYFUNCTION("""COMPUTED_VALUE"""),"26-11")</f>
        <v>26-11</v>
      </c>
      <c r="E70" s="1" t="str">
        <f ca="1">IFERROR(__xludf.DUMMYFUNCTION("""COMPUTED_VALUE"""),"+11.96")</f>
        <v>+11.96</v>
      </c>
      <c r="F70" s="1">
        <f ca="1">IFERROR(__xludf.DUMMYFUNCTION("""COMPUTED_VALUE"""),105.3)</f>
        <v>105.3</v>
      </c>
      <c r="G70" s="1">
        <f ca="1">IFERROR(__xludf.DUMMYFUNCTION("""COMPUTED_VALUE"""),124)</f>
        <v>124</v>
      </c>
      <c r="H70" s="1">
        <f ca="1">IFERROR(__xludf.DUMMYFUNCTION("""COMPUTED_VALUE"""),93.3)</f>
        <v>93.3</v>
      </c>
      <c r="I70" s="1">
        <f ca="1">IFERROR(__xludf.DUMMYFUNCTION("""COMPUTED_VALUE"""),29)</f>
        <v>29</v>
      </c>
      <c r="J70" s="1">
        <f ca="1">IFERROR(__xludf.DUMMYFUNCTION("""COMPUTED_VALUE"""),63.7)</f>
        <v>63.7</v>
      </c>
      <c r="K70" s="1">
        <f ca="1">IFERROR(__xludf.DUMMYFUNCTION("""COMPUTED_VALUE"""),243)</f>
        <v>243</v>
      </c>
      <c r="L70" s="1" t="str">
        <f ca="1">IFERROR(__xludf.DUMMYFUNCTION("""COMPUTED_VALUE"""),"+.009")</f>
        <v>+.009</v>
      </c>
      <c r="M70" s="1">
        <f ca="1">IFERROR(__xludf.DUMMYFUNCTION("""COMPUTED_VALUE"""),145)</f>
        <v>145</v>
      </c>
      <c r="N70" s="1" t="str">
        <f ca="1">IFERROR(__xludf.DUMMYFUNCTION("""COMPUTED_VALUE"""),"+3.76")</f>
        <v>+3.76</v>
      </c>
      <c r="O70" s="1">
        <f ca="1">IFERROR(__xludf.DUMMYFUNCTION("""COMPUTED_VALUE"""),88)</f>
        <v>88</v>
      </c>
      <c r="P70" s="1">
        <f ca="1">IFERROR(__xludf.DUMMYFUNCTION("""COMPUTED_VALUE"""),104.6)</f>
        <v>104.6</v>
      </c>
      <c r="Q70" s="1">
        <f ca="1">IFERROR(__xludf.DUMMYFUNCTION("""COMPUTED_VALUE"""),100)</f>
        <v>100</v>
      </c>
      <c r="R70" s="1">
        <f ca="1">IFERROR(__xludf.DUMMYFUNCTION("""COMPUTED_VALUE"""),100.9)</f>
        <v>100.9</v>
      </c>
      <c r="S70" s="1">
        <f ca="1">IFERROR(__xludf.DUMMYFUNCTION("""COMPUTED_VALUE"""),81)</f>
        <v>81</v>
      </c>
      <c r="T70" s="1" t="str">
        <f ca="1">IFERROR(__xludf.DUMMYFUNCTION("""COMPUTED_VALUE"""),"+7.07")</f>
        <v>+7.07</v>
      </c>
      <c r="U70" s="1">
        <f ca="1">IFERROR(__xludf.DUMMYFUNCTION("""COMPUTED_VALUE"""),33)</f>
        <v>33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IFERROR(__xludf.DUMMYFUNCTION("""COMPUTED_VALUE"""),"Siena9")</f>
        <v>Siena9</v>
      </c>
      <c r="C71" s="1" t="str">
        <f ca="1">IFERROR(__xludf.DUMMYFUNCTION("""COMPUTED_VALUE"""),"MAAC")</f>
        <v>MAAC</v>
      </c>
      <c r="D71" s="1" t="str">
        <f ca="1">IFERROR(__xludf.DUMMYFUNCTION("""COMPUTED_VALUE"""),"27-8")</f>
        <v>27-8</v>
      </c>
      <c r="E71" s="1" t="str">
        <f ca="1">IFERROR(__xludf.DUMMYFUNCTION("""COMPUTED_VALUE"""),"+11.93")</f>
        <v>+11.93</v>
      </c>
      <c r="F71" s="1">
        <f ca="1">IFERROR(__xludf.DUMMYFUNCTION("""COMPUTED_VALUE"""),110.3)</f>
        <v>110.3</v>
      </c>
      <c r="G71" s="1">
        <f ca="1">IFERROR(__xludf.DUMMYFUNCTION("""COMPUTED_VALUE"""),63)</f>
        <v>63</v>
      </c>
      <c r="H71" s="1">
        <f ca="1">IFERROR(__xludf.DUMMYFUNCTION("""COMPUTED_VALUE"""),98.4)</f>
        <v>98.4</v>
      </c>
      <c r="I71" s="1">
        <f ca="1">IFERROR(__xludf.DUMMYFUNCTION("""COMPUTED_VALUE"""),78)</f>
        <v>78</v>
      </c>
      <c r="J71" s="1">
        <f ca="1">IFERROR(__xludf.DUMMYFUNCTION("""COMPUTED_VALUE"""),70.7)</f>
        <v>70.7</v>
      </c>
      <c r="K71" s="1">
        <f ca="1">IFERROR(__xludf.DUMMYFUNCTION("""COMPUTED_VALUE"""),16)</f>
        <v>16</v>
      </c>
      <c r="L71" s="1" t="str">
        <f ca="1">IFERROR(__xludf.DUMMYFUNCTION("""COMPUTED_VALUE"""),"+.031")</f>
        <v>+.031</v>
      </c>
      <c r="M71" s="1">
        <f ca="1">IFERROR(__xludf.DUMMYFUNCTION("""COMPUTED_VALUE"""),90)</f>
        <v>90</v>
      </c>
      <c r="N71" s="1" t="str">
        <f ca="1">IFERROR(__xludf.DUMMYFUNCTION("""COMPUTED_VALUE"""),"+0.91")</f>
        <v>+0.91</v>
      </c>
      <c r="O71" s="1">
        <f ca="1">IFERROR(__xludf.DUMMYFUNCTION("""COMPUTED_VALUE"""),138)</f>
        <v>138</v>
      </c>
      <c r="P71" s="1">
        <f ca="1">IFERROR(__xludf.DUMMYFUNCTION("""COMPUTED_VALUE"""),102.4)</f>
        <v>102.4</v>
      </c>
      <c r="Q71" s="1">
        <f ca="1">IFERROR(__xludf.DUMMYFUNCTION("""COMPUTED_VALUE"""),188)</f>
        <v>188</v>
      </c>
      <c r="R71" s="1">
        <f ca="1">IFERROR(__xludf.DUMMYFUNCTION("""COMPUTED_VALUE"""),101.5)</f>
        <v>101.5</v>
      </c>
      <c r="S71" s="1">
        <f ca="1">IFERROR(__xludf.DUMMYFUNCTION("""COMPUTED_VALUE"""),109)</f>
        <v>109</v>
      </c>
      <c r="T71" s="1" t="str">
        <f ca="1">IFERROR(__xludf.DUMMYFUNCTION("""COMPUTED_VALUE"""),"+7.27")</f>
        <v>+7.27</v>
      </c>
      <c r="U71" s="1">
        <f ca="1">IFERROR(__xludf.DUMMYFUNCTION("""COMPUTED_VALUE"""),29)</f>
        <v>29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IFERROR(__xludf.DUMMYFUNCTION("""COMPUTED_VALUE"""),"Creighton1")</f>
        <v>Creighton1</v>
      </c>
      <c r="C72" s="1" t="str">
        <f ca="1">IFERROR(__xludf.DUMMYFUNCTION("""COMPUTED_VALUE"""),"MVC")</f>
        <v>MVC</v>
      </c>
      <c r="D72" s="1" t="str">
        <f ca="1">IFERROR(__xludf.DUMMYFUNCTION("""COMPUTED_VALUE"""),"27-8")</f>
        <v>27-8</v>
      </c>
      <c r="E72" s="1" t="str">
        <f ca="1">IFERROR(__xludf.DUMMYFUNCTION("""COMPUTED_VALUE"""),"+11.79")</f>
        <v>+11.79</v>
      </c>
      <c r="F72" s="1">
        <f ca="1">IFERROR(__xludf.DUMMYFUNCTION("""COMPUTED_VALUE"""),111.9)</f>
        <v>111.9</v>
      </c>
      <c r="G72" s="1">
        <f ca="1">IFERROR(__xludf.DUMMYFUNCTION("""COMPUTED_VALUE"""),43)</f>
        <v>43</v>
      </c>
      <c r="H72" s="1">
        <f ca="1">IFERROR(__xludf.DUMMYFUNCTION("""COMPUTED_VALUE"""),100.1)</f>
        <v>100.1</v>
      </c>
      <c r="I72" s="1">
        <f ca="1">IFERROR(__xludf.DUMMYFUNCTION("""COMPUTED_VALUE"""),112)</f>
        <v>112</v>
      </c>
      <c r="J72" s="1">
        <f ca="1">IFERROR(__xludf.DUMMYFUNCTION("""COMPUTED_VALUE"""),67)</f>
        <v>67</v>
      </c>
      <c r="K72" s="1">
        <f ca="1">IFERROR(__xludf.DUMMYFUNCTION("""COMPUTED_VALUE"""),98)</f>
        <v>98</v>
      </c>
      <c r="L72" s="1" t="str">
        <f ca="1">IFERROR(__xludf.DUMMYFUNCTION("""COMPUTED_VALUE"""),"+.050")</f>
        <v>+.050</v>
      </c>
      <c r="M72" s="1">
        <f ca="1">IFERROR(__xludf.DUMMYFUNCTION("""COMPUTED_VALUE"""),54)</f>
        <v>54</v>
      </c>
      <c r="N72" s="1" t="str">
        <f ca="1">IFERROR(__xludf.DUMMYFUNCTION("""COMPUTED_VALUE"""),"+0.97")</f>
        <v>+0.97</v>
      </c>
      <c r="O72" s="1">
        <f ca="1">IFERROR(__xludf.DUMMYFUNCTION("""COMPUTED_VALUE"""),136)</f>
        <v>136</v>
      </c>
      <c r="P72" s="1">
        <f ca="1">IFERROR(__xludf.DUMMYFUNCTION("""COMPUTED_VALUE"""),102.3)</f>
        <v>102.3</v>
      </c>
      <c r="Q72" s="1">
        <f ca="1">IFERROR(__xludf.DUMMYFUNCTION("""COMPUTED_VALUE"""),192)</f>
        <v>192</v>
      </c>
      <c r="R72" s="1">
        <f ca="1">IFERROR(__xludf.DUMMYFUNCTION("""COMPUTED_VALUE"""),101.4)</f>
        <v>101.4</v>
      </c>
      <c r="S72" s="1">
        <f ca="1">IFERROR(__xludf.DUMMYFUNCTION("""COMPUTED_VALUE"""),103)</f>
        <v>103</v>
      </c>
      <c r="T72" s="1">
        <f ca="1">IFERROR(__xludf.DUMMYFUNCTION("""COMPUTED_VALUE"""),-2.51)</f>
        <v>-2.5099999999999998</v>
      </c>
      <c r="U72" s="1">
        <f ca="1">IFERROR(__xludf.DUMMYFUNCTION("""COMPUTED_VALUE"""),220)</f>
        <v>220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IFERROR(__xludf.DUMMYFUNCTION("""COMPUTED_VALUE"""),"Mississippi St.13")</f>
        <v>Mississippi St.13</v>
      </c>
      <c r="C73" s="1" t="str">
        <f ca="1">IFERROR(__xludf.DUMMYFUNCTION("""COMPUTED_VALUE"""),"SEC")</f>
        <v>SEC</v>
      </c>
      <c r="D73" s="1" t="str">
        <f ca="1">IFERROR(__xludf.DUMMYFUNCTION("""COMPUTED_VALUE"""),"23-13")</f>
        <v>23-13</v>
      </c>
      <c r="E73" s="1" t="str">
        <f ca="1">IFERROR(__xludf.DUMMYFUNCTION("""COMPUTED_VALUE"""),"+11.55")</f>
        <v>+11.55</v>
      </c>
      <c r="F73" s="1">
        <f ca="1">IFERROR(__xludf.DUMMYFUNCTION("""COMPUTED_VALUE"""),107.8)</f>
        <v>107.8</v>
      </c>
      <c r="G73" s="1">
        <f ca="1">IFERROR(__xludf.DUMMYFUNCTION("""COMPUTED_VALUE"""),92)</f>
        <v>92</v>
      </c>
      <c r="H73" s="1">
        <f ca="1">IFERROR(__xludf.DUMMYFUNCTION("""COMPUTED_VALUE"""),96.2)</f>
        <v>96.2</v>
      </c>
      <c r="I73" s="1">
        <f ca="1">IFERROR(__xludf.DUMMYFUNCTION("""COMPUTED_VALUE"""),54)</f>
        <v>54</v>
      </c>
      <c r="J73" s="1">
        <f ca="1">IFERROR(__xludf.DUMMYFUNCTION("""COMPUTED_VALUE"""),67.2)</f>
        <v>67.2</v>
      </c>
      <c r="K73" s="1">
        <f ca="1">IFERROR(__xludf.DUMMYFUNCTION("""COMPUTED_VALUE"""),95)</f>
        <v>95</v>
      </c>
      <c r="L73" s="1">
        <f ca="1">IFERROR(__xludf.DUMMYFUNCTION("""COMPUTED_VALUE"""),-0.004)</f>
        <v>-4.0000000000000001E-3</v>
      </c>
      <c r="M73" s="1">
        <f ca="1">IFERROR(__xludf.DUMMYFUNCTION("""COMPUTED_VALUE"""),170)</f>
        <v>170</v>
      </c>
      <c r="N73" s="1" t="str">
        <f ca="1">IFERROR(__xludf.DUMMYFUNCTION("""COMPUTED_VALUE"""),"+4.96")</f>
        <v>+4.96</v>
      </c>
      <c r="O73" s="1">
        <f ca="1">IFERROR(__xludf.DUMMYFUNCTION("""COMPUTED_VALUE"""),72)</f>
        <v>72</v>
      </c>
      <c r="P73" s="1">
        <f ca="1">IFERROR(__xludf.DUMMYFUNCTION("""COMPUTED_VALUE"""),105.3)</f>
        <v>105.3</v>
      </c>
      <c r="Q73" s="1">
        <f ca="1">IFERROR(__xludf.DUMMYFUNCTION("""COMPUTED_VALUE"""),82)</f>
        <v>82</v>
      </c>
      <c r="R73" s="1">
        <f ca="1">IFERROR(__xludf.DUMMYFUNCTION("""COMPUTED_VALUE"""),100.3)</f>
        <v>100.3</v>
      </c>
      <c r="S73" s="1">
        <f ca="1">IFERROR(__xludf.DUMMYFUNCTION("""COMPUTED_VALUE"""),70)</f>
        <v>70</v>
      </c>
      <c r="T73" s="1">
        <f ca="1">IFERROR(__xludf.DUMMYFUNCTION("""COMPUTED_VALUE"""),-3.07)</f>
        <v>-3.07</v>
      </c>
      <c r="U73" s="1">
        <f ca="1">IFERROR(__xludf.DUMMYFUNCTION("""COMPUTED_VALUE"""),234)</f>
        <v>234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IFERROR(__xludf.DUMMYFUNCTION("""COMPUTED_VALUE"""),"Houston")</f>
        <v>Houston</v>
      </c>
      <c r="C74" s="1" t="str">
        <f ca="1">IFERROR(__xludf.DUMMYFUNCTION("""COMPUTED_VALUE"""),"CUSA")</f>
        <v>CUSA</v>
      </c>
      <c r="D74" s="1" t="str">
        <f ca="1">IFERROR(__xludf.DUMMYFUNCTION("""COMPUTED_VALUE"""),"21-12")</f>
        <v>21-12</v>
      </c>
      <c r="E74" s="1" t="str">
        <f ca="1">IFERROR(__xludf.DUMMYFUNCTION("""COMPUTED_VALUE"""),"+11.49")</f>
        <v>+11.49</v>
      </c>
      <c r="F74" s="1">
        <f ca="1">IFERROR(__xludf.DUMMYFUNCTION("""COMPUTED_VALUE"""),109.2)</f>
        <v>109.2</v>
      </c>
      <c r="G74" s="1">
        <f ca="1">IFERROR(__xludf.DUMMYFUNCTION("""COMPUTED_VALUE"""),76)</f>
        <v>76</v>
      </c>
      <c r="H74" s="1">
        <f ca="1">IFERROR(__xludf.DUMMYFUNCTION("""COMPUTED_VALUE"""),97.7)</f>
        <v>97.7</v>
      </c>
      <c r="I74" s="1">
        <f ca="1">IFERROR(__xludf.DUMMYFUNCTION("""COMPUTED_VALUE"""),69)</f>
        <v>69</v>
      </c>
      <c r="J74" s="1">
        <f ca="1">IFERROR(__xludf.DUMMYFUNCTION("""COMPUTED_VALUE"""),68.5)</f>
        <v>68.5</v>
      </c>
      <c r="K74" s="1">
        <f ca="1">IFERROR(__xludf.DUMMYFUNCTION("""COMPUTED_VALUE"""),55)</f>
        <v>55</v>
      </c>
      <c r="L74" s="1">
        <f ca="1">IFERROR(__xludf.DUMMYFUNCTION("""COMPUTED_VALUE"""),-0.038)</f>
        <v>-3.7999999999999999E-2</v>
      </c>
      <c r="M74" s="1">
        <f ca="1">IFERROR(__xludf.DUMMYFUNCTION("""COMPUTED_VALUE"""),272)</f>
        <v>272</v>
      </c>
      <c r="N74" s="1" t="str">
        <f ca="1">IFERROR(__xludf.DUMMYFUNCTION("""COMPUTED_VALUE"""),"+1.63")</f>
        <v>+1.63</v>
      </c>
      <c r="O74" s="1">
        <f ca="1">IFERROR(__xludf.DUMMYFUNCTION("""COMPUTED_VALUE"""),118)</f>
        <v>118</v>
      </c>
      <c r="P74" s="1">
        <f ca="1">IFERROR(__xludf.DUMMYFUNCTION("""COMPUTED_VALUE"""),104.2)</f>
        <v>104.2</v>
      </c>
      <c r="Q74" s="1">
        <f ca="1">IFERROR(__xludf.DUMMYFUNCTION("""COMPUTED_VALUE"""),113)</f>
        <v>113</v>
      </c>
      <c r="R74" s="1">
        <f ca="1">IFERROR(__xludf.DUMMYFUNCTION("""COMPUTED_VALUE"""),102.5)</f>
        <v>102.5</v>
      </c>
      <c r="S74" s="1">
        <f ca="1">IFERROR(__xludf.DUMMYFUNCTION("""COMPUTED_VALUE"""),149)</f>
        <v>149</v>
      </c>
      <c r="T74" s="1">
        <f ca="1">IFERROR(__xludf.DUMMYFUNCTION("""COMPUTED_VALUE"""),-4.81)</f>
        <v>-4.8099999999999996</v>
      </c>
      <c r="U74" s="1">
        <f ca="1">IFERROR(__xludf.DUMMYFUNCTION("""COMPUTED_VALUE"""),277)</f>
        <v>277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IFERROR(__xludf.DUMMYFUNCTION("""COMPUTED_VALUE"""),"South Carolina3")</f>
        <v>South Carolina3</v>
      </c>
      <c r="C75" s="1" t="str">
        <f ca="1">IFERROR(__xludf.DUMMYFUNCTION("""COMPUTED_VALUE"""),"SEC")</f>
        <v>SEC</v>
      </c>
      <c r="D75" s="1" t="str">
        <f ca="1">IFERROR(__xludf.DUMMYFUNCTION("""COMPUTED_VALUE"""),"21-10")</f>
        <v>21-10</v>
      </c>
      <c r="E75" s="1" t="str">
        <f ca="1">IFERROR(__xludf.DUMMYFUNCTION("""COMPUTED_VALUE"""),"+11.44")</f>
        <v>+11.44</v>
      </c>
      <c r="F75" s="1">
        <f ca="1">IFERROR(__xludf.DUMMYFUNCTION("""COMPUTED_VALUE"""),107.3)</f>
        <v>107.3</v>
      </c>
      <c r="G75" s="1">
        <f ca="1">IFERROR(__xludf.DUMMYFUNCTION("""COMPUTED_VALUE"""),96)</f>
        <v>96</v>
      </c>
      <c r="H75" s="1">
        <f ca="1">IFERROR(__xludf.DUMMYFUNCTION("""COMPUTED_VALUE"""),95.9)</f>
        <v>95.9</v>
      </c>
      <c r="I75" s="1">
        <f ca="1">IFERROR(__xludf.DUMMYFUNCTION("""COMPUTED_VALUE"""),49)</f>
        <v>49</v>
      </c>
      <c r="J75" s="1">
        <f ca="1">IFERROR(__xludf.DUMMYFUNCTION("""COMPUTED_VALUE"""),72.6)</f>
        <v>72.599999999999994</v>
      </c>
      <c r="K75" s="1">
        <f ca="1">IFERROR(__xludf.DUMMYFUNCTION("""COMPUTED_VALUE"""),8)</f>
        <v>8</v>
      </c>
      <c r="L75" s="1">
        <f ca="1">IFERROR(__xludf.DUMMYFUNCTION("""COMPUTED_VALUE"""),-0.012)</f>
        <v>-1.2E-2</v>
      </c>
      <c r="M75" s="1">
        <f ca="1">IFERROR(__xludf.DUMMYFUNCTION("""COMPUTED_VALUE"""),198)</f>
        <v>198</v>
      </c>
      <c r="N75" s="1" t="str">
        <f ca="1">IFERROR(__xludf.DUMMYFUNCTION("""COMPUTED_VALUE"""),"+2.80")</f>
        <v>+2.80</v>
      </c>
      <c r="O75" s="1">
        <f ca="1">IFERROR(__xludf.DUMMYFUNCTION("""COMPUTED_VALUE"""),102)</f>
        <v>102</v>
      </c>
      <c r="P75" s="1">
        <f ca="1">IFERROR(__xludf.DUMMYFUNCTION("""COMPUTED_VALUE"""),104.4)</f>
        <v>104.4</v>
      </c>
      <c r="Q75" s="1">
        <f ca="1">IFERROR(__xludf.DUMMYFUNCTION("""COMPUTED_VALUE"""),105)</f>
        <v>105</v>
      </c>
      <c r="R75" s="1">
        <f ca="1">IFERROR(__xludf.DUMMYFUNCTION("""COMPUTED_VALUE"""),101.6)</f>
        <v>101.6</v>
      </c>
      <c r="S75" s="1">
        <f ca="1">IFERROR(__xludf.DUMMYFUNCTION("""COMPUTED_VALUE"""),111)</f>
        <v>111</v>
      </c>
      <c r="T75" s="1">
        <f ca="1">IFERROR(__xludf.DUMMYFUNCTION("""COMPUTED_VALUE"""),-9.84)</f>
        <v>-9.84</v>
      </c>
      <c r="U75" s="1">
        <f ca="1">IFERROR(__xludf.DUMMYFUNCTION("""COMPUTED_VALUE"""),334)</f>
        <v>334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IFERROR(__xludf.DUMMYFUNCTION("""COMPUTED_VALUE"""),"Virginia Tech2")</f>
        <v>Virginia Tech2</v>
      </c>
      <c r="C76" s="1" t="str">
        <f ca="1">IFERROR(__xludf.DUMMYFUNCTION("""COMPUTED_VALUE"""),"ACC")</f>
        <v>ACC</v>
      </c>
      <c r="D76" s="1" t="str">
        <f ca="1">IFERROR(__xludf.DUMMYFUNCTION("""COMPUTED_VALUE"""),"19-15")</f>
        <v>19-15</v>
      </c>
      <c r="E76" s="1" t="str">
        <f ca="1">IFERROR(__xludf.DUMMYFUNCTION("""COMPUTED_VALUE"""),"+11.37")</f>
        <v>+11.37</v>
      </c>
      <c r="F76" s="1">
        <f ca="1">IFERROR(__xludf.DUMMYFUNCTION("""COMPUTED_VALUE"""),110.9)</f>
        <v>110.9</v>
      </c>
      <c r="G76" s="1">
        <f ca="1">IFERROR(__xludf.DUMMYFUNCTION("""COMPUTED_VALUE"""),55)</f>
        <v>55</v>
      </c>
      <c r="H76" s="1">
        <f ca="1">IFERROR(__xludf.DUMMYFUNCTION("""COMPUTED_VALUE"""),99.5)</f>
        <v>99.5</v>
      </c>
      <c r="I76" s="1">
        <f ca="1">IFERROR(__xludf.DUMMYFUNCTION("""COMPUTED_VALUE"""),97)</f>
        <v>97</v>
      </c>
      <c r="J76" s="1">
        <f ca="1">IFERROR(__xludf.DUMMYFUNCTION("""COMPUTED_VALUE"""),65.4)</f>
        <v>65.400000000000006</v>
      </c>
      <c r="K76" s="1">
        <f ca="1">IFERROR(__xludf.DUMMYFUNCTION("""COMPUTED_VALUE"""),168)</f>
        <v>168</v>
      </c>
      <c r="L76" s="1">
        <f ca="1">IFERROR(__xludf.DUMMYFUNCTION("""COMPUTED_VALUE"""),-0.007)</f>
        <v>-7.0000000000000001E-3</v>
      </c>
      <c r="M76" s="1">
        <f ca="1">IFERROR(__xludf.DUMMYFUNCTION("""COMPUTED_VALUE"""),184)</f>
        <v>184</v>
      </c>
      <c r="N76" s="1" t="str">
        <f ca="1">IFERROR(__xludf.DUMMYFUNCTION("""COMPUTED_VALUE"""),"+8.01")</f>
        <v>+8.01</v>
      </c>
      <c r="O76" s="1">
        <f ca="1">IFERROR(__xludf.DUMMYFUNCTION("""COMPUTED_VALUE"""),43)</f>
        <v>43</v>
      </c>
      <c r="P76" s="1">
        <f ca="1">IFERROR(__xludf.DUMMYFUNCTION("""COMPUTED_VALUE"""),107.5)</f>
        <v>107.5</v>
      </c>
      <c r="Q76" s="1">
        <f ca="1">IFERROR(__xludf.DUMMYFUNCTION("""COMPUTED_VALUE"""),40)</f>
        <v>40</v>
      </c>
      <c r="R76" s="1">
        <f ca="1">IFERROR(__xludf.DUMMYFUNCTION("""COMPUTED_VALUE"""),99.5)</f>
        <v>99.5</v>
      </c>
      <c r="S76" s="1">
        <f ca="1">IFERROR(__xludf.DUMMYFUNCTION("""COMPUTED_VALUE"""),48)</f>
        <v>48</v>
      </c>
      <c r="T76" s="1">
        <f ca="1">IFERROR(__xludf.DUMMYFUNCTION("""COMPUTED_VALUE"""),-2.87)</f>
        <v>-2.87</v>
      </c>
      <c r="U76" s="1">
        <f ca="1">IFERROR(__xludf.DUMMYFUNCTION("""COMPUTED_VALUE"""),227)</f>
        <v>227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IFERROR(__xludf.DUMMYFUNCTION("""COMPUTED_VALUE"""),"UNLV5")</f>
        <v>UNLV5</v>
      </c>
      <c r="C77" s="1" t="str">
        <f ca="1">IFERROR(__xludf.DUMMYFUNCTION("""COMPUTED_VALUE"""),"MWC")</f>
        <v>MWC</v>
      </c>
      <c r="D77" s="1" t="str">
        <f ca="1">IFERROR(__xludf.DUMMYFUNCTION("""COMPUTED_VALUE"""),"21-11")</f>
        <v>21-11</v>
      </c>
      <c r="E77" s="1" t="str">
        <f ca="1">IFERROR(__xludf.DUMMYFUNCTION("""COMPUTED_VALUE"""),"+11.29")</f>
        <v>+11.29</v>
      </c>
      <c r="F77" s="1">
        <f ca="1">IFERROR(__xludf.DUMMYFUNCTION("""COMPUTED_VALUE"""),106.9)</f>
        <v>106.9</v>
      </c>
      <c r="G77" s="1">
        <f ca="1">IFERROR(__xludf.DUMMYFUNCTION("""COMPUTED_VALUE"""),101)</f>
        <v>101</v>
      </c>
      <c r="H77" s="1">
        <f ca="1">IFERROR(__xludf.DUMMYFUNCTION("""COMPUTED_VALUE"""),95.6)</f>
        <v>95.6</v>
      </c>
      <c r="I77" s="1">
        <f ca="1">IFERROR(__xludf.DUMMYFUNCTION("""COMPUTED_VALUE"""),45)</f>
        <v>45</v>
      </c>
      <c r="J77" s="1">
        <f ca="1">IFERROR(__xludf.DUMMYFUNCTION("""COMPUTED_VALUE"""),65.1)</f>
        <v>65.099999999999994</v>
      </c>
      <c r="K77" s="1">
        <f ca="1">IFERROR(__xludf.DUMMYFUNCTION("""COMPUTED_VALUE"""),176)</f>
        <v>176</v>
      </c>
      <c r="L77" s="1" t="str">
        <f ca="1">IFERROR(__xludf.DUMMYFUNCTION("""COMPUTED_VALUE"""),"+.010")</f>
        <v>+.010</v>
      </c>
      <c r="M77" s="1">
        <f ca="1">IFERROR(__xludf.DUMMYFUNCTION("""COMPUTED_VALUE"""),143)</f>
        <v>143</v>
      </c>
      <c r="N77" s="1" t="str">
        <f ca="1">IFERROR(__xludf.DUMMYFUNCTION("""COMPUTED_VALUE"""),"+4.73")</f>
        <v>+4.73</v>
      </c>
      <c r="O77" s="1">
        <f ca="1">IFERROR(__xludf.DUMMYFUNCTION("""COMPUTED_VALUE"""),76)</f>
        <v>76</v>
      </c>
      <c r="P77" s="1">
        <f ca="1">IFERROR(__xludf.DUMMYFUNCTION("""COMPUTED_VALUE"""),105.5)</f>
        <v>105.5</v>
      </c>
      <c r="Q77" s="1">
        <f ca="1">IFERROR(__xludf.DUMMYFUNCTION("""COMPUTED_VALUE"""),74)</f>
        <v>74</v>
      </c>
      <c r="R77" s="1">
        <f ca="1">IFERROR(__xludf.DUMMYFUNCTION("""COMPUTED_VALUE"""),100.8)</f>
        <v>100.8</v>
      </c>
      <c r="S77" s="1">
        <f ca="1">IFERROR(__xludf.DUMMYFUNCTION("""COMPUTED_VALUE"""),77)</f>
        <v>77</v>
      </c>
      <c r="T77" s="1">
        <f ca="1">IFERROR(__xludf.DUMMYFUNCTION("""COMPUTED_VALUE"""),-1.3)</f>
        <v>-1.3</v>
      </c>
      <c r="U77" s="1">
        <f ca="1">IFERROR(__xludf.DUMMYFUNCTION("""COMPUTED_VALUE"""),191)</f>
        <v>191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IFERROR(__xludf.DUMMYFUNCTION("""COMPUTED_VALUE"""),"Boston College7")</f>
        <v>Boston College7</v>
      </c>
      <c r="C78" s="1" t="str">
        <f ca="1">IFERROR(__xludf.DUMMYFUNCTION("""COMPUTED_VALUE"""),"ACC")</f>
        <v>ACC</v>
      </c>
      <c r="D78" s="1" t="str">
        <f ca="1">IFERROR(__xludf.DUMMYFUNCTION("""COMPUTED_VALUE"""),"22-12")</f>
        <v>22-12</v>
      </c>
      <c r="E78" s="1" t="str">
        <f ca="1">IFERROR(__xludf.DUMMYFUNCTION("""COMPUTED_VALUE"""),"+11.20")</f>
        <v>+11.20</v>
      </c>
      <c r="F78" s="1">
        <f ca="1">IFERROR(__xludf.DUMMYFUNCTION("""COMPUTED_VALUE"""),113.2)</f>
        <v>113.2</v>
      </c>
      <c r="G78" s="1">
        <f ca="1">IFERROR(__xludf.DUMMYFUNCTION("""COMPUTED_VALUE"""),33)</f>
        <v>33</v>
      </c>
      <c r="H78" s="1">
        <f ca="1">IFERROR(__xludf.DUMMYFUNCTION("""COMPUTED_VALUE"""),102)</f>
        <v>102</v>
      </c>
      <c r="I78" s="1">
        <f ca="1">IFERROR(__xludf.DUMMYFUNCTION("""COMPUTED_VALUE"""),150)</f>
        <v>150</v>
      </c>
      <c r="J78" s="1">
        <f ca="1">IFERROR(__xludf.DUMMYFUNCTION("""COMPUTED_VALUE"""),65.3)</f>
        <v>65.3</v>
      </c>
      <c r="K78" s="1">
        <f ca="1">IFERROR(__xludf.DUMMYFUNCTION("""COMPUTED_VALUE"""),172)</f>
        <v>172</v>
      </c>
      <c r="L78" s="1" t="str">
        <f ca="1">IFERROR(__xludf.DUMMYFUNCTION("""COMPUTED_VALUE"""),"+.038")</f>
        <v>+.038</v>
      </c>
      <c r="M78" s="1">
        <f ca="1">IFERROR(__xludf.DUMMYFUNCTION("""COMPUTED_VALUE"""),74)</f>
        <v>74</v>
      </c>
      <c r="N78" s="1" t="str">
        <f ca="1">IFERROR(__xludf.DUMMYFUNCTION("""COMPUTED_VALUE"""),"+6.40")</f>
        <v>+6.40</v>
      </c>
      <c r="O78" s="1">
        <f ca="1">IFERROR(__xludf.DUMMYFUNCTION("""COMPUTED_VALUE"""),56)</f>
        <v>56</v>
      </c>
      <c r="P78" s="1">
        <f ca="1">IFERROR(__xludf.DUMMYFUNCTION("""COMPUTED_VALUE"""),106.6)</f>
        <v>106.6</v>
      </c>
      <c r="Q78" s="1">
        <f ca="1">IFERROR(__xludf.DUMMYFUNCTION("""COMPUTED_VALUE"""),51)</f>
        <v>51</v>
      </c>
      <c r="R78" s="1">
        <f ca="1">IFERROR(__xludf.DUMMYFUNCTION("""COMPUTED_VALUE"""),100.2)</f>
        <v>100.2</v>
      </c>
      <c r="S78" s="1">
        <f ca="1">IFERROR(__xludf.DUMMYFUNCTION("""COMPUTED_VALUE"""),67)</f>
        <v>67</v>
      </c>
      <c r="T78" s="1">
        <f ca="1">IFERROR(__xludf.DUMMYFUNCTION("""COMPUTED_VALUE"""),-5.57)</f>
        <v>-5.57</v>
      </c>
      <c r="U78" s="1">
        <f ca="1">IFERROR(__xludf.DUMMYFUNCTION("""COMPUTED_VALUE"""),292)</f>
        <v>292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IFERROR(__xludf.DUMMYFUNCTION("""COMPUTED_VALUE"""),"Niagara3")</f>
        <v>Niagara3</v>
      </c>
      <c r="C79" s="1" t="str">
        <f ca="1">IFERROR(__xludf.DUMMYFUNCTION("""COMPUTED_VALUE"""),"MAAC")</f>
        <v>MAAC</v>
      </c>
      <c r="D79" s="1" t="str">
        <f ca="1">IFERROR(__xludf.DUMMYFUNCTION("""COMPUTED_VALUE"""),"26-9")</f>
        <v>26-9</v>
      </c>
      <c r="E79" s="1" t="str">
        <f ca="1">IFERROR(__xludf.DUMMYFUNCTION("""COMPUTED_VALUE"""),"+10.62")</f>
        <v>+10.62</v>
      </c>
      <c r="F79" s="1">
        <f ca="1">IFERROR(__xludf.DUMMYFUNCTION("""COMPUTED_VALUE"""),109.2)</f>
        <v>109.2</v>
      </c>
      <c r="G79" s="1">
        <f ca="1">IFERROR(__xludf.DUMMYFUNCTION("""COMPUTED_VALUE"""),75)</f>
        <v>75</v>
      </c>
      <c r="H79" s="1">
        <f ca="1">IFERROR(__xludf.DUMMYFUNCTION("""COMPUTED_VALUE"""),98.6)</f>
        <v>98.6</v>
      </c>
      <c r="I79" s="1">
        <f ca="1">IFERROR(__xludf.DUMMYFUNCTION("""COMPUTED_VALUE"""),81)</f>
        <v>81</v>
      </c>
      <c r="J79" s="1">
        <f ca="1">IFERROR(__xludf.DUMMYFUNCTION("""COMPUTED_VALUE"""),68.4)</f>
        <v>68.400000000000006</v>
      </c>
      <c r="K79" s="1">
        <f ca="1">IFERROR(__xludf.DUMMYFUNCTION("""COMPUTED_VALUE"""),58)</f>
        <v>58</v>
      </c>
      <c r="L79" s="1" t="str">
        <f ca="1">IFERROR(__xludf.DUMMYFUNCTION("""COMPUTED_VALUE"""),"+.003")</f>
        <v>+.003</v>
      </c>
      <c r="M79" s="1">
        <f ca="1">IFERROR(__xludf.DUMMYFUNCTION("""COMPUTED_VALUE"""),158)</f>
        <v>158</v>
      </c>
      <c r="N79" s="1">
        <f ca="1">IFERROR(__xludf.DUMMYFUNCTION("""COMPUTED_VALUE"""),-1.57)</f>
        <v>-1.57</v>
      </c>
      <c r="O79" s="1">
        <f ca="1">IFERROR(__xludf.DUMMYFUNCTION("""COMPUTED_VALUE"""),190)</f>
        <v>190</v>
      </c>
      <c r="P79" s="1">
        <f ca="1">IFERROR(__xludf.DUMMYFUNCTION("""COMPUTED_VALUE"""),100.9)</f>
        <v>100.9</v>
      </c>
      <c r="Q79" s="1">
        <f ca="1">IFERROR(__xludf.DUMMYFUNCTION("""COMPUTED_VALUE"""),244)</f>
        <v>244</v>
      </c>
      <c r="R79" s="1">
        <f ca="1">IFERROR(__xludf.DUMMYFUNCTION("""COMPUTED_VALUE"""),102.5)</f>
        <v>102.5</v>
      </c>
      <c r="S79" s="1">
        <f ca="1">IFERROR(__xludf.DUMMYFUNCTION("""COMPUTED_VALUE"""),148)</f>
        <v>148</v>
      </c>
      <c r="T79" s="1">
        <f ca="1">IFERROR(__xludf.DUMMYFUNCTION("""COMPUTED_VALUE"""),-0.27)</f>
        <v>-0.27</v>
      </c>
      <c r="U79" s="1">
        <f ca="1">IFERROR(__xludf.DUMMYFUNCTION("""COMPUTED_VALUE"""),163)</f>
        <v>163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IFERROR(__xludf.DUMMYFUNCTION("""COMPUTED_VALUE"""),"Seton Hall")</f>
        <v>Seton Hall</v>
      </c>
      <c r="C80" s="1" t="str">
        <f ca="1">IFERROR(__xludf.DUMMYFUNCTION("""COMPUTED_VALUE"""),"BE")</f>
        <v>BE</v>
      </c>
      <c r="D80" s="1" t="str">
        <f ca="1">IFERROR(__xludf.DUMMYFUNCTION("""COMPUTED_VALUE"""),"17-15")</f>
        <v>17-15</v>
      </c>
      <c r="E80" s="1" t="str">
        <f ca="1">IFERROR(__xludf.DUMMYFUNCTION("""COMPUTED_VALUE"""),"+10.30")</f>
        <v>+10.30</v>
      </c>
      <c r="F80" s="1">
        <f ca="1">IFERROR(__xludf.DUMMYFUNCTION("""COMPUTED_VALUE"""),110.7)</f>
        <v>110.7</v>
      </c>
      <c r="G80" s="1">
        <f ca="1">IFERROR(__xludf.DUMMYFUNCTION("""COMPUTED_VALUE"""),57)</f>
        <v>57</v>
      </c>
      <c r="H80" s="1">
        <f ca="1">IFERROR(__xludf.DUMMYFUNCTION("""COMPUTED_VALUE"""),100.4)</f>
        <v>100.4</v>
      </c>
      <c r="I80" s="1">
        <f ca="1">IFERROR(__xludf.DUMMYFUNCTION("""COMPUTED_VALUE"""),119)</f>
        <v>119</v>
      </c>
      <c r="J80" s="1">
        <f ca="1">IFERROR(__xludf.DUMMYFUNCTION("""COMPUTED_VALUE"""),67.7)</f>
        <v>67.7</v>
      </c>
      <c r="K80" s="1">
        <f ca="1">IFERROR(__xludf.DUMMYFUNCTION("""COMPUTED_VALUE"""),75)</f>
        <v>75</v>
      </c>
      <c r="L80" s="1">
        <f ca="1">IFERROR(__xludf.DUMMYFUNCTION("""COMPUTED_VALUE"""),-0.025)</f>
        <v>-2.5000000000000001E-2</v>
      </c>
      <c r="M80" s="1">
        <f ca="1">IFERROR(__xludf.DUMMYFUNCTION("""COMPUTED_VALUE"""),239)</f>
        <v>239</v>
      </c>
      <c r="N80" s="1" t="str">
        <f ca="1">IFERROR(__xludf.DUMMYFUNCTION("""COMPUTED_VALUE"""),"+8.26")</f>
        <v>+8.26</v>
      </c>
      <c r="O80" s="1">
        <f ca="1">IFERROR(__xludf.DUMMYFUNCTION("""COMPUTED_VALUE"""),40)</f>
        <v>40</v>
      </c>
      <c r="P80" s="1">
        <f ca="1">IFERROR(__xludf.DUMMYFUNCTION("""COMPUTED_VALUE"""),106.6)</f>
        <v>106.6</v>
      </c>
      <c r="Q80" s="1">
        <f ca="1">IFERROR(__xludf.DUMMYFUNCTION("""COMPUTED_VALUE"""),53)</f>
        <v>53</v>
      </c>
      <c r="R80" s="1">
        <f ca="1">IFERROR(__xludf.DUMMYFUNCTION("""COMPUTED_VALUE"""),98.3)</f>
        <v>98.3</v>
      </c>
      <c r="S80" s="1">
        <f ca="1">IFERROR(__xludf.DUMMYFUNCTION("""COMPUTED_VALUE"""),18)</f>
        <v>18</v>
      </c>
      <c r="T80" s="1">
        <f ca="1">IFERROR(__xludf.DUMMYFUNCTION("""COMPUTED_VALUE"""),-5.48)</f>
        <v>-5.48</v>
      </c>
      <c r="U80" s="1">
        <f ca="1">IFERROR(__xludf.DUMMYFUNCTION("""COMPUTED_VALUE"""),290)</f>
        <v>290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IFERROR(__xludf.DUMMYFUNCTION("""COMPUTED_VALUE"""),"Providence5")</f>
        <v>Providence5</v>
      </c>
      <c r="C81" s="1" t="str">
        <f ca="1">IFERROR(__xludf.DUMMYFUNCTION("""COMPUTED_VALUE"""),"BE")</f>
        <v>BE</v>
      </c>
      <c r="D81" s="1" t="str">
        <f ca="1">IFERROR(__xludf.DUMMYFUNCTION("""COMPUTED_VALUE"""),"19-14")</f>
        <v>19-14</v>
      </c>
      <c r="E81" s="1" t="str">
        <f ca="1">IFERROR(__xludf.DUMMYFUNCTION("""COMPUTED_VALUE"""),"+10.26")</f>
        <v>+10.26</v>
      </c>
      <c r="F81" s="1">
        <f ca="1">IFERROR(__xludf.DUMMYFUNCTION("""COMPUTED_VALUE"""),111)</f>
        <v>111</v>
      </c>
      <c r="G81" s="1">
        <f ca="1">IFERROR(__xludf.DUMMYFUNCTION("""COMPUTED_VALUE"""),54)</f>
        <v>54</v>
      </c>
      <c r="H81" s="1">
        <f ca="1">IFERROR(__xludf.DUMMYFUNCTION("""COMPUTED_VALUE"""),100.7)</f>
        <v>100.7</v>
      </c>
      <c r="I81" s="1">
        <f ca="1">IFERROR(__xludf.DUMMYFUNCTION("""COMPUTED_VALUE"""),127)</f>
        <v>127</v>
      </c>
      <c r="J81" s="1">
        <f ca="1">IFERROR(__xludf.DUMMYFUNCTION("""COMPUTED_VALUE"""),72.1)</f>
        <v>72.099999999999994</v>
      </c>
      <c r="K81" s="1">
        <f ca="1">IFERROR(__xludf.DUMMYFUNCTION("""COMPUTED_VALUE"""),11)</f>
        <v>11</v>
      </c>
      <c r="L81" s="1" t="str">
        <f ca="1">IFERROR(__xludf.DUMMYFUNCTION("""COMPUTED_VALUE"""),"+.034")</f>
        <v>+.034</v>
      </c>
      <c r="M81" s="1">
        <f ca="1">IFERROR(__xludf.DUMMYFUNCTION("""COMPUTED_VALUE"""),79)</f>
        <v>79</v>
      </c>
      <c r="N81" s="1" t="str">
        <f ca="1">IFERROR(__xludf.DUMMYFUNCTION("""COMPUTED_VALUE"""),"+7.68")</f>
        <v>+7.68</v>
      </c>
      <c r="O81" s="1">
        <f ca="1">IFERROR(__xludf.DUMMYFUNCTION("""COMPUTED_VALUE"""),49)</f>
        <v>49</v>
      </c>
      <c r="P81" s="1">
        <f ca="1">IFERROR(__xludf.DUMMYFUNCTION("""COMPUTED_VALUE"""),107.2)</f>
        <v>107.2</v>
      </c>
      <c r="Q81" s="1">
        <f ca="1">IFERROR(__xludf.DUMMYFUNCTION("""COMPUTED_VALUE"""),47)</f>
        <v>47</v>
      </c>
      <c r="R81" s="1">
        <f ca="1">IFERROR(__xludf.DUMMYFUNCTION("""COMPUTED_VALUE"""),99.5)</f>
        <v>99.5</v>
      </c>
      <c r="S81" s="1">
        <f ca="1">IFERROR(__xludf.DUMMYFUNCTION("""COMPUTED_VALUE"""),47)</f>
        <v>47</v>
      </c>
      <c r="T81" s="1">
        <f ca="1">IFERROR(__xludf.DUMMYFUNCTION("""COMPUTED_VALUE"""),-4.69)</f>
        <v>-4.6900000000000004</v>
      </c>
      <c r="U81" s="1">
        <f ca="1">IFERROR(__xludf.DUMMYFUNCTION("""COMPUTED_VALUE"""),275)</f>
        <v>275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IFERROR(__xludf.DUMMYFUNCTION("""COMPUTED_VALUE"""),"Dayton11")</f>
        <v>Dayton11</v>
      </c>
      <c r="C82" s="1" t="str">
        <f ca="1">IFERROR(__xludf.DUMMYFUNCTION("""COMPUTED_VALUE"""),"A10")</f>
        <v>A10</v>
      </c>
      <c r="D82" s="1" t="str">
        <f ca="1">IFERROR(__xludf.DUMMYFUNCTION("""COMPUTED_VALUE"""),"27-8")</f>
        <v>27-8</v>
      </c>
      <c r="E82" s="1" t="str">
        <f ca="1">IFERROR(__xludf.DUMMYFUNCTION("""COMPUTED_VALUE"""),"+10.23")</f>
        <v>+10.23</v>
      </c>
      <c r="F82" s="1">
        <f ca="1">IFERROR(__xludf.DUMMYFUNCTION("""COMPUTED_VALUE"""),103.3)</f>
        <v>103.3</v>
      </c>
      <c r="G82" s="1">
        <f ca="1">IFERROR(__xludf.DUMMYFUNCTION("""COMPUTED_VALUE"""),156)</f>
        <v>156</v>
      </c>
      <c r="H82" s="1">
        <f ca="1">IFERROR(__xludf.DUMMYFUNCTION("""COMPUTED_VALUE"""),93)</f>
        <v>93</v>
      </c>
      <c r="I82" s="1">
        <f ca="1">IFERROR(__xludf.DUMMYFUNCTION("""COMPUTED_VALUE"""),25)</f>
        <v>25</v>
      </c>
      <c r="J82" s="1">
        <f ca="1">IFERROR(__xludf.DUMMYFUNCTION("""COMPUTED_VALUE"""),64.5)</f>
        <v>64.5</v>
      </c>
      <c r="K82" s="1">
        <f ca="1">IFERROR(__xludf.DUMMYFUNCTION("""COMPUTED_VALUE"""),210)</f>
        <v>210</v>
      </c>
      <c r="L82" s="1" t="str">
        <f ca="1">IFERROR(__xludf.DUMMYFUNCTION("""COMPUTED_VALUE"""),"+.107")</f>
        <v>+.107</v>
      </c>
      <c r="M82" s="1">
        <f ca="1">IFERROR(__xludf.DUMMYFUNCTION("""COMPUTED_VALUE"""),5)</f>
        <v>5</v>
      </c>
      <c r="N82" s="1" t="str">
        <f ca="1">IFERROR(__xludf.DUMMYFUNCTION("""COMPUTED_VALUE"""),"+2.34")</f>
        <v>+2.34</v>
      </c>
      <c r="O82" s="1">
        <f ca="1">IFERROR(__xludf.DUMMYFUNCTION("""COMPUTED_VALUE"""),110)</f>
        <v>110</v>
      </c>
      <c r="P82" s="1">
        <f ca="1">IFERROR(__xludf.DUMMYFUNCTION("""COMPUTED_VALUE"""),104.9)</f>
        <v>104.9</v>
      </c>
      <c r="Q82" s="1">
        <f ca="1">IFERROR(__xludf.DUMMYFUNCTION("""COMPUTED_VALUE"""),93)</f>
        <v>93</v>
      </c>
      <c r="R82" s="1">
        <f ca="1">IFERROR(__xludf.DUMMYFUNCTION("""COMPUTED_VALUE"""),102.6)</f>
        <v>102.6</v>
      </c>
      <c r="S82" s="1">
        <f ca="1">IFERROR(__xludf.DUMMYFUNCTION("""COMPUTED_VALUE"""),152)</f>
        <v>152</v>
      </c>
      <c r="T82" s="1">
        <f ca="1">IFERROR(__xludf.DUMMYFUNCTION("""COMPUTED_VALUE"""),-4.57)</f>
        <v>-4.57</v>
      </c>
      <c r="U82" s="1">
        <f ca="1">IFERROR(__xludf.DUMMYFUNCTION("""COMPUTED_VALUE"""),269)</f>
        <v>269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IFERROR(__xludf.DUMMYFUNCTION("""COMPUTED_VALUE"""),"Green Bay")</f>
        <v>Green Bay</v>
      </c>
      <c r="C83" s="1" t="str">
        <f ca="1">IFERROR(__xludf.DUMMYFUNCTION("""COMPUTED_VALUE"""),"Horz")</f>
        <v>Horz</v>
      </c>
      <c r="D83" s="1" t="str">
        <f ca="1">IFERROR(__xludf.DUMMYFUNCTION("""COMPUTED_VALUE"""),"22-11")</f>
        <v>22-11</v>
      </c>
      <c r="E83" s="1" t="str">
        <f ca="1">IFERROR(__xludf.DUMMYFUNCTION("""COMPUTED_VALUE"""),"+10.16")</f>
        <v>+10.16</v>
      </c>
      <c r="F83" s="1">
        <f ca="1">IFERROR(__xludf.DUMMYFUNCTION("""COMPUTED_VALUE"""),112.9)</f>
        <v>112.9</v>
      </c>
      <c r="G83" s="1">
        <f ca="1">IFERROR(__xludf.DUMMYFUNCTION("""COMPUTED_VALUE"""),36)</f>
        <v>36</v>
      </c>
      <c r="H83" s="1">
        <f ca="1">IFERROR(__xludf.DUMMYFUNCTION("""COMPUTED_VALUE"""),102.7)</f>
        <v>102.7</v>
      </c>
      <c r="I83" s="1">
        <f ca="1">IFERROR(__xludf.DUMMYFUNCTION("""COMPUTED_VALUE"""),170)</f>
        <v>170</v>
      </c>
      <c r="J83" s="1">
        <f ca="1">IFERROR(__xludf.DUMMYFUNCTION("""COMPUTED_VALUE"""),65)</f>
        <v>65</v>
      </c>
      <c r="K83" s="1">
        <f ca="1">IFERROR(__xludf.DUMMYFUNCTION("""COMPUTED_VALUE"""),182)</f>
        <v>182</v>
      </c>
      <c r="L83" s="1">
        <f ca="1">IFERROR(__xludf.DUMMYFUNCTION("""COMPUTED_VALUE"""),-0.018)</f>
        <v>-1.7999999999999999E-2</v>
      </c>
      <c r="M83" s="1">
        <f ca="1">IFERROR(__xludf.DUMMYFUNCTION("""COMPUTED_VALUE"""),222)</f>
        <v>222</v>
      </c>
      <c r="N83" s="1" t="str">
        <f ca="1">IFERROR(__xludf.DUMMYFUNCTION("""COMPUTED_VALUE"""),"+0.55")</f>
        <v>+0.55</v>
      </c>
      <c r="O83" s="1">
        <f ca="1">IFERROR(__xludf.DUMMYFUNCTION("""COMPUTED_VALUE"""),145)</f>
        <v>145</v>
      </c>
      <c r="P83" s="1">
        <f ca="1">IFERROR(__xludf.DUMMYFUNCTION("""COMPUTED_VALUE"""),102.8)</f>
        <v>102.8</v>
      </c>
      <c r="Q83" s="1">
        <f ca="1">IFERROR(__xludf.DUMMYFUNCTION("""COMPUTED_VALUE"""),169)</f>
        <v>169</v>
      </c>
      <c r="R83" s="1">
        <f ca="1">IFERROR(__xludf.DUMMYFUNCTION("""COMPUTED_VALUE"""),102.3)</f>
        <v>102.3</v>
      </c>
      <c r="S83" s="1">
        <f ca="1">IFERROR(__xludf.DUMMYFUNCTION("""COMPUTED_VALUE"""),140)</f>
        <v>140</v>
      </c>
      <c r="T83" s="1">
        <f ca="1">IFERROR(__xludf.DUMMYFUNCTION("""COMPUTED_VALUE"""),-0.86)</f>
        <v>-0.86</v>
      </c>
      <c r="U83" s="1">
        <f ca="1">IFERROR(__xludf.DUMMYFUNCTION("""COMPUTED_VALUE"""),181)</f>
        <v>181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IFERROR(__xludf.DUMMYFUNCTION("""COMPUTED_VALUE"""),"Vanderbilt")</f>
        <v>Vanderbilt</v>
      </c>
      <c r="C84" s="1" t="str">
        <f ca="1">IFERROR(__xludf.DUMMYFUNCTION("""COMPUTED_VALUE"""),"SEC")</f>
        <v>SEC</v>
      </c>
      <c r="D84" s="1" t="str">
        <f ca="1">IFERROR(__xludf.DUMMYFUNCTION("""COMPUTED_VALUE"""),"19-12")</f>
        <v>19-12</v>
      </c>
      <c r="E84" s="1" t="str">
        <f ca="1">IFERROR(__xludf.DUMMYFUNCTION("""COMPUTED_VALUE"""),"+10.01")</f>
        <v>+10.01</v>
      </c>
      <c r="F84" s="1">
        <f ca="1">IFERROR(__xludf.DUMMYFUNCTION("""COMPUTED_VALUE"""),107.6)</f>
        <v>107.6</v>
      </c>
      <c r="G84" s="1">
        <f ca="1">IFERROR(__xludf.DUMMYFUNCTION("""COMPUTED_VALUE"""),93)</f>
        <v>93</v>
      </c>
      <c r="H84" s="1">
        <f ca="1">IFERROR(__xludf.DUMMYFUNCTION("""COMPUTED_VALUE"""),97.6)</f>
        <v>97.6</v>
      </c>
      <c r="I84" s="1">
        <f ca="1">IFERROR(__xludf.DUMMYFUNCTION("""COMPUTED_VALUE"""),68)</f>
        <v>68</v>
      </c>
      <c r="J84" s="1">
        <f ca="1">IFERROR(__xludf.DUMMYFUNCTION("""COMPUTED_VALUE"""),65.3)</f>
        <v>65.3</v>
      </c>
      <c r="K84" s="1">
        <f ca="1">IFERROR(__xludf.DUMMYFUNCTION("""COMPUTED_VALUE"""),173)</f>
        <v>173</v>
      </c>
      <c r="L84" s="1">
        <f ca="1">IFERROR(__xludf.DUMMYFUNCTION("""COMPUTED_VALUE"""),-0.011)</f>
        <v>-1.0999999999999999E-2</v>
      </c>
      <c r="M84" s="1">
        <f ca="1">IFERROR(__xludf.DUMMYFUNCTION("""COMPUTED_VALUE"""),194)</f>
        <v>194</v>
      </c>
      <c r="N84" s="1" t="str">
        <f ca="1">IFERROR(__xludf.DUMMYFUNCTION("""COMPUTED_VALUE"""),"+3.25")</f>
        <v>+3.25</v>
      </c>
      <c r="O84" s="1">
        <f ca="1">IFERROR(__xludf.DUMMYFUNCTION("""COMPUTED_VALUE"""),94)</f>
        <v>94</v>
      </c>
      <c r="P84" s="1">
        <f ca="1">IFERROR(__xludf.DUMMYFUNCTION("""COMPUTED_VALUE"""),103.9)</f>
        <v>103.9</v>
      </c>
      <c r="Q84" s="1">
        <f ca="1">IFERROR(__xludf.DUMMYFUNCTION("""COMPUTED_VALUE"""),126)</f>
        <v>126</v>
      </c>
      <c r="R84" s="1">
        <f ca="1">IFERROR(__xludf.DUMMYFUNCTION("""COMPUTED_VALUE"""),100.6)</f>
        <v>100.6</v>
      </c>
      <c r="S84" s="1">
        <f ca="1">IFERROR(__xludf.DUMMYFUNCTION("""COMPUTED_VALUE"""),76)</f>
        <v>76</v>
      </c>
      <c r="T84" s="1">
        <f ca="1">IFERROR(__xludf.DUMMYFUNCTION("""COMPUTED_VALUE"""),-6.22)</f>
        <v>-6.22</v>
      </c>
      <c r="U84" s="1">
        <f ca="1">IFERROR(__xludf.DUMMYFUNCTION("""COMPUTED_VALUE"""),303)</f>
        <v>303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IFERROR(__xludf.DUMMYFUNCTION("""COMPUTED_VALUE"""),"N.C. State")</f>
        <v>N.C. State</v>
      </c>
      <c r="C87" s="1" t="str">
        <f ca="1">IFERROR(__xludf.DUMMYFUNCTION("""COMPUTED_VALUE"""),"ACC")</f>
        <v>ACC</v>
      </c>
      <c r="D87" s="1" t="str">
        <f ca="1">IFERROR(__xludf.DUMMYFUNCTION("""COMPUTED_VALUE"""),"16-14")</f>
        <v>16-14</v>
      </c>
      <c r="E87" s="1" t="str">
        <f ca="1">IFERROR(__xludf.DUMMYFUNCTION("""COMPUTED_VALUE"""),"+9.84")</f>
        <v>+9.84</v>
      </c>
      <c r="F87" s="1">
        <f ca="1">IFERROR(__xludf.DUMMYFUNCTION("""COMPUTED_VALUE"""),113.5)</f>
        <v>113.5</v>
      </c>
      <c r="G87" s="1">
        <f ca="1">IFERROR(__xludf.DUMMYFUNCTION("""COMPUTED_VALUE"""),30)</f>
        <v>30</v>
      </c>
      <c r="H87" s="1">
        <f ca="1">IFERROR(__xludf.DUMMYFUNCTION("""COMPUTED_VALUE"""),103.6)</f>
        <v>103.6</v>
      </c>
      <c r="I87" s="1">
        <f ca="1">IFERROR(__xludf.DUMMYFUNCTION("""COMPUTED_VALUE"""),185)</f>
        <v>185</v>
      </c>
      <c r="J87" s="1">
        <f ca="1">IFERROR(__xludf.DUMMYFUNCTION("""COMPUTED_VALUE"""),63)</f>
        <v>63</v>
      </c>
      <c r="K87" s="1">
        <f ca="1">IFERROR(__xludf.DUMMYFUNCTION("""COMPUTED_VALUE"""),266)</f>
        <v>266</v>
      </c>
      <c r="L87" s="1">
        <f ca="1">IFERROR(__xludf.DUMMYFUNCTION("""COMPUTED_VALUE"""),-0.06)</f>
        <v>-0.06</v>
      </c>
      <c r="M87" s="1">
        <f ca="1">IFERROR(__xludf.DUMMYFUNCTION("""COMPUTED_VALUE"""),310)</f>
        <v>310</v>
      </c>
      <c r="N87" s="1" t="str">
        <f ca="1">IFERROR(__xludf.DUMMYFUNCTION("""COMPUTED_VALUE"""),"+5.74")</f>
        <v>+5.74</v>
      </c>
      <c r="O87" s="1">
        <f ca="1">IFERROR(__xludf.DUMMYFUNCTION("""COMPUTED_VALUE"""),65)</f>
        <v>65</v>
      </c>
      <c r="P87" s="1">
        <f ca="1">IFERROR(__xludf.DUMMYFUNCTION("""COMPUTED_VALUE"""),106)</f>
        <v>106</v>
      </c>
      <c r="Q87" s="1">
        <f ca="1">IFERROR(__xludf.DUMMYFUNCTION("""COMPUTED_VALUE"""),65)</f>
        <v>65</v>
      </c>
      <c r="R87" s="1">
        <f ca="1">IFERROR(__xludf.DUMMYFUNCTION("""COMPUTED_VALUE"""),100.2)</f>
        <v>100.2</v>
      </c>
      <c r="S87" s="1">
        <f ca="1">IFERROR(__xludf.DUMMYFUNCTION("""COMPUTED_VALUE"""),66)</f>
        <v>66</v>
      </c>
      <c r="T87" s="1">
        <f ca="1">IFERROR(__xludf.DUMMYFUNCTION("""COMPUTED_VALUE"""),-10.96)</f>
        <v>-10.96</v>
      </c>
      <c r="U87" s="1">
        <f ca="1">IFERROR(__xludf.DUMMYFUNCTION("""COMPUTED_VALUE"""),340)</f>
        <v>340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IFERROR(__xludf.DUMMYFUNCTION("""COMPUTED_VALUE"""),"UTEP")</f>
        <v>UTEP</v>
      </c>
      <c r="C88" s="1" t="str">
        <f ca="1">IFERROR(__xludf.DUMMYFUNCTION("""COMPUTED_VALUE"""),"CUSA")</f>
        <v>CUSA</v>
      </c>
      <c r="D88" s="1" t="str">
        <f ca="1">IFERROR(__xludf.DUMMYFUNCTION("""COMPUTED_VALUE"""),"23-14")</f>
        <v>23-14</v>
      </c>
      <c r="E88" s="1" t="str">
        <f ca="1">IFERROR(__xludf.DUMMYFUNCTION("""COMPUTED_VALUE"""),"+9.84")</f>
        <v>+9.84</v>
      </c>
      <c r="F88" s="1">
        <f ca="1">IFERROR(__xludf.DUMMYFUNCTION("""COMPUTED_VALUE"""),108.2)</f>
        <v>108.2</v>
      </c>
      <c r="G88" s="1">
        <f ca="1">IFERROR(__xludf.DUMMYFUNCTION("""COMPUTED_VALUE"""),89)</f>
        <v>89</v>
      </c>
      <c r="H88" s="1">
        <f ca="1">IFERROR(__xludf.DUMMYFUNCTION("""COMPUTED_VALUE"""),98.4)</f>
        <v>98.4</v>
      </c>
      <c r="I88" s="1">
        <f ca="1">IFERROR(__xludf.DUMMYFUNCTION("""COMPUTED_VALUE"""),79)</f>
        <v>79</v>
      </c>
      <c r="J88" s="1">
        <f ca="1">IFERROR(__xludf.DUMMYFUNCTION("""COMPUTED_VALUE"""),70.5)</f>
        <v>70.5</v>
      </c>
      <c r="K88" s="1">
        <f ca="1">IFERROR(__xludf.DUMMYFUNCTION("""COMPUTED_VALUE"""),18)</f>
        <v>18</v>
      </c>
      <c r="L88" s="1" t="str">
        <f ca="1">IFERROR(__xludf.DUMMYFUNCTION("""COMPUTED_VALUE"""),"+.003")</f>
        <v>+.003</v>
      </c>
      <c r="M88" s="1">
        <f ca="1">IFERROR(__xludf.DUMMYFUNCTION("""COMPUTED_VALUE"""),155)</f>
        <v>155</v>
      </c>
      <c r="N88" s="1" t="str">
        <f ca="1">IFERROR(__xludf.DUMMYFUNCTION("""COMPUTED_VALUE"""),"+4.30")</f>
        <v>+4.30</v>
      </c>
      <c r="O88" s="1">
        <f ca="1">IFERROR(__xludf.DUMMYFUNCTION("""COMPUTED_VALUE"""),82)</f>
        <v>82</v>
      </c>
      <c r="P88" s="1">
        <f ca="1">IFERROR(__xludf.DUMMYFUNCTION("""COMPUTED_VALUE"""),106)</f>
        <v>106</v>
      </c>
      <c r="Q88" s="1">
        <f ca="1">IFERROR(__xludf.DUMMYFUNCTION("""COMPUTED_VALUE"""),64)</f>
        <v>64</v>
      </c>
      <c r="R88" s="1">
        <f ca="1">IFERROR(__xludf.DUMMYFUNCTION("""COMPUTED_VALUE"""),101.7)</f>
        <v>101.7</v>
      </c>
      <c r="S88" s="1">
        <f ca="1">IFERROR(__xludf.DUMMYFUNCTION("""COMPUTED_VALUE"""),116)</f>
        <v>116</v>
      </c>
      <c r="T88" s="1" t="str">
        <f ca="1">IFERROR(__xludf.DUMMYFUNCTION("""COMPUTED_VALUE"""),"+2.52")</f>
        <v>+2.52</v>
      </c>
      <c r="U88" s="1">
        <f ca="1">IFERROR(__xludf.DUMMYFUNCTION("""COMPUTED_VALUE"""),95)</f>
        <v>95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IFERROR(__xludf.DUMMYFUNCTION("""COMPUTED_VALUE"""),"Northern Iowa12")</f>
        <v>Northern Iowa12</v>
      </c>
      <c r="C89" s="1" t="str">
        <f ca="1">IFERROR(__xludf.DUMMYFUNCTION("""COMPUTED_VALUE"""),"MVC")</f>
        <v>MVC</v>
      </c>
      <c r="D89" s="1" t="str">
        <f ca="1">IFERROR(__xludf.DUMMYFUNCTION("""COMPUTED_VALUE"""),"23-11")</f>
        <v>23-11</v>
      </c>
      <c r="E89" s="1" t="str">
        <f ca="1">IFERROR(__xludf.DUMMYFUNCTION("""COMPUTED_VALUE"""),"+9.70")</f>
        <v>+9.70</v>
      </c>
      <c r="F89" s="1">
        <f ca="1">IFERROR(__xludf.DUMMYFUNCTION("""COMPUTED_VALUE"""),110.6)</f>
        <v>110.6</v>
      </c>
      <c r="G89" s="1">
        <f ca="1">IFERROR(__xludf.DUMMYFUNCTION("""COMPUTED_VALUE"""),59)</f>
        <v>59</v>
      </c>
      <c r="H89" s="1">
        <f ca="1">IFERROR(__xludf.DUMMYFUNCTION("""COMPUTED_VALUE"""),100.9)</f>
        <v>100.9</v>
      </c>
      <c r="I89" s="1">
        <f ca="1">IFERROR(__xludf.DUMMYFUNCTION("""COMPUTED_VALUE"""),131)</f>
        <v>131</v>
      </c>
      <c r="J89" s="1">
        <f ca="1">IFERROR(__xludf.DUMMYFUNCTION("""COMPUTED_VALUE"""),60.8)</f>
        <v>60.8</v>
      </c>
      <c r="K89" s="1">
        <f ca="1">IFERROR(__xludf.DUMMYFUNCTION("""COMPUTED_VALUE"""),318)</f>
        <v>318</v>
      </c>
      <c r="L89" s="1" t="str">
        <f ca="1">IFERROR(__xludf.DUMMYFUNCTION("""COMPUTED_VALUE"""),"+.051")</f>
        <v>+.051</v>
      </c>
      <c r="M89" s="1">
        <f ca="1">IFERROR(__xludf.DUMMYFUNCTION("""COMPUTED_VALUE"""),50)</f>
        <v>50</v>
      </c>
      <c r="N89" s="1" t="str">
        <f ca="1">IFERROR(__xludf.DUMMYFUNCTION("""COMPUTED_VALUE"""),"+3.10")</f>
        <v>+3.10</v>
      </c>
      <c r="O89" s="1">
        <f ca="1">IFERROR(__xludf.DUMMYFUNCTION("""COMPUTED_VALUE"""),98)</f>
        <v>98</v>
      </c>
      <c r="P89" s="1">
        <f ca="1">IFERROR(__xludf.DUMMYFUNCTION("""COMPUTED_VALUE"""),104.7)</f>
        <v>104.7</v>
      </c>
      <c r="Q89" s="1">
        <f ca="1">IFERROR(__xludf.DUMMYFUNCTION("""COMPUTED_VALUE"""),97)</f>
        <v>97</v>
      </c>
      <c r="R89" s="1">
        <f ca="1">IFERROR(__xludf.DUMMYFUNCTION("""COMPUTED_VALUE"""),101.6)</f>
        <v>101.6</v>
      </c>
      <c r="S89" s="1">
        <f ca="1">IFERROR(__xludf.DUMMYFUNCTION("""COMPUTED_VALUE"""),114)</f>
        <v>114</v>
      </c>
      <c r="T89" s="1" t="str">
        <f ca="1">IFERROR(__xludf.DUMMYFUNCTION("""COMPUTED_VALUE"""),"+1.88")</f>
        <v>+1.88</v>
      </c>
      <c r="U89" s="1">
        <f ca="1">IFERROR(__xludf.DUMMYFUNCTION("""COMPUTED_VALUE"""),110)</f>
        <v>110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IFERROR(__xludf.DUMMYFUNCTION("""COMPUTED_VALUE"""),"Vermont")</f>
        <v>Vermont</v>
      </c>
      <c r="C90" s="1" t="str">
        <f ca="1">IFERROR(__xludf.DUMMYFUNCTION("""COMPUTED_VALUE"""),"AE")</f>
        <v>AE</v>
      </c>
      <c r="D90" s="1" t="str">
        <f ca="1">IFERROR(__xludf.DUMMYFUNCTION("""COMPUTED_VALUE"""),"24-9")</f>
        <v>24-9</v>
      </c>
      <c r="E90" s="1" t="str">
        <f ca="1">IFERROR(__xludf.DUMMYFUNCTION("""COMPUTED_VALUE"""),"+9.10")</f>
        <v>+9.10</v>
      </c>
      <c r="F90" s="1">
        <f ca="1">IFERROR(__xludf.DUMMYFUNCTION("""COMPUTED_VALUE"""),108.7)</f>
        <v>108.7</v>
      </c>
      <c r="G90" s="1">
        <f ca="1">IFERROR(__xludf.DUMMYFUNCTION("""COMPUTED_VALUE"""),82)</f>
        <v>82</v>
      </c>
      <c r="H90" s="1">
        <f ca="1">IFERROR(__xludf.DUMMYFUNCTION("""COMPUTED_VALUE"""),99.6)</f>
        <v>99.6</v>
      </c>
      <c r="I90" s="1">
        <f ca="1">IFERROR(__xludf.DUMMYFUNCTION("""COMPUTED_VALUE"""),101)</f>
        <v>101</v>
      </c>
      <c r="J90" s="1">
        <f ca="1">IFERROR(__xludf.DUMMYFUNCTION("""COMPUTED_VALUE"""),69)</f>
        <v>69</v>
      </c>
      <c r="K90" s="1">
        <f ca="1">IFERROR(__xludf.DUMMYFUNCTION("""COMPUTED_VALUE"""),42)</f>
        <v>42</v>
      </c>
      <c r="L90" s="1">
        <f ca="1">IFERROR(__xludf.DUMMYFUNCTION("""COMPUTED_VALUE"""),-0.02)</f>
        <v>-0.02</v>
      </c>
      <c r="M90" s="1">
        <f ca="1">IFERROR(__xludf.DUMMYFUNCTION("""COMPUTED_VALUE"""),230)</f>
        <v>230</v>
      </c>
      <c r="N90" s="1">
        <f ca="1">IFERROR(__xludf.DUMMYFUNCTION("""COMPUTED_VALUE"""),-5.47)</f>
        <v>-5.47</v>
      </c>
      <c r="O90" s="1">
        <f ca="1">IFERROR(__xludf.DUMMYFUNCTION("""COMPUTED_VALUE"""),279)</f>
        <v>279</v>
      </c>
      <c r="P90" s="1">
        <f ca="1">IFERROR(__xludf.DUMMYFUNCTION("""COMPUTED_VALUE"""),99.8)</f>
        <v>99.8</v>
      </c>
      <c r="Q90" s="1">
        <f ca="1">IFERROR(__xludf.DUMMYFUNCTION("""COMPUTED_VALUE"""),276)</f>
        <v>276</v>
      </c>
      <c r="R90" s="1">
        <f ca="1">IFERROR(__xludf.DUMMYFUNCTION("""COMPUTED_VALUE"""),105.3)</f>
        <v>105.3</v>
      </c>
      <c r="S90" s="1">
        <f ca="1">IFERROR(__xludf.DUMMYFUNCTION("""COMPUTED_VALUE"""),260)</f>
        <v>260</v>
      </c>
      <c r="T90" s="1">
        <f ca="1">IFERROR(__xludf.DUMMYFUNCTION("""COMPUTED_VALUE"""),-5.33)</f>
        <v>-5.33</v>
      </c>
      <c r="U90" s="1">
        <f ca="1">IFERROR(__xludf.DUMMYFUNCTION("""COMPUTED_VALUE"""),285)</f>
        <v>285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IFERROR(__xludf.DUMMYFUNCTION("""COMPUTED_VALUE"""),"Duquesne7")</f>
        <v>Duquesne7</v>
      </c>
      <c r="C91" s="1" t="str">
        <f ca="1">IFERROR(__xludf.DUMMYFUNCTION("""COMPUTED_VALUE"""),"A10")</f>
        <v>A10</v>
      </c>
      <c r="D91" s="1" t="str">
        <f ca="1">IFERROR(__xludf.DUMMYFUNCTION("""COMPUTED_VALUE"""),"21-13")</f>
        <v>21-13</v>
      </c>
      <c r="E91" s="1" t="str">
        <f ca="1">IFERROR(__xludf.DUMMYFUNCTION("""COMPUTED_VALUE"""),"+8.95")</f>
        <v>+8.95</v>
      </c>
      <c r="F91" s="1">
        <f ca="1">IFERROR(__xludf.DUMMYFUNCTION("""COMPUTED_VALUE"""),115.2)</f>
        <v>115.2</v>
      </c>
      <c r="G91" s="1">
        <f ca="1">IFERROR(__xludf.DUMMYFUNCTION("""COMPUTED_VALUE"""),18)</f>
        <v>18</v>
      </c>
      <c r="H91" s="1">
        <f ca="1">IFERROR(__xludf.DUMMYFUNCTION("""COMPUTED_VALUE"""),106.2)</f>
        <v>106.2</v>
      </c>
      <c r="I91" s="1">
        <f ca="1">IFERROR(__xludf.DUMMYFUNCTION("""COMPUTED_VALUE"""),244)</f>
        <v>244</v>
      </c>
      <c r="J91" s="1">
        <f ca="1">IFERROR(__xludf.DUMMYFUNCTION("""COMPUTED_VALUE"""),68.9)</f>
        <v>68.900000000000006</v>
      </c>
      <c r="K91" s="1">
        <f ca="1">IFERROR(__xludf.DUMMYFUNCTION("""COMPUTED_VALUE"""),47)</f>
        <v>47</v>
      </c>
      <c r="L91" s="1" t="str">
        <f ca="1">IFERROR(__xludf.DUMMYFUNCTION("""COMPUTED_VALUE"""),"+.009")</f>
        <v>+.009</v>
      </c>
      <c r="M91" s="1">
        <f ca="1">IFERROR(__xludf.DUMMYFUNCTION("""COMPUTED_VALUE"""),146)</f>
        <v>146</v>
      </c>
      <c r="N91" s="1" t="str">
        <f ca="1">IFERROR(__xludf.DUMMYFUNCTION("""COMPUTED_VALUE"""),"+2.83")</f>
        <v>+2.83</v>
      </c>
      <c r="O91" s="1">
        <f ca="1">IFERROR(__xludf.DUMMYFUNCTION("""COMPUTED_VALUE"""),101)</f>
        <v>101</v>
      </c>
      <c r="P91" s="1">
        <f ca="1">IFERROR(__xludf.DUMMYFUNCTION("""COMPUTED_VALUE"""),103.7)</f>
        <v>103.7</v>
      </c>
      <c r="Q91" s="1">
        <f ca="1">IFERROR(__xludf.DUMMYFUNCTION("""COMPUTED_VALUE"""),131)</f>
        <v>131</v>
      </c>
      <c r="R91" s="1">
        <f ca="1">IFERROR(__xludf.DUMMYFUNCTION("""COMPUTED_VALUE"""),100.9)</f>
        <v>100.9</v>
      </c>
      <c r="S91" s="1">
        <f ca="1">IFERROR(__xludf.DUMMYFUNCTION("""COMPUTED_VALUE"""),83)</f>
        <v>83</v>
      </c>
      <c r="T91" s="1">
        <f ca="1">IFERROR(__xludf.DUMMYFUNCTION("""COMPUTED_VALUE"""),-3.06)</f>
        <v>-3.06</v>
      </c>
      <c r="U91" s="1">
        <f ca="1">IFERROR(__xludf.DUMMYFUNCTION("""COMPUTED_VALUE"""),233)</f>
        <v>233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IFERROR(__xludf.DUMMYFUNCTION("""COMPUTED_VALUE"""),"Cincinnati")</f>
        <v>Cincinnati</v>
      </c>
      <c r="C92" s="1" t="str">
        <f ca="1">IFERROR(__xludf.DUMMYFUNCTION("""COMPUTED_VALUE"""),"BE")</f>
        <v>BE</v>
      </c>
      <c r="D92" s="1" t="str">
        <f ca="1">IFERROR(__xludf.DUMMYFUNCTION("""COMPUTED_VALUE"""),"18-14")</f>
        <v>18-14</v>
      </c>
      <c r="E92" s="1" t="str">
        <f ca="1">IFERROR(__xludf.DUMMYFUNCTION("""COMPUTED_VALUE"""),"+8.72")</f>
        <v>+8.72</v>
      </c>
      <c r="F92" s="1">
        <f ca="1">IFERROR(__xludf.DUMMYFUNCTION("""COMPUTED_VALUE"""),108.7)</f>
        <v>108.7</v>
      </c>
      <c r="G92" s="1">
        <f ca="1">IFERROR(__xludf.DUMMYFUNCTION("""COMPUTED_VALUE"""),83)</f>
        <v>83</v>
      </c>
      <c r="H92" s="1">
        <f ca="1">IFERROR(__xludf.DUMMYFUNCTION("""COMPUTED_VALUE"""),100)</f>
        <v>100</v>
      </c>
      <c r="I92" s="1">
        <f ca="1">IFERROR(__xludf.DUMMYFUNCTION("""COMPUTED_VALUE"""),108)</f>
        <v>108</v>
      </c>
      <c r="J92" s="1">
        <f ca="1">IFERROR(__xludf.DUMMYFUNCTION("""COMPUTED_VALUE"""),63.5)</f>
        <v>63.5</v>
      </c>
      <c r="K92" s="1">
        <f ca="1">IFERROR(__xludf.DUMMYFUNCTION("""COMPUTED_VALUE"""),254)</f>
        <v>254</v>
      </c>
      <c r="L92" s="1" t="str">
        <f ca="1">IFERROR(__xludf.DUMMYFUNCTION("""COMPUTED_VALUE"""),"+.032")</f>
        <v>+.032</v>
      </c>
      <c r="M92" s="1">
        <f ca="1">IFERROR(__xludf.DUMMYFUNCTION("""COMPUTED_VALUE"""),86)</f>
        <v>86</v>
      </c>
      <c r="N92" s="1" t="str">
        <f ca="1">IFERROR(__xludf.DUMMYFUNCTION("""COMPUTED_VALUE"""),"+8.11")</f>
        <v>+8.11</v>
      </c>
      <c r="O92" s="1">
        <f ca="1">IFERROR(__xludf.DUMMYFUNCTION("""COMPUTED_VALUE"""),42)</f>
        <v>42</v>
      </c>
      <c r="P92" s="1">
        <f ca="1">IFERROR(__xludf.DUMMYFUNCTION("""COMPUTED_VALUE"""),106.8)</f>
        <v>106.8</v>
      </c>
      <c r="Q92" s="1">
        <f ca="1">IFERROR(__xludf.DUMMYFUNCTION("""COMPUTED_VALUE"""),50)</f>
        <v>50</v>
      </c>
      <c r="R92" s="1">
        <f ca="1">IFERROR(__xludf.DUMMYFUNCTION("""COMPUTED_VALUE"""),98.7)</f>
        <v>98.7</v>
      </c>
      <c r="S92" s="1">
        <f ca="1">IFERROR(__xludf.DUMMYFUNCTION("""COMPUTED_VALUE"""),27)</f>
        <v>27</v>
      </c>
      <c r="T92" s="1">
        <f ca="1">IFERROR(__xludf.DUMMYFUNCTION("""COMPUTED_VALUE"""),-2.26)</f>
        <v>-2.2599999999999998</v>
      </c>
      <c r="U92" s="1">
        <f ca="1">IFERROR(__xludf.DUMMYFUNCTION("""COMPUTED_VALUE"""),213)</f>
        <v>213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IFERROR(__xludf.DUMMYFUNCTION("""COMPUTED_VALUE"""),"Iowa")</f>
        <v>Iowa</v>
      </c>
      <c r="C93" s="1" t="str">
        <f ca="1">IFERROR(__xludf.DUMMYFUNCTION("""COMPUTED_VALUE"""),"B10")</f>
        <v>B10</v>
      </c>
      <c r="D93" s="1" t="str">
        <f ca="1">IFERROR(__xludf.DUMMYFUNCTION("""COMPUTED_VALUE"""),"15-17")</f>
        <v>15-17</v>
      </c>
      <c r="E93" s="1" t="str">
        <f ca="1">IFERROR(__xludf.DUMMYFUNCTION("""COMPUTED_VALUE"""),"+8.44")</f>
        <v>+8.44</v>
      </c>
      <c r="F93" s="1">
        <f ca="1">IFERROR(__xludf.DUMMYFUNCTION("""COMPUTED_VALUE"""),108.6)</f>
        <v>108.6</v>
      </c>
      <c r="G93" s="1">
        <f ca="1">IFERROR(__xludf.DUMMYFUNCTION("""COMPUTED_VALUE"""),84)</f>
        <v>84</v>
      </c>
      <c r="H93" s="1">
        <f ca="1">IFERROR(__xludf.DUMMYFUNCTION("""COMPUTED_VALUE"""),100.2)</f>
        <v>100.2</v>
      </c>
      <c r="I93" s="1">
        <f ca="1">IFERROR(__xludf.DUMMYFUNCTION("""COMPUTED_VALUE"""),116)</f>
        <v>116</v>
      </c>
      <c r="J93" s="1">
        <f ca="1">IFERROR(__xludf.DUMMYFUNCTION("""COMPUTED_VALUE"""),57.6)</f>
        <v>57.6</v>
      </c>
      <c r="K93" s="1">
        <f ca="1">IFERROR(__xludf.DUMMYFUNCTION("""COMPUTED_VALUE"""),341)</f>
        <v>341</v>
      </c>
      <c r="L93" s="1">
        <f ca="1">IFERROR(__xludf.DUMMYFUNCTION("""COMPUTED_VALUE"""),-0.055)</f>
        <v>-5.5E-2</v>
      </c>
      <c r="M93" s="1">
        <f ca="1">IFERROR(__xludf.DUMMYFUNCTION("""COMPUTED_VALUE"""),303)</f>
        <v>303</v>
      </c>
      <c r="N93" s="1" t="str">
        <f ca="1">IFERROR(__xludf.DUMMYFUNCTION("""COMPUTED_VALUE"""),"+7.89")</f>
        <v>+7.89</v>
      </c>
      <c r="O93" s="1">
        <f ca="1">IFERROR(__xludf.DUMMYFUNCTION("""COMPUTED_VALUE"""),47)</f>
        <v>47</v>
      </c>
      <c r="P93" s="1">
        <f ca="1">IFERROR(__xludf.DUMMYFUNCTION("""COMPUTED_VALUE"""),107.6)</f>
        <v>107.6</v>
      </c>
      <c r="Q93" s="1">
        <f ca="1">IFERROR(__xludf.DUMMYFUNCTION("""COMPUTED_VALUE"""),37)</f>
        <v>37</v>
      </c>
      <c r="R93" s="1">
        <f ca="1">IFERROR(__xludf.DUMMYFUNCTION("""COMPUTED_VALUE"""),99.7)</f>
        <v>99.7</v>
      </c>
      <c r="S93" s="1">
        <f ca="1">IFERROR(__xludf.DUMMYFUNCTION("""COMPUTED_VALUE"""),53)</f>
        <v>53</v>
      </c>
      <c r="T93" s="1">
        <f ca="1">IFERROR(__xludf.DUMMYFUNCTION("""COMPUTED_VALUE"""),-3.27)</f>
        <v>-3.27</v>
      </c>
      <c r="U93" s="1">
        <f ca="1">IFERROR(__xludf.DUMMYFUNCTION("""COMPUTED_VALUE"""),237)</f>
        <v>237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IFERROR(__xludf.DUMMYFUNCTION("""COMPUTED_VALUE"""),"Western Kentucky12")</f>
        <v>Western Kentucky12</v>
      </c>
      <c r="C94" s="1" t="str">
        <f ca="1">IFERROR(__xludf.DUMMYFUNCTION("""COMPUTED_VALUE"""),"SB")</f>
        <v>SB</v>
      </c>
      <c r="D94" s="1" t="str">
        <f ca="1">IFERROR(__xludf.DUMMYFUNCTION("""COMPUTED_VALUE"""),"25-9")</f>
        <v>25-9</v>
      </c>
      <c r="E94" s="1" t="str">
        <f ca="1">IFERROR(__xludf.DUMMYFUNCTION("""COMPUTED_VALUE"""),"+8.10")</f>
        <v>+8.10</v>
      </c>
      <c r="F94" s="1">
        <f ca="1">IFERROR(__xludf.DUMMYFUNCTION("""COMPUTED_VALUE"""),111.1)</f>
        <v>111.1</v>
      </c>
      <c r="G94" s="1">
        <f ca="1">IFERROR(__xludf.DUMMYFUNCTION("""COMPUTED_VALUE"""),52)</f>
        <v>52</v>
      </c>
      <c r="H94" s="1">
        <f ca="1">IFERROR(__xludf.DUMMYFUNCTION("""COMPUTED_VALUE"""),103)</f>
        <v>103</v>
      </c>
      <c r="I94" s="1">
        <f ca="1">IFERROR(__xludf.DUMMYFUNCTION("""COMPUTED_VALUE"""),173)</f>
        <v>173</v>
      </c>
      <c r="J94" s="1">
        <f ca="1">IFERROR(__xludf.DUMMYFUNCTION("""COMPUTED_VALUE"""),65.6)</f>
        <v>65.599999999999994</v>
      </c>
      <c r="K94" s="1">
        <f ca="1">IFERROR(__xludf.DUMMYFUNCTION("""COMPUTED_VALUE"""),155)</f>
        <v>155</v>
      </c>
      <c r="L94" s="1" t="str">
        <f ca="1">IFERROR(__xludf.DUMMYFUNCTION("""COMPUTED_VALUE"""),"+.092")</f>
        <v>+.092</v>
      </c>
      <c r="M94" s="1">
        <f ca="1">IFERROR(__xludf.DUMMYFUNCTION("""COMPUTED_VALUE"""),10)</f>
        <v>10</v>
      </c>
      <c r="N94" s="1">
        <f ca="1">IFERROR(__xludf.DUMMYFUNCTION("""COMPUTED_VALUE"""),-0.6)</f>
        <v>-0.6</v>
      </c>
      <c r="O94" s="1">
        <f ca="1">IFERROR(__xludf.DUMMYFUNCTION("""COMPUTED_VALUE"""),173)</f>
        <v>173</v>
      </c>
      <c r="P94" s="1">
        <f ca="1">IFERROR(__xludf.DUMMYFUNCTION("""COMPUTED_VALUE"""),102.2)</f>
        <v>102.2</v>
      </c>
      <c r="Q94" s="1">
        <f ca="1">IFERROR(__xludf.DUMMYFUNCTION("""COMPUTED_VALUE"""),197)</f>
        <v>197</v>
      </c>
      <c r="R94" s="1">
        <f ca="1">IFERROR(__xludf.DUMMYFUNCTION("""COMPUTED_VALUE"""),102.8)</f>
        <v>102.8</v>
      </c>
      <c r="S94" s="1">
        <f ca="1">IFERROR(__xludf.DUMMYFUNCTION("""COMPUTED_VALUE"""),162)</f>
        <v>162</v>
      </c>
      <c r="T94" s="1" t="str">
        <f ca="1">IFERROR(__xludf.DUMMYFUNCTION("""COMPUTED_VALUE"""),"+6.63")</f>
        <v>+6.63</v>
      </c>
      <c r="U94" s="1">
        <f ca="1">IFERROR(__xludf.DUMMYFUNCTION("""COMPUTED_VALUE"""),36)</f>
        <v>36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IFERROR(__xludf.DUMMYFUNCTION("""COMPUTED_VALUE"""),"George Mason7")</f>
        <v>George Mason7</v>
      </c>
      <c r="C95" s="1" t="str">
        <f ca="1">IFERROR(__xludf.DUMMYFUNCTION("""COMPUTED_VALUE"""),"CAA")</f>
        <v>CAA</v>
      </c>
      <c r="D95" s="1" t="str">
        <f ca="1">IFERROR(__xludf.DUMMYFUNCTION("""COMPUTED_VALUE"""),"22-11")</f>
        <v>22-11</v>
      </c>
      <c r="E95" s="1" t="str">
        <f ca="1">IFERROR(__xludf.DUMMYFUNCTION("""COMPUTED_VALUE"""),"+8.04")</f>
        <v>+8.04</v>
      </c>
      <c r="F95" s="1">
        <f ca="1">IFERROR(__xludf.DUMMYFUNCTION("""COMPUTED_VALUE"""),104.6)</f>
        <v>104.6</v>
      </c>
      <c r="G95" s="1">
        <f ca="1">IFERROR(__xludf.DUMMYFUNCTION("""COMPUTED_VALUE"""),136)</f>
        <v>136</v>
      </c>
      <c r="H95" s="1">
        <f ca="1">IFERROR(__xludf.DUMMYFUNCTION("""COMPUTED_VALUE"""),96.6)</f>
        <v>96.6</v>
      </c>
      <c r="I95" s="1">
        <f ca="1">IFERROR(__xludf.DUMMYFUNCTION("""COMPUTED_VALUE"""),59)</f>
        <v>59</v>
      </c>
      <c r="J95" s="1">
        <f ca="1">IFERROR(__xludf.DUMMYFUNCTION("""COMPUTED_VALUE"""),62.2)</f>
        <v>62.2</v>
      </c>
      <c r="K95" s="1">
        <f ca="1">IFERROR(__xludf.DUMMYFUNCTION("""COMPUTED_VALUE"""),294)</f>
        <v>294</v>
      </c>
      <c r="L95" s="1">
        <f ca="1">IFERROR(__xludf.DUMMYFUNCTION("""COMPUTED_VALUE"""),-0.011)</f>
        <v>-1.0999999999999999E-2</v>
      </c>
      <c r="M95" s="1">
        <f ca="1">IFERROR(__xludf.DUMMYFUNCTION("""COMPUTED_VALUE"""),197)</f>
        <v>197</v>
      </c>
      <c r="N95" s="1">
        <f ca="1">IFERROR(__xludf.DUMMYFUNCTION("""COMPUTED_VALUE"""),-0.25)</f>
        <v>-0.25</v>
      </c>
      <c r="O95" s="1">
        <f ca="1">IFERROR(__xludf.DUMMYFUNCTION("""COMPUTED_VALUE"""),168)</f>
        <v>168</v>
      </c>
      <c r="P95" s="1">
        <f ca="1">IFERROR(__xludf.DUMMYFUNCTION("""COMPUTED_VALUE"""),102.7)</f>
        <v>102.7</v>
      </c>
      <c r="Q95" s="1">
        <f ca="1">IFERROR(__xludf.DUMMYFUNCTION("""COMPUTED_VALUE"""),175)</f>
        <v>175</v>
      </c>
      <c r="R95" s="1">
        <f ca="1">IFERROR(__xludf.DUMMYFUNCTION("""COMPUTED_VALUE"""),102.9)</f>
        <v>102.9</v>
      </c>
      <c r="S95" s="1">
        <f ca="1">IFERROR(__xludf.DUMMYFUNCTION("""COMPUTED_VALUE"""),165)</f>
        <v>165</v>
      </c>
      <c r="T95" s="1">
        <f ca="1">IFERROR(__xludf.DUMMYFUNCTION("""COMPUTED_VALUE"""),-0.25)</f>
        <v>-0.25</v>
      </c>
      <c r="U95" s="1">
        <f ca="1">IFERROR(__xludf.DUMMYFUNCTION("""COMPUTED_VALUE"""),162)</f>
        <v>162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IFERROR(__xludf.DUMMYFUNCTION("""COMPUTED_VALUE"""),"Oral Roberts")</f>
        <v>Oral Roberts</v>
      </c>
      <c r="C96" s="1" t="str">
        <f ca="1">IFERROR(__xludf.DUMMYFUNCTION("""COMPUTED_VALUE"""),"Sum")</f>
        <v>Sum</v>
      </c>
      <c r="D96" s="1" t="str">
        <f ca="1">IFERROR(__xludf.DUMMYFUNCTION("""COMPUTED_VALUE"""),"16-15")</f>
        <v>16-15</v>
      </c>
      <c r="E96" s="1" t="str">
        <f ca="1">IFERROR(__xludf.DUMMYFUNCTION("""COMPUTED_VALUE"""),"+7.85")</f>
        <v>+7.85</v>
      </c>
      <c r="F96" s="1">
        <f ca="1">IFERROR(__xludf.DUMMYFUNCTION("""COMPUTED_VALUE"""),103)</f>
        <v>103</v>
      </c>
      <c r="G96" s="1">
        <f ca="1">IFERROR(__xludf.DUMMYFUNCTION("""COMPUTED_VALUE"""),162)</f>
        <v>162</v>
      </c>
      <c r="H96" s="1">
        <f ca="1">IFERROR(__xludf.DUMMYFUNCTION("""COMPUTED_VALUE"""),95.2)</f>
        <v>95.2</v>
      </c>
      <c r="I96" s="1">
        <f ca="1">IFERROR(__xludf.DUMMYFUNCTION("""COMPUTED_VALUE"""),41)</f>
        <v>41</v>
      </c>
      <c r="J96" s="1">
        <f ca="1">IFERROR(__xludf.DUMMYFUNCTION("""COMPUTED_VALUE"""),67.6)</f>
        <v>67.599999999999994</v>
      </c>
      <c r="K96" s="1">
        <f ca="1">IFERROR(__xludf.DUMMYFUNCTION("""COMPUTED_VALUE"""),77)</f>
        <v>77</v>
      </c>
      <c r="L96" s="1">
        <f ca="1">IFERROR(__xludf.DUMMYFUNCTION("""COMPUTED_VALUE"""),-0.111)</f>
        <v>-0.111</v>
      </c>
      <c r="M96" s="1">
        <f ca="1">IFERROR(__xludf.DUMMYFUNCTION("""COMPUTED_VALUE"""),342)</f>
        <v>342</v>
      </c>
      <c r="N96" s="1" t="str">
        <f ca="1">IFERROR(__xludf.DUMMYFUNCTION("""COMPUTED_VALUE"""),"+1.78")</f>
        <v>+1.78</v>
      </c>
      <c r="O96" s="1">
        <f ca="1">IFERROR(__xludf.DUMMYFUNCTION("""COMPUTED_VALUE"""),116)</f>
        <v>116</v>
      </c>
      <c r="P96" s="1">
        <f ca="1">IFERROR(__xludf.DUMMYFUNCTION("""COMPUTED_VALUE"""),105.2)</f>
        <v>105.2</v>
      </c>
      <c r="Q96" s="1">
        <f ca="1">IFERROR(__xludf.DUMMYFUNCTION("""COMPUTED_VALUE"""),88)</f>
        <v>88</v>
      </c>
      <c r="R96" s="1">
        <f ca="1">IFERROR(__xludf.DUMMYFUNCTION("""COMPUTED_VALUE"""),103.4)</f>
        <v>103.4</v>
      </c>
      <c r="S96" s="1">
        <f ca="1">IFERROR(__xludf.DUMMYFUNCTION("""COMPUTED_VALUE"""),180)</f>
        <v>180</v>
      </c>
      <c r="T96" s="1" t="str">
        <f ca="1">IFERROR(__xludf.DUMMYFUNCTION("""COMPUTED_VALUE"""),"+13.25")</f>
        <v>+13.25</v>
      </c>
      <c r="U96" s="1">
        <f ca="1">IFERROR(__xludf.DUMMYFUNCTION("""COMPUTED_VALUE"""),4)</f>
        <v>4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IFERROR(__xludf.DUMMYFUNCTION("""COMPUTED_VALUE"""),"Miami OH")</f>
        <v>Miami OH</v>
      </c>
      <c r="C97" s="1" t="str">
        <f ca="1">IFERROR(__xludf.DUMMYFUNCTION("""COMPUTED_VALUE"""),"MAC")</f>
        <v>MAC</v>
      </c>
      <c r="D97" s="1" t="str">
        <f ca="1">IFERROR(__xludf.DUMMYFUNCTION("""COMPUTED_VALUE"""),"17-13")</f>
        <v>17-13</v>
      </c>
      <c r="E97" s="1" t="str">
        <f ca="1">IFERROR(__xludf.DUMMYFUNCTION("""COMPUTED_VALUE"""),"+7.38")</f>
        <v>+7.38</v>
      </c>
      <c r="F97" s="1">
        <f ca="1">IFERROR(__xludf.DUMMYFUNCTION("""COMPUTED_VALUE"""),103.5)</f>
        <v>103.5</v>
      </c>
      <c r="G97" s="1">
        <f ca="1">IFERROR(__xludf.DUMMYFUNCTION("""COMPUTED_VALUE"""),154)</f>
        <v>154</v>
      </c>
      <c r="H97" s="1">
        <f ca="1">IFERROR(__xludf.DUMMYFUNCTION("""COMPUTED_VALUE"""),96.2)</f>
        <v>96.2</v>
      </c>
      <c r="I97" s="1">
        <f ca="1">IFERROR(__xludf.DUMMYFUNCTION("""COMPUTED_VALUE"""),53)</f>
        <v>53</v>
      </c>
      <c r="J97" s="1">
        <f ca="1">IFERROR(__xludf.DUMMYFUNCTION("""COMPUTED_VALUE"""),60.4)</f>
        <v>60.4</v>
      </c>
      <c r="K97" s="1">
        <f ca="1">IFERROR(__xludf.DUMMYFUNCTION("""COMPUTED_VALUE"""),322)</f>
        <v>322</v>
      </c>
      <c r="L97" s="1">
        <f ca="1">IFERROR(__xludf.DUMMYFUNCTION("""COMPUTED_VALUE"""),-0.005)</f>
        <v>-5.0000000000000001E-3</v>
      </c>
      <c r="M97" s="1">
        <f ca="1">IFERROR(__xludf.DUMMYFUNCTION("""COMPUTED_VALUE"""),178)</f>
        <v>178</v>
      </c>
      <c r="N97" s="1" t="str">
        <f ca="1">IFERROR(__xludf.DUMMYFUNCTION("""COMPUTED_VALUE"""),"+2.44")</f>
        <v>+2.44</v>
      </c>
      <c r="O97" s="1">
        <f ca="1">IFERROR(__xludf.DUMMYFUNCTION("""COMPUTED_VALUE"""),107)</f>
        <v>107</v>
      </c>
      <c r="P97" s="1">
        <f ca="1">IFERROR(__xludf.DUMMYFUNCTION("""COMPUTED_VALUE"""),102.5)</f>
        <v>102.5</v>
      </c>
      <c r="Q97" s="1">
        <f ca="1">IFERROR(__xludf.DUMMYFUNCTION("""COMPUTED_VALUE"""),185)</f>
        <v>185</v>
      </c>
      <c r="R97" s="1">
        <f ca="1">IFERROR(__xludf.DUMMYFUNCTION("""COMPUTED_VALUE"""),100)</f>
        <v>100</v>
      </c>
      <c r="S97" s="1">
        <f ca="1">IFERROR(__xludf.DUMMYFUNCTION("""COMPUTED_VALUE"""),60)</f>
        <v>60</v>
      </c>
      <c r="T97" s="1" t="str">
        <f ca="1">IFERROR(__xludf.DUMMYFUNCTION("""COMPUTED_VALUE"""),"+10.25")</f>
        <v>+10.25</v>
      </c>
      <c r="U97" s="1">
        <f ca="1">IFERROR(__xludf.DUMMYFUNCTION("""COMPUTED_VALUE"""),15)</f>
        <v>15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IFERROR(__xludf.DUMMYFUNCTION("""COMPUTED_VALUE"""),"Mississippi")</f>
        <v>Mississippi</v>
      </c>
      <c r="C98" s="1" t="str">
        <f ca="1">IFERROR(__xludf.DUMMYFUNCTION("""COMPUTED_VALUE"""),"SEC")</f>
        <v>SEC</v>
      </c>
      <c r="D98" s="1" t="str">
        <f ca="1">IFERROR(__xludf.DUMMYFUNCTION("""COMPUTED_VALUE"""),"16-15")</f>
        <v>16-15</v>
      </c>
      <c r="E98" s="1" t="str">
        <f ca="1">IFERROR(__xludf.DUMMYFUNCTION("""COMPUTED_VALUE"""),"+7.19")</f>
        <v>+7.19</v>
      </c>
      <c r="F98" s="1">
        <f ca="1">IFERROR(__xludf.DUMMYFUNCTION("""COMPUTED_VALUE"""),111.4)</f>
        <v>111.4</v>
      </c>
      <c r="G98" s="1">
        <f ca="1">IFERROR(__xludf.DUMMYFUNCTION("""COMPUTED_VALUE"""),48)</f>
        <v>48</v>
      </c>
      <c r="H98" s="1">
        <f ca="1">IFERROR(__xludf.DUMMYFUNCTION("""COMPUTED_VALUE"""),104.2)</f>
        <v>104.2</v>
      </c>
      <c r="I98" s="1">
        <f ca="1">IFERROR(__xludf.DUMMYFUNCTION("""COMPUTED_VALUE"""),196)</f>
        <v>196</v>
      </c>
      <c r="J98" s="1">
        <f ca="1">IFERROR(__xludf.DUMMYFUNCTION("""COMPUTED_VALUE"""),66.3)</f>
        <v>66.3</v>
      </c>
      <c r="K98" s="1">
        <f ca="1">IFERROR(__xludf.DUMMYFUNCTION("""COMPUTED_VALUE"""),128)</f>
        <v>128</v>
      </c>
      <c r="L98" s="1">
        <f ca="1">IFERROR(__xludf.DUMMYFUNCTION("""COMPUTED_VALUE"""),-0.001)</f>
        <v>-1E-3</v>
      </c>
      <c r="M98" s="1">
        <f ca="1">IFERROR(__xludf.DUMMYFUNCTION("""COMPUTED_VALUE"""),166)</f>
        <v>166</v>
      </c>
      <c r="N98" s="1" t="str">
        <f ca="1">IFERROR(__xludf.DUMMYFUNCTION("""COMPUTED_VALUE"""),"+6.06")</f>
        <v>+6.06</v>
      </c>
      <c r="O98" s="1">
        <f ca="1">IFERROR(__xludf.DUMMYFUNCTION("""COMPUTED_VALUE"""),62)</f>
        <v>62</v>
      </c>
      <c r="P98" s="1">
        <f ca="1">IFERROR(__xludf.DUMMYFUNCTION("""COMPUTED_VALUE"""),105.4)</f>
        <v>105.4</v>
      </c>
      <c r="Q98" s="1">
        <f ca="1">IFERROR(__xludf.DUMMYFUNCTION("""COMPUTED_VALUE"""),80)</f>
        <v>80</v>
      </c>
      <c r="R98" s="1">
        <f ca="1">IFERROR(__xludf.DUMMYFUNCTION("""COMPUTED_VALUE"""),99.3)</f>
        <v>99.3</v>
      </c>
      <c r="S98" s="1">
        <f ca="1">IFERROR(__xludf.DUMMYFUNCTION("""COMPUTED_VALUE"""),46)</f>
        <v>46</v>
      </c>
      <c r="T98" s="1" t="str">
        <f ca="1">IFERROR(__xludf.DUMMYFUNCTION("""COMPUTED_VALUE"""),"+0.06")</f>
        <v>+0.06</v>
      </c>
      <c r="U98" s="1">
        <f ca="1">IFERROR(__xludf.DUMMYFUNCTION("""COMPUTED_VALUE"""),155)</f>
        <v>155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IFERROR(__xludf.DUMMYFUNCTION("""COMPUTED_VALUE"""),"Old Dominion")</f>
        <v>Old Dominion</v>
      </c>
      <c r="C99" s="1" t="str">
        <f ca="1">IFERROR(__xludf.DUMMYFUNCTION("""COMPUTED_VALUE"""),"CAA")</f>
        <v>CAA</v>
      </c>
      <c r="D99" s="1" t="str">
        <f ca="1">IFERROR(__xludf.DUMMYFUNCTION("""COMPUTED_VALUE"""),"25-10")</f>
        <v>25-10</v>
      </c>
      <c r="E99" s="1" t="str">
        <f ca="1">IFERROR(__xludf.DUMMYFUNCTION("""COMPUTED_VALUE"""),"+7.02")</f>
        <v>+7.02</v>
      </c>
      <c r="F99" s="1">
        <f ca="1">IFERROR(__xludf.DUMMYFUNCTION("""COMPUTED_VALUE"""),105)</f>
        <v>105</v>
      </c>
      <c r="G99" s="1">
        <f ca="1">IFERROR(__xludf.DUMMYFUNCTION("""COMPUTED_VALUE"""),132)</f>
        <v>132</v>
      </c>
      <c r="H99" s="1">
        <f ca="1">IFERROR(__xludf.DUMMYFUNCTION("""COMPUTED_VALUE"""),98)</f>
        <v>98</v>
      </c>
      <c r="I99" s="1">
        <f ca="1">IFERROR(__xludf.DUMMYFUNCTION("""COMPUTED_VALUE"""),72)</f>
        <v>72</v>
      </c>
      <c r="J99" s="1">
        <f ca="1">IFERROR(__xludf.DUMMYFUNCTION("""COMPUTED_VALUE"""),62.2)</f>
        <v>62.2</v>
      </c>
      <c r="K99" s="1">
        <f ca="1">IFERROR(__xludf.DUMMYFUNCTION("""COMPUTED_VALUE"""),295)</f>
        <v>295</v>
      </c>
      <c r="L99" s="1" t="str">
        <f ca="1">IFERROR(__xludf.DUMMYFUNCTION("""COMPUTED_VALUE"""),"+.043")</f>
        <v>+.043</v>
      </c>
      <c r="M99" s="1">
        <f ca="1">IFERROR(__xludf.DUMMYFUNCTION("""COMPUTED_VALUE"""),64)</f>
        <v>64</v>
      </c>
      <c r="N99" s="1">
        <f ca="1">IFERROR(__xludf.DUMMYFUNCTION("""COMPUTED_VALUE"""),-2.52)</f>
        <v>-2.52</v>
      </c>
      <c r="O99" s="1">
        <f ca="1">IFERROR(__xludf.DUMMYFUNCTION("""COMPUTED_VALUE"""),209)</f>
        <v>209</v>
      </c>
      <c r="P99" s="1">
        <f ca="1">IFERROR(__xludf.DUMMYFUNCTION("""COMPUTED_VALUE"""),101.4)</f>
        <v>101.4</v>
      </c>
      <c r="Q99" s="1">
        <f ca="1">IFERROR(__xludf.DUMMYFUNCTION("""COMPUTED_VALUE"""),226)</f>
        <v>226</v>
      </c>
      <c r="R99" s="1">
        <f ca="1">IFERROR(__xludf.DUMMYFUNCTION("""COMPUTED_VALUE"""),103.9)</f>
        <v>103.9</v>
      </c>
      <c r="S99" s="1">
        <f ca="1">IFERROR(__xludf.DUMMYFUNCTION("""COMPUTED_VALUE"""),201)</f>
        <v>201</v>
      </c>
      <c r="T99" s="1">
        <f ca="1">IFERROR(__xludf.DUMMYFUNCTION("""COMPUTED_VALUE"""),-8.55)</f>
        <v>-8.5500000000000007</v>
      </c>
      <c r="U99" s="1">
        <f ca="1">IFERROR(__xludf.DUMMYFUNCTION("""COMPUTED_VALUE"""),326)</f>
        <v>326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IFERROR(__xludf.DUMMYFUNCTION("""COMPUTED_VALUE"""),"Texas Tech")</f>
        <v>Texas Tech</v>
      </c>
      <c r="C100" s="1" t="str">
        <f ca="1">IFERROR(__xludf.DUMMYFUNCTION("""COMPUTED_VALUE"""),"B12")</f>
        <v>B12</v>
      </c>
      <c r="D100" s="1" t="str">
        <f ca="1">IFERROR(__xludf.DUMMYFUNCTION("""COMPUTED_VALUE"""),"14-19")</f>
        <v>14-19</v>
      </c>
      <c r="E100" s="1" t="str">
        <f ca="1">IFERROR(__xludf.DUMMYFUNCTION("""COMPUTED_VALUE"""),"+7.01")</f>
        <v>+7.01</v>
      </c>
      <c r="F100" s="1">
        <f ca="1">IFERROR(__xludf.DUMMYFUNCTION("""COMPUTED_VALUE"""),109.3)</f>
        <v>109.3</v>
      </c>
      <c r="G100" s="1">
        <f ca="1">IFERROR(__xludf.DUMMYFUNCTION("""COMPUTED_VALUE"""),74)</f>
        <v>74</v>
      </c>
      <c r="H100" s="1">
        <f ca="1">IFERROR(__xludf.DUMMYFUNCTION("""COMPUTED_VALUE"""),102.3)</f>
        <v>102.3</v>
      </c>
      <c r="I100" s="1">
        <f ca="1">IFERROR(__xludf.DUMMYFUNCTION("""COMPUTED_VALUE"""),161)</f>
        <v>161</v>
      </c>
      <c r="J100" s="1">
        <f ca="1">IFERROR(__xludf.DUMMYFUNCTION("""COMPUTED_VALUE"""),71.4)</f>
        <v>71.400000000000006</v>
      </c>
      <c r="K100" s="1">
        <f ca="1">IFERROR(__xludf.DUMMYFUNCTION("""COMPUTED_VALUE"""),14)</f>
        <v>14</v>
      </c>
      <c r="L100" s="1">
        <f ca="1">IFERROR(__xludf.DUMMYFUNCTION("""COMPUTED_VALUE"""),-0.017)</f>
        <v>-1.7000000000000001E-2</v>
      </c>
      <c r="M100" s="1">
        <f ca="1">IFERROR(__xludf.DUMMYFUNCTION("""COMPUTED_VALUE"""),220)</f>
        <v>220</v>
      </c>
      <c r="N100" s="1" t="str">
        <f ca="1">IFERROR(__xludf.DUMMYFUNCTION("""COMPUTED_VALUE"""),"+10.65")</f>
        <v>+10.65</v>
      </c>
      <c r="O100" s="1">
        <f ca="1">IFERROR(__xludf.DUMMYFUNCTION("""COMPUTED_VALUE"""),10)</f>
        <v>10</v>
      </c>
      <c r="P100" s="1">
        <f ca="1">IFERROR(__xludf.DUMMYFUNCTION("""COMPUTED_VALUE"""),109.2)</f>
        <v>109.2</v>
      </c>
      <c r="Q100" s="1">
        <f ca="1">IFERROR(__xludf.DUMMYFUNCTION("""COMPUTED_VALUE"""),7)</f>
        <v>7</v>
      </c>
      <c r="R100" s="1">
        <f ca="1">IFERROR(__xludf.DUMMYFUNCTION("""COMPUTED_VALUE"""),98.6)</f>
        <v>98.6</v>
      </c>
      <c r="S100" s="1">
        <f ca="1">IFERROR(__xludf.DUMMYFUNCTION("""COMPUTED_VALUE"""),22)</f>
        <v>22</v>
      </c>
      <c r="T100" s="1" t="str">
        <f ca="1">IFERROR(__xludf.DUMMYFUNCTION("""COMPUTED_VALUE"""),"+1.39")</f>
        <v>+1.39</v>
      </c>
      <c r="U100" s="1">
        <f ca="1">IFERROR(__xludf.DUMMYFUNCTION("""COMPUTED_VALUE"""),119)</f>
        <v>119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IFERROR(__xludf.DUMMYFUNCTION("""COMPUTED_VALUE"""),"Akron13")</f>
        <v>Akron13</v>
      </c>
      <c r="C101" s="1" t="str">
        <f ca="1">IFERROR(__xludf.DUMMYFUNCTION("""COMPUTED_VALUE"""),"MAC")</f>
        <v>MAC</v>
      </c>
      <c r="D101" s="1" t="str">
        <f ca="1">IFERROR(__xludf.DUMMYFUNCTION("""COMPUTED_VALUE"""),"23-13")</f>
        <v>23-13</v>
      </c>
      <c r="E101" s="1" t="str">
        <f ca="1">IFERROR(__xludf.DUMMYFUNCTION("""COMPUTED_VALUE"""),"+6.90")</f>
        <v>+6.90</v>
      </c>
      <c r="F101" s="1">
        <f ca="1">IFERROR(__xludf.DUMMYFUNCTION("""COMPUTED_VALUE"""),102.9)</f>
        <v>102.9</v>
      </c>
      <c r="G101" s="1">
        <f ca="1">IFERROR(__xludf.DUMMYFUNCTION("""COMPUTED_VALUE"""),163)</f>
        <v>163</v>
      </c>
      <c r="H101" s="1">
        <f ca="1">IFERROR(__xludf.DUMMYFUNCTION("""COMPUTED_VALUE"""),96)</f>
        <v>96</v>
      </c>
      <c r="I101" s="1">
        <f ca="1">IFERROR(__xludf.DUMMYFUNCTION("""COMPUTED_VALUE"""),51)</f>
        <v>51</v>
      </c>
      <c r="J101" s="1">
        <f ca="1">IFERROR(__xludf.DUMMYFUNCTION("""COMPUTED_VALUE"""),64.8)</f>
        <v>64.8</v>
      </c>
      <c r="K101" s="1">
        <f ca="1">IFERROR(__xludf.DUMMYFUNCTION("""COMPUTED_VALUE"""),190)</f>
        <v>190</v>
      </c>
      <c r="L101" s="1">
        <f ca="1">IFERROR(__xludf.DUMMYFUNCTION("""COMPUTED_VALUE"""),-0.014)</f>
        <v>-1.4E-2</v>
      </c>
      <c r="M101" s="1">
        <f ca="1">IFERROR(__xludf.DUMMYFUNCTION("""COMPUTED_VALUE"""),204)</f>
        <v>204</v>
      </c>
      <c r="N101" s="1">
        <f ca="1">IFERROR(__xludf.DUMMYFUNCTION("""COMPUTED_VALUE"""),-1.6)</f>
        <v>-1.6</v>
      </c>
      <c r="O101" s="1">
        <f ca="1">IFERROR(__xludf.DUMMYFUNCTION("""COMPUTED_VALUE"""),192)</f>
        <v>192</v>
      </c>
      <c r="P101" s="1">
        <f ca="1">IFERROR(__xludf.DUMMYFUNCTION("""COMPUTED_VALUE"""),100.9)</f>
        <v>100.9</v>
      </c>
      <c r="Q101" s="1">
        <f ca="1">IFERROR(__xludf.DUMMYFUNCTION("""COMPUTED_VALUE"""),246)</f>
        <v>246</v>
      </c>
      <c r="R101" s="1">
        <f ca="1">IFERROR(__xludf.DUMMYFUNCTION("""COMPUTED_VALUE"""),102.5)</f>
        <v>102.5</v>
      </c>
      <c r="S101" s="1">
        <f ca="1">IFERROR(__xludf.DUMMYFUNCTION("""COMPUTED_VALUE"""),147)</f>
        <v>147</v>
      </c>
      <c r="T101" s="1">
        <f ca="1">IFERROR(__xludf.DUMMYFUNCTION("""COMPUTED_VALUE"""),-1.83)</f>
        <v>-1.83</v>
      </c>
      <c r="U101" s="1">
        <f ca="1">IFERROR(__xludf.DUMMYFUNCTION("""COMPUTED_VALUE"""),205)</f>
        <v>205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IFERROR(__xludf.DUMMYFUNCTION("""COMPUTED_VALUE"""),"Wright St.")</f>
        <v>Wright St.</v>
      </c>
      <c r="C102" s="1" t="str">
        <f ca="1">IFERROR(__xludf.DUMMYFUNCTION("""COMPUTED_VALUE"""),"Horz")</f>
        <v>Horz</v>
      </c>
      <c r="D102" s="1" t="str">
        <f ca="1">IFERROR(__xludf.DUMMYFUNCTION("""COMPUTED_VALUE"""),"20-13")</f>
        <v>20-13</v>
      </c>
      <c r="E102" s="1" t="str">
        <f ca="1">IFERROR(__xludf.DUMMYFUNCTION("""COMPUTED_VALUE"""),"+6.90")</f>
        <v>+6.90</v>
      </c>
      <c r="F102" s="1">
        <f ca="1">IFERROR(__xludf.DUMMYFUNCTION("""COMPUTED_VALUE"""),100.7)</f>
        <v>100.7</v>
      </c>
      <c r="G102" s="1">
        <f ca="1">IFERROR(__xludf.DUMMYFUNCTION("""COMPUTED_VALUE"""),213)</f>
        <v>213</v>
      </c>
      <c r="H102" s="1">
        <f ca="1">IFERROR(__xludf.DUMMYFUNCTION("""COMPUTED_VALUE"""),93.8)</f>
        <v>93.8</v>
      </c>
      <c r="I102" s="1">
        <f ca="1">IFERROR(__xludf.DUMMYFUNCTION("""COMPUTED_VALUE"""),34)</f>
        <v>34</v>
      </c>
      <c r="J102" s="1">
        <f ca="1">IFERROR(__xludf.DUMMYFUNCTION("""COMPUTED_VALUE"""),61.6)</f>
        <v>61.6</v>
      </c>
      <c r="K102" s="1">
        <f ca="1">IFERROR(__xludf.DUMMYFUNCTION("""COMPUTED_VALUE"""),309)</f>
        <v>309</v>
      </c>
      <c r="L102" s="1" t="str">
        <f ca="1">IFERROR(__xludf.DUMMYFUNCTION("""COMPUTED_VALUE"""),"+.014")</f>
        <v>+.014</v>
      </c>
      <c r="M102" s="1">
        <f ca="1">IFERROR(__xludf.DUMMYFUNCTION("""COMPUTED_VALUE"""),134)</f>
        <v>134</v>
      </c>
      <c r="N102" s="1" t="str">
        <f ca="1">IFERROR(__xludf.DUMMYFUNCTION("""COMPUTED_VALUE"""),"+1.26")</f>
        <v>+1.26</v>
      </c>
      <c r="O102" s="1">
        <f ca="1">IFERROR(__xludf.DUMMYFUNCTION("""COMPUTED_VALUE"""),127)</f>
        <v>127</v>
      </c>
      <c r="P102" s="1">
        <f ca="1">IFERROR(__xludf.DUMMYFUNCTION("""COMPUTED_VALUE"""),103)</f>
        <v>103</v>
      </c>
      <c r="Q102" s="1">
        <f ca="1">IFERROR(__xludf.DUMMYFUNCTION("""COMPUTED_VALUE"""),164)</f>
        <v>164</v>
      </c>
      <c r="R102" s="1">
        <f ca="1">IFERROR(__xludf.DUMMYFUNCTION("""COMPUTED_VALUE"""),101.7)</f>
        <v>101.7</v>
      </c>
      <c r="S102" s="1">
        <f ca="1">IFERROR(__xludf.DUMMYFUNCTION("""COMPUTED_VALUE"""),117)</f>
        <v>117</v>
      </c>
      <c r="T102" s="1" t="str">
        <f ca="1">IFERROR(__xludf.DUMMYFUNCTION("""COMPUTED_VALUE"""),"+1.42")</f>
        <v>+1.42</v>
      </c>
      <c r="U102" s="1">
        <f ca="1">IFERROR(__xludf.DUMMYFUNCTION("""COMPUTED_VALUE"""),118)</f>
        <v>118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IFERROR(__xludf.DUMMYFUNCTION("""COMPUTED_VALUE"""),"Northeastern")</f>
        <v>Northeastern</v>
      </c>
      <c r="C103" s="1" t="str">
        <f ca="1">IFERROR(__xludf.DUMMYFUNCTION("""COMPUTED_VALUE"""),"CAA")</f>
        <v>CAA</v>
      </c>
      <c r="D103" s="1" t="str">
        <f ca="1">IFERROR(__xludf.DUMMYFUNCTION("""COMPUTED_VALUE"""),"19-13")</f>
        <v>19-13</v>
      </c>
      <c r="E103" s="1" t="str">
        <f ca="1">IFERROR(__xludf.DUMMYFUNCTION("""COMPUTED_VALUE"""),"+6.84")</f>
        <v>+6.84</v>
      </c>
      <c r="F103" s="1">
        <f ca="1">IFERROR(__xludf.DUMMYFUNCTION("""COMPUTED_VALUE"""),106.4)</f>
        <v>106.4</v>
      </c>
      <c r="G103" s="1">
        <f ca="1">IFERROR(__xludf.DUMMYFUNCTION("""COMPUTED_VALUE"""),107)</f>
        <v>107</v>
      </c>
      <c r="H103" s="1">
        <f ca="1">IFERROR(__xludf.DUMMYFUNCTION("""COMPUTED_VALUE"""),99.6)</f>
        <v>99.6</v>
      </c>
      <c r="I103" s="1">
        <f ca="1">IFERROR(__xludf.DUMMYFUNCTION("""COMPUTED_VALUE"""),99)</f>
        <v>99</v>
      </c>
      <c r="J103" s="1">
        <f ca="1">IFERROR(__xludf.DUMMYFUNCTION("""COMPUTED_VALUE"""),59.7)</f>
        <v>59.7</v>
      </c>
      <c r="K103" s="1">
        <f ca="1">IFERROR(__xludf.DUMMYFUNCTION("""COMPUTED_VALUE"""),330)</f>
        <v>330</v>
      </c>
      <c r="L103" s="1" t="str">
        <f ca="1">IFERROR(__xludf.DUMMYFUNCTION("""COMPUTED_VALUE"""),"+.023")</f>
        <v>+.023</v>
      </c>
      <c r="M103" s="1">
        <f ca="1">IFERROR(__xludf.DUMMYFUNCTION("""COMPUTED_VALUE"""),111)</f>
        <v>111</v>
      </c>
      <c r="N103" s="1" t="str">
        <f ca="1">IFERROR(__xludf.DUMMYFUNCTION("""COMPUTED_VALUE"""),"+2.28")</f>
        <v>+2.28</v>
      </c>
      <c r="O103" s="1">
        <f ca="1">IFERROR(__xludf.DUMMYFUNCTION("""COMPUTED_VALUE"""),112)</f>
        <v>112</v>
      </c>
      <c r="P103" s="1">
        <f ca="1">IFERROR(__xludf.DUMMYFUNCTION("""COMPUTED_VALUE"""),103.4)</f>
        <v>103.4</v>
      </c>
      <c r="Q103" s="1">
        <f ca="1">IFERROR(__xludf.DUMMYFUNCTION("""COMPUTED_VALUE"""),144)</f>
        <v>144</v>
      </c>
      <c r="R103" s="1">
        <f ca="1">IFERROR(__xludf.DUMMYFUNCTION("""COMPUTED_VALUE"""),101.1)</f>
        <v>101.1</v>
      </c>
      <c r="S103" s="1">
        <f ca="1">IFERROR(__xludf.DUMMYFUNCTION("""COMPUTED_VALUE"""),88)</f>
        <v>88</v>
      </c>
      <c r="T103" s="1" t="str">
        <f ca="1">IFERROR(__xludf.DUMMYFUNCTION("""COMPUTED_VALUE"""),"+6.72")</f>
        <v>+6.72</v>
      </c>
      <c r="U103" s="1">
        <f ca="1">IFERROR(__xludf.DUMMYFUNCTION("""COMPUTED_VALUE"""),35)</f>
        <v>35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IFERROR(__xludf.DUMMYFUNCTION("""COMPUTED_VALUE"""),"Georgia Tech")</f>
        <v>Georgia Tech</v>
      </c>
      <c r="C104" s="1" t="str">
        <f ca="1">IFERROR(__xludf.DUMMYFUNCTION("""COMPUTED_VALUE"""),"ACC")</f>
        <v>ACC</v>
      </c>
      <c r="D104" s="2">
        <f ca="1">IFERROR(__xludf.DUMMYFUNCTION("""COMPUTED_VALUE"""),44914)</f>
        <v>44914</v>
      </c>
      <c r="E104" s="1" t="str">
        <f ca="1">IFERROR(__xludf.DUMMYFUNCTION("""COMPUTED_VALUE"""),"+6.73")</f>
        <v>+6.73</v>
      </c>
      <c r="F104" s="1">
        <f ca="1">IFERROR(__xludf.DUMMYFUNCTION("""COMPUTED_VALUE"""),100.4)</f>
        <v>100.4</v>
      </c>
      <c r="G104" s="1">
        <f ca="1">IFERROR(__xludf.DUMMYFUNCTION("""COMPUTED_VALUE"""),218)</f>
        <v>218</v>
      </c>
      <c r="H104" s="1">
        <f ca="1">IFERROR(__xludf.DUMMYFUNCTION("""COMPUTED_VALUE"""),93.7)</f>
        <v>93.7</v>
      </c>
      <c r="I104" s="1">
        <f ca="1">IFERROR(__xludf.DUMMYFUNCTION("""COMPUTED_VALUE"""),32)</f>
        <v>32</v>
      </c>
      <c r="J104" s="1">
        <f ca="1">IFERROR(__xludf.DUMMYFUNCTION("""COMPUTED_VALUE"""),70.5)</f>
        <v>70.5</v>
      </c>
      <c r="K104" s="1">
        <f ca="1">IFERROR(__xludf.DUMMYFUNCTION("""COMPUTED_VALUE"""),19)</f>
        <v>19</v>
      </c>
      <c r="L104" s="1">
        <f ca="1">IFERROR(__xludf.DUMMYFUNCTION("""COMPUTED_VALUE"""),-0.107)</f>
        <v>-0.107</v>
      </c>
      <c r="M104" s="1">
        <f ca="1">IFERROR(__xludf.DUMMYFUNCTION("""COMPUTED_VALUE"""),341)</f>
        <v>341</v>
      </c>
      <c r="N104" s="1" t="str">
        <f ca="1">IFERROR(__xludf.DUMMYFUNCTION("""COMPUTED_VALUE"""),"+7.67")</f>
        <v>+7.67</v>
      </c>
      <c r="O104" s="1">
        <f ca="1">IFERROR(__xludf.DUMMYFUNCTION("""COMPUTED_VALUE"""),50)</f>
        <v>50</v>
      </c>
      <c r="P104" s="1">
        <f ca="1">IFERROR(__xludf.DUMMYFUNCTION("""COMPUTED_VALUE"""),107.3)</f>
        <v>107.3</v>
      </c>
      <c r="Q104" s="1">
        <f ca="1">IFERROR(__xludf.DUMMYFUNCTION("""COMPUTED_VALUE"""),45)</f>
        <v>45</v>
      </c>
      <c r="R104" s="1">
        <f ca="1">IFERROR(__xludf.DUMMYFUNCTION("""COMPUTED_VALUE"""),99.6)</f>
        <v>99.6</v>
      </c>
      <c r="S104" s="1">
        <f ca="1">IFERROR(__xludf.DUMMYFUNCTION("""COMPUTED_VALUE"""),50)</f>
        <v>50</v>
      </c>
      <c r="T104" s="1">
        <f ca="1">IFERROR(__xludf.DUMMYFUNCTION("""COMPUTED_VALUE"""),-4.44)</f>
        <v>-4.4400000000000004</v>
      </c>
      <c r="U104" s="1">
        <f ca="1">IFERROR(__xludf.DUMMYFUNCTION("""COMPUTED_VALUE"""),265)</f>
        <v>265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IFERROR(__xludf.DUMMYFUNCTION("""COMPUTED_VALUE"""),"Saint Joseph's")</f>
        <v>Saint Joseph's</v>
      </c>
      <c r="C105" s="1" t="str">
        <f ca="1">IFERROR(__xludf.DUMMYFUNCTION("""COMPUTED_VALUE"""),"A10")</f>
        <v>A10</v>
      </c>
      <c r="D105" s="1" t="str">
        <f ca="1">IFERROR(__xludf.DUMMYFUNCTION("""COMPUTED_VALUE"""),"17-15")</f>
        <v>17-15</v>
      </c>
      <c r="E105" s="1" t="str">
        <f ca="1">IFERROR(__xludf.DUMMYFUNCTION("""COMPUTED_VALUE"""),"+6.71")</f>
        <v>+6.71</v>
      </c>
      <c r="F105" s="1">
        <f ca="1">IFERROR(__xludf.DUMMYFUNCTION("""COMPUTED_VALUE"""),105.7)</f>
        <v>105.7</v>
      </c>
      <c r="G105" s="1">
        <f ca="1">IFERROR(__xludf.DUMMYFUNCTION("""COMPUTED_VALUE"""),119)</f>
        <v>119</v>
      </c>
      <c r="H105" s="1">
        <f ca="1">IFERROR(__xludf.DUMMYFUNCTION("""COMPUTED_VALUE"""),99)</f>
        <v>99</v>
      </c>
      <c r="I105" s="1">
        <f ca="1">IFERROR(__xludf.DUMMYFUNCTION("""COMPUTED_VALUE"""),90)</f>
        <v>90</v>
      </c>
      <c r="J105" s="1">
        <f ca="1">IFERROR(__xludf.DUMMYFUNCTION("""COMPUTED_VALUE"""),63.9)</f>
        <v>63.9</v>
      </c>
      <c r="K105" s="1">
        <f ca="1">IFERROR(__xludf.DUMMYFUNCTION("""COMPUTED_VALUE"""),231)</f>
        <v>231</v>
      </c>
      <c r="L105" s="1">
        <f ca="1">IFERROR(__xludf.DUMMYFUNCTION("""COMPUTED_VALUE"""),-0.041)</f>
        <v>-4.1000000000000002E-2</v>
      </c>
      <c r="M105" s="1">
        <f ca="1">IFERROR(__xludf.DUMMYFUNCTION("""COMPUTED_VALUE"""),277)</f>
        <v>277</v>
      </c>
      <c r="N105" s="1" t="str">
        <f ca="1">IFERROR(__xludf.DUMMYFUNCTION("""COMPUTED_VALUE"""),"+3.00")</f>
        <v>+3.00</v>
      </c>
      <c r="O105" s="1">
        <f ca="1">IFERROR(__xludf.DUMMYFUNCTION("""COMPUTED_VALUE"""),99)</f>
        <v>99</v>
      </c>
      <c r="P105" s="1">
        <f ca="1">IFERROR(__xludf.DUMMYFUNCTION("""COMPUTED_VALUE"""),104.2)</f>
        <v>104.2</v>
      </c>
      <c r="Q105" s="1">
        <f ca="1">IFERROR(__xludf.DUMMYFUNCTION("""COMPUTED_VALUE"""),114)</f>
        <v>114</v>
      </c>
      <c r="R105" s="1">
        <f ca="1">IFERROR(__xludf.DUMMYFUNCTION("""COMPUTED_VALUE"""),101.2)</f>
        <v>101.2</v>
      </c>
      <c r="S105" s="1">
        <f ca="1">IFERROR(__xludf.DUMMYFUNCTION("""COMPUTED_VALUE"""),93)</f>
        <v>93</v>
      </c>
      <c r="T105" s="1" t="str">
        <f ca="1">IFERROR(__xludf.DUMMYFUNCTION("""COMPUTED_VALUE"""),"+1.78")</f>
        <v>+1.78</v>
      </c>
      <c r="U105" s="1">
        <f ca="1">IFERROR(__xludf.DUMMYFUNCTION("""COMPUTED_VALUE"""),113)</f>
        <v>113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IFERROR(__xludf.DUMMYFUNCTION("""COMPUTED_VALUE"""),"Alabama")</f>
        <v>Alabama</v>
      </c>
      <c r="C106" s="1" t="str">
        <f ca="1">IFERROR(__xludf.DUMMYFUNCTION("""COMPUTED_VALUE"""),"SEC")</f>
        <v>SEC</v>
      </c>
      <c r="D106" s="1" t="str">
        <f ca="1">IFERROR(__xludf.DUMMYFUNCTION("""COMPUTED_VALUE"""),"18-14")</f>
        <v>18-14</v>
      </c>
      <c r="E106" s="1" t="str">
        <f ca="1">IFERROR(__xludf.DUMMYFUNCTION("""COMPUTED_VALUE"""),"+6.63")</f>
        <v>+6.63</v>
      </c>
      <c r="F106" s="1">
        <f ca="1">IFERROR(__xludf.DUMMYFUNCTION("""COMPUTED_VALUE"""),105.9)</f>
        <v>105.9</v>
      </c>
      <c r="G106" s="1">
        <f ca="1">IFERROR(__xludf.DUMMYFUNCTION("""COMPUTED_VALUE"""),113)</f>
        <v>113</v>
      </c>
      <c r="H106" s="1">
        <f ca="1">IFERROR(__xludf.DUMMYFUNCTION("""COMPUTED_VALUE"""),99.3)</f>
        <v>99.3</v>
      </c>
      <c r="I106" s="1">
        <f ca="1">IFERROR(__xludf.DUMMYFUNCTION("""COMPUTED_VALUE"""),93)</f>
        <v>93</v>
      </c>
      <c r="J106" s="1">
        <f ca="1">IFERROR(__xludf.DUMMYFUNCTION("""COMPUTED_VALUE"""),67.5)</f>
        <v>67.5</v>
      </c>
      <c r="K106" s="1">
        <f ca="1">IFERROR(__xludf.DUMMYFUNCTION("""COMPUTED_VALUE"""),81)</f>
        <v>81</v>
      </c>
      <c r="L106" s="1">
        <f ca="1">IFERROR(__xludf.DUMMYFUNCTION("""COMPUTED_VALUE"""),-0.016)</f>
        <v>-1.6E-2</v>
      </c>
      <c r="M106" s="1">
        <f ca="1">IFERROR(__xludf.DUMMYFUNCTION("""COMPUTED_VALUE"""),217)</f>
        <v>217</v>
      </c>
      <c r="N106" s="1" t="str">
        <f ca="1">IFERROR(__xludf.DUMMYFUNCTION("""COMPUTED_VALUE"""),"+4.06")</f>
        <v>+4.06</v>
      </c>
      <c r="O106" s="1">
        <f ca="1">IFERROR(__xludf.DUMMYFUNCTION("""COMPUTED_VALUE"""),85)</f>
        <v>85</v>
      </c>
      <c r="P106" s="1">
        <f ca="1">IFERROR(__xludf.DUMMYFUNCTION("""COMPUTED_VALUE"""),105.2)</f>
        <v>105.2</v>
      </c>
      <c r="Q106" s="1">
        <f ca="1">IFERROR(__xludf.DUMMYFUNCTION("""COMPUTED_VALUE"""),85)</f>
        <v>85</v>
      </c>
      <c r="R106" s="1">
        <f ca="1">IFERROR(__xludf.DUMMYFUNCTION("""COMPUTED_VALUE"""),101.2)</f>
        <v>101.2</v>
      </c>
      <c r="S106" s="1">
        <f ca="1">IFERROR(__xludf.DUMMYFUNCTION("""COMPUTED_VALUE"""),91)</f>
        <v>91</v>
      </c>
      <c r="T106" s="1">
        <f ca="1">IFERROR(__xludf.DUMMYFUNCTION("""COMPUTED_VALUE"""),-7.19)</f>
        <v>-7.19</v>
      </c>
      <c r="U106" s="1">
        <f ca="1">IFERROR(__xludf.DUMMYFUNCTION("""COMPUTED_VALUE"""),308)</f>
        <v>308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IFERROR(__xludf.DUMMYFUNCTION("""COMPUTED_VALUE"""),"Stephen F. Austin14")</f>
        <v>Stephen F. Austin14</v>
      </c>
      <c r="C107" s="1" t="str">
        <f ca="1">IFERROR(__xludf.DUMMYFUNCTION("""COMPUTED_VALUE"""),"Slnd")</f>
        <v>Slnd</v>
      </c>
      <c r="D107" s="1" t="str">
        <f ca="1">IFERROR(__xludf.DUMMYFUNCTION("""COMPUTED_VALUE"""),"24-8")</f>
        <v>24-8</v>
      </c>
      <c r="E107" s="1" t="str">
        <f ca="1">IFERROR(__xludf.DUMMYFUNCTION("""COMPUTED_VALUE"""),"+6.52")</f>
        <v>+6.52</v>
      </c>
      <c r="F107" s="1">
        <f ca="1">IFERROR(__xludf.DUMMYFUNCTION("""COMPUTED_VALUE"""),97)</f>
        <v>97</v>
      </c>
      <c r="G107" s="1">
        <f ca="1">IFERROR(__xludf.DUMMYFUNCTION("""COMPUTED_VALUE"""),268)</f>
        <v>268</v>
      </c>
      <c r="H107" s="1">
        <f ca="1">IFERROR(__xludf.DUMMYFUNCTION("""COMPUTED_VALUE"""),90.4)</f>
        <v>90.4</v>
      </c>
      <c r="I107" s="1">
        <f ca="1">IFERROR(__xludf.DUMMYFUNCTION("""COMPUTED_VALUE"""),9)</f>
        <v>9</v>
      </c>
      <c r="J107" s="1">
        <f ca="1">IFERROR(__xludf.DUMMYFUNCTION("""COMPUTED_VALUE"""),62.4)</f>
        <v>62.4</v>
      </c>
      <c r="K107" s="1">
        <f ca="1">IFERROR(__xludf.DUMMYFUNCTION("""COMPUTED_VALUE"""),289)</f>
        <v>289</v>
      </c>
      <c r="L107" s="1" t="str">
        <f ca="1">IFERROR(__xludf.DUMMYFUNCTION("""COMPUTED_VALUE"""),"+.053")</f>
        <v>+.053</v>
      </c>
      <c r="M107" s="1">
        <f ca="1">IFERROR(__xludf.DUMMYFUNCTION("""COMPUTED_VALUE"""),49)</f>
        <v>49</v>
      </c>
      <c r="N107" s="1">
        <f ca="1">IFERROR(__xludf.DUMMYFUNCTION("""COMPUTED_VALUE"""),-1.98)</f>
        <v>-1.98</v>
      </c>
      <c r="O107" s="1">
        <f ca="1">IFERROR(__xludf.DUMMYFUNCTION("""COMPUTED_VALUE"""),204)</f>
        <v>204</v>
      </c>
      <c r="P107" s="1">
        <f ca="1">IFERROR(__xludf.DUMMYFUNCTION("""COMPUTED_VALUE"""),101.9)</f>
        <v>101.9</v>
      </c>
      <c r="Q107" s="1">
        <f ca="1">IFERROR(__xludf.DUMMYFUNCTION("""COMPUTED_VALUE"""),212)</f>
        <v>212</v>
      </c>
      <c r="R107" s="1">
        <f ca="1">IFERROR(__xludf.DUMMYFUNCTION("""COMPUTED_VALUE"""),103.9)</f>
        <v>103.9</v>
      </c>
      <c r="S107" s="1">
        <f ca="1">IFERROR(__xludf.DUMMYFUNCTION("""COMPUTED_VALUE"""),202)</f>
        <v>202</v>
      </c>
      <c r="T107" s="1" t="str">
        <f ca="1">IFERROR(__xludf.DUMMYFUNCTION("""COMPUTED_VALUE"""),"+4.63")</f>
        <v>+4.63</v>
      </c>
      <c r="U107" s="1">
        <f ca="1">IFERROR(__xludf.DUMMYFUNCTION("""COMPUTED_VALUE"""),58)</f>
        <v>58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IFERROR(__xludf.DUMMYFUNCTION("""COMPUTED_VALUE"""),"Oakland")</f>
        <v>Oakland</v>
      </c>
      <c r="C108" s="1" t="str">
        <f ca="1">IFERROR(__xludf.DUMMYFUNCTION("""COMPUTED_VALUE"""),"Sum")</f>
        <v>Sum</v>
      </c>
      <c r="D108" s="1" t="str">
        <f ca="1">IFERROR(__xludf.DUMMYFUNCTION("""COMPUTED_VALUE"""),"23-13")</f>
        <v>23-13</v>
      </c>
      <c r="E108" s="1" t="str">
        <f ca="1">IFERROR(__xludf.DUMMYFUNCTION("""COMPUTED_VALUE"""),"+6.36")</f>
        <v>+6.36</v>
      </c>
      <c r="F108" s="1">
        <f ca="1">IFERROR(__xludf.DUMMYFUNCTION("""COMPUTED_VALUE"""),114.2)</f>
        <v>114.2</v>
      </c>
      <c r="G108" s="1">
        <f ca="1">IFERROR(__xludf.DUMMYFUNCTION("""COMPUTED_VALUE"""),27)</f>
        <v>27</v>
      </c>
      <c r="H108" s="1">
        <f ca="1">IFERROR(__xludf.DUMMYFUNCTION("""COMPUTED_VALUE"""),107.8)</f>
        <v>107.8</v>
      </c>
      <c r="I108" s="1">
        <f ca="1">IFERROR(__xludf.DUMMYFUNCTION("""COMPUTED_VALUE"""),271)</f>
        <v>271</v>
      </c>
      <c r="J108" s="1">
        <f ca="1">IFERROR(__xludf.DUMMYFUNCTION("""COMPUTED_VALUE"""),64.8)</f>
        <v>64.8</v>
      </c>
      <c r="K108" s="1">
        <f ca="1">IFERROR(__xludf.DUMMYFUNCTION("""COMPUTED_VALUE"""),192)</f>
        <v>192</v>
      </c>
      <c r="L108" s="1" t="str">
        <f ca="1">IFERROR(__xludf.DUMMYFUNCTION("""COMPUTED_VALUE"""),"+.026")</f>
        <v>+.026</v>
      </c>
      <c r="M108" s="1">
        <f ca="1">IFERROR(__xludf.DUMMYFUNCTION("""COMPUTED_VALUE"""),102)</f>
        <v>102</v>
      </c>
      <c r="N108" s="1" t="str">
        <f ca="1">IFERROR(__xludf.DUMMYFUNCTION("""COMPUTED_VALUE"""),"+0.27")</f>
        <v>+0.27</v>
      </c>
      <c r="O108" s="1">
        <f ca="1">IFERROR(__xludf.DUMMYFUNCTION("""COMPUTED_VALUE"""),152)</f>
        <v>152</v>
      </c>
      <c r="P108" s="1">
        <f ca="1">IFERROR(__xludf.DUMMYFUNCTION("""COMPUTED_VALUE"""),104.1)</f>
        <v>104.1</v>
      </c>
      <c r="Q108" s="1">
        <f ca="1">IFERROR(__xludf.DUMMYFUNCTION("""COMPUTED_VALUE"""),118)</f>
        <v>118</v>
      </c>
      <c r="R108" s="1">
        <f ca="1">IFERROR(__xludf.DUMMYFUNCTION("""COMPUTED_VALUE"""),103.8)</f>
        <v>103.8</v>
      </c>
      <c r="S108" s="1">
        <f ca="1">IFERROR(__xludf.DUMMYFUNCTION("""COMPUTED_VALUE"""),198)</f>
        <v>198</v>
      </c>
      <c r="T108" s="1" t="str">
        <f ca="1">IFERROR(__xludf.DUMMYFUNCTION("""COMPUTED_VALUE"""),"+7.23")</f>
        <v>+7.23</v>
      </c>
      <c r="U108" s="1">
        <f ca="1">IFERROR(__xludf.DUMMYFUNCTION("""COMPUTED_VALUE"""),31)</f>
        <v>31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IFERROR(__xludf.DUMMYFUNCTION("""COMPUTED_VALUE"""),"Nevada")</f>
        <v>Nevada</v>
      </c>
      <c r="C109" s="1" t="str">
        <f ca="1">IFERROR(__xludf.DUMMYFUNCTION("""COMPUTED_VALUE"""),"WAC")</f>
        <v>WAC</v>
      </c>
      <c r="D109" s="1" t="str">
        <f ca="1">IFERROR(__xludf.DUMMYFUNCTION("""COMPUTED_VALUE"""),"21-13")</f>
        <v>21-13</v>
      </c>
      <c r="E109" s="1" t="str">
        <f ca="1">IFERROR(__xludf.DUMMYFUNCTION("""COMPUTED_VALUE"""),"+6.07")</f>
        <v>+6.07</v>
      </c>
      <c r="F109" s="1">
        <f ca="1">IFERROR(__xludf.DUMMYFUNCTION("""COMPUTED_VALUE"""),105.8)</f>
        <v>105.8</v>
      </c>
      <c r="G109" s="1">
        <f ca="1">IFERROR(__xludf.DUMMYFUNCTION("""COMPUTED_VALUE"""),117)</f>
        <v>117</v>
      </c>
      <c r="H109" s="1">
        <f ca="1">IFERROR(__xludf.DUMMYFUNCTION("""COMPUTED_VALUE"""),99.8)</f>
        <v>99.8</v>
      </c>
      <c r="I109" s="1">
        <f ca="1">IFERROR(__xludf.DUMMYFUNCTION("""COMPUTED_VALUE"""),104)</f>
        <v>104</v>
      </c>
      <c r="J109" s="1">
        <f ca="1">IFERROR(__xludf.DUMMYFUNCTION("""COMPUTED_VALUE"""),66.3)</f>
        <v>66.3</v>
      </c>
      <c r="K109" s="1">
        <f ca="1">IFERROR(__xludf.DUMMYFUNCTION("""COMPUTED_VALUE"""),125)</f>
        <v>125</v>
      </c>
      <c r="L109" s="1" t="str">
        <f ca="1">IFERROR(__xludf.DUMMYFUNCTION("""COMPUTED_VALUE"""),"+.002")</f>
        <v>+.002</v>
      </c>
      <c r="M109" s="1">
        <f ca="1">IFERROR(__xludf.DUMMYFUNCTION("""COMPUTED_VALUE"""),159)</f>
        <v>159</v>
      </c>
      <c r="N109" s="1" t="str">
        <f ca="1">IFERROR(__xludf.DUMMYFUNCTION("""COMPUTED_VALUE"""),"+1.04")</f>
        <v>+1.04</v>
      </c>
      <c r="O109" s="1">
        <f ca="1">IFERROR(__xludf.DUMMYFUNCTION("""COMPUTED_VALUE"""),135)</f>
        <v>135</v>
      </c>
      <c r="P109" s="1">
        <f ca="1">IFERROR(__xludf.DUMMYFUNCTION("""COMPUTED_VALUE"""),104.2)</f>
        <v>104.2</v>
      </c>
      <c r="Q109" s="1">
        <f ca="1">IFERROR(__xludf.DUMMYFUNCTION("""COMPUTED_VALUE"""),109)</f>
        <v>109</v>
      </c>
      <c r="R109" s="1">
        <f ca="1">IFERROR(__xludf.DUMMYFUNCTION("""COMPUTED_VALUE"""),103.2)</f>
        <v>103.2</v>
      </c>
      <c r="S109" s="1">
        <f ca="1">IFERROR(__xludf.DUMMYFUNCTION("""COMPUTED_VALUE"""),173)</f>
        <v>173</v>
      </c>
      <c r="T109" s="1" t="str">
        <f ca="1">IFERROR(__xludf.DUMMYFUNCTION("""COMPUTED_VALUE"""),"+2.94")</f>
        <v>+2.94</v>
      </c>
      <c r="U109" s="1">
        <f ca="1">IFERROR(__xludf.DUMMYFUNCTION("""COMPUTED_VALUE"""),91)</f>
        <v>91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IFERROR(__xludf.DUMMYFUNCTION("""COMPUTED_VALUE"""),"Virginia")</f>
        <v>Virginia</v>
      </c>
      <c r="C110" s="1" t="str">
        <f ca="1">IFERROR(__xludf.DUMMYFUNCTION("""COMPUTED_VALUE"""),"ACC")</f>
        <v>ACC</v>
      </c>
      <c r="D110" s="2">
        <f ca="1">IFERROR(__xludf.DUMMYFUNCTION("""COMPUTED_VALUE"""),44852)</f>
        <v>44852</v>
      </c>
      <c r="E110" s="1" t="str">
        <f ca="1">IFERROR(__xludf.DUMMYFUNCTION("""COMPUTED_VALUE"""),"+5.77")</f>
        <v>+5.77</v>
      </c>
      <c r="F110" s="1">
        <f ca="1">IFERROR(__xludf.DUMMYFUNCTION("""COMPUTED_VALUE"""),103.5)</f>
        <v>103.5</v>
      </c>
      <c r="G110" s="1">
        <f ca="1">IFERROR(__xludf.DUMMYFUNCTION("""COMPUTED_VALUE"""),151)</f>
        <v>151</v>
      </c>
      <c r="H110" s="1">
        <f ca="1">IFERROR(__xludf.DUMMYFUNCTION("""COMPUTED_VALUE"""),97.8)</f>
        <v>97.8</v>
      </c>
      <c r="I110" s="1">
        <f ca="1">IFERROR(__xludf.DUMMYFUNCTION("""COMPUTED_VALUE"""),70)</f>
        <v>70</v>
      </c>
      <c r="J110" s="1">
        <f ca="1">IFERROR(__xludf.DUMMYFUNCTION("""COMPUTED_VALUE"""),67.2)</f>
        <v>67.2</v>
      </c>
      <c r="K110" s="1">
        <f ca="1">IFERROR(__xludf.DUMMYFUNCTION("""COMPUTED_VALUE"""),89)</f>
        <v>89</v>
      </c>
      <c r="L110" s="1">
        <f ca="1">IFERROR(__xludf.DUMMYFUNCTION("""COMPUTED_VALUE"""),-0.066)</f>
        <v>-6.6000000000000003E-2</v>
      </c>
      <c r="M110" s="1">
        <f ca="1">IFERROR(__xludf.DUMMYFUNCTION("""COMPUTED_VALUE"""),313)</f>
        <v>313</v>
      </c>
      <c r="N110" s="1" t="str">
        <f ca="1">IFERROR(__xludf.DUMMYFUNCTION("""COMPUTED_VALUE"""),"+9.75")</f>
        <v>+9.75</v>
      </c>
      <c r="O110" s="1">
        <f ca="1">IFERROR(__xludf.DUMMYFUNCTION("""COMPUTED_VALUE"""),25)</f>
        <v>25</v>
      </c>
      <c r="P110" s="1">
        <f ca="1">IFERROR(__xludf.DUMMYFUNCTION("""COMPUTED_VALUE"""),108.4)</f>
        <v>108.4</v>
      </c>
      <c r="Q110" s="1">
        <f ca="1">IFERROR(__xludf.DUMMYFUNCTION("""COMPUTED_VALUE"""),23)</f>
        <v>23</v>
      </c>
      <c r="R110" s="1">
        <f ca="1">IFERROR(__xludf.DUMMYFUNCTION("""COMPUTED_VALUE"""),98.6)</f>
        <v>98.6</v>
      </c>
      <c r="S110" s="1">
        <f ca="1">IFERROR(__xludf.DUMMYFUNCTION("""COMPUTED_VALUE"""),25)</f>
        <v>25</v>
      </c>
      <c r="T110" s="1">
        <f ca="1">IFERROR(__xludf.DUMMYFUNCTION("""COMPUTED_VALUE"""),-2.58)</f>
        <v>-2.58</v>
      </c>
      <c r="U110" s="1">
        <f ca="1">IFERROR(__xludf.DUMMYFUNCTION("""COMPUTED_VALUE"""),222)</f>
        <v>222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IFERROR(__xludf.DUMMYFUNCTION("""COMPUTED_VALUE"""),"East Tennessee St.16")</f>
        <v>East Tennessee St.16</v>
      </c>
      <c r="C111" s="1" t="str">
        <f ca="1">IFERROR(__xludf.DUMMYFUNCTION("""COMPUTED_VALUE"""),"ASun")</f>
        <v>ASun</v>
      </c>
      <c r="D111" s="1" t="str">
        <f ca="1">IFERROR(__xludf.DUMMYFUNCTION("""COMPUTED_VALUE"""),"23-11")</f>
        <v>23-11</v>
      </c>
      <c r="E111" s="1" t="str">
        <f ca="1">IFERROR(__xludf.DUMMYFUNCTION("""COMPUTED_VALUE"""),"+5.67")</f>
        <v>+5.67</v>
      </c>
      <c r="F111" s="1">
        <f ca="1">IFERROR(__xludf.DUMMYFUNCTION("""COMPUTED_VALUE"""),106.4)</f>
        <v>106.4</v>
      </c>
      <c r="G111" s="1">
        <f ca="1">IFERROR(__xludf.DUMMYFUNCTION("""COMPUTED_VALUE"""),108)</f>
        <v>108</v>
      </c>
      <c r="H111" s="1">
        <f ca="1">IFERROR(__xludf.DUMMYFUNCTION("""COMPUTED_VALUE"""),100.7)</f>
        <v>100.7</v>
      </c>
      <c r="I111" s="1">
        <f ca="1">IFERROR(__xludf.DUMMYFUNCTION("""COMPUTED_VALUE"""),126)</f>
        <v>126</v>
      </c>
      <c r="J111" s="1">
        <f ca="1">IFERROR(__xludf.DUMMYFUNCTION("""COMPUTED_VALUE"""),69.6)</f>
        <v>69.599999999999994</v>
      </c>
      <c r="K111" s="1">
        <f ca="1">IFERROR(__xludf.DUMMYFUNCTION("""COMPUTED_VALUE"""),31)</f>
        <v>31</v>
      </c>
      <c r="L111" s="1">
        <f ca="1">IFERROR(__xludf.DUMMYFUNCTION("""COMPUTED_VALUE"""),-0.048)</f>
        <v>-4.8000000000000001E-2</v>
      </c>
      <c r="M111" s="1">
        <f ca="1">IFERROR(__xludf.DUMMYFUNCTION("""COMPUTED_VALUE"""),289)</f>
        <v>289</v>
      </c>
      <c r="N111" s="1">
        <f ca="1">IFERROR(__xludf.DUMMYFUNCTION("""COMPUTED_VALUE"""),-4.73)</f>
        <v>-4.7300000000000004</v>
      </c>
      <c r="O111" s="1">
        <f ca="1">IFERROR(__xludf.DUMMYFUNCTION("""COMPUTED_VALUE"""),263)</f>
        <v>263</v>
      </c>
      <c r="P111" s="1">
        <f ca="1">IFERROR(__xludf.DUMMYFUNCTION("""COMPUTED_VALUE"""),100.2)</f>
        <v>100.2</v>
      </c>
      <c r="Q111" s="1">
        <f ca="1">IFERROR(__xludf.DUMMYFUNCTION("""COMPUTED_VALUE"""),267)</f>
        <v>267</v>
      </c>
      <c r="R111" s="1">
        <f ca="1">IFERROR(__xludf.DUMMYFUNCTION("""COMPUTED_VALUE"""),105)</f>
        <v>105</v>
      </c>
      <c r="S111" s="1">
        <f ca="1">IFERROR(__xludf.DUMMYFUNCTION("""COMPUTED_VALUE"""),246)</f>
        <v>246</v>
      </c>
      <c r="T111" s="1">
        <f ca="1">IFERROR(__xludf.DUMMYFUNCTION("""COMPUTED_VALUE"""),-1.26)</f>
        <v>-1.26</v>
      </c>
      <c r="U111" s="1">
        <f ca="1">IFERROR(__xludf.DUMMYFUNCTION("""COMPUTED_VALUE"""),189)</f>
        <v>189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IFERROR(__xludf.DUMMYFUNCTION("""COMPUTED_VALUE"""),"La Salle")</f>
        <v>La Salle</v>
      </c>
      <c r="C112" s="1" t="str">
        <f ca="1">IFERROR(__xludf.DUMMYFUNCTION("""COMPUTED_VALUE"""),"A10")</f>
        <v>A10</v>
      </c>
      <c r="D112" s="1" t="str">
        <f ca="1">IFERROR(__xludf.DUMMYFUNCTION("""COMPUTED_VALUE"""),"18-13")</f>
        <v>18-13</v>
      </c>
      <c r="E112" s="1" t="str">
        <f ca="1">IFERROR(__xludf.DUMMYFUNCTION("""COMPUTED_VALUE"""),"+5.35")</f>
        <v>+5.35</v>
      </c>
      <c r="F112" s="1">
        <f ca="1">IFERROR(__xludf.DUMMYFUNCTION("""COMPUTED_VALUE"""),105.9)</f>
        <v>105.9</v>
      </c>
      <c r="G112" s="1">
        <f ca="1">IFERROR(__xludf.DUMMYFUNCTION("""COMPUTED_VALUE"""),115)</f>
        <v>115</v>
      </c>
      <c r="H112" s="1">
        <f ca="1">IFERROR(__xludf.DUMMYFUNCTION("""COMPUTED_VALUE"""),100.5)</f>
        <v>100.5</v>
      </c>
      <c r="I112" s="1">
        <f ca="1">IFERROR(__xludf.DUMMYFUNCTION("""COMPUTED_VALUE"""),121)</f>
        <v>121</v>
      </c>
      <c r="J112" s="1">
        <f ca="1">IFERROR(__xludf.DUMMYFUNCTION("""COMPUTED_VALUE"""),66.7)</f>
        <v>66.7</v>
      </c>
      <c r="K112" s="1">
        <f ca="1">IFERROR(__xludf.DUMMYFUNCTION("""COMPUTED_VALUE"""),107)</f>
        <v>107</v>
      </c>
      <c r="L112" s="1">
        <f ca="1">IFERROR(__xludf.DUMMYFUNCTION("""COMPUTED_VALUE"""),-0.009)</f>
        <v>-8.9999999999999993E-3</v>
      </c>
      <c r="M112" s="1">
        <f ca="1">IFERROR(__xludf.DUMMYFUNCTION("""COMPUTED_VALUE"""),189)</f>
        <v>189</v>
      </c>
      <c r="N112" s="1" t="str">
        <f ca="1">IFERROR(__xludf.DUMMYFUNCTION("""COMPUTED_VALUE"""),"+1.08")</f>
        <v>+1.08</v>
      </c>
      <c r="O112" s="1">
        <f ca="1">IFERROR(__xludf.DUMMYFUNCTION("""COMPUTED_VALUE"""),132)</f>
        <v>132</v>
      </c>
      <c r="P112" s="1">
        <f ca="1">IFERROR(__xludf.DUMMYFUNCTION("""COMPUTED_VALUE"""),103)</f>
        <v>103</v>
      </c>
      <c r="Q112" s="1">
        <f ca="1">IFERROR(__xludf.DUMMYFUNCTION("""COMPUTED_VALUE"""),163)</f>
        <v>163</v>
      </c>
      <c r="R112" s="1">
        <f ca="1">IFERROR(__xludf.DUMMYFUNCTION("""COMPUTED_VALUE"""),101.9)</f>
        <v>101.9</v>
      </c>
      <c r="S112" s="1">
        <f ca="1">IFERROR(__xludf.DUMMYFUNCTION("""COMPUTED_VALUE"""),128)</f>
        <v>128</v>
      </c>
      <c r="T112" s="1">
        <f ca="1">IFERROR(__xludf.DUMMYFUNCTION("""COMPUTED_VALUE"""),-3.46)</f>
        <v>-3.46</v>
      </c>
      <c r="U112" s="1">
        <f ca="1">IFERROR(__xludf.DUMMYFUNCTION("""COMPUTED_VALUE"""),245)</f>
        <v>245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IFERROR(__xludf.DUMMYFUNCTION("""COMPUTED_VALUE"""),"Cornell14")</f>
        <v>Cornell14</v>
      </c>
      <c r="C113" s="1" t="str">
        <f ca="1">IFERROR(__xludf.DUMMYFUNCTION("""COMPUTED_VALUE"""),"Ivy")</f>
        <v>Ivy</v>
      </c>
      <c r="D113" s="1" t="str">
        <f ca="1">IFERROR(__xludf.DUMMYFUNCTION("""COMPUTED_VALUE"""),"21-10")</f>
        <v>21-10</v>
      </c>
      <c r="E113" s="1" t="str">
        <f ca="1">IFERROR(__xludf.DUMMYFUNCTION("""COMPUTED_VALUE"""),"+5.23")</f>
        <v>+5.23</v>
      </c>
      <c r="F113" s="1">
        <f ca="1">IFERROR(__xludf.DUMMYFUNCTION("""COMPUTED_VALUE"""),108.5)</f>
        <v>108.5</v>
      </c>
      <c r="G113" s="1">
        <f ca="1">IFERROR(__xludf.DUMMYFUNCTION("""COMPUTED_VALUE"""),85)</f>
        <v>85</v>
      </c>
      <c r="H113" s="1">
        <f ca="1">IFERROR(__xludf.DUMMYFUNCTION("""COMPUTED_VALUE"""),103.3)</f>
        <v>103.3</v>
      </c>
      <c r="I113" s="1">
        <f ca="1">IFERROR(__xludf.DUMMYFUNCTION("""COMPUTED_VALUE"""),179)</f>
        <v>179</v>
      </c>
      <c r="J113" s="1">
        <f ca="1">IFERROR(__xludf.DUMMYFUNCTION("""COMPUTED_VALUE"""),65.4)</f>
        <v>65.400000000000006</v>
      </c>
      <c r="K113" s="1">
        <f ca="1">IFERROR(__xludf.DUMMYFUNCTION("""COMPUTED_VALUE"""),162)</f>
        <v>162</v>
      </c>
      <c r="L113" s="1">
        <f ca="1">IFERROR(__xludf.DUMMYFUNCTION("""COMPUTED_VALUE"""),-0.005)</f>
        <v>-5.0000000000000001E-3</v>
      </c>
      <c r="M113" s="1">
        <f ca="1">IFERROR(__xludf.DUMMYFUNCTION("""COMPUTED_VALUE"""),174)</f>
        <v>174</v>
      </c>
      <c r="N113" s="1">
        <f ca="1">IFERROR(__xludf.DUMMYFUNCTION("""COMPUTED_VALUE"""),-5.58)</f>
        <v>-5.58</v>
      </c>
      <c r="O113" s="1">
        <f ca="1">IFERROR(__xludf.DUMMYFUNCTION("""COMPUTED_VALUE"""),281)</f>
        <v>281</v>
      </c>
      <c r="P113" s="1">
        <f ca="1">IFERROR(__xludf.DUMMYFUNCTION("""COMPUTED_VALUE"""),99)</f>
        <v>99</v>
      </c>
      <c r="Q113" s="1">
        <f ca="1">IFERROR(__xludf.DUMMYFUNCTION("""COMPUTED_VALUE"""),291)</f>
        <v>291</v>
      </c>
      <c r="R113" s="1">
        <f ca="1">IFERROR(__xludf.DUMMYFUNCTION("""COMPUTED_VALUE"""),104.6)</f>
        <v>104.6</v>
      </c>
      <c r="S113" s="1">
        <f ca="1">IFERROR(__xludf.DUMMYFUNCTION("""COMPUTED_VALUE"""),232)</f>
        <v>232</v>
      </c>
      <c r="T113" s="1">
        <f ca="1">IFERROR(__xludf.DUMMYFUNCTION("""COMPUTED_VALUE"""),-0.5)</f>
        <v>-0.5</v>
      </c>
      <c r="U113" s="1">
        <f ca="1">IFERROR(__xludf.DUMMYFUNCTION("""COMPUTED_VALUE"""),175)</f>
        <v>175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IFERROR(__xludf.DUMMYFUNCTION("""COMPUTED_VALUE"""),"Cal St. Northridge15")</f>
        <v>Cal St. Northridge15</v>
      </c>
      <c r="C114" s="1" t="str">
        <f ca="1">IFERROR(__xludf.DUMMYFUNCTION("""COMPUTED_VALUE"""),"BW")</f>
        <v>BW</v>
      </c>
      <c r="D114" s="1" t="str">
        <f ca="1">IFERROR(__xludf.DUMMYFUNCTION("""COMPUTED_VALUE"""),"17-14")</f>
        <v>17-14</v>
      </c>
      <c r="E114" s="1" t="str">
        <f ca="1">IFERROR(__xludf.DUMMYFUNCTION("""COMPUTED_VALUE"""),"+5.18")</f>
        <v>+5.18</v>
      </c>
      <c r="F114" s="1">
        <f ca="1">IFERROR(__xludf.DUMMYFUNCTION("""COMPUTED_VALUE"""),102.2)</f>
        <v>102.2</v>
      </c>
      <c r="G114" s="1">
        <f ca="1">IFERROR(__xludf.DUMMYFUNCTION("""COMPUTED_VALUE"""),182)</f>
        <v>182</v>
      </c>
      <c r="H114" s="1">
        <f ca="1">IFERROR(__xludf.DUMMYFUNCTION("""COMPUTED_VALUE"""),97)</f>
        <v>97</v>
      </c>
      <c r="I114" s="1">
        <f ca="1">IFERROR(__xludf.DUMMYFUNCTION("""COMPUTED_VALUE"""),64)</f>
        <v>64</v>
      </c>
      <c r="J114" s="1">
        <f ca="1">IFERROR(__xludf.DUMMYFUNCTION("""COMPUTED_VALUE"""),71.8)</f>
        <v>71.8</v>
      </c>
      <c r="K114" s="1">
        <f ca="1">IFERROR(__xludf.DUMMYFUNCTION("""COMPUTED_VALUE"""),12)</f>
        <v>12</v>
      </c>
      <c r="L114" s="1">
        <f ca="1">IFERROR(__xludf.DUMMYFUNCTION("""COMPUTED_VALUE"""),-0.045)</f>
        <v>-4.4999999999999998E-2</v>
      </c>
      <c r="M114" s="1">
        <f ca="1">IFERROR(__xludf.DUMMYFUNCTION("""COMPUTED_VALUE"""),283)</f>
        <v>283</v>
      </c>
      <c r="N114" s="1" t="str">
        <f ca="1">IFERROR(__xludf.DUMMYFUNCTION("""COMPUTED_VALUE"""),"+0.26")</f>
        <v>+0.26</v>
      </c>
      <c r="O114" s="1">
        <f ca="1">IFERROR(__xludf.DUMMYFUNCTION("""COMPUTED_VALUE"""),154)</f>
        <v>154</v>
      </c>
      <c r="P114" s="1">
        <f ca="1">IFERROR(__xludf.DUMMYFUNCTION("""COMPUTED_VALUE"""),104)</f>
        <v>104</v>
      </c>
      <c r="Q114" s="1">
        <f ca="1">IFERROR(__xludf.DUMMYFUNCTION("""COMPUTED_VALUE"""),123)</f>
        <v>123</v>
      </c>
      <c r="R114" s="1">
        <f ca="1">IFERROR(__xludf.DUMMYFUNCTION("""COMPUTED_VALUE"""),103.7)</f>
        <v>103.7</v>
      </c>
      <c r="S114" s="1">
        <f ca="1">IFERROR(__xludf.DUMMYFUNCTION("""COMPUTED_VALUE"""),194)</f>
        <v>194</v>
      </c>
      <c r="T114" s="1" t="str">
        <f ca="1">IFERROR(__xludf.DUMMYFUNCTION("""COMPUTED_VALUE"""),"+5.14")</f>
        <v>+5.14</v>
      </c>
      <c r="U114" s="1">
        <f ca="1">IFERROR(__xludf.DUMMYFUNCTION("""COMPUTED_VALUE"""),50)</f>
        <v>50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IFERROR(__xludf.DUMMYFUNCTION("""COMPUTED_VALUE"""),"Portland")</f>
        <v>Portland</v>
      </c>
      <c r="C115" s="1" t="str">
        <f ca="1">IFERROR(__xludf.DUMMYFUNCTION("""COMPUTED_VALUE"""),"WCC")</f>
        <v>WCC</v>
      </c>
      <c r="D115" s="1" t="str">
        <f ca="1">IFERROR(__xludf.DUMMYFUNCTION("""COMPUTED_VALUE"""),"19-13")</f>
        <v>19-13</v>
      </c>
      <c r="E115" s="1" t="str">
        <f ca="1">IFERROR(__xludf.DUMMYFUNCTION("""COMPUTED_VALUE"""),"+5.01")</f>
        <v>+5.01</v>
      </c>
      <c r="F115" s="1">
        <f ca="1">IFERROR(__xludf.DUMMYFUNCTION("""COMPUTED_VALUE"""),107.3)</f>
        <v>107.3</v>
      </c>
      <c r="G115" s="1">
        <f ca="1">IFERROR(__xludf.DUMMYFUNCTION("""COMPUTED_VALUE"""),97)</f>
        <v>97</v>
      </c>
      <c r="H115" s="1">
        <f ca="1">IFERROR(__xludf.DUMMYFUNCTION("""COMPUTED_VALUE"""),102.3)</f>
        <v>102.3</v>
      </c>
      <c r="I115" s="1">
        <f ca="1">IFERROR(__xludf.DUMMYFUNCTION("""COMPUTED_VALUE"""),160)</f>
        <v>160</v>
      </c>
      <c r="J115" s="1">
        <f ca="1">IFERROR(__xludf.DUMMYFUNCTION("""COMPUTED_VALUE"""),64.6)</f>
        <v>64.599999999999994</v>
      </c>
      <c r="K115" s="1">
        <f ca="1">IFERROR(__xludf.DUMMYFUNCTION("""COMPUTED_VALUE"""),209)</f>
        <v>209</v>
      </c>
      <c r="L115" s="1">
        <f ca="1">IFERROR(__xludf.DUMMYFUNCTION("""COMPUTED_VALUE"""),-0.006)</f>
        <v>-6.0000000000000001E-3</v>
      </c>
      <c r="M115" s="1">
        <f ca="1">IFERROR(__xludf.DUMMYFUNCTION("""COMPUTED_VALUE"""),181)</f>
        <v>181</v>
      </c>
      <c r="N115" s="1" t="str">
        <f ca="1">IFERROR(__xludf.DUMMYFUNCTION("""COMPUTED_VALUE"""),"+0.27")</f>
        <v>+0.27</v>
      </c>
      <c r="O115" s="1">
        <f ca="1">IFERROR(__xludf.DUMMYFUNCTION("""COMPUTED_VALUE"""),153)</f>
        <v>153</v>
      </c>
      <c r="P115" s="1">
        <f ca="1">IFERROR(__xludf.DUMMYFUNCTION("""COMPUTED_VALUE"""),103)</f>
        <v>103</v>
      </c>
      <c r="Q115" s="1">
        <f ca="1">IFERROR(__xludf.DUMMYFUNCTION("""COMPUTED_VALUE"""),158)</f>
        <v>158</v>
      </c>
      <c r="R115" s="1">
        <f ca="1">IFERROR(__xludf.DUMMYFUNCTION("""COMPUTED_VALUE"""),102.8)</f>
        <v>102.8</v>
      </c>
      <c r="S115" s="1">
        <f ca="1">IFERROR(__xludf.DUMMYFUNCTION("""COMPUTED_VALUE"""),160)</f>
        <v>160</v>
      </c>
      <c r="T115" s="1" t="str">
        <f ca="1">IFERROR(__xludf.DUMMYFUNCTION("""COMPUTED_VALUE"""),"+0.64")</f>
        <v>+0.64</v>
      </c>
      <c r="U115" s="1">
        <f ca="1">IFERROR(__xludf.DUMMYFUNCTION("""COMPUTED_VALUE"""),138)</f>
        <v>138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IFERROR(__xludf.DUMMYFUNCTION("""COMPUTED_VALUE"""),"Pacific")</f>
        <v>Pacific</v>
      </c>
      <c r="C116" s="1" t="str">
        <f ca="1">IFERROR(__xludf.DUMMYFUNCTION("""COMPUTED_VALUE"""),"BW")</f>
        <v>BW</v>
      </c>
      <c r="D116" s="1" t="str">
        <f ca="1">IFERROR(__xludf.DUMMYFUNCTION("""COMPUTED_VALUE"""),"21-13")</f>
        <v>21-13</v>
      </c>
      <c r="E116" s="1" t="str">
        <f ca="1">IFERROR(__xludf.DUMMYFUNCTION("""COMPUTED_VALUE"""),"+4.92")</f>
        <v>+4.92</v>
      </c>
      <c r="F116" s="1">
        <f ca="1">IFERROR(__xludf.DUMMYFUNCTION("""COMPUTED_VALUE"""),108.8)</f>
        <v>108.8</v>
      </c>
      <c r="G116" s="1">
        <f ca="1">IFERROR(__xludf.DUMMYFUNCTION("""COMPUTED_VALUE"""),80)</f>
        <v>80</v>
      </c>
      <c r="H116" s="1">
        <f ca="1">IFERROR(__xludf.DUMMYFUNCTION("""COMPUTED_VALUE"""),103.9)</f>
        <v>103.9</v>
      </c>
      <c r="I116" s="1">
        <f ca="1">IFERROR(__xludf.DUMMYFUNCTION("""COMPUTED_VALUE"""),189)</f>
        <v>189</v>
      </c>
      <c r="J116" s="1">
        <f ca="1">IFERROR(__xludf.DUMMYFUNCTION("""COMPUTED_VALUE"""),58.5)</f>
        <v>58.5</v>
      </c>
      <c r="K116" s="1">
        <f ca="1">IFERROR(__xludf.DUMMYFUNCTION("""COMPUTED_VALUE"""),335)</f>
        <v>335</v>
      </c>
      <c r="L116" s="1">
        <f ca="1">IFERROR(__xludf.DUMMYFUNCTION("""COMPUTED_VALUE"""),-0.026)</f>
        <v>-2.5999999999999999E-2</v>
      </c>
      <c r="M116" s="1">
        <f ca="1">IFERROR(__xludf.DUMMYFUNCTION("""COMPUTED_VALUE"""),241)</f>
        <v>241</v>
      </c>
      <c r="N116" s="1">
        <f ca="1">IFERROR(__xludf.DUMMYFUNCTION("""COMPUTED_VALUE"""),-1.91)</f>
        <v>-1.91</v>
      </c>
      <c r="O116" s="1">
        <f ca="1">IFERROR(__xludf.DUMMYFUNCTION("""COMPUTED_VALUE"""),201)</f>
        <v>201</v>
      </c>
      <c r="P116" s="1">
        <f ca="1">IFERROR(__xludf.DUMMYFUNCTION("""COMPUTED_VALUE"""),102.4)</f>
        <v>102.4</v>
      </c>
      <c r="Q116" s="1">
        <f ca="1">IFERROR(__xludf.DUMMYFUNCTION("""COMPUTED_VALUE"""),186)</f>
        <v>186</v>
      </c>
      <c r="R116" s="1">
        <f ca="1">IFERROR(__xludf.DUMMYFUNCTION("""COMPUTED_VALUE"""),104.3)</f>
        <v>104.3</v>
      </c>
      <c r="S116" s="1">
        <f ca="1">IFERROR(__xludf.DUMMYFUNCTION("""COMPUTED_VALUE"""),221)</f>
        <v>221</v>
      </c>
      <c r="T116" s="1">
        <f ca="1">IFERROR(__xludf.DUMMYFUNCTION("""COMPUTED_VALUE"""),-0.41)</f>
        <v>-0.41</v>
      </c>
      <c r="U116" s="1">
        <f ca="1">IFERROR(__xludf.DUMMYFUNCTION("""COMPUTED_VALUE"""),171)</f>
        <v>171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IFERROR(__xludf.DUMMYFUNCTION("""COMPUTED_VALUE"""),"Oregon St.")</f>
        <v>Oregon St.</v>
      </c>
      <c r="C117" s="1" t="str">
        <f ca="1">IFERROR(__xludf.DUMMYFUNCTION("""COMPUTED_VALUE"""),"P10")</f>
        <v>P10</v>
      </c>
      <c r="D117" s="1" t="str">
        <f ca="1">IFERROR(__xludf.DUMMYFUNCTION("""COMPUTED_VALUE"""),"18-18")</f>
        <v>18-18</v>
      </c>
      <c r="E117" s="1" t="str">
        <f ca="1">IFERROR(__xludf.DUMMYFUNCTION("""COMPUTED_VALUE"""),"+4.91")</f>
        <v>+4.91</v>
      </c>
      <c r="F117" s="1">
        <f ca="1">IFERROR(__xludf.DUMMYFUNCTION("""COMPUTED_VALUE"""),106.1)</f>
        <v>106.1</v>
      </c>
      <c r="G117" s="1">
        <f ca="1">IFERROR(__xludf.DUMMYFUNCTION("""COMPUTED_VALUE"""),111)</f>
        <v>111</v>
      </c>
      <c r="H117" s="1">
        <f ca="1">IFERROR(__xludf.DUMMYFUNCTION("""COMPUTED_VALUE"""),101.2)</f>
        <v>101.2</v>
      </c>
      <c r="I117" s="1">
        <f ca="1">IFERROR(__xludf.DUMMYFUNCTION("""COMPUTED_VALUE"""),135)</f>
        <v>135</v>
      </c>
      <c r="J117" s="1">
        <f ca="1">IFERROR(__xludf.DUMMYFUNCTION("""COMPUTED_VALUE"""),57.4)</f>
        <v>57.4</v>
      </c>
      <c r="K117" s="1">
        <f ca="1">IFERROR(__xludf.DUMMYFUNCTION("""COMPUTED_VALUE"""),343)</f>
        <v>343</v>
      </c>
      <c r="L117" s="1" t="str">
        <f ca="1">IFERROR(__xludf.DUMMYFUNCTION("""COMPUTED_VALUE"""),"+.068")</f>
        <v>+.068</v>
      </c>
      <c r="M117" s="1">
        <f ca="1">IFERROR(__xludf.DUMMYFUNCTION("""COMPUTED_VALUE"""),27)</f>
        <v>27</v>
      </c>
      <c r="N117" s="1" t="str">
        <f ca="1">IFERROR(__xludf.DUMMYFUNCTION("""COMPUTED_VALUE"""),"+9.11")</f>
        <v>+9.11</v>
      </c>
      <c r="O117" s="1">
        <f ca="1">IFERROR(__xludf.DUMMYFUNCTION("""COMPUTED_VALUE"""),34)</f>
        <v>34</v>
      </c>
      <c r="P117" s="1">
        <f ca="1">IFERROR(__xludf.DUMMYFUNCTION("""COMPUTED_VALUE"""),108.3)</f>
        <v>108.3</v>
      </c>
      <c r="Q117" s="1">
        <f ca="1">IFERROR(__xludf.DUMMYFUNCTION("""COMPUTED_VALUE"""),26)</f>
        <v>26</v>
      </c>
      <c r="R117" s="1">
        <f ca="1">IFERROR(__xludf.DUMMYFUNCTION("""COMPUTED_VALUE"""),99.2)</f>
        <v>99.2</v>
      </c>
      <c r="S117" s="1">
        <f ca="1">IFERROR(__xludf.DUMMYFUNCTION("""COMPUTED_VALUE"""),41)</f>
        <v>41</v>
      </c>
      <c r="T117" s="1">
        <f ca="1">IFERROR(__xludf.DUMMYFUNCTION("""COMPUTED_VALUE"""),-6.43)</f>
        <v>-6.43</v>
      </c>
      <c r="U117" s="1">
        <f ca="1">IFERROR(__xludf.DUMMYFUNCTION("""COMPUTED_VALUE"""),304)</f>
        <v>304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IFERROR(__xludf.DUMMYFUNCTION("""COMPUTED_VALUE"""),"American14")</f>
        <v>American14</v>
      </c>
      <c r="C118" s="1" t="str">
        <f ca="1">IFERROR(__xludf.DUMMYFUNCTION("""COMPUTED_VALUE"""),"Pat")</f>
        <v>Pat</v>
      </c>
      <c r="D118" s="1" t="str">
        <f ca="1">IFERROR(__xludf.DUMMYFUNCTION("""COMPUTED_VALUE"""),"24-8")</f>
        <v>24-8</v>
      </c>
      <c r="E118" s="1" t="str">
        <f ca="1">IFERROR(__xludf.DUMMYFUNCTION("""COMPUTED_VALUE"""),"+4.70")</f>
        <v>+4.70</v>
      </c>
      <c r="F118" s="1">
        <f ca="1">IFERROR(__xludf.DUMMYFUNCTION("""COMPUTED_VALUE"""),105.3)</f>
        <v>105.3</v>
      </c>
      <c r="G118" s="1">
        <f ca="1">IFERROR(__xludf.DUMMYFUNCTION("""COMPUTED_VALUE"""),123)</f>
        <v>123</v>
      </c>
      <c r="H118" s="1">
        <f ca="1">IFERROR(__xludf.DUMMYFUNCTION("""COMPUTED_VALUE"""),100.6)</f>
        <v>100.6</v>
      </c>
      <c r="I118" s="1">
        <f ca="1">IFERROR(__xludf.DUMMYFUNCTION("""COMPUTED_VALUE"""),125)</f>
        <v>125</v>
      </c>
      <c r="J118" s="1">
        <f ca="1">IFERROR(__xludf.DUMMYFUNCTION("""COMPUTED_VALUE"""),60.7)</f>
        <v>60.7</v>
      </c>
      <c r="K118" s="1">
        <f ca="1">IFERROR(__xludf.DUMMYFUNCTION("""COMPUTED_VALUE"""),319)</f>
        <v>319</v>
      </c>
      <c r="L118" s="1" t="str">
        <f ca="1">IFERROR(__xludf.DUMMYFUNCTION("""COMPUTED_VALUE"""),"+.093")</f>
        <v>+.093</v>
      </c>
      <c r="M118" s="1">
        <f ca="1">IFERROR(__xludf.DUMMYFUNCTION("""COMPUTED_VALUE"""),8)</f>
        <v>8</v>
      </c>
      <c r="N118" s="1">
        <f ca="1">IFERROR(__xludf.DUMMYFUNCTION("""COMPUTED_VALUE"""),-6.34)</f>
        <v>-6.34</v>
      </c>
      <c r="O118" s="1">
        <f ca="1">IFERROR(__xludf.DUMMYFUNCTION("""COMPUTED_VALUE"""),295)</f>
        <v>295</v>
      </c>
      <c r="P118" s="1">
        <f ca="1">IFERROR(__xludf.DUMMYFUNCTION("""COMPUTED_VALUE"""),97.6)</f>
        <v>97.6</v>
      </c>
      <c r="Q118" s="1">
        <f ca="1">IFERROR(__xludf.DUMMYFUNCTION("""COMPUTED_VALUE"""),317)</f>
        <v>317</v>
      </c>
      <c r="R118" s="1">
        <f ca="1">IFERROR(__xludf.DUMMYFUNCTION("""COMPUTED_VALUE"""),104)</f>
        <v>104</v>
      </c>
      <c r="S118" s="1">
        <f ca="1">IFERROR(__xludf.DUMMYFUNCTION("""COMPUTED_VALUE"""),204)</f>
        <v>204</v>
      </c>
      <c r="T118" s="1" t="str">
        <f ca="1">IFERROR(__xludf.DUMMYFUNCTION("""COMPUTED_VALUE"""),"+0.55")</f>
        <v>+0.55</v>
      </c>
      <c r="U118" s="1">
        <f ca="1">IFERROR(__xludf.DUMMYFUNCTION("""COMPUTED_VALUE"""),141)</f>
        <v>141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IFERROR(__xludf.DUMMYFUNCTION("""COMPUTED_VALUE"""),"Iowa St.")</f>
        <v>Iowa St.</v>
      </c>
      <c r="C119" s="1" t="str">
        <f ca="1">IFERROR(__xludf.DUMMYFUNCTION("""COMPUTED_VALUE"""),"B12")</f>
        <v>B12</v>
      </c>
      <c r="D119" s="1" t="str">
        <f ca="1">IFERROR(__xludf.DUMMYFUNCTION("""COMPUTED_VALUE"""),"15-17")</f>
        <v>15-17</v>
      </c>
      <c r="E119" s="1" t="str">
        <f ca="1">IFERROR(__xludf.DUMMYFUNCTION("""COMPUTED_VALUE"""),"+4.60")</f>
        <v>+4.60</v>
      </c>
      <c r="F119" s="1">
        <f ca="1">IFERROR(__xludf.DUMMYFUNCTION("""COMPUTED_VALUE"""),102.5)</f>
        <v>102.5</v>
      </c>
      <c r="G119" s="1">
        <f ca="1">IFERROR(__xludf.DUMMYFUNCTION("""COMPUTED_VALUE"""),176)</f>
        <v>176</v>
      </c>
      <c r="H119" s="1">
        <f ca="1">IFERROR(__xludf.DUMMYFUNCTION("""COMPUTED_VALUE"""),97.9)</f>
        <v>97.9</v>
      </c>
      <c r="I119" s="1">
        <f ca="1">IFERROR(__xludf.DUMMYFUNCTION("""COMPUTED_VALUE"""),71)</f>
        <v>71</v>
      </c>
      <c r="J119" s="1">
        <f ca="1">IFERROR(__xludf.DUMMYFUNCTION("""COMPUTED_VALUE"""),63.7)</f>
        <v>63.7</v>
      </c>
      <c r="K119" s="1">
        <f ca="1">IFERROR(__xludf.DUMMYFUNCTION("""COMPUTED_VALUE"""),239)</f>
        <v>239</v>
      </c>
      <c r="L119" s="1">
        <f ca="1">IFERROR(__xludf.DUMMYFUNCTION("""COMPUTED_VALUE"""),-0.017)</f>
        <v>-1.7000000000000001E-2</v>
      </c>
      <c r="M119" s="1">
        <f ca="1">IFERROR(__xludf.DUMMYFUNCTION("""COMPUTED_VALUE"""),221)</f>
        <v>221</v>
      </c>
      <c r="N119" s="1" t="str">
        <f ca="1">IFERROR(__xludf.DUMMYFUNCTION("""COMPUTED_VALUE"""),"+5.50")</f>
        <v>+5.50</v>
      </c>
      <c r="O119" s="1">
        <f ca="1">IFERROR(__xludf.DUMMYFUNCTION("""COMPUTED_VALUE"""),67)</f>
        <v>67</v>
      </c>
      <c r="P119" s="1">
        <f ca="1">IFERROR(__xludf.DUMMYFUNCTION("""COMPUTED_VALUE"""),106.3)</f>
        <v>106.3</v>
      </c>
      <c r="Q119" s="1">
        <f ca="1">IFERROR(__xludf.DUMMYFUNCTION("""COMPUTED_VALUE"""),58)</f>
        <v>58</v>
      </c>
      <c r="R119" s="1">
        <f ca="1">IFERROR(__xludf.DUMMYFUNCTION("""COMPUTED_VALUE"""),100.8)</f>
        <v>100.8</v>
      </c>
      <c r="S119" s="1">
        <f ca="1">IFERROR(__xludf.DUMMYFUNCTION("""COMPUTED_VALUE"""),79)</f>
        <v>79</v>
      </c>
      <c r="T119" s="1">
        <f ca="1">IFERROR(__xludf.DUMMYFUNCTION("""COMPUTED_VALUE"""),-8.1)</f>
        <v>-8.1</v>
      </c>
      <c r="U119" s="1">
        <f ca="1">IFERROR(__xludf.DUMMYFUNCTION("""COMPUTED_VALUE"""),319)</f>
        <v>319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IFERROR(__xludf.DUMMYFUNCTION("""COMPUTED_VALUE"""),"Richmond")</f>
        <v>Richmond</v>
      </c>
      <c r="C120" s="1" t="str">
        <f ca="1">IFERROR(__xludf.DUMMYFUNCTION("""COMPUTED_VALUE"""),"A10")</f>
        <v>A10</v>
      </c>
      <c r="D120" s="1" t="str">
        <f ca="1">IFERROR(__xludf.DUMMYFUNCTION("""COMPUTED_VALUE"""),"20-16")</f>
        <v>20-16</v>
      </c>
      <c r="E120" s="1" t="str">
        <f ca="1">IFERROR(__xludf.DUMMYFUNCTION("""COMPUTED_VALUE"""),"+4.43")</f>
        <v>+4.43</v>
      </c>
      <c r="F120" s="1">
        <f ca="1">IFERROR(__xludf.DUMMYFUNCTION("""COMPUTED_VALUE"""),106.8)</f>
        <v>106.8</v>
      </c>
      <c r="G120" s="1">
        <f ca="1">IFERROR(__xludf.DUMMYFUNCTION("""COMPUTED_VALUE"""),103)</f>
        <v>103</v>
      </c>
      <c r="H120" s="1">
        <f ca="1">IFERROR(__xludf.DUMMYFUNCTION("""COMPUTED_VALUE"""),102.4)</f>
        <v>102.4</v>
      </c>
      <c r="I120" s="1">
        <f ca="1">IFERROR(__xludf.DUMMYFUNCTION("""COMPUTED_VALUE"""),163)</f>
        <v>163</v>
      </c>
      <c r="J120" s="1">
        <f ca="1">IFERROR(__xludf.DUMMYFUNCTION("""COMPUTED_VALUE"""),63.9)</f>
        <v>63.9</v>
      </c>
      <c r="K120" s="1">
        <f ca="1">IFERROR(__xludf.DUMMYFUNCTION("""COMPUTED_VALUE"""),234)</f>
        <v>234</v>
      </c>
      <c r="L120" s="1">
        <f ca="1">IFERROR(__xludf.DUMMYFUNCTION("""COMPUTED_VALUE"""),-0.034)</f>
        <v>-3.4000000000000002E-2</v>
      </c>
      <c r="M120" s="1">
        <f ca="1">IFERROR(__xludf.DUMMYFUNCTION("""COMPUTED_VALUE"""),266)</f>
        <v>266</v>
      </c>
      <c r="N120" s="1" t="str">
        <f ca="1">IFERROR(__xludf.DUMMYFUNCTION("""COMPUTED_VALUE"""),"+1.08")</f>
        <v>+1.08</v>
      </c>
      <c r="O120" s="1">
        <f ca="1">IFERROR(__xludf.DUMMYFUNCTION("""COMPUTED_VALUE"""),133)</f>
        <v>133</v>
      </c>
      <c r="P120" s="1">
        <f ca="1">IFERROR(__xludf.DUMMYFUNCTION("""COMPUTED_VALUE"""),103.7)</f>
        <v>103.7</v>
      </c>
      <c r="Q120" s="1">
        <f ca="1">IFERROR(__xludf.DUMMYFUNCTION("""COMPUTED_VALUE"""),132)</f>
        <v>132</v>
      </c>
      <c r="R120" s="1">
        <f ca="1">IFERROR(__xludf.DUMMYFUNCTION("""COMPUTED_VALUE"""),102.6)</f>
        <v>102.6</v>
      </c>
      <c r="S120" s="1">
        <f ca="1">IFERROR(__xludf.DUMMYFUNCTION("""COMPUTED_VALUE"""),154)</f>
        <v>154</v>
      </c>
      <c r="T120" s="1">
        <f ca="1">IFERROR(__xludf.DUMMYFUNCTION("""COMPUTED_VALUE"""),-1.47)</f>
        <v>-1.47</v>
      </c>
      <c r="U120" s="1">
        <f ca="1">IFERROR(__xludf.DUMMYFUNCTION("""COMPUTED_VALUE"""),193)</f>
        <v>193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IFERROR(__xludf.DUMMYFUNCTION("""COMPUTED_VALUE"""),"Belmont")</f>
        <v>Belmont</v>
      </c>
      <c r="C121" s="1" t="str">
        <f ca="1">IFERROR(__xludf.DUMMYFUNCTION("""COMPUTED_VALUE"""),"ASun")</f>
        <v>ASun</v>
      </c>
      <c r="D121" s="1" t="str">
        <f ca="1">IFERROR(__xludf.DUMMYFUNCTION("""COMPUTED_VALUE"""),"20-13")</f>
        <v>20-13</v>
      </c>
      <c r="E121" s="1" t="str">
        <f ca="1">IFERROR(__xludf.DUMMYFUNCTION("""COMPUTED_VALUE"""),"+4.25")</f>
        <v>+4.25</v>
      </c>
      <c r="F121" s="1">
        <f ca="1">IFERROR(__xludf.DUMMYFUNCTION("""COMPUTED_VALUE"""),106.6)</f>
        <v>106.6</v>
      </c>
      <c r="G121" s="1">
        <f ca="1">IFERROR(__xludf.DUMMYFUNCTION("""COMPUTED_VALUE"""),106)</f>
        <v>106</v>
      </c>
      <c r="H121" s="1">
        <f ca="1">IFERROR(__xludf.DUMMYFUNCTION("""COMPUTED_VALUE"""),102.4)</f>
        <v>102.4</v>
      </c>
      <c r="I121" s="1">
        <f ca="1">IFERROR(__xludf.DUMMYFUNCTION("""COMPUTED_VALUE"""),164)</f>
        <v>164</v>
      </c>
      <c r="J121" s="1">
        <f ca="1">IFERROR(__xludf.DUMMYFUNCTION("""COMPUTED_VALUE"""),69.1)</f>
        <v>69.099999999999994</v>
      </c>
      <c r="K121" s="1">
        <f ca="1">IFERROR(__xludf.DUMMYFUNCTION("""COMPUTED_VALUE"""),39)</f>
        <v>39</v>
      </c>
      <c r="L121" s="1">
        <f ca="1">IFERROR(__xludf.DUMMYFUNCTION("""COMPUTED_VALUE"""),-0.047)</f>
        <v>-4.7E-2</v>
      </c>
      <c r="M121" s="1">
        <f ca="1">IFERROR(__xludf.DUMMYFUNCTION("""COMPUTED_VALUE"""),286)</f>
        <v>286</v>
      </c>
      <c r="N121" s="1">
        <f ca="1">IFERROR(__xludf.DUMMYFUNCTION("""COMPUTED_VALUE"""),-3.83)</f>
        <v>-3.83</v>
      </c>
      <c r="O121" s="1">
        <f ca="1">IFERROR(__xludf.DUMMYFUNCTION("""COMPUTED_VALUE"""),246)</f>
        <v>246</v>
      </c>
      <c r="P121" s="1">
        <f ca="1">IFERROR(__xludf.DUMMYFUNCTION("""COMPUTED_VALUE"""),101.3)</f>
        <v>101.3</v>
      </c>
      <c r="Q121" s="1">
        <f ca="1">IFERROR(__xludf.DUMMYFUNCTION("""COMPUTED_VALUE"""),228)</f>
        <v>228</v>
      </c>
      <c r="R121" s="1">
        <f ca="1">IFERROR(__xludf.DUMMYFUNCTION("""COMPUTED_VALUE"""),105.2)</f>
        <v>105.2</v>
      </c>
      <c r="S121" s="1">
        <f ca="1">IFERROR(__xludf.DUMMYFUNCTION("""COMPUTED_VALUE"""),255)</f>
        <v>255</v>
      </c>
      <c r="T121" s="1" t="str">
        <f ca="1">IFERROR(__xludf.DUMMYFUNCTION("""COMPUTED_VALUE"""),"+2.46")</f>
        <v>+2.46</v>
      </c>
      <c r="U121" s="1">
        <f ca="1">IFERROR(__xludf.DUMMYFUNCTION("""COMPUTED_VALUE"""),97)</f>
        <v>97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IFERROR(__xludf.DUMMYFUNCTION("""COMPUTED_VALUE"""),"Weber St.8")</f>
        <v>Weber St.8</v>
      </c>
      <c r="C122" s="1" t="str">
        <f ca="1">IFERROR(__xludf.DUMMYFUNCTION("""COMPUTED_VALUE"""),"BSky")</f>
        <v>BSky</v>
      </c>
      <c r="D122" s="1" t="str">
        <f ca="1">IFERROR(__xludf.DUMMYFUNCTION("""COMPUTED_VALUE"""),"21-10")</f>
        <v>21-10</v>
      </c>
      <c r="E122" s="1" t="str">
        <f ca="1">IFERROR(__xludf.DUMMYFUNCTION("""COMPUTED_VALUE"""),"+4.20")</f>
        <v>+4.20</v>
      </c>
      <c r="F122" s="1">
        <f ca="1">IFERROR(__xludf.DUMMYFUNCTION("""COMPUTED_VALUE"""),103.2)</f>
        <v>103.2</v>
      </c>
      <c r="G122" s="1">
        <f ca="1">IFERROR(__xludf.DUMMYFUNCTION("""COMPUTED_VALUE"""),159)</f>
        <v>159</v>
      </c>
      <c r="H122" s="1">
        <f ca="1">IFERROR(__xludf.DUMMYFUNCTION("""COMPUTED_VALUE"""),99)</f>
        <v>99</v>
      </c>
      <c r="I122" s="1">
        <f ca="1">IFERROR(__xludf.DUMMYFUNCTION("""COMPUTED_VALUE"""),89)</f>
        <v>89</v>
      </c>
      <c r="J122" s="1">
        <f ca="1">IFERROR(__xludf.DUMMYFUNCTION("""COMPUTED_VALUE"""),67)</f>
        <v>67</v>
      </c>
      <c r="K122" s="1">
        <f ca="1">IFERROR(__xludf.DUMMYFUNCTION("""COMPUTED_VALUE"""),101)</f>
        <v>101</v>
      </c>
      <c r="L122" s="1" t="str">
        <f ca="1">IFERROR(__xludf.DUMMYFUNCTION("""COMPUTED_VALUE"""),"+.078")</f>
        <v>+.078</v>
      </c>
      <c r="M122" s="1">
        <f ca="1">IFERROR(__xludf.DUMMYFUNCTION("""COMPUTED_VALUE"""),20)</f>
        <v>20</v>
      </c>
      <c r="N122" s="1">
        <f ca="1">IFERROR(__xludf.DUMMYFUNCTION("""COMPUTED_VALUE"""),-1.93)</f>
        <v>-1.93</v>
      </c>
      <c r="O122" s="1">
        <f ca="1">IFERROR(__xludf.DUMMYFUNCTION("""COMPUTED_VALUE"""),202)</f>
        <v>202</v>
      </c>
      <c r="P122" s="1">
        <f ca="1">IFERROR(__xludf.DUMMYFUNCTION("""COMPUTED_VALUE"""),103.1)</f>
        <v>103.1</v>
      </c>
      <c r="Q122" s="1">
        <f ca="1">IFERROR(__xludf.DUMMYFUNCTION("""COMPUTED_VALUE"""),155)</f>
        <v>155</v>
      </c>
      <c r="R122" s="1">
        <f ca="1">IFERROR(__xludf.DUMMYFUNCTION("""COMPUTED_VALUE"""),105)</f>
        <v>105</v>
      </c>
      <c r="S122" s="1">
        <f ca="1">IFERROR(__xludf.DUMMYFUNCTION("""COMPUTED_VALUE"""),247)</f>
        <v>247</v>
      </c>
      <c r="T122" s="1" t="str">
        <f ca="1">IFERROR(__xludf.DUMMYFUNCTION("""COMPUTED_VALUE"""),"+4.01")</f>
        <v>+4.01</v>
      </c>
      <c r="U122" s="1">
        <f ca="1">IFERROR(__xludf.DUMMYFUNCTION("""COMPUTED_VALUE"""),68)</f>
        <v>68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IFERROR(__xludf.DUMMYFUNCTION("""COMPUTED_VALUE"""),"Tennessee Martin")</f>
        <v>Tennessee Martin</v>
      </c>
      <c r="C123" s="1" t="str">
        <f ca="1">IFERROR(__xludf.DUMMYFUNCTION("""COMPUTED_VALUE"""),"OVC")</f>
        <v>OVC</v>
      </c>
      <c r="D123" s="1" t="str">
        <f ca="1">IFERROR(__xludf.DUMMYFUNCTION("""COMPUTED_VALUE"""),"22-10")</f>
        <v>22-10</v>
      </c>
      <c r="E123" s="1" t="str">
        <f ca="1">IFERROR(__xludf.DUMMYFUNCTION("""COMPUTED_VALUE"""),"+4.20")</f>
        <v>+4.20</v>
      </c>
      <c r="F123" s="1">
        <f ca="1">IFERROR(__xludf.DUMMYFUNCTION("""COMPUTED_VALUE"""),108.5)</f>
        <v>108.5</v>
      </c>
      <c r="G123" s="1">
        <f ca="1">IFERROR(__xludf.DUMMYFUNCTION("""COMPUTED_VALUE"""),86)</f>
        <v>86</v>
      </c>
      <c r="H123" s="1">
        <f ca="1">IFERROR(__xludf.DUMMYFUNCTION("""COMPUTED_VALUE"""),104.3)</f>
        <v>104.3</v>
      </c>
      <c r="I123" s="1">
        <f ca="1">IFERROR(__xludf.DUMMYFUNCTION("""COMPUTED_VALUE"""),200)</f>
        <v>200</v>
      </c>
      <c r="J123" s="1">
        <f ca="1">IFERROR(__xludf.DUMMYFUNCTION("""COMPUTED_VALUE"""),68.3)</f>
        <v>68.3</v>
      </c>
      <c r="K123" s="1">
        <f ca="1">IFERROR(__xludf.DUMMYFUNCTION("""COMPUTED_VALUE"""),61)</f>
        <v>61</v>
      </c>
      <c r="L123" s="1" t="str">
        <f ca="1">IFERROR(__xludf.DUMMYFUNCTION("""COMPUTED_VALUE"""),"+.013")</f>
        <v>+.013</v>
      </c>
      <c r="M123" s="1">
        <f ca="1">IFERROR(__xludf.DUMMYFUNCTION("""COMPUTED_VALUE"""),135)</f>
        <v>135</v>
      </c>
      <c r="N123" s="1">
        <f ca="1">IFERROR(__xludf.DUMMYFUNCTION("""COMPUTED_VALUE"""),-5.21)</f>
        <v>-5.21</v>
      </c>
      <c r="O123" s="1">
        <f ca="1">IFERROR(__xludf.DUMMYFUNCTION("""COMPUTED_VALUE"""),275)</f>
        <v>275</v>
      </c>
      <c r="P123" s="1">
        <f ca="1">IFERROR(__xludf.DUMMYFUNCTION("""COMPUTED_VALUE"""),101.2)</f>
        <v>101.2</v>
      </c>
      <c r="Q123" s="1">
        <f ca="1">IFERROR(__xludf.DUMMYFUNCTION("""COMPUTED_VALUE"""),234)</f>
        <v>234</v>
      </c>
      <c r="R123" s="1">
        <f ca="1">IFERROR(__xludf.DUMMYFUNCTION("""COMPUTED_VALUE"""),106.4)</f>
        <v>106.4</v>
      </c>
      <c r="S123" s="1">
        <f ca="1">IFERROR(__xludf.DUMMYFUNCTION("""COMPUTED_VALUE"""),311)</f>
        <v>311</v>
      </c>
      <c r="T123" s="1">
        <f ca="1">IFERROR(__xludf.DUMMYFUNCTION("""COMPUTED_VALUE"""),-4.28)</f>
        <v>-4.28</v>
      </c>
      <c r="U123" s="1">
        <f ca="1">IFERROR(__xludf.DUMMYFUNCTION("""COMPUTED_VALUE"""),260)</f>
        <v>260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IFERROR(__xludf.DUMMYFUNCTION("""COMPUTED_VALUE"""),"Portland St.13")</f>
        <v>Portland St.13</v>
      </c>
      <c r="C124" s="1" t="str">
        <f ca="1">IFERROR(__xludf.DUMMYFUNCTION("""COMPUTED_VALUE"""),"BSky")</f>
        <v>BSky</v>
      </c>
      <c r="D124" s="1" t="str">
        <f ca="1">IFERROR(__xludf.DUMMYFUNCTION("""COMPUTED_VALUE"""),"23-10")</f>
        <v>23-10</v>
      </c>
      <c r="E124" s="1" t="str">
        <f ca="1">IFERROR(__xludf.DUMMYFUNCTION("""COMPUTED_VALUE"""),"+4.04")</f>
        <v>+4.04</v>
      </c>
      <c r="F124" s="1">
        <f ca="1">IFERROR(__xludf.DUMMYFUNCTION("""COMPUTED_VALUE"""),109.2)</f>
        <v>109.2</v>
      </c>
      <c r="G124" s="1">
        <f ca="1">IFERROR(__xludf.DUMMYFUNCTION("""COMPUTED_VALUE"""),77)</f>
        <v>77</v>
      </c>
      <c r="H124" s="1">
        <f ca="1">IFERROR(__xludf.DUMMYFUNCTION("""COMPUTED_VALUE"""),105.1)</f>
        <v>105.1</v>
      </c>
      <c r="I124" s="1">
        <f ca="1">IFERROR(__xludf.DUMMYFUNCTION("""COMPUTED_VALUE"""),219)</f>
        <v>219</v>
      </c>
      <c r="J124" s="1">
        <f ca="1">IFERROR(__xludf.DUMMYFUNCTION("""COMPUTED_VALUE"""),64.8)</f>
        <v>64.8</v>
      </c>
      <c r="K124" s="1">
        <f ca="1">IFERROR(__xludf.DUMMYFUNCTION("""COMPUTED_VALUE"""),191)</f>
        <v>191</v>
      </c>
      <c r="L124" s="1" t="str">
        <f ca="1">IFERROR(__xludf.DUMMYFUNCTION("""COMPUTED_VALUE"""),"+.025")</f>
        <v>+.025</v>
      </c>
      <c r="M124" s="1">
        <f ca="1">IFERROR(__xludf.DUMMYFUNCTION("""COMPUTED_VALUE"""),105)</f>
        <v>105</v>
      </c>
      <c r="N124" s="1">
        <f ca="1">IFERROR(__xludf.DUMMYFUNCTION("""COMPUTED_VALUE"""),-3.32)</f>
        <v>-3.32</v>
      </c>
      <c r="O124" s="1">
        <f ca="1">IFERROR(__xludf.DUMMYFUNCTION("""COMPUTED_VALUE"""),233)</f>
        <v>233</v>
      </c>
      <c r="P124" s="1">
        <f ca="1">IFERROR(__xludf.DUMMYFUNCTION("""COMPUTED_VALUE"""),101.5)</f>
        <v>101.5</v>
      </c>
      <c r="Q124" s="1">
        <f ca="1">IFERROR(__xludf.DUMMYFUNCTION("""COMPUTED_VALUE"""),221)</f>
        <v>221</v>
      </c>
      <c r="R124" s="1">
        <f ca="1">IFERROR(__xludf.DUMMYFUNCTION("""COMPUTED_VALUE"""),104.8)</f>
        <v>104.8</v>
      </c>
      <c r="S124" s="1">
        <f ca="1">IFERROR(__xludf.DUMMYFUNCTION("""COMPUTED_VALUE"""),242)</f>
        <v>242</v>
      </c>
      <c r="T124" s="1">
        <f ca="1">IFERROR(__xludf.DUMMYFUNCTION("""COMPUTED_VALUE"""),0)</f>
        <v>0</v>
      </c>
      <c r="U124" s="1">
        <f ca="1">IFERROR(__xludf.DUMMYFUNCTION("""COMPUTED_VALUE"""),157)</f>
        <v>157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IFERROR(__xludf.DUMMYFUNCTION("""COMPUTED_VALUE"""),"Buffalo")</f>
        <v>Buffalo</v>
      </c>
      <c r="C125" s="1" t="str">
        <f ca="1">IFERROR(__xludf.DUMMYFUNCTION("""COMPUTED_VALUE"""),"MAC")</f>
        <v>MAC</v>
      </c>
      <c r="D125" s="1" t="str">
        <f ca="1">IFERROR(__xludf.DUMMYFUNCTION("""COMPUTED_VALUE"""),"21-12")</f>
        <v>21-12</v>
      </c>
      <c r="E125" s="1" t="str">
        <f ca="1">IFERROR(__xludf.DUMMYFUNCTION("""COMPUTED_VALUE"""),"+3.96")</f>
        <v>+3.96</v>
      </c>
      <c r="F125" s="1">
        <f ca="1">IFERROR(__xludf.DUMMYFUNCTION("""COMPUTED_VALUE"""),102.6)</f>
        <v>102.6</v>
      </c>
      <c r="G125" s="1">
        <f ca="1">IFERROR(__xludf.DUMMYFUNCTION("""COMPUTED_VALUE"""),174)</f>
        <v>174</v>
      </c>
      <c r="H125" s="1">
        <f ca="1">IFERROR(__xludf.DUMMYFUNCTION("""COMPUTED_VALUE"""),98.6)</f>
        <v>98.6</v>
      </c>
      <c r="I125" s="1">
        <f ca="1">IFERROR(__xludf.DUMMYFUNCTION("""COMPUTED_VALUE"""),82)</f>
        <v>82</v>
      </c>
      <c r="J125" s="1">
        <f ca="1">IFERROR(__xludf.DUMMYFUNCTION("""COMPUTED_VALUE"""),64.6)</f>
        <v>64.599999999999994</v>
      </c>
      <c r="K125" s="1">
        <f ca="1">IFERROR(__xludf.DUMMYFUNCTION("""COMPUTED_VALUE"""),201)</f>
        <v>201</v>
      </c>
      <c r="L125" s="1" t="str">
        <f ca="1">IFERROR(__xludf.DUMMYFUNCTION("""COMPUTED_VALUE"""),"+.036")</f>
        <v>+.036</v>
      </c>
      <c r="M125" s="1">
        <f ca="1">IFERROR(__xludf.DUMMYFUNCTION("""COMPUTED_VALUE"""),77)</f>
        <v>77</v>
      </c>
      <c r="N125" s="1" t="str">
        <f ca="1">IFERROR(__xludf.DUMMYFUNCTION("""COMPUTED_VALUE"""),"+0.07")</f>
        <v>+0.07</v>
      </c>
      <c r="O125" s="1">
        <f ca="1">IFERROR(__xludf.DUMMYFUNCTION("""COMPUTED_VALUE"""),158)</f>
        <v>158</v>
      </c>
      <c r="P125" s="1">
        <f ca="1">IFERROR(__xludf.DUMMYFUNCTION("""COMPUTED_VALUE"""),101.5)</f>
        <v>101.5</v>
      </c>
      <c r="Q125" s="1">
        <f ca="1">IFERROR(__xludf.DUMMYFUNCTION("""COMPUTED_VALUE"""),222)</f>
        <v>222</v>
      </c>
      <c r="R125" s="1">
        <f ca="1">IFERROR(__xludf.DUMMYFUNCTION("""COMPUTED_VALUE"""),101.4)</f>
        <v>101.4</v>
      </c>
      <c r="S125" s="1">
        <f ca="1">IFERROR(__xludf.DUMMYFUNCTION("""COMPUTED_VALUE"""),106)</f>
        <v>106</v>
      </c>
      <c r="T125" s="1" t="str">
        <f ca="1">IFERROR(__xludf.DUMMYFUNCTION("""COMPUTED_VALUE"""),"+1.97")</f>
        <v>+1.97</v>
      </c>
      <c r="U125" s="1">
        <f ca="1">IFERROR(__xludf.DUMMYFUNCTION("""COMPUTED_VALUE"""),109)</f>
        <v>109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IFERROR(__xludf.DUMMYFUNCTION("""COMPUTED_VALUE"""),"Bradley")</f>
        <v>Bradley</v>
      </c>
      <c r="C126" s="1" t="str">
        <f ca="1">IFERROR(__xludf.DUMMYFUNCTION("""COMPUTED_VALUE"""),"MVC")</f>
        <v>MVC</v>
      </c>
      <c r="D126" s="1" t="str">
        <f ca="1">IFERROR(__xludf.DUMMYFUNCTION("""COMPUTED_VALUE"""),"21-15")</f>
        <v>21-15</v>
      </c>
      <c r="E126" s="1" t="str">
        <f ca="1">IFERROR(__xludf.DUMMYFUNCTION("""COMPUTED_VALUE"""),"+3.95")</f>
        <v>+3.95</v>
      </c>
      <c r="F126" s="1">
        <f ca="1">IFERROR(__xludf.DUMMYFUNCTION("""COMPUTED_VALUE"""),104.9)</f>
        <v>104.9</v>
      </c>
      <c r="G126" s="1">
        <f ca="1">IFERROR(__xludf.DUMMYFUNCTION("""COMPUTED_VALUE"""),134)</f>
        <v>134</v>
      </c>
      <c r="H126" s="1">
        <f ca="1">IFERROR(__xludf.DUMMYFUNCTION("""COMPUTED_VALUE"""),101)</f>
        <v>101</v>
      </c>
      <c r="I126" s="1">
        <f ca="1">IFERROR(__xludf.DUMMYFUNCTION("""COMPUTED_VALUE"""),133)</f>
        <v>133</v>
      </c>
      <c r="J126" s="1">
        <f ca="1">IFERROR(__xludf.DUMMYFUNCTION("""COMPUTED_VALUE"""),64.7)</f>
        <v>64.7</v>
      </c>
      <c r="K126" s="1">
        <f ca="1">IFERROR(__xludf.DUMMYFUNCTION("""COMPUTED_VALUE"""),198)</f>
        <v>198</v>
      </c>
      <c r="L126" s="1" t="str">
        <f ca="1">IFERROR(__xludf.DUMMYFUNCTION("""COMPUTED_VALUE"""),"+.046")</f>
        <v>+.046</v>
      </c>
      <c r="M126" s="1">
        <f ca="1">IFERROR(__xludf.DUMMYFUNCTION("""COMPUTED_VALUE"""),60)</f>
        <v>60</v>
      </c>
      <c r="N126" s="1" t="str">
        <f ca="1">IFERROR(__xludf.DUMMYFUNCTION("""COMPUTED_VALUE"""),"+1.45")</f>
        <v>+1.45</v>
      </c>
      <c r="O126" s="1">
        <f ca="1">IFERROR(__xludf.DUMMYFUNCTION("""COMPUTED_VALUE"""),122)</f>
        <v>122</v>
      </c>
      <c r="P126" s="1">
        <f ca="1">IFERROR(__xludf.DUMMYFUNCTION("""COMPUTED_VALUE"""),104.2)</f>
        <v>104.2</v>
      </c>
      <c r="Q126" s="1">
        <f ca="1">IFERROR(__xludf.DUMMYFUNCTION("""COMPUTED_VALUE"""),108)</f>
        <v>108</v>
      </c>
      <c r="R126" s="1">
        <f ca="1">IFERROR(__xludf.DUMMYFUNCTION("""COMPUTED_VALUE"""),102.8)</f>
        <v>102.8</v>
      </c>
      <c r="S126" s="1">
        <f ca="1">IFERROR(__xludf.DUMMYFUNCTION("""COMPUTED_VALUE"""),161)</f>
        <v>161</v>
      </c>
      <c r="T126" s="1">
        <f ca="1">IFERROR(__xludf.DUMMYFUNCTION("""COMPUTED_VALUE"""),-0.67)</f>
        <v>-0.67</v>
      </c>
      <c r="U126" s="1">
        <f ca="1">IFERROR(__xludf.DUMMYFUNCTION("""COMPUTED_VALUE"""),178)</f>
        <v>178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IFERROR(__xludf.DUMMYFUNCTION("""COMPUTED_VALUE"""),"St. John's")</f>
        <v>St. John's</v>
      </c>
      <c r="C129" s="1" t="str">
        <f ca="1">IFERROR(__xludf.DUMMYFUNCTION("""COMPUTED_VALUE"""),"BE")</f>
        <v>BE</v>
      </c>
      <c r="D129" s="1" t="str">
        <f ca="1">IFERROR(__xludf.DUMMYFUNCTION("""COMPUTED_VALUE"""),"16-18")</f>
        <v>16-18</v>
      </c>
      <c r="E129" s="1" t="str">
        <f ca="1">IFERROR(__xludf.DUMMYFUNCTION("""COMPUTED_VALUE"""),"+3.88")</f>
        <v>+3.88</v>
      </c>
      <c r="F129" s="1">
        <f ca="1">IFERROR(__xludf.DUMMYFUNCTION("""COMPUTED_VALUE"""),102.7)</f>
        <v>102.7</v>
      </c>
      <c r="G129" s="1">
        <f ca="1">IFERROR(__xludf.DUMMYFUNCTION("""COMPUTED_VALUE"""),169)</f>
        <v>169</v>
      </c>
      <c r="H129" s="1">
        <f ca="1">IFERROR(__xludf.DUMMYFUNCTION("""COMPUTED_VALUE"""),98.8)</f>
        <v>98.8</v>
      </c>
      <c r="I129" s="1">
        <f ca="1">IFERROR(__xludf.DUMMYFUNCTION("""COMPUTED_VALUE"""),86)</f>
        <v>86</v>
      </c>
      <c r="J129" s="1">
        <f ca="1">IFERROR(__xludf.DUMMYFUNCTION("""COMPUTED_VALUE"""),65.4)</f>
        <v>65.400000000000006</v>
      </c>
      <c r="K129" s="1">
        <f ca="1">IFERROR(__xludf.DUMMYFUNCTION("""COMPUTED_VALUE"""),165)</f>
        <v>165</v>
      </c>
      <c r="L129" s="1" t="str">
        <f ca="1">IFERROR(__xludf.DUMMYFUNCTION("""COMPUTED_VALUE"""),"+.001")</f>
        <v>+.001</v>
      </c>
      <c r="M129" s="1">
        <f ca="1">IFERROR(__xludf.DUMMYFUNCTION("""COMPUTED_VALUE"""),163)</f>
        <v>163</v>
      </c>
      <c r="N129" s="1" t="str">
        <f ca="1">IFERROR(__xludf.DUMMYFUNCTION("""COMPUTED_VALUE"""),"+6.51")</f>
        <v>+6.51</v>
      </c>
      <c r="O129" s="1">
        <f ca="1">IFERROR(__xludf.DUMMYFUNCTION("""COMPUTED_VALUE"""),55)</f>
        <v>55</v>
      </c>
      <c r="P129" s="1">
        <f ca="1">IFERROR(__xludf.DUMMYFUNCTION("""COMPUTED_VALUE"""),106.3)</f>
        <v>106.3</v>
      </c>
      <c r="Q129" s="1">
        <f ca="1">IFERROR(__xludf.DUMMYFUNCTION("""COMPUTED_VALUE"""),59)</f>
        <v>59</v>
      </c>
      <c r="R129" s="1">
        <f ca="1">IFERROR(__xludf.DUMMYFUNCTION("""COMPUTED_VALUE"""),99.8)</f>
        <v>99.8</v>
      </c>
      <c r="S129" s="1">
        <f ca="1">IFERROR(__xludf.DUMMYFUNCTION("""COMPUTED_VALUE"""),54)</f>
        <v>54</v>
      </c>
      <c r="T129" s="1">
        <f ca="1">IFERROR(__xludf.DUMMYFUNCTION("""COMPUTED_VALUE"""),-9.6)</f>
        <v>-9.6</v>
      </c>
      <c r="U129" s="1">
        <f ca="1">IFERROR(__xludf.DUMMYFUNCTION("""COMPUTED_VALUE"""),333)</f>
        <v>333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IFERROR(__xludf.DUMMYFUNCTION("""COMPUTED_VALUE"""),"Jacksonville8")</f>
        <v>Jacksonville8</v>
      </c>
      <c r="C130" s="1" t="str">
        <f ca="1">IFERROR(__xludf.DUMMYFUNCTION("""COMPUTED_VALUE"""),"ASun")</f>
        <v>ASun</v>
      </c>
      <c r="D130" s="1" t="str">
        <f ca="1">IFERROR(__xludf.DUMMYFUNCTION("""COMPUTED_VALUE"""),"18-14")</f>
        <v>18-14</v>
      </c>
      <c r="E130" s="1" t="str">
        <f ca="1">IFERROR(__xludf.DUMMYFUNCTION("""COMPUTED_VALUE"""),"+3.87")</f>
        <v>+3.87</v>
      </c>
      <c r="F130" s="1">
        <f ca="1">IFERROR(__xludf.DUMMYFUNCTION("""COMPUTED_VALUE"""),108.2)</f>
        <v>108.2</v>
      </c>
      <c r="G130" s="1">
        <f ca="1">IFERROR(__xludf.DUMMYFUNCTION("""COMPUTED_VALUE"""),88)</f>
        <v>88</v>
      </c>
      <c r="H130" s="1">
        <f ca="1">IFERROR(__xludf.DUMMYFUNCTION("""COMPUTED_VALUE"""),104.4)</f>
        <v>104.4</v>
      </c>
      <c r="I130" s="1">
        <f ca="1">IFERROR(__xludf.DUMMYFUNCTION("""COMPUTED_VALUE"""),206)</f>
        <v>206</v>
      </c>
      <c r="J130" s="1">
        <f ca="1">IFERROR(__xludf.DUMMYFUNCTION("""COMPUTED_VALUE"""),66.2)</f>
        <v>66.2</v>
      </c>
      <c r="K130" s="1">
        <f ca="1">IFERROR(__xludf.DUMMYFUNCTION("""COMPUTED_VALUE"""),129)</f>
        <v>129</v>
      </c>
      <c r="L130" s="1">
        <f ca="1">IFERROR(__xludf.DUMMYFUNCTION("""COMPUTED_VALUE"""),-0.071)</f>
        <v>-7.0999999999999994E-2</v>
      </c>
      <c r="M130" s="1">
        <f ca="1">IFERROR(__xludf.DUMMYFUNCTION("""COMPUTED_VALUE"""),319)</f>
        <v>319</v>
      </c>
      <c r="N130" s="1">
        <f ca="1">IFERROR(__xludf.DUMMYFUNCTION("""COMPUTED_VALUE"""),-3.19)</f>
        <v>-3.19</v>
      </c>
      <c r="O130" s="1">
        <f ca="1">IFERROR(__xludf.DUMMYFUNCTION("""COMPUTED_VALUE"""),227)</f>
        <v>227</v>
      </c>
      <c r="P130" s="1">
        <f ca="1">IFERROR(__xludf.DUMMYFUNCTION("""COMPUTED_VALUE"""),100.5)</f>
        <v>100.5</v>
      </c>
      <c r="Q130" s="1">
        <f ca="1">IFERROR(__xludf.DUMMYFUNCTION("""COMPUTED_VALUE"""),255)</f>
        <v>255</v>
      </c>
      <c r="R130" s="1">
        <f ca="1">IFERROR(__xludf.DUMMYFUNCTION("""COMPUTED_VALUE"""),103.7)</f>
        <v>103.7</v>
      </c>
      <c r="S130" s="1">
        <f ca="1">IFERROR(__xludf.DUMMYFUNCTION("""COMPUTED_VALUE"""),195)</f>
        <v>195</v>
      </c>
      <c r="T130" s="1" t="str">
        <f ca="1">IFERROR(__xludf.DUMMYFUNCTION("""COMPUTED_VALUE"""),"+4.84")</f>
        <v>+4.84</v>
      </c>
      <c r="U130" s="1">
        <f ca="1">IFERROR(__xludf.DUMMYFUNCTION("""COMPUTED_VALUE"""),54)</f>
        <v>54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IFERROR(__xludf.DUMMYFUNCTION("""COMPUTED_VALUE"""),"Sam Houston St.")</f>
        <v>Sam Houston St.</v>
      </c>
      <c r="C131" s="1" t="str">
        <f ca="1">IFERROR(__xludf.DUMMYFUNCTION("""COMPUTED_VALUE"""),"Slnd")</f>
        <v>Slnd</v>
      </c>
      <c r="D131" s="1" t="str">
        <f ca="1">IFERROR(__xludf.DUMMYFUNCTION("""COMPUTED_VALUE"""),"18-12")</f>
        <v>18-12</v>
      </c>
      <c r="E131" s="1" t="str">
        <f ca="1">IFERROR(__xludf.DUMMYFUNCTION("""COMPUTED_VALUE"""),"+3.64")</f>
        <v>+3.64</v>
      </c>
      <c r="F131" s="1">
        <f ca="1">IFERROR(__xludf.DUMMYFUNCTION("""COMPUTED_VALUE"""),107.3)</f>
        <v>107.3</v>
      </c>
      <c r="G131" s="1">
        <f ca="1">IFERROR(__xludf.DUMMYFUNCTION("""COMPUTED_VALUE"""),95)</f>
        <v>95</v>
      </c>
      <c r="H131" s="1">
        <f ca="1">IFERROR(__xludf.DUMMYFUNCTION("""COMPUTED_VALUE"""),103.7)</f>
        <v>103.7</v>
      </c>
      <c r="I131" s="1">
        <f ca="1">IFERROR(__xludf.DUMMYFUNCTION("""COMPUTED_VALUE"""),187)</f>
        <v>187</v>
      </c>
      <c r="J131" s="1">
        <f ca="1">IFERROR(__xludf.DUMMYFUNCTION("""COMPUTED_VALUE"""),66.1)</f>
        <v>66.099999999999994</v>
      </c>
      <c r="K131" s="1">
        <f ca="1">IFERROR(__xludf.DUMMYFUNCTION("""COMPUTED_VALUE"""),137)</f>
        <v>137</v>
      </c>
      <c r="L131" s="1">
        <f ca="1">IFERROR(__xludf.DUMMYFUNCTION("""COMPUTED_VALUE"""),-0.065)</f>
        <v>-6.5000000000000002E-2</v>
      </c>
      <c r="M131" s="1">
        <f ca="1">IFERROR(__xludf.DUMMYFUNCTION("""COMPUTED_VALUE"""),312)</f>
        <v>312</v>
      </c>
      <c r="N131" s="1">
        <f ca="1">IFERROR(__xludf.DUMMYFUNCTION("""COMPUTED_VALUE"""),-1.21)</f>
        <v>-1.21</v>
      </c>
      <c r="O131" s="1">
        <f ca="1">IFERROR(__xludf.DUMMYFUNCTION("""COMPUTED_VALUE"""),183)</f>
        <v>183</v>
      </c>
      <c r="P131" s="1">
        <f ca="1">IFERROR(__xludf.DUMMYFUNCTION("""COMPUTED_VALUE"""),102.3)</f>
        <v>102.3</v>
      </c>
      <c r="Q131" s="1">
        <f ca="1">IFERROR(__xludf.DUMMYFUNCTION("""COMPUTED_VALUE"""),194)</f>
        <v>194</v>
      </c>
      <c r="R131" s="1">
        <f ca="1">IFERROR(__xludf.DUMMYFUNCTION("""COMPUTED_VALUE"""),103.5)</f>
        <v>103.5</v>
      </c>
      <c r="S131" s="1">
        <f ca="1">IFERROR(__xludf.DUMMYFUNCTION("""COMPUTED_VALUE"""),188)</f>
        <v>188</v>
      </c>
      <c r="T131" s="1" t="str">
        <f ca="1">IFERROR(__xludf.DUMMYFUNCTION("""COMPUTED_VALUE"""),"+4.34")</f>
        <v>+4.34</v>
      </c>
      <c r="U131" s="1">
        <f ca="1">IFERROR(__xludf.DUMMYFUNCTION("""COMPUTED_VALUE"""),61)</f>
        <v>61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IFERROR(__xludf.DUMMYFUNCTION("""COMPUTED_VALUE"""),"Kent St.")</f>
        <v>Kent St.</v>
      </c>
      <c r="C132" s="1" t="str">
        <f ca="1">IFERROR(__xludf.DUMMYFUNCTION("""COMPUTED_VALUE"""),"MAC")</f>
        <v>MAC</v>
      </c>
      <c r="D132" s="1" t="str">
        <f ca="1">IFERROR(__xludf.DUMMYFUNCTION("""COMPUTED_VALUE"""),"19-15")</f>
        <v>19-15</v>
      </c>
      <c r="E132" s="1" t="str">
        <f ca="1">IFERROR(__xludf.DUMMYFUNCTION("""COMPUTED_VALUE"""),"+3.47")</f>
        <v>+3.47</v>
      </c>
      <c r="F132" s="1">
        <f ca="1">IFERROR(__xludf.DUMMYFUNCTION("""COMPUTED_VALUE"""),103.2)</f>
        <v>103.2</v>
      </c>
      <c r="G132" s="1">
        <f ca="1">IFERROR(__xludf.DUMMYFUNCTION("""COMPUTED_VALUE"""),157)</f>
        <v>157</v>
      </c>
      <c r="H132" s="1">
        <f ca="1">IFERROR(__xludf.DUMMYFUNCTION("""COMPUTED_VALUE"""),99.7)</f>
        <v>99.7</v>
      </c>
      <c r="I132" s="1">
        <f ca="1">IFERROR(__xludf.DUMMYFUNCTION("""COMPUTED_VALUE"""),103)</f>
        <v>103</v>
      </c>
      <c r="J132" s="1">
        <f ca="1">IFERROR(__xludf.DUMMYFUNCTION("""COMPUTED_VALUE"""),66.1)</f>
        <v>66.099999999999994</v>
      </c>
      <c r="K132" s="1">
        <f ca="1">IFERROR(__xludf.DUMMYFUNCTION("""COMPUTED_VALUE"""),135)</f>
        <v>135</v>
      </c>
      <c r="L132" s="1">
        <f ca="1">IFERROR(__xludf.DUMMYFUNCTION("""COMPUTED_VALUE"""),-0.031)</f>
        <v>-3.1E-2</v>
      </c>
      <c r="M132" s="1">
        <f ca="1">IFERROR(__xludf.DUMMYFUNCTION("""COMPUTED_VALUE"""),257)</f>
        <v>257</v>
      </c>
      <c r="N132" s="1">
        <f ca="1">IFERROR(__xludf.DUMMYFUNCTION("""COMPUTED_VALUE"""),-1)</f>
        <v>-1</v>
      </c>
      <c r="O132" s="1">
        <f ca="1">IFERROR(__xludf.DUMMYFUNCTION("""COMPUTED_VALUE"""),178)</f>
        <v>178</v>
      </c>
      <c r="P132" s="1">
        <f ca="1">IFERROR(__xludf.DUMMYFUNCTION("""COMPUTED_VALUE"""),100.9)</f>
        <v>100.9</v>
      </c>
      <c r="Q132" s="1">
        <f ca="1">IFERROR(__xludf.DUMMYFUNCTION("""COMPUTED_VALUE"""),247)</f>
        <v>247</v>
      </c>
      <c r="R132" s="1">
        <f ca="1">IFERROR(__xludf.DUMMYFUNCTION("""COMPUTED_VALUE"""),101.9)</f>
        <v>101.9</v>
      </c>
      <c r="S132" s="1">
        <f ca="1">IFERROR(__xludf.DUMMYFUNCTION("""COMPUTED_VALUE"""),126)</f>
        <v>126</v>
      </c>
      <c r="T132" s="1" t="str">
        <f ca="1">IFERROR(__xludf.DUMMYFUNCTION("""COMPUTED_VALUE"""),"+0.13")</f>
        <v>+0.13</v>
      </c>
      <c r="U132" s="1">
        <f ca="1">IFERROR(__xludf.DUMMYFUNCTION("""COMPUTED_VALUE"""),150)</f>
        <v>150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IFERROR(__xludf.DUMMYFUNCTION("""COMPUTED_VALUE"""),"New Mexico St.")</f>
        <v>New Mexico St.</v>
      </c>
      <c r="C133" s="1" t="str">
        <f ca="1">IFERROR(__xludf.DUMMYFUNCTION("""COMPUTED_VALUE"""),"WAC")</f>
        <v>WAC</v>
      </c>
      <c r="D133" s="1" t="str">
        <f ca="1">IFERROR(__xludf.DUMMYFUNCTION("""COMPUTED_VALUE"""),"17-15")</f>
        <v>17-15</v>
      </c>
      <c r="E133" s="1" t="str">
        <f ca="1">IFERROR(__xludf.DUMMYFUNCTION("""COMPUTED_VALUE"""),"+3.31")</f>
        <v>+3.31</v>
      </c>
      <c r="F133" s="1">
        <f ca="1">IFERROR(__xludf.DUMMYFUNCTION("""COMPUTED_VALUE"""),109.4)</f>
        <v>109.4</v>
      </c>
      <c r="G133" s="1">
        <f ca="1">IFERROR(__xludf.DUMMYFUNCTION("""COMPUTED_VALUE"""),73)</f>
        <v>73</v>
      </c>
      <c r="H133" s="1">
        <f ca="1">IFERROR(__xludf.DUMMYFUNCTION("""COMPUTED_VALUE"""),106)</f>
        <v>106</v>
      </c>
      <c r="I133" s="1">
        <f ca="1">IFERROR(__xludf.DUMMYFUNCTION("""COMPUTED_VALUE"""),239)</f>
        <v>239</v>
      </c>
      <c r="J133" s="1">
        <f ca="1">IFERROR(__xludf.DUMMYFUNCTION("""COMPUTED_VALUE"""),69.1)</f>
        <v>69.099999999999994</v>
      </c>
      <c r="K133" s="1">
        <f ca="1">IFERROR(__xludf.DUMMYFUNCTION("""COMPUTED_VALUE"""),40)</f>
        <v>40</v>
      </c>
      <c r="L133" s="1">
        <f ca="1">IFERROR(__xludf.DUMMYFUNCTION("""COMPUTED_VALUE"""),-0.02)</f>
        <v>-0.02</v>
      </c>
      <c r="M133" s="1">
        <f ca="1">IFERROR(__xludf.DUMMYFUNCTION("""COMPUTED_VALUE"""),231)</f>
        <v>231</v>
      </c>
      <c r="N133" s="1" t="str">
        <f ca="1">IFERROR(__xludf.DUMMYFUNCTION("""COMPUTED_VALUE"""),"+0.85")</f>
        <v>+0.85</v>
      </c>
      <c r="O133" s="1">
        <f ca="1">IFERROR(__xludf.DUMMYFUNCTION("""COMPUTED_VALUE"""),139)</f>
        <v>139</v>
      </c>
      <c r="P133" s="1">
        <f ca="1">IFERROR(__xludf.DUMMYFUNCTION("""COMPUTED_VALUE"""),103.6)</f>
        <v>103.6</v>
      </c>
      <c r="Q133" s="1">
        <f ca="1">IFERROR(__xludf.DUMMYFUNCTION("""COMPUTED_VALUE"""),136)</f>
        <v>136</v>
      </c>
      <c r="R133" s="1">
        <f ca="1">IFERROR(__xludf.DUMMYFUNCTION("""COMPUTED_VALUE"""),102.7)</f>
        <v>102.7</v>
      </c>
      <c r="S133" s="1">
        <f ca="1">IFERROR(__xludf.DUMMYFUNCTION("""COMPUTED_VALUE"""),158)</f>
        <v>158</v>
      </c>
      <c r="T133" s="1" t="str">
        <f ca="1">IFERROR(__xludf.DUMMYFUNCTION("""COMPUTED_VALUE"""),"+0.17")</f>
        <v>+0.17</v>
      </c>
      <c r="U133" s="1">
        <f ca="1">IFERROR(__xludf.DUMMYFUNCTION("""COMPUTED_VALUE"""),149)</f>
        <v>149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IFERROR(__xludf.DUMMYFUNCTION("""COMPUTED_VALUE"""),"TCU")</f>
        <v>TCU</v>
      </c>
      <c r="C134" s="1" t="str">
        <f ca="1">IFERROR(__xludf.DUMMYFUNCTION("""COMPUTED_VALUE"""),"MWC")</f>
        <v>MWC</v>
      </c>
      <c r="D134" s="1" t="str">
        <f ca="1">IFERROR(__xludf.DUMMYFUNCTION("""COMPUTED_VALUE"""),"14-17")</f>
        <v>14-17</v>
      </c>
      <c r="E134" s="1" t="str">
        <f ca="1">IFERROR(__xludf.DUMMYFUNCTION("""COMPUTED_VALUE"""),"+3.23")</f>
        <v>+3.23</v>
      </c>
      <c r="F134" s="1">
        <f ca="1">IFERROR(__xludf.DUMMYFUNCTION("""COMPUTED_VALUE"""),103.5)</f>
        <v>103.5</v>
      </c>
      <c r="G134" s="1">
        <f ca="1">IFERROR(__xludf.DUMMYFUNCTION("""COMPUTED_VALUE"""),152)</f>
        <v>152</v>
      </c>
      <c r="H134" s="1">
        <f ca="1">IFERROR(__xludf.DUMMYFUNCTION("""COMPUTED_VALUE"""),100.3)</f>
        <v>100.3</v>
      </c>
      <c r="I134" s="1">
        <f ca="1">IFERROR(__xludf.DUMMYFUNCTION("""COMPUTED_VALUE"""),117)</f>
        <v>117</v>
      </c>
      <c r="J134" s="1">
        <f ca="1">IFERROR(__xludf.DUMMYFUNCTION("""COMPUTED_VALUE"""),62.8)</f>
        <v>62.8</v>
      </c>
      <c r="K134" s="1">
        <f ca="1">IFERROR(__xludf.DUMMYFUNCTION("""COMPUTED_VALUE"""),272)</f>
        <v>272</v>
      </c>
      <c r="L134" s="1">
        <f ca="1">IFERROR(__xludf.DUMMYFUNCTION("""COMPUTED_VALUE"""),-0.019)</f>
        <v>-1.9E-2</v>
      </c>
      <c r="M134" s="1">
        <f ca="1">IFERROR(__xludf.DUMMYFUNCTION("""COMPUTED_VALUE"""),226)</f>
        <v>226</v>
      </c>
      <c r="N134" s="1" t="str">
        <f ca="1">IFERROR(__xludf.DUMMYFUNCTION("""COMPUTED_VALUE"""),"+5.35")</f>
        <v>+5.35</v>
      </c>
      <c r="O134" s="1">
        <f ca="1">IFERROR(__xludf.DUMMYFUNCTION("""COMPUTED_VALUE"""),68)</f>
        <v>68</v>
      </c>
      <c r="P134" s="1">
        <f ca="1">IFERROR(__xludf.DUMMYFUNCTION("""COMPUTED_VALUE"""),105.5)</f>
        <v>105.5</v>
      </c>
      <c r="Q134" s="1">
        <f ca="1">IFERROR(__xludf.DUMMYFUNCTION("""COMPUTED_VALUE"""),75)</f>
        <v>75</v>
      </c>
      <c r="R134" s="1">
        <f ca="1">IFERROR(__xludf.DUMMYFUNCTION("""COMPUTED_VALUE"""),100.1)</f>
        <v>100.1</v>
      </c>
      <c r="S134" s="1">
        <f ca="1">IFERROR(__xludf.DUMMYFUNCTION("""COMPUTED_VALUE"""),63)</f>
        <v>63</v>
      </c>
      <c r="T134" s="1">
        <f ca="1">IFERROR(__xludf.DUMMYFUNCTION("""COMPUTED_VALUE"""),-0.4)</f>
        <v>-0.4</v>
      </c>
      <c r="U134" s="1">
        <f ca="1">IFERROR(__xludf.DUMMYFUNCTION("""COMPUTED_VALUE"""),170)</f>
        <v>170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IFERROR(__xludf.DUMMYFUNCTION("""COMPUTED_VALUE"""),"Arkansas")</f>
        <v>Arkansas</v>
      </c>
      <c r="C135" s="1" t="str">
        <f ca="1">IFERROR(__xludf.DUMMYFUNCTION("""COMPUTED_VALUE"""),"SEC")</f>
        <v>SEC</v>
      </c>
      <c r="D135" s="1" t="str">
        <f ca="1">IFERROR(__xludf.DUMMYFUNCTION("""COMPUTED_VALUE"""),"14-16")</f>
        <v>14-16</v>
      </c>
      <c r="E135" s="1" t="str">
        <f ca="1">IFERROR(__xludf.DUMMYFUNCTION("""COMPUTED_VALUE"""),"+3.20")</f>
        <v>+3.20</v>
      </c>
      <c r="F135" s="1">
        <f ca="1">IFERROR(__xludf.DUMMYFUNCTION("""COMPUTED_VALUE"""),105.1)</f>
        <v>105.1</v>
      </c>
      <c r="G135" s="1">
        <f ca="1">IFERROR(__xludf.DUMMYFUNCTION("""COMPUTED_VALUE"""),128)</f>
        <v>128</v>
      </c>
      <c r="H135" s="1">
        <f ca="1">IFERROR(__xludf.DUMMYFUNCTION("""COMPUTED_VALUE"""),101.9)</f>
        <v>101.9</v>
      </c>
      <c r="I135" s="1">
        <f ca="1">IFERROR(__xludf.DUMMYFUNCTION("""COMPUTED_VALUE"""),149)</f>
        <v>149</v>
      </c>
      <c r="J135" s="1">
        <f ca="1">IFERROR(__xludf.DUMMYFUNCTION("""COMPUTED_VALUE"""),68.6)</f>
        <v>68.599999999999994</v>
      </c>
      <c r="K135" s="1">
        <f ca="1">IFERROR(__xludf.DUMMYFUNCTION("""COMPUTED_VALUE"""),52)</f>
        <v>52</v>
      </c>
      <c r="L135" s="1">
        <f ca="1">IFERROR(__xludf.DUMMYFUNCTION("""COMPUTED_VALUE"""),-0.04)</f>
        <v>-0.04</v>
      </c>
      <c r="M135" s="1">
        <f ca="1">IFERROR(__xludf.DUMMYFUNCTION("""COMPUTED_VALUE"""),276)</f>
        <v>276</v>
      </c>
      <c r="N135" s="1" t="str">
        <f ca="1">IFERROR(__xludf.DUMMYFUNCTION("""COMPUTED_VALUE"""),"+3.85")</f>
        <v>+3.85</v>
      </c>
      <c r="O135" s="1">
        <f ca="1">IFERROR(__xludf.DUMMYFUNCTION("""COMPUTED_VALUE"""),86)</f>
        <v>86</v>
      </c>
      <c r="P135" s="1">
        <f ca="1">IFERROR(__xludf.DUMMYFUNCTION("""COMPUTED_VALUE"""),105.1)</f>
        <v>105.1</v>
      </c>
      <c r="Q135" s="1">
        <f ca="1">IFERROR(__xludf.DUMMYFUNCTION("""COMPUTED_VALUE"""),91)</f>
        <v>91</v>
      </c>
      <c r="R135" s="1">
        <f ca="1">IFERROR(__xludf.DUMMYFUNCTION("""COMPUTED_VALUE"""),101.2)</f>
        <v>101.2</v>
      </c>
      <c r="S135" s="1">
        <f ca="1">IFERROR(__xludf.DUMMYFUNCTION("""COMPUTED_VALUE"""),96)</f>
        <v>96</v>
      </c>
      <c r="T135" s="1">
        <f ca="1">IFERROR(__xludf.DUMMYFUNCTION("""COMPUTED_VALUE"""),-7.75)</f>
        <v>-7.75</v>
      </c>
      <c r="U135" s="1">
        <f ca="1">IFERROR(__xludf.DUMMYFUNCTION("""COMPUTED_VALUE"""),316)</f>
        <v>316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IFERROR(__xludf.DUMMYFUNCTION("""COMPUTED_VALUE"""),"Evansville")</f>
        <v>Evansville</v>
      </c>
      <c r="C136" s="1" t="str">
        <f ca="1">IFERROR(__xludf.DUMMYFUNCTION("""COMPUTED_VALUE"""),"MVC")</f>
        <v>MVC</v>
      </c>
      <c r="D136" s="1" t="str">
        <f ca="1">IFERROR(__xludf.DUMMYFUNCTION("""COMPUTED_VALUE"""),"17-14")</f>
        <v>17-14</v>
      </c>
      <c r="E136" s="1" t="str">
        <f ca="1">IFERROR(__xludf.DUMMYFUNCTION("""COMPUTED_VALUE"""),"+3.10")</f>
        <v>+3.10</v>
      </c>
      <c r="F136" s="1">
        <f ca="1">IFERROR(__xludf.DUMMYFUNCTION("""COMPUTED_VALUE"""),102.7)</f>
        <v>102.7</v>
      </c>
      <c r="G136" s="1">
        <f ca="1">IFERROR(__xludf.DUMMYFUNCTION("""COMPUTED_VALUE"""),171)</f>
        <v>171</v>
      </c>
      <c r="H136" s="1">
        <f ca="1">IFERROR(__xludf.DUMMYFUNCTION("""COMPUTED_VALUE"""),99.6)</f>
        <v>99.6</v>
      </c>
      <c r="I136" s="1">
        <f ca="1">IFERROR(__xludf.DUMMYFUNCTION("""COMPUTED_VALUE"""),98)</f>
        <v>98</v>
      </c>
      <c r="J136" s="1">
        <f ca="1">IFERROR(__xludf.DUMMYFUNCTION("""COMPUTED_VALUE"""),66.5)</f>
        <v>66.5</v>
      </c>
      <c r="K136" s="1">
        <f ca="1">IFERROR(__xludf.DUMMYFUNCTION("""COMPUTED_VALUE"""),116)</f>
        <v>116</v>
      </c>
      <c r="L136" s="1" t="str">
        <f ca="1">IFERROR(__xludf.DUMMYFUNCTION("""COMPUTED_VALUE"""),"+.016")</f>
        <v>+.016</v>
      </c>
      <c r="M136" s="1">
        <f ca="1">IFERROR(__xludf.DUMMYFUNCTION("""COMPUTED_VALUE"""),126)</f>
        <v>126</v>
      </c>
      <c r="N136" s="1" t="str">
        <f ca="1">IFERROR(__xludf.DUMMYFUNCTION("""COMPUTED_VALUE"""),"+1.36")</f>
        <v>+1.36</v>
      </c>
      <c r="O136" s="1">
        <f ca="1">IFERROR(__xludf.DUMMYFUNCTION("""COMPUTED_VALUE"""),125)</f>
        <v>125</v>
      </c>
      <c r="P136" s="1">
        <f ca="1">IFERROR(__xludf.DUMMYFUNCTION("""COMPUTED_VALUE"""),103.6)</f>
        <v>103.6</v>
      </c>
      <c r="Q136" s="1">
        <f ca="1">IFERROR(__xludf.DUMMYFUNCTION("""COMPUTED_VALUE"""),137)</f>
        <v>137</v>
      </c>
      <c r="R136" s="1">
        <f ca="1">IFERROR(__xludf.DUMMYFUNCTION("""COMPUTED_VALUE"""),102.2)</f>
        <v>102.2</v>
      </c>
      <c r="S136" s="1">
        <f ca="1">IFERROR(__xludf.DUMMYFUNCTION("""COMPUTED_VALUE"""),136)</f>
        <v>136</v>
      </c>
      <c r="T136" s="1">
        <f ca="1">IFERROR(__xludf.DUMMYFUNCTION("""COMPUTED_VALUE"""),-4.22)</f>
        <v>-4.22</v>
      </c>
      <c r="U136" s="1">
        <f ca="1">IFERROR(__xludf.DUMMYFUNCTION("""COMPUTED_VALUE"""),259)</f>
        <v>259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IFERROR(__xludf.DUMMYFUNCTION("""COMPUTED_VALUE"""),"Illinois Chicago")</f>
        <v>Illinois Chicago</v>
      </c>
      <c r="C137" s="1" t="str">
        <f ca="1">IFERROR(__xludf.DUMMYFUNCTION("""COMPUTED_VALUE"""),"Horz")</f>
        <v>Horz</v>
      </c>
      <c r="D137" s="1" t="str">
        <f ca="1">IFERROR(__xludf.DUMMYFUNCTION("""COMPUTED_VALUE"""),"16-15")</f>
        <v>16-15</v>
      </c>
      <c r="E137" s="1" t="str">
        <f ca="1">IFERROR(__xludf.DUMMYFUNCTION("""COMPUTED_VALUE"""),"+3.01")</f>
        <v>+3.01</v>
      </c>
      <c r="F137" s="1">
        <f ca="1">IFERROR(__xludf.DUMMYFUNCTION("""COMPUTED_VALUE"""),105.6)</f>
        <v>105.6</v>
      </c>
      <c r="G137" s="1">
        <f ca="1">IFERROR(__xludf.DUMMYFUNCTION("""COMPUTED_VALUE"""),120)</f>
        <v>120</v>
      </c>
      <c r="H137" s="1">
        <f ca="1">IFERROR(__xludf.DUMMYFUNCTION("""COMPUTED_VALUE"""),102.6)</f>
        <v>102.6</v>
      </c>
      <c r="I137" s="1">
        <f ca="1">IFERROR(__xludf.DUMMYFUNCTION("""COMPUTED_VALUE"""),167)</f>
        <v>167</v>
      </c>
      <c r="J137" s="1">
        <f ca="1">IFERROR(__xludf.DUMMYFUNCTION("""COMPUTED_VALUE"""),65.1)</f>
        <v>65.099999999999994</v>
      </c>
      <c r="K137" s="1">
        <f ca="1">IFERROR(__xludf.DUMMYFUNCTION("""COMPUTED_VALUE"""),178)</f>
        <v>178</v>
      </c>
      <c r="L137" s="1">
        <f ca="1">IFERROR(__xludf.DUMMYFUNCTION("""COMPUTED_VALUE"""),-0.022)</f>
        <v>-2.1999999999999999E-2</v>
      </c>
      <c r="M137" s="1">
        <f ca="1">IFERROR(__xludf.DUMMYFUNCTION("""COMPUTED_VALUE"""),232)</f>
        <v>232</v>
      </c>
      <c r="N137" s="1" t="str">
        <f ca="1">IFERROR(__xludf.DUMMYFUNCTION("""COMPUTED_VALUE"""),"+1.33")</f>
        <v>+1.33</v>
      </c>
      <c r="O137" s="1">
        <f ca="1">IFERROR(__xludf.DUMMYFUNCTION("""COMPUTED_VALUE"""),126)</f>
        <v>126</v>
      </c>
      <c r="P137" s="1">
        <f ca="1">IFERROR(__xludf.DUMMYFUNCTION("""COMPUTED_VALUE"""),102.6)</f>
        <v>102.6</v>
      </c>
      <c r="Q137" s="1">
        <f ca="1">IFERROR(__xludf.DUMMYFUNCTION("""COMPUTED_VALUE"""),179)</f>
        <v>179</v>
      </c>
      <c r="R137" s="1">
        <f ca="1">IFERROR(__xludf.DUMMYFUNCTION("""COMPUTED_VALUE"""),101.3)</f>
        <v>101.3</v>
      </c>
      <c r="S137" s="1">
        <f ca="1">IFERROR(__xludf.DUMMYFUNCTION("""COMPUTED_VALUE"""),98)</f>
        <v>98</v>
      </c>
      <c r="T137" s="1" t="str">
        <f ca="1">IFERROR(__xludf.DUMMYFUNCTION("""COMPUTED_VALUE"""),"+0.23")</f>
        <v>+0.23</v>
      </c>
      <c r="U137" s="1">
        <f ca="1">IFERROR(__xludf.DUMMYFUNCTION("""COMPUTED_VALUE"""),147)</f>
        <v>147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IFERROR(__xludf.DUMMYFUNCTION("""COMPUTED_VALUE"""),"Wyoming")</f>
        <v>Wyoming</v>
      </c>
      <c r="C138" s="1" t="str">
        <f ca="1">IFERROR(__xludf.DUMMYFUNCTION("""COMPUTED_VALUE"""),"MWC")</f>
        <v>MWC</v>
      </c>
      <c r="D138" s="1" t="str">
        <f ca="1">IFERROR(__xludf.DUMMYFUNCTION("""COMPUTED_VALUE"""),"19-14")</f>
        <v>19-14</v>
      </c>
      <c r="E138" s="1" t="str">
        <f ca="1">IFERROR(__xludf.DUMMYFUNCTION("""COMPUTED_VALUE"""),"+2.98")</f>
        <v>+2.98</v>
      </c>
      <c r="F138" s="1">
        <f ca="1">IFERROR(__xludf.DUMMYFUNCTION("""COMPUTED_VALUE"""),107)</f>
        <v>107</v>
      </c>
      <c r="G138" s="1">
        <f ca="1">IFERROR(__xludf.DUMMYFUNCTION("""COMPUTED_VALUE"""),99)</f>
        <v>99</v>
      </c>
      <c r="H138" s="1">
        <f ca="1">IFERROR(__xludf.DUMMYFUNCTION("""COMPUTED_VALUE"""),104)</f>
        <v>104</v>
      </c>
      <c r="I138" s="1">
        <f ca="1">IFERROR(__xludf.DUMMYFUNCTION("""COMPUTED_VALUE"""),192)</f>
        <v>192</v>
      </c>
      <c r="J138" s="1">
        <f ca="1">IFERROR(__xludf.DUMMYFUNCTION("""COMPUTED_VALUE"""),69.5)</f>
        <v>69.5</v>
      </c>
      <c r="K138" s="1">
        <f ca="1">IFERROR(__xludf.DUMMYFUNCTION("""COMPUTED_VALUE"""),32)</f>
        <v>32</v>
      </c>
      <c r="L138" s="1" t="str">
        <f ca="1">IFERROR(__xludf.DUMMYFUNCTION("""COMPUTED_VALUE"""),"+.094")</f>
        <v>+.094</v>
      </c>
      <c r="M138" s="1">
        <f ca="1">IFERROR(__xludf.DUMMYFUNCTION("""COMPUTED_VALUE"""),7)</f>
        <v>7</v>
      </c>
      <c r="N138" s="1" t="str">
        <f ca="1">IFERROR(__xludf.DUMMYFUNCTION("""COMPUTED_VALUE"""),"+3.71")</f>
        <v>+3.71</v>
      </c>
      <c r="O138" s="1">
        <f ca="1">IFERROR(__xludf.DUMMYFUNCTION("""COMPUTED_VALUE"""),89)</f>
        <v>89</v>
      </c>
      <c r="P138" s="1">
        <f ca="1">IFERROR(__xludf.DUMMYFUNCTION("""COMPUTED_VALUE"""),105.2)</f>
        <v>105.2</v>
      </c>
      <c r="Q138" s="1">
        <f ca="1">IFERROR(__xludf.DUMMYFUNCTION("""COMPUTED_VALUE"""),83)</f>
        <v>83</v>
      </c>
      <c r="R138" s="1">
        <f ca="1">IFERROR(__xludf.DUMMYFUNCTION("""COMPUTED_VALUE"""),101.5)</f>
        <v>101.5</v>
      </c>
      <c r="S138" s="1">
        <f ca="1">IFERROR(__xludf.DUMMYFUNCTION("""COMPUTED_VALUE"""),110)</f>
        <v>110</v>
      </c>
      <c r="T138" s="1">
        <f ca="1">IFERROR(__xludf.DUMMYFUNCTION("""COMPUTED_VALUE"""),-8.43)</f>
        <v>-8.43</v>
      </c>
      <c r="U138" s="1">
        <f ca="1">IFERROR(__xludf.DUMMYFUNCTION("""COMPUTED_VALUE"""),324)</f>
        <v>324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IFERROR(__xludf.DUMMYFUNCTION("""COMPUTED_VALUE"""),"Murray St.")</f>
        <v>Murray St.</v>
      </c>
      <c r="C139" s="1" t="str">
        <f ca="1">IFERROR(__xludf.DUMMYFUNCTION("""COMPUTED_VALUE"""),"OVC")</f>
        <v>OVC</v>
      </c>
      <c r="D139" s="1" t="str">
        <f ca="1">IFERROR(__xludf.DUMMYFUNCTION("""COMPUTED_VALUE"""),"19-12")</f>
        <v>19-12</v>
      </c>
      <c r="E139" s="1" t="str">
        <f ca="1">IFERROR(__xludf.DUMMYFUNCTION("""COMPUTED_VALUE"""),"+2.76")</f>
        <v>+2.76</v>
      </c>
      <c r="F139" s="1">
        <f ca="1">IFERROR(__xludf.DUMMYFUNCTION("""COMPUTED_VALUE"""),103.1)</f>
        <v>103.1</v>
      </c>
      <c r="G139" s="1">
        <f ca="1">IFERROR(__xludf.DUMMYFUNCTION("""COMPUTED_VALUE"""),160)</f>
        <v>160</v>
      </c>
      <c r="H139" s="1">
        <f ca="1">IFERROR(__xludf.DUMMYFUNCTION("""COMPUTED_VALUE"""),100.3)</f>
        <v>100.3</v>
      </c>
      <c r="I139" s="1">
        <f ca="1">IFERROR(__xludf.DUMMYFUNCTION("""COMPUTED_VALUE"""),118)</f>
        <v>118</v>
      </c>
      <c r="J139" s="1">
        <f ca="1">IFERROR(__xludf.DUMMYFUNCTION("""COMPUTED_VALUE"""),62.4)</f>
        <v>62.4</v>
      </c>
      <c r="K139" s="1">
        <f ca="1">IFERROR(__xludf.DUMMYFUNCTION("""COMPUTED_VALUE"""),291)</f>
        <v>291</v>
      </c>
      <c r="L139" s="1">
        <f ca="1">IFERROR(__xludf.DUMMYFUNCTION("""COMPUTED_VALUE"""),-0.028)</f>
        <v>-2.8000000000000001E-2</v>
      </c>
      <c r="M139" s="1">
        <f ca="1">IFERROR(__xludf.DUMMYFUNCTION("""COMPUTED_VALUE"""),245)</f>
        <v>245</v>
      </c>
      <c r="N139" s="1">
        <f ca="1">IFERROR(__xludf.DUMMYFUNCTION("""COMPUTED_VALUE"""),-3.03)</f>
        <v>-3.03</v>
      </c>
      <c r="O139" s="1">
        <f ca="1">IFERROR(__xludf.DUMMYFUNCTION("""COMPUTED_VALUE"""),219)</f>
        <v>219</v>
      </c>
      <c r="P139" s="1">
        <f ca="1">IFERROR(__xludf.DUMMYFUNCTION("""COMPUTED_VALUE"""),103)</f>
        <v>103</v>
      </c>
      <c r="Q139" s="1">
        <f ca="1">IFERROR(__xludf.DUMMYFUNCTION("""COMPUTED_VALUE"""),165)</f>
        <v>165</v>
      </c>
      <c r="R139" s="1">
        <f ca="1">IFERROR(__xludf.DUMMYFUNCTION("""COMPUTED_VALUE"""),106)</f>
        <v>106</v>
      </c>
      <c r="S139" s="1">
        <f ca="1">IFERROR(__xludf.DUMMYFUNCTION("""COMPUTED_VALUE"""),302)</f>
        <v>302</v>
      </c>
      <c r="T139" s="1" t="str">
        <f ca="1">IFERROR(__xludf.DUMMYFUNCTION("""COMPUTED_VALUE"""),"+5.35")</f>
        <v>+5.35</v>
      </c>
      <c r="U139" s="1">
        <f ca="1">IFERROR(__xludf.DUMMYFUNCTION("""COMPUTED_VALUE"""),49)</f>
        <v>49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IFERROR(__xludf.DUMMYFUNCTION("""COMPUTED_VALUE"""),"Drexel")</f>
        <v>Drexel</v>
      </c>
      <c r="C140" s="1" t="str">
        <f ca="1">IFERROR(__xludf.DUMMYFUNCTION("""COMPUTED_VALUE"""),"CAA")</f>
        <v>CAA</v>
      </c>
      <c r="D140" s="1" t="str">
        <f ca="1">IFERROR(__xludf.DUMMYFUNCTION("""COMPUTED_VALUE"""),"15-14")</f>
        <v>15-14</v>
      </c>
      <c r="E140" s="1" t="str">
        <f ca="1">IFERROR(__xludf.DUMMYFUNCTION("""COMPUTED_VALUE"""),"+2.65")</f>
        <v>+2.65</v>
      </c>
      <c r="F140" s="1">
        <f ca="1">IFERROR(__xludf.DUMMYFUNCTION("""COMPUTED_VALUE"""),98.6)</f>
        <v>98.6</v>
      </c>
      <c r="G140" s="1">
        <f ca="1">IFERROR(__xludf.DUMMYFUNCTION("""COMPUTED_VALUE"""),239)</f>
        <v>239</v>
      </c>
      <c r="H140" s="1">
        <f ca="1">IFERROR(__xludf.DUMMYFUNCTION("""COMPUTED_VALUE"""),95.9)</f>
        <v>95.9</v>
      </c>
      <c r="I140" s="1">
        <f ca="1">IFERROR(__xludf.DUMMYFUNCTION("""COMPUTED_VALUE"""),50)</f>
        <v>50</v>
      </c>
      <c r="J140" s="1">
        <f ca="1">IFERROR(__xludf.DUMMYFUNCTION("""COMPUTED_VALUE"""),63)</f>
        <v>63</v>
      </c>
      <c r="K140" s="1">
        <f ca="1">IFERROR(__xludf.DUMMYFUNCTION("""COMPUTED_VALUE"""),267)</f>
        <v>267</v>
      </c>
      <c r="L140" s="1">
        <f ca="1">IFERROR(__xludf.DUMMYFUNCTION("""COMPUTED_VALUE"""),-0.002)</f>
        <v>-2E-3</v>
      </c>
      <c r="M140" s="1">
        <f ca="1">IFERROR(__xludf.DUMMYFUNCTION("""COMPUTED_VALUE"""),167)</f>
        <v>167</v>
      </c>
      <c r="N140" s="1">
        <f ca="1">IFERROR(__xludf.DUMMYFUNCTION("""COMPUTED_VALUE"""),-0.14)</f>
        <v>-0.14000000000000001</v>
      </c>
      <c r="O140" s="1">
        <f ca="1">IFERROR(__xludf.DUMMYFUNCTION("""COMPUTED_VALUE"""),165)</f>
        <v>165</v>
      </c>
      <c r="P140" s="1">
        <f ca="1">IFERROR(__xludf.DUMMYFUNCTION("""COMPUTED_VALUE"""),102.4)</f>
        <v>102.4</v>
      </c>
      <c r="Q140" s="1">
        <f ca="1">IFERROR(__xludf.DUMMYFUNCTION("""COMPUTED_VALUE"""),190)</f>
        <v>190</v>
      </c>
      <c r="R140" s="1">
        <f ca="1">IFERROR(__xludf.DUMMYFUNCTION("""COMPUTED_VALUE"""),102.5)</f>
        <v>102.5</v>
      </c>
      <c r="S140" s="1">
        <f ca="1">IFERROR(__xludf.DUMMYFUNCTION("""COMPUTED_VALUE"""),146)</f>
        <v>146</v>
      </c>
      <c r="T140" s="1" t="str">
        <f ca="1">IFERROR(__xludf.DUMMYFUNCTION("""COMPUTED_VALUE"""),"+3.49")</f>
        <v>+3.49</v>
      </c>
      <c r="U140" s="1">
        <f ca="1">IFERROR(__xludf.DUMMYFUNCTION("""COMPUTED_VALUE"""),77)</f>
        <v>77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IFERROR(__xludf.DUMMYFUNCTION("""COMPUTED_VALUE"""),"James Madison")</f>
        <v>James Madison</v>
      </c>
      <c r="C141" s="1" t="str">
        <f ca="1">IFERROR(__xludf.DUMMYFUNCTION("""COMPUTED_VALUE"""),"CAA")</f>
        <v>CAA</v>
      </c>
      <c r="D141" s="1" t="str">
        <f ca="1">IFERROR(__xludf.DUMMYFUNCTION("""COMPUTED_VALUE"""),"21-15")</f>
        <v>21-15</v>
      </c>
      <c r="E141" s="1" t="str">
        <f ca="1">IFERROR(__xludf.DUMMYFUNCTION("""COMPUTED_VALUE"""),"+2.42")</f>
        <v>+2.42</v>
      </c>
      <c r="F141" s="1">
        <f ca="1">IFERROR(__xludf.DUMMYFUNCTION("""COMPUTED_VALUE"""),105.8)</f>
        <v>105.8</v>
      </c>
      <c r="G141" s="1">
        <f ca="1">IFERROR(__xludf.DUMMYFUNCTION("""COMPUTED_VALUE"""),118)</f>
        <v>118</v>
      </c>
      <c r="H141" s="1">
        <f ca="1">IFERROR(__xludf.DUMMYFUNCTION("""COMPUTED_VALUE"""),103.3)</f>
        <v>103.3</v>
      </c>
      <c r="I141" s="1">
        <f ca="1">IFERROR(__xludf.DUMMYFUNCTION("""COMPUTED_VALUE"""),180)</f>
        <v>180</v>
      </c>
      <c r="J141" s="1">
        <f ca="1">IFERROR(__xludf.DUMMYFUNCTION("""COMPUTED_VALUE"""),65.9)</f>
        <v>65.900000000000006</v>
      </c>
      <c r="K141" s="1">
        <f ca="1">IFERROR(__xludf.DUMMYFUNCTION("""COMPUTED_VALUE"""),146)</f>
        <v>146</v>
      </c>
      <c r="L141" s="1" t="str">
        <f ca="1">IFERROR(__xludf.DUMMYFUNCTION("""COMPUTED_VALUE"""),"+.027")</f>
        <v>+.027</v>
      </c>
      <c r="M141" s="1">
        <f ca="1">IFERROR(__xludf.DUMMYFUNCTION("""COMPUTED_VALUE"""),100)</f>
        <v>100</v>
      </c>
      <c r="N141" s="1">
        <f ca="1">IFERROR(__xludf.DUMMYFUNCTION("""COMPUTED_VALUE"""),-1.83)</f>
        <v>-1.83</v>
      </c>
      <c r="O141" s="1">
        <f ca="1">IFERROR(__xludf.DUMMYFUNCTION("""COMPUTED_VALUE"""),199)</f>
        <v>199</v>
      </c>
      <c r="P141" s="1">
        <f ca="1">IFERROR(__xludf.DUMMYFUNCTION("""COMPUTED_VALUE"""),101.6)</f>
        <v>101.6</v>
      </c>
      <c r="Q141" s="1">
        <f ca="1">IFERROR(__xludf.DUMMYFUNCTION("""COMPUTED_VALUE"""),217)</f>
        <v>217</v>
      </c>
      <c r="R141" s="1">
        <f ca="1">IFERROR(__xludf.DUMMYFUNCTION("""COMPUTED_VALUE"""),103.4)</f>
        <v>103.4</v>
      </c>
      <c r="S141" s="1">
        <f ca="1">IFERROR(__xludf.DUMMYFUNCTION("""COMPUTED_VALUE"""),186)</f>
        <v>186</v>
      </c>
      <c r="T141" s="1">
        <f ca="1">IFERROR(__xludf.DUMMYFUNCTION("""COMPUTED_VALUE"""),-4.69)</f>
        <v>-4.6900000000000004</v>
      </c>
      <c r="U141" s="1">
        <f ca="1">IFERROR(__xludf.DUMMYFUNCTION("""COMPUTED_VALUE"""),273)</f>
        <v>273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IFERROR(__xludf.DUMMYFUNCTION("""COMPUTED_VALUE"""),"Wichita St.")</f>
        <v>Wichita St.</v>
      </c>
      <c r="C142" s="1" t="str">
        <f ca="1">IFERROR(__xludf.DUMMYFUNCTION("""COMPUTED_VALUE"""),"MVC")</f>
        <v>MVC</v>
      </c>
      <c r="D142" s="1" t="str">
        <f ca="1">IFERROR(__xludf.DUMMYFUNCTION("""COMPUTED_VALUE"""),"17-17")</f>
        <v>17-17</v>
      </c>
      <c r="E142" s="1" t="str">
        <f ca="1">IFERROR(__xludf.DUMMYFUNCTION("""COMPUTED_VALUE"""),"+2.39")</f>
        <v>+2.39</v>
      </c>
      <c r="F142" s="1">
        <f ca="1">IFERROR(__xludf.DUMMYFUNCTION("""COMPUTED_VALUE"""),102.8)</f>
        <v>102.8</v>
      </c>
      <c r="G142" s="1">
        <f ca="1">IFERROR(__xludf.DUMMYFUNCTION("""COMPUTED_VALUE"""),164)</f>
        <v>164</v>
      </c>
      <c r="H142" s="1">
        <f ca="1">IFERROR(__xludf.DUMMYFUNCTION("""COMPUTED_VALUE"""),100.4)</f>
        <v>100.4</v>
      </c>
      <c r="I142" s="1">
        <f ca="1">IFERROR(__xludf.DUMMYFUNCTION("""COMPUTED_VALUE"""),120)</f>
        <v>120</v>
      </c>
      <c r="J142" s="1">
        <f ca="1">IFERROR(__xludf.DUMMYFUNCTION("""COMPUTED_VALUE"""),62.3)</f>
        <v>62.3</v>
      </c>
      <c r="K142" s="1">
        <f ca="1">IFERROR(__xludf.DUMMYFUNCTION("""COMPUTED_VALUE"""),293)</f>
        <v>293</v>
      </c>
      <c r="L142" s="1">
        <f ca="1">IFERROR(__xludf.DUMMYFUNCTION("""COMPUTED_VALUE"""),-0.004)</f>
        <v>-4.0000000000000001E-3</v>
      </c>
      <c r="M142" s="1">
        <f ca="1">IFERROR(__xludf.DUMMYFUNCTION("""COMPUTED_VALUE"""),172)</f>
        <v>172</v>
      </c>
      <c r="N142" s="1" t="str">
        <f ca="1">IFERROR(__xludf.DUMMYFUNCTION("""COMPUTED_VALUE"""),"+2.35")</f>
        <v>+2.35</v>
      </c>
      <c r="O142" s="1">
        <f ca="1">IFERROR(__xludf.DUMMYFUNCTION("""COMPUTED_VALUE"""),109)</f>
        <v>109</v>
      </c>
      <c r="P142" s="1">
        <f ca="1">IFERROR(__xludf.DUMMYFUNCTION("""COMPUTED_VALUE"""),104.2)</f>
        <v>104.2</v>
      </c>
      <c r="Q142" s="1">
        <f ca="1">IFERROR(__xludf.DUMMYFUNCTION("""COMPUTED_VALUE"""),112)</f>
        <v>112</v>
      </c>
      <c r="R142" s="1">
        <f ca="1">IFERROR(__xludf.DUMMYFUNCTION("""COMPUTED_VALUE"""),101.8)</f>
        <v>101.8</v>
      </c>
      <c r="S142" s="1">
        <f ca="1">IFERROR(__xludf.DUMMYFUNCTION("""COMPUTED_VALUE"""),122)</f>
        <v>122</v>
      </c>
      <c r="T142" s="1">
        <f ca="1">IFERROR(__xludf.DUMMYFUNCTION("""COMPUTED_VALUE"""),-0.36)</f>
        <v>-0.36</v>
      </c>
      <c r="U142" s="1">
        <f ca="1">IFERROR(__xludf.DUMMYFUNCTION("""COMPUTED_VALUE"""),167)</f>
        <v>167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IFERROR(__xludf.DUMMYFUNCTION("""COMPUTED_VALUE"""),"UCF")</f>
        <v>UCF</v>
      </c>
      <c r="C143" s="1" t="str">
        <f ca="1">IFERROR(__xludf.DUMMYFUNCTION("""COMPUTED_VALUE"""),"CUSA")</f>
        <v>CUSA</v>
      </c>
      <c r="D143" s="1" t="str">
        <f ca="1">IFERROR(__xludf.DUMMYFUNCTION("""COMPUTED_VALUE"""),"17-14")</f>
        <v>17-14</v>
      </c>
      <c r="E143" s="1" t="str">
        <f ca="1">IFERROR(__xludf.DUMMYFUNCTION("""COMPUTED_VALUE"""),"+2.32")</f>
        <v>+2.32</v>
      </c>
      <c r="F143" s="1">
        <f ca="1">IFERROR(__xludf.DUMMYFUNCTION("""COMPUTED_VALUE"""),105.9)</f>
        <v>105.9</v>
      </c>
      <c r="G143" s="1">
        <f ca="1">IFERROR(__xludf.DUMMYFUNCTION("""COMPUTED_VALUE"""),114)</f>
        <v>114</v>
      </c>
      <c r="H143" s="1">
        <f ca="1">IFERROR(__xludf.DUMMYFUNCTION("""COMPUTED_VALUE"""),103.6)</f>
        <v>103.6</v>
      </c>
      <c r="I143" s="1">
        <f ca="1">IFERROR(__xludf.DUMMYFUNCTION("""COMPUTED_VALUE"""),183)</f>
        <v>183</v>
      </c>
      <c r="J143" s="1">
        <f ca="1">IFERROR(__xludf.DUMMYFUNCTION("""COMPUTED_VALUE"""),65.9)</f>
        <v>65.900000000000006</v>
      </c>
      <c r="K143" s="1">
        <f ca="1">IFERROR(__xludf.DUMMYFUNCTION("""COMPUTED_VALUE"""),143)</f>
        <v>143</v>
      </c>
      <c r="L143" s="1" t="str">
        <f ca="1">IFERROR(__xludf.DUMMYFUNCTION("""COMPUTED_VALUE"""),"+.022")</f>
        <v>+.022</v>
      </c>
      <c r="M143" s="1">
        <f ca="1">IFERROR(__xludf.DUMMYFUNCTION("""COMPUTED_VALUE"""),112)</f>
        <v>112</v>
      </c>
      <c r="N143" s="1" t="str">
        <f ca="1">IFERROR(__xludf.DUMMYFUNCTION("""COMPUTED_VALUE"""),"+1.06")</f>
        <v>+1.06</v>
      </c>
      <c r="O143" s="1">
        <f ca="1">IFERROR(__xludf.DUMMYFUNCTION("""COMPUTED_VALUE"""),134)</f>
        <v>134</v>
      </c>
      <c r="P143" s="1">
        <f ca="1">IFERROR(__xludf.DUMMYFUNCTION("""COMPUTED_VALUE"""),104.5)</f>
        <v>104.5</v>
      </c>
      <c r="Q143" s="1">
        <f ca="1">IFERROR(__xludf.DUMMYFUNCTION("""COMPUTED_VALUE"""),102)</f>
        <v>102</v>
      </c>
      <c r="R143" s="1">
        <f ca="1">IFERROR(__xludf.DUMMYFUNCTION("""COMPUTED_VALUE"""),103.4)</f>
        <v>103.4</v>
      </c>
      <c r="S143" s="1">
        <f ca="1">IFERROR(__xludf.DUMMYFUNCTION("""COMPUTED_VALUE"""),184)</f>
        <v>184</v>
      </c>
      <c r="T143" s="1">
        <f ca="1">IFERROR(__xludf.DUMMYFUNCTION("""COMPUTED_VALUE"""),-3.01)</f>
        <v>-3.01</v>
      </c>
      <c r="U143" s="1">
        <f ca="1">IFERROR(__xludf.DUMMYFUNCTION("""COMPUTED_VALUE"""),231)</f>
        <v>231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IFERROR(__xludf.DUMMYFUNCTION("""COMPUTED_VALUE"""),"South Florida")</f>
        <v>South Florida</v>
      </c>
      <c r="C144" s="1" t="str">
        <f ca="1">IFERROR(__xludf.DUMMYFUNCTION("""COMPUTED_VALUE"""),"BE")</f>
        <v>BE</v>
      </c>
      <c r="D144" s="2">
        <f ca="1">IFERROR(__xludf.DUMMYFUNCTION("""COMPUTED_VALUE"""),44826)</f>
        <v>44826</v>
      </c>
      <c r="E144" s="1" t="str">
        <f ca="1">IFERROR(__xludf.DUMMYFUNCTION("""COMPUTED_VALUE"""),"+2.30")</f>
        <v>+2.30</v>
      </c>
      <c r="F144" s="1">
        <f ca="1">IFERROR(__xludf.DUMMYFUNCTION("""COMPUTED_VALUE"""),101.5)</f>
        <v>101.5</v>
      </c>
      <c r="G144" s="1">
        <f ca="1">IFERROR(__xludf.DUMMYFUNCTION("""COMPUTED_VALUE"""),202)</f>
        <v>202</v>
      </c>
      <c r="H144" s="1">
        <f ca="1">IFERROR(__xludf.DUMMYFUNCTION("""COMPUTED_VALUE"""),99.2)</f>
        <v>99.2</v>
      </c>
      <c r="I144" s="1">
        <f ca="1">IFERROR(__xludf.DUMMYFUNCTION("""COMPUTED_VALUE"""),92)</f>
        <v>92</v>
      </c>
      <c r="J144" s="1">
        <f ca="1">IFERROR(__xludf.DUMMYFUNCTION("""COMPUTED_VALUE"""),60.9)</f>
        <v>60.9</v>
      </c>
      <c r="K144" s="1">
        <f ca="1">IFERROR(__xludf.DUMMYFUNCTION("""COMPUTED_VALUE"""),317)</f>
        <v>317</v>
      </c>
      <c r="L144" s="1">
        <f ca="1">IFERROR(__xludf.DUMMYFUNCTION("""COMPUTED_VALUE"""),-0.056)</f>
        <v>-5.6000000000000001E-2</v>
      </c>
      <c r="M144" s="1">
        <f ca="1">IFERROR(__xludf.DUMMYFUNCTION("""COMPUTED_VALUE"""),305)</f>
        <v>305</v>
      </c>
      <c r="N144" s="1" t="str">
        <f ca="1">IFERROR(__xludf.DUMMYFUNCTION("""COMPUTED_VALUE"""),"+10.30")</f>
        <v>+10.30</v>
      </c>
      <c r="O144" s="1">
        <f ca="1">IFERROR(__xludf.DUMMYFUNCTION("""COMPUTED_VALUE"""),14)</f>
        <v>14</v>
      </c>
      <c r="P144" s="1">
        <f ca="1">IFERROR(__xludf.DUMMYFUNCTION("""COMPUTED_VALUE"""),107.7)</f>
        <v>107.7</v>
      </c>
      <c r="Q144" s="1">
        <f ca="1">IFERROR(__xludf.DUMMYFUNCTION("""COMPUTED_VALUE"""),35)</f>
        <v>35</v>
      </c>
      <c r="R144" s="1">
        <f ca="1">IFERROR(__xludf.DUMMYFUNCTION("""COMPUTED_VALUE"""),97.4)</f>
        <v>97.4</v>
      </c>
      <c r="S144" s="1">
        <f ca="1">IFERROR(__xludf.DUMMYFUNCTION("""COMPUTED_VALUE"""),4)</f>
        <v>4</v>
      </c>
      <c r="T144" s="1" t="str">
        <f ca="1">IFERROR(__xludf.DUMMYFUNCTION("""COMPUTED_VALUE"""),"+3.04")</f>
        <v>+3.04</v>
      </c>
      <c r="U144" s="1">
        <f ca="1">IFERROR(__xludf.DUMMYFUNCTION("""COMPUTED_VALUE"""),89)</f>
        <v>89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IFERROR(__xludf.DUMMYFUNCTION("""COMPUTED_VALUE"""),"Santa Clara")</f>
        <v>Santa Clara</v>
      </c>
      <c r="C145" s="1" t="str">
        <f ca="1">IFERROR(__xludf.DUMMYFUNCTION("""COMPUTED_VALUE"""),"WCC")</f>
        <v>WCC</v>
      </c>
      <c r="D145" s="1" t="str">
        <f ca="1">IFERROR(__xludf.DUMMYFUNCTION("""COMPUTED_VALUE"""),"16-17")</f>
        <v>16-17</v>
      </c>
      <c r="E145" s="1" t="str">
        <f ca="1">IFERROR(__xludf.DUMMYFUNCTION("""COMPUTED_VALUE"""),"+2.25")</f>
        <v>+2.25</v>
      </c>
      <c r="F145" s="1">
        <f ca="1">IFERROR(__xludf.DUMMYFUNCTION("""COMPUTED_VALUE"""),101.6)</f>
        <v>101.6</v>
      </c>
      <c r="G145" s="1">
        <f ca="1">IFERROR(__xludf.DUMMYFUNCTION("""COMPUTED_VALUE"""),197)</f>
        <v>197</v>
      </c>
      <c r="H145" s="1">
        <f ca="1">IFERROR(__xludf.DUMMYFUNCTION("""COMPUTED_VALUE"""),99.3)</f>
        <v>99.3</v>
      </c>
      <c r="I145" s="1">
        <f ca="1">IFERROR(__xludf.DUMMYFUNCTION("""COMPUTED_VALUE"""),94)</f>
        <v>94</v>
      </c>
      <c r="J145" s="1">
        <f ca="1">IFERROR(__xludf.DUMMYFUNCTION("""COMPUTED_VALUE"""),63.7)</f>
        <v>63.7</v>
      </c>
      <c r="K145" s="1">
        <f ca="1">IFERROR(__xludf.DUMMYFUNCTION("""COMPUTED_VALUE"""),241)</f>
        <v>241</v>
      </c>
      <c r="L145" s="1">
        <f ca="1">IFERROR(__xludf.DUMMYFUNCTION("""COMPUTED_VALUE"""),-0.051)</f>
        <v>-5.0999999999999997E-2</v>
      </c>
      <c r="M145" s="1">
        <f ca="1">IFERROR(__xludf.DUMMYFUNCTION("""COMPUTED_VALUE"""),298)</f>
        <v>298</v>
      </c>
      <c r="N145" s="1" t="str">
        <f ca="1">IFERROR(__xludf.DUMMYFUNCTION("""COMPUTED_VALUE"""),"+1.10")</f>
        <v>+1.10</v>
      </c>
      <c r="O145" s="1">
        <f ca="1">IFERROR(__xludf.DUMMYFUNCTION("""COMPUTED_VALUE"""),130)</f>
        <v>130</v>
      </c>
      <c r="P145" s="1">
        <f ca="1">IFERROR(__xludf.DUMMYFUNCTION("""COMPUTED_VALUE"""),103.8)</f>
        <v>103.8</v>
      </c>
      <c r="Q145" s="1">
        <f ca="1">IFERROR(__xludf.DUMMYFUNCTION("""COMPUTED_VALUE"""),130)</f>
        <v>130</v>
      </c>
      <c r="R145" s="1">
        <f ca="1">IFERROR(__xludf.DUMMYFUNCTION("""COMPUTED_VALUE"""),102.7)</f>
        <v>102.7</v>
      </c>
      <c r="S145" s="1">
        <f ca="1">IFERROR(__xludf.DUMMYFUNCTION("""COMPUTED_VALUE"""),156)</f>
        <v>156</v>
      </c>
      <c r="T145" s="1" t="str">
        <f ca="1">IFERROR(__xludf.DUMMYFUNCTION("""COMPUTED_VALUE"""),"+0.99")</f>
        <v>+0.99</v>
      </c>
      <c r="U145" s="1">
        <f ca="1">IFERROR(__xludf.DUMMYFUNCTION("""COMPUTED_VALUE"""),128)</f>
        <v>128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IFERROR(__xludf.DUMMYFUNCTION("""COMPUTED_VALUE"""),"Massachusetts")</f>
        <v>Massachusetts</v>
      </c>
      <c r="C146" s="1" t="str">
        <f ca="1">IFERROR(__xludf.DUMMYFUNCTION("""COMPUTED_VALUE"""),"A10")</f>
        <v>A10</v>
      </c>
      <c r="D146" s="2">
        <f ca="1">IFERROR(__xludf.DUMMYFUNCTION("""COMPUTED_VALUE"""),44913)</f>
        <v>44913</v>
      </c>
      <c r="E146" s="1" t="str">
        <f ca="1">IFERROR(__xludf.DUMMYFUNCTION("""COMPUTED_VALUE"""),"+2.22")</f>
        <v>+2.22</v>
      </c>
      <c r="F146" s="1">
        <f ca="1">IFERROR(__xludf.DUMMYFUNCTION("""COMPUTED_VALUE"""),105.1)</f>
        <v>105.1</v>
      </c>
      <c r="G146" s="1">
        <f ca="1">IFERROR(__xludf.DUMMYFUNCTION("""COMPUTED_VALUE"""),130)</f>
        <v>130</v>
      </c>
      <c r="H146" s="1">
        <f ca="1">IFERROR(__xludf.DUMMYFUNCTION("""COMPUTED_VALUE"""),102.9)</f>
        <v>102.9</v>
      </c>
      <c r="I146" s="1">
        <f ca="1">IFERROR(__xludf.DUMMYFUNCTION("""COMPUTED_VALUE"""),172)</f>
        <v>172</v>
      </c>
      <c r="J146" s="1">
        <f ca="1">IFERROR(__xludf.DUMMYFUNCTION("""COMPUTED_VALUE"""),68.4)</f>
        <v>68.400000000000006</v>
      </c>
      <c r="K146" s="1">
        <f ca="1">IFERROR(__xludf.DUMMYFUNCTION("""COMPUTED_VALUE"""),59)</f>
        <v>59</v>
      </c>
      <c r="L146" s="1">
        <f ca="1">IFERROR(__xludf.DUMMYFUNCTION("""COMPUTED_VALUE"""),-0.039)</f>
        <v>-3.9E-2</v>
      </c>
      <c r="M146" s="1">
        <f ca="1">IFERROR(__xludf.DUMMYFUNCTION("""COMPUTED_VALUE"""),274)</f>
        <v>274</v>
      </c>
      <c r="N146" s="1" t="str">
        <f ca="1">IFERROR(__xludf.DUMMYFUNCTION("""COMPUTED_VALUE"""),"+4.83")</f>
        <v>+4.83</v>
      </c>
      <c r="O146" s="1">
        <f ca="1">IFERROR(__xludf.DUMMYFUNCTION("""COMPUTED_VALUE"""),74)</f>
        <v>74</v>
      </c>
      <c r="P146" s="1">
        <f ca="1">IFERROR(__xludf.DUMMYFUNCTION("""COMPUTED_VALUE"""),105.7)</f>
        <v>105.7</v>
      </c>
      <c r="Q146" s="1">
        <f ca="1">IFERROR(__xludf.DUMMYFUNCTION("""COMPUTED_VALUE"""),69)</f>
        <v>69</v>
      </c>
      <c r="R146" s="1">
        <f ca="1">IFERROR(__xludf.DUMMYFUNCTION("""COMPUTED_VALUE"""),100.9)</f>
        <v>100.9</v>
      </c>
      <c r="S146" s="1">
        <f ca="1">IFERROR(__xludf.DUMMYFUNCTION("""COMPUTED_VALUE"""),80)</f>
        <v>80</v>
      </c>
      <c r="T146" s="1" t="str">
        <f ca="1">IFERROR(__xludf.DUMMYFUNCTION("""COMPUTED_VALUE"""),"+4.34")</f>
        <v>+4.34</v>
      </c>
      <c r="U146" s="1">
        <f ca="1">IFERROR(__xludf.DUMMYFUNCTION("""COMPUTED_VALUE"""),62)</f>
        <v>62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IFERROR(__xludf.DUMMYFUNCTION("""COMPUTED_VALUE"""),"UT Arlington")</f>
        <v>UT Arlington</v>
      </c>
      <c r="C147" s="1" t="str">
        <f ca="1">IFERROR(__xludf.DUMMYFUNCTION("""COMPUTED_VALUE"""),"Slnd")</f>
        <v>Slnd</v>
      </c>
      <c r="D147" s="1" t="str">
        <f ca="1">IFERROR(__xludf.DUMMYFUNCTION("""COMPUTED_VALUE"""),"16-14")</f>
        <v>16-14</v>
      </c>
      <c r="E147" s="1" t="str">
        <f ca="1">IFERROR(__xludf.DUMMYFUNCTION("""COMPUTED_VALUE"""),"+2.05")</f>
        <v>+2.05</v>
      </c>
      <c r="F147" s="1">
        <f ca="1">IFERROR(__xludf.DUMMYFUNCTION("""COMPUTED_VALUE"""),109.4)</f>
        <v>109.4</v>
      </c>
      <c r="G147" s="1">
        <f ca="1">IFERROR(__xludf.DUMMYFUNCTION("""COMPUTED_VALUE"""),69)</f>
        <v>69</v>
      </c>
      <c r="H147" s="1">
        <f ca="1">IFERROR(__xludf.DUMMYFUNCTION("""COMPUTED_VALUE"""),107.4)</f>
        <v>107.4</v>
      </c>
      <c r="I147" s="1">
        <f ca="1">IFERROR(__xludf.DUMMYFUNCTION("""COMPUTED_VALUE"""),264)</f>
        <v>264</v>
      </c>
      <c r="J147" s="1">
        <f ca="1">IFERROR(__xludf.DUMMYFUNCTION("""COMPUTED_VALUE"""),69)</f>
        <v>69</v>
      </c>
      <c r="K147" s="1">
        <f ca="1">IFERROR(__xludf.DUMMYFUNCTION("""COMPUTED_VALUE"""),44)</f>
        <v>44</v>
      </c>
      <c r="L147" s="1">
        <f ca="1">IFERROR(__xludf.DUMMYFUNCTION("""COMPUTED_VALUE"""),-0.105)</f>
        <v>-0.105</v>
      </c>
      <c r="M147" s="1">
        <f ca="1">IFERROR(__xludf.DUMMYFUNCTION("""COMPUTED_VALUE"""),339)</f>
        <v>339</v>
      </c>
      <c r="N147" s="1">
        <f ca="1">IFERROR(__xludf.DUMMYFUNCTION("""COMPUTED_VALUE"""),-1.58)</f>
        <v>-1.58</v>
      </c>
      <c r="O147" s="1">
        <f ca="1">IFERROR(__xludf.DUMMYFUNCTION("""COMPUTED_VALUE"""),191)</f>
        <v>191</v>
      </c>
      <c r="P147" s="1">
        <f ca="1">IFERROR(__xludf.DUMMYFUNCTION("""COMPUTED_VALUE"""),102)</f>
        <v>102</v>
      </c>
      <c r="Q147" s="1">
        <f ca="1">IFERROR(__xludf.DUMMYFUNCTION("""COMPUTED_VALUE"""),208)</f>
        <v>208</v>
      </c>
      <c r="R147" s="1">
        <f ca="1">IFERROR(__xludf.DUMMYFUNCTION("""COMPUTED_VALUE"""),103.6)</f>
        <v>103.6</v>
      </c>
      <c r="S147" s="1">
        <f ca="1">IFERROR(__xludf.DUMMYFUNCTION("""COMPUTED_VALUE"""),191)</f>
        <v>191</v>
      </c>
      <c r="T147" s="1" t="str">
        <f ca="1">IFERROR(__xludf.DUMMYFUNCTION("""COMPUTED_VALUE"""),"+2.24")</f>
        <v>+2.24</v>
      </c>
      <c r="U147" s="1">
        <f ca="1">IFERROR(__xludf.DUMMYFUNCTION("""COMPUTED_VALUE"""),103)</f>
        <v>103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IFERROR(__xludf.DUMMYFUNCTION("""COMPUTED_VALUE"""),"Charlotte")</f>
        <v>Charlotte</v>
      </c>
      <c r="C148" s="1" t="str">
        <f ca="1">IFERROR(__xludf.DUMMYFUNCTION("""COMPUTED_VALUE"""),"A10")</f>
        <v>A10</v>
      </c>
      <c r="D148" s="2">
        <f ca="1">IFERROR(__xludf.DUMMYFUNCTION("""COMPUTED_VALUE"""),44885)</f>
        <v>44885</v>
      </c>
      <c r="E148" s="1" t="str">
        <f ca="1">IFERROR(__xludf.DUMMYFUNCTION("""COMPUTED_VALUE"""),"+1.84")</f>
        <v>+1.84</v>
      </c>
      <c r="F148" s="1">
        <f ca="1">IFERROR(__xludf.DUMMYFUNCTION("""COMPUTED_VALUE"""),103.9)</f>
        <v>103.9</v>
      </c>
      <c r="G148" s="1">
        <f ca="1">IFERROR(__xludf.DUMMYFUNCTION("""COMPUTED_VALUE"""),149)</f>
        <v>149</v>
      </c>
      <c r="H148" s="1">
        <f ca="1">IFERROR(__xludf.DUMMYFUNCTION("""COMPUTED_VALUE"""),102)</f>
        <v>102</v>
      </c>
      <c r="I148" s="1">
        <f ca="1">IFERROR(__xludf.DUMMYFUNCTION("""COMPUTED_VALUE"""),151)</f>
        <v>151</v>
      </c>
      <c r="J148" s="1">
        <f ca="1">IFERROR(__xludf.DUMMYFUNCTION("""COMPUTED_VALUE"""),65.5)</f>
        <v>65.5</v>
      </c>
      <c r="K148" s="1">
        <f ca="1">IFERROR(__xludf.DUMMYFUNCTION("""COMPUTED_VALUE"""),158)</f>
        <v>158</v>
      </c>
      <c r="L148" s="1">
        <f ca="1">IFERROR(__xludf.DUMMYFUNCTION("""COMPUTED_VALUE"""),-0.095)</f>
        <v>-9.5000000000000001E-2</v>
      </c>
      <c r="M148" s="1">
        <f ca="1">IFERROR(__xludf.DUMMYFUNCTION("""COMPUTED_VALUE"""),335)</f>
        <v>335</v>
      </c>
      <c r="N148" s="1" t="str">
        <f ca="1">IFERROR(__xludf.DUMMYFUNCTION("""COMPUTED_VALUE"""),"+3.64")</f>
        <v>+3.64</v>
      </c>
      <c r="O148" s="1">
        <f ca="1">IFERROR(__xludf.DUMMYFUNCTION("""COMPUTED_VALUE"""),90)</f>
        <v>90</v>
      </c>
      <c r="P148" s="1">
        <f ca="1">IFERROR(__xludf.DUMMYFUNCTION("""COMPUTED_VALUE"""),105.1)</f>
        <v>105.1</v>
      </c>
      <c r="Q148" s="1">
        <f ca="1">IFERROR(__xludf.DUMMYFUNCTION("""COMPUTED_VALUE"""),90)</f>
        <v>90</v>
      </c>
      <c r="R148" s="1">
        <f ca="1">IFERROR(__xludf.DUMMYFUNCTION("""COMPUTED_VALUE"""),101.5)</f>
        <v>101.5</v>
      </c>
      <c r="S148" s="1">
        <f ca="1">IFERROR(__xludf.DUMMYFUNCTION("""COMPUTED_VALUE"""),107)</f>
        <v>107</v>
      </c>
      <c r="T148" s="1" t="str">
        <f ca="1">IFERROR(__xludf.DUMMYFUNCTION("""COMPUTED_VALUE"""),"+1.63")</f>
        <v>+1.63</v>
      </c>
      <c r="U148" s="1">
        <f ca="1">IFERROR(__xludf.DUMMYFUNCTION("""COMPUTED_VALUE"""),114)</f>
        <v>114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IFERROR(__xludf.DUMMYFUNCTION("""COMPUTED_VALUE"""),"Drake")</f>
        <v>Drake</v>
      </c>
      <c r="C149" s="1" t="str">
        <f ca="1">IFERROR(__xludf.DUMMYFUNCTION("""COMPUTED_VALUE"""),"MVC")</f>
        <v>MVC</v>
      </c>
      <c r="D149" s="1" t="str">
        <f ca="1">IFERROR(__xludf.DUMMYFUNCTION("""COMPUTED_VALUE"""),"17-16")</f>
        <v>17-16</v>
      </c>
      <c r="E149" s="1" t="str">
        <f ca="1">IFERROR(__xludf.DUMMYFUNCTION("""COMPUTED_VALUE"""),"+1.80")</f>
        <v>+1.80</v>
      </c>
      <c r="F149" s="1">
        <f ca="1">IFERROR(__xludf.DUMMYFUNCTION("""COMPUTED_VALUE"""),102.4)</f>
        <v>102.4</v>
      </c>
      <c r="G149" s="1">
        <f ca="1">IFERROR(__xludf.DUMMYFUNCTION("""COMPUTED_VALUE"""),179)</f>
        <v>179</v>
      </c>
      <c r="H149" s="1">
        <f ca="1">IFERROR(__xludf.DUMMYFUNCTION("""COMPUTED_VALUE"""),100.6)</f>
        <v>100.6</v>
      </c>
      <c r="I149" s="1">
        <f ca="1">IFERROR(__xludf.DUMMYFUNCTION("""COMPUTED_VALUE"""),123)</f>
        <v>123</v>
      </c>
      <c r="J149" s="1">
        <f ca="1">IFERROR(__xludf.DUMMYFUNCTION("""COMPUTED_VALUE"""),62.9)</f>
        <v>62.9</v>
      </c>
      <c r="K149" s="1">
        <f ca="1">IFERROR(__xludf.DUMMYFUNCTION("""COMPUTED_VALUE"""),269)</f>
        <v>269</v>
      </c>
      <c r="L149" s="1">
        <f ca="1">IFERROR(__xludf.DUMMYFUNCTION("""COMPUTED_VALUE"""),-0.032)</f>
        <v>-3.2000000000000001E-2</v>
      </c>
      <c r="M149" s="1">
        <f ca="1">IFERROR(__xludf.DUMMYFUNCTION("""COMPUTED_VALUE"""),263)</f>
        <v>263</v>
      </c>
      <c r="N149" s="1" t="str">
        <f ca="1">IFERROR(__xludf.DUMMYFUNCTION("""COMPUTED_VALUE"""),"+0.60")</f>
        <v>+0.60</v>
      </c>
      <c r="O149" s="1">
        <f ca="1">IFERROR(__xludf.DUMMYFUNCTION("""COMPUTED_VALUE"""),144)</f>
        <v>144</v>
      </c>
      <c r="P149" s="1">
        <f ca="1">IFERROR(__xludf.DUMMYFUNCTION("""COMPUTED_VALUE"""),103.3)</f>
        <v>103.3</v>
      </c>
      <c r="Q149" s="1">
        <f ca="1">IFERROR(__xludf.DUMMYFUNCTION("""COMPUTED_VALUE"""),148)</f>
        <v>148</v>
      </c>
      <c r="R149" s="1">
        <f ca="1">IFERROR(__xludf.DUMMYFUNCTION("""COMPUTED_VALUE"""),102.7)</f>
        <v>102.7</v>
      </c>
      <c r="S149" s="1">
        <f ca="1">IFERROR(__xludf.DUMMYFUNCTION("""COMPUTED_VALUE"""),159)</f>
        <v>159</v>
      </c>
      <c r="T149" s="1">
        <f ca="1">IFERROR(__xludf.DUMMYFUNCTION("""COMPUTED_VALUE"""),-4.76)</f>
        <v>-4.76</v>
      </c>
      <c r="U149" s="1">
        <f ca="1">IFERROR(__xludf.DUMMYFUNCTION("""COMPUTED_VALUE"""),276)</f>
        <v>276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IFERROR(__xludf.DUMMYFUNCTION("""COMPUTED_VALUE"""),"Bowling Green8")</f>
        <v>Bowling Green8</v>
      </c>
      <c r="C150" s="1" t="str">
        <f ca="1">IFERROR(__xludf.DUMMYFUNCTION("""COMPUTED_VALUE"""),"MAC")</f>
        <v>MAC</v>
      </c>
      <c r="D150" s="1" t="str">
        <f ca="1">IFERROR(__xludf.DUMMYFUNCTION("""COMPUTED_VALUE"""),"19-14")</f>
        <v>19-14</v>
      </c>
      <c r="E150" s="1" t="str">
        <f ca="1">IFERROR(__xludf.DUMMYFUNCTION("""COMPUTED_VALUE"""),"+1.79")</f>
        <v>+1.79</v>
      </c>
      <c r="F150" s="1">
        <f ca="1">IFERROR(__xludf.DUMMYFUNCTION("""COMPUTED_VALUE"""),102.5)</f>
        <v>102.5</v>
      </c>
      <c r="G150" s="1">
        <f ca="1">IFERROR(__xludf.DUMMYFUNCTION("""COMPUTED_VALUE"""),175)</f>
        <v>175</v>
      </c>
      <c r="H150" s="1">
        <f ca="1">IFERROR(__xludf.DUMMYFUNCTION("""COMPUTED_VALUE"""),100.7)</f>
        <v>100.7</v>
      </c>
      <c r="I150" s="1">
        <f ca="1">IFERROR(__xludf.DUMMYFUNCTION("""COMPUTED_VALUE"""),129)</f>
        <v>129</v>
      </c>
      <c r="J150" s="1">
        <f ca="1">IFERROR(__xludf.DUMMYFUNCTION("""COMPUTED_VALUE"""),62.5)</f>
        <v>62.5</v>
      </c>
      <c r="K150" s="1">
        <f ca="1">IFERROR(__xludf.DUMMYFUNCTION("""COMPUTED_VALUE"""),287)</f>
        <v>287</v>
      </c>
      <c r="L150" s="1">
        <f ca="1">IFERROR(__xludf.DUMMYFUNCTION("""COMPUTED_VALUE"""),-0.01)</f>
        <v>-0.01</v>
      </c>
      <c r="M150" s="1">
        <f ca="1">IFERROR(__xludf.DUMMYFUNCTION("""COMPUTED_VALUE"""),193)</f>
        <v>193</v>
      </c>
      <c r="N150" s="1">
        <f ca="1">IFERROR(__xludf.DUMMYFUNCTION("""COMPUTED_VALUE"""),-1.76)</f>
        <v>-1.76</v>
      </c>
      <c r="O150" s="1">
        <f ca="1">IFERROR(__xludf.DUMMYFUNCTION("""COMPUTED_VALUE"""),198)</f>
        <v>198</v>
      </c>
      <c r="P150" s="1">
        <f ca="1">IFERROR(__xludf.DUMMYFUNCTION("""COMPUTED_VALUE"""),100.3)</f>
        <v>100.3</v>
      </c>
      <c r="Q150" s="1">
        <f ca="1">IFERROR(__xludf.DUMMYFUNCTION("""COMPUTED_VALUE"""),263)</f>
        <v>263</v>
      </c>
      <c r="R150" s="1">
        <f ca="1">IFERROR(__xludf.DUMMYFUNCTION("""COMPUTED_VALUE"""),102.1)</f>
        <v>102.1</v>
      </c>
      <c r="S150" s="1">
        <f ca="1">IFERROR(__xludf.DUMMYFUNCTION("""COMPUTED_VALUE"""),131)</f>
        <v>131</v>
      </c>
      <c r="T150" s="1">
        <f ca="1">IFERROR(__xludf.DUMMYFUNCTION("""COMPUTED_VALUE"""),-4.43)</f>
        <v>-4.43</v>
      </c>
      <c r="U150" s="1">
        <f ca="1">IFERROR(__xludf.DUMMYFUNCTION("""COMPUTED_VALUE"""),264)</f>
        <v>264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IFERROR(__xludf.DUMMYFUNCTION("""COMPUTED_VALUE"""),"Saint Louis")</f>
        <v>Saint Louis</v>
      </c>
      <c r="C151" s="1" t="str">
        <f ca="1">IFERROR(__xludf.DUMMYFUNCTION("""COMPUTED_VALUE"""),"A10")</f>
        <v>A10</v>
      </c>
      <c r="D151" s="1" t="str">
        <f ca="1">IFERROR(__xludf.DUMMYFUNCTION("""COMPUTED_VALUE"""),"18-14")</f>
        <v>18-14</v>
      </c>
      <c r="E151" s="1" t="str">
        <f ca="1">IFERROR(__xludf.DUMMYFUNCTION("""COMPUTED_VALUE"""),"+1.75")</f>
        <v>+1.75</v>
      </c>
      <c r="F151" s="1">
        <f ca="1">IFERROR(__xludf.DUMMYFUNCTION("""COMPUTED_VALUE"""),101.8)</f>
        <v>101.8</v>
      </c>
      <c r="G151" s="1">
        <f ca="1">IFERROR(__xludf.DUMMYFUNCTION("""COMPUTED_VALUE"""),193)</f>
        <v>193</v>
      </c>
      <c r="H151" s="1">
        <f ca="1">IFERROR(__xludf.DUMMYFUNCTION("""COMPUTED_VALUE"""),100.1)</f>
        <v>100.1</v>
      </c>
      <c r="I151" s="1">
        <f ca="1">IFERROR(__xludf.DUMMYFUNCTION("""COMPUTED_VALUE"""),113)</f>
        <v>113</v>
      </c>
      <c r="J151" s="1">
        <f ca="1">IFERROR(__xludf.DUMMYFUNCTION("""COMPUTED_VALUE"""),60)</f>
        <v>60</v>
      </c>
      <c r="K151" s="1">
        <f ca="1">IFERROR(__xludf.DUMMYFUNCTION("""COMPUTED_VALUE"""),326)</f>
        <v>326</v>
      </c>
      <c r="L151" s="1" t="str">
        <f ca="1">IFERROR(__xludf.DUMMYFUNCTION("""COMPUTED_VALUE"""),"+.038")</f>
        <v>+.038</v>
      </c>
      <c r="M151" s="1">
        <f ca="1">IFERROR(__xludf.DUMMYFUNCTION("""COMPUTED_VALUE"""),73)</f>
        <v>73</v>
      </c>
      <c r="N151" s="1" t="str">
        <f ca="1">IFERROR(__xludf.DUMMYFUNCTION("""COMPUTED_VALUE"""),"+0.24")</f>
        <v>+0.24</v>
      </c>
      <c r="O151" s="1">
        <f ca="1">IFERROR(__xludf.DUMMYFUNCTION("""COMPUTED_VALUE"""),155)</f>
        <v>155</v>
      </c>
      <c r="P151" s="1">
        <f ca="1">IFERROR(__xludf.DUMMYFUNCTION("""COMPUTED_VALUE"""),102.7)</f>
        <v>102.7</v>
      </c>
      <c r="Q151" s="1">
        <f ca="1">IFERROR(__xludf.DUMMYFUNCTION("""COMPUTED_VALUE"""),173)</f>
        <v>173</v>
      </c>
      <c r="R151" s="1">
        <f ca="1">IFERROR(__xludf.DUMMYFUNCTION("""COMPUTED_VALUE"""),102.5)</f>
        <v>102.5</v>
      </c>
      <c r="S151" s="1">
        <f ca="1">IFERROR(__xludf.DUMMYFUNCTION("""COMPUTED_VALUE"""),145)</f>
        <v>145</v>
      </c>
      <c r="T151" s="1">
        <f ca="1">IFERROR(__xludf.DUMMYFUNCTION("""COMPUTED_VALUE"""),-7.19)</f>
        <v>-7.19</v>
      </c>
      <c r="U151" s="1">
        <f ca="1">IFERROR(__xludf.DUMMYFUNCTION("""COMPUTED_VALUE"""),309)</f>
        <v>309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IFERROR(__xludf.DUMMYFUNCTION("""COMPUTED_VALUE"""),"Southern Miss")</f>
        <v>Southern Miss</v>
      </c>
      <c r="C152" s="1" t="str">
        <f ca="1">IFERROR(__xludf.DUMMYFUNCTION("""COMPUTED_VALUE"""),"CUSA")</f>
        <v>CUSA</v>
      </c>
      <c r="D152" s="1" t="str">
        <f ca="1">IFERROR(__xludf.DUMMYFUNCTION("""COMPUTED_VALUE"""),"15-17")</f>
        <v>15-17</v>
      </c>
      <c r="E152" s="1" t="str">
        <f ca="1">IFERROR(__xludf.DUMMYFUNCTION("""COMPUTED_VALUE"""),"+1.58")</f>
        <v>+1.58</v>
      </c>
      <c r="F152" s="1">
        <f ca="1">IFERROR(__xludf.DUMMYFUNCTION("""COMPUTED_VALUE"""),106.7)</f>
        <v>106.7</v>
      </c>
      <c r="G152" s="1">
        <f ca="1">IFERROR(__xludf.DUMMYFUNCTION("""COMPUTED_VALUE"""),105)</f>
        <v>105</v>
      </c>
      <c r="H152" s="1">
        <f ca="1">IFERROR(__xludf.DUMMYFUNCTION("""COMPUTED_VALUE"""),105.1)</f>
        <v>105.1</v>
      </c>
      <c r="I152" s="1">
        <f ca="1">IFERROR(__xludf.DUMMYFUNCTION("""COMPUTED_VALUE"""),220)</f>
        <v>220</v>
      </c>
      <c r="J152" s="1">
        <f ca="1">IFERROR(__xludf.DUMMYFUNCTION("""COMPUTED_VALUE"""),62.4)</f>
        <v>62.4</v>
      </c>
      <c r="K152" s="1">
        <f ca="1">IFERROR(__xludf.DUMMYFUNCTION("""COMPUTED_VALUE"""),288)</f>
        <v>288</v>
      </c>
      <c r="L152" s="1">
        <f ca="1">IFERROR(__xludf.DUMMYFUNCTION("""COMPUTED_VALUE"""),-0.018)</f>
        <v>-1.7999999999999999E-2</v>
      </c>
      <c r="M152" s="1">
        <f ca="1">IFERROR(__xludf.DUMMYFUNCTION("""COMPUTED_VALUE"""),225)</f>
        <v>225</v>
      </c>
      <c r="N152" s="1" t="str">
        <f ca="1">IFERROR(__xludf.DUMMYFUNCTION("""COMPUTED_VALUE"""),"+4.27")</f>
        <v>+4.27</v>
      </c>
      <c r="O152" s="1">
        <f ca="1">IFERROR(__xludf.DUMMYFUNCTION("""COMPUTED_VALUE"""),83)</f>
        <v>83</v>
      </c>
      <c r="P152" s="1">
        <f ca="1">IFERROR(__xludf.DUMMYFUNCTION("""COMPUTED_VALUE"""),105.2)</f>
        <v>105.2</v>
      </c>
      <c r="Q152" s="1">
        <f ca="1">IFERROR(__xludf.DUMMYFUNCTION("""COMPUTED_VALUE"""),87)</f>
        <v>87</v>
      </c>
      <c r="R152" s="1">
        <f ca="1">IFERROR(__xludf.DUMMYFUNCTION("""COMPUTED_VALUE"""),100.9)</f>
        <v>100.9</v>
      </c>
      <c r="S152" s="1">
        <f ca="1">IFERROR(__xludf.DUMMYFUNCTION("""COMPUTED_VALUE"""),84)</f>
        <v>84</v>
      </c>
      <c r="T152" s="1" t="str">
        <f ca="1">IFERROR(__xludf.DUMMYFUNCTION("""COMPUTED_VALUE"""),"+1.04")</f>
        <v>+1.04</v>
      </c>
      <c r="U152" s="1">
        <f ca="1">IFERROR(__xludf.DUMMYFUNCTION("""COMPUTED_VALUE"""),127)</f>
        <v>127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IFERROR(__xludf.DUMMYFUNCTION("""COMPUTED_VALUE"""),"Mount St. Mary's")</f>
        <v>Mount St. Mary's</v>
      </c>
      <c r="C153" s="1" t="str">
        <f ca="1">IFERROR(__xludf.DUMMYFUNCTION("""COMPUTED_VALUE"""),"NEC")</f>
        <v>NEC</v>
      </c>
      <c r="D153" s="1" t="str">
        <f ca="1">IFERROR(__xludf.DUMMYFUNCTION("""COMPUTED_VALUE"""),"19-14")</f>
        <v>19-14</v>
      </c>
      <c r="E153" s="1" t="str">
        <f ca="1">IFERROR(__xludf.DUMMYFUNCTION("""COMPUTED_VALUE"""),"+1.54")</f>
        <v>+1.54</v>
      </c>
      <c r="F153" s="1">
        <f ca="1">IFERROR(__xludf.DUMMYFUNCTION("""COMPUTED_VALUE"""),101.4)</f>
        <v>101.4</v>
      </c>
      <c r="G153" s="1">
        <f ca="1">IFERROR(__xludf.DUMMYFUNCTION("""COMPUTED_VALUE"""),205)</f>
        <v>205</v>
      </c>
      <c r="H153" s="1">
        <f ca="1">IFERROR(__xludf.DUMMYFUNCTION("""COMPUTED_VALUE"""),99.9)</f>
        <v>99.9</v>
      </c>
      <c r="I153" s="1">
        <f ca="1">IFERROR(__xludf.DUMMYFUNCTION("""COMPUTED_VALUE"""),106)</f>
        <v>106</v>
      </c>
      <c r="J153" s="1">
        <f ca="1">IFERROR(__xludf.DUMMYFUNCTION("""COMPUTED_VALUE"""),63.9)</f>
        <v>63.9</v>
      </c>
      <c r="K153" s="1">
        <f ca="1">IFERROR(__xludf.DUMMYFUNCTION("""COMPUTED_VALUE"""),230)</f>
        <v>230</v>
      </c>
      <c r="L153" s="1">
        <f ca="1">IFERROR(__xludf.DUMMYFUNCTION("""COMPUTED_VALUE"""),-0.091)</f>
        <v>-9.0999999999999998E-2</v>
      </c>
      <c r="M153" s="1">
        <f ca="1">IFERROR(__xludf.DUMMYFUNCTION("""COMPUTED_VALUE"""),333)</f>
        <v>333</v>
      </c>
      <c r="N153" s="1">
        <f ca="1">IFERROR(__xludf.DUMMYFUNCTION("""COMPUTED_VALUE"""),-6.13)</f>
        <v>-6.13</v>
      </c>
      <c r="O153" s="1">
        <f ca="1">IFERROR(__xludf.DUMMYFUNCTION("""COMPUTED_VALUE"""),292)</f>
        <v>292</v>
      </c>
      <c r="P153" s="1">
        <f ca="1">IFERROR(__xludf.DUMMYFUNCTION("""COMPUTED_VALUE"""),100.3)</f>
        <v>100.3</v>
      </c>
      <c r="Q153" s="1">
        <f ca="1">IFERROR(__xludf.DUMMYFUNCTION("""COMPUTED_VALUE"""),264)</f>
        <v>264</v>
      </c>
      <c r="R153" s="1">
        <f ca="1">IFERROR(__xludf.DUMMYFUNCTION("""COMPUTED_VALUE"""),106.4)</f>
        <v>106.4</v>
      </c>
      <c r="S153" s="1">
        <f ca="1">IFERROR(__xludf.DUMMYFUNCTION("""COMPUTED_VALUE"""),315)</f>
        <v>315</v>
      </c>
      <c r="T153" s="1" t="str">
        <f ca="1">IFERROR(__xludf.DUMMYFUNCTION("""COMPUTED_VALUE"""),"+3.61")</f>
        <v>+3.61</v>
      </c>
      <c r="U153" s="1">
        <f ca="1">IFERROR(__xludf.DUMMYFUNCTION("""COMPUTED_VALUE"""),74)</f>
        <v>74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IFERROR(__xludf.DUMMYFUNCTION("""COMPUTED_VALUE"""),"Robert Morris15")</f>
        <v>Robert Morris15</v>
      </c>
      <c r="C154" s="1" t="str">
        <f ca="1">IFERROR(__xludf.DUMMYFUNCTION("""COMPUTED_VALUE"""),"NEC")</f>
        <v>NEC</v>
      </c>
      <c r="D154" s="1" t="str">
        <f ca="1">IFERROR(__xludf.DUMMYFUNCTION("""COMPUTED_VALUE"""),"24-11")</f>
        <v>24-11</v>
      </c>
      <c r="E154" s="1" t="str">
        <f ca="1">IFERROR(__xludf.DUMMYFUNCTION("""COMPUTED_VALUE"""),"+1.49")</f>
        <v>+1.49</v>
      </c>
      <c r="F154" s="1">
        <f ca="1">IFERROR(__xludf.DUMMYFUNCTION("""COMPUTED_VALUE"""),102)</f>
        <v>102</v>
      </c>
      <c r="G154" s="1">
        <f ca="1">IFERROR(__xludf.DUMMYFUNCTION("""COMPUTED_VALUE"""),187)</f>
        <v>187</v>
      </c>
      <c r="H154" s="1">
        <f ca="1">IFERROR(__xludf.DUMMYFUNCTION("""COMPUTED_VALUE"""),100.6)</f>
        <v>100.6</v>
      </c>
      <c r="I154" s="1">
        <f ca="1">IFERROR(__xludf.DUMMYFUNCTION("""COMPUTED_VALUE"""),122)</f>
        <v>122</v>
      </c>
      <c r="J154" s="1">
        <f ca="1">IFERROR(__xludf.DUMMYFUNCTION("""COMPUTED_VALUE"""),66)</f>
        <v>66</v>
      </c>
      <c r="K154" s="1">
        <f ca="1">IFERROR(__xludf.DUMMYFUNCTION("""COMPUTED_VALUE"""),139)</f>
        <v>139</v>
      </c>
      <c r="L154" s="1" t="str">
        <f ca="1">IFERROR(__xludf.DUMMYFUNCTION("""COMPUTED_VALUE"""),"+.055")</f>
        <v>+.055</v>
      </c>
      <c r="M154" s="1">
        <f ca="1">IFERROR(__xludf.DUMMYFUNCTION("""COMPUTED_VALUE"""),44)</f>
        <v>44</v>
      </c>
      <c r="N154" s="1">
        <f ca="1">IFERROR(__xludf.DUMMYFUNCTION("""COMPUTED_VALUE"""),-7.27)</f>
        <v>-7.27</v>
      </c>
      <c r="O154" s="1">
        <f ca="1">IFERROR(__xludf.DUMMYFUNCTION("""COMPUTED_VALUE"""),310)</f>
        <v>310</v>
      </c>
      <c r="P154" s="1">
        <f ca="1">IFERROR(__xludf.DUMMYFUNCTION("""COMPUTED_VALUE"""),99.3)</f>
        <v>99.3</v>
      </c>
      <c r="Q154" s="1">
        <f ca="1">IFERROR(__xludf.DUMMYFUNCTION("""COMPUTED_VALUE"""),284)</f>
        <v>284</v>
      </c>
      <c r="R154" s="1">
        <f ca="1">IFERROR(__xludf.DUMMYFUNCTION("""COMPUTED_VALUE"""),106.5)</f>
        <v>106.5</v>
      </c>
      <c r="S154" s="1">
        <f ca="1">IFERROR(__xludf.DUMMYFUNCTION("""COMPUTED_VALUE"""),317)</f>
        <v>317</v>
      </c>
      <c r="T154" s="1" t="str">
        <f ca="1">IFERROR(__xludf.DUMMYFUNCTION("""COMPUTED_VALUE"""),"+0.44")</f>
        <v>+0.44</v>
      </c>
      <c r="U154" s="1">
        <f ca="1">IFERROR(__xludf.DUMMYFUNCTION("""COMPUTED_VALUE"""),144)</f>
        <v>144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IFERROR(__xludf.DUMMYFUNCTION("""COMPUTED_VALUE"""),"College of Charleston")</f>
        <v>College of Charleston</v>
      </c>
      <c r="C155" s="1" t="str">
        <f ca="1">IFERROR(__xludf.DUMMYFUNCTION("""COMPUTED_VALUE"""),"SC")</f>
        <v>SC</v>
      </c>
      <c r="D155" s="1" t="str">
        <f ca="1">IFERROR(__xludf.DUMMYFUNCTION("""COMPUTED_VALUE"""),"27-9")</f>
        <v>27-9</v>
      </c>
      <c r="E155" s="1" t="str">
        <f ca="1">IFERROR(__xludf.DUMMYFUNCTION("""COMPUTED_VALUE"""),"+1.40")</f>
        <v>+1.40</v>
      </c>
      <c r="F155" s="1">
        <f ca="1">IFERROR(__xludf.DUMMYFUNCTION("""COMPUTED_VALUE"""),110)</f>
        <v>110</v>
      </c>
      <c r="G155" s="1">
        <f ca="1">IFERROR(__xludf.DUMMYFUNCTION("""COMPUTED_VALUE"""),66)</f>
        <v>66</v>
      </c>
      <c r="H155" s="1">
        <f ca="1">IFERROR(__xludf.DUMMYFUNCTION("""COMPUTED_VALUE"""),108.6)</f>
        <v>108.6</v>
      </c>
      <c r="I155" s="1">
        <f ca="1">IFERROR(__xludf.DUMMYFUNCTION("""COMPUTED_VALUE"""),285)</f>
        <v>285</v>
      </c>
      <c r="J155" s="1">
        <f ca="1">IFERROR(__xludf.DUMMYFUNCTION("""COMPUTED_VALUE"""),66.2)</f>
        <v>66.2</v>
      </c>
      <c r="K155" s="1">
        <f ca="1">IFERROR(__xludf.DUMMYFUNCTION("""COMPUTED_VALUE"""),130)</f>
        <v>130</v>
      </c>
      <c r="L155" s="1" t="str">
        <f ca="1">IFERROR(__xludf.DUMMYFUNCTION("""COMPUTED_VALUE"""),"+.085")</f>
        <v>+.085</v>
      </c>
      <c r="M155" s="1">
        <f ca="1">IFERROR(__xludf.DUMMYFUNCTION("""COMPUTED_VALUE"""),14)</f>
        <v>14</v>
      </c>
      <c r="N155" s="1">
        <f ca="1">IFERROR(__xludf.DUMMYFUNCTION("""COMPUTED_VALUE"""),-6.68)</f>
        <v>-6.68</v>
      </c>
      <c r="O155" s="1">
        <f ca="1">IFERROR(__xludf.DUMMYFUNCTION("""COMPUTED_VALUE"""),300)</f>
        <v>300</v>
      </c>
      <c r="P155" s="1">
        <f ca="1">IFERROR(__xludf.DUMMYFUNCTION("""COMPUTED_VALUE"""),100.2)</f>
        <v>100.2</v>
      </c>
      <c r="Q155" s="1">
        <f ca="1">IFERROR(__xludf.DUMMYFUNCTION("""COMPUTED_VALUE"""),269)</f>
        <v>269</v>
      </c>
      <c r="R155" s="1">
        <f ca="1">IFERROR(__xludf.DUMMYFUNCTION("""COMPUTED_VALUE"""),106.9)</f>
        <v>106.9</v>
      </c>
      <c r="S155" s="1">
        <f ca="1">IFERROR(__xludf.DUMMYFUNCTION("""COMPUTED_VALUE"""),329)</f>
        <v>329</v>
      </c>
      <c r="T155" s="1">
        <f ca="1">IFERROR(__xludf.DUMMYFUNCTION("""COMPUTED_VALUE"""),-5.89)</f>
        <v>-5.89</v>
      </c>
      <c r="U155" s="1">
        <f ca="1">IFERROR(__xludf.DUMMYFUNCTION("""COMPUTED_VALUE"""),298)</f>
        <v>298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IFERROR(__xludf.DUMMYFUNCTION("""COMPUTED_VALUE"""),"Arkansas Little Rock")</f>
        <v>Arkansas Little Rock</v>
      </c>
      <c r="C156" s="1" t="str">
        <f ca="1">IFERROR(__xludf.DUMMYFUNCTION("""COMPUTED_VALUE"""),"SB")</f>
        <v>SB</v>
      </c>
      <c r="D156" s="1" t="str">
        <f ca="1">IFERROR(__xludf.DUMMYFUNCTION("""COMPUTED_VALUE"""),"23-8")</f>
        <v>23-8</v>
      </c>
      <c r="E156" s="1" t="str">
        <f ca="1">IFERROR(__xludf.DUMMYFUNCTION("""COMPUTED_VALUE"""),"+1.24")</f>
        <v>+1.24</v>
      </c>
      <c r="F156" s="1">
        <f ca="1">IFERROR(__xludf.DUMMYFUNCTION("""COMPUTED_VALUE"""),99.9)</f>
        <v>99.9</v>
      </c>
      <c r="G156" s="1">
        <f ca="1">IFERROR(__xludf.DUMMYFUNCTION("""COMPUTED_VALUE"""),224)</f>
        <v>224</v>
      </c>
      <c r="H156" s="1">
        <f ca="1">IFERROR(__xludf.DUMMYFUNCTION("""COMPUTED_VALUE"""),98.7)</f>
        <v>98.7</v>
      </c>
      <c r="I156" s="1">
        <f ca="1">IFERROR(__xludf.DUMMYFUNCTION("""COMPUTED_VALUE"""),84)</f>
        <v>84</v>
      </c>
      <c r="J156" s="1">
        <f ca="1">IFERROR(__xludf.DUMMYFUNCTION("""COMPUTED_VALUE"""),64.9)</f>
        <v>64.900000000000006</v>
      </c>
      <c r="K156" s="1">
        <f ca="1">IFERROR(__xludf.DUMMYFUNCTION("""COMPUTED_VALUE"""),186)</f>
        <v>186</v>
      </c>
      <c r="L156" s="1" t="str">
        <f ca="1">IFERROR(__xludf.DUMMYFUNCTION("""COMPUTED_VALUE"""),"+.144")</f>
        <v>+.144</v>
      </c>
      <c r="M156" s="1">
        <f ca="1">IFERROR(__xludf.DUMMYFUNCTION("""COMPUTED_VALUE"""),2)</f>
        <v>2</v>
      </c>
      <c r="N156" s="1">
        <f ca="1">IFERROR(__xludf.DUMMYFUNCTION("""COMPUTED_VALUE"""),-4.49)</f>
        <v>-4.49</v>
      </c>
      <c r="O156" s="1">
        <f ca="1">IFERROR(__xludf.DUMMYFUNCTION("""COMPUTED_VALUE"""),258)</f>
        <v>258</v>
      </c>
      <c r="P156" s="1">
        <f ca="1">IFERROR(__xludf.DUMMYFUNCTION("""COMPUTED_VALUE"""),100.4)</f>
        <v>100.4</v>
      </c>
      <c r="Q156" s="1">
        <f ca="1">IFERROR(__xludf.DUMMYFUNCTION("""COMPUTED_VALUE"""),262)</f>
        <v>262</v>
      </c>
      <c r="R156" s="1">
        <f ca="1">IFERROR(__xludf.DUMMYFUNCTION("""COMPUTED_VALUE"""),104.8)</f>
        <v>104.8</v>
      </c>
      <c r="S156" s="1">
        <f ca="1">IFERROR(__xludf.DUMMYFUNCTION("""COMPUTED_VALUE"""),243)</f>
        <v>243</v>
      </c>
      <c r="T156" s="1">
        <f ca="1">IFERROR(__xludf.DUMMYFUNCTION("""COMPUTED_VALUE"""),-2.91)</f>
        <v>-2.91</v>
      </c>
      <c r="U156" s="1">
        <f ca="1">IFERROR(__xludf.DUMMYFUNCTION("""COMPUTED_VALUE"""),228)</f>
        <v>228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IFERROR(__xludf.DUMMYFUNCTION("""COMPUTED_VALUE"""),"Rutgers")</f>
        <v>Rutgers</v>
      </c>
      <c r="C157" s="1" t="str">
        <f ca="1">IFERROR(__xludf.DUMMYFUNCTION("""COMPUTED_VALUE"""),"BE")</f>
        <v>BE</v>
      </c>
      <c r="D157" s="2">
        <f ca="1">IFERROR(__xludf.DUMMYFUNCTION("""COMPUTED_VALUE"""),44886)</f>
        <v>44886</v>
      </c>
      <c r="E157" s="1" t="str">
        <f ca="1">IFERROR(__xludf.DUMMYFUNCTION("""COMPUTED_VALUE"""),"+1.13")</f>
        <v>+1.13</v>
      </c>
      <c r="F157" s="1">
        <f ca="1">IFERROR(__xludf.DUMMYFUNCTION("""COMPUTED_VALUE"""),98.6)</f>
        <v>98.6</v>
      </c>
      <c r="G157" s="1">
        <f ca="1">IFERROR(__xludf.DUMMYFUNCTION("""COMPUTED_VALUE"""),241)</f>
        <v>241</v>
      </c>
      <c r="H157" s="1">
        <f ca="1">IFERROR(__xludf.DUMMYFUNCTION("""COMPUTED_VALUE"""),97.4)</f>
        <v>97.4</v>
      </c>
      <c r="I157" s="1">
        <f ca="1">IFERROR(__xludf.DUMMYFUNCTION("""COMPUTED_VALUE"""),66)</f>
        <v>66</v>
      </c>
      <c r="J157" s="1">
        <f ca="1">IFERROR(__xludf.DUMMYFUNCTION("""COMPUTED_VALUE"""),64.2)</f>
        <v>64.2</v>
      </c>
      <c r="K157" s="1">
        <f ca="1">IFERROR(__xludf.DUMMYFUNCTION("""COMPUTED_VALUE"""),220)</f>
        <v>220</v>
      </c>
      <c r="L157" s="1">
        <f ca="1">IFERROR(__xludf.DUMMYFUNCTION("""COMPUTED_VALUE"""),-0.074)</f>
        <v>-7.3999999999999996E-2</v>
      </c>
      <c r="M157" s="1">
        <f ca="1">IFERROR(__xludf.DUMMYFUNCTION("""COMPUTED_VALUE"""),322)</f>
        <v>322</v>
      </c>
      <c r="N157" s="1" t="str">
        <f ca="1">IFERROR(__xludf.DUMMYFUNCTION("""COMPUTED_VALUE"""),"+6.25")</f>
        <v>+6.25</v>
      </c>
      <c r="O157" s="1">
        <f ca="1">IFERROR(__xludf.DUMMYFUNCTION("""COMPUTED_VALUE"""),59)</f>
        <v>59</v>
      </c>
      <c r="P157" s="1">
        <f ca="1">IFERROR(__xludf.DUMMYFUNCTION("""COMPUTED_VALUE"""),106.2)</f>
        <v>106.2</v>
      </c>
      <c r="Q157" s="1">
        <f ca="1">IFERROR(__xludf.DUMMYFUNCTION("""COMPUTED_VALUE"""),63)</f>
        <v>63</v>
      </c>
      <c r="R157" s="1">
        <f ca="1">IFERROR(__xludf.DUMMYFUNCTION("""COMPUTED_VALUE"""),99.9)</f>
        <v>99.9</v>
      </c>
      <c r="S157" s="1">
        <f ca="1">IFERROR(__xludf.DUMMYFUNCTION("""COMPUTED_VALUE"""),57)</f>
        <v>57</v>
      </c>
      <c r="T157" s="1">
        <f ca="1">IFERROR(__xludf.DUMMYFUNCTION("""COMPUTED_VALUE"""),-10.09)</f>
        <v>-10.09</v>
      </c>
      <c r="U157" s="1">
        <f ca="1">IFERROR(__xludf.DUMMYFUNCTION("""COMPUTED_VALUE"""),339)</f>
        <v>339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IFERROR(__xludf.DUMMYFUNCTION("""COMPUTED_VALUE"""),"Morgan St.15")</f>
        <v>Morgan St.15</v>
      </c>
      <c r="C158" s="1" t="str">
        <f ca="1">IFERROR(__xludf.DUMMYFUNCTION("""COMPUTED_VALUE"""),"MEAC")</f>
        <v>MEAC</v>
      </c>
      <c r="D158" s="1" t="str">
        <f ca="1">IFERROR(__xludf.DUMMYFUNCTION("""COMPUTED_VALUE"""),"23-12")</f>
        <v>23-12</v>
      </c>
      <c r="E158" s="1" t="str">
        <f ca="1">IFERROR(__xludf.DUMMYFUNCTION("""COMPUTED_VALUE"""),"+0.99")</f>
        <v>+0.99</v>
      </c>
      <c r="F158" s="1">
        <f ca="1">IFERROR(__xludf.DUMMYFUNCTION("""COMPUTED_VALUE"""),100.1)</f>
        <v>100.1</v>
      </c>
      <c r="G158" s="1">
        <f ca="1">IFERROR(__xludf.DUMMYFUNCTION("""COMPUTED_VALUE"""),222)</f>
        <v>222</v>
      </c>
      <c r="H158" s="1">
        <f ca="1">IFERROR(__xludf.DUMMYFUNCTION("""COMPUTED_VALUE"""),99.1)</f>
        <v>99.1</v>
      </c>
      <c r="I158" s="1">
        <f ca="1">IFERROR(__xludf.DUMMYFUNCTION("""COMPUTED_VALUE"""),91)</f>
        <v>91</v>
      </c>
      <c r="J158" s="1">
        <f ca="1">IFERROR(__xludf.DUMMYFUNCTION("""COMPUTED_VALUE"""),65.5)</f>
        <v>65.5</v>
      </c>
      <c r="K158" s="1">
        <f ca="1">IFERROR(__xludf.DUMMYFUNCTION("""COMPUTED_VALUE"""),159)</f>
        <v>159</v>
      </c>
      <c r="L158" s="1" t="str">
        <f ca="1">IFERROR(__xludf.DUMMYFUNCTION("""COMPUTED_VALUE"""),"+.031")</f>
        <v>+.031</v>
      </c>
      <c r="M158" s="1">
        <f ca="1">IFERROR(__xludf.DUMMYFUNCTION("""COMPUTED_VALUE"""),88)</f>
        <v>88</v>
      </c>
      <c r="N158" s="1">
        <f ca="1">IFERROR(__xludf.DUMMYFUNCTION("""COMPUTED_VALUE"""),-7.43)</f>
        <v>-7.43</v>
      </c>
      <c r="O158" s="1">
        <f ca="1">IFERROR(__xludf.DUMMYFUNCTION("""COMPUTED_VALUE"""),311)</f>
        <v>311</v>
      </c>
      <c r="P158" s="1">
        <f ca="1">IFERROR(__xludf.DUMMYFUNCTION("""COMPUTED_VALUE"""),98.2)</f>
        <v>98.2</v>
      </c>
      <c r="Q158" s="1">
        <f ca="1">IFERROR(__xludf.DUMMYFUNCTION("""COMPUTED_VALUE"""),309)</f>
        <v>309</v>
      </c>
      <c r="R158" s="1">
        <f ca="1">IFERROR(__xludf.DUMMYFUNCTION("""COMPUTED_VALUE"""),105.7)</f>
        <v>105.7</v>
      </c>
      <c r="S158" s="1">
        <f ca="1">IFERROR(__xludf.DUMMYFUNCTION("""COMPUTED_VALUE"""),286)</f>
        <v>286</v>
      </c>
      <c r="T158" s="1" t="str">
        <f ca="1">IFERROR(__xludf.DUMMYFUNCTION("""COMPUTED_VALUE"""),"+4.82")</f>
        <v>+4.82</v>
      </c>
      <c r="U158" s="1">
        <f ca="1">IFERROR(__xludf.DUMMYFUNCTION("""COMPUTED_VALUE"""),55)</f>
        <v>55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IFERROR(__xludf.DUMMYFUNCTION("""COMPUTED_VALUE"""),"Boise St.")</f>
        <v>Boise St.</v>
      </c>
      <c r="C159" s="1" t="str">
        <f ca="1">IFERROR(__xludf.DUMMYFUNCTION("""COMPUTED_VALUE"""),"WAC")</f>
        <v>WAC</v>
      </c>
      <c r="D159" s="1" t="str">
        <f ca="1">IFERROR(__xludf.DUMMYFUNCTION("""COMPUTED_VALUE"""),"19-13")</f>
        <v>19-13</v>
      </c>
      <c r="E159" s="1" t="str">
        <f ca="1">IFERROR(__xludf.DUMMYFUNCTION("""COMPUTED_VALUE"""),"+0.97")</f>
        <v>+0.97</v>
      </c>
      <c r="F159" s="1">
        <f ca="1">IFERROR(__xludf.DUMMYFUNCTION("""COMPUTED_VALUE"""),103.1)</f>
        <v>103.1</v>
      </c>
      <c r="G159" s="1">
        <f ca="1">IFERROR(__xludf.DUMMYFUNCTION("""COMPUTED_VALUE"""),161)</f>
        <v>161</v>
      </c>
      <c r="H159" s="1">
        <f ca="1">IFERROR(__xludf.DUMMYFUNCTION("""COMPUTED_VALUE"""),102.1)</f>
        <v>102.1</v>
      </c>
      <c r="I159" s="1">
        <f ca="1">IFERROR(__xludf.DUMMYFUNCTION("""COMPUTED_VALUE"""),154)</f>
        <v>154</v>
      </c>
      <c r="J159" s="1">
        <f ca="1">IFERROR(__xludf.DUMMYFUNCTION("""COMPUTED_VALUE"""),68.7)</f>
        <v>68.7</v>
      </c>
      <c r="K159" s="1">
        <f ca="1">IFERROR(__xludf.DUMMYFUNCTION("""COMPUTED_VALUE"""),51)</f>
        <v>51</v>
      </c>
      <c r="L159" s="1" t="str">
        <f ca="1">IFERROR(__xludf.DUMMYFUNCTION("""COMPUTED_VALUE"""),"+.091")</f>
        <v>+.091</v>
      </c>
      <c r="M159" s="1">
        <f ca="1">IFERROR(__xludf.DUMMYFUNCTION("""COMPUTED_VALUE"""),12)</f>
        <v>12</v>
      </c>
      <c r="N159" s="1">
        <f ca="1">IFERROR(__xludf.DUMMYFUNCTION("""COMPUTED_VALUE"""),-0.24)</f>
        <v>-0.24</v>
      </c>
      <c r="O159" s="1">
        <f ca="1">IFERROR(__xludf.DUMMYFUNCTION("""COMPUTED_VALUE"""),167)</f>
        <v>167</v>
      </c>
      <c r="P159" s="1">
        <f ca="1">IFERROR(__xludf.DUMMYFUNCTION("""COMPUTED_VALUE"""),104.1)</f>
        <v>104.1</v>
      </c>
      <c r="Q159" s="1">
        <f ca="1">IFERROR(__xludf.DUMMYFUNCTION("""COMPUTED_VALUE"""),115)</f>
        <v>115</v>
      </c>
      <c r="R159" s="1">
        <f ca="1">IFERROR(__xludf.DUMMYFUNCTION("""COMPUTED_VALUE"""),104.4)</f>
        <v>104.4</v>
      </c>
      <c r="S159" s="1">
        <f ca="1">IFERROR(__xludf.DUMMYFUNCTION("""COMPUTED_VALUE"""),223)</f>
        <v>223</v>
      </c>
      <c r="T159" s="1">
        <f ca="1">IFERROR(__xludf.DUMMYFUNCTION("""COMPUTED_VALUE"""),-3.56)</f>
        <v>-3.56</v>
      </c>
      <c r="U159" s="1">
        <f ca="1">IFERROR(__xludf.DUMMYFUNCTION("""COMPUTED_VALUE"""),248)</f>
        <v>248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IFERROR(__xludf.DUMMYFUNCTION("""COMPUTED_VALUE"""),"North Texas")</f>
        <v>North Texas</v>
      </c>
      <c r="C160" s="1" t="str">
        <f ca="1">IFERROR(__xludf.DUMMYFUNCTION("""COMPUTED_VALUE"""),"SB")</f>
        <v>SB</v>
      </c>
      <c r="D160" s="1" t="str">
        <f ca="1">IFERROR(__xludf.DUMMYFUNCTION("""COMPUTED_VALUE"""),"20-12")</f>
        <v>20-12</v>
      </c>
      <c r="E160" s="1" t="str">
        <f ca="1">IFERROR(__xludf.DUMMYFUNCTION("""COMPUTED_VALUE"""),"+0.95")</f>
        <v>+0.95</v>
      </c>
      <c r="F160" s="1">
        <f ca="1">IFERROR(__xludf.DUMMYFUNCTION("""COMPUTED_VALUE"""),109)</f>
        <v>109</v>
      </c>
      <c r="G160" s="1">
        <f ca="1">IFERROR(__xludf.DUMMYFUNCTION("""COMPUTED_VALUE"""),79)</f>
        <v>79</v>
      </c>
      <c r="H160" s="1">
        <f ca="1">IFERROR(__xludf.DUMMYFUNCTION("""COMPUTED_VALUE"""),108)</f>
        <v>108</v>
      </c>
      <c r="I160" s="1">
        <f ca="1">IFERROR(__xludf.DUMMYFUNCTION("""COMPUTED_VALUE"""),277)</f>
        <v>277</v>
      </c>
      <c r="J160" s="1">
        <f ca="1">IFERROR(__xludf.DUMMYFUNCTION("""COMPUTED_VALUE"""),68.1)</f>
        <v>68.099999999999994</v>
      </c>
      <c r="K160" s="1">
        <f ca="1">IFERROR(__xludf.DUMMYFUNCTION("""COMPUTED_VALUE"""),65)</f>
        <v>65</v>
      </c>
      <c r="L160" s="1" t="str">
        <f ca="1">IFERROR(__xludf.DUMMYFUNCTION("""COMPUTED_VALUE"""),"+.036")</f>
        <v>+.036</v>
      </c>
      <c r="M160" s="1">
        <f ca="1">IFERROR(__xludf.DUMMYFUNCTION("""COMPUTED_VALUE"""),76)</f>
        <v>76</v>
      </c>
      <c r="N160" s="1">
        <f ca="1">IFERROR(__xludf.DUMMYFUNCTION("""COMPUTED_VALUE"""),-3.27)</f>
        <v>-3.27</v>
      </c>
      <c r="O160" s="1">
        <f ca="1">IFERROR(__xludf.DUMMYFUNCTION("""COMPUTED_VALUE"""),231)</f>
        <v>231</v>
      </c>
      <c r="P160" s="1">
        <f ca="1">IFERROR(__xludf.DUMMYFUNCTION("""COMPUTED_VALUE"""),102.1)</f>
        <v>102.1</v>
      </c>
      <c r="Q160" s="1">
        <f ca="1">IFERROR(__xludf.DUMMYFUNCTION("""COMPUTED_VALUE"""),199)</f>
        <v>199</v>
      </c>
      <c r="R160" s="1">
        <f ca="1">IFERROR(__xludf.DUMMYFUNCTION("""COMPUTED_VALUE"""),105.4)</f>
        <v>105.4</v>
      </c>
      <c r="S160" s="1">
        <f ca="1">IFERROR(__xludf.DUMMYFUNCTION("""COMPUTED_VALUE"""),264)</f>
        <v>264</v>
      </c>
      <c r="T160" s="1" t="str">
        <f ca="1">IFERROR(__xludf.DUMMYFUNCTION("""COMPUTED_VALUE"""),"+0.89")</f>
        <v>+0.89</v>
      </c>
      <c r="U160" s="1">
        <f ca="1">IFERROR(__xludf.DUMMYFUNCTION("""COMPUTED_VALUE"""),131)</f>
        <v>131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IFERROR(__xludf.DUMMYFUNCTION("""COMPUTED_VALUE"""),"Milwaukee")</f>
        <v>Milwaukee</v>
      </c>
      <c r="C161" s="1" t="str">
        <f ca="1">IFERROR(__xludf.DUMMYFUNCTION("""COMPUTED_VALUE"""),"Horz")</f>
        <v>Horz</v>
      </c>
      <c r="D161" s="1" t="str">
        <f ca="1">IFERROR(__xludf.DUMMYFUNCTION("""COMPUTED_VALUE"""),"17-14")</f>
        <v>17-14</v>
      </c>
      <c r="E161" s="1" t="str">
        <f ca="1">IFERROR(__xludf.DUMMYFUNCTION("""COMPUTED_VALUE"""),"+0.93")</f>
        <v>+0.93</v>
      </c>
      <c r="F161" s="1">
        <f ca="1">IFERROR(__xludf.DUMMYFUNCTION("""COMPUTED_VALUE"""),104.6)</f>
        <v>104.6</v>
      </c>
      <c r="G161" s="1">
        <f ca="1">IFERROR(__xludf.DUMMYFUNCTION("""COMPUTED_VALUE"""),137)</f>
        <v>137</v>
      </c>
      <c r="H161" s="1">
        <f ca="1">IFERROR(__xludf.DUMMYFUNCTION("""COMPUTED_VALUE"""),103.7)</f>
        <v>103.7</v>
      </c>
      <c r="I161" s="1">
        <f ca="1">IFERROR(__xludf.DUMMYFUNCTION("""COMPUTED_VALUE"""),186)</f>
        <v>186</v>
      </c>
      <c r="J161" s="1">
        <f ca="1">IFERROR(__xludf.DUMMYFUNCTION("""COMPUTED_VALUE"""),66.6)</f>
        <v>66.599999999999994</v>
      </c>
      <c r="K161" s="1">
        <f ca="1">IFERROR(__xludf.DUMMYFUNCTION("""COMPUTED_VALUE"""),110)</f>
        <v>110</v>
      </c>
      <c r="L161" s="1" t="str">
        <f ca="1">IFERROR(__xludf.DUMMYFUNCTION("""COMPUTED_VALUE"""),"+.064")</f>
        <v>+.064</v>
      </c>
      <c r="M161" s="1">
        <f ca="1">IFERROR(__xludf.DUMMYFUNCTION("""COMPUTED_VALUE"""),31)</f>
        <v>31</v>
      </c>
      <c r="N161" s="1" t="str">
        <f ca="1">IFERROR(__xludf.DUMMYFUNCTION("""COMPUTED_VALUE"""),"+1.24")</f>
        <v>+1.24</v>
      </c>
      <c r="O161" s="1">
        <f ca="1">IFERROR(__xludf.DUMMYFUNCTION("""COMPUTED_VALUE"""),128)</f>
        <v>128</v>
      </c>
      <c r="P161" s="1">
        <f ca="1">IFERROR(__xludf.DUMMYFUNCTION("""COMPUTED_VALUE"""),102.6)</f>
        <v>102.6</v>
      </c>
      <c r="Q161" s="1">
        <f ca="1">IFERROR(__xludf.DUMMYFUNCTION("""COMPUTED_VALUE"""),178)</f>
        <v>178</v>
      </c>
      <c r="R161" s="1">
        <f ca="1">IFERROR(__xludf.DUMMYFUNCTION("""COMPUTED_VALUE"""),101.4)</f>
        <v>101.4</v>
      </c>
      <c r="S161" s="1">
        <f ca="1">IFERROR(__xludf.DUMMYFUNCTION("""COMPUTED_VALUE"""),102)</f>
        <v>102</v>
      </c>
      <c r="T161" s="1" t="str">
        <f ca="1">IFERROR(__xludf.DUMMYFUNCTION("""COMPUTED_VALUE"""),"+1.37")</f>
        <v>+1.37</v>
      </c>
      <c r="U161" s="1">
        <f ca="1">IFERROR(__xludf.DUMMYFUNCTION("""COMPUTED_VALUE"""),120)</f>
        <v>120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IFERROR(__xludf.DUMMYFUNCTION("""COMPUTED_VALUE"""),"Marshall")</f>
        <v>Marshall</v>
      </c>
      <c r="C162" s="1" t="str">
        <f ca="1">IFERROR(__xludf.DUMMYFUNCTION("""COMPUTED_VALUE"""),"CUSA")</f>
        <v>CUSA</v>
      </c>
      <c r="D162" s="1" t="str">
        <f ca="1">IFERROR(__xludf.DUMMYFUNCTION("""COMPUTED_VALUE"""),"15-17")</f>
        <v>15-17</v>
      </c>
      <c r="E162" s="1" t="str">
        <f ca="1">IFERROR(__xludf.DUMMYFUNCTION("""COMPUTED_VALUE"""),"+0.92")</f>
        <v>+0.92</v>
      </c>
      <c r="F162" s="1">
        <f ca="1">IFERROR(__xludf.DUMMYFUNCTION("""COMPUTED_VALUE"""),107.2)</f>
        <v>107.2</v>
      </c>
      <c r="G162" s="1">
        <f ca="1">IFERROR(__xludf.DUMMYFUNCTION("""COMPUTED_VALUE"""),98)</f>
        <v>98</v>
      </c>
      <c r="H162" s="1">
        <f ca="1">IFERROR(__xludf.DUMMYFUNCTION("""COMPUTED_VALUE"""),106.3)</f>
        <v>106.3</v>
      </c>
      <c r="I162" s="1">
        <f ca="1">IFERROR(__xludf.DUMMYFUNCTION("""COMPUTED_VALUE"""),246)</f>
        <v>246</v>
      </c>
      <c r="J162" s="1">
        <f ca="1">IFERROR(__xludf.DUMMYFUNCTION("""COMPUTED_VALUE"""),64.6)</f>
        <v>64.599999999999994</v>
      </c>
      <c r="K162" s="1">
        <f ca="1">IFERROR(__xludf.DUMMYFUNCTION("""COMPUTED_VALUE"""),204)</f>
        <v>204</v>
      </c>
      <c r="L162" s="1" t="str">
        <f ca="1">IFERROR(__xludf.DUMMYFUNCTION("""COMPUTED_VALUE"""),"+.003")</f>
        <v>+.003</v>
      </c>
      <c r="M162" s="1">
        <f ca="1">IFERROR(__xludf.DUMMYFUNCTION("""COMPUTED_VALUE"""),154)</f>
        <v>154</v>
      </c>
      <c r="N162" s="1" t="str">
        <f ca="1">IFERROR(__xludf.DUMMYFUNCTION("""COMPUTED_VALUE"""),"+3.46")</f>
        <v>+3.46</v>
      </c>
      <c r="O162" s="1">
        <f ca="1">IFERROR(__xludf.DUMMYFUNCTION("""COMPUTED_VALUE"""),93)</f>
        <v>93</v>
      </c>
      <c r="P162" s="1">
        <f ca="1">IFERROR(__xludf.DUMMYFUNCTION("""COMPUTED_VALUE"""),105.2)</f>
        <v>105.2</v>
      </c>
      <c r="Q162" s="1">
        <f ca="1">IFERROR(__xludf.DUMMYFUNCTION("""COMPUTED_VALUE"""),84)</f>
        <v>84</v>
      </c>
      <c r="R162" s="1">
        <f ca="1">IFERROR(__xludf.DUMMYFUNCTION("""COMPUTED_VALUE"""),101.8)</f>
        <v>101.8</v>
      </c>
      <c r="S162" s="1">
        <f ca="1">IFERROR(__xludf.DUMMYFUNCTION("""COMPUTED_VALUE"""),120)</f>
        <v>120</v>
      </c>
      <c r="T162" s="1" t="str">
        <f ca="1">IFERROR(__xludf.DUMMYFUNCTION("""COMPUTED_VALUE"""),"+2.90")</f>
        <v>+2.90</v>
      </c>
      <c r="U162" s="1">
        <f ca="1">IFERROR(__xludf.DUMMYFUNCTION("""COMPUTED_VALUE"""),93)</f>
        <v>93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IFERROR(__xludf.DUMMYFUNCTION("""COMPUTED_VALUE"""),"Eastern Kentucky")</f>
        <v>Eastern Kentucky</v>
      </c>
      <c r="C163" s="1" t="str">
        <f ca="1">IFERROR(__xludf.DUMMYFUNCTION("""COMPUTED_VALUE"""),"OVC")</f>
        <v>OVC</v>
      </c>
      <c r="D163" s="1" t="str">
        <f ca="1">IFERROR(__xludf.DUMMYFUNCTION("""COMPUTED_VALUE"""),"18-13")</f>
        <v>18-13</v>
      </c>
      <c r="E163" s="1" t="str">
        <f ca="1">IFERROR(__xludf.DUMMYFUNCTION("""COMPUTED_VALUE"""),"+0.90")</f>
        <v>+0.90</v>
      </c>
      <c r="F163" s="1">
        <f ca="1">IFERROR(__xludf.DUMMYFUNCTION("""COMPUTED_VALUE"""),112.6)</f>
        <v>112.6</v>
      </c>
      <c r="G163" s="1">
        <f ca="1">IFERROR(__xludf.DUMMYFUNCTION("""COMPUTED_VALUE"""),38)</f>
        <v>38</v>
      </c>
      <c r="H163" s="1">
        <f ca="1">IFERROR(__xludf.DUMMYFUNCTION("""COMPUTED_VALUE"""),111.7)</f>
        <v>111.7</v>
      </c>
      <c r="I163" s="1">
        <f ca="1">IFERROR(__xludf.DUMMYFUNCTION("""COMPUTED_VALUE"""),318)</f>
        <v>318</v>
      </c>
      <c r="J163" s="1">
        <f ca="1">IFERROR(__xludf.DUMMYFUNCTION("""COMPUTED_VALUE"""),59.4)</f>
        <v>59.4</v>
      </c>
      <c r="K163" s="1">
        <f ca="1">IFERROR(__xludf.DUMMYFUNCTION("""COMPUTED_VALUE"""),331)</f>
        <v>331</v>
      </c>
      <c r="L163" s="1">
        <f ca="1">IFERROR(__xludf.DUMMYFUNCTION("""COMPUTED_VALUE"""),-0.031)</f>
        <v>-3.1E-2</v>
      </c>
      <c r="M163" s="1">
        <f ca="1">IFERROR(__xludf.DUMMYFUNCTION("""COMPUTED_VALUE"""),256)</f>
        <v>256</v>
      </c>
      <c r="N163" s="1">
        <f ca="1">IFERROR(__xludf.DUMMYFUNCTION("""COMPUTED_VALUE"""),-4.5)</f>
        <v>-4.5</v>
      </c>
      <c r="O163" s="1">
        <f ca="1">IFERROR(__xludf.DUMMYFUNCTION("""COMPUTED_VALUE"""),259)</f>
        <v>259</v>
      </c>
      <c r="P163" s="1">
        <f ca="1">IFERROR(__xludf.DUMMYFUNCTION("""COMPUTED_VALUE"""),101.3)</f>
        <v>101.3</v>
      </c>
      <c r="Q163" s="1">
        <f ca="1">IFERROR(__xludf.DUMMYFUNCTION("""COMPUTED_VALUE"""),232)</f>
        <v>232</v>
      </c>
      <c r="R163" s="1">
        <f ca="1">IFERROR(__xludf.DUMMYFUNCTION("""COMPUTED_VALUE"""),105.8)</f>
        <v>105.8</v>
      </c>
      <c r="S163" s="1">
        <f ca="1">IFERROR(__xludf.DUMMYFUNCTION("""COMPUTED_VALUE"""),291)</f>
        <v>291</v>
      </c>
      <c r="T163" s="1">
        <f ca="1">IFERROR(__xludf.DUMMYFUNCTION("""COMPUTED_VALUE"""),-2.32)</f>
        <v>-2.3199999999999998</v>
      </c>
      <c r="U163" s="1">
        <f ca="1">IFERROR(__xludf.DUMMYFUNCTION("""COMPUTED_VALUE"""),216)</f>
        <v>216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IFERROR(__xludf.DUMMYFUNCTION("""COMPUTED_VALUE"""),"Southern Illinois")</f>
        <v>Southern Illinois</v>
      </c>
      <c r="C164" s="1" t="str">
        <f ca="1">IFERROR(__xludf.DUMMYFUNCTION("""COMPUTED_VALUE"""),"MVC")</f>
        <v>MVC</v>
      </c>
      <c r="D164" s="1" t="str">
        <f ca="1">IFERROR(__xludf.DUMMYFUNCTION("""COMPUTED_VALUE"""),"13-18")</f>
        <v>13-18</v>
      </c>
      <c r="E164" s="1" t="str">
        <f ca="1">IFERROR(__xludf.DUMMYFUNCTION("""COMPUTED_VALUE"""),"+0.81")</f>
        <v>+0.81</v>
      </c>
      <c r="F164" s="1">
        <f ca="1">IFERROR(__xludf.DUMMYFUNCTION("""COMPUTED_VALUE"""),102.2)</f>
        <v>102.2</v>
      </c>
      <c r="G164" s="1">
        <f ca="1">IFERROR(__xludf.DUMMYFUNCTION("""COMPUTED_VALUE"""),184)</f>
        <v>184</v>
      </c>
      <c r="H164" s="1">
        <f ca="1">IFERROR(__xludf.DUMMYFUNCTION("""COMPUTED_VALUE"""),101.4)</f>
        <v>101.4</v>
      </c>
      <c r="I164" s="1">
        <f ca="1">IFERROR(__xludf.DUMMYFUNCTION("""COMPUTED_VALUE"""),140)</f>
        <v>140</v>
      </c>
      <c r="J164" s="1">
        <f ca="1">IFERROR(__xludf.DUMMYFUNCTION("""COMPUTED_VALUE"""),63.7)</f>
        <v>63.7</v>
      </c>
      <c r="K164" s="1">
        <f ca="1">IFERROR(__xludf.DUMMYFUNCTION("""COMPUTED_VALUE"""),244)</f>
        <v>244</v>
      </c>
      <c r="L164" s="1">
        <f ca="1">IFERROR(__xludf.DUMMYFUNCTION("""COMPUTED_VALUE"""),-0.015)</f>
        <v>-1.4999999999999999E-2</v>
      </c>
      <c r="M164" s="1">
        <f ca="1">IFERROR(__xludf.DUMMYFUNCTION("""COMPUTED_VALUE"""),208)</f>
        <v>208</v>
      </c>
      <c r="N164" s="1" t="str">
        <f ca="1">IFERROR(__xludf.DUMMYFUNCTION("""COMPUTED_VALUE"""),"+4.13")</f>
        <v>+4.13</v>
      </c>
      <c r="O164" s="1">
        <f ca="1">IFERROR(__xludf.DUMMYFUNCTION("""COMPUTED_VALUE"""),84)</f>
        <v>84</v>
      </c>
      <c r="P164" s="1">
        <f ca="1">IFERROR(__xludf.DUMMYFUNCTION("""COMPUTED_VALUE"""),105.4)</f>
        <v>105.4</v>
      </c>
      <c r="Q164" s="1">
        <f ca="1">IFERROR(__xludf.DUMMYFUNCTION("""COMPUTED_VALUE"""),78)</f>
        <v>78</v>
      </c>
      <c r="R164" s="1">
        <f ca="1">IFERROR(__xludf.DUMMYFUNCTION("""COMPUTED_VALUE"""),101.3)</f>
        <v>101.3</v>
      </c>
      <c r="S164" s="1">
        <f ca="1">IFERROR(__xludf.DUMMYFUNCTION("""COMPUTED_VALUE"""),97)</f>
        <v>97</v>
      </c>
      <c r="T164" s="1" t="str">
        <f ca="1">IFERROR(__xludf.DUMMYFUNCTION("""COMPUTED_VALUE"""),"+5.10")</f>
        <v>+5.10</v>
      </c>
      <c r="U164" s="1">
        <f ca="1">IFERROR(__xludf.DUMMYFUNCTION("""COMPUTED_VALUE"""),51)</f>
        <v>51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IFERROR(__xludf.DUMMYFUNCTION("""COMPUTED_VALUE"""),"Morehead St.16")</f>
        <v>Morehead St.16</v>
      </c>
      <c r="C165" s="1" t="str">
        <f ca="1">IFERROR(__xludf.DUMMYFUNCTION("""COMPUTED_VALUE"""),"OVC")</f>
        <v>OVC</v>
      </c>
      <c r="D165" s="1" t="str">
        <f ca="1">IFERROR(__xludf.DUMMYFUNCTION("""COMPUTED_VALUE"""),"20-16")</f>
        <v>20-16</v>
      </c>
      <c r="E165" s="1" t="str">
        <f ca="1">IFERROR(__xludf.DUMMYFUNCTION("""COMPUTED_VALUE"""),"+0.76")</f>
        <v>+0.76</v>
      </c>
      <c r="F165" s="1">
        <f ca="1">IFERROR(__xludf.DUMMYFUNCTION("""COMPUTED_VALUE"""),102)</f>
        <v>102</v>
      </c>
      <c r="G165" s="1">
        <f ca="1">IFERROR(__xludf.DUMMYFUNCTION("""COMPUTED_VALUE"""),189)</f>
        <v>189</v>
      </c>
      <c r="H165" s="1">
        <f ca="1">IFERROR(__xludf.DUMMYFUNCTION("""COMPUTED_VALUE"""),101.3)</f>
        <v>101.3</v>
      </c>
      <c r="I165" s="1">
        <f ca="1">IFERROR(__xludf.DUMMYFUNCTION("""COMPUTED_VALUE"""),137)</f>
        <v>137</v>
      </c>
      <c r="J165" s="1">
        <f ca="1">IFERROR(__xludf.DUMMYFUNCTION("""COMPUTED_VALUE"""),65.3)</f>
        <v>65.3</v>
      </c>
      <c r="K165" s="1">
        <f ca="1">IFERROR(__xludf.DUMMYFUNCTION("""COMPUTED_VALUE"""),169)</f>
        <v>169</v>
      </c>
      <c r="L165" s="1" t="str">
        <f ca="1">IFERROR(__xludf.DUMMYFUNCTION("""COMPUTED_VALUE"""),"+.015")</f>
        <v>+.015</v>
      </c>
      <c r="M165" s="1">
        <f ca="1">IFERROR(__xludf.DUMMYFUNCTION("""COMPUTED_VALUE"""),128)</f>
        <v>128</v>
      </c>
      <c r="N165" s="1">
        <f ca="1">IFERROR(__xludf.DUMMYFUNCTION("""COMPUTED_VALUE"""),-1.9)</f>
        <v>-1.9</v>
      </c>
      <c r="O165" s="1">
        <f ca="1">IFERROR(__xludf.DUMMYFUNCTION("""COMPUTED_VALUE"""),200)</f>
        <v>200</v>
      </c>
      <c r="P165" s="1">
        <f ca="1">IFERROR(__xludf.DUMMYFUNCTION("""COMPUTED_VALUE"""),103.6)</f>
        <v>103.6</v>
      </c>
      <c r="Q165" s="1">
        <f ca="1">IFERROR(__xludf.DUMMYFUNCTION("""COMPUTED_VALUE"""),138)</f>
        <v>138</v>
      </c>
      <c r="R165" s="1">
        <f ca="1">IFERROR(__xludf.DUMMYFUNCTION("""COMPUTED_VALUE"""),105.5)</f>
        <v>105.5</v>
      </c>
      <c r="S165" s="1">
        <f ca="1">IFERROR(__xludf.DUMMYFUNCTION("""COMPUTED_VALUE"""),268)</f>
        <v>268</v>
      </c>
      <c r="T165" s="1" t="str">
        <f ca="1">IFERROR(__xludf.DUMMYFUNCTION("""COMPUTED_VALUE"""),"+3.49")</f>
        <v>+3.49</v>
      </c>
      <c r="U165" s="1">
        <f ca="1">IFERROR(__xludf.DUMMYFUNCTION("""COMPUTED_VALUE"""),76)</f>
        <v>76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IFERROR(__xludf.DUMMYFUNCTION("""COMPUTED_VALUE"""),"Lipscomb")</f>
        <v>Lipscomb</v>
      </c>
      <c r="C166" s="1" t="str">
        <f ca="1">IFERROR(__xludf.DUMMYFUNCTION("""COMPUTED_VALUE"""),"ASun")</f>
        <v>ASun</v>
      </c>
      <c r="D166" s="1" t="str">
        <f ca="1">IFERROR(__xludf.DUMMYFUNCTION("""COMPUTED_VALUE"""),"17-14")</f>
        <v>17-14</v>
      </c>
      <c r="E166" s="1" t="str">
        <f ca="1">IFERROR(__xludf.DUMMYFUNCTION("""COMPUTED_VALUE"""),"+0.44")</f>
        <v>+0.44</v>
      </c>
      <c r="F166" s="1">
        <f ca="1">IFERROR(__xludf.DUMMYFUNCTION("""COMPUTED_VALUE"""),105.5)</f>
        <v>105.5</v>
      </c>
      <c r="G166" s="1">
        <f ca="1">IFERROR(__xludf.DUMMYFUNCTION("""COMPUTED_VALUE"""),122)</f>
        <v>122</v>
      </c>
      <c r="H166" s="1">
        <f ca="1">IFERROR(__xludf.DUMMYFUNCTION("""COMPUTED_VALUE"""),105.1)</f>
        <v>105.1</v>
      </c>
      <c r="I166" s="1">
        <f ca="1">IFERROR(__xludf.DUMMYFUNCTION("""COMPUTED_VALUE"""),217)</f>
        <v>217</v>
      </c>
      <c r="J166" s="1">
        <f ca="1">IFERROR(__xludf.DUMMYFUNCTION("""COMPUTED_VALUE"""),67.7)</f>
        <v>67.7</v>
      </c>
      <c r="K166" s="1">
        <f ca="1">IFERROR(__xludf.DUMMYFUNCTION("""COMPUTED_VALUE"""),74)</f>
        <v>74</v>
      </c>
      <c r="L166" s="1">
        <f ca="1">IFERROR(__xludf.DUMMYFUNCTION("""COMPUTED_VALUE"""),-0.102)</f>
        <v>-0.10199999999999999</v>
      </c>
      <c r="M166" s="1">
        <f ca="1">IFERROR(__xludf.DUMMYFUNCTION("""COMPUTED_VALUE"""),338)</f>
        <v>338</v>
      </c>
      <c r="N166" s="1">
        <f ca="1">IFERROR(__xludf.DUMMYFUNCTION("""COMPUTED_VALUE"""),-6.98)</f>
        <v>-6.98</v>
      </c>
      <c r="O166" s="1">
        <f ca="1">IFERROR(__xludf.DUMMYFUNCTION("""COMPUTED_VALUE"""),307)</f>
        <v>307</v>
      </c>
      <c r="P166" s="1">
        <f ca="1">IFERROR(__xludf.DUMMYFUNCTION("""COMPUTED_VALUE"""),98.7)</f>
        <v>98.7</v>
      </c>
      <c r="Q166" s="1">
        <f ca="1">IFERROR(__xludf.DUMMYFUNCTION("""COMPUTED_VALUE"""),297)</f>
        <v>297</v>
      </c>
      <c r="R166" s="1">
        <f ca="1">IFERROR(__xludf.DUMMYFUNCTION("""COMPUTED_VALUE"""),105.7)</f>
        <v>105.7</v>
      </c>
      <c r="S166" s="1">
        <f ca="1">IFERROR(__xludf.DUMMYFUNCTION("""COMPUTED_VALUE"""),285)</f>
        <v>285</v>
      </c>
      <c r="T166" s="1">
        <f ca="1">IFERROR(__xludf.DUMMYFUNCTION("""COMPUTED_VALUE"""),-5.04)</f>
        <v>-5.04</v>
      </c>
      <c r="U166" s="1">
        <f ca="1">IFERROR(__xludf.DUMMYFUNCTION("""COMPUTED_VALUE"""),281)</f>
        <v>281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IFERROR(__xludf.DUMMYFUNCTION("""COMPUTED_VALUE"""),"Oregon")</f>
        <v>Oregon</v>
      </c>
      <c r="C167" s="1" t="str">
        <f ca="1">IFERROR(__xludf.DUMMYFUNCTION("""COMPUTED_VALUE"""),"P10")</f>
        <v>P10</v>
      </c>
      <c r="D167" s="2">
        <f ca="1">IFERROR(__xludf.DUMMYFUNCTION("""COMPUTED_VALUE"""),44796)</f>
        <v>44796</v>
      </c>
      <c r="E167" s="1" t="str">
        <f ca="1">IFERROR(__xludf.DUMMYFUNCTION("""COMPUTED_VALUE"""),"+0.43")</f>
        <v>+0.43</v>
      </c>
      <c r="F167" s="1">
        <f ca="1">IFERROR(__xludf.DUMMYFUNCTION("""COMPUTED_VALUE"""),104.2)</f>
        <v>104.2</v>
      </c>
      <c r="G167" s="1">
        <f ca="1">IFERROR(__xludf.DUMMYFUNCTION("""COMPUTED_VALUE"""),143)</f>
        <v>143</v>
      </c>
      <c r="H167" s="1">
        <f ca="1">IFERROR(__xludf.DUMMYFUNCTION("""COMPUTED_VALUE"""),103.8)</f>
        <v>103.8</v>
      </c>
      <c r="I167" s="1">
        <f ca="1">IFERROR(__xludf.DUMMYFUNCTION("""COMPUTED_VALUE"""),188)</f>
        <v>188</v>
      </c>
      <c r="J167" s="1">
        <f ca="1">IFERROR(__xludf.DUMMYFUNCTION("""COMPUTED_VALUE"""),68.2)</f>
        <v>68.2</v>
      </c>
      <c r="K167" s="1">
        <f ca="1">IFERROR(__xludf.DUMMYFUNCTION("""COMPUTED_VALUE"""),63)</f>
        <v>63</v>
      </c>
      <c r="L167" s="1" t="str">
        <f ca="1">IFERROR(__xludf.DUMMYFUNCTION("""COMPUTED_VALUE"""),"+.018")</f>
        <v>+.018</v>
      </c>
      <c r="M167" s="1">
        <f ca="1">IFERROR(__xludf.DUMMYFUNCTION("""COMPUTED_VALUE"""),118)</f>
        <v>118</v>
      </c>
      <c r="N167" s="1" t="str">
        <f ca="1">IFERROR(__xludf.DUMMYFUNCTION("""COMPUTED_VALUE"""),"+12.58")</f>
        <v>+12.58</v>
      </c>
      <c r="O167" s="1">
        <f ca="1">IFERROR(__xludf.DUMMYFUNCTION("""COMPUTED_VALUE"""),1)</f>
        <v>1</v>
      </c>
      <c r="P167" s="1">
        <f ca="1">IFERROR(__xludf.DUMMYFUNCTION("""COMPUTED_VALUE"""),110.6)</f>
        <v>110.6</v>
      </c>
      <c r="Q167" s="1">
        <f ca="1">IFERROR(__xludf.DUMMYFUNCTION("""COMPUTED_VALUE"""),1)</f>
        <v>1</v>
      </c>
      <c r="R167" s="1">
        <f ca="1">IFERROR(__xludf.DUMMYFUNCTION("""COMPUTED_VALUE"""),98)</f>
        <v>98</v>
      </c>
      <c r="S167" s="1">
        <f ca="1">IFERROR(__xludf.DUMMYFUNCTION("""COMPUTED_VALUE"""),13)</f>
        <v>13</v>
      </c>
      <c r="T167" s="1" t="str">
        <f ca="1">IFERROR(__xludf.DUMMYFUNCTION("""COMPUTED_VALUE"""),"+5.57")</f>
        <v>+5.57</v>
      </c>
      <c r="U167" s="1">
        <f ca="1">IFERROR(__xludf.DUMMYFUNCTION("""COMPUTED_VALUE"""),48)</f>
        <v>48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IFERROR(__xludf.DUMMYFUNCTION("""COMPUTED_VALUE"""),"Idaho")</f>
        <v>Idaho</v>
      </c>
      <c r="C168" s="1" t="str">
        <f ca="1">IFERROR(__xludf.DUMMYFUNCTION("""COMPUTED_VALUE"""),"WAC")</f>
        <v>WAC</v>
      </c>
      <c r="D168" s="1" t="str">
        <f ca="1">IFERROR(__xludf.DUMMYFUNCTION("""COMPUTED_VALUE"""),"17-16")</f>
        <v>17-16</v>
      </c>
      <c r="E168" s="1" t="str">
        <f ca="1">IFERROR(__xludf.DUMMYFUNCTION("""COMPUTED_VALUE"""),"+0.25")</f>
        <v>+0.25</v>
      </c>
      <c r="F168" s="1">
        <f ca="1">IFERROR(__xludf.DUMMYFUNCTION("""COMPUTED_VALUE"""),104.4)</f>
        <v>104.4</v>
      </c>
      <c r="G168" s="1">
        <f ca="1">IFERROR(__xludf.DUMMYFUNCTION("""COMPUTED_VALUE"""),140)</f>
        <v>140</v>
      </c>
      <c r="H168" s="1">
        <f ca="1">IFERROR(__xludf.DUMMYFUNCTION("""COMPUTED_VALUE"""),104.1)</f>
        <v>104.1</v>
      </c>
      <c r="I168" s="1">
        <f ca="1">IFERROR(__xludf.DUMMYFUNCTION("""COMPUTED_VALUE"""),195)</f>
        <v>195</v>
      </c>
      <c r="J168" s="1">
        <f ca="1">IFERROR(__xludf.DUMMYFUNCTION("""COMPUTED_VALUE"""),62.4)</f>
        <v>62.4</v>
      </c>
      <c r="K168" s="1">
        <f ca="1">IFERROR(__xludf.DUMMYFUNCTION("""COMPUTED_VALUE"""),290)</f>
        <v>290</v>
      </c>
      <c r="L168" s="1" t="str">
        <f ca="1">IFERROR(__xludf.DUMMYFUNCTION("""COMPUTED_VALUE"""),"+.017")</f>
        <v>+.017</v>
      </c>
      <c r="M168" s="1">
        <f ca="1">IFERROR(__xludf.DUMMYFUNCTION("""COMPUTED_VALUE"""),124)</f>
        <v>124</v>
      </c>
      <c r="N168" s="1" t="str">
        <f ca="1">IFERROR(__xludf.DUMMYFUNCTION("""COMPUTED_VALUE"""),"+0.50")</f>
        <v>+0.50</v>
      </c>
      <c r="O168" s="1">
        <f ca="1">IFERROR(__xludf.DUMMYFUNCTION("""COMPUTED_VALUE"""),146)</f>
        <v>146</v>
      </c>
      <c r="P168" s="1">
        <f ca="1">IFERROR(__xludf.DUMMYFUNCTION("""COMPUTED_VALUE"""),103.5)</f>
        <v>103.5</v>
      </c>
      <c r="Q168" s="1">
        <f ca="1">IFERROR(__xludf.DUMMYFUNCTION("""COMPUTED_VALUE"""),142)</f>
        <v>142</v>
      </c>
      <c r="R168" s="1">
        <f ca="1">IFERROR(__xludf.DUMMYFUNCTION("""COMPUTED_VALUE"""),103)</f>
        <v>103</v>
      </c>
      <c r="S168" s="1">
        <f ca="1">IFERROR(__xludf.DUMMYFUNCTION("""COMPUTED_VALUE"""),166)</f>
        <v>166</v>
      </c>
      <c r="T168" s="1">
        <f ca="1">IFERROR(__xludf.DUMMYFUNCTION("""COMPUTED_VALUE"""),-0.42)</f>
        <v>-0.42</v>
      </c>
      <c r="U168" s="1">
        <f ca="1">IFERROR(__xludf.DUMMYFUNCTION("""COMPUTED_VALUE"""),173)</f>
        <v>173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IFERROR(__xludf.DUMMYFUNCTION("""COMPUTED_VALUE"""),"Texas A&amp;M Corpus Chris")</f>
        <v>Texas A&amp;M Corpus Chris</v>
      </c>
      <c r="C171" s="1" t="str">
        <f ca="1">IFERROR(__xludf.DUMMYFUNCTION("""COMPUTED_VALUE"""),"Slnd")</f>
        <v>Slnd</v>
      </c>
      <c r="D171" s="1" t="str">
        <f ca="1">IFERROR(__xludf.DUMMYFUNCTION("""COMPUTED_VALUE"""),"18-15")</f>
        <v>18-15</v>
      </c>
      <c r="E171" s="1" t="str">
        <f ca="1">IFERROR(__xludf.DUMMYFUNCTION("""COMPUTED_VALUE"""),"+0.20")</f>
        <v>+0.20</v>
      </c>
      <c r="F171" s="1">
        <f ca="1">IFERROR(__xludf.DUMMYFUNCTION("""COMPUTED_VALUE"""),100)</f>
        <v>100</v>
      </c>
      <c r="G171" s="1">
        <f ca="1">IFERROR(__xludf.DUMMYFUNCTION("""COMPUTED_VALUE"""),223)</f>
        <v>223</v>
      </c>
      <c r="H171" s="1">
        <f ca="1">IFERROR(__xludf.DUMMYFUNCTION("""COMPUTED_VALUE"""),99.8)</f>
        <v>99.8</v>
      </c>
      <c r="I171" s="1">
        <f ca="1">IFERROR(__xludf.DUMMYFUNCTION("""COMPUTED_VALUE"""),105)</f>
        <v>105</v>
      </c>
      <c r="J171" s="1">
        <f ca="1">IFERROR(__xludf.DUMMYFUNCTION("""COMPUTED_VALUE"""),66.4)</f>
        <v>66.400000000000006</v>
      </c>
      <c r="K171" s="1">
        <f ca="1">IFERROR(__xludf.DUMMYFUNCTION("""COMPUTED_VALUE"""),121)</f>
        <v>121</v>
      </c>
      <c r="L171" s="1" t="str">
        <f ca="1">IFERROR(__xludf.DUMMYFUNCTION("""COMPUTED_VALUE"""),"+.033")</f>
        <v>+.033</v>
      </c>
      <c r="M171" s="1">
        <f ca="1">IFERROR(__xludf.DUMMYFUNCTION("""COMPUTED_VALUE"""),82)</f>
        <v>82</v>
      </c>
      <c r="N171" s="1" t="str">
        <f ca="1">IFERROR(__xludf.DUMMYFUNCTION("""COMPUTED_VALUE"""),"+0.81")</f>
        <v>+0.81</v>
      </c>
      <c r="O171" s="1">
        <f ca="1">IFERROR(__xludf.DUMMYFUNCTION("""COMPUTED_VALUE"""),140)</f>
        <v>140</v>
      </c>
      <c r="P171" s="1">
        <f ca="1">IFERROR(__xludf.DUMMYFUNCTION("""COMPUTED_VALUE"""),102.6)</f>
        <v>102.6</v>
      </c>
      <c r="Q171" s="1">
        <f ca="1">IFERROR(__xludf.DUMMYFUNCTION("""COMPUTED_VALUE"""),181)</f>
        <v>181</v>
      </c>
      <c r="R171" s="1">
        <f ca="1">IFERROR(__xludf.DUMMYFUNCTION("""COMPUTED_VALUE"""),101.7)</f>
        <v>101.7</v>
      </c>
      <c r="S171" s="1">
        <f ca="1">IFERROR(__xludf.DUMMYFUNCTION("""COMPUTED_VALUE"""),119)</f>
        <v>119</v>
      </c>
      <c r="T171" s="1" t="str">
        <f ca="1">IFERROR(__xludf.DUMMYFUNCTION("""COMPUTED_VALUE"""),"+7.27")</f>
        <v>+7.27</v>
      </c>
      <c r="U171" s="1">
        <f ca="1">IFERROR(__xludf.DUMMYFUNCTION("""COMPUTED_VALUE"""),30)</f>
        <v>30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IFERROR(__xludf.DUMMYFUNCTION("""COMPUTED_VALUE"""),"San Diego")</f>
        <v>San Diego</v>
      </c>
      <c r="C172" s="1" t="str">
        <f ca="1">IFERROR(__xludf.DUMMYFUNCTION("""COMPUTED_VALUE"""),"WCC")</f>
        <v>WCC</v>
      </c>
      <c r="D172" s="1" t="str">
        <f ca="1">IFERROR(__xludf.DUMMYFUNCTION("""COMPUTED_VALUE"""),"16-16")</f>
        <v>16-16</v>
      </c>
      <c r="E172" s="1" t="str">
        <f ca="1">IFERROR(__xludf.DUMMYFUNCTION("""COMPUTED_VALUE"""),"+0.11")</f>
        <v>+0.11</v>
      </c>
      <c r="F172" s="1">
        <f ca="1">IFERROR(__xludf.DUMMYFUNCTION("""COMPUTED_VALUE"""),98.4)</f>
        <v>98.4</v>
      </c>
      <c r="G172" s="1">
        <f ca="1">IFERROR(__xludf.DUMMYFUNCTION("""COMPUTED_VALUE"""),243)</f>
        <v>243</v>
      </c>
      <c r="H172" s="1">
        <f ca="1">IFERROR(__xludf.DUMMYFUNCTION("""COMPUTED_VALUE"""),98.3)</f>
        <v>98.3</v>
      </c>
      <c r="I172" s="1">
        <f ca="1">IFERROR(__xludf.DUMMYFUNCTION("""COMPUTED_VALUE"""),75)</f>
        <v>75</v>
      </c>
      <c r="J172" s="1">
        <f ca="1">IFERROR(__xludf.DUMMYFUNCTION("""COMPUTED_VALUE"""),62.1)</f>
        <v>62.1</v>
      </c>
      <c r="K172" s="1">
        <f ca="1">IFERROR(__xludf.DUMMYFUNCTION("""COMPUTED_VALUE"""),299)</f>
        <v>299</v>
      </c>
      <c r="L172" s="1" t="str">
        <f ca="1">IFERROR(__xludf.DUMMYFUNCTION("""COMPUTED_VALUE"""),"+.015")</f>
        <v>+.015</v>
      </c>
      <c r="M172" s="1">
        <f ca="1">IFERROR(__xludf.DUMMYFUNCTION("""COMPUTED_VALUE"""),129)</f>
        <v>129</v>
      </c>
      <c r="N172" s="1" t="str">
        <f ca="1">IFERROR(__xludf.DUMMYFUNCTION("""COMPUTED_VALUE"""),"+1.53")</f>
        <v>+1.53</v>
      </c>
      <c r="O172" s="1">
        <f ca="1">IFERROR(__xludf.DUMMYFUNCTION("""COMPUTED_VALUE"""),120)</f>
        <v>120</v>
      </c>
      <c r="P172" s="1">
        <f ca="1">IFERROR(__xludf.DUMMYFUNCTION("""COMPUTED_VALUE"""),103.8)</f>
        <v>103.8</v>
      </c>
      <c r="Q172" s="1">
        <f ca="1">IFERROR(__xludf.DUMMYFUNCTION("""COMPUTED_VALUE"""),129)</f>
        <v>129</v>
      </c>
      <c r="R172" s="1">
        <f ca="1">IFERROR(__xludf.DUMMYFUNCTION("""COMPUTED_VALUE"""),102.2)</f>
        <v>102.2</v>
      </c>
      <c r="S172" s="1">
        <f ca="1">IFERROR(__xludf.DUMMYFUNCTION("""COMPUTED_VALUE"""),139)</f>
        <v>139</v>
      </c>
      <c r="T172" s="1" t="str">
        <f ca="1">IFERROR(__xludf.DUMMYFUNCTION("""COMPUTED_VALUE"""),"+4.25")</f>
        <v>+4.25</v>
      </c>
      <c r="U172" s="1">
        <f ca="1">IFERROR(__xludf.DUMMYFUNCTION("""COMPUTED_VALUE"""),65)</f>
        <v>65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IFERROR(__xludf.DUMMYFUNCTION("""COMPUTED_VALUE"""),"Louisiana Tech")</f>
        <v>Louisiana Tech</v>
      </c>
      <c r="C173" s="1" t="str">
        <f ca="1">IFERROR(__xludf.DUMMYFUNCTION("""COMPUTED_VALUE"""),"WAC")</f>
        <v>WAC</v>
      </c>
      <c r="D173" s="1" t="str">
        <f ca="1">IFERROR(__xludf.DUMMYFUNCTION("""COMPUTED_VALUE"""),"15-18")</f>
        <v>15-18</v>
      </c>
      <c r="E173" s="1">
        <f ca="1">IFERROR(__xludf.DUMMYFUNCTION("""COMPUTED_VALUE"""),0)</f>
        <v>0</v>
      </c>
      <c r="F173" s="1">
        <f ca="1">IFERROR(__xludf.DUMMYFUNCTION("""COMPUTED_VALUE"""),101.3)</f>
        <v>101.3</v>
      </c>
      <c r="G173" s="1">
        <f ca="1">IFERROR(__xludf.DUMMYFUNCTION("""COMPUTED_VALUE"""),207)</f>
        <v>207</v>
      </c>
      <c r="H173" s="1">
        <f ca="1">IFERROR(__xludf.DUMMYFUNCTION("""COMPUTED_VALUE"""),101.3)</f>
        <v>101.3</v>
      </c>
      <c r="I173" s="1">
        <f ca="1">IFERROR(__xludf.DUMMYFUNCTION("""COMPUTED_VALUE"""),139)</f>
        <v>139</v>
      </c>
      <c r="J173" s="1">
        <f ca="1">IFERROR(__xludf.DUMMYFUNCTION("""COMPUTED_VALUE"""),62.5)</f>
        <v>62.5</v>
      </c>
      <c r="K173" s="1">
        <f ca="1">IFERROR(__xludf.DUMMYFUNCTION("""COMPUTED_VALUE"""),286)</f>
        <v>286</v>
      </c>
      <c r="L173" s="1">
        <f ca="1">IFERROR(__xludf.DUMMYFUNCTION("""COMPUTED_VALUE"""),-0.035)</f>
        <v>-3.5000000000000003E-2</v>
      </c>
      <c r="M173" s="1">
        <f ca="1">IFERROR(__xludf.DUMMYFUNCTION("""COMPUTED_VALUE"""),270)</f>
        <v>270</v>
      </c>
      <c r="N173" s="1">
        <f ca="1">IFERROR(__xludf.DUMMYFUNCTION("""COMPUTED_VALUE"""),-1.48)</f>
        <v>-1.48</v>
      </c>
      <c r="O173" s="1">
        <f ca="1">IFERROR(__xludf.DUMMYFUNCTION("""COMPUTED_VALUE"""),189)</f>
        <v>189</v>
      </c>
      <c r="P173" s="1">
        <f ca="1">IFERROR(__xludf.DUMMYFUNCTION("""COMPUTED_VALUE"""),102.6)</f>
        <v>102.6</v>
      </c>
      <c r="Q173" s="1">
        <f ca="1">IFERROR(__xludf.DUMMYFUNCTION("""COMPUTED_VALUE"""),180)</f>
        <v>180</v>
      </c>
      <c r="R173" s="1">
        <f ca="1">IFERROR(__xludf.DUMMYFUNCTION("""COMPUTED_VALUE"""),104)</f>
        <v>104</v>
      </c>
      <c r="S173" s="1">
        <f ca="1">IFERROR(__xludf.DUMMYFUNCTION("""COMPUTED_VALUE"""),207)</f>
        <v>207</v>
      </c>
      <c r="T173" s="1">
        <f ca="1">IFERROR(__xludf.DUMMYFUNCTION("""COMPUTED_VALUE"""),-6.49)</f>
        <v>-6.49</v>
      </c>
      <c r="U173" s="1">
        <f ca="1">IFERROR(__xludf.DUMMYFUNCTION("""COMPUTED_VALUE"""),305)</f>
        <v>305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IFERROR(__xludf.DUMMYFUNCTION("""COMPUTED_VALUE"""),"Middle Tennessee")</f>
        <v>Middle Tennessee</v>
      </c>
      <c r="C174" s="1" t="str">
        <f ca="1">IFERROR(__xludf.DUMMYFUNCTION("""COMPUTED_VALUE"""),"SB")</f>
        <v>SB</v>
      </c>
      <c r="D174" s="1" t="str">
        <f ca="1">IFERROR(__xludf.DUMMYFUNCTION("""COMPUTED_VALUE"""),"18-14")</f>
        <v>18-14</v>
      </c>
      <c r="E174" s="1">
        <f ca="1">IFERROR(__xludf.DUMMYFUNCTION("""COMPUTED_VALUE"""),-0.07)</f>
        <v>-7.0000000000000007E-2</v>
      </c>
      <c r="F174" s="1">
        <f ca="1">IFERROR(__xludf.DUMMYFUNCTION("""COMPUTED_VALUE"""),104.5)</f>
        <v>104.5</v>
      </c>
      <c r="G174" s="1">
        <f ca="1">IFERROR(__xludf.DUMMYFUNCTION("""COMPUTED_VALUE"""),139)</f>
        <v>139</v>
      </c>
      <c r="H174" s="1">
        <f ca="1">IFERROR(__xludf.DUMMYFUNCTION("""COMPUTED_VALUE"""),104.6)</f>
        <v>104.6</v>
      </c>
      <c r="I174" s="1">
        <f ca="1">IFERROR(__xludf.DUMMYFUNCTION("""COMPUTED_VALUE"""),208)</f>
        <v>208</v>
      </c>
      <c r="J174" s="1">
        <f ca="1">IFERROR(__xludf.DUMMYFUNCTION("""COMPUTED_VALUE"""),63.3)</f>
        <v>63.3</v>
      </c>
      <c r="K174" s="1">
        <f ca="1">IFERROR(__xludf.DUMMYFUNCTION("""COMPUTED_VALUE"""),262)</f>
        <v>262</v>
      </c>
      <c r="L174" s="1">
        <f ca="1">IFERROR(__xludf.DUMMYFUNCTION("""COMPUTED_VALUE"""),-0.044)</f>
        <v>-4.3999999999999997E-2</v>
      </c>
      <c r="M174" s="1">
        <f ca="1">IFERROR(__xludf.DUMMYFUNCTION("""COMPUTED_VALUE"""),282)</f>
        <v>282</v>
      </c>
      <c r="N174" s="1">
        <f ca="1">IFERROR(__xludf.DUMMYFUNCTION("""COMPUTED_VALUE"""),-4.2)</f>
        <v>-4.2</v>
      </c>
      <c r="O174" s="1">
        <f ca="1">IFERROR(__xludf.DUMMYFUNCTION("""COMPUTED_VALUE"""),253)</f>
        <v>253</v>
      </c>
      <c r="P174" s="1">
        <f ca="1">IFERROR(__xludf.DUMMYFUNCTION("""COMPUTED_VALUE"""),102.2)</f>
        <v>102.2</v>
      </c>
      <c r="Q174" s="1">
        <f ca="1">IFERROR(__xludf.DUMMYFUNCTION("""COMPUTED_VALUE"""),198)</f>
        <v>198</v>
      </c>
      <c r="R174" s="1">
        <f ca="1">IFERROR(__xludf.DUMMYFUNCTION("""COMPUTED_VALUE"""),106.4)</f>
        <v>106.4</v>
      </c>
      <c r="S174" s="1">
        <f ca="1">IFERROR(__xludf.DUMMYFUNCTION("""COMPUTED_VALUE"""),310)</f>
        <v>310</v>
      </c>
      <c r="T174" s="1">
        <f ca="1">IFERROR(__xludf.DUMMYFUNCTION("""COMPUTED_VALUE"""),-3.38)</f>
        <v>-3.38</v>
      </c>
      <c r="U174" s="1">
        <f ca="1">IFERROR(__xludf.DUMMYFUNCTION("""COMPUTED_VALUE"""),240)</f>
        <v>240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IFERROR(__xludf.DUMMYFUNCTION("""COMPUTED_VALUE"""),"UC Santa Barbara")</f>
        <v>UC Santa Barbara</v>
      </c>
      <c r="C175" s="1" t="str">
        <f ca="1">IFERROR(__xludf.DUMMYFUNCTION("""COMPUTED_VALUE"""),"BW")</f>
        <v>BW</v>
      </c>
      <c r="D175" s="1" t="str">
        <f ca="1">IFERROR(__xludf.DUMMYFUNCTION("""COMPUTED_VALUE"""),"16-15")</f>
        <v>16-15</v>
      </c>
      <c r="E175" s="1">
        <f ca="1">IFERROR(__xludf.DUMMYFUNCTION("""COMPUTED_VALUE"""),-0.09)</f>
        <v>-0.09</v>
      </c>
      <c r="F175" s="1">
        <f ca="1">IFERROR(__xludf.DUMMYFUNCTION("""COMPUTED_VALUE"""),99.8)</f>
        <v>99.8</v>
      </c>
      <c r="G175" s="1">
        <f ca="1">IFERROR(__xludf.DUMMYFUNCTION("""COMPUTED_VALUE"""),226)</f>
        <v>226</v>
      </c>
      <c r="H175" s="1">
        <f ca="1">IFERROR(__xludf.DUMMYFUNCTION("""COMPUTED_VALUE"""),99.9)</f>
        <v>99.9</v>
      </c>
      <c r="I175" s="1">
        <f ca="1">IFERROR(__xludf.DUMMYFUNCTION("""COMPUTED_VALUE"""),107)</f>
        <v>107</v>
      </c>
      <c r="J175" s="1">
        <f ca="1">IFERROR(__xludf.DUMMYFUNCTION("""COMPUTED_VALUE"""),65)</f>
        <v>65</v>
      </c>
      <c r="K175" s="1">
        <f ca="1">IFERROR(__xludf.DUMMYFUNCTION("""COMPUTED_VALUE"""),185)</f>
        <v>185</v>
      </c>
      <c r="L175" s="1">
        <f ca="1">IFERROR(__xludf.DUMMYFUNCTION("""COMPUTED_VALUE"""),-0.006)</f>
        <v>-6.0000000000000001E-3</v>
      </c>
      <c r="M175" s="1">
        <f ca="1">IFERROR(__xludf.DUMMYFUNCTION("""COMPUTED_VALUE"""),183)</f>
        <v>183</v>
      </c>
      <c r="N175" s="1">
        <f ca="1">IFERROR(__xludf.DUMMYFUNCTION("""COMPUTED_VALUE"""),-1.37)</f>
        <v>-1.37</v>
      </c>
      <c r="O175" s="1">
        <f ca="1">IFERROR(__xludf.DUMMYFUNCTION("""COMPUTED_VALUE"""),185)</f>
        <v>185</v>
      </c>
      <c r="P175" s="1">
        <f ca="1">IFERROR(__xludf.DUMMYFUNCTION("""COMPUTED_VALUE"""),103)</f>
        <v>103</v>
      </c>
      <c r="Q175" s="1">
        <f ca="1">IFERROR(__xludf.DUMMYFUNCTION("""COMPUTED_VALUE"""),162)</f>
        <v>162</v>
      </c>
      <c r="R175" s="1">
        <f ca="1">IFERROR(__xludf.DUMMYFUNCTION("""COMPUTED_VALUE"""),104.4)</f>
        <v>104.4</v>
      </c>
      <c r="S175" s="1">
        <f ca="1">IFERROR(__xludf.DUMMYFUNCTION("""COMPUTED_VALUE"""),222)</f>
        <v>222</v>
      </c>
      <c r="T175" s="1" t="str">
        <f ca="1">IFERROR(__xludf.DUMMYFUNCTION("""COMPUTED_VALUE"""),"+0.90")</f>
        <v>+0.90</v>
      </c>
      <c r="U175" s="1">
        <f ca="1">IFERROR(__xludf.DUMMYFUNCTION("""COMPUTED_VALUE"""),130)</f>
        <v>130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IFERROR(__xludf.DUMMYFUNCTION("""COMPUTED_VALUE"""),"VMI")</f>
        <v>VMI</v>
      </c>
      <c r="C176" s="1" t="str">
        <f ca="1">IFERROR(__xludf.DUMMYFUNCTION("""COMPUTED_VALUE"""),"BSth")</f>
        <v>BSth</v>
      </c>
      <c r="D176" s="1" t="str">
        <f ca="1">IFERROR(__xludf.DUMMYFUNCTION("""COMPUTED_VALUE"""),"24-8")</f>
        <v>24-8</v>
      </c>
      <c r="E176" s="1">
        <f ca="1">IFERROR(__xludf.DUMMYFUNCTION("""COMPUTED_VALUE"""),-0.44)</f>
        <v>-0.44</v>
      </c>
      <c r="F176" s="1">
        <f ca="1">IFERROR(__xludf.DUMMYFUNCTION("""COMPUTED_VALUE"""),108.5)</f>
        <v>108.5</v>
      </c>
      <c r="G176" s="1">
        <f ca="1">IFERROR(__xludf.DUMMYFUNCTION("""COMPUTED_VALUE"""),87)</f>
        <v>87</v>
      </c>
      <c r="H176" s="1">
        <f ca="1">IFERROR(__xludf.DUMMYFUNCTION("""COMPUTED_VALUE"""),108.9)</f>
        <v>108.9</v>
      </c>
      <c r="I176" s="1">
        <f ca="1">IFERROR(__xludf.DUMMYFUNCTION("""COMPUTED_VALUE"""),290)</f>
        <v>290</v>
      </c>
      <c r="J176" s="1">
        <f ca="1">IFERROR(__xludf.DUMMYFUNCTION("""COMPUTED_VALUE"""),80.1)</f>
        <v>80.099999999999994</v>
      </c>
      <c r="K176" s="1">
        <f ca="1">IFERROR(__xludf.DUMMYFUNCTION("""COMPUTED_VALUE"""),1)</f>
        <v>1</v>
      </c>
      <c r="L176" s="1" t="str">
        <f ca="1">IFERROR(__xludf.DUMMYFUNCTION("""COMPUTED_VALUE"""),"+.074")</f>
        <v>+.074</v>
      </c>
      <c r="M176" s="1">
        <f ca="1">IFERROR(__xludf.DUMMYFUNCTION("""COMPUTED_VALUE"""),23)</f>
        <v>23</v>
      </c>
      <c r="N176" s="1">
        <f ca="1">IFERROR(__xludf.DUMMYFUNCTION("""COMPUTED_VALUE"""),-6.92)</f>
        <v>-6.92</v>
      </c>
      <c r="O176" s="1">
        <f ca="1">IFERROR(__xludf.DUMMYFUNCTION("""COMPUTED_VALUE"""),306)</f>
        <v>306</v>
      </c>
      <c r="P176" s="1">
        <f ca="1">IFERROR(__xludf.DUMMYFUNCTION("""COMPUTED_VALUE"""),98.4)</f>
        <v>98.4</v>
      </c>
      <c r="Q176" s="1">
        <f ca="1">IFERROR(__xludf.DUMMYFUNCTION("""COMPUTED_VALUE"""),305)</f>
        <v>305</v>
      </c>
      <c r="R176" s="1">
        <f ca="1">IFERROR(__xludf.DUMMYFUNCTION("""COMPUTED_VALUE"""),105.3)</f>
        <v>105.3</v>
      </c>
      <c r="S176" s="1">
        <f ca="1">IFERROR(__xludf.DUMMYFUNCTION("""COMPUTED_VALUE"""),261)</f>
        <v>261</v>
      </c>
      <c r="T176" s="1">
        <f ca="1">IFERROR(__xludf.DUMMYFUNCTION("""COMPUTED_VALUE"""),-0.5)</f>
        <v>-0.5</v>
      </c>
      <c r="U176" s="1">
        <f ca="1">IFERROR(__xludf.DUMMYFUNCTION("""COMPUTED_VALUE"""),176)</f>
        <v>176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IFERROR(__xludf.DUMMYFUNCTION("""COMPUTED_VALUE"""),"Nicholls St.")</f>
        <v>Nicholls St.</v>
      </c>
      <c r="C177" s="1" t="str">
        <f ca="1">IFERROR(__xludf.DUMMYFUNCTION("""COMPUTED_VALUE"""),"Slnd")</f>
        <v>Slnd</v>
      </c>
      <c r="D177" s="1" t="str">
        <f ca="1">IFERROR(__xludf.DUMMYFUNCTION("""COMPUTED_VALUE"""),"20-11")</f>
        <v>20-11</v>
      </c>
      <c r="E177" s="1">
        <f ca="1">IFERROR(__xludf.DUMMYFUNCTION("""COMPUTED_VALUE"""),-0.46)</f>
        <v>-0.46</v>
      </c>
      <c r="F177" s="1">
        <f ca="1">IFERROR(__xludf.DUMMYFUNCTION("""COMPUTED_VALUE"""),101.9)</f>
        <v>101.9</v>
      </c>
      <c r="G177" s="1">
        <f ca="1">IFERROR(__xludf.DUMMYFUNCTION("""COMPUTED_VALUE"""),192)</f>
        <v>192</v>
      </c>
      <c r="H177" s="1">
        <f ca="1">IFERROR(__xludf.DUMMYFUNCTION("""COMPUTED_VALUE"""),102.3)</f>
        <v>102.3</v>
      </c>
      <c r="I177" s="1">
        <f ca="1">IFERROR(__xludf.DUMMYFUNCTION("""COMPUTED_VALUE"""),162)</f>
        <v>162</v>
      </c>
      <c r="J177" s="1">
        <f ca="1">IFERROR(__xludf.DUMMYFUNCTION("""COMPUTED_VALUE"""),59.1)</f>
        <v>59.1</v>
      </c>
      <c r="K177" s="1">
        <f ca="1">IFERROR(__xludf.DUMMYFUNCTION("""COMPUTED_VALUE"""),332)</f>
        <v>332</v>
      </c>
      <c r="L177" s="1" t="str">
        <f ca="1">IFERROR(__xludf.DUMMYFUNCTION("""COMPUTED_VALUE"""),"+.043")</f>
        <v>+.043</v>
      </c>
      <c r="M177" s="1">
        <f ca="1">IFERROR(__xludf.DUMMYFUNCTION("""COMPUTED_VALUE"""),63)</f>
        <v>63</v>
      </c>
      <c r="N177" s="1">
        <f ca="1">IFERROR(__xludf.DUMMYFUNCTION("""COMPUTED_VALUE"""),-4.14)</f>
        <v>-4.1399999999999997</v>
      </c>
      <c r="O177" s="1">
        <f ca="1">IFERROR(__xludf.DUMMYFUNCTION("""COMPUTED_VALUE"""),252)</f>
        <v>252</v>
      </c>
      <c r="P177" s="1">
        <f ca="1">IFERROR(__xludf.DUMMYFUNCTION("""COMPUTED_VALUE"""),99.2)</f>
        <v>99.2</v>
      </c>
      <c r="Q177" s="1">
        <f ca="1">IFERROR(__xludf.DUMMYFUNCTION("""COMPUTED_VALUE"""),286)</f>
        <v>286</v>
      </c>
      <c r="R177" s="1">
        <f ca="1">IFERROR(__xludf.DUMMYFUNCTION("""COMPUTED_VALUE"""),103.3)</f>
        <v>103.3</v>
      </c>
      <c r="S177" s="1">
        <f ca="1">IFERROR(__xludf.DUMMYFUNCTION("""COMPUTED_VALUE"""),178)</f>
        <v>178</v>
      </c>
      <c r="T177" s="1">
        <f ca="1">IFERROR(__xludf.DUMMYFUNCTION("""COMPUTED_VALUE"""),-1.27)</f>
        <v>-1.27</v>
      </c>
      <c r="U177" s="1">
        <f ca="1">IFERROR(__xludf.DUMMYFUNCTION("""COMPUTED_VALUE"""),190)</f>
        <v>190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IFERROR(__xludf.DUMMYFUNCTION("""COMPUTED_VALUE"""),"Long Beach St.")</f>
        <v>Long Beach St.</v>
      </c>
      <c r="C178" s="1" t="str">
        <f ca="1">IFERROR(__xludf.DUMMYFUNCTION("""COMPUTED_VALUE"""),"BW")</f>
        <v>BW</v>
      </c>
      <c r="D178" s="1" t="str">
        <f ca="1">IFERROR(__xludf.DUMMYFUNCTION("""COMPUTED_VALUE"""),"15-15")</f>
        <v>15-15</v>
      </c>
      <c r="E178" s="1">
        <f ca="1">IFERROR(__xludf.DUMMYFUNCTION("""COMPUTED_VALUE"""),-0.51)</f>
        <v>-0.51</v>
      </c>
      <c r="F178" s="1">
        <f ca="1">IFERROR(__xludf.DUMMYFUNCTION("""COMPUTED_VALUE"""),104.5)</f>
        <v>104.5</v>
      </c>
      <c r="G178" s="1">
        <f ca="1">IFERROR(__xludf.DUMMYFUNCTION("""COMPUTED_VALUE"""),138)</f>
        <v>138</v>
      </c>
      <c r="H178" s="1">
        <f ca="1">IFERROR(__xludf.DUMMYFUNCTION("""COMPUTED_VALUE"""),105)</f>
        <v>105</v>
      </c>
      <c r="I178" s="1">
        <f ca="1">IFERROR(__xludf.DUMMYFUNCTION("""COMPUTED_VALUE"""),216)</f>
        <v>216</v>
      </c>
      <c r="J178" s="1">
        <f ca="1">IFERROR(__xludf.DUMMYFUNCTION("""COMPUTED_VALUE"""),65.9)</f>
        <v>65.900000000000006</v>
      </c>
      <c r="K178" s="1">
        <f ca="1">IFERROR(__xludf.DUMMYFUNCTION("""COMPUTED_VALUE"""),147)</f>
        <v>147</v>
      </c>
      <c r="L178" s="1" t="str">
        <f ca="1">IFERROR(__xludf.DUMMYFUNCTION("""COMPUTED_VALUE"""),"+.048")</f>
        <v>+.048</v>
      </c>
      <c r="M178" s="1">
        <f ca="1">IFERROR(__xludf.DUMMYFUNCTION("""COMPUTED_VALUE"""),56)</f>
        <v>56</v>
      </c>
      <c r="N178" s="1" t="str">
        <f ca="1">IFERROR(__xludf.DUMMYFUNCTION("""COMPUTED_VALUE"""),"+0.43")</f>
        <v>+0.43</v>
      </c>
      <c r="O178" s="1">
        <f ca="1">IFERROR(__xludf.DUMMYFUNCTION("""COMPUTED_VALUE"""),148)</f>
        <v>148</v>
      </c>
      <c r="P178" s="1">
        <f ca="1">IFERROR(__xludf.DUMMYFUNCTION("""COMPUTED_VALUE"""),104.2)</f>
        <v>104.2</v>
      </c>
      <c r="Q178" s="1">
        <f ca="1">IFERROR(__xludf.DUMMYFUNCTION("""COMPUTED_VALUE"""),110)</f>
        <v>110</v>
      </c>
      <c r="R178" s="1">
        <f ca="1">IFERROR(__xludf.DUMMYFUNCTION("""COMPUTED_VALUE"""),103.8)</f>
        <v>103.8</v>
      </c>
      <c r="S178" s="1">
        <f ca="1">IFERROR(__xludf.DUMMYFUNCTION("""COMPUTED_VALUE"""),197)</f>
        <v>197</v>
      </c>
      <c r="T178" s="1" t="str">
        <f ca="1">IFERROR(__xludf.DUMMYFUNCTION("""COMPUTED_VALUE"""),"+4.73")</f>
        <v>+4.73</v>
      </c>
      <c r="U178" s="1">
        <f ca="1">IFERROR(__xludf.DUMMYFUNCTION("""COMPUTED_VALUE"""),57)</f>
        <v>57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IFERROR(__xludf.DUMMYFUNCTION("""COMPUTED_VALUE"""),"Hofstra")</f>
        <v>Hofstra</v>
      </c>
      <c r="C179" s="1" t="str">
        <f ca="1">IFERROR(__xludf.DUMMYFUNCTION("""COMPUTED_VALUE"""),"CAA")</f>
        <v>CAA</v>
      </c>
      <c r="D179" s="1" t="str">
        <f ca="1">IFERROR(__xludf.DUMMYFUNCTION("""COMPUTED_VALUE"""),"21-11")</f>
        <v>21-11</v>
      </c>
      <c r="E179" s="1">
        <f ca="1">IFERROR(__xludf.DUMMYFUNCTION("""COMPUTED_VALUE"""),-0.56)</f>
        <v>-0.56000000000000005</v>
      </c>
      <c r="F179" s="1">
        <f ca="1">IFERROR(__xludf.DUMMYFUNCTION("""COMPUTED_VALUE"""),97.9)</f>
        <v>97.9</v>
      </c>
      <c r="G179" s="1">
        <f ca="1">IFERROR(__xludf.DUMMYFUNCTION("""COMPUTED_VALUE"""),249)</f>
        <v>249</v>
      </c>
      <c r="H179" s="1">
        <f ca="1">IFERROR(__xludf.DUMMYFUNCTION("""COMPUTED_VALUE"""),98.4)</f>
        <v>98.4</v>
      </c>
      <c r="I179" s="1">
        <f ca="1">IFERROR(__xludf.DUMMYFUNCTION("""COMPUTED_VALUE"""),80)</f>
        <v>80</v>
      </c>
      <c r="J179" s="1">
        <f ca="1">IFERROR(__xludf.DUMMYFUNCTION("""COMPUTED_VALUE"""),67)</f>
        <v>67</v>
      </c>
      <c r="K179" s="1">
        <f ca="1">IFERROR(__xludf.DUMMYFUNCTION("""COMPUTED_VALUE"""),102)</f>
        <v>102</v>
      </c>
      <c r="L179" s="1" t="str">
        <f ca="1">IFERROR(__xludf.DUMMYFUNCTION("""COMPUTED_VALUE"""),"+.148")</f>
        <v>+.148</v>
      </c>
      <c r="M179" s="1">
        <f ca="1">IFERROR(__xludf.DUMMYFUNCTION("""COMPUTED_VALUE"""),1)</f>
        <v>1</v>
      </c>
      <c r="N179" s="1">
        <f ca="1">IFERROR(__xludf.DUMMYFUNCTION("""COMPUTED_VALUE"""),-1.39)</f>
        <v>-1.39</v>
      </c>
      <c r="O179" s="1">
        <f ca="1">IFERROR(__xludf.DUMMYFUNCTION("""COMPUTED_VALUE"""),187)</f>
        <v>187</v>
      </c>
      <c r="P179" s="1">
        <f ca="1">IFERROR(__xludf.DUMMYFUNCTION("""COMPUTED_VALUE"""),102)</f>
        <v>102</v>
      </c>
      <c r="Q179" s="1">
        <f ca="1">IFERROR(__xludf.DUMMYFUNCTION("""COMPUTED_VALUE"""),209)</f>
        <v>209</v>
      </c>
      <c r="R179" s="1">
        <f ca="1">IFERROR(__xludf.DUMMYFUNCTION("""COMPUTED_VALUE"""),103.4)</f>
        <v>103.4</v>
      </c>
      <c r="S179" s="1">
        <f ca="1">IFERROR(__xludf.DUMMYFUNCTION("""COMPUTED_VALUE"""),181)</f>
        <v>181</v>
      </c>
      <c r="T179" s="1">
        <f ca="1">IFERROR(__xludf.DUMMYFUNCTION("""COMPUTED_VALUE"""),-1.72)</f>
        <v>-1.72</v>
      </c>
      <c r="U179" s="1">
        <f ca="1">IFERROR(__xludf.DUMMYFUNCTION("""COMPUTED_VALUE"""),202)</f>
        <v>202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IFERROR(__xludf.DUMMYFUNCTION("""COMPUTED_VALUE"""),"Ohio")</f>
        <v>Ohio</v>
      </c>
      <c r="C180" s="1" t="str">
        <f ca="1">IFERROR(__xludf.DUMMYFUNCTION("""COMPUTED_VALUE"""),"MAC")</f>
        <v>MAC</v>
      </c>
      <c r="D180" s="1" t="str">
        <f ca="1">IFERROR(__xludf.DUMMYFUNCTION("""COMPUTED_VALUE"""),"15-17")</f>
        <v>15-17</v>
      </c>
      <c r="E180" s="1">
        <f ca="1">IFERROR(__xludf.DUMMYFUNCTION("""COMPUTED_VALUE"""),-0.58)</f>
        <v>-0.57999999999999996</v>
      </c>
      <c r="F180" s="1">
        <f ca="1">IFERROR(__xludf.DUMMYFUNCTION("""COMPUTED_VALUE"""),101.8)</f>
        <v>101.8</v>
      </c>
      <c r="G180" s="1">
        <f ca="1">IFERROR(__xludf.DUMMYFUNCTION("""COMPUTED_VALUE"""),194)</f>
        <v>194</v>
      </c>
      <c r="H180" s="1">
        <f ca="1">IFERROR(__xludf.DUMMYFUNCTION("""COMPUTED_VALUE"""),102.4)</f>
        <v>102.4</v>
      </c>
      <c r="I180" s="1">
        <f ca="1">IFERROR(__xludf.DUMMYFUNCTION("""COMPUTED_VALUE"""),165)</f>
        <v>165</v>
      </c>
      <c r="J180" s="1">
        <f ca="1">IFERROR(__xludf.DUMMYFUNCTION("""COMPUTED_VALUE"""),65.1)</f>
        <v>65.099999999999994</v>
      </c>
      <c r="K180" s="1">
        <f ca="1">IFERROR(__xludf.DUMMYFUNCTION("""COMPUTED_VALUE"""),181)</f>
        <v>181</v>
      </c>
      <c r="L180" s="1">
        <f ca="1">IFERROR(__xludf.DUMMYFUNCTION("""COMPUTED_VALUE"""),-0.023)</f>
        <v>-2.3E-2</v>
      </c>
      <c r="M180" s="1">
        <f ca="1">IFERROR(__xludf.DUMMYFUNCTION("""COMPUTED_VALUE"""),235)</f>
        <v>235</v>
      </c>
      <c r="N180" s="1">
        <f ca="1">IFERROR(__xludf.DUMMYFUNCTION("""COMPUTED_VALUE"""),-0.48)</f>
        <v>-0.48</v>
      </c>
      <c r="O180" s="1">
        <f ca="1">IFERROR(__xludf.DUMMYFUNCTION("""COMPUTED_VALUE"""),170)</f>
        <v>170</v>
      </c>
      <c r="P180" s="1">
        <f ca="1">IFERROR(__xludf.DUMMYFUNCTION("""COMPUTED_VALUE"""),101.4)</f>
        <v>101.4</v>
      </c>
      <c r="Q180" s="1">
        <f ca="1">IFERROR(__xludf.DUMMYFUNCTION("""COMPUTED_VALUE"""),227)</f>
        <v>227</v>
      </c>
      <c r="R180" s="1">
        <f ca="1">IFERROR(__xludf.DUMMYFUNCTION("""COMPUTED_VALUE"""),101.9)</f>
        <v>101.9</v>
      </c>
      <c r="S180" s="1">
        <f ca="1">IFERROR(__xludf.DUMMYFUNCTION("""COMPUTED_VALUE"""),123)</f>
        <v>123</v>
      </c>
      <c r="T180" s="1" t="str">
        <f ca="1">IFERROR(__xludf.DUMMYFUNCTION("""COMPUTED_VALUE"""),"+1.14")</f>
        <v>+1.14</v>
      </c>
      <c r="U180" s="1">
        <f ca="1">IFERROR(__xludf.DUMMYFUNCTION("""COMPUTED_VALUE"""),123)</f>
        <v>123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IFERROR(__xludf.DUMMYFUNCTION("""COMPUTED_VALUE"""),"Boston University")</f>
        <v>Boston University</v>
      </c>
      <c r="C181" s="1" t="str">
        <f ca="1">IFERROR(__xludf.DUMMYFUNCTION("""COMPUTED_VALUE"""),"AE")</f>
        <v>AE</v>
      </c>
      <c r="D181" s="1" t="str">
        <f ca="1">IFERROR(__xludf.DUMMYFUNCTION("""COMPUTED_VALUE"""),"17-13")</f>
        <v>17-13</v>
      </c>
      <c r="E181" s="1">
        <f ca="1">IFERROR(__xludf.DUMMYFUNCTION("""COMPUTED_VALUE"""),-0.59)</f>
        <v>-0.59</v>
      </c>
      <c r="F181" s="1">
        <f ca="1">IFERROR(__xludf.DUMMYFUNCTION("""COMPUTED_VALUE"""),104.4)</f>
        <v>104.4</v>
      </c>
      <c r="G181" s="1">
        <f ca="1">IFERROR(__xludf.DUMMYFUNCTION("""COMPUTED_VALUE"""),141)</f>
        <v>141</v>
      </c>
      <c r="H181" s="1">
        <f ca="1">IFERROR(__xludf.DUMMYFUNCTION("""COMPUTED_VALUE"""),104.9)</f>
        <v>104.9</v>
      </c>
      <c r="I181" s="1">
        <f ca="1">IFERROR(__xludf.DUMMYFUNCTION("""COMPUTED_VALUE"""),212)</f>
        <v>212</v>
      </c>
      <c r="J181" s="1">
        <f ca="1">IFERROR(__xludf.DUMMYFUNCTION("""COMPUTED_VALUE"""),62.7)</f>
        <v>62.7</v>
      </c>
      <c r="K181" s="1">
        <f ca="1">IFERROR(__xludf.DUMMYFUNCTION("""COMPUTED_VALUE"""),275)</f>
        <v>275</v>
      </c>
      <c r="L181" s="1" t="str">
        <f ca="1">IFERROR(__xludf.DUMMYFUNCTION("""COMPUTED_VALUE"""),"+.003")</f>
        <v>+.003</v>
      </c>
      <c r="M181" s="1">
        <f ca="1">IFERROR(__xludf.DUMMYFUNCTION("""COMPUTED_VALUE"""),157)</f>
        <v>157</v>
      </c>
      <c r="N181" s="1">
        <f ca="1">IFERROR(__xludf.DUMMYFUNCTION("""COMPUTED_VALUE"""),-5.22)</f>
        <v>-5.22</v>
      </c>
      <c r="O181" s="1">
        <f ca="1">IFERROR(__xludf.DUMMYFUNCTION("""COMPUTED_VALUE"""),276)</f>
        <v>276</v>
      </c>
      <c r="P181" s="1">
        <f ca="1">IFERROR(__xludf.DUMMYFUNCTION("""COMPUTED_VALUE"""),100)</f>
        <v>100</v>
      </c>
      <c r="Q181" s="1">
        <f ca="1">IFERROR(__xludf.DUMMYFUNCTION("""COMPUTED_VALUE"""),272)</f>
        <v>272</v>
      </c>
      <c r="R181" s="1">
        <f ca="1">IFERROR(__xludf.DUMMYFUNCTION("""COMPUTED_VALUE"""),105.2)</f>
        <v>105.2</v>
      </c>
      <c r="S181" s="1">
        <f ca="1">IFERROR(__xludf.DUMMYFUNCTION("""COMPUTED_VALUE"""),256)</f>
        <v>256</v>
      </c>
      <c r="T181" s="1">
        <f ca="1">IFERROR(__xludf.DUMMYFUNCTION("""COMPUTED_VALUE"""),-3.11)</f>
        <v>-3.11</v>
      </c>
      <c r="U181" s="1">
        <f ca="1">IFERROR(__xludf.DUMMYFUNCTION("""COMPUTED_VALUE"""),235)</f>
        <v>235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IFERROR(__xludf.DUMMYFUNCTION("""COMPUTED_VALUE"""),"Montana")</f>
        <v>Montana</v>
      </c>
      <c r="C182" s="1" t="str">
        <f ca="1">IFERROR(__xludf.DUMMYFUNCTION("""COMPUTED_VALUE"""),"BSky")</f>
        <v>BSky</v>
      </c>
      <c r="D182" s="1" t="str">
        <f ca="1">IFERROR(__xludf.DUMMYFUNCTION("""COMPUTED_VALUE"""),"17-12")</f>
        <v>17-12</v>
      </c>
      <c r="E182" s="1">
        <f ca="1">IFERROR(__xludf.DUMMYFUNCTION("""COMPUTED_VALUE"""),-0.7)</f>
        <v>-0.7</v>
      </c>
      <c r="F182" s="1">
        <f ca="1">IFERROR(__xludf.DUMMYFUNCTION("""COMPUTED_VALUE"""),104.1)</f>
        <v>104.1</v>
      </c>
      <c r="G182" s="1">
        <f ca="1">IFERROR(__xludf.DUMMYFUNCTION("""COMPUTED_VALUE"""),147)</f>
        <v>147</v>
      </c>
      <c r="H182" s="1">
        <f ca="1">IFERROR(__xludf.DUMMYFUNCTION("""COMPUTED_VALUE"""),104.8)</f>
        <v>104.8</v>
      </c>
      <c r="I182" s="1">
        <f ca="1">IFERROR(__xludf.DUMMYFUNCTION("""COMPUTED_VALUE"""),210)</f>
        <v>210</v>
      </c>
      <c r="J182" s="1">
        <f ca="1">IFERROR(__xludf.DUMMYFUNCTION("""COMPUTED_VALUE"""),61.9)</f>
        <v>61.9</v>
      </c>
      <c r="K182" s="1">
        <f ca="1">IFERROR(__xludf.DUMMYFUNCTION("""COMPUTED_VALUE"""),301)</f>
        <v>301</v>
      </c>
      <c r="L182" s="1" t="str">
        <f ca="1">IFERROR(__xludf.DUMMYFUNCTION("""COMPUTED_VALUE"""),"+.030")</f>
        <v>+.030</v>
      </c>
      <c r="M182" s="1">
        <f ca="1">IFERROR(__xludf.DUMMYFUNCTION("""COMPUTED_VALUE"""),93)</f>
        <v>93</v>
      </c>
      <c r="N182" s="1">
        <f ca="1">IFERROR(__xludf.DUMMYFUNCTION("""COMPUTED_VALUE"""),-3.52)</f>
        <v>-3.52</v>
      </c>
      <c r="O182" s="1">
        <f ca="1">IFERROR(__xludf.DUMMYFUNCTION("""COMPUTED_VALUE"""),240)</f>
        <v>240</v>
      </c>
      <c r="P182" s="1">
        <f ca="1">IFERROR(__xludf.DUMMYFUNCTION("""COMPUTED_VALUE"""),102.1)</f>
        <v>102.1</v>
      </c>
      <c r="Q182" s="1">
        <f ca="1">IFERROR(__xludf.DUMMYFUNCTION("""COMPUTED_VALUE"""),204)</f>
        <v>204</v>
      </c>
      <c r="R182" s="1">
        <f ca="1">IFERROR(__xludf.DUMMYFUNCTION("""COMPUTED_VALUE"""),105.6)</f>
        <v>105.6</v>
      </c>
      <c r="S182" s="1">
        <f ca="1">IFERROR(__xludf.DUMMYFUNCTION("""COMPUTED_VALUE"""),280)</f>
        <v>280</v>
      </c>
      <c r="T182" s="1" t="str">
        <f ca="1">IFERROR(__xludf.DUMMYFUNCTION("""COMPUTED_VALUE"""),"+1.78")</f>
        <v>+1.78</v>
      </c>
      <c r="U182" s="1">
        <f ca="1">IFERROR(__xludf.DUMMYFUNCTION("""COMPUTED_VALUE"""),112)</f>
        <v>112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IFERROR(__xludf.DUMMYFUNCTION("""COMPUTED_VALUE"""),"Fairfield")</f>
        <v>Fairfield</v>
      </c>
      <c r="C183" s="1" t="str">
        <f ca="1">IFERROR(__xludf.DUMMYFUNCTION("""COMPUTED_VALUE"""),"MAAC")</f>
        <v>MAAC</v>
      </c>
      <c r="D183" s="1" t="str">
        <f ca="1">IFERROR(__xludf.DUMMYFUNCTION("""COMPUTED_VALUE"""),"17-15")</f>
        <v>17-15</v>
      </c>
      <c r="E183" s="1">
        <f ca="1">IFERROR(__xludf.DUMMYFUNCTION("""COMPUTED_VALUE"""),-0.77)</f>
        <v>-0.77</v>
      </c>
      <c r="F183" s="1">
        <f ca="1">IFERROR(__xludf.DUMMYFUNCTION("""COMPUTED_VALUE"""),103.2)</f>
        <v>103.2</v>
      </c>
      <c r="G183" s="1">
        <f ca="1">IFERROR(__xludf.DUMMYFUNCTION("""COMPUTED_VALUE"""),158)</f>
        <v>158</v>
      </c>
      <c r="H183" s="1">
        <f ca="1">IFERROR(__xludf.DUMMYFUNCTION("""COMPUTED_VALUE"""),104)</f>
        <v>104</v>
      </c>
      <c r="I183" s="1">
        <f ca="1">IFERROR(__xludf.DUMMYFUNCTION("""COMPUTED_VALUE"""),191)</f>
        <v>191</v>
      </c>
      <c r="J183" s="1">
        <f ca="1">IFERROR(__xludf.DUMMYFUNCTION("""COMPUTED_VALUE"""),63.6)</f>
        <v>63.6</v>
      </c>
      <c r="K183" s="1">
        <f ca="1">IFERROR(__xludf.DUMMYFUNCTION("""COMPUTED_VALUE"""),246)</f>
        <v>246</v>
      </c>
      <c r="L183" s="1" t="str">
        <f ca="1">IFERROR(__xludf.DUMMYFUNCTION("""COMPUTED_VALUE"""),"+.080")</f>
        <v>+.080</v>
      </c>
      <c r="M183" s="1">
        <f ca="1">IFERROR(__xludf.DUMMYFUNCTION("""COMPUTED_VALUE"""),19)</f>
        <v>19</v>
      </c>
      <c r="N183" s="1" t="str">
        <f ca="1">IFERROR(__xludf.DUMMYFUNCTION("""COMPUTED_VALUE"""),"+0.28")</f>
        <v>+0.28</v>
      </c>
      <c r="O183" s="1">
        <f ca="1">IFERROR(__xludf.DUMMYFUNCTION("""COMPUTED_VALUE"""),150)</f>
        <v>150</v>
      </c>
      <c r="P183" s="1">
        <f ca="1">IFERROR(__xludf.DUMMYFUNCTION("""COMPUTED_VALUE"""),101.3)</f>
        <v>101.3</v>
      </c>
      <c r="Q183" s="1">
        <f ca="1">IFERROR(__xludf.DUMMYFUNCTION("""COMPUTED_VALUE"""),229)</f>
        <v>229</v>
      </c>
      <c r="R183" s="1">
        <f ca="1">IFERROR(__xludf.DUMMYFUNCTION("""COMPUTED_VALUE"""),101.1)</f>
        <v>101.1</v>
      </c>
      <c r="S183" s="1">
        <f ca="1">IFERROR(__xludf.DUMMYFUNCTION("""COMPUTED_VALUE"""),87)</f>
        <v>87</v>
      </c>
      <c r="T183" s="1" t="str">
        <f ca="1">IFERROR(__xludf.DUMMYFUNCTION("""COMPUTED_VALUE"""),"+3.26")</f>
        <v>+3.26</v>
      </c>
      <c r="U183" s="1">
        <f ca="1">IFERROR(__xludf.DUMMYFUNCTION("""COMPUTED_VALUE"""),83)</f>
        <v>83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IFERROR(__xludf.DUMMYFUNCTION("""COMPUTED_VALUE"""),"Tulane")</f>
        <v>Tulane</v>
      </c>
      <c r="C184" s="1" t="str">
        <f ca="1">IFERROR(__xludf.DUMMYFUNCTION("""COMPUTED_VALUE"""),"CUSA")</f>
        <v>CUSA</v>
      </c>
      <c r="D184" s="1" t="str">
        <f ca="1">IFERROR(__xludf.DUMMYFUNCTION("""COMPUTED_VALUE"""),"14-17")</f>
        <v>14-17</v>
      </c>
      <c r="E184" s="1">
        <f ca="1">IFERROR(__xludf.DUMMYFUNCTION("""COMPUTED_VALUE"""),-0.78)</f>
        <v>-0.78</v>
      </c>
      <c r="F184" s="1">
        <f ca="1">IFERROR(__xludf.DUMMYFUNCTION("""COMPUTED_VALUE"""),98.6)</f>
        <v>98.6</v>
      </c>
      <c r="G184" s="1">
        <f ca="1">IFERROR(__xludf.DUMMYFUNCTION("""COMPUTED_VALUE"""),238)</f>
        <v>238</v>
      </c>
      <c r="H184" s="1">
        <f ca="1">IFERROR(__xludf.DUMMYFUNCTION("""COMPUTED_VALUE"""),99.4)</f>
        <v>99.4</v>
      </c>
      <c r="I184" s="1">
        <f ca="1">IFERROR(__xludf.DUMMYFUNCTION("""COMPUTED_VALUE"""),95)</f>
        <v>95</v>
      </c>
      <c r="J184" s="1">
        <f ca="1">IFERROR(__xludf.DUMMYFUNCTION("""COMPUTED_VALUE"""),64.6)</f>
        <v>64.599999999999994</v>
      </c>
      <c r="K184" s="1">
        <f ca="1">IFERROR(__xludf.DUMMYFUNCTION("""COMPUTED_VALUE"""),203)</f>
        <v>203</v>
      </c>
      <c r="L184" s="1">
        <f ca="1">IFERROR(__xludf.DUMMYFUNCTION("""COMPUTED_VALUE"""),-0.01)</f>
        <v>-0.01</v>
      </c>
      <c r="M184" s="1">
        <f ca="1">IFERROR(__xludf.DUMMYFUNCTION("""COMPUTED_VALUE"""),192)</f>
        <v>192</v>
      </c>
      <c r="N184" s="1" t="str">
        <f ca="1">IFERROR(__xludf.DUMMYFUNCTION("""COMPUTED_VALUE"""),"+0.95")</f>
        <v>+0.95</v>
      </c>
      <c r="O184" s="1">
        <f ca="1">IFERROR(__xludf.DUMMYFUNCTION("""COMPUTED_VALUE"""),137)</f>
        <v>137</v>
      </c>
      <c r="P184" s="1">
        <f ca="1">IFERROR(__xludf.DUMMYFUNCTION("""COMPUTED_VALUE"""),104.2)</f>
        <v>104.2</v>
      </c>
      <c r="Q184" s="1">
        <f ca="1">IFERROR(__xludf.DUMMYFUNCTION("""COMPUTED_VALUE"""),111)</f>
        <v>111</v>
      </c>
      <c r="R184" s="1">
        <f ca="1">IFERROR(__xludf.DUMMYFUNCTION("""COMPUTED_VALUE"""),103.2)</f>
        <v>103.2</v>
      </c>
      <c r="S184" s="1">
        <f ca="1">IFERROR(__xludf.DUMMYFUNCTION("""COMPUTED_VALUE"""),175)</f>
        <v>175</v>
      </c>
      <c r="T184" s="1">
        <f ca="1">IFERROR(__xludf.DUMMYFUNCTION("""COMPUTED_VALUE"""),-4.57)</f>
        <v>-4.57</v>
      </c>
      <c r="U184" s="1">
        <f ca="1">IFERROR(__xludf.DUMMYFUNCTION("""COMPUTED_VALUE"""),270)</f>
        <v>270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IFERROR(__xludf.DUMMYFUNCTION("""COMPUTED_VALUE"""),"IUPUI")</f>
        <v>IUPUI</v>
      </c>
      <c r="C185" s="1" t="str">
        <f ca="1">IFERROR(__xludf.DUMMYFUNCTION("""COMPUTED_VALUE"""),"Sum")</f>
        <v>Sum</v>
      </c>
      <c r="D185" s="1" t="str">
        <f ca="1">IFERROR(__xludf.DUMMYFUNCTION("""COMPUTED_VALUE"""),"16-14")</f>
        <v>16-14</v>
      </c>
      <c r="E185" s="1">
        <f ca="1">IFERROR(__xludf.DUMMYFUNCTION("""COMPUTED_VALUE"""),-0.79)</f>
        <v>-0.79</v>
      </c>
      <c r="F185" s="1">
        <f ca="1">IFERROR(__xludf.DUMMYFUNCTION("""COMPUTED_VALUE"""),103.8)</f>
        <v>103.8</v>
      </c>
      <c r="G185" s="1">
        <f ca="1">IFERROR(__xludf.DUMMYFUNCTION("""COMPUTED_VALUE"""),150)</f>
        <v>150</v>
      </c>
      <c r="H185" s="1">
        <f ca="1">IFERROR(__xludf.DUMMYFUNCTION("""COMPUTED_VALUE"""),104.6)</f>
        <v>104.6</v>
      </c>
      <c r="I185" s="1">
        <f ca="1">IFERROR(__xludf.DUMMYFUNCTION("""COMPUTED_VALUE"""),209)</f>
        <v>209</v>
      </c>
      <c r="J185" s="1">
        <f ca="1">IFERROR(__xludf.DUMMYFUNCTION("""COMPUTED_VALUE"""),61.2)</f>
        <v>61.2</v>
      </c>
      <c r="K185" s="1">
        <f ca="1">IFERROR(__xludf.DUMMYFUNCTION("""COMPUTED_VALUE"""),312)</f>
        <v>312</v>
      </c>
      <c r="L185" s="1">
        <f ca="1">IFERROR(__xludf.DUMMYFUNCTION("""COMPUTED_VALUE"""),-0.008)</f>
        <v>-8.0000000000000002E-3</v>
      </c>
      <c r="M185" s="1">
        <f ca="1">IFERROR(__xludf.DUMMYFUNCTION("""COMPUTED_VALUE"""),186)</f>
        <v>186</v>
      </c>
      <c r="N185" s="1">
        <f ca="1">IFERROR(__xludf.DUMMYFUNCTION("""COMPUTED_VALUE"""),-1.12)</f>
        <v>-1.1200000000000001</v>
      </c>
      <c r="O185" s="1">
        <f ca="1">IFERROR(__xludf.DUMMYFUNCTION("""COMPUTED_VALUE"""),180)</f>
        <v>180</v>
      </c>
      <c r="P185" s="1">
        <f ca="1">IFERROR(__xludf.DUMMYFUNCTION("""COMPUTED_VALUE"""),103.9)</f>
        <v>103.9</v>
      </c>
      <c r="Q185" s="1">
        <f ca="1">IFERROR(__xludf.DUMMYFUNCTION("""COMPUTED_VALUE"""),124)</f>
        <v>124</v>
      </c>
      <c r="R185" s="1">
        <f ca="1">IFERROR(__xludf.DUMMYFUNCTION("""COMPUTED_VALUE"""),105)</f>
        <v>105</v>
      </c>
      <c r="S185" s="1">
        <f ca="1">IFERROR(__xludf.DUMMYFUNCTION("""COMPUTED_VALUE"""),249)</f>
        <v>249</v>
      </c>
      <c r="T185" s="1" t="str">
        <f ca="1">IFERROR(__xludf.DUMMYFUNCTION("""COMPUTED_VALUE"""),"+3.39")</f>
        <v>+3.39</v>
      </c>
      <c r="U185" s="1">
        <f ca="1">IFERROR(__xludf.DUMMYFUNCTION("""COMPUTED_VALUE"""),81)</f>
        <v>81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IFERROR(__xludf.DUMMYFUNCTION("""COMPUTED_VALUE"""),"Radford16")</f>
        <v>Radford16</v>
      </c>
      <c r="C186" s="1" t="str">
        <f ca="1">IFERROR(__xludf.DUMMYFUNCTION("""COMPUTED_VALUE"""),"BSth")</f>
        <v>BSth</v>
      </c>
      <c r="D186" s="1" t="str">
        <f ca="1">IFERROR(__xludf.DUMMYFUNCTION("""COMPUTED_VALUE"""),"21-12")</f>
        <v>21-12</v>
      </c>
      <c r="E186" s="1">
        <f ca="1">IFERROR(__xludf.DUMMYFUNCTION("""COMPUTED_VALUE"""),-0.86)</f>
        <v>-0.86</v>
      </c>
      <c r="F186" s="1">
        <f ca="1">IFERROR(__xludf.DUMMYFUNCTION("""COMPUTED_VALUE"""),101.2)</f>
        <v>101.2</v>
      </c>
      <c r="G186" s="1">
        <f ca="1">IFERROR(__xludf.DUMMYFUNCTION("""COMPUTED_VALUE"""),208)</f>
        <v>208</v>
      </c>
      <c r="H186" s="1">
        <f ca="1">IFERROR(__xludf.DUMMYFUNCTION("""COMPUTED_VALUE"""),102.1)</f>
        <v>102.1</v>
      </c>
      <c r="I186" s="1">
        <f ca="1">IFERROR(__xludf.DUMMYFUNCTION("""COMPUTED_VALUE"""),153)</f>
        <v>153</v>
      </c>
      <c r="J186" s="1">
        <f ca="1">IFERROR(__xludf.DUMMYFUNCTION("""COMPUTED_VALUE"""),69.2)</f>
        <v>69.2</v>
      </c>
      <c r="K186" s="1">
        <f ca="1">IFERROR(__xludf.DUMMYFUNCTION("""COMPUTED_VALUE"""),37)</f>
        <v>37</v>
      </c>
      <c r="L186" s="1" t="str">
        <f ca="1">IFERROR(__xludf.DUMMYFUNCTION("""COMPUTED_VALUE"""),"+.076")</f>
        <v>+.076</v>
      </c>
      <c r="M186" s="1">
        <f ca="1">IFERROR(__xludf.DUMMYFUNCTION("""COMPUTED_VALUE"""),21)</f>
        <v>21</v>
      </c>
      <c r="N186" s="1">
        <f ca="1">IFERROR(__xludf.DUMMYFUNCTION("""COMPUTED_VALUE"""),-4.54)</f>
        <v>-4.54</v>
      </c>
      <c r="O186" s="1">
        <f ca="1">IFERROR(__xludf.DUMMYFUNCTION("""COMPUTED_VALUE"""),260)</f>
        <v>260</v>
      </c>
      <c r="P186" s="1">
        <f ca="1">IFERROR(__xludf.DUMMYFUNCTION("""COMPUTED_VALUE"""),101)</f>
        <v>101</v>
      </c>
      <c r="Q186" s="1">
        <f ca="1">IFERROR(__xludf.DUMMYFUNCTION("""COMPUTED_VALUE"""),243)</f>
        <v>243</v>
      </c>
      <c r="R186" s="1">
        <f ca="1">IFERROR(__xludf.DUMMYFUNCTION("""COMPUTED_VALUE"""),105.5)</f>
        <v>105.5</v>
      </c>
      <c r="S186" s="1">
        <f ca="1">IFERROR(__xludf.DUMMYFUNCTION("""COMPUTED_VALUE"""),271)</f>
        <v>271</v>
      </c>
      <c r="T186" s="1" t="str">
        <f ca="1">IFERROR(__xludf.DUMMYFUNCTION("""COMPUTED_VALUE"""),"+8.71")</f>
        <v>+8.71</v>
      </c>
      <c r="U186" s="1">
        <f ca="1">IFERROR(__xludf.DUMMYFUNCTION("""COMPUTED_VALUE"""),22)</f>
        <v>22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IFERROR(__xludf.DUMMYFUNCTION("""COMPUTED_VALUE"""),"Binghamton15")</f>
        <v>Binghamton15</v>
      </c>
      <c r="C187" s="1" t="str">
        <f ca="1">IFERROR(__xludf.DUMMYFUNCTION("""COMPUTED_VALUE"""),"AE")</f>
        <v>AE</v>
      </c>
      <c r="D187" s="1" t="str">
        <f ca="1">IFERROR(__xludf.DUMMYFUNCTION("""COMPUTED_VALUE"""),"23-9")</f>
        <v>23-9</v>
      </c>
      <c r="E187" s="1">
        <f ca="1">IFERROR(__xludf.DUMMYFUNCTION("""COMPUTED_VALUE"""),-0.98)</f>
        <v>-0.98</v>
      </c>
      <c r="F187" s="1">
        <f ca="1">IFERROR(__xludf.DUMMYFUNCTION("""COMPUTED_VALUE"""),102.3)</f>
        <v>102.3</v>
      </c>
      <c r="G187" s="1">
        <f ca="1">IFERROR(__xludf.DUMMYFUNCTION("""COMPUTED_VALUE"""),181)</f>
        <v>181</v>
      </c>
      <c r="H187" s="1">
        <f ca="1">IFERROR(__xludf.DUMMYFUNCTION("""COMPUTED_VALUE"""),103.3)</f>
        <v>103.3</v>
      </c>
      <c r="I187" s="1">
        <f ca="1">IFERROR(__xludf.DUMMYFUNCTION("""COMPUTED_VALUE"""),178)</f>
        <v>178</v>
      </c>
      <c r="J187" s="1">
        <f ca="1">IFERROR(__xludf.DUMMYFUNCTION("""COMPUTED_VALUE"""),67.2)</f>
        <v>67.2</v>
      </c>
      <c r="K187" s="1">
        <f ca="1">IFERROR(__xludf.DUMMYFUNCTION("""COMPUTED_VALUE"""),91)</f>
        <v>91</v>
      </c>
      <c r="L187" s="1" t="str">
        <f ca="1">IFERROR(__xludf.DUMMYFUNCTION("""COMPUTED_VALUE"""),"+.130")</f>
        <v>+.130</v>
      </c>
      <c r="M187" s="1">
        <f ca="1">IFERROR(__xludf.DUMMYFUNCTION("""COMPUTED_VALUE"""),3)</f>
        <v>3</v>
      </c>
      <c r="N187" s="1">
        <f ca="1">IFERROR(__xludf.DUMMYFUNCTION("""COMPUTED_VALUE"""),-5.64)</f>
        <v>-5.64</v>
      </c>
      <c r="O187" s="1">
        <f ca="1">IFERROR(__xludf.DUMMYFUNCTION("""COMPUTED_VALUE"""),282)</f>
        <v>282</v>
      </c>
      <c r="P187" s="1">
        <f ca="1">IFERROR(__xludf.DUMMYFUNCTION("""COMPUTED_VALUE"""),99.6)</f>
        <v>99.6</v>
      </c>
      <c r="Q187" s="1">
        <f ca="1">IFERROR(__xludf.DUMMYFUNCTION("""COMPUTED_VALUE"""),281)</f>
        <v>281</v>
      </c>
      <c r="R187" s="1">
        <f ca="1">IFERROR(__xludf.DUMMYFUNCTION("""COMPUTED_VALUE"""),105.3)</f>
        <v>105.3</v>
      </c>
      <c r="S187" s="1">
        <f ca="1">IFERROR(__xludf.DUMMYFUNCTION("""COMPUTED_VALUE"""),259)</f>
        <v>259</v>
      </c>
      <c r="T187" s="1">
        <f ca="1">IFERROR(__xludf.DUMMYFUNCTION("""COMPUTED_VALUE"""),-4.08)</f>
        <v>-4.08</v>
      </c>
      <c r="U187" s="1">
        <f ca="1">IFERROR(__xludf.DUMMYFUNCTION("""COMPUTED_VALUE"""),253)</f>
        <v>253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IFERROR(__xludf.DUMMYFUNCTION("""COMPUTED_VALUE"""),"Colorado")</f>
        <v>Colorado</v>
      </c>
      <c r="C188" s="1" t="str">
        <f ca="1">IFERROR(__xludf.DUMMYFUNCTION("""COMPUTED_VALUE"""),"B12")</f>
        <v>B12</v>
      </c>
      <c r="D188" s="2">
        <f ca="1">IFERROR(__xludf.DUMMYFUNCTION("""COMPUTED_VALUE"""),44826)</f>
        <v>44826</v>
      </c>
      <c r="E188" s="1">
        <f ca="1">IFERROR(__xludf.DUMMYFUNCTION("""COMPUTED_VALUE"""),-1)</f>
        <v>-1</v>
      </c>
      <c r="F188" s="1">
        <f ca="1">IFERROR(__xludf.DUMMYFUNCTION("""COMPUTED_VALUE"""),101.2)</f>
        <v>101.2</v>
      </c>
      <c r="G188" s="1">
        <f ca="1">IFERROR(__xludf.DUMMYFUNCTION("""COMPUTED_VALUE"""),210)</f>
        <v>210</v>
      </c>
      <c r="H188" s="1">
        <f ca="1">IFERROR(__xludf.DUMMYFUNCTION("""COMPUTED_VALUE"""),102.2)</f>
        <v>102.2</v>
      </c>
      <c r="I188" s="1">
        <f ca="1">IFERROR(__xludf.DUMMYFUNCTION("""COMPUTED_VALUE"""),157)</f>
        <v>157</v>
      </c>
      <c r="J188" s="1">
        <f ca="1">IFERROR(__xludf.DUMMYFUNCTION("""COMPUTED_VALUE"""),61.6)</f>
        <v>61.6</v>
      </c>
      <c r="K188" s="1">
        <f ca="1">IFERROR(__xludf.DUMMYFUNCTION("""COMPUTED_VALUE"""),310)</f>
        <v>310</v>
      </c>
      <c r="L188" s="1">
        <f ca="1">IFERROR(__xludf.DUMMYFUNCTION("""COMPUTED_VALUE"""),-0.098)</f>
        <v>-9.8000000000000004E-2</v>
      </c>
      <c r="M188" s="1">
        <f ca="1">IFERROR(__xludf.DUMMYFUNCTION("""COMPUTED_VALUE"""),336)</f>
        <v>336</v>
      </c>
      <c r="N188" s="1" t="str">
        <f ca="1">IFERROR(__xludf.DUMMYFUNCTION("""COMPUTED_VALUE"""),"+6.34")</f>
        <v>+6.34</v>
      </c>
      <c r="O188" s="1">
        <f ca="1">IFERROR(__xludf.DUMMYFUNCTION("""COMPUTED_VALUE"""),57)</f>
        <v>57</v>
      </c>
      <c r="P188" s="1">
        <f ca="1">IFERROR(__xludf.DUMMYFUNCTION("""COMPUTED_VALUE"""),106.2)</f>
        <v>106.2</v>
      </c>
      <c r="Q188" s="1">
        <f ca="1">IFERROR(__xludf.DUMMYFUNCTION("""COMPUTED_VALUE"""),60)</f>
        <v>60</v>
      </c>
      <c r="R188" s="1">
        <f ca="1">IFERROR(__xludf.DUMMYFUNCTION("""COMPUTED_VALUE"""),99.9)</f>
        <v>99.9</v>
      </c>
      <c r="S188" s="1">
        <f ca="1">IFERROR(__xludf.DUMMYFUNCTION("""COMPUTED_VALUE"""),56)</f>
        <v>56</v>
      </c>
      <c r="T188" s="1">
        <f ca="1">IFERROR(__xludf.DUMMYFUNCTION("""COMPUTED_VALUE"""),-8.22)</f>
        <v>-8.2200000000000006</v>
      </c>
      <c r="U188" s="1">
        <f ca="1">IFERROR(__xludf.DUMMYFUNCTION("""COMPUTED_VALUE"""),323)</f>
        <v>323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IFERROR(__xludf.DUMMYFUNCTION("""COMPUTED_VALUE"""),"Rider")</f>
        <v>Rider</v>
      </c>
      <c r="C189" s="1" t="str">
        <f ca="1">IFERROR(__xludf.DUMMYFUNCTION("""COMPUTED_VALUE"""),"MAAC")</f>
        <v>MAAC</v>
      </c>
      <c r="D189" s="1" t="str">
        <f ca="1">IFERROR(__xludf.DUMMYFUNCTION("""COMPUTED_VALUE"""),"19-13")</f>
        <v>19-13</v>
      </c>
      <c r="E189" s="1">
        <f ca="1">IFERROR(__xludf.DUMMYFUNCTION("""COMPUTED_VALUE"""),-1.25)</f>
        <v>-1.25</v>
      </c>
      <c r="F189" s="1">
        <f ca="1">IFERROR(__xludf.DUMMYFUNCTION("""COMPUTED_VALUE"""),105.1)</f>
        <v>105.1</v>
      </c>
      <c r="G189" s="1">
        <f ca="1">IFERROR(__xludf.DUMMYFUNCTION("""COMPUTED_VALUE"""),131)</f>
        <v>131</v>
      </c>
      <c r="H189" s="1">
        <f ca="1">IFERROR(__xludf.DUMMYFUNCTION("""COMPUTED_VALUE"""),106.3)</f>
        <v>106.3</v>
      </c>
      <c r="I189" s="1">
        <f ca="1">IFERROR(__xludf.DUMMYFUNCTION("""COMPUTED_VALUE"""),247)</f>
        <v>247</v>
      </c>
      <c r="J189" s="1">
        <f ca="1">IFERROR(__xludf.DUMMYFUNCTION("""COMPUTED_VALUE"""),67.8)</f>
        <v>67.8</v>
      </c>
      <c r="K189" s="1">
        <f ca="1">IFERROR(__xludf.DUMMYFUNCTION("""COMPUTED_VALUE"""),70)</f>
        <v>70</v>
      </c>
      <c r="L189" s="1" t="str">
        <f ca="1">IFERROR(__xludf.DUMMYFUNCTION("""COMPUTED_VALUE"""),"+.055")</f>
        <v>+.055</v>
      </c>
      <c r="M189" s="1">
        <f ca="1">IFERROR(__xludf.DUMMYFUNCTION("""COMPUTED_VALUE"""),45)</f>
        <v>45</v>
      </c>
      <c r="N189" s="1">
        <f ca="1">IFERROR(__xludf.DUMMYFUNCTION("""COMPUTED_VALUE"""),-3.18)</f>
        <v>-3.18</v>
      </c>
      <c r="O189" s="1">
        <f ca="1">IFERROR(__xludf.DUMMYFUNCTION("""COMPUTED_VALUE"""),226)</f>
        <v>226</v>
      </c>
      <c r="P189" s="1">
        <f ca="1">IFERROR(__xludf.DUMMYFUNCTION("""COMPUTED_VALUE"""),99.3)</f>
        <v>99.3</v>
      </c>
      <c r="Q189" s="1">
        <f ca="1">IFERROR(__xludf.DUMMYFUNCTION("""COMPUTED_VALUE"""),283)</f>
        <v>283</v>
      </c>
      <c r="R189" s="1">
        <f ca="1">IFERROR(__xludf.DUMMYFUNCTION("""COMPUTED_VALUE"""),102.5)</f>
        <v>102.5</v>
      </c>
      <c r="S189" s="1">
        <f ca="1">IFERROR(__xludf.DUMMYFUNCTION("""COMPUTED_VALUE"""),144)</f>
        <v>144</v>
      </c>
      <c r="T189" s="1">
        <f ca="1">IFERROR(__xludf.DUMMYFUNCTION("""COMPUTED_VALUE"""),-6.21)</f>
        <v>-6.21</v>
      </c>
      <c r="U189" s="1">
        <f ca="1">IFERROR(__xludf.DUMMYFUNCTION("""COMPUTED_VALUE"""),302)</f>
        <v>302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IFERROR(__xludf.DUMMYFUNCTION("""COMPUTED_VALUE"""),"South Alabama")</f>
        <v>South Alabama</v>
      </c>
      <c r="C190" s="1" t="str">
        <f ca="1">IFERROR(__xludf.DUMMYFUNCTION("""COMPUTED_VALUE"""),"SB")</f>
        <v>SB</v>
      </c>
      <c r="D190" s="1" t="str">
        <f ca="1">IFERROR(__xludf.DUMMYFUNCTION("""COMPUTED_VALUE"""),"20-13")</f>
        <v>20-13</v>
      </c>
      <c r="E190" s="1">
        <f ca="1">IFERROR(__xludf.DUMMYFUNCTION("""COMPUTED_VALUE"""),-1.28)</f>
        <v>-1.28</v>
      </c>
      <c r="F190" s="1">
        <f ca="1">IFERROR(__xludf.DUMMYFUNCTION("""COMPUTED_VALUE"""),102.8)</f>
        <v>102.8</v>
      </c>
      <c r="G190" s="1">
        <f ca="1">IFERROR(__xludf.DUMMYFUNCTION("""COMPUTED_VALUE"""),165)</f>
        <v>165</v>
      </c>
      <c r="H190" s="1">
        <f ca="1">IFERROR(__xludf.DUMMYFUNCTION("""COMPUTED_VALUE"""),104.1)</f>
        <v>104.1</v>
      </c>
      <c r="I190" s="1">
        <f ca="1">IFERROR(__xludf.DUMMYFUNCTION("""COMPUTED_VALUE"""),194)</f>
        <v>194</v>
      </c>
      <c r="J190" s="1">
        <f ca="1">IFERROR(__xludf.DUMMYFUNCTION("""COMPUTED_VALUE"""),63.2)</f>
        <v>63.2</v>
      </c>
      <c r="K190" s="1">
        <f ca="1">IFERROR(__xludf.DUMMYFUNCTION("""COMPUTED_VALUE"""),264)</f>
        <v>264</v>
      </c>
      <c r="L190" s="1" t="str">
        <f ca="1">IFERROR(__xludf.DUMMYFUNCTION("""COMPUTED_VALUE"""),"+.037")</f>
        <v>+.037</v>
      </c>
      <c r="M190" s="1">
        <f ca="1">IFERROR(__xludf.DUMMYFUNCTION("""COMPUTED_VALUE"""),75)</f>
        <v>75</v>
      </c>
      <c r="N190" s="1">
        <f ca="1">IFERROR(__xludf.DUMMYFUNCTION("""COMPUTED_VALUE"""),-4.92)</f>
        <v>-4.92</v>
      </c>
      <c r="O190" s="1">
        <f ca="1">IFERROR(__xludf.DUMMYFUNCTION("""COMPUTED_VALUE"""),269)</f>
        <v>269</v>
      </c>
      <c r="P190" s="1">
        <f ca="1">IFERROR(__xludf.DUMMYFUNCTION("""COMPUTED_VALUE"""),101.7)</f>
        <v>101.7</v>
      </c>
      <c r="Q190" s="1">
        <f ca="1">IFERROR(__xludf.DUMMYFUNCTION("""COMPUTED_VALUE"""),215)</f>
        <v>215</v>
      </c>
      <c r="R190" s="1">
        <f ca="1">IFERROR(__xludf.DUMMYFUNCTION("""COMPUTED_VALUE"""),106.6)</f>
        <v>106.6</v>
      </c>
      <c r="S190" s="1">
        <f ca="1">IFERROR(__xludf.DUMMYFUNCTION("""COMPUTED_VALUE"""),321)</f>
        <v>321</v>
      </c>
      <c r="T190" s="1">
        <f ca="1">IFERROR(__xludf.DUMMYFUNCTION("""COMPUTED_VALUE"""),-5.67)</f>
        <v>-5.67</v>
      </c>
      <c r="U190" s="1">
        <f ca="1">IFERROR(__xludf.DUMMYFUNCTION("""COMPUTED_VALUE"""),294)</f>
        <v>294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IFERROR(__xludf.DUMMYFUNCTION("""COMPUTED_VALUE"""),"Colorado St.")</f>
        <v>Colorado St.</v>
      </c>
      <c r="C191" s="1" t="str">
        <f ca="1">IFERROR(__xludf.DUMMYFUNCTION("""COMPUTED_VALUE"""),"MWC")</f>
        <v>MWC</v>
      </c>
      <c r="D191" s="2">
        <f ca="1">IFERROR(__xludf.DUMMYFUNCTION("""COMPUTED_VALUE"""),44826)</f>
        <v>44826</v>
      </c>
      <c r="E191" s="1">
        <f ca="1">IFERROR(__xludf.DUMMYFUNCTION("""COMPUTED_VALUE"""),-1.37)</f>
        <v>-1.37</v>
      </c>
      <c r="F191" s="1">
        <f ca="1">IFERROR(__xludf.DUMMYFUNCTION("""COMPUTED_VALUE"""),107)</f>
        <v>107</v>
      </c>
      <c r="G191" s="1">
        <f ca="1">IFERROR(__xludf.DUMMYFUNCTION("""COMPUTED_VALUE"""),100)</f>
        <v>100</v>
      </c>
      <c r="H191" s="1">
        <f ca="1">IFERROR(__xludf.DUMMYFUNCTION("""COMPUTED_VALUE"""),108.4)</f>
        <v>108.4</v>
      </c>
      <c r="I191" s="1">
        <f ca="1">IFERROR(__xludf.DUMMYFUNCTION("""COMPUTED_VALUE"""),282)</f>
        <v>282</v>
      </c>
      <c r="J191" s="1">
        <f ca="1">IFERROR(__xludf.DUMMYFUNCTION("""COMPUTED_VALUE"""),66.4)</f>
        <v>66.400000000000006</v>
      </c>
      <c r="K191" s="1">
        <f ca="1">IFERROR(__xludf.DUMMYFUNCTION("""COMPUTED_VALUE"""),123)</f>
        <v>123</v>
      </c>
      <c r="L191" s="1">
        <f ca="1">IFERROR(__xludf.DUMMYFUNCTION("""COMPUTED_VALUE"""),-0.057)</f>
        <v>-5.7000000000000002E-2</v>
      </c>
      <c r="M191" s="1">
        <f ca="1">IFERROR(__xludf.DUMMYFUNCTION("""COMPUTED_VALUE"""),308)</f>
        <v>308</v>
      </c>
      <c r="N191" s="1" t="str">
        <f ca="1">IFERROR(__xludf.DUMMYFUNCTION("""COMPUTED_VALUE"""),"+5.13")</f>
        <v>+5.13</v>
      </c>
      <c r="O191" s="1">
        <f ca="1">IFERROR(__xludf.DUMMYFUNCTION("""COMPUTED_VALUE"""),70)</f>
        <v>70</v>
      </c>
      <c r="P191" s="1">
        <f ca="1">IFERROR(__xludf.DUMMYFUNCTION("""COMPUTED_VALUE"""),105.3)</f>
        <v>105.3</v>
      </c>
      <c r="Q191" s="1">
        <f ca="1">IFERROR(__xludf.DUMMYFUNCTION("""COMPUTED_VALUE"""),81)</f>
        <v>81</v>
      </c>
      <c r="R191" s="1">
        <f ca="1">IFERROR(__xludf.DUMMYFUNCTION("""COMPUTED_VALUE"""),100.2)</f>
        <v>100.2</v>
      </c>
      <c r="S191" s="1">
        <f ca="1">IFERROR(__xludf.DUMMYFUNCTION("""COMPUTED_VALUE"""),65)</f>
        <v>65</v>
      </c>
      <c r="T191" s="1" t="str">
        <f ca="1">IFERROR(__xludf.DUMMYFUNCTION("""COMPUTED_VALUE"""),"+0.65")</f>
        <v>+0.65</v>
      </c>
      <c r="U191" s="1">
        <f ca="1">IFERROR(__xludf.DUMMYFUNCTION("""COMPUTED_VALUE"""),137)</f>
        <v>137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IFERROR(__xludf.DUMMYFUNCTION("""COMPUTED_VALUE"""),"Holy Cross")</f>
        <v>Holy Cross</v>
      </c>
      <c r="C192" s="1" t="str">
        <f ca="1">IFERROR(__xludf.DUMMYFUNCTION("""COMPUTED_VALUE"""),"Pat")</f>
        <v>Pat</v>
      </c>
      <c r="D192" s="1" t="str">
        <f ca="1">IFERROR(__xludf.DUMMYFUNCTION("""COMPUTED_VALUE"""),"18-14")</f>
        <v>18-14</v>
      </c>
      <c r="E192" s="1">
        <f ca="1">IFERROR(__xludf.DUMMYFUNCTION("""COMPUTED_VALUE"""),-1.39)</f>
        <v>-1.39</v>
      </c>
      <c r="F192" s="1">
        <f ca="1">IFERROR(__xludf.DUMMYFUNCTION("""COMPUTED_VALUE"""),98.7)</f>
        <v>98.7</v>
      </c>
      <c r="G192" s="1">
        <f ca="1">IFERROR(__xludf.DUMMYFUNCTION("""COMPUTED_VALUE"""),235)</f>
        <v>235</v>
      </c>
      <c r="H192" s="1">
        <f ca="1">IFERROR(__xludf.DUMMYFUNCTION("""COMPUTED_VALUE"""),100.1)</f>
        <v>100.1</v>
      </c>
      <c r="I192" s="1">
        <f ca="1">IFERROR(__xludf.DUMMYFUNCTION("""COMPUTED_VALUE"""),114)</f>
        <v>114</v>
      </c>
      <c r="J192" s="1">
        <f ca="1">IFERROR(__xludf.DUMMYFUNCTION("""COMPUTED_VALUE"""),64.5)</f>
        <v>64.5</v>
      </c>
      <c r="K192" s="1">
        <f ca="1">IFERROR(__xludf.DUMMYFUNCTION("""COMPUTED_VALUE"""),213)</f>
        <v>213</v>
      </c>
      <c r="L192" s="1">
        <f ca="1">IFERROR(__xludf.DUMMYFUNCTION("""COMPUTED_VALUE"""),-0.027)</f>
        <v>-2.7E-2</v>
      </c>
      <c r="M192" s="1">
        <f ca="1">IFERROR(__xludf.DUMMYFUNCTION("""COMPUTED_VALUE"""),244)</f>
        <v>244</v>
      </c>
      <c r="N192" s="1">
        <f ca="1">IFERROR(__xludf.DUMMYFUNCTION("""COMPUTED_VALUE"""),-6.38)</f>
        <v>-6.38</v>
      </c>
      <c r="O192" s="1">
        <f ca="1">IFERROR(__xludf.DUMMYFUNCTION("""COMPUTED_VALUE"""),297)</f>
        <v>297</v>
      </c>
      <c r="P192" s="1">
        <f ca="1">IFERROR(__xludf.DUMMYFUNCTION("""COMPUTED_VALUE"""),98.5)</f>
        <v>98.5</v>
      </c>
      <c r="Q192" s="1">
        <f ca="1">IFERROR(__xludf.DUMMYFUNCTION("""COMPUTED_VALUE"""),302)</f>
        <v>302</v>
      </c>
      <c r="R192" s="1">
        <f ca="1">IFERROR(__xludf.DUMMYFUNCTION("""COMPUTED_VALUE"""),104.9)</f>
        <v>104.9</v>
      </c>
      <c r="S192" s="1">
        <f ca="1">IFERROR(__xludf.DUMMYFUNCTION("""COMPUTED_VALUE"""),244)</f>
        <v>244</v>
      </c>
      <c r="T192" s="1">
        <f ca="1">IFERROR(__xludf.DUMMYFUNCTION("""COMPUTED_VALUE"""),-1.59)</f>
        <v>-1.59</v>
      </c>
      <c r="U192" s="1">
        <f ca="1">IFERROR(__xludf.DUMMYFUNCTION("""COMPUTED_VALUE"""),195)</f>
        <v>195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IFERROR(__xludf.DUMMYFUNCTION("""COMPUTED_VALUE"""),"Troy")</f>
        <v>Troy</v>
      </c>
      <c r="C193" s="1" t="str">
        <f ca="1">IFERROR(__xludf.DUMMYFUNCTION("""COMPUTED_VALUE"""),"SB")</f>
        <v>SB</v>
      </c>
      <c r="D193" s="1" t="str">
        <f ca="1">IFERROR(__xludf.DUMMYFUNCTION("""COMPUTED_VALUE"""),"19-13")</f>
        <v>19-13</v>
      </c>
      <c r="E193" s="1">
        <f ca="1">IFERROR(__xludf.DUMMYFUNCTION("""COMPUTED_VALUE"""),-1.42)</f>
        <v>-1.42</v>
      </c>
      <c r="F193" s="1">
        <f ca="1">IFERROR(__xludf.DUMMYFUNCTION("""COMPUTED_VALUE"""),108.8)</f>
        <v>108.8</v>
      </c>
      <c r="G193" s="1">
        <f ca="1">IFERROR(__xludf.DUMMYFUNCTION("""COMPUTED_VALUE"""),81)</f>
        <v>81</v>
      </c>
      <c r="H193" s="1">
        <f ca="1">IFERROR(__xludf.DUMMYFUNCTION("""COMPUTED_VALUE"""),110.2)</f>
        <v>110.2</v>
      </c>
      <c r="I193" s="1">
        <f ca="1">IFERROR(__xludf.DUMMYFUNCTION("""COMPUTED_VALUE"""),303)</f>
        <v>303</v>
      </c>
      <c r="J193" s="1">
        <f ca="1">IFERROR(__xludf.DUMMYFUNCTION("""COMPUTED_VALUE"""),69.9)</f>
        <v>69.900000000000006</v>
      </c>
      <c r="K193" s="1">
        <f ca="1">IFERROR(__xludf.DUMMYFUNCTION("""COMPUTED_VALUE"""),25)</f>
        <v>25</v>
      </c>
      <c r="L193" s="1" t="str">
        <f ca="1">IFERROR(__xludf.DUMMYFUNCTION("""COMPUTED_VALUE"""),"+.065")</f>
        <v>+.065</v>
      </c>
      <c r="M193" s="1">
        <f ca="1">IFERROR(__xludf.DUMMYFUNCTION("""COMPUTED_VALUE"""),29)</f>
        <v>29</v>
      </c>
      <c r="N193" s="1">
        <f ca="1">IFERROR(__xludf.DUMMYFUNCTION("""COMPUTED_VALUE"""),-4.21)</f>
        <v>-4.21</v>
      </c>
      <c r="O193" s="1">
        <f ca="1">IFERROR(__xludf.DUMMYFUNCTION("""COMPUTED_VALUE"""),254)</f>
        <v>254</v>
      </c>
      <c r="P193" s="1">
        <f ca="1">IFERROR(__xludf.DUMMYFUNCTION("""COMPUTED_VALUE"""),101.4)</f>
        <v>101.4</v>
      </c>
      <c r="Q193" s="1">
        <f ca="1">IFERROR(__xludf.DUMMYFUNCTION("""COMPUTED_VALUE"""),224)</f>
        <v>224</v>
      </c>
      <c r="R193" s="1">
        <f ca="1">IFERROR(__xludf.DUMMYFUNCTION("""COMPUTED_VALUE"""),105.6)</f>
        <v>105.6</v>
      </c>
      <c r="S193" s="1">
        <f ca="1">IFERROR(__xludf.DUMMYFUNCTION("""COMPUTED_VALUE"""),283)</f>
        <v>283</v>
      </c>
      <c r="T193" s="1">
        <f ca="1">IFERROR(__xludf.DUMMYFUNCTION("""COMPUTED_VALUE"""),-2.8)</f>
        <v>-2.8</v>
      </c>
      <c r="U193" s="1">
        <f ca="1">IFERROR(__xludf.DUMMYFUNCTION("""COMPUTED_VALUE"""),226)</f>
        <v>226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IFERROR(__xludf.DUMMYFUNCTION("""COMPUTED_VALUE"""),"Austin Peay")</f>
        <v>Austin Peay</v>
      </c>
      <c r="C194" s="1" t="str">
        <f ca="1">IFERROR(__xludf.DUMMYFUNCTION("""COMPUTED_VALUE"""),"OVC")</f>
        <v>OVC</v>
      </c>
      <c r="D194" s="1" t="str">
        <f ca="1">IFERROR(__xludf.DUMMYFUNCTION("""COMPUTED_VALUE"""),"19-14")</f>
        <v>19-14</v>
      </c>
      <c r="E194" s="1">
        <f ca="1">IFERROR(__xludf.DUMMYFUNCTION("""COMPUTED_VALUE"""),-1.64)</f>
        <v>-1.64</v>
      </c>
      <c r="F194" s="1">
        <f ca="1">IFERROR(__xludf.DUMMYFUNCTION("""COMPUTED_VALUE"""),107.4)</f>
        <v>107.4</v>
      </c>
      <c r="G194" s="1">
        <f ca="1">IFERROR(__xludf.DUMMYFUNCTION("""COMPUTED_VALUE"""),94)</f>
        <v>94</v>
      </c>
      <c r="H194" s="1">
        <f ca="1">IFERROR(__xludf.DUMMYFUNCTION("""COMPUTED_VALUE"""),109)</f>
        <v>109</v>
      </c>
      <c r="I194" s="1">
        <f ca="1">IFERROR(__xludf.DUMMYFUNCTION("""COMPUTED_VALUE"""),291)</f>
        <v>291</v>
      </c>
      <c r="J194" s="1">
        <f ca="1">IFERROR(__xludf.DUMMYFUNCTION("""COMPUTED_VALUE"""),66.7)</f>
        <v>66.7</v>
      </c>
      <c r="K194" s="1">
        <f ca="1">IFERROR(__xludf.DUMMYFUNCTION("""COMPUTED_VALUE"""),106)</f>
        <v>106</v>
      </c>
      <c r="L194" s="1" t="str">
        <f ca="1">IFERROR(__xludf.DUMMYFUNCTION("""COMPUTED_VALUE"""),"+.056")</f>
        <v>+.056</v>
      </c>
      <c r="M194" s="1">
        <f ca="1">IFERROR(__xludf.DUMMYFUNCTION("""COMPUTED_VALUE"""),41)</f>
        <v>41</v>
      </c>
      <c r="N194" s="1">
        <f ca="1">IFERROR(__xludf.DUMMYFUNCTION("""COMPUTED_VALUE"""),-2.35)</f>
        <v>-2.35</v>
      </c>
      <c r="O194" s="1">
        <f ca="1">IFERROR(__xludf.DUMMYFUNCTION("""COMPUTED_VALUE"""),207)</f>
        <v>207</v>
      </c>
      <c r="P194" s="1">
        <f ca="1">IFERROR(__xludf.DUMMYFUNCTION("""COMPUTED_VALUE"""),102.3)</f>
        <v>102.3</v>
      </c>
      <c r="Q194" s="1">
        <f ca="1">IFERROR(__xludf.DUMMYFUNCTION("""COMPUTED_VALUE"""),191)</f>
        <v>191</v>
      </c>
      <c r="R194" s="1">
        <f ca="1">IFERROR(__xludf.DUMMYFUNCTION("""COMPUTED_VALUE"""),104.7)</f>
        <v>104.7</v>
      </c>
      <c r="S194" s="1">
        <f ca="1">IFERROR(__xludf.DUMMYFUNCTION("""COMPUTED_VALUE"""),235)</f>
        <v>235</v>
      </c>
      <c r="T194" s="1" t="str">
        <f ca="1">IFERROR(__xludf.DUMMYFUNCTION("""COMPUTED_VALUE"""),"+4.92")</f>
        <v>+4.92</v>
      </c>
      <c r="U194" s="1">
        <f ca="1">IFERROR(__xludf.DUMMYFUNCTION("""COMPUTED_VALUE"""),53)</f>
        <v>53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IFERROR(__xludf.DUMMYFUNCTION("""COMPUTED_VALUE"""),"Utah Valley")</f>
        <v>Utah Valley</v>
      </c>
      <c r="C195" s="1" t="str">
        <f ca="1">IFERROR(__xludf.DUMMYFUNCTION("""COMPUTED_VALUE"""),"ind")</f>
        <v>ind</v>
      </c>
      <c r="D195" s="1" t="str">
        <f ca="1">IFERROR(__xludf.DUMMYFUNCTION("""COMPUTED_VALUE"""),"17-11")</f>
        <v>17-11</v>
      </c>
      <c r="E195" s="1">
        <f ca="1">IFERROR(__xludf.DUMMYFUNCTION("""COMPUTED_VALUE"""),-2.01)</f>
        <v>-2.0099999999999998</v>
      </c>
      <c r="F195" s="1">
        <f ca="1">IFERROR(__xludf.DUMMYFUNCTION("""COMPUTED_VALUE"""),104.1)</f>
        <v>104.1</v>
      </c>
      <c r="G195" s="1">
        <f ca="1">IFERROR(__xludf.DUMMYFUNCTION("""COMPUTED_VALUE"""),144)</f>
        <v>144</v>
      </c>
      <c r="H195" s="1">
        <f ca="1">IFERROR(__xludf.DUMMYFUNCTION("""COMPUTED_VALUE"""),106.2)</f>
        <v>106.2</v>
      </c>
      <c r="I195" s="1">
        <f ca="1">IFERROR(__xludf.DUMMYFUNCTION("""COMPUTED_VALUE"""),242)</f>
        <v>242</v>
      </c>
      <c r="J195" s="1">
        <f ca="1">IFERROR(__xludf.DUMMYFUNCTION("""COMPUTED_VALUE"""),60.5)</f>
        <v>60.5</v>
      </c>
      <c r="K195" s="1">
        <f ca="1">IFERROR(__xludf.DUMMYFUNCTION("""COMPUTED_VALUE"""),321)</f>
        <v>321</v>
      </c>
      <c r="L195" s="1">
        <f ca="1">IFERROR(__xludf.DUMMYFUNCTION("""COMPUTED_VALUE"""),-0.054)</f>
        <v>-5.3999999999999999E-2</v>
      </c>
      <c r="M195" s="1">
        <f ca="1">IFERROR(__xludf.DUMMYFUNCTION("""COMPUTED_VALUE"""),301)</f>
        <v>301</v>
      </c>
      <c r="N195" s="1">
        <f ca="1">IFERROR(__xludf.DUMMYFUNCTION("""COMPUTED_VALUE"""),-9.8)</f>
        <v>-9.8000000000000007</v>
      </c>
      <c r="O195" s="1">
        <f ca="1">IFERROR(__xludf.DUMMYFUNCTION("""COMPUTED_VALUE"""),327)</f>
        <v>327</v>
      </c>
      <c r="P195" s="1">
        <f ca="1">IFERROR(__xludf.DUMMYFUNCTION("""COMPUTED_VALUE"""),97.9)</f>
        <v>97.9</v>
      </c>
      <c r="Q195" s="1">
        <f ca="1">IFERROR(__xludf.DUMMYFUNCTION("""COMPUTED_VALUE"""),313)</f>
        <v>313</v>
      </c>
      <c r="R195" s="1">
        <f ca="1">IFERROR(__xludf.DUMMYFUNCTION("""COMPUTED_VALUE"""),107.7)</f>
        <v>107.7</v>
      </c>
      <c r="S195" s="1">
        <f ca="1">IFERROR(__xludf.DUMMYFUNCTION("""COMPUTED_VALUE"""),341)</f>
        <v>341</v>
      </c>
      <c r="T195" s="1">
        <f ca="1">IFERROR(__xludf.DUMMYFUNCTION("""COMPUTED_VALUE"""),-5.41)</f>
        <v>-5.41</v>
      </c>
      <c r="U195" s="1">
        <f ca="1">IFERROR(__xludf.DUMMYFUNCTION("""COMPUTED_VALUE"""),287)</f>
        <v>287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IFERROR(__xludf.DUMMYFUNCTION("""COMPUTED_VALUE"""),"Sacred Heart")</f>
        <v>Sacred Heart</v>
      </c>
      <c r="C196" s="1" t="str">
        <f ca="1">IFERROR(__xludf.DUMMYFUNCTION("""COMPUTED_VALUE"""),"NEC")</f>
        <v>NEC</v>
      </c>
      <c r="D196" s="1" t="str">
        <f ca="1">IFERROR(__xludf.DUMMYFUNCTION("""COMPUTED_VALUE"""),"17-14")</f>
        <v>17-14</v>
      </c>
      <c r="E196" s="1">
        <f ca="1">IFERROR(__xludf.DUMMYFUNCTION("""COMPUTED_VALUE"""),-2.13)</f>
        <v>-2.13</v>
      </c>
      <c r="F196" s="1">
        <f ca="1">IFERROR(__xludf.DUMMYFUNCTION("""COMPUTED_VALUE"""),103.9)</f>
        <v>103.9</v>
      </c>
      <c r="G196" s="1">
        <f ca="1">IFERROR(__xludf.DUMMYFUNCTION("""COMPUTED_VALUE"""),148)</f>
        <v>148</v>
      </c>
      <c r="H196" s="1">
        <f ca="1">IFERROR(__xludf.DUMMYFUNCTION("""COMPUTED_VALUE"""),106)</f>
        <v>106</v>
      </c>
      <c r="I196" s="1">
        <f ca="1">IFERROR(__xludf.DUMMYFUNCTION("""COMPUTED_VALUE"""),238)</f>
        <v>238</v>
      </c>
      <c r="J196" s="1">
        <f ca="1">IFERROR(__xludf.DUMMYFUNCTION("""COMPUTED_VALUE"""),68)</f>
        <v>68</v>
      </c>
      <c r="K196" s="1">
        <f ca="1">IFERROR(__xludf.DUMMYFUNCTION("""COMPUTED_VALUE"""),66)</f>
        <v>66</v>
      </c>
      <c r="L196" s="1">
        <f ca="1">IFERROR(__xludf.DUMMYFUNCTION("""COMPUTED_VALUE"""),-0.058)</f>
        <v>-5.8000000000000003E-2</v>
      </c>
      <c r="M196" s="1">
        <f ca="1">IFERROR(__xludf.DUMMYFUNCTION("""COMPUTED_VALUE"""),309)</f>
        <v>309</v>
      </c>
      <c r="N196" s="1">
        <f ca="1">IFERROR(__xludf.DUMMYFUNCTION("""COMPUTED_VALUE"""),-8.56)</f>
        <v>-8.56</v>
      </c>
      <c r="O196" s="1">
        <f ca="1">IFERROR(__xludf.DUMMYFUNCTION("""COMPUTED_VALUE"""),319)</f>
        <v>319</v>
      </c>
      <c r="P196" s="1">
        <f ca="1">IFERROR(__xludf.DUMMYFUNCTION("""COMPUTED_VALUE"""),98.4)</f>
        <v>98.4</v>
      </c>
      <c r="Q196" s="1">
        <f ca="1">IFERROR(__xludf.DUMMYFUNCTION("""COMPUTED_VALUE"""),306)</f>
        <v>306</v>
      </c>
      <c r="R196" s="1">
        <f ca="1">IFERROR(__xludf.DUMMYFUNCTION("""COMPUTED_VALUE"""),106.9)</f>
        <v>106.9</v>
      </c>
      <c r="S196" s="1">
        <f ca="1">IFERROR(__xludf.DUMMYFUNCTION("""COMPUTED_VALUE"""),331)</f>
        <v>331</v>
      </c>
      <c r="T196" s="1">
        <f ca="1">IFERROR(__xludf.DUMMYFUNCTION("""COMPUTED_VALUE"""),-3.69)</f>
        <v>-3.69</v>
      </c>
      <c r="U196" s="1">
        <f ca="1">IFERROR(__xludf.DUMMYFUNCTION("""COMPUTED_VALUE"""),249)</f>
        <v>249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IFERROR(__xludf.DUMMYFUNCTION("""COMPUTED_VALUE"""),"George Washington")</f>
        <v>George Washington</v>
      </c>
      <c r="C197" s="1" t="str">
        <f ca="1">IFERROR(__xludf.DUMMYFUNCTION("""COMPUTED_VALUE"""),"A10")</f>
        <v>A10</v>
      </c>
      <c r="D197" s="2">
        <f ca="1">IFERROR(__xludf.DUMMYFUNCTION("""COMPUTED_VALUE"""),44852)</f>
        <v>44852</v>
      </c>
      <c r="E197" s="1">
        <f ca="1">IFERROR(__xludf.DUMMYFUNCTION("""COMPUTED_VALUE"""),-2.17)</f>
        <v>-2.17</v>
      </c>
      <c r="F197" s="1">
        <f ca="1">IFERROR(__xludf.DUMMYFUNCTION("""COMPUTED_VALUE"""),102.2)</f>
        <v>102.2</v>
      </c>
      <c r="G197" s="1">
        <f ca="1">IFERROR(__xludf.DUMMYFUNCTION("""COMPUTED_VALUE"""),183)</f>
        <v>183</v>
      </c>
      <c r="H197" s="1">
        <f ca="1">IFERROR(__xludf.DUMMYFUNCTION("""COMPUTED_VALUE"""),104.4)</f>
        <v>104.4</v>
      </c>
      <c r="I197" s="1">
        <f ca="1">IFERROR(__xludf.DUMMYFUNCTION("""COMPUTED_VALUE"""),205)</f>
        <v>205</v>
      </c>
      <c r="J197" s="1">
        <f ca="1">IFERROR(__xludf.DUMMYFUNCTION("""COMPUTED_VALUE"""),63)</f>
        <v>63</v>
      </c>
      <c r="K197" s="1">
        <f ca="1">IFERROR(__xludf.DUMMYFUNCTION("""COMPUTED_VALUE"""),265)</f>
        <v>265</v>
      </c>
      <c r="L197" s="1">
        <f ca="1">IFERROR(__xludf.DUMMYFUNCTION("""COMPUTED_VALUE"""),-0.066)</f>
        <v>-6.6000000000000003E-2</v>
      </c>
      <c r="M197" s="1">
        <f ca="1">IFERROR(__xludf.DUMMYFUNCTION("""COMPUTED_VALUE"""),314)</f>
        <v>314</v>
      </c>
      <c r="N197" s="1" t="str">
        <f ca="1">IFERROR(__xludf.DUMMYFUNCTION("""COMPUTED_VALUE"""),"+1.40")</f>
        <v>+1.40</v>
      </c>
      <c r="O197" s="1">
        <f ca="1">IFERROR(__xludf.DUMMYFUNCTION("""COMPUTED_VALUE"""),124)</f>
        <v>124</v>
      </c>
      <c r="P197" s="1">
        <f ca="1">IFERROR(__xludf.DUMMYFUNCTION("""COMPUTED_VALUE"""),104)</f>
        <v>104</v>
      </c>
      <c r="Q197" s="1">
        <f ca="1">IFERROR(__xludf.DUMMYFUNCTION("""COMPUTED_VALUE"""),121)</f>
        <v>121</v>
      </c>
      <c r="R197" s="1">
        <f ca="1">IFERROR(__xludf.DUMMYFUNCTION("""COMPUTED_VALUE"""),102.6)</f>
        <v>102.6</v>
      </c>
      <c r="S197" s="1">
        <f ca="1">IFERROR(__xludf.DUMMYFUNCTION("""COMPUTED_VALUE"""),151)</f>
        <v>151</v>
      </c>
      <c r="T197" s="1">
        <f ca="1">IFERROR(__xludf.DUMMYFUNCTION("""COMPUTED_VALUE"""),-3.17)</f>
        <v>-3.17</v>
      </c>
      <c r="U197" s="1">
        <f ca="1">IFERROR(__xludf.DUMMYFUNCTION("""COMPUTED_VALUE"""),236)</f>
        <v>236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IFERROR(__xludf.DUMMYFUNCTION("""COMPUTED_VALUE"""),"St. Bonaventure")</f>
        <v>St. Bonaventure</v>
      </c>
      <c r="C198" s="1" t="str">
        <f ca="1">IFERROR(__xludf.DUMMYFUNCTION("""COMPUTED_VALUE"""),"A10")</f>
        <v>A10</v>
      </c>
      <c r="D198" s="1" t="str">
        <f ca="1">IFERROR(__xludf.DUMMYFUNCTION("""COMPUTED_VALUE"""),"15-15")</f>
        <v>15-15</v>
      </c>
      <c r="E198" s="1">
        <f ca="1">IFERROR(__xludf.DUMMYFUNCTION("""COMPUTED_VALUE"""),-2.22)</f>
        <v>-2.2200000000000002</v>
      </c>
      <c r="F198" s="1">
        <f ca="1">IFERROR(__xludf.DUMMYFUNCTION("""COMPUTED_VALUE"""),98.6)</f>
        <v>98.6</v>
      </c>
      <c r="G198" s="1">
        <f ca="1">IFERROR(__xludf.DUMMYFUNCTION("""COMPUTED_VALUE"""),240)</f>
        <v>240</v>
      </c>
      <c r="H198" s="1">
        <f ca="1">IFERROR(__xludf.DUMMYFUNCTION("""COMPUTED_VALUE"""),100.8)</f>
        <v>100.8</v>
      </c>
      <c r="I198" s="1">
        <f ca="1">IFERROR(__xludf.DUMMYFUNCTION("""COMPUTED_VALUE"""),130)</f>
        <v>130</v>
      </c>
      <c r="J198" s="1">
        <f ca="1">IFERROR(__xludf.DUMMYFUNCTION("""COMPUTED_VALUE"""),70.1)</f>
        <v>70.099999999999994</v>
      </c>
      <c r="K198" s="1">
        <f ca="1">IFERROR(__xludf.DUMMYFUNCTION("""COMPUTED_VALUE"""),22)</f>
        <v>22</v>
      </c>
      <c r="L198" s="1" t="str">
        <f ca="1">IFERROR(__xludf.DUMMYFUNCTION("""COMPUTED_VALUE"""),"+.034")</f>
        <v>+.034</v>
      </c>
      <c r="M198" s="1">
        <f ca="1">IFERROR(__xludf.DUMMYFUNCTION("""COMPUTED_VALUE"""),78)</f>
        <v>78</v>
      </c>
      <c r="N198" s="1">
        <f ca="1">IFERROR(__xludf.DUMMYFUNCTION("""COMPUTED_VALUE"""),-1.04)</f>
        <v>-1.04</v>
      </c>
      <c r="O198" s="1">
        <f ca="1">IFERROR(__xludf.DUMMYFUNCTION("""COMPUTED_VALUE"""),179)</f>
        <v>179</v>
      </c>
      <c r="P198" s="1">
        <f ca="1">IFERROR(__xludf.DUMMYFUNCTION("""COMPUTED_VALUE"""),102.1)</f>
        <v>102.1</v>
      </c>
      <c r="Q198" s="1">
        <f ca="1">IFERROR(__xludf.DUMMYFUNCTION("""COMPUTED_VALUE"""),202)</f>
        <v>202</v>
      </c>
      <c r="R198" s="1">
        <f ca="1">IFERROR(__xludf.DUMMYFUNCTION("""COMPUTED_VALUE"""),103.1)</f>
        <v>103.1</v>
      </c>
      <c r="S198" s="1">
        <f ca="1">IFERROR(__xludf.DUMMYFUNCTION("""COMPUTED_VALUE"""),170)</f>
        <v>170</v>
      </c>
      <c r="T198" s="1">
        <f ca="1">IFERROR(__xludf.DUMMYFUNCTION("""COMPUTED_VALUE"""),-7.34)</f>
        <v>-7.34</v>
      </c>
      <c r="U198" s="1">
        <f ca="1">IFERROR(__xludf.DUMMYFUNCTION("""COMPUTED_VALUE"""),313)</f>
        <v>313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IFERROR(__xludf.DUMMYFUNCTION("""COMPUTED_VALUE"""),"UTSA")</f>
        <v>UTSA</v>
      </c>
      <c r="C199" s="1" t="str">
        <f ca="1">IFERROR(__xludf.DUMMYFUNCTION("""COMPUTED_VALUE"""),"Slnd")</f>
        <v>Slnd</v>
      </c>
      <c r="D199" s="1" t="str">
        <f ca="1">IFERROR(__xludf.DUMMYFUNCTION("""COMPUTED_VALUE"""),"19-13")</f>
        <v>19-13</v>
      </c>
      <c r="E199" s="1">
        <f ca="1">IFERROR(__xludf.DUMMYFUNCTION("""COMPUTED_VALUE"""),-2.26)</f>
        <v>-2.2599999999999998</v>
      </c>
      <c r="F199" s="1">
        <f ca="1">IFERROR(__xludf.DUMMYFUNCTION("""COMPUTED_VALUE"""),102)</f>
        <v>102</v>
      </c>
      <c r="G199" s="1">
        <f ca="1">IFERROR(__xludf.DUMMYFUNCTION("""COMPUTED_VALUE"""),188)</f>
        <v>188</v>
      </c>
      <c r="H199" s="1">
        <f ca="1">IFERROR(__xludf.DUMMYFUNCTION("""COMPUTED_VALUE"""),104.3)</f>
        <v>104.3</v>
      </c>
      <c r="I199" s="1">
        <f ca="1">IFERROR(__xludf.DUMMYFUNCTION("""COMPUTED_VALUE"""),202)</f>
        <v>202</v>
      </c>
      <c r="J199" s="1">
        <f ca="1">IFERROR(__xludf.DUMMYFUNCTION("""COMPUTED_VALUE"""),68.9)</f>
        <v>68.900000000000006</v>
      </c>
      <c r="K199" s="1">
        <f ca="1">IFERROR(__xludf.DUMMYFUNCTION("""COMPUTED_VALUE"""),45)</f>
        <v>45</v>
      </c>
      <c r="L199" s="1" t="str">
        <f ca="1">IFERROR(__xludf.DUMMYFUNCTION("""COMPUTED_VALUE"""),"+.056")</f>
        <v>+.056</v>
      </c>
      <c r="M199" s="1">
        <f ca="1">IFERROR(__xludf.DUMMYFUNCTION("""COMPUTED_VALUE"""),40)</f>
        <v>40</v>
      </c>
      <c r="N199" s="1">
        <f ca="1">IFERROR(__xludf.DUMMYFUNCTION("""COMPUTED_VALUE"""),-2.94)</f>
        <v>-2.94</v>
      </c>
      <c r="O199" s="1">
        <f ca="1">IFERROR(__xludf.DUMMYFUNCTION("""COMPUTED_VALUE"""),218)</f>
        <v>218</v>
      </c>
      <c r="P199" s="1">
        <f ca="1">IFERROR(__xludf.DUMMYFUNCTION("""COMPUTED_VALUE"""),101)</f>
        <v>101</v>
      </c>
      <c r="Q199" s="1">
        <f ca="1">IFERROR(__xludf.DUMMYFUNCTION("""COMPUTED_VALUE"""),241)</f>
        <v>241</v>
      </c>
      <c r="R199" s="1">
        <f ca="1">IFERROR(__xludf.DUMMYFUNCTION("""COMPUTED_VALUE"""),104)</f>
        <v>104</v>
      </c>
      <c r="S199" s="1">
        <f ca="1">IFERROR(__xludf.DUMMYFUNCTION("""COMPUTED_VALUE"""),203)</f>
        <v>203</v>
      </c>
      <c r="T199" s="1">
        <f ca="1">IFERROR(__xludf.DUMMYFUNCTION("""COMPUTED_VALUE"""),-4.67)</f>
        <v>-4.67</v>
      </c>
      <c r="U199" s="1">
        <f ca="1">IFERROR(__xludf.DUMMYFUNCTION("""COMPUTED_VALUE"""),271)</f>
        <v>271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IFERROR(__xludf.DUMMYFUNCTION("""COMPUTED_VALUE"""),"Stony Brook")</f>
        <v>Stony Brook</v>
      </c>
      <c r="C200" s="1" t="str">
        <f ca="1">IFERROR(__xludf.DUMMYFUNCTION("""COMPUTED_VALUE"""),"AE")</f>
        <v>AE</v>
      </c>
      <c r="D200" s="1" t="str">
        <f ca="1">IFERROR(__xludf.DUMMYFUNCTION("""COMPUTED_VALUE"""),"16-14")</f>
        <v>16-14</v>
      </c>
      <c r="E200" s="1">
        <f ca="1">IFERROR(__xludf.DUMMYFUNCTION("""COMPUTED_VALUE"""),-2.36)</f>
        <v>-2.36</v>
      </c>
      <c r="F200" s="1">
        <f ca="1">IFERROR(__xludf.DUMMYFUNCTION("""COMPUTED_VALUE"""),98.2)</f>
        <v>98.2</v>
      </c>
      <c r="G200" s="1">
        <f ca="1">IFERROR(__xludf.DUMMYFUNCTION("""COMPUTED_VALUE"""),245)</f>
        <v>245</v>
      </c>
      <c r="H200" s="1">
        <f ca="1">IFERROR(__xludf.DUMMYFUNCTION("""COMPUTED_VALUE"""),100.6)</f>
        <v>100.6</v>
      </c>
      <c r="I200" s="1">
        <f ca="1">IFERROR(__xludf.DUMMYFUNCTION("""COMPUTED_VALUE"""),124)</f>
        <v>124</v>
      </c>
      <c r="J200" s="1">
        <f ca="1">IFERROR(__xludf.DUMMYFUNCTION("""COMPUTED_VALUE"""),62.8)</f>
        <v>62.8</v>
      </c>
      <c r="K200" s="1">
        <f ca="1">IFERROR(__xludf.DUMMYFUNCTION("""COMPUTED_VALUE"""),273)</f>
        <v>273</v>
      </c>
      <c r="L200" s="1">
        <f ca="1">IFERROR(__xludf.DUMMYFUNCTION("""COMPUTED_VALUE"""),-0.069)</f>
        <v>-6.9000000000000006E-2</v>
      </c>
      <c r="M200" s="1">
        <f ca="1">IFERROR(__xludf.DUMMYFUNCTION("""COMPUTED_VALUE"""),318)</f>
        <v>318</v>
      </c>
      <c r="N200" s="1">
        <f ca="1">IFERROR(__xludf.DUMMYFUNCTION("""COMPUTED_VALUE"""),-7.87)</f>
        <v>-7.87</v>
      </c>
      <c r="O200" s="1">
        <f ca="1">IFERROR(__xludf.DUMMYFUNCTION("""COMPUTED_VALUE"""),313)</f>
        <v>313</v>
      </c>
      <c r="P200" s="1">
        <f ca="1">IFERROR(__xludf.DUMMYFUNCTION("""COMPUTED_VALUE"""),97.7)</f>
        <v>97.7</v>
      </c>
      <c r="Q200" s="1">
        <f ca="1">IFERROR(__xludf.DUMMYFUNCTION("""COMPUTED_VALUE"""),316)</f>
        <v>316</v>
      </c>
      <c r="R200" s="1">
        <f ca="1">IFERROR(__xludf.DUMMYFUNCTION("""COMPUTED_VALUE"""),105.6)</f>
        <v>105.6</v>
      </c>
      <c r="S200" s="1">
        <f ca="1">IFERROR(__xludf.DUMMYFUNCTION("""COMPUTED_VALUE"""),278)</f>
        <v>278</v>
      </c>
      <c r="T200" s="1">
        <f ca="1">IFERROR(__xludf.DUMMYFUNCTION("""COMPUTED_VALUE"""),-9.94)</f>
        <v>-9.94</v>
      </c>
      <c r="U200" s="1">
        <f ca="1">IFERROR(__xludf.DUMMYFUNCTION("""COMPUTED_VALUE"""),338)</f>
        <v>338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IFERROR(__xludf.DUMMYFUNCTION("""COMPUTED_VALUE"""),"Manhattan")</f>
        <v>Manhattan</v>
      </c>
      <c r="C201" s="1" t="str">
        <f ca="1">IFERROR(__xludf.DUMMYFUNCTION("""COMPUTED_VALUE"""),"MAAC")</f>
        <v>MAAC</v>
      </c>
      <c r="D201" s="1" t="str">
        <f ca="1">IFERROR(__xludf.DUMMYFUNCTION("""COMPUTED_VALUE"""),"16-14")</f>
        <v>16-14</v>
      </c>
      <c r="E201" s="1">
        <f ca="1">IFERROR(__xludf.DUMMYFUNCTION("""COMPUTED_VALUE"""),-2.42)</f>
        <v>-2.42</v>
      </c>
      <c r="F201" s="1">
        <f ca="1">IFERROR(__xludf.DUMMYFUNCTION("""COMPUTED_VALUE"""),97.6)</f>
        <v>97.6</v>
      </c>
      <c r="G201" s="1">
        <f ca="1">IFERROR(__xludf.DUMMYFUNCTION("""COMPUTED_VALUE"""),254)</f>
        <v>254</v>
      </c>
      <c r="H201" s="1">
        <f ca="1">IFERROR(__xludf.DUMMYFUNCTION("""COMPUTED_VALUE"""),100)</f>
        <v>100</v>
      </c>
      <c r="I201" s="1">
        <f ca="1">IFERROR(__xludf.DUMMYFUNCTION("""COMPUTED_VALUE"""),109)</f>
        <v>109</v>
      </c>
      <c r="J201" s="1">
        <f ca="1">IFERROR(__xludf.DUMMYFUNCTION("""COMPUTED_VALUE"""),65.4)</f>
        <v>65.400000000000006</v>
      </c>
      <c r="K201" s="1">
        <f ca="1">IFERROR(__xludf.DUMMYFUNCTION("""COMPUTED_VALUE"""),167)</f>
        <v>167</v>
      </c>
      <c r="L201" s="1" t="str">
        <f ca="1">IFERROR(__xludf.DUMMYFUNCTION("""COMPUTED_VALUE"""),"+.016")</f>
        <v>+.016</v>
      </c>
      <c r="M201" s="1">
        <f ca="1">IFERROR(__xludf.DUMMYFUNCTION("""COMPUTED_VALUE"""),125)</f>
        <v>125</v>
      </c>
      <c r="N201" s="1">
        <f ca="1">IFERROR(__xludf.DUMMYFUNCTION("""COMPUTED_VALUE"""),-4.01)</f>
        <v>-4.01</v>
      </c>
      <c r="O201" s="1">
        <f ca="1">IFERROR(__xludf.DUMMYFUNCTION("""COMPUTED_VALUE"""),250)</f>
        <v>250</v>
      </c>
      <c r="P201" s="1">
        <f ca="1">IFERROR(__xludf.DUMMYFUNCTION("""COMPUTED_VALUE"""),99.2)</f>
        <v>99.2</v>
      </c>
      <c r="Q201" s="1">
        <f ca="1">IFERROR(__xludf.DUMMYFUNCTION("""COMPUTED_VALUE"""),285)</f>
        <v>285</v>
      </c>
      <c r="R201" s="1">
        <f ca="1">IFERROR(__xludf.DUMMYFUNCTION("""COMPUTED_VALUE"""),103.3)</f>
        <v>103.3</v>
      </c>
      <c r="S201" s="1">
        <f ca="1">IFERROR(__xludf.DUMMYFUNCTION("""COMPUTED_VALUE"""),177)</f>
        <v>177</v>
      </c>
      <c r="T201" s="1">
        <f ca="1">IFERROR(__xludf.DUMMYFUNCTION("""COMPUTED_VALUE"""),-7.27)</f>
        <v>-7.27</v>
      </c>
      <c r="U201" s="1">
        <f ca="1">IFERROR(__xludf.DUMMYFUNCTION("""COMPUTED_VALUE"""),311)</f>
        <v>311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IFERROR(__xludf.DUMMYFUNCTION("""COMPUTED_VALUE"""),"San Jose St.")</f>
        <v>San Jose St.</v>
      </c>
      <c r="C202" s="1" t="str">
        <f ca="1">IFERROR(__xludf.DUMMYFUNCTION("""COMPUTED_VALUE"""),"WAC")</f>
        <v>WAC</v>
      </c>
      <c r="D202" s="1" t="str">
        <f ca="1">IFERROR(__xludf.DUMMYFUNCTION("""COMPUTED_VALUE"""),"13-17")</f>
        <v>13-17</v>
      </c>
      <c r="E202" s="1">
        <f ca="1">IFERROR(__xludf.DUMMYFUNCTION("""COMPUTED_VALUE"""),-2.64)</f>
        <v>-2.64</v>
      </c>
      <c r="F202" s="1">
        <f ca="1">IFERROR(__xludf.DUMMYFUNCTION("""COMPUTED_VALUE"""),101.6)</f>
        <v>101.6</v>
      </c>
      <c r="G202" s="1">
        <f ca="1">IFERROR(__xludf.DUMMYFUNCTION("""COMPUTED_VALUE"""),196)</f>
        <v>196</v>
      </c>
      <c r="H202" s="1">
        <f ca="1">IFERROR(__xludf.DUMMYFUNCTION("""COMPUTED_VALUE"""),104.2)</f>
        <v>104.2</v>
      </c>
      <c r="I202" s="1">
        <f ca="1">IFERROR(__xludf.DUMMYFUNCTION("""COMPUTED_VALUE"""),197)</f>
        <v>197</v>
      </c>
      <c r="J202" s="1">
        <f ca="1">IFERROR(__xludf.DUMMYFUNCTION("""COMPUTED_VALUE"""),66.2)</f>
        <v>66.2</v>
      </c>
      <c r="K202" s="1">
        <f ca="1">IFERROR(__xludf.DUMMYFUNCTION("""COMPUTED_VALUE"""),133)</f>
        <v>133</v>
      </c>
      <c r="L202" s="1" t="str">
        <f ca="1">IFERROR(__xludf.DUMMYFUNCTION("""COMPUTED_VALUE"""),"+.014")</f>
        <v>+.014</v>
      </c>
      <c r="M202" s="1">
        <f ca="1">IFERROR(__xludf.DUMMYFUNCTION("""COMPUTED_VALUE"""),133)</f>
        <v>133</v>
      </c>
      <c r="N202" s="1" t="str">
        <f ca="1">IFERROR(__xludf.DUMMYFUNCTION("""COMPUTED_VALUE"""),"+0.61")</f>
        <v>+0.61</v>
      </c>
      <c r="O202" s="1">
        <f ca="1">IFERROR(__xludf.DUMMYFUNCTION("""COMPUTED_VALUE"""),143)</f>
        <v>143</v>
      </c>
      <c r="P202" s="1">
        <f ca="1">IFERROR(__xludf.DUMMYFUNCTION("""COMPUTED_VALUE"""),103.5)</f>
        <v>103.5</v>
      </c>
      <c r="Q202" s="1">
        <f ca="1">IFERROR(__xludf.DUMMYFUNCTION("""COMPUTED_VALUE"""),141)</f>
        <v>141</v>
      </c>
      <c r="R202" s="1">
        <f ca="1">IFERROR(__xludf.DUMMYFUNCTION("""COMPUTED_VALUE"""),102.9)</f>
        <v>102.9</v>
      </c>
      <c r="S202" s="1">
        <f ca="1">IFERROR(__xludf.DUMMYFUNCTION("""COMPUTED_VALUE"""),164)</f>
        <v>164</v>
      </c>
      <c r="T202" s="1">
        <f ca="1">IFERROR(__xludf.DUMMYFUNCTION("""COMPUTED_VALUE"""),-1.59)</f>
        <v>-1.59</v>
      </c>
      <c r="U202" s="1">
        <f ca="1">IFERROR(__xludf.DUMMYFUNCTION("""COMPUTED_VALUE"""),197)</f>
        <v>197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IFERROR(__xludf.DUMMYFUNCTION("""COMPUTED_VALUE"""),"Idaho St.")</f>
        <v>Idaho St.</v>
      </c>
      <c r="C203" s="1" t="str">
        <f ca="1">IFERROR(__xludf.DUMMYFUNCTION("""COMPUTED_VALUE"""),"BSky")</f>
        <v>BSky</v>
      </c>
      <c r="D203" s="1" t="str">
        <f ca="1">IFERROR(__xludf.DUMMYFUNCTION("""COMPUTED_VALUE"""),"13-19")</f>
        <v>13-19</v>
      </c>
      <c r="E203" s="1">
        <f ca="1">IFERROR(__xludf.DUMMYFUNCTION("""COMPUTED_VALUE"""),-2.64)</f>
        <v>-2.64</v>
      </c>
      <c r="F203" s="1">
        <f ca="1">IFERROR(__xludf.DUMMYFUNCTION("""COMPUTED_VALUE"""),102.7)</f>
        <v>102.7</v>
      </c>
      <c r="G203" s="1">
        <f ca="1">IFERROR(__xludf.DUMMYFUNCTION("""COMPUTED_VALUE"""),167)</f>
        <v>167</v>
      </c>
      <c r="H203" s="1">
        <f ca="1">IFERROR(__xludf.DUMMYFUNCTION("""COMPUTED_VALUE"""),105.4)</f>
        <v>105.4</v>
      </c>
      <c r="I203" s="1">
        <f ca="1">IFERROR(__xludf.DUMMYFUNCTION("""COMPUTED_VALUE"""),225)</f>
        <v>225</v>
      </c>
      <c r="J203" s="1">
        <f ca="1">IFERROR(__xludf.DUMMYFUNCTION("""COMPUTED_VALUE"""),62.6)</f>
        <v>62.6</v>
      </c>
      <c r="K203" s="1">
        <f ca="1">IFERROR(__xludf.DUMMYFUNCTION("""COMPUTED_VALUE"""),281)</f>
        <v>281</v>
      </c>
      <c r="L203" s="1">
        <f ca="1">IFERROR(__xludf.DUMMYFUNCTION("""COMPUTED_VALUE"""),-0.027)</f>
        <v>-2.7E-2</v>
      </c>
      <c r="M203" s="1">
        <f ca="1">IFERROR(__xludf.DUMMYFUNCTION("""COMPUTED_VALUE"""),242)</f>
        <v>242</v>
      </c>
      <c r="N203" s="1" t="str">
        <f ca="1">IFERROR(__xludf.DUMMYFUNCTION("""COMPUTED_VALUE"""),"+1.48")</f>
        <v>+1.48</v>
      </c>
      <c r="O203" s="1">
        <f ca="1">IFERROR(__xludf.DUMMYFUNCTION("""COMPUTED_VALUE"""),121)</f>
        <v>121</v>
      </c>
      <c r="P203" s="1">
        <f ca="1">IFERROR(__xludf.DUMMYFUNCTION("""COMPUTED_VALUE"""),104.7)</f>
        <v>104.7</v>
      </c>
      <c r="Q203" s="1">
        <f ca="1">IFERROR(__xludf.DUMMYFUNCTION("""COMPUTED_VALUE"""),98)</f>
        <v>98</v>
      </c>
      <c r="R203" s="1">
        <f ca="1">IFERROR(__xludf.DUMMYFUNCTION("""COMPUTED_VALUE"""),103.2)</f>
        <v>103.2</v>
      </c>
      <c r="S203" s="1">
        <f ca="1">IFERROR(__xludf.DUMMYFUNCTION("""COMPUTED_VALUE"""),174)</f>
        <v>174</v>
      </c>
      <c r="T203" s="1" t="str">
        <f ca="1">IFERROR(__xludf.DUMMYFUNCTION("""COMPUTED_VALUE"""),"+11.13")</f>
        <v>+11.13</v>
      </c>
      <c r="U203" s="1">
        <f ca="1">IFERROR(__xludf.DUMMYFUNCTION("""COMPUTED_VALUE"""),11)</f>
        <v>11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IFERROR(__xludf.DUMMYFUNCTION("""COMPUTED_VALUE"""),"The Citadel")</f>
        <v>The Citadel</v>
      </c>
      <c r="C204" s="1" t="str">
        <f ca="1">IFERROR(__xludf.DUMMYFUNCTION("""COMPUTED_VALUE"""),"SC")</f>
        <v>SC</v>
      </c>
      <c r="D204" s="1" t="str">
        <f ca="1">IFERROR(__xludf.DUMMYFUNCTION("""COMPUTED_VALUE"""),"20-13")</f>
        <v>20-13</v>
      </c>
      <c r="E204" s="1">
        <f ca="1">IFERROR(__xludf.DUMMYFUNCTION("""COMPUTED_VALUE"""),-2.72)</f>
        <v>-2.72</v>
      </c>
      <c r="F204" s="1">
        <f ca="1">IFERROR(__xludf.DUMMYFUNCTION("""COMPUTED_VALUE"""),102.6)</f>
        <v>102.6</v>
      </c>
      <c r="G204" s="1">
        <f ca="1">IFERROR(__xludf.DUMMYFUNCTION("""COMPUTED_VALUE"""),173)</f>
        <v>173</v>
      </c>
      <c r="H204" s="1">
        <f ca="1">IFERROR(__xludf.DUMMYFUNCTION("""COMPUTED_VALUE"""),105.3)</f>
        <v>105.3</v>
      </c>
      <c r="I204" s="1">
        <f ca="1">IFERROR(__xludf.DUMMYFUNCTION("""COMPUTED_VALUE"""),223)</f>
        <v>223</v>
      </c>
      <c r="J204" s="1">
        <f ca="1">IFERROR(__xludf.DUMMYFUNCTION("""COMPUTED_VALUE"""),61.7)</f>
        <v>61.7</v>
      </c>
      <c r="K204" s="1">
        <f ca="1">IFERROR(__xludf.DUMMYFUNCTION("""COMPUTED_VALUE"""),307)</f>
        <v>307</v>
      </c>
      <c r="L204" s="1" t="str">
        <f ca="1">IFERROR(__xludf.DUMMYFUNCTION("""COMPUTED_VALUE"""),"+.042")</f>
        <v>+.042</v>
      </c>
      <c r="M204" s="1">
        <f ca="1">IFERROR(__xludf.DUMMYFUNCTION("""COMPUTED_VALUE"""),65)</f>
        <v>65</v>
      </c>
      <c r="N204" s="1">
        <f ca="1">IFERROR(__xludf.DUMMYFUNCTION("""COMPUTED_VALUE"""),-6.82)</f>
        <v>-6.82</v>
      </c>
      <c r="O204" s="1">
        <f ca="1">IFERROR(__xludf.DUMMYFUNCTION("""COMPUTED_VALUE"""),304)</f>
        <v>304</v>
      </c>
      <c r="P204" s="1">
        <f ca="1">IFERROR(__xludf.DUMMYFUNCTION("""COMPUTED_VALUE"""),100.4)</f>
        <v>100.4</v>
      </c>
      <c r="Q204" s="1">
        <f ca="1">IFERROR(__xludf.DUMMYFUNCTION("""COMPUTED_VALUE"""),260)</f>
        <v>260</v>
      </c>
      <c r="R204" s="1">
        <f ca="1">IFERROR(__xludf.DUMMYFUNCTION("""COMPUTED_VALUE"""),107.2)</f>
        <v>107.2</v>
      </c>
      <c r="S204" s="1">
        <f ca="1">IFERROR(__xludf.DUMMYFUNCTION("""COMPUTED_VALUE"""),337)</f>
        <v>337</v>
      </c>
      <c r="T204" s="1">
        <f ca="1">IFERROR(__xludf.DUMMYFUNCTION("""COMPUTED_VALUE"""),-4.1)</f>
        <v>-4.0999999999999996</v>
      </c>
      <c r="U204" s="1">
        <f ca="1">IFERROR(__xludf.DUMMYFUNCTION("""COMPUTED_VALUE"""),254)</f>
        <v>254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IFERROR(__xludf.DUMMYFUNCTION("""COMPUTED_VALUE"""),"Iona")</f>
        <v>Iona</v>
      </c>
      <c r="C205" s="1" t="str">
        <f ca="1">IFERROR(__xludf.DUMMYFUNCTION("""COMPUTED_VALUE"""),"MAAC")</f>
        <v>MAAC</v>
      </c>
      <c r="D205" s="2">
        <f ca="1">IFERROR(__xludf.DUMMYFUNCTION("""COMPUTED_VALUE"""),44914)</f>
        <v>44914</v>
      </c>
      <c r="E205" s="1">
        <f ca="1">IFERROR(__xludf.DUMMYFUNCTION("""COMPUTED_VALUE"""),-2.73)</f>
        <v>-2.73</v>
      </c>
      <c r="F205" s="1">
        <f ca="1">IFERROR(__xludf.DUMMYFUNCTION("""COMPUTED_VALUE"""),96)</f>
        <v>96</v>
      </c>
      <c r="G205" s="1">
        <f ca="1">IFERROR(__xludf.DUMMYFUNCTION("""COMPUTED_VALUE"""),277)</f>
        <v>277</v>
      </c>
      <c r="H205" s="1">
        <f ca="1">IFERROR(__xludf.DUMMYFUNCTION("""COMPUTED_VALUE"""),98.7)</f>
        <v>98.7</v>
      </c>
      <c r="I205" s="1">
        <f ca="1">IFERROR(__xludf.DUMMYFUNCTION("""COMPUTED_VALUE"""),85)</f>
        <v>85</v>
      </c>
      <c r="J205" s="1">
        <f ca="1">IFERROR(__xludf.DUMMYFUNCTION("""COMPUTED_VALUE"""),63.8)</f>
        <v>63.8</v>
      </c>
      <c r="K205" s="1">
        <f ca="1">IFERROR(__xludf.DUMMYFUNCTION("""COMPUTED_VALUE"""),236)</f>
        <v>236</v>
      </c>
      <c r="L205" s="1">
        <f ca="1">IFERROR(__xludf.DUMMYFUNCTION("""COMPUTED_VALUE"""),-0.065)</f>
        <v>-6.5000000000000002E-2</v>
      </c>
      <c r="M205" s="1">
        <f ca="1">IFERROR(__xludf.DUMMYFUNCTION("""COMPUTED_VALUE"""),311)</f>
        <v>311</v>
      </c>
      <c r="N205" s="1">
        <f ca="1">IFERROR(__xludf.DUMMYFUNCTION("""COMPUTED_VALUE"""),-1.2)</f>
        <v>-1.2</v>
      </c>
      <c r="O205" s="1">
        <f ca="1">IFERROR(__xludf.DUMMYFUNCTION("""COMPUTED_VALUE"""),182)</f>
        <v>182</v>
      </c>
      <c r="P205" s="1">
        <f ca="1">IFERROR(__xludf.DUMMYFUNCTION("""COMPUTED_VALUE"""),101.1)</f>
        <v>101.1</v>
      </c>
      <c r="Q205" s="1">
        <f ca="1">IFERROR(__xludf.DUMMYFUNCTION("""COMPUTED_VALUE"""),235)</f>
        <v>235</v>
      </c>
      <c r="R205" s="1">
        <f ca="1">IFERROR(__xludf.DUMMYFUNCTION("""COMPUTED_VALUE"""),102.3)</f>
        <v>102.3</v>
      </c>
      <c r="S205" s="1">
        <f ca="1">IFERROR(__xludf.DUMMYFUNCTION("""COMPUTED_VALUE"""),142)</f>
        <v>142</v>
      </c>
      <c r="T205" s="1" t="str">
        <f ca="1">IFERROR(__xludf.DUMMYFUNCTION("""COMPUTED_VALUE"""),"+0.03")</f>
        <v>+0.03</v>
      </c>
      <c r="U205" s="1">
        <f ca="1">IFERROR(__xludf.DUMMYFUNCTION("""COMPUTED_VALUE"""),156)</f>
        <v>156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IFERROR(__xludf.DUMMYFUNCTION("""COMPUTED_VALUE"""),"Liberty")</f>
        <v>Liberty</v>
      </c>
      <c r="C206" s="1" t="str">
        <f ca="1">IFERROR(__xludf.DUMMYFUNCTION("""COMPUTED_VALUE"""),"BSth")</f>
        <v>BSth</v>
      </c>
      <c r="D206" s="1" t="str">
        <f ca="1">IFERROR(__xludf.DUMMYFUNCTION("""COMPUTED_VALUE"""),"23-12")</f>
        <v>23-12</v>
      </c>
      <c r="E206" s="1">
        <f ca="1">IFERROR(__xludf.DUMMYFUNCTION("""COMPUTED_VALUE"""),-2.79)</f>
        <v>-2.79</v>
      </c>
      <c r="F206" s="1">
        <f ca="1">IFERROR(__xludf.DUMMYFUNCTION("""COMPUTED_VALUE"""),105.2)</f>
        <v>105.2</v>
      </c>
      <c r="G206" s="1">
        <f ca="1">IFERROR(__xludf.DUMMYFUNCTION("""COMPUTED_VALUE"""),126)</f>
        <v>126</v>
      </c>
      <c r="H206" s="1">
        <f ca="1">IFERROR(__xludf.DUMMYFUNCTION("""COMPUTED_VALUE"""),108)</f>
        <v>108</v>
      </c>
      <c r="I206" s="1">
        <f ca="1">IFERROR(__xludf.DUMMYFUNCTION("""COMPUTED_VALUE"""),274)</f>
        <v>274</v>
      </c>
      <c r="J206" s="1">
        <f ca="1">IFERROR(__xludf.DUMMYFUNCTION("""COMPUTED_VALUE"""),65.1)</f>
        <v>65.099999999999994</v>
      </c>
      <c r="K206" s="1">
        <f ca="1">IFERROR(__xludf.DUMMYFUNCTION("""COMPUTED_VALUE"""),175)</f>
        <v>175</v>
      </c>
      <c r="L206" s="1" t="str">
        <f ca="1">IFERROR(__xludf.DUMMYFUNCTION("""COMPUTED_VALUE"""),"+.069")</f>
        <v>+.069</v>
      </c>
      <c r="M206" s="1">
        <f ca="1">IFERROR(__xludf.DUMMYFUNCTION("""COMPUTED_VALUE"""),24)</f>
        <v>24</v>
      </c>
      <c r="N206" s="1">
        <f ca="1">IFERROR(__xludf.DUMMYFUNCTION("""COMPUTED_VALUE"""),-5.43)</f>
        <v>-5.43</v>
      </c>
      <c r="O206" s="1">
        <f ca="1">IFERROR(__xludf.DUMMYFUNCTION("""COMPUTED_VALUE"""),278)</f>
        <v>278</v>
      </c>
      <c r="P206" s="1">
        <f ca="1">IFERROR(__xludf.DUMMYFUNCTION("""COMPUTED_VALUE"""),100)</f>
        <v>100</v>
      </c>
      <c r="Q206" s="1">
        <f ca="1">IFERROR(__xludf.DUMMYFUNCTION("""COMPUTED_VALUE"""),271)</f>
        <v>271</v>
      </c>
      <c r="R206" s="1">
        <f ca="1">IFERROR(__xludf.DUMMYFUNCTION("""COMPUTED_VALUE"""),105.4)</f>
        <v>105.4</v>
      </c>
      <c r="S206" s="1">
        <f ca="1">IFERROR(__xludf.DUMMYFUNCTION("""COMPUTED_VALUE"""),267)</f>
        <v>267</v>
      </c>
      <c r="T206" s="1" t="str">
        <f ca="1">IFERROR(__xludf.DUMMYFUNCTION("""COMPUTED_VALUE"""),"+3.14")</f>
        <v>+3.14</v>
      </c>
      <c r="U206" s="1">
        <f ca="1">IFERROR(__xludf.DUMMYFUNCTION("""COMPUTED_VALUE"""),86)</f>
        <v>86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IFERROR(__xludf.DUMMYFUNCTION("""COMPUTED_VALUE"""),"Missouri St.")</f>
        <v>Missouri St.</v>
      </c>
      <c r="C207" s="1" t="str">
        <f ca="1">IFERROR(__xludf.DUMMYFUNCTION("""COMPUTED_VALUE"""),"MVC")</f>
        <v>MVC</v>
      </c>
      <c r="D207" s="2">
        <f ca="1">IFERROR(__xludf.DUMMYFUNCTION("""COMPUTED_VALUE"""),44885)</f>
        <v>44885</v>
      </c>
      <c r="E207" s="1">
        <f ca="1">IFERROR(__xludf.DUMMYFUNCTION("""COMPUTED_VALUE"""),-2.83)</f>
        <v>-2.83</v>
      </c>
      <c r="F207" s="1">
        <f ca="1">IFERROR(__xludf.DUMMYFUNCTION("""COMPUTED_VALUE"""),99.4)</f>
        <v>99.4</v>
      </c>
      <c r="G207" s="1">
        <f ca="1">IFERROR(__xludf.DUMMYFUNCTION("""COMPUTED_VALUE"""),230)</f>
        <v>230</v>
      </c>
      <c r="H207" s="1">
        <f ca="1">IFERROR(__xludf.DUMMYFUNCTION("""COMPUTED_VALUE"""),102.3)</f>
        <v>102.3</v>
      </c>
      <c r="I207" s="1">
        <f ca="1">IFERROR(__xludf.DUMMYFUNCTION("""COMPUTED_VALUE"""),159)</f>
        <v>159</v>
      </c>
      <c r="J207" s="1">
        <f ca="1">IFERROR(__xludf.DUMMYFUNCTION("""COMPUTED_VALUE"""),62.2)</f>
        <v>62.2</v>
      </c>
      <c r="K207" s="1">
        <f ca="1">IFERROR(__xludf.DUMMYFUNCTION("""COMPUTED_VALUE"""),296)</f>
        <v>296</v>
      </c>
      <c r="L207" s="1">
        <f ca="1">IFERROR(__xludf.DUMMYFUNCTION("""COMPUTED_VALUE"""),-0.043)</f>
        <v>-4.2999999999999997E-2</v>
      </c>
      <c r="M207" s="1">
        <f ca="1">IFERROR(__xludf.DUMMYFUNCTION("""COMPUTED_VALUE"""),281)</f>
        <v>281</v>
      </c>
      <c r="N207" s="1" t="str">
        <f ca="1">IFERROR(__xludf.DUMMYFUNCTION("""COMPUTED_VALUE"""),"+1.60")</f>
        <v>+1.60</v>
      </c>
      <c r="O207" s="1">
        <f ca="1">IFERROR(__xludf.DUMMYFUNCTION("""COMPUTED_VALUE"""),119)</f>
        <v>119</v>
      </c>
      <c r="P207" s="1">
        <f ca="1">IFERROR(__xludf.DUMMYFUNCTION("""COMPUTED_VALUE"""),103.7)</f>
        <v>103.7</v>
      </c>
      <c r="Q207" s="1">
        <f ca="1">IFERROR(__xludf.DUMMYFUNCTION("""COMPUTED_VALUE"""),133)</f>
        <v>133</v>
      </c>
      <c r="R207" s="1">
        <f ca="1">IFERROR(__xludf.DUMMYFUNCTION("""COMPUTED_VALUE"""),102.1)</f>
        <v>102.1</v>
      </c>
      <c r="S207" s="1">
        <f ca="1">IFERROR(__xludf.DUMMYFUNCTION("""COMPUTED_VALUE"""),132)</f>
        <v>132</v>
      </c>
      <c r="T207" s="1">
        <f ca="1">IFERROR(__xludf.DUMMYFUNCTION("""COMPUTED_VALUE"""),-2.6)</f>
        <v>-2.6</v>
      </c>
      <c r="U207" s="1">
        <f ca="1">IFERROR(__xludf.DUMMYFUNCTION("""COMPUTED_VALUE"""),223)</f>
        <v>223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IFERROR(__xludf.DUMMYFUNCTION("""COMPUTED_VALUE"""),"Georgia")</f>
        <v>Georgia</v>
      </c>
      <c r="C208" s="1" t="str">
        <f ca="1">IFERROR(__xludf.DUMMYFUNCTION("""COMPUTED_VALUE"""),"SEC")</f>
        <v>SEC</v>
      </c>
      <c r="D208" s="2">
        <f ca="1">IFERROR(__xludf.DUMMYFUNCTION("""COMPUTED_VALUE"""),44915)</f>
        <v>44915</v>
      </c>
      <c r="E208" s="1">
        <f ca="1">IFERROR(__xludf.DUMMYFUNCTION("""COMPUTED_VALUE"""),-2.95)</f>
        <v>-2.95</v>
      </c>
      <c r="F208" s="1">
        <f ca="1">IFERROR(__xludf.DUMMYFUNCTION("""COMPUTED_VALUE"""),95.4)</f>
        <v>95.4</v>
      </c>
      <c r="G208" s="1">
        <f ca="1">IFERROR(__xludf.DUMMYFUNCTION("""COMPUTED_VALUE"""),283)</f>
        <v>283</v>
      </c>
      <c r="H208" s="1">
        <f ca="1">IFERROR(__xludf.DUMMYFUNCTION("""COMPUTED_VALUE"""),98.3)</f>
        <v>98.3</v>
      </c>
      <c r="I208" s="1">
        <f ca="1">IFERROR(__xludf.DUMMYFUNCTION("""COMPUTED_VALUE"""),76)</f>
        <v>76</v>
      </c>
      <c r="J208" s="1">
        <f ca="1">IFERROR(__xludf.DUMMYFUNCTION("""COMPUTED_VALUE"""),68.1)</f>
        <v>68.099999999999994</v>
      </c>
      <c r="K208" s="1">
        <f ca="1">IFERROR(__xludf.DUMMYFUNCTION("""COMPUTED_VALUE"""),64)</f>
        <v>64</v>
      </c>
      <c r="L208" s="1">
        <f ca="1">IFERROR(__xludf.DUMMYFUNCTION("""COMPUTED_VALUE"""),-0.005)</f>
        <v>-5.0000000000000001E-3</v>
      </c>
      <c r="M208" s="1">
        <f ca="1">IFERROR(__xludf.DUMMYFUNCTION("""COMPUTED_VALUE"""),177)</f>
        <v>177</v>
      </c>
      <c r="N208" s="1" t="str">
        <f ca="1">IFERROR(__xludf.DUMMYFUNCTION("""COMPUTED_VALUE"""),"+4.82")</f>
        <v>+4.82</v>
      </c>
      <c r="O208" s="1">
        <f ca="1">IFERROR(__xludf.DUMMYFUNCTION("""COMPUTED_VALUE"""),75)</f>
        <v>75</v>
      </c>
      <c r="P208" s="1">
        <f ca="1">IFERROR(__xludf.DUMMYFUNCTION("""COMPUTED_VALUE"""),105)</f>
        <v>105</v>
      </c>
      <c r="Q208" s="1">
        <f ca="1">IFERROR(__xludf.DUMMYFUNCTION("""COMPUTED_VALUE"""),92)</f>
        <v>92</v>
      </c>
      <c r="R208" s="1">
        <f ca="1">IFERROR(__xludf.DUMMYFUNCTION("""COMPUTED_VALUE"""),100.2)</f>
        <v>100.2</v>
      </c>
      <c r="S208" s="1">
        <f ca="1">IFERROR(__xludf.DUMMYFUNCTION("""COMPUTED_VALUE"""),64)</f>
        <v>64</v>
      </c>
      <c r="T208" s="1">
        <f ca="1">IFERROR(__xludf.DUMMYFUNCTION("""COMPUTED_VALUE"""),-5.86)</f>
        <v>-5.86</v>
      </c>
      <c r="U208" s="1">
        <f ca="1">IFERROR(__xludf.DUMMYFUNCTION("""COMPUTED_VALUE"""),297)</f>
        <v>297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IFERROR(__xludf.DUMMYFUNCTION("""COMPUTED_VALUE"""),"Southeastern Louisiana")</f>
        <v>Southeastern Louisiana</v>
      </c>
      <c r="C209" s="1" t="str">
        <f ca="1">IFERROR(__xludf.DUMMYFUNCTION("""COMPUTED_VALUE"""),"Slnd")</f>
        <v>Slnd</v>
      </c>
      <c r="D209" s="1" t="str">
        <f ca="1">IFERROR(__xludf.DUMMYFUNCTION("""COMPUTED_VALUE"""),"13-17")</f>
        <v>13-17</v>
      </c>
      <c r="E209" s="1">
        <f ca="1">IFERROR(__xludf.DUMMYFUNCTION("""COMPUTED_VALUE"""),-2.97)</f>
        <v>-2.97</v>
      </c>
      <c r="F209" s="1">
        <f ca="1">IFERROR(__xludf.DUMMYFUNCTION("""COMPUTED_VALUE"""),100.5)</f>
        <v>100.5</v>
      </c>
      <c r="G209" s="1">
        <f ca="1">IFERROR(__xludf.DUMMYFUNCTION("""COMPUTED_VALUE"""),216)</f>
        <v>216</v>
      </c>
      <c r="H209" s="1">
        <f ca="1">IFERROR(__xludf.DUMMYFUNCTION("""COMPUTED_VALUE"""),103.5)</f>
        <v>103.5</v>
      </c>
      <c r="I209" s="1">
        <f ca="1">IFERROR(__xludf.DUMMYFUNCTION("""COMPUTED_VALUE"""),181)</f>
        <v>181</v>
      </c>
      <c r="J209" s="1">
        <f ca="1">IFERROR(__xludf.DUMMYFUNCTION("""COMPUTED_VALUE"""),65.1)</f>
        <v>65.099999999999994</v>
      </c>
      <c r="K209" s="1">
        <f ca="1">IFERROR(__xludf.DUMMYFUNCTION("""COMPUTED_VALUE"""),180)</f>
        <v>180</v>
      </c>
      <c r="L209" s="1">
        <f ca="1">IFERROR(__xludf.DUMMYFUNCTION("""COMPUTED_VALUE"""),-0.112)</f>
        <v>-0.112</v>
      </c>
      <c r="M209" s="1">
        <f ca="1">IFERROR(__xludf.DUMMYFUNCTION("""COMPUTED_VALUE"""),343)</f>
        <v>343</v>
      </c>
      <c r="N209" s="1">
        <f ca="1">IFERROR(__xludf.DUMMYFUNCTION("""COMPUTED_VALUE"""),-1.22)</f>
        <v>-1.22</v>
      </c>
      <c r="O209" s="1">
        <f ca="1">IFERROR(__xludf.DUMMYFUNCTION("""COMPUTED_VALUE"""),184)</f>
        <v>184</v>
      </c>
      <c r="P209" s="1">
        <f ca="1">IFERROR(__xludf.DUMMYFUNCTION("""COMPUTED_VALUE"""),100.9)</f>
        <v>100.9</v>
      </c>
      <c r="Q209" s="1">
        <f ca="1">IFERROR(__xludf.DUMMYFUNCTION("""COMPUTED_VALUE"""),245)</f>
        <v>245</v>
      </c>
      <c r="R209" s="1">
        <f ca="1">IFERROR(__xludf.DUMMYFUNCTION("""COMPUTED_VALUE"""),102.1)</f>
        <v>102.1</v>
      </c>
      <c r="S209" s="1">
        <f ca="1">IFERROR(__xludf.DUMMYFUNCTION("""COMPUTED_VALUE"""),134)</f>
        <v>134</v>
      </c>
      <c r="T209" s="1" t="str">
        <f ca="1">IFERROR(__xludf.DUMMYFUNCTION("""COMPUTED_VALUE"""),"+5.95")</f>
        <v>+5.95</v>
      </c>
      <c r="U209" s="1">
        <f ca="1">IFERROR(__xludf.DUMMYFUNCTION("""COMPUTED_VALUE"""),40)</f>
        <v>40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IFERROR(__xludf.DUMMYFUNCTION("""COMPUTED_VALUE"""),"Alabama St.16")</f>
        <v>Alabama St.16</v>
      </c>
      <c r="C210" s="1" t="str">
        <f ca="1">IFERROR(__xludf.DUMMYFUNCTION("""COMPUTED_VALUE"""),"SWAC")</f>
        <v>SWAC</v>
      </c>
      <c r="D210" s="1" t="str">
        <f ca="1">IFERROR(__xludf.DUMMYFUNCTION("""COMPUTED_VALUE"""),"22-10")</f>
        <v>22-10</v>
      </c>
      <c r="E210" s="1">
        <f ca="1">IFERROR(__xludf.DUMMYFUNCTION("""COMPUTED_VALUE"""),-2.97)</f>
        <v>-2.97</v>
      </c>
      <c r="F210" s="1">
        <f ca="1">IFERROR(__xludf.DUMMYFUNCTION("""COMPUTED_VALUE"""),100.7)</f>
        <v>100.7</v>
      </c>
      <c r="G210" s="1">
        <f ca="1">IFERROR(__xludf.DUMMYFUNCTION("""COMPUTED_VALUE"""),214)</f>
        <v>214</v>
      </c>
      <c r="H210" s="1">
        <f ca="1">IFERROR(__xludf.DUMMYFUNCTION("""COMPUTED_VALUE"""),103.6)</f>
        <v>103.6</v>
      </c>
      <c r="I210" s="1">
        <f ca="1">IFERROR(__xludf.DUMMYFUNCTION("""COMPUTED_VALUE"""),184)</f>
        <v>184</v>
      </c>
      <c r="J210" s="1">
        <f ca="1">IFERROR(__xludf.DUMMYFUNCTION("""COMPUTED_VALUE"""),63.6)</f>
        <v>63.6</v>
      </c>
      <c r="K210" s="1">
        <f ca="1">IFERROR(__xludf.DUMMYFUNCTION("""COMPUTED_VALUE"""),249)</f>
        <v>249</v>
      </c>
      <c r="L210" s="1" t="str">
        <f ca="1">IFERROR(__xludf.DUMMYFUNCTION("""COMPUTED_VALUE"""),"+.025")</f>
        <v>+.025</v>
      </c>
      <c r="M210" s="1">
        <f ca="1">IFERROR(__xludf.DUMMYFUNCTION("""COMPUTED_VALUE"""),104)</f>
        <v>104</v>
      </c>
      <c r="N210" s="1">
        <f ca="1">IFERROR(__xludf.DUMMYFUNCTION("""COMPUTED_VALUE"""),-11.71)</f>
        <v>-11.71</v>
      </c>
      <c r="O210" s="1">
        <f ca="1">IFERROR(__xludf.DUMMYFUNCTION("""COMPUTED_VALUE"""),340)</f>
        <v>340</v>
      </c>
      <c r="P210" s="1">
        <f ca="1">IFERROR(__xludf.DUMMYFUNCTION("""COMPUTED_VALUE"""),95.4)</f>
        <v>95.4</v>
      </c>
      <c r="Q210" s="1">
        <f ca="1">IFERROR(__xludf.DUMMYFUNCTION("""COMPUTED_VALUE"""),339)</f>
        <v>339</v>
      </c>
      <c r="R210" s="1">
        <f ca="1">IFERROR(__xludf.DUMMYFUNCTION("""COMPUTED_VALUE"""),107.2)</f>
        <v>107.2</v>
      </c>
      <c r="S210" s="1">
        <f ca="1">IFERROR(__xludf.DUMMYFUNCTION("""COMPUTED_VALUE"""),333)</f>
        <v>333</v>
      </c>
      <c r="T210" s="1" t="str">
        <f ca="1">IFERROR(__xludf.DUMMYFUNCTION("""COMPUTED_VALUE"""),"+9.21")</f>
        <v>+9.21</v>
      </c>
      <c r="U210" s="1">
        <f ca="1">IFERROR(__xludf.DUMMYFUNCTION("""COMPUTED_VALUE"""),20)</f>
        <v>20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IFERROR(__xludf.DUMMYFUNCTION("""COMPUTED_VALUE"""),"Cal St. Fullerton")</f>
        <v>Cal St. Fullerton</v>
      </c>
      <c r="C213" s="1" t="str">
        <f ca="1">IFERROR(__xludf.DUMMYFUNCTION("""COMPUTED_VALUE"""),"BW")</f>
        <v>BW</v>
      </c>
      <c r="D213" s="1" t="str">
        <f ca="1">IFERROR(__xludf.DUMMYFUNCTION("""COMPUTED_VALUE"""),"15-17")</f>
        <v>15-17</v>
      </c>
      <c r="E213" s="1">
        <f ca="1">IFERROR(__xludf.DUMMYFUNCTION("""COMPUTED_VALUE"""),-3.24)</f>
        <v>-3.24</v>
      </c>
      <c r="F213" s="1">
        <f ca="1">IFERROR(__xludf.DUMMYFUNCTION("""COMPUTED_VALUE"""),105.6)</f>
        <v>105.6</v>
      </c>
      <c r="G213" s="1">
        <f ca="1">IFERROR(__xludf.DUMMYFUNCTION("""COMPUTED_VALUE"""),121)</f>
        <v>121</v>
      </c>
      <c r="H213" s="1">
        <f ca="1">IFERROR(__xludf.DUMMYFUNCTION("""COMPUTED_VALUE"""),108.8)</f>
        <v>108.8</v>
      </c>
      <c r="I213" s="1">
        <f ca="1">IFERROR(__xludf.DUMMYFUNCTION("""COMPUTED_VALUE"""),287)</f>
        <v>287</v>
      </c>
      <c r="J213" s="1">
        <f ca="1">IFERROR(__xludf.DUMMYFUNCTION("""COMPUTED_VALUE"""),67.2)</f>
        <v>67.2</v>
      </c>
      <c r="K213" s="1">
        <f ca="1">IFERROR(__xludf.DUMMYFUNCTION("""COMPUTED_VALUE"""),90)</f>
        <v>90</v>
      </c>
      <c r="L213" s="1" t="str">
        <f ca="1">IFERROR(__xludf.DUMMYFUNCTION("""COMPUTED_VALUE"""),"+.017")</f>
        <v>+.017</v>
      </c>
      <c r="M213" s="1">
        <f ca="1">IFERROR(__xludf.DUMMYFUNCTION("""COMPUTED_VALUE"""),121)</f>
        <v>121</v>
      </c>
      <c r="N213" s="1">
        <f ca="1">IFERROR(__xludf.DUMMYFUNCTION("""COMPUTED_VALUE"""),-1.14)</f>
        <v>-1.1399999999999999</v>
      </c>
      <c r="O213" s="1">
        <f ca="1">IFERROR(__xludf.DUMMYFUNCTION("""COMPUTED_VALUE"""),181)</f>
        <v>181</v>
      </c>
      <c r="P213" s="1">
        <f ca="1">IFERROR(__xludf.DUMMYFUNCTION("""COMPUTED_VALUE"""),102.9)</f>
        <v>102.9</v>
      </c>
      <c r="Q213" s="1">
        <f ca="1">IFERROR(__xludf.DUMMYFUNCTION("""COMPUTED_VALUE"""),168)</f>
        <v>168</v>
      </c>
      <c r="R213" s="1">
        <f ca="1">IFERROR(__xludf.DUMMYFUNCTION("""COMPUTED_VALUE"""),104)</f>
        <v>104</v>
      </c>
      <c r="S213" s="1">
        <f ca="1">IFERROR(__xludf.DUMMYFUNCTION("""COMPUTED_VALUE"""),205)</f>
        <v>205</v>
      </c>
      <c r="T213" s="1" t="str">
        <f ca="1">IFERROR(__xludf.DUMMYFUNCTION("""COMPUTED_VALUE"""),"+0.94")</f>
        <v>+0.94</v>
      </c>
      <c r="U213" s="1">
        <f ca="1">IFERROR(__xludf.DUMMYFUNCTION("""COMPUTED_VALUE"""),129)</f>
        <v>129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IFERROR(__xludf.DUMMYFUNCTION("""COMPUTED_VALUE"""),"Northern Colorado")</f>
        <v>Northern Colorado</v>
      </c>
      <c r="C214" s="1" t="str">
        <f ca="1">IFERROR(__xludf.DUMMYFUNCTION("""COMPUTED_VALUE"""),"BSky")</f>
        <v>BSky</v>
      </c>
      <c r="D214" s="1" t="str">
        <f ca="1">IFERROR(__xludf.DUMMYFUNCTION("""COMPUTED_VALUE"""),"14-18")</f>
        <v>14-18</v>
      </c>
      <c r="E214" s="1">
        <f ca="1">IFERROR(__xludf.DUMMYFUNCTION("""COMPUTED_VALUE"""),-3.34)</f>
        <v>-3.34</v>
      </c>
      <c r="F214" s="1">
        <f ca="1">IFERROR(__xludf.DUMMYFUNCTION("""COMPUTED_VALUE"""),103.3)</f>
        <v>103.3</v>
      </c>
      <c r="G214" s="1">
        <f ca="1">IFERROR(__xludf.DUMMYFUNCTION("""COMPUTED_VALUE"""),155)</f>
        <v>155</v>
      </c>
      <c r="H214" s="1">
        <f ca="1">IFERROR(__xludf.DUMMYFUNCTION("""COMPUTED_VALUE"""),106.7)</f>
        <v>106.7</v>
      </c>
      <c r="I214" s="1">
        <f ca="1">IFERROR(__xludf.DUMMYFUNCTION("""COMPUTED_VALUE"""),253)</f>
        <v>253</v>
      </c>
      <c r="J214" s="1">
        <f ca="1">IFERROR(__xludf.DUMMYFUNCTION("""COMPUTED_VALUE"""),66.5)</f>
        <v>66.5</v>
      </c>
      <c r="K214" s="1">
        <f ca="1">IFERROR(__xludf.DUMMYFUNCTION("""COMPUTED_VALUE"""),118)</f>
        <v>118</v>
      </c>
      <c r="L214" s="1">
        <f ca="1">IFERROR(__xludf.DUMMYFUNCTION("""COMPUTED_VALUE"""),-0.075)</f>
        <v>-7.4999999999999997E-2</v>
      </c>
      <c r="M214" s="1">
        <f ca="1">IFERROR(__xludf.DUMMYFUNCTION("""COMPUTED_VALUE"""),325)</f>
        <v>325</v>
      </c>
      <c r="N214" s="1">
        <f ca="1">IFERROR(__xludf.DUMMYFUNCTION("""COMPUTED_VALUE"""),-2.86)</f>
        <v>-2.86</v>
      </c>
      <c r="O214" s="1">
        <f ca="1">IFERROR(__xludf.DUMMYFUNCTION("""COMPUTED_VALUE"""),215)</f>
        <v>215</v>
      </c>
      <c r="P214" s="1">
        <f ca="1">IFERROR(__xludf.DUMMYFUNCTION("""COMPUTED_VALUE"""),102.4)</f>
        <v>102.4</v>
      </c>
      <c r="Q214" s="1">
        <f ca="1">IFERROR(__xludf.DUMMYFUNCTION("""COMPUTED_VALUE"""),189)</f>
        <v>189</v>
      </c>
      <c r="R214" s="1">
        <f ca="1">IFERROR(__xludf.DUMMYFUNCTION("""COMPUTED_VALUE"""),105.3)</f>
        <v>105.3</v>
      </c>
      <c r="S214" s="1">
        <f ca="1">IFERROR(__xludf.DUMMYFUNCTION("""COMPUTED_VALUE"""),258)</f>
        <v>258</v>
      </c>
      <c r="T214" s="1">
        <f ca="1">IFERROR(__xludf.DUMMYFUNCTION("""COMPUTED_VALUE"""),-0.38)</f>
        <v>-0.38</v>
      </c>
      <c r="U214" s="1">
        <f ca="1">IFERROR(__xludf.DUMMYFUNCTION("""COMPUTED_VALUE"""),168)</f>
        <v>168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IFERROR(__xludf.DUMMYFUNCTION("""COMPUTED_VALUE"""),"Indiana St.")</f>
        <v>Indiana St.</v>
      </c>
      <c r="C215" s="1" t="str">
        <f ca="1">IFERROR(__xludf.DUMMYFUNCTION("""COMPUTED_VALUE"""),"MVC")</f>
        <v>MVC</v>
      </c>
      <c r="D215" s="2">
        <f ca="1">IFERROR(__xludf.DUMMYFUNCTION("""COMPUTED_VALUE"""),44886)</f>
        <v>44886</v>
      </c>
      <c r="E215" s="1">
        <f ca="1">IFERROR(__xludf.DUMMYFUNCTION("""COMPUTED_VALUE"""),-3.36)</f>
        <v>-3.36</v>
      </c>
      <c r="F215" s="1">
        <f ca="1">IFERROR(__xludf.DUMMYFUNCTION("""COMPUTED_VALUE"""),102.6)</f>
        <v>102.6</v>
      </c>
      <c r="G215" s="1">
        <f ca="1">IFERROR(__xludf.DUMMYFUNCTION("""COMPUTED_VALUE"""),172)</f>
        <v>172</v>
      </c>
      <c r="H215" s="1">
        <f ca="1">IFERROR(__xludf.DUMMYFUNCTION("""COMPUTED_VALUE"""),105.9)</f>
        <v>105.9</v>
      </c>
      <c r="I215" s="1">
        <f ca="1">IFERROR(__xludf.DUMMYFUNCTION("""COMPUTED_VALUE"""),237)</f>
        <v>237</v>
      </c>
      <c r="J215" s="1">
        <f ca="1">IFERROR(__xludf.DUMMYFUNCTION("""COMPUTED_VALUE"""),63.3)</f>
        <v>63.3</v>
      </c>
      <c r="K215" s="1">
        <f ca="1">IFERROR(__xludf.DUMMYFUNCTION("""COMPUTED_VALUE"""),261)</f>
        <v>261</v>
      </c>
      <c r="L215" s="1" t="str">
        <f ca="1">IFERROR(__xludf.DUMMYFUNCTION("""COMPUTED_VALUE"""),"+.007")</f>
        <v>+.007</v>
      </c>
      <c r="M215" s="1">
        <f ca="1">IFERROR(__xludf.DUMMYFUNCTION("""COMPUTED_VALUE"""),149)</f>
        <v>149</v>
      </c>
      <c r="N215" s="1" t="str">
        <f ca="1">IFERROR(__xludf.DUMMYFUNCTION("""COMPUTED_VALUE"""),"+2.67")</f>
        <v>+2.67</v>
      </c>
      <c r="O215" s="1">
        <f ca="1">IFERROR(__xludf.DUMMYFUNCTION("""COMPUTED_VALUE"""),103)</f>
        <v>103</v>
      </c>
      <c r="P215" s="1">
        <f ca="1">IFERROR(__xludf.DUMMYFUNCTION("""COMPUTED_VALUE"""),103.8)</f>
        <v>103.8</v>
      </c>
      <c r="Q215" s="1">
        <f ca="1">IFERROR(__xludf.DUMMYFUNCTION("""COMPUTED_VALUE"""),128)</f>
        <v>128</v>
      </c>
      <c r="R215" s="1">
        <f ca="1">IFERROR(__xludf.DUMMYFUNCTION("""COMPUTED_VALUE"""),101.1)</f>
        <v>101.1</v>
      </c>
      <c r="S215" s="1">
        <f ca="1">IFERROR(__xludf.DUMMYFUNCTION("""COMPUTED_VALUE"""),89)</f>
        <v>89</v>
      </c>
      <c r="T215" s="1">
        <f ca="1">IFERROR(__xludf.DUMMYFUNCTION("""COMPUTED_VALUE"""),-0.54)</f>
        <v>-0.54</v>
      </c>
      <c r="U215" s="1">
        <f ca="1">IFERROR(__xludf.DUMMYFUNCTION("""COMPUTED_VALUE"""),177)</f>
        <v>177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IFERROR(__xludf.DUMMYFUNCTION("""COMPUTED_VALUE"""),"Denver")</f>
        <v>Denver</v>
      </c>
      <c r="C216" s="1" t="str">
        <f ca="1">IFERROR(__xludf.DUMMYFUNCTION("""COMPUTED_VALUE"""),"SB")</f>
        <v>SB</v>
      </c>
      <c r="D216" s="1" t="str">
        <f ca="1">IFERROR(__xludf.DUMMYFUNCTION("""COMPUTED_VALUE"""),"15-16")</f>
        <v>15-16</v>
      </c>
      <c r="E216" s="1">
        <f ca="1">IFERROR(__xludf.DUMMYFUNCTION("""COMPUTED_VALUE"""),-3.5)</f>
        <v>-3.5</v>
      </c>
      <c r="F216" s="1">
        <f ca="1">IFERROR(__xludf.DUMMYFUNCTION("""COMPUTED_VALUE"""),102.7)</f>
        <v>102.7</v>
      </c>
      <c r="G216" s="1">
        <f ca="1">IFERROR(__xludf.DUMMYFUNCTION("""COMPUTED_VALUE"""),168)</f>
        <v>168</v>
      </c>
      <c r="H216" s="1">
        <f ca="1">IFERROR(__xludf.DUMMYFUNCTION("""COMPUTED_VALUE"""),106.2)</f>
        <v>106.2</v>
      </c>
      <c r="I216" s="1">
        <f ca="1">IFERROR(__xludf.DUMMYFUNCTION("""COMPUTED_VALUE"""),243)</f>
        <v>243</v>
      </c>
      <c r="J216" s="1">
        <f ca="1">IFERROR(__xludf.DUMMYFUNCTION("""COMPUTED_VALUE"""),56.1)</f>
        <v>56.1</v>
      </c>
      <c r="K216" s="1">
        <f ca="1">IFERROR(__xludf.DUMMYFUNCTION("""COMPUTED_VALUE"""),344)</f>
        <v>344</v>
      </c>
      <c r="L216" s="1">
        <f ca="1">IFERROR(__xludf.DUMMYFUNCTION("""COMPUTED_VALUE"""),-0.034)</f>
        <v>-3.4000000000000002E-2</v>
      </c>
      <c r="M216" s="1">
        <f ca="1">IFERROR(__xludf.DUMMYFUNCTION("""COMPUTED_VALUE"""),269)</f>
        <v>269</v>
      </c>
      <c r="N216" s="1">
        <f ca="1">IFERROR(__xludf.DUMMYFUNCTION("""COMPUTED_VALUE"""),-5.11)</f>
        <v>-5.1100000000000003</v>
      </c>
      <c r="O216" s="1">
        <f ca="1">IFERROR(__xludf.DUMMYFUNCTION("""COMPUTED_VALUE"""),272)</f>
        <v>272</v>
      </c>
      <c r="P216" s="1">
        <f ca="1">IFERROR(__xludf.DUMMYFUNCTION("""COMPUTED_VALUE"""),101.1)</f>
        <v>101.1</v>
      </c>
      <c r="Q216" s="1">
        <f ca="1">IFERROR(__xludf.DUMMYFUNCTION("""COMPUTED_VALUE"""),238)</f>
        <v>238</v>
      </c>
      <c r="R216" s="1">
        <f ca="1">IFERROR(__xludf.DUMMYFUNCTION("""COMPUTED_VALUE"""),106.2)</f>
        <v>106.2</v>
      </c>
      <c r="S216" s="1">
        <f ca="1">IFERROR(__xludf.DUMMYFUNCTION("""COMPUTED_VALUE"""),309)</f>
        <v>309</v>
      </c>
      <c r="T216" s="1">
        <f ca="1">IFERROR(__xludf.DUMMYFUNCTION("""COMPUTED_VALUE"""),-2.26)</f>
        <v>-2.2599999999999998</v>
      </c>
      <c r="U216" s="1">
        <f ca="1">IFERROR(__xludf.DUMMYFUNCTION("""COMPUTED_VALUE"""),214)</f>
        <v>214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IFERROR(__xludf.DUMMYFUNCTION("""COMPUTED_VALUE"""),"SMU")</f>
        <v>SMU</v>
      </c>
      <c r="C217" s="1" t="str">
        <f ca="1">IFERROR(__xludf.DUMMYFUNCTION("""COMPUTED_VALUE"""),"CUSA")</f>
        <v>CUSA</v>
      </c>
      <c r="D217" s="2">
        <f ca="1">IFERROR(__xludf.DUMMYFUNCTION("""COMPUTED_VALUE"""),44825)</f>
        <v>44825</v>
      </c>
      <c r="E217" s="1">
        <f ca="1">IFERROR(__xludf.DUMMYFUNCTION("""COMPUTED_VALUE"""),-3.52)</f>
        <v>-3.52</v>
      </c>
      <c r="F217" s="1">
        <f ca="1">IFERROR(__xludf.DUMMYFUNCTION("""COMPUTED_VALUE"""),101.6)</f>
        <v>101.6</v>
      </c>
      <c r="G217" s="1">
        <f ca="1">IFERROR(__xludf.DUMMYFUNCTION("""COMPUTED_VALUE"""),199)</f>
        <v>199</v>
      </c>
      <c r="H217" s="1">
        <f ca="1">IFERROR(__xludf.DUMMYFUNCTION("""COMPUTED_VALUE"""),105.1)</f>
        <v>105.1</v>
      </c>
      <c r="I217" s="1">
        <f ca="1">IFERROR(__xludf.DUMMYFUNCTION("""COMPUTED_VALUE"""),218)</f>
        <v>218</v>
      </c>
      <c r="J217" s="1">
        <f ca="1">IFERROR(__xludf.DUMMYFUNCTION("""COMPUTED_VALUE"""),63.6)</f>
        <v>63.6</v>
      </c>
      <c r="K217" s="1">
        <f ca="1">IFERROR(__xludf.DUMMYFUNCTION("""COMPUTED_VALUE"""),247)</f>
        <v>247</v>
      </c>
      <c r="L217" s="1">
        <f ca="1">IFERROR(__xludf.DUMMYFUNCTION("""COMPUTED_VALUE"""),-0.069)</f>
        <v>-6.9000000000000006E-2</v>
      </c>
      <c r="M217" s="1">
        <f ca="1">IFERROR(__xludf.DUMMYFUNCTION("""COMPUTED_VALUE"""),317)</f>
        <v>317</v>
      </c>
      <c r="N217" s="1" t="str">
        <f ca="1">IFERROR(__xludf.DUMMYFUNCTION("""COMPUTED_VALUE"""),"+3.24")</f>
        <v>+3.24</v>
      </c>
      <c r="O217" s="1">
        <f ca="1">IFERROR(__xludf.DUMMYFUNCTION("""COMPUTED_VALUE"""),95)</f>
        <v>95</v>
      </c>
      <c r="P217" s="1">
        <f ca="1">IFERROR(__xludf.DUMMYFUNCTION("""COMPUTED_VALUE"""),104.4)</f>
        <v>104.4</v>
      </c>
      <c r="Q217" s="1">
        <f ca="1">IFERROR(__xludf.DUMMYFUNCTION("""COMPUTED_VALUE"""),104)</f>
        <v>104</v>
      </c>
      <c r="R217" s="1">
        <f ca="1">IFERROR(__xludf.DUMMYFUNCTION("""COMPUTED_VALUE"""),101.2)</f>
        <v>101.2</v>
      </c>
      <c r="S217" s="1">
        <f ca="1">IFERROR(__xludf.DUMMYFUNCTION("""COMPUTED_VALUE"""),94)</f>
        <v>94</v>
      </c>
      <c r="T217" s="1">
        <f ca="1">IFERROR(__xludf.DUMMYFUNCTION("""COMPUTED_VALUE"""),-3.41)</f>
        <v>-3.41</v>
      </c>
      <c r="U217" s="1">
        <f ca="1">IFERROR(__xludf.DUMMYFUNCTION("""COMPUTED_VALUE"""),242)</f>
        <v>242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IFERROR(__xludf.DUMMYFUNCTION("""COMPUTED_VALUE"""),"DePaul")</f>
        <v>DePaul</v>
      </c>
      <c r="C218" s="1" t="str">
        <f ca="1">IFERROR(__xludf.DUMMYFUNCTION("""COMPUTED_VALUE"""),"BE")</f>
        <v>BE</v>
      </c>
      <c r="D218" s="2">
        <f ca="1">IFERROR(__xludf.DUMMYFUNCTION("""COMPUTED_VALUE"""),44828)</f>
        <v>44828</v>
      </c>
      <c r="E218" s="1">
        <f ca="1">IFERROR(__xludf.DUMMYFUNCTION("""COMPUTED_VALUE"""),-3.72)</f>
        <v>-3.72</v>
      </c>
      <c r="F218" s="1">
        <f ca="1">IFERROR(__xludf.DUMMYFUNCTION("""COMPUTED_VALUE"""),102)</f>
        <v>102</v>
      </c>
      <c r="G218" s="1">
        <f ca="1">IFERROR(__xludf.DUMMYFUNCTION("""COMPUTED_VALUE"""),190)</f>
        <v>190</v>
      </c>
      <c r="H218" s="1">
        <f ca="1">IFERROR(__xludf.DUMMYFUNCTION("""COMPUTED_VALUE"""),105.8)</f>
        <v>105.8</v>
      </c>
      <c r="I218" s="1">
        <f ca="1">IFERROR(__xludf.DUMMYFUNCTION("""COMPUTED_VALUE"""),233)</f>
        <v>233</v>
      </c>
      <c r="J218" s="1">
        <f ca="1">IFERROR(__xludf.DUMMYFUNCTION("""COMPUTED_VALUE"""),64.6)</f>
        <v>64.599999999999994</v>
      </c>
      <c r="K218" s="1">
        <f ca="1">IFERROR(__xludf.DUMMYFUNCTION("""COMPUTED_VALUE"""),205)</f>
        <v>205</v>
      </c>
      <c r="L218" s="1">
        <f ca="1">IFERROR(__xludf.DUMMYFUNCTION("""COMPUTED_VALUE"""),-0.016)</f>
        <v>-1.6E-2</v>
      </c>
      <c r="M218" s="1">
        <f ca="1">IFERROR(__xludf.DUMMYFUNCTION("""COMPUTED_VALUE"""),215)</f>
        <v>215</v>
      </c>
      <c r="N218" s="1" t="str">
        <f ca="1">IFERROR(__xludf.DUMMYFUNCTION("""COMPUTED_VALUE"""),"+9.38")</f>
        <v>+9.38</v>
      </c>
      <c r="O218" s="1">
        <f ca="1">IFERROR(__xludf.DUMMYFUNCTION("""COMPUTED_VALUE"""),32)</f>
        <v>32</v>
      </c>
      <c r="P218" s="1">
        <f ca="1">IFERROR(__xludf.DUMMYFUNCTION("""COMPUTED_VALUE"""),108.4)</f>
        <v>108.4</v>
      </c>
      <c r="Q218" s="1">
        <f ca="1">IFERROR(__xludf.DUMMYFUNCTION("""COMPUTED_VALUE"""),22)</f>
        <v>22</v>
      </c>
      <c r="R218" s="1">
        <f ca="1">IFERROR(__xludf.DUMMYFUNCTION("""COMPUTED_VALUE"""),99)</f>
        <v>99</v>
      </c>
      <c r="S218" s="1">
        <f ca="1">IFERROR(__xludf.DUMMYFUNCTION("""COMPUTED_VALUE"""),35)</f>
        <v>35</v>
      </c>
      <c r="T218" s="1">
        <f ca="1">IFERROR(__xludf.DUMMYFUNCTION("""COMPUTED_VALUE"""),-2.32)</f>
        <v>-2.3199999999999998</v>
      </c>
      <c r="U218" s="1">
        <f ca="1">IFERROR(__xludf.DUMMYFUNCTION("""COMPUTED_VALUE"""),217)</f>
        <v>217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IFERROR(__xludf.DUMMYFUNCTION("""COMPUTED_VALUE"""),"Fresno St.")</f>
        <v>Fresno St.</v>
      </c>
      <c r="C219" s="1" t="str">
        <f ca="1">IFERROR(__xludf.DUMMYFUNCTION("""COMPUTED_VALUE"""),"WAC")</f>
        <v>WAC</v>
      </c>
      <c r="D219" s="1" t="str">
        <f ca="1">IFERROR(__xludf.DUMMYFUNCTION("""COMPUTED_VALUE"""),"13-21")</f>
        <v>13-21</v>
      </c>
      <c r="E219" s="1">
        <f ca="1">IFERROR(__xludf.DUMMYFUNCTION("""COMPUTED_VALUE"""),-3.78)</f>
        <v>-3.78</v>
      </c>
      <c r="F219" s="1">
        <f ca="1">IFERROR(__xludf.DUMMYFUNCTION("""COMPUTED_VALUE"""),99.7)</f>
        <v>99.7</v>
      </c>
      <c r="G219" s="1">
        <f ca="1">IFERROR(__xludf.DUMMYFUNCTION("""COMPUTED_VALUE"""),227)</f>
        <v>227</v>
      </c>
      <c r="H219" s="1">
        <f ca="1">IFERROR(__xludf.DUMMYFUNCTION("""COMPUTED_VALUE"""),103.5)</f>
        <v>103.5</v>
      </c>
      <c r="I219" s="1">
        <f ca="1">IFERROR(__xludf.DUMMYFUNCTION("""COMPUTED_VALUE"""),182)</f>
        <v>182</v>
      </c>
      <c r="J219" s="1">
        <f ca="1">IFERROR(__xludf.DUMMYFUNCTION("""COMPUTED_VALUE"""),66.5)</f>
        <v>66.5</v>
      </c>
      <c r="K219" s="1">
        <f ca="1">IFERROR(__xludf.DUMMYFUNCTION("""COMPUTED_VALUE"""),115)</f>
        <v>115</v>
      </c>
      <c r="L219" s="1">
        <f ca="1">IFERROR(__xludf.DUMMYFUNCTION("""COMPUTED_VALUE"""),-0.043)</f>
        <v>-4.2999999999999997E-2</v>
      </c>
      <c r="M219" s="1">
        <f ca="1">IFERROR(__xludf.DUMMYFUNCTION("""COMPUTED_VALUE"""),279)</f>
        <v>279</v>
      </c>
      <c r="N219" s="1">
        <f ca="1">IFERROR(__xludf.DUMMYFUNCTION("""COMPUTED_VALUE"""),-0.15)</f>
        <v>-0.15</v>
      </c>
      <c r="O219" s="1">
        <f ca="1">IFERROR(__xludf.DUMMYFUNCTION("""COMPUTED_VALUE"""),166)</f>
        <v>166</v>
      </c>
      <c r="P219" s="1">
        <f ca="1">IFERROR(__xludf.DUMMYFUNCTION("""COMPUTED_VALUE"""),103.7)</f>
        <v>103.7</v>
      </c>
      <c r="Q219" s="1">
        <f ca="1">IFERROR(__xludf.DUMMYFUNCTION("""COMPUTED_VALUE"""),134)</f>
        <v>134</v>
      </c>
      <c r="R219" s="1">
        <f ca="1">IFERROR(__xludf.DUMMYFUNCTION("""COMPUTED_VALUE"""),103.8)</f>
        <v>103.8</v>
      </c>
      <c r="S219" s="1">
        <f ca="1">IFERROR(__xludf.DUMMYFUNCTION("""COMPUTED_VALUE"""),199)</f>
        <v>199</v>
      </c>
      <c r="T219" s="1">
        <f ca="1">IFERROR(__xludf.DUMMYFUNCTION("""COMPUTED_VALUE"""),-3)</f>
        <v>-3</v>
      </c>
      <c r="U219" s="1">
        <f ca="1">IFERROR(__xludf.DUMMYFUNCTION("""COMPUTED_VALUE"""),230)</f>
        <v>230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IFERROR(__xludf.DUMMYFUNCTION("""COMPUTED_VALUE"""),"Texas St.")</f>
        <v>Texas St.</v>
      </c>
      <c r="C220" s="1" t="str">
        <f ca="1">IFERROR(__xludf.DUMMYFUNCTION("""COMPUTED_VALUE"""),"Slnd")</f>
        <v>Slnd</v>
      </c>
      <c r="D220" s="1" t="str">
        <f ca="1">IFERROR(__xludf.DUMMYFUNCTION("""COMPUTED_VALUE"""),"14-16")</f>
        <v>14-16</v>
      </c>
      <c r="E220" s="1">
        <f ca="1">IFERROR(__xludf.DUMMYFUNCTION("""COMPUTED_VALUE"""),-3.89)</f>
        <v>-3.89</v>
      </c>
      <c r="F220" s="1">
        <f ca="1">IFERROR(__xludf.DUMMYFUNCTION("""COMPUTED_VALUE"""),102.4)</f>
        <v>102.4</v>
      </c>
      <c r="G220" s="1">
        <f ca="1">IFERROR(__xludf.DUMMYFUNCTION("""COMPUTED_VALUE"""),178)</f>
        <v>178</v>
      </c>
      <c r="H220" s="1">
        <f ca="1">IFERROR(__xludf.DUMMYFUNCTION("""COMPUTED_VALUE"""),106.3)</f>
        <v>106.3</v>
      </c>
      <c r="I220" s="1">
        <f ca="1">IFERROR(__xludf.DUMMYFUNCTION("""COMPUTED_VALUE"""),245)</f>
        <v>245</v>
      </c>
      <c r="J220" s="1">
        <f ca="1">IFERROR(__xludf.DUMMYFUNCTION("""COMPUTED_VALUE"""),73.9)</f>
        <v>73.900000000000006</v>
      </c>
      <c r="K220" s="1">
        <f ca="1">IFERROR(__xludf.DUMMYFUNCTION("""COMPUTED_VALUE"""),4)</f>
        <v>4</v>
      </c>
      <c r="L220" s="1">
        <f ca="1">IFERROR(__xludf.DUMMYFUNCTION("""COMPUTED_VALUE"""),-0.078)</f>
        <v>-7.8E-2</v>
      </c>
      <c r="M220" s="1">
        <f ca="1">IFERROR(__xludf.DUMMYFUNCTION("""COMPUTED_VALUE"""),328)</f>
        <v>328</v>
      </c>
      <c r="N220" s="1">
        <f ca="1">IFERROR(__xludf.DUMMYFUNCTION("""COMPUTED_VALUE"""),-3.07)</f>
        <v>-3.07</v>
      </c>
      <c r="O220" s="1">
        <f ca="1">IFERROR(__xludf.DUMMYFUNCTION("""COMPUTED_VALUE"""),222)</f>
        <v>222</v>
      </c>
      <c r="P220" s="1">
        <f ca="1">IFERROR(__xludf.DUMMYFUNCTION("""COMPUTED_VALUE"""),101.3)</f>
        <v>101.3</v>
      </c>
      <c r="Q220" s="1">
        <f ca="1">IFERROR(__xludf.DUMMYFUNCTION("""COMPUTED_VALUE"""),230)</f>
        <v>230</v>
      </c>
      <c r="R220" s="1">
        <f ca="1">IFERROR(__xludf.DUMMYFUNCTION("""COMPUTED_VALUE"""),104.4)</f>
        <v>104.4</v>
      </c>
      <c r="S220" s="1">
        <f ca="1">IFERROR(__xludf.DUMMYFUNCTION("""COMPUTED_VALUE"""),224)</f>
        <v>224</v>
      </c>
      <c r="T220" s="1">
        <f ca="1">IFERROR(__xludf.DUMMYFUNCTION("""COMPUTED_VALUE"""),-3.55)</f>
        <v>-3.55</v>
      </c>
      <c r="U220" s="1">
        <f ca="1">IFERROR(__xludf.DUMMYFUNCTION("""COMPUTED_VALUE"""),247)</f>
        <v>247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IFERROR(__xludf.DUMMYFUNCTION("""COMPUTED_VALUE"""),"Indiana")</f>
        <v>Indiana</v>
      </c>
      <c r="C221" s="1" t="str">
        <f ca="1">IFERROR(__xludf.DUMMYFUNCTION("""COMPUTED_VALUE"""),"B10")</f>
        <v>B10</v>
      </c>
      <c r="D221" s="2">
        <f ca="1">IFERROR(__xludf.DUMMYFUNCTION("""COMPUTED_VALUE"""),44737)</f>
        <v>44737</v>
      </c>
      <c r="E221" s="1">
        <f ca="1">IFERROR(__xludf.DUMMYFUNCTION("""COMPUTED_VALUE"""),-3.92)</f>
        <v>-3.92</v>
      </c>
      <c r="F221" s="1">
        <f ca="1">IFERROR(__xludf.DUMMYFUNCTION("""COMPUTED_VALUE"""),99.1)</f>
        <v>99.1</v>
      </c>
      <c r="G221" s="1">
        <f ca="1">IFERROR(__xludf.DUMMYFUNCTION("""COMPUTED_VALUE"""),231)</f>
        <v>231</v>
      </c>
      <c r="H221" s="1">
        <f ca="1">IFERROR(__xludf.DUMMYFUNCTION("""COMPUTED_VALUE"""),103)</f>
        <v>103</v>
      </c>
      <c r="I221" s="1">
        <f ca="1">IFERROR(__xludf.DUMMYFUNCTION("""COMPUTED_VALUE"""),174)</f>
        <v>174</v>
      </c>
      <c r="J221" s="1">
        <f ca="1">IFERROR(__xludf.DUMMYFUNCTION("""COMPUTED_VALUE"""),65.4)</f>
        <v>65.400000000000006</v>
      </c>
      <c r="K221" s="1">
        <f ca="1">IFERROR(__xludf.DUMMYFUNCTION("""COMPUTED_VALUE"""),164)</f>
        <v>164</v>
      </c>
      <c r="L221" s="1">
        <f ca="1">IFERROR(__xludf.DUMMYFUNCTION("""COMPUTED_VALUE"""),-0.03)</f>
        <v>-0.03</v>
      </c>
      <c r="M221" s="1">
        <f ca="1">IFERROR(__xludf.DUMMYFUNCTION("""COMPUTED_VALUE"""),253)</f>
        <v>253</v>
      </c>
      <c r="N221" s="1" t="str">
        <f ca="1">IFERROR(__xludf.DUMMYFUNCTION("""COMPUTED_VALUE"""),"+11.49")</f>
        <v>+11.49</v>
      </c>
      <c r="O221" s="1">
        <f ca="1">IFERROR(__xludf.DUMMYFUNCTION("""COMPUTED_VALUE"""),3)</f>
        <v>3</v>
      </c>
      <c r="P221" s="1">
        <f ca="1">IFERROR(__xludf.DUMMYFUNCTION("""COMPUTED_VALUE"""),109.1)</f>
        <v>109.1</v>
      </c>
      <c r="Q221" s="1">
        <f ca="1">IFERROR(__xludf.DUMMYFUNCTION("""COMPUTED_VALUE"""),9)</f>
        <v>9</v>
      </c>
      <c r="R221" s="1">
        <f ca="1">IFERROR(__xludf.DUMMYFUNCTION("""COMPUTED_VALUE"""),97.6)</f>
        <v>97.6</v>
      </c>
      <c r="S221" s="1">
        <f ca="1">IFERROR(__xludf.DUMMYFUNCTION("""COMPUTED_VALUE"""),7)</f>
        <v>7</v>
      </c>
      <c r="T221" s="1" t="str">
        <f ca="1">IFERROR(__xludf.DUMMYFUNCTION("""COMPUTED_VALUE"""),"+4.29")</f>
        <v>+4.29</v>
      </c>
      <c r="U221" s="1">
        <f ca="1">IFERROR(__xludf.DUMMYFUNCTION("""COMPUTED_VALUE"""),63)</f>
        <v>63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IFERROR(__xludf.DUMMYFUNCTION("""COMPUTED_VALUE"""),"Lamar")</f>
        <v>Lamar</v>
      </c>
      <c r="C222" s="1" t="str">
        <f ca="1">IFERROR(__xludf.DUMMYFUNCTION("""COMPUTED_VALUE"""),"Slnd")</f>
        <v>Slnd</v>
      </c>
      <c r="D222" s="1" t="str">
        <f ca="1">IFERROR(__xludf.DUMMYFUNCTION("""COMPUTED_VALUE"""),"15-15")</f>
        <v>15-15</v>
      </c>
      <c r="E222" s="1">
        <f ca="1">IFERROR(__xludf.DUMMYFUNCTION("""COMPUTED_VALUE"""),-3.96)</f>
        <v>-3.96</v>
      </c>
      <c r="F222" s="1">
        <f ca="1">IFERROR(__xludf.DUMMYFUNCTION("""COMPUTED_VALUE"""),100.4)</f>
        <v>100.4</v>
      </c>
      <c r="G222" s="1">
        <f ca="1">IFERROR(__xludf.DUMMYFUNCTION("""COMPUTED_VALUE"""),220)</f>
        <v>220</v>
      </c>
      <c r="H222" s="1">
        <f ca="1">IFERROR(__xludf.DUMMYFUNCTION("""COMPUTED_VALUE"""),104.4)</f>
        <v>104.4</v>
      </c>
      <c r="I222" s="1">
        <f ca="1">IFERROR(__xludf.DUMMYFUNCTION("""COMPUTED_VALUE"""),204)</f>
        <v>204</v>
      </c>
      <c r="J222" s="1">
        <f ca="1">IFERROR(__xludf.DUMMYFUNCTION("""COMPUTED_VALUE"""),66.4)</f>
        <v>66.400000000000006</v>
      </c>
      <c r="K222" s="1">
        <f ca="1">IFERROR(__xludf.DUMMYFUNCTION("""COMPUTED_VALUE"""),120)</f>
        <v>120</v>
      </c>
      <c r="L222" s="1" t="str">
        <f ca="1">IFERROR(__xludf.DUMMYFUNCTION("""COMPUTED_VALUE"""),"+.032")</f>
        <v>+.032</v>
      </c>
      <c r="M222" s="1">
        <f ca="1">IFERROR(__xludf.DUMMYFUNCTION("""COMPUTED_VALUE"""),85)</f>
        <v>85</v>
      </c>
      <c r="N222" s="1">
        <f ca="1">IFERROR(__xludf.DUMMYFUNCTION("""COMPUTED_VALUE"""),-0.08)</f>
        <v>-0.08</v>
      </c>
      <c r="O222" s="1">
        <f ca="1">IFERROR(__xludf.DUMMYFUNCTION("""COMPUTED_VALUE"""),162)</f>
        <v>162</v>
      </c>
      <c r="P222" s="1">
        <f ca="1">IFERROR(__xludf.DUMMYFUNCTION("""COMPUTED_VALUE"""),102.5)</f>
        <v>102.5</v>
      </c>
      <c r="Q222" s="1">
        <f ca="1">IFERROR(__xludf.DUMMYFUNCTION("""COMPUTED_VALUE"""),184)</f>
        <v>184</v>
      </c>
      <c r="R222" s="1">
        <f ca="1">IFERROR(__xludf.DUMMYFUNCTION("""COMPUTED_VALUE"""),102.6)</f>
        <v>102.6</v>
      </c>
      <c r="S222" s="1">
        <f ca="1">IFERROR(__xludf.DUMMYFUNCTION("""COMPUTED_VALUE"""),150)</f>
        <v>150</v>
      </c>
      <c r="T222" s="1" t="str">
        <f ca="1">IFERROR(__xludf.DUMMYFUNCTION("""COMPUTED_VALUE"""),"+5.62")</f>
        <v>+5.62</v>
      </c>
      <c r="U222" s="1">
        <f ca="1">IFERROR(__xludf.DUMMYFUNCTION("""COMPUTED_VALUE"""),47)</f>
        <v>47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IFERROR(__xludf.DUMMYFUNCTION("""COMPUTED_VALUE"""),"Delaware")</f>
        <v>Delaware</v>
      </c>
      <c r="C223" s="1" t="str">
        <f ca="1">IFERROR(__xludf.DUMMYFUNCTION("""COMPUTED_VALUE"""),"CAA")</f>
        <v>CAA</v>
      </c>
      <c r="D223" s="1" t="str">
        <f ca="1">IFERROR(__xludf.DUMMYFUNCTION("""COMPUTED_VALUE"""),"13-19")</f>
        <v>13-19</v>
      </c>
      <c r="E223" s="1">
        <f ca="1">IFERROR(__xludf.DUMMYFUNCTION("""COMPUTED_VALUE"""),-3.98)</f>
        <v>-3.98</v>
      </c>
      <c r="F223" s="1">
        <f ca="1">IFERROR(__xludf.DUMMYFUNCTION("""COMPUTED_VALUE"""),102.7)</f>
        <v>102.7</v>
      </c>
      <c r="G223" s="1">
        <f ca="1">IFERROR(__xludf.DUMMYFUNCTION("""COMPUTED_VALUE"""),170)</f>
        <v>170</v>
      </c>
      <c r="H223" s="1">
        <f ca="1">IFERROR(__xludf.DUMMYFUNCTION("""COMPUTED_VALUE"""),106.6)</f>
        <v>106.6</v>
      </c>
      <c r="I223" s="1">
        <f ca="1">IFERROR(__xludf.DUMMYFUNCTION("""COMPUTED_VALUE"""),251)</f>
        <v>251</v>
      </c>
      <c r="J223" s="1">
        <f ca="1">IFERROR(__xludf.DUMMYFUNCTION("""COMPUTED_VALUE"""),67)</f>
        <v>67</v>
      </c>
      <c r="K223" s="1">
        <f ca="1">IFERROR(__xludf.DUMMYFUNCTION("""COMPUTED_VALUE"""),99)</f>
        <v>99</v>
      </c>
      <c r="L223" s="1">
        <f ca="1">IFERROR(__xludf.DUMMYFUNCTION("""COMPUTED_VALUE"""),-0.011)</f>
        <v>-1.0999999999999999E-2</v>
      </c>
      <c r="M223" s="1">
        <f ca="1">IFERROR(__xludf.DUMMYFUNCTION("""COMPUTED_VALUE"""),196)</f>
        <v>196</v>
      </c>
      <c r="N223" s="1">
        <f ca="1">IFERROR(__xludf.DUMMYFUNCTION("""COMPUTED_VALUE"""),-1.93)</f>
        <v>-1.93</v>
      </c>
      <c r="O223" s="1">
        <f ca="1">IFERROR(__xludf.DUMMYFUNCTION("""COMPUTED_VALUE"""),203)</f>
        <v>203</v>
      </c>
      <c r="P223" s="1">
        <f ca="1">IFERROR(__xludf.DUMMYFUNCTION("""COMPUTED_VALUE"""),100.3)</f>
        <v>100.3</v>
      </c>
      <c r="Q223" s="1">
        <f ca="1">IFERROR(__xludf.DUMMYFUNCTION("""COMPUTED_VALUE"""),265)</f>
        <v>265</v>
      </c>
      <c r="R223" s="1">
        <f ca="1">IFERROR(__xludf.DUMMYFUNCTION("""COMPUTED_VALUE"""),102.2)</f>
        <v>102.2</v>
      </c>
      <c r="S223" s="1">
        <f ca="1">IFERROR(__xludf.DUMMYFUNCTION("""COMPUTED_VALUE"""),137)</f>
        <v>137</v>
      </c>
      <c r="T223" s="1">
        <f ca="1">IFERROR(__xludf.DUMMYFUNCTION("""COMPUTED_VALUE"""),-4.68)</f>
        <v>-4.68</v>
      </c>
      <c r="U223" s="1">
        <f ca="1">IFERROR(__xludf.DUMMYFUNCTION("""COMPUTED_VALUE"""),272)</f>
        <v>272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IFERROR(__xludf.DUMMYFUNCTION("""COMPUTED_VALUE"""),"South Dakota St.")</f>
        <v>South Dakota St.</v>
      </c>
      <c r="C224" s="1" t="str">
        <f ca="1">IFERROR(__xludf.DUMMYFUNCTION("""COMPUTED_VALUE"""),"Sum")</f>
        <v>Sum</v>
      </c>
      <c r="D224" s="1" t="str">
        <f ca="1">IFERROR(__xludf.DUMMYFUNCTION("""COMPUTED_VALUE"""),"13-20")</f>
        <v>13-20</v>
      </c>
      <c r="E224" s="1">
        <f ca="1">IFERROR(__xludf.DUMMYFUNCTION("""COMPUTED_VALUE"""),-4)</f>
        <v>-4</v>
      </c>
      <c r="F224" s="1">
        <f ca="1">IFERROR(__xludf.DUMMYFUNCTION("""COMPUTED_VALUE"""),104.9)</f>
        <v>104.9</v>
      </c>
      <c r="G224" s="1">
        <f ca="1">IFERROR(__xludf.DUMMYFUNCTION("""COMPUTED_VALUE"""),135)</f>
        <v>135</v>
      </c>
      <c r="H224" s="1">
        <f ca="1">IFERROR(__xludf.DUMMYFUNCTION("""COMPUTED_VALUE"""),108.9)</f>
        <v>108.9</v>
      </c>
      <c r="I224" s="1">
        <f ca="1">IFERROR(__xludf.DUMMYFUNCTION("""COMPUTED_VALUE"""),289)</f>
        <v>289</v>
      </c>
      <c r="J224" s="1">
        <f ca="1">IFERROR(__xludf.DUMMYFUNCTION("""COMPUTED_VALUE"""),64.6)</f>
        <v>64.599999999999994</v>
      </c>
      <c r="K224" s="1">
        <f ca="1">IFERROR(__xludf.DUMMYFUNCTION("""COMPUTED_VALUE"""),207)</f>
        <v>207</v>
      </c>
      <c r="L224" s="1">
        <f ca="1">IFERROR(__xludf.DUMMYFUNCTION("""COMPUTED_VALUE"""),-0.043)</f>
        <v>-4.2999999999999997E-2</v>
      </c>
      <c r="M224" s="1">
        <f ca="1">IFERROR(__xludf.DUMMYFUNCTION("""COMPUTED_VALUE"""),280)</f>
        <v>280</v>
      </c>
      <c r="N224" s="1">
        <f ca="1">IFERROR(__xludf.DUMMYFUNCTION("""COMPUTED_VALUE"""),-0.01)</f>
        <v>-0.01</v>
      </c>
      <c r="O224" s="1">
        <f ca="1">IFERROR(__xludf.DUMMYFUNCTION("""COMPUTED_VALUE"""),160)</f>
        <v>160</v>
      </c>
      <c r="P224" s="1">
        <f ca="1">IFERROR(__xludf.DUMMYFUNCTION("""COMPUTED_VALUE"""),104.1)</f>
        <v>104.1</v>
      </c>
      <c r="Q224" s="1">
        <f ca="1">IFERROR(__xludf.DUMMYFUNCTION("""COMPUTED_VALUE"""),119)</f>
        <v>119</v>
      </c>
      <c r="R224" s="1">
        <f ca="1">IFERROR(__xludf.DUMMYFUNCTION("""COMPUTED_VALUE"""),104.1)</f>
        <v>104.1</v>
      </c>
      <c r="S224" s="1">
        <f ca="1">IFERROR(__xludf.DUMMYFUNCTION("""COMPUTED_VALUE"""),209)</f>
        <v>209</v>
      </c>
      <c r="T224" s="1" t="str">
        <f ca="1">IFERROR(__xludf.DUMMYFUNCTION("""COMPUTED_VALUE"""),"+2.66")</f>
        <v>+2.66</v>
      </c>
      <c r="U224" s="1">
        <f ca="1">IFERROR(__xludf.DUMMYFUNCTION("""COMPUTED_VALUE"""),94)</f>
        <v>94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IFERROR(__xludf.DUMMYFUNCTION("""COMPUTED_VALUE"""),"Chattanooga16")</f>
        <v>Chattanooga16</v>
      </c>
      <c r="C225" s="1" t="str">
        <f ca="1">IFERROR(__xludf.DUMMYFUNCTION("""COMPUTED_VALUE"""),"SC")</f>
        <v>SC</v>
      </c>
      <c r="D225" s="1" t="str">
        <f ca="1">IFERROR(__xludf.DUMMYFUNCTION("""COMPUTED_VALUE"""),"18-17")</f>
        <v>18-17</v>
      </c>
      <c r="E225" s="1">
        <f ca="1">IFERROR(__xludf.DUMMYFUNCTION("""COMPUTED_VALUE"""),-4.04)</f>
        <v>-4.04</v>
      </c>
      <c r="F225" s="1">
        <f ca="1">IFERROR(__xludf.DUMMYFUNCTION("""COMPUTED_VALUE"""),104.3)</f>
        <v>104.3</v>
      </c>
      <c r="G225" s="1">
        <f ca="1">IFERROR(__xludf.DUMMYFUNCTION("""COMPUTED_VALUE"""),142)</f>
        <v>142</v>
      </c>
      <c r="H225" s="1">
        <f ca="1">IFERROR(__xludf.DUMMYFUNCTION("""COMPUTED_VALUE"""),108.4)</f>
        <v>108.4</v>
      </c>
      <c r="I225" s="1">
        <f ca="1">IFERROR(__xludf.DUMMYFUNCTION("""COMPUTED_VALUE"""),283)</f>
        <v>283</v>
      </c>
      <c r="J225" s="1">
        <f ca="1">IFERROR(__xludf.DUMMYFUNCTION("""COMPUTED_VALUE"""),69.5)</f>
        <v>69.5</v>
      </c>
      <c r="K225" s="1">
        <f ca="1">IFERROR(__xludf.DUMMYFUNCTION("""COMPUTED_VALUE"""),33)</f>
        <v>33</v>
      </c>
      <c r="L225" s="1" t="str">
        <f ca="1">IFERROR(__xludf.DUMMYFUNCTION("""COMPUTED_VALUE"""),"+.041")</f>
        <v>+.041</v>
      </c>
      <c r="M225" s="1">
        <f ca="1">IFERROR(__xludf.DUMMYFUNCTION("""COMPUTED_VALUE"""),69)</f>
        <v>69</v>
      </c>
      <c r="N225" s="1">
        <f ca="1">IFERROR(__xludf.DUMMYFUNCTION("""COMPUTED_VALUE"""),-3.37)</f>
        <v>-3.37</v>
      </c>
      <c r="O225" s="1">
        <f ca="1">IFERROR(__xludf.DUMMYFUNCTION("""COMPUTED_VALUE"""),235)</f>
        <v>235</v>
      </c>
      <c r="P225" s="1">
        <f ca="1">IFERROR(__xludf.DUMMYFUNCTION("""COMPUTED_VALUE"""),102.1)</f>
        <v>102.1</v>
      </c>
      <c r="Q225" s="1">
        <f ca="1">IFERROR(__xludf.DUMMYFUNCTION("""COMPUTED_VALUE"""),200)</f>
        <v>200</v>
      </c>
      <c r="R225" s="1">
        <f ca="1">IFERROR(__xludf.DUMMYFUNCTION("""COMPUTED_VALUE"""),105.5)</f>
        <v>105.5</v>
      </c>
      <c r="S225" s="1">
        <f ca="1">IFERROR(__xludf.DUMMYFUNCTION("""COMPUTED_VALUE"""),270)</f>
        <v>270</v>
      </c>
      <c r="T225" s="1" t="str">
        <f ca="1">IFERROR(__xludf.DUMMYFUNCTION("""COMPUTED_VALUE"""),"+12.40")</f>
        <v>+12.40</v>
      </c>
      <c r="U225" s="1">
        <f ca="1">IFERROR(__xludf.DUMMYFUNCTION("""COMPUTED_VALUE"""),7)</f>
        <v>7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IFERROR(__xludf.DUMMYFUNCTION("""COMPUTED_VALUE"""),"Hawaii")</f>
        <v>Hawaii</v>
      </c>
      <c r="C226" s="1" t="str">
        <f ca="1">IFERROR(__xludf.DUMMYFUNCTION("""COMPUTED_VALUE"""),"WAC")</f>
        <v>WAC</v>
      </c>
      <c r="D226" s="1" t="str">
        <f ca="1">IFERROR(__xludf.DUMMYFUNCTION("""COMPUTED_VALUE"""),"13-17")</f>
        <v>13-17</v>
      </c>
      <c r="E226" s="1">
        <f ca="1">IFERROR(__xludf.DUMMYFUNCTION("""COMPUTED_VALUE"""),-4.17)</f>
        <v>-4.17</v>
      </c>
      <c r="F226" s="1">
        <f ca="1">IFERROR(__xludf.DUMMYFUNCTION("""COMPUTED_VALUE"""),97.2)</f>
        <v>97.2</v>
      </c>
      <c r="G226" s="1">
        <f ca="1">IFERROR(__xludf.DUMMYFUNCTION("""COMPUTED_VALUE"""),265)</f>
        <v>265</v>
      </c>
      <c r="H226" s="1">
        <f ca="1">IFERROR(__xludf.DUMMYFUNCTION("""COMPUTED_VALUE"""),101.3)</f>
        <v>101.3</v>
      </c>
      <c r="I226" s="1">
        <f ca="1">IFERROR(__xludf.DUMMYFUNCTION("""COMPUTED_VALUE"""),138)</f>
        <v>138</v>
      </c>
      <c r="J226" s="1">
        <f ca="1">IFERROR(__xludf.DUMMYFUNCTION("""COMPUTED_VALUE"""),63.9)</f>
        <v>63.9</v>
      </c>
      <c r="K226" s="1">
        <f ca="1">IFERROR(__xludf.DUMMYFUNCTION("""COMPUTED_VALUE"""),232)</f>
        <v>232</v>
      </c>
      <c r="L226" s="1">
        <f ca="1">IFERROR(__xludf.DUMMYFUNCTION("""COMPUTED_VALUE"""),-0.03)</f>
        <v>-0.03</v>
      </c>
      <c r="M226" s="1">
        <f ca="1">IFERROR(__xludf.DUMMYFUNCTION("""COMPUTED_VALUE"""),252)</f>
        <v>252</v>
      </c>
      <c r="N226" s="1">
        <f ca="1">IFERROR(__xludf.DUMMYFUNCTION("""COMPUTED_VALUE"""),-3.56)</f>
        <v>-3.56</v>
      </c>
      <c r="O226" s="1">
        <f ca="1">IFERROR(__xludf.DUMMYFUNCTION("""COMPUTED_VALUE"""),242)</f>
        <v>242</v>
      </c>
      <c r="P226" s="1">
        <f ca="1">IFERROR(__xludf.DUMMYFUNCTION("""COMPUTED_VALUE"""),101.9)</f>
        <v>101.9</v>
      </c>
      <c r="Q226" s="1">
        <f ca="1">IFERROR(__xludf.DUMMYFUNCTION("""COMPUTED_VALUE"""),211)</f>
        <v>211</v>
      </c>
      <c r="R226" s="1">
        <f ca="1">IFERROR(__xludf.DUMMYFUNCTION("""COMPUTED_VALUE"""),105.5)</f>
        <v>105.5</v>
      </c>
      <c r="S226" s="1">
        <f ca="1">IFERROR(__xludf.DUMMYFUNCTION("""COMPUTED_VALUE"""),273)</f>
        <v>273</v>
      </c>
      <c r="T226" s="1">
        <f ca="1">IFERROR(__xludf.DUMMYFUNCTION("""COMPUTED_VALUE"""),-9.88)</f>
        <v>-9.8800000000000008</v>
      </c>
      <c r="U226" s="1">
        <f ca="1">IFERROR(__xludf.DUMMYFUNCTION("""COMPUTED_VALUE"""),336)</f>
        <v>336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IFERROR(__xludf.DUMMYFUNCTION("""COMPUTED_VALUE"""),"East Carolina")</f>
        <v>East Carolina</v>
      </c>
      <c r="C227" s="1" t="str">
        <f ca="1">IFERROR(__xludf.DUMMYFUNCTION("""COMPUTED_VALUE"""),"CUSA")</f>
        <v>CUSA</v>
      </c>
      <c r="D227" s="1" t="str">
        <f ca="1">IFERROR(__xludf.DUMMYFUNCTION("""COMPUTED_VALUE"""),"13-17")</f>
        <v>13-17</v>
      </c>
      <c r="E227" s="1">
        <f ca="1">IFERROR(__xludf.DUMMYFUNCTION("""COMPUTED_VALUE"""),-4.19)</f>
        <v>-4.1900000000000004</v>
      </c>
      <c r="F227" s="1">
        <f ca="1">IFERROR(__xludf.DUMMYFUNCTION("""COMPUTED_VALUE"""),110.4)</f>
        <v>110.4</v>
      </c>
      <c r="G227" s="1">
        <f ca="1">IFERROR(__xludf.DUMMYFUNCTION("""COMPUTED_VALUE"""),61)</f>
        <v>61</v>
      </c>
      <c r="H227" s="1">
        <f ca="1">IFERROR(__xludf.DUMMYFUNCTION("""COMPUTED_VALUE"""),114.6)</f>
        <v>114.6</v>
      </c>
      <c r="I227" s="1">
        <f ca="1">IFERROR(__xludf.DUMMYFUNCTION("""COMPUTED_VALUE"""),339)</f>
        <v>339</v>
      </c>
      <c r="J227" s="1">
        <f ca="1">IFERROR(__xludf.DUMMYFUNCTION("""COMPUTED_VALUE"""),64.7)</f>
        <v>64.7</v>
      </c>
      <c r="K227" s="1">
        <f ca="1">IFERROR(__xludf.DUMMYFUNCTION("""COMPUTED_VALUE"""),199)</f>
        <v>199</v>
      </c>
      <c r="L227" s="1">
        <f ca="1">IFERROR(__xludf.DUMMYFUNCTION("""COMPUTED_VALUE"""),-0.02)</f>
        <v>-0.02</v>
      </c>
      <c r="M227" s="1">
        <f ca="1">IFERROR(__xludf.DUMMYFUNCTION("""COMPUTED_VALUE"""),229)</f>
        <v>229</v>
      </c>
      <c r="N227" s="1" t="str">
        <f ca="1">IFERROR(__xludf.DUMMYFUNCTION("""COMPUTED_VALUE"""),"+2.18")</f>
        <v>+2.18</v>
      </c>
      <c r="O227" s="1">
        <f ca="1">IFERROR(__xludf.DUMMYFUNCTION("""COMPUTED_VALUE"""),113)</f>
        <v>113</v>
      </c>
      <c r="P227" s="1">
        <f ca="1">IFERROR(__xludf.DUMMYFUNCTION("""COMPUTED_VALUE"""),104.1)</f>
        <v>104.1</v>
      </c>
      <c r="Q227" s="1">
        <f ca="1">IFERROR(__xludf.DUMMYFUNCTION("""COMPUTED_VALUE"""),117)</f>
        <v>117</v>
      </c>
      <c r="R227" s="1">
        <f ca="1">IFERROR(__xludf.DUMMYFUNCTION("""COMPUTED_VALUE"""),101.9)</f>
        <v>101.9</v>
      </c>
      <c r="S227" s="1">
        <f ca="1">IFERROR(__xludf.DUMMYFUNCTION("""COMPUTED_VALUE"""),124)</f>
        <v>124</v>
      </c>
      <c r="T227" s="1" t="str">
        <f ca="1">IFERROR(__xludf.DUMMYFUNCTION("""COMPUTED_VALUE"""),"+0.06")</f>
        <v>+0.06</v>
      </c>
      <c r="U227" s="1">
        <f ca="1">IFERROR(__xludf.DUMMYFUNCTION("""COMPUTED_VALUE"""),154)</f>
        <v>154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IFERROR(__xludf.DUMMYFUNCTION("""COMPUTED_VALUE"""),"IPFW")</f>
        <v>IPFW</v>
      </c>
      <c r="C228" s="1" t="str">
        <f ca="1">IFERROR(__xludf.DUMMYFUNCTION("""COMPUTED_VALUE"""),"Sum")</f>
        <v>Sum</v>
      </c>
      <c r="D228" s="1" t="str">
        <f ca="1">IFERROR(__xludf.DUMMYFUNCTION("""COMPUTED_VALUE"""),"13-17")</f>
        <v>13-17</v>
      </c>
      <c r="E228" s="1">
        <f ca="1">IFERROR(__xludf.DUMMYFUNCTION("""COMPUTED_VALUE"""),-4.29)</f>
        <v>-4.29</v>
      </c>
      <c r="F228" s="1">
        <f ca="1">IFERROR(__xludf.DUMMYFUNCTION("""COMPUTED_VALUE"""),102.5)</f>
        <v>102.5</v>
      </c>
      <c r="G228" s="1">
        <f ca="1">IFERROR(__xludf.DUMMYFUNCTION("""COMPUTED_VALUE"""),177)</f>
        <v>177</v>
      </c>
      <c r="H228" s="1">
        <f ca="1">IFERROR(__xludf.DUMMYFUNCTION("""COMPUTED_VALUE"""),106.8)</f>
        <v>106.8</v>
      </c>
      <c r="I228" s="1">
        <f ca="1">IFERROR(__xludf.DUMMYFUNCTION("""COMPUTED_VALUE"""),257)</f>
        <v>257</v>
      </c>
      <c r="J228" s="1">
        <f ca="1">IFERROR(__xludf.DUMMYFUNCTION("""COMPUTED_VALUE"""),65.3)</f>
        <v>65.3</v>
      </c>
      <c r="K228" s="1">
        <f ca="1">IFERROR(__xludf.DUMMYFUNCTION("""COMPUTED_VALUE"""),170)</f>
        <v>170</v>
      </c>
      <c r="L228" s="1" t="str">
        <f ca="1">IFERROR(__xludf.DUMMYFUNCTION("""COMPUTED_VALUE"""),"+.024")</f>
        <v>+.024</v>
      </c>
      <c r="M228" s="1">
        <f ca="1">IFERROR(__xludf.DUMMYFUNCTION("""COMPUTED_VALUE"""),108)</f>
        <v>108</v>
      </c>
      <c r="N228" s="1" t="str">
        <f ca="1">IFERROR(__xludf.DUMMYFUNCTION("""COMPUTED_VALUE"""),"+0.72")</f>
        <v>+0.72</v>
      </c>
      <c r="O228" s="1">
        <f ca="1">IFERROR(__xludf.DUMMYFUNCTION("""COMPUTED_VALUE"""),141)</f>
        <v>141</v>
      </c>
      <c r="P228" s="1">
        <f ca="1">IFERROR(__xludf.DUMMYFUNCTION("""COMPUTED_VALUE"""),104.1)</f>
        <v>104.1</v>
      </c>
      <c r="Q228" s="1">
        <f ca="1">IFERROR(__xludf.DUMMYFUNCTION("""COMPUTED_VALUE"""),116)</f>
        <v>116</v>
      </c>
      <c r="R228" s="1">
        <f ca="1">IFERROR(__xludf.DUMMYFUNCTION("""COMPUTED_VALUE"""),103.4)</f>
        <v>103.4</v>
      </c>
      <c r="S228" s="1">
        <f ca="1">IFERROR(__xludf.DUMMYFUNCTION("""COMPUTED_VALUE"""),182)</f>
        <v>182</v>
      </c>
      <c r="T228" s="1" t="str">
        <f ca="1">IFERROR(__xludf.DUMMYFUNCTION("""COMPUTED_VALUE"""),"+7.31")</f>
        <v>+7.31</v>
      </c>
      <c r="U228" s="1">
        <f ca="1">IFERROR(__xludf.DUMMYFUNCTION("""COMPUTED_VALUE"""),28)</f>
        <v>28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IFERROR(__xludf.DUMMYFUNCTION("""COMPUTED_VALUE"""),"UC Irvine")</f>
        <v>UC Irvine</v>
      </c>
      <c r="C229" s="1" t="str">
        <f ca="1">IFERROR(__xludf.DUMMYFUNCTION("""COMPUTED_VALUE"""),"BW")</f>
        <v>BW</v>
      </c>
      <c r="D229" s="2">
        <f ca="1">IFERROR(__xludf.DUMMYFUNCTION("""COMPUTED_VALUE"""),44914)</f>
        <v>44914</v>
      </c>
      <c r="E229" s="1">
        <f ca="1">IFERROR(__xludf.DUMMYFUNCTION("""COMPUTED_VALUE"""),-4.39)</f>
        <v>-4.3899999999999997</v>
      </c>
      <c r="F229" s="1">
        <f ca="1">IFERROR(__xludf.DUMMYFUNCTION("""COMPUTED_VALUE"""),104.1)</f>
        <v>104.1</v>
      </c>
      <c r="G229" s="1">
        <f ca="1">IFERROR(__xludf.DUMMYFUNCTION("""COMPUTED_VALUE"""),145)</f>
        <v>145</v>
      </c>
      <c r="H229" s="1">
        <f ca="1">IFERROR(__xludf.DUMMYFUNCTION("""COMPUTED_VALUE"""),108.5)</f>
        <v>108.5</v>
      </c>
      <c r="I229" s="1">
        <f ca="1">IFERROR(__xludf.DUMMYFUNCTION("""COMPUTED_VALUE"""),284)</f>
        <v>284</v>
      </c>
      <c r="J229" s="1">
        <f ca="1">IFERROR(__xludf.DUMMYFUNCTION("""COMPUTED_VALUE"""),62.7)</f>
        <v>62.7</v>
      </c>
      <c r="K229" s="1">
        <f ca="1">IFERROR(__xludf.DUMMYFUNCTION("""COMPUTED_VALUE"""),278)</f>
        <v>278</v>
      </c>
      <c r="L229" s="1">
        <f ca="1">IFERROR(__xludf.DUMMYFUNCTION("""COMPUTED_VALUE"""),-0.005)</f>
        <v>-5.0000000000000001E-3</v>
      </c>
      <c r="M229" s="1">
        <f ca="1">IFERROR(__xludf.DUMMYFUNCTION("""COMPUTED_VALUE"""),179)</f>
        <v>179</v>
      </c>
      <c r="N229" s="1">
        <f ca="1">IFERROR(__xludf.DUMMYFUNCTION("""COMPUTED_VALUE"""),-1.69)</f>
        <v>-1.69</v>
      </c>
      <c r="O229" s="1">
        <f ca="1">IFERROR(__xludf.DUMMYFUNCTION("""COMPUTED_VALUE"""),195)</f>
        <v>195</v>
      </c>
      <c r="P229" s="1">
        <f ca="1">IFERROR(__xludf.DUMMYFUNCTION("""COMPUTED_VALUE"""),102.5)</f>
        <v>102.5</v>
      </c>
      <c r="Q229" s="1">
        <f ca="1">IFERROR(__xludf.DUMMYFUNCTION("""COMPUTED_VALUE"""),182)</f>
        <v>182</v>
      </c>
      <c r="R229" s="1">
        <f ca="1">IFERROR(__xludf.DUMMYFUNCTION("""COMPUTED_VALUE"""),104.2)</f>
        <v>104.2</v>
      </c>
      <c r="S229" s="1">
        <f ca="1">IFERROR(__xludf.DUMMYFUNCTION("""COMPUTED_VALUE"""),219)</f>
        <v>219</v>
      </c>
      <c r="T229" s="1">
        <f ca="1">IFERROR(__xludf.DUMMYFUNCTION("""COMPUTED_VALUE"""),-0.42)</f>
        <v>-0.42</v>
      </c>
      <c r="U229" s="1">
        <f ca="1">IFERROR(__xludf.DUMMYFUNCTION("""COMPUTED_VALUE"""),172)</f>
        <v>172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IFERROR(__xludf.DUMMYFUNCTION("""COMPUTED_VALUE"""),"Mercer")</f>
        <v>Mercer</v>
      </c>
      <c r="C230" s="1" t="str">
        <f ca="1">IFERROR(__xludf.DUMMYFUNCTION("""COMPUTED_VALUE"""),"ASun")</f>
        <v>ASun</v>
      </c>
      <c r="D230" s="1" t="str">
        <f ca="1">IFERROR(__xludf.DUMMYFUNCTION("""COMPUTED_VALUE"""),"17-15")</f>
        <v>17-15</v>
      </c>
      <c r="E230" s="1">
        <f ca="1">IFERROR(__xludf.DUMMYFUNCTION("""COMPUTED_VALUE"""),-4.4)</f>
        <v>-4.4000000000000004</v>
      </c>
      <c r="F230" s="1">
        <f ca="1">IFERROR(__xludf.DUMMYFUNCTION("""COMPUTED_VALUE"""),105.2)</f>
        <v>105.2</v>
      </c>
      <c r="G230" s="1">
        <f ca="1">IFERROR(__xludf.DUMMYFUNCTION("""COMPUTED_VALUE"""),127)</f>
        <v>127</v>
      </c>
      <c r="H230" s="1">
        <f ca="1">IFERROR(__xludf.DUMMYFUNCTION("""COMPUTED_VALUE"""),109.6)</f>
        <v>109.6</v>
      </c>
      <c r="I230" s="1">
        <f ca="1">IFERROR(__xludf.DUMMYFUNCTION("""COMPUTED_VALUE"""),295)</f>
        <v>295</v>
      </c>
      <c r="J230" s="1">
        <f ca="1">IFERROR(__xludf.DUMMYFUNCTION("""COMPUTED_VALUE"""),67.4)</f>
        <v>67.400000000000006</v>
      </c>
      <c r="K230" s="1">
        <f ca="1">IFERROR(__xludf.DUMMYFUNCTION("""COMPUTED_VALUE"""),82)</f>
        <v>82</v>
      </c>
      <c r="L230" s="1" t="str">
        <f ca="1">IFERROR(__xludf.DUMMYFUNCTION("""COMPUTED_VALUE"""),"+.062")</f>
        <v>+.062</v>
      </c>
      <c r="M230" s="1">
        <f ca="1">IFERROR(__xludf.DUMMYFUNCTION("""COMPUTED_VALUE"""),32)</f>
        <v>32</v>
      </c>
      <c r="N230" s="1">
        <f ca="1">IFERROR(__xludf.DUMMYFUNCTION("""COMPUTED_VALUE"""),-2.47)</f>
        <v>-2.4700000000000002</v>
      </c>
      <c r="O230" s="1">
        <f ca="1">IFERROR(__xludf.DUMMYFUNCTION("""COMPUTED_VALUE"""),208)</f>
        <v>208</v>
      </c>
      <c r="P230" s="1">
        <f ca="1">IFERROR(__xludf.DUMMYFUNCTION("""COMPUTED_VALUE"""),100.9)</f>
        <v>100.9</v>
      </c>
      <c r="Q230" s="1">
        <f ca="1">IFERROR(__xludf.DUMMYFUNCTION("""COMPUTED_VALUE"""),248)</f>
        <v>248</v>
      </c>
      <c r="R230" s="1">
        <f ca="1">IFERROR(__xludf.DUMMYFUNCTION("""COMPUTED_VALUE"""),103.3)</f>
        <v>103.3</v>
      </c>
      <c r="S230" s="1">
        <f ca="1">IFERROR(__xludf.DUMMYFUNCTION("""COMPUTED_VALUE"""),179)</f>
        <v>179</v>
      </c>
      <c r="T230" s="1" t="str">
        <f ca="1">IFERROR(__xludf.DUMMYFUNCTION("""COMPUTED_VALUE"""),"+7.40")</f>
        <v>+7.40</v>
      </c>
      <c r="U230" s="1">
        <f ca="1">IFERROR(__xludf.DUMMYFUNCTION("""COMPUTED_VALUE"""),27)</f>
        <v>27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IFERROR(__xludf.DUMMYFUNCTION("""COMPUTED_VALUE"""),"UC Riverside")</f>
        <v>UC Riverside</v>
      </c>
      <c r="C231" s="1" t="str">
        <f ca="1">IFERROR(__xludf.DUMMYFUNCTION("""COMPUTED_VALUE"""),"BW")</f>
        <v>BW</v>
      </c>
      <c r="D231" s="1" t="str">
        <f ca="1">IFERROR(__xludf.DUMMYFUNCTION("""COMPUTED_VALUE"""),"17-13")</f>
        <v>17-13</v>
      </c>
      <c r="E231" s="1">
        <f ca="1">IFERROR(__xludf.DUMMYFUNCTION("""COMPUTED_VALUE"""),-4.68)</f>
        <v>-4.68</v>
      </c>
      <c r="F231" s="1">
        <f ca="1">IFERROR(__xludf.DUMMYFUNCTION("""COMPUTED_VALUE"""),97.5)</f>
        <v>97.5</v>
      </c>
      <c r="G231" s="1">
        <f ca="1">IFERROR(__xludf.DUMMYFUNCTION("""COMPUTED_VALUE"""),258)</f>
        <v>258</v>
      </c>
      <c r="H231" s="1">
        <f ca="1">IFERROR(__xludf.DUMMYFUNCTION("""COMPUTED_VALUE"""),102.2)</f>
        <v>102.2</v>
      </c>
      <c r="I231" s="1">
        <f ca="1">IFERROR(__xludf.DUMMYFUNCTION("""COMPUTED_VALUE"""),156)</f>
        <v>156</v>
      </c>
      <c r="J231" s="1">
        <f ca="1">IFERROR(__xludf.DUMMYFUNCTION("""COMPUTED_VALUE"""),59.9)</f>
        <v>59.9</v>
      </c>
      <c r="K231" s="1">
        <f ca="1">IFERROR(__xludf.DUMMYFUNCTION("""COMPUTED_VALUE"""),328)</f>
        <v>328</v>
      </c>
      <c r="L231" s="1" t="str">
        <f ca="1">IFERROR(__xludf.DUMMYFUNCTION("""COMPUTED_VALUE"""),"+.096")</f>
        <v>+.096</v>
      </c>
      <c r="M231" s="1">
        <f ca="1">IFERROR(__xludf.DUMMYFUNCTION("""COMPUTED_VALUE"""),6)</f>
        <v>6</v>
      </c>
      <c r="N231" s="1">
        <f ca="1">IFERROR(__xludf.DUMMYFUNCTION("""COMPUTED_VALUE"""),-3.28)</f>
        <v>-3.28</v>
      </c>
      <c r="O231" s="1">
        <f ca="1">IFERROR(__xludf.DUMMYFUNCTION("""COMPUTED_VALUE"""),232)</f>
        <v>232</v>
      </c>
      <c r="P231" s="1">
        <f ca="1">IFERROR(__xludf.DUMMYFUNCTION("""COMPUTED_VALUE"""),102.3)</f>
        <v>102.3</v>
      </c>
      <c r="Q231" s="1">
        <f ca="1">IFERROR(__xludf.DUMMYFUNCTION("""COMPUTED_VALUE"""),193)</f>
        <v>193</v>
      </c>
      <c r="R231" s="1">
        <f ca="1">IFERROR(__xludf.DUMMYFUNCTION("""COMPUTED_VALUE"""),105.6)</f>
        <v>105.6</v>
      </c>
      <c r="S231" s="1">
        <f ca="1">IFERROR(__xludf.DUMMYFUNCTION("""COMPUTED_VALUE"""),281)</f>
        <v>281</v>
      </c>
      <c r="T231" s="1">
        <f ca="1">IFERROR(__xludf.DUMMYFUNCTION("""COMPUTED_VALUE"""),-4.69)</f>
        <v>-4.6900000000000004</v>
      </c>
      <c r="U231" s="1">
        <f ca="1">IFERROR(__xludf.DUMMYFUNCTION("""COMPUTED_VALUE"""),274)</f>
        <v>274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IFERROR(__xludf.DUMMYFUNCTION("""COMPUTED_VALUE"""),"UC Davis")</f>
        <v>UC Davis</v>
      </c>
      <c r="C232" s="1" t="str">
        <f ca="1">IFERROR(__xludf.DUMMYFUNCTION("""COMPUTED_VALUE"""),"BW")</f>
        <v>BW</v>
      </c>
      <c r="D232" s="1" t="str">
        <f ca="1">IFERROR(__xludf.DUMMYFUNCTION("""COMPUTED_VALUE"""),"13-19")</f>
        <v>13-19</v>
      </c>
      <c r="E232" s="1">
        <f ca="1">IFERROR(__xludf.DUMMYFUNCTION("""COMPUTED_VALUE"""),-4.81)</f>
        <v>-4.8099999999999996</v>
      </c>
      <c r="F232" s="1">
        <f ca="1">IFERROR(__xludf.DUMMYFUNCTION("""COMPUTED_VALUE"""),105.2)</f>
        <v>105.2</v>
      </c>
      <c r="G232" s="1">
        <f ca="1">IFERROR(__xludf.DUMMYFUNCTION("""COMPUTED_VALUE"""),125)</f>
        <v>125</v>
      </c>
      <c r="H232" s="1">
        <f ca="1">IFERROR(__xludf.DUMMYFUNCTION("""COMPUTED_VALUE"""),110)</f>
        <v>110</v>
      </c>
      <c r="I232" s="1">
        <f ca="1">IFERROR(__xludf.DUMMYFUNCTION("""COMPUTED_VALUE"""),300)</f>
        <v>300</v>
      </c>
      <c r="J232" s="1">
        <f ca="1">IFERROR(__xludf.DUMMYFUNCTION("""COMPUTED_VALUE"""),69.4)</f>
        <v>69.400000000000006</v>
      </c>
      <c r="K232" s="1">
        <f ca="1">IFERROR(__xludf.DUMMYFUNCTION("""COMPUTED_VALUE"""),35)</f>
        <v>35</v>
      </c>
      <c r="L232" s="1">
        <f ca="1">IFERROR(__xludf.DUMMYFUNCTION("""COMPUTED_VALUE"""),-0.056)</f>
        <v>-5.6000000000000001E-2</v>
      </c>
      <c r="M232" s="1">
        <f ca="1">IFERROR(__xludf.DUMMYFUNCTION("""COMPUTED_VALUE"""),304)</f>
        <v>304</v>
      </c>
      <c r="N232" s="1">
        <f ca="1">IFERROR(__xludf.DUMMYFUNCTION("""COMPUTED_VALUE"""),-3.53)</f>
        <v>-3.53</v>
      </c>
      <c r="O232" s="1">
        <f ca="1">IFERROR(__xludf.DUMMYFUNCTION("""COMPUTED_VALUE"""),241)</f>
        <v>241</v>
      </c>
      <c r="P232" s="1">
        <f ca="1">IFERROR(__xludf.DUMMYFUNCTION("""COMPUTED_VALUE"""),101.3)</f>
        <v>101.3</v>
      </c>
      <c r="Q232" s="1">
        <f ca="1">IFERROR(__xludf.DUMMYFUNCTION("""COMPUTED_VALUE"""),231)</f>
        <v>231</v>
      </c>
      <c r="R232" s="1">
        <f ca="1">IFERROR(__xludf.DUMMYFUNCTION("""COMPUTED_VALUE"""),104.8)</f>
        <v>104.8</v>
      </c>
      <c r="S232" s="1">
        <f ca="1">IFERROR(__xludf.DUMMYFUNCTION("""COMPUTED_VALUE"""),240)</f>
        <v>240</v>
      </c>
      <c r="T232" s="1">
        <f ca="1">IFERROR(__xludf.DUMMYFUNCTION("""COMPUTED_VALUE"""),-5.62)</f>
        <v>-5.62</v>
      </c>
      <c r="U232" s="1">
        <f ca="1">IFERROR(__xludf.DUMMYFUNCTION("""COMPUTED_VALUE"""),293)</f>
        <v>293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IFERROR(__xludf.DUMMYFUNCTION("""COMPUTED_VALUE"""),"Loyola MD")</f>
        <v>Loyola MD</v>
      </c>
      <c r="C233" s="1" t="str">
        <f ca="1">IFERROR(__xludf.DUMMYFUNCTION("""COMPUTED_VALUE"""),"MAAC")</f>
        <v>MAAC</v>
      </c>
      <c r="D233" s="2">
        <f ca="1">IFERROR(__xludf.DUMMYFUNCTION("""COMPUTED_VALUE"""),44915)</f>
        <v>44915</v>
      </c>
      <c r="E233" s="1">
        <f ca="1">IFERROR(__xludf.DUMMYFUNCTION("""COMPUTED_VALUE"""),-5.05)</f>
        <v>-5.05</v>
      </c>
      <c r="F233" s="1">
        <f ca="1">IFERROR(__xludf.DUMMYFUNCTION("""COMPUTED_VALUE"""),102.8)</f>
        <v>102.8</v>
      </c>
      <c r="G233" s="1">
        <f ca="1">IFERROR(__xludf.DUMMYFUNCTION("""COMPUTED_VALUE"""),166)</f>
        <v>166</v>
      </c>
      <c r="H233" s="1">
        <f ca="1">IFERROR(__xludf.DUMMYFUNCTION("""COMPUTED_VALUE"""),107.8)</f>
        <v>107.8</v>
      </c>
      <c r="I233" s="1">
        <f ca="1">IFERROR(__xludf.DUMMYFUNCTION("""COMPUTED_VALUE"""),272)</f>
        <v>272</v>
      </c>
      <c r="J233" s="1">
        <f ca="1">IFERROR(__xludf.DUMMYFUNCTION("""COMPUTED_VALUE"""),65.6)</f>
        <v>65.599999999999994</v>
      </c>
      <c r="K233" s="1">
        <f ca="1">IFERROR(__xludf.DUMMYFUNCTION("""COMPUTED_VALUE"""),156)</f>
        <v>156</v>
      </c>
      <c r="L233" s="1" t="str">
        <f ca="1">IFERROR(__xludf.DUMMYFUNCTION("""COMPUTED_VALUE"""),"+.007")</f>
        <v>+.007</v>
      </c>
      <c r="M233" s="1">
        <f ca="1">IFERROR(__xludf.DUMMYFUNCTION("""COMPUTED_VALUE"""),147)</f>
        <v>147</v>
      </c>
      <c r="N233" s="1" t="str">
        <f ca="1">IFERROR(__xludf.DUMMYFUNCTION("""COMPUTED_VALUE"""),"+0.08")</f>
        <v>+0.08</v>
      </c>
      <c r="O233" s="1">
        <f ca="1">IFERROR(__xludf.DUMMYFUNCTION("""COMPUTED_VALUE"""),157)</f>
        <v>157</v>
      </c>
      <c r="P233" s="1">
        <f ca="1">IFERROR(__xludf.DUMMYFUNCTION("""COMPUTED_VALUE"""),101.7)</f>
        <v>101.7</v>
      </c>
      <c r="Q233" s="1">
        <f ca="1">IFERROR(__xludf.DUMMYFUNCTION("""COMPUTED_VALUE"""),214)</f>
        <v>214</v>
      </c>
      <c r="R233" s="1">
        <f ca="1">IFERROR(__xludf.DUMMYFUNCTION("""COMPUTED_VALUE"""),101.6)</f>
        <v>101.6</v>
      </c>
      <c r="S233" s="1">
        <f ca="1">IFERROR(__xludf.DUMMYFUNCTION("""COMPUTED_VALUE"""),113)</f>
        <v>113</v>
      </c>
      <c r="T233" s="1" t="str">
        <f ca="1">IFERROR(__xludf.DUMMYFUNCTION("""COMPUTED_VALUE"""),"+3.71")</f>
        <v>+3.71</v>
      </c>
      <c r="U233" s="1">
        <f ca="1">IFERROR(__xludf.DUMMYFUNCTION("""COMPUTED_VALUE"""),73)</f>
        <v>73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IFERROR(__xludf.DUMMYFUNCTION("""COMPUTED_VALUE"""),"Wofford")</f>
        <v>Wofford</v>
      </c>
      <c r="C234" s="1" t="str">
        <f ca="1">IFERROR(__xludf.DUMMYFUNCTION("""COMPUTED_VALUE"""),"SC")</f>
        <v>SC</v>
      </c>
      <c r="D234" s="1" t="str">
        <f ca="1">IFERROR(__xludf.DUMMYFUNCTION("""COMPUTED_VALUE"""),"16-14")</f>
        <v>16-14</v>
      </c>
      <c r="E234" s="1">
        <f ca="1">IFERROR(__xludf.DUMMYFUNCTION("""COMPUTED_VALUE"""),-5.14)</f>
        <v>-5.14</v>
      </c>
      <c r="F234" s="1">
        <f ca="1">IFERROR(__xludf.DUMMYFUNCTION("""COMPUTED_VALUE"""),106.3)</f>
        <v>106.3</v>
      </c>
      <c r="G234" s="1">
        <f ca="1">IFERROR(__xludf.DUMMYFUNCTION("""COMPUTED_VALUE"""),109)</f>
        <v>109</v>
      </c>
      <c r="H234" s="1">
        <f ca="1">IFERROR(__xludf.DUMMYFUNCTION("""COMPUTED_VALUE"""),111.4)</f>
        <v>111.4</v>
      </c>
      <c r="I234" s="1">
        <f ca="1">IFERROR(__xludf.DUMMYFUNCTION("""COMPUTED_VALUE"""),317)</f>
        <v>317</v>
      </c>
      <c r="J234" s="1">
        <f ca="1">IFERROR(__xludf.DUMMYFUNCTION("""COMPUTED_VALUE"""),61.9)</f>
        <v>61.9</v>
      </c>
      <c r="K234" s="1">
        <f ca="1">IFERROR(__xludf.DUMMYFUNCTION("""COMPUTED_VALUE"""),302)</f>
        <v>302</v>
      </c>
      <c r="L234" s="1" t="str">
        <f ca="1">IFERROR(__xludf.DUMMYFUNCTION("""COMPUTED_VALUE"""),"+.060")</f>
        <v>+.060</v>
      </c>
      <c r="M234" s="1">
        <f ca="1">IFERROR(__xludf.DUMMYFUNCTION("""COMPUTED_VALUE"""),35)</f>
        <v>35</v>
      </c>
      <c r="N234" s="1">
        <f ca="1">IFERROR(__xludf.DUMMYFUNCTION("""COMPUTED_VALUE"""),-4.9)</f>
        <v>-4.9000000000000004</v>
      </c>
      <c r="O234" s="1">
        <f ca="1">IFERROR(__xludf.DUMMYFUNCTION("""COMPUTED_VALUE"""),266)</f>
        <v>266</v>
      </c>
      <c r="P234" s="1">
        <f ca="1">IFERROR(__xludf.DUMMYFUNCTION("""COMPUTED_VALUE"""),101)</f>
        <v>101</v>
      </c>
      <c r="Q234" s="1">
        <f ca="1">IFERROR(__xludf.DUMMYFUNCTION("""COMPUTED_VALUE"""),240)</f>
        <v>240</v>
      </c>
      <c r="R234" s="1">
        <f ca="1">IFERROR(__xludf.DUMMYFUNCTION("""COMPUTED_VALUE"""),105.9)</f>
        <v>105.9</v>
      </c>
      <c r="S234" s="1">
        <f ca="1">IFERROR(__xludf.DUMMYFUNCTION("""COMPUTED_VALUE"""),299)</f>
        <v>299</v>
      </c>
      <c r="T234" s="1" t="str">
        <f ca="1">IFERROR(__xludf.DUMMYFUNCTION("""COMPUTED_VALUE"""),"+3.50")</f>
        <v>+3.50</v>
      </c>
      <c r="U234" s="1">
        <f ca="1">IFERROR(__xludf.DUMMYFUNCTION("""COMPUTED_VALUE"""),75)</f>
        <v>75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IFERROR(__xludf.DUMMYFUNCTION("""COMPUTED_VALUE"""),"Youngstown St.")</f>
        <v>Youngstown St.</v>
      </c>
      <c r="C235" s="1" t="str">
        <f ca="1">IFERROR(__xludf.DUMMYFUNCTION("""COMPUTED_VALUE"""),"Horz")</f>
        <v>Horz</v>
      </c>
      <c r="D235" s="2">
        <f ca="1">IFERROR(__xludf.DUMMYFUNCTION("""COMPUTED_VALUE"""),44884)</f>
        <v>44884</v>
      </c>
      <c r="E235" s="1">
        <f ca="1">IFERROR(__xludf.DUMMYFUNCTION("""COMPUTED_VALUE"""),-5.19)</f>
        <v>-5.19</v>
      </c>
      <c r="F235" s="1">
        <f ca="1">IFERROR(__xludf.DUMMYFUNCTION("""COMPUTED_VALUE"""),101.5)</f>
        <v>101.5</v>
      </c>
      <c r="G235" s="1">
        <f ca="1">IFERROR(__xludf.DUMMYFUNCTION("""COMPUTED_VALUE"""),201)</f>
        <v>201</v>
      </c>
      <c r="H235" s="1">
        <f ca="1">IFERROR(__xludf.DUMMYFUNCTION("""COMPUTED_VALUE"""),106.7)</f>
        <v>106.7</v>
      </c>
      <c r="I235" s="1">
        <f ca="1">IFERROR(__xludf.DUMMYFUNCTION("""COMPUTED_VALUE"""),256)</f>
        <v>256</v>
      </c>
      <c r="J235" s="1">
        <f ca="1">IFERROR(__xludf.DUMMYFUNCTION("""COMPUTED_VALUE"""),65.7)</f>
        <v>65.7</v>
      </c>
      <c r="K235" s="1">
        <f ca="1">IFERROR(__xludf.DUMMYFUNCTION("""COMPUTED_VALUE"""),153)</f>
        <v>153</v>
      </c>
      <c r="L235" s="1" t="str">
        <f ca="1">IFERROR(__xludf.DUMMYFUNCTION("""COMPUTED_VALUE"""),"+.023")</f>
        <v>+.023</v>
      </c>
      <c r="M235" s="1">
        <f ca="1">IFERROR(__xludf.DUMMYFUNCTION("""COMPUTED_VALUE"""),110)</f>
        <v>110</v>
      </c>
      <c r="N235" s="1" t="str">
        <f ca="1">IFERROR(__xludf.DUMMYFUNCTION("""COMPUTED_VALUE"""),"+1.16")</f>
        <v>+1.16</v>
      </c>
      <c r="O235" s="1">
        <f ca="1">IFERROR(__xludf.DUMMYFUNCTION("""COMPUTED_VALUE"""),129)</f>
        <v>129</v>
      </c>
      <c r="P235" s="1">
        <f ca="1">IFERROR(__xludf.DUMMYFUNCTION("""COMPUTED_VALUE"""),102.3)</f>
        <v>102.3</v>
      </c>
      <c r="Q235" s="1">
        <f ca="1">IFERROR(__xludf.DUMMYFUNCTION("""COMPUTED_VALUE"""),195)</f>
        <v>195</v>
      </c>
      <c r="R235" s="1">
        <f ca="1">IFERROR(__xludf.DUMMYFUNCTION("""COMPUTED_VALUE"""),101.1)</f>
        <v>101.1</v>
      </c>
      <c r="S235" s="1">
        <f ca="1">IFERROR(__xludf.DUMMYFUNCTION("""COMPUTED_VALUE"""),90)</f>
        <v>90</v>
      </c>
      <c r="T235" s="1">
        <f ca="1">IFERROR(__xludf.DUMMYFUNCTION("""COMPUTED_VALUE"""),-0.86)</f>
        <v>-0.86</v>
      </c>
      <c r="U235" s="1">
        <f ca="1">IFERROR(__xludf.DUMMYFUNCTION("""COMPUTED_VALUE"""),180)</f>
        <v>180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IFERROR(__xludf.DUMMYFUNCTION("""COMPUTED_VALUE"""),"Navy")</f>
        <v>Navy</v>
      </c>
      <c r="C236" s="1" t="str">
        <f ca="1">IFERROR(__xludf.DUMMYFUNCTION("""COMPUTED_VALUE"""),"Pat")</f>
        <v>Pat</v>
      </c>
      <c r="D236" s="1" t="str">
        <f ca="1">IFERROR(__xludf.DUMMYFUNCTION("""COMPUTED_VALUE"""),"19-11")</f>
        <v>19-11</v>
      </c>
      <c r="E236" s="1">
        <f ca="1">IFERROR(__xludf.DUMMYFUNCTION("""COMPUTED_VALUE"""),-5.2)</f>
        <v>-5.2</v>
      </c>
      <c r="F236" s="1">
        <f ca="1">IFERROR(__xludf.DUMMYFUNCTION("""COMPUTED_VALUE"""),98.7)</f>
        <v>98.7</v>
      </c>
      <c r="G236" s="1">
        <f ca="1">IFERROR(__xludf.DUMMYFUNCTION("""COMPUTED_VALUE"""),234)</f>
        <v>234</v>
      </c>
      <c r="H236" s="1">
        <f ca="1">IFERROR(__xludf.DUMMYFUNCTION("""COMPUTED_VALUE"""),103.9)</f>
        <v>103.9</v>
      </c>
      <c r="I236" s="1">
        <f ca="1">IFERROR(__xludf.DUMMYFUNCTION("""COMPUTED_VALUE"""),190)</f>
        <v>190</v>
      </c>
      <c r="J236" s="1">
        <f ca="1">IFERROR(__xludf.DUMMYFUNCTION("""COMPUTED_VALUE"""),68.7)</f>
        <v>68.7</v>
      </c>
      <c r="K236" s="1">
        <f ca="1">IFERROR(__xludf.DUMMYFUNCTION("""COMPUTED_VALUE"""),50)</f>
        <v>50</v>
      </c>
      <c r="L236" s="1" t="str">
        <f ca="1">IFERROR(__xludf.DUMMYFUNCTION("""COMPUTED_VALUE"""),"+.042")</f>
        <v>+.042</v>
      </c>
      <c r="M236" s="1">
        <f ca="1">IFERROR(__xludf.DUMMYFUNCTION("""COMPUTED_VALUE"""),66)</f>
        <v>66</v>
      </c>
      <c r="N236" s="1">
        <f ca="1">IFERROR(__xludf.DUMMYFUNCTION("""COMPUTED_VALUE"""),-9.11)</f>
        <v>-9.11</v>
      </c>
      <c r="O236" s="1">
        <f ca="1">IFERROR(__xludf.DUMMYFUNCTION("""COMPUTED_VALUE"""),322)</f>
        <v>322</v>
      </c>
      <c r="P236" s="1">
        <f ca="1">IFERROR(__xludf.DUMMYFUNCTION("""COMPUTED_VALUE"""),96.5)</f>
        <v>96.5</v>
      </c>
      <c r="Q236" s="1">
        <f ca="1">IFERROR(__xludf.DUMMYFUNCTION("""COMPUTED_VALUE"""),330)</f>
        <v>330</v>
      </c>
      <c r="R236" s="1">
        <f ca="1">IFERROR(__xludf.DUMMYFUNCTION("""COMPUTED_VALUE"""),105.6)</f>
        <v>105.6</v>
      </c>
      <c r="S236" s="1">
        <f ca="1">IFERROR(__xludf.DUMMYFUNCTION("""COMPUTED_VALUE"""),279)</f>
        <v>279</v>
      </c>
      <c r="T236" s="1">
        <f ca="1">IFERROR(__xludf.DUMMYFUNCTION("""COMPUTED_VALUE"""),-7.18)</f>
        <v>-7.18</v>
      </c>
      <c r="U236" s="1">
        <f ca="1">IFERROR(__xludf.DUMMYFUNCTION("""COMPUTED_VALUE"""),307)</f>
        <v>307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IFERROR(__xludf.DUMMYFUNCTION("""COMPUTED_VALUE"""),"Arkansas St.")</f>
        <v>Arkansas St.</v>
      </c>
      <c r="C237" s="1" t="str">
        <f ca="1">IFERROR(__xludf.DUMMYFUNCTION("""COMPUTED_VALUE"""),"SB")</f>
        <v>SB</v>
      </c>
      <c r="D237" s="1" t="str">
        <f ca="1">IFERROR(__xludf.DUMMYFUNCTION("""COMPUTED_VALUE"""),"13-17")</f>
        <v>13-17</v>
      </c>
      <c r="E237" s="1">
        <f ca="1">IFERROR(__xludf.DUMMYFUNCTION("""COMPUTED_VALUE"""),-5.23)</f>
        <v>-5.23</v>
      </c>
      <c r="F237" s="1">
        <f ca="1">IFERROR(__xludf.DUMMYFUNCTION("""COMPUTED_VALUE"""),95.9)</f>
        <v>95.9</v>
      </c>
      <c r="G237" s="1">
        <f ca="1">IFERROR(__xludf.DUMMYFUNCTION("""COMPUTED_VALUE"""),279)</f>
        <v>279</v>
      </c>
      <c r="H237" s="1">
        <f ca="1">IFERROR(__xludf.DUMMYFUNCTION("""COMPUTED_VALUE"""),101.1)</f>
        <v>101.1</v>
      </c>
      <c r="I237" s="1">
        <f ca="1">IFERROR(__xludf.DUMMYFUNCTION("""COMPUTED_VALUE"""),134)</f>
        <v>134</v>
      </c>
      <c r="J237" s="1">
        <f ca="1">IFERROR(__xludf.DUMMYFUNCTION("""COMPUTED_VALUE"""),64.3)</f>
        <v>64.3</v>
      </c>
      <c r="K237" s="1">
        <f ca="1">IFERROR(__xludf.DUMMYFUNCTION("""COMPUTED_VALUE"""),215)</f>
        <v>215</v>
      </c>
      <c r="L237" s="1">
        <f ca="1">IFERROR(__xludf.DUMMYFUNCTION("""COMPUTED_VALUE"""),-0.069)</f>
        <v>-6.9000000000000006E-2</v>
      </c>
      <c r="M237" s="1">
        <f ca="1">IFERROR(__xludf.DUMMYFUNCTION("""COMPUTED_VALUE"""),316)</f>
        <v>316</v>
      </c>
      <c r="N237" s="1">
        <f ca="1">IFERROR(__xludf.DUMMYFUNCTION("""COMPUTED_VALUE"""),-3.42)</f>
        <v>-3.42</v>
      </c>
      <c r="O237" s="1">
        <f ca="1">IFERROR(__xludf.DUMMYFUNCTION("""COMPUTED_VALUE"""),237)</f>
        <v>237</v>
      </c>
      <c r="P237" s="1">
        <f ca="1">IFERROR(__xludf.DUMMYFUNCTION("""COMPUTED_VALUE"""),102)</f>
        <v>102</v>
      </c>
      <c r="Q237" s="1">
        <f ca="1">IFERROR(__xludf.DUMMYFUNCTION("""COMPUTED_VALUE"""),207)</f>
        <v>207</v>
      </c>
      <c r="R237" s="1">
        <f ca="1">IFERROR(__xludf.DUMMYFUNCTION("""COMPUTED_VALUE"""),105.5)</f>
        <v>105.5</v>
      </c>
      <c r="S237" s="1">
        <f ca="1">IFERROR(__xludf.DUMMYFUNCTION("""COMPUTED_VALUE"""),269)</f>
        <v>269</v>
      </c>
      <c r="T237" s="1">
        <f ca="1">IFERROR(__xludf.DUMMYFUNCTION("""COMPUTED_VALUE"""),-0.01)</f>
        <v>-0.01</v>
      </c>
      <c r="U237" s="1">
        <f ca="1">IFERROR(__xludf.DUMMYFUNCTION("""COMPUTED_VALUE"""),158)</f>
        <v>158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IFERROR(__xludf.DUMMYFUNCTION("""COMPUTED_VALUE"""),"Valparaiso")</f>
        <v>Valparaiso</v>
      </c>
      <c r="C238" s="1" t="str">
        <f ca="1">IFERROR(__xludf.DUMMYFUNCTION("""COMPUTED_VALUE"""),"Horz")</f>
        <v>Horz</v>
      </c>
      <c r="D238" s="2">
        <f ca="1">IFERROR(__xludf.DUMMYFUNCTION("""COMPUTED_VALUE"""),44826)</f>
        <v>44826</v>
      </c>
      <c r="E238" s="1">
        <f ca="1">IFERROR(__xludf.DUMMYFUNCTION("""COMPUTED_VALUE"""),-5.27)</f>
        <v>-5.27</v>
      </c>
      <c r="F238" s="1">
        <f ca="1">IFERROR(__xludf.DUMMYFUNCTION("""COMPUTED_VALUE"""),99.7)</f>
        <v>99.7</v>
      </c>
      <c r="G238" s="1">
        <f ca="1">IFERROR(__xludf.DUMMYFUNCTION("""COMPUTED_VALUE"""),228)</f>
        <v>228</v>
      </c>
      <c r="H238" s="1">
        <f ca="1">IFERROR(__xludf.DUMMYFUNCTION("""COMPUTED_VALUE"""),105)</f>
        <v>105</v>
      </c>
      <c r="I238" s="1">
        <f ca="1">IFERROR(__xludf.DUMMYFUNCTION("""COMPUTED_VALUE"""),215)</f>
        <v>215</v>
      </c>
      <c r="J238" s="1">
        <f ca="1">IFERROR(__xludf.DUMMYFUNCTION("""COMPUTED_VALUE"""),63.2)</f>
        <v>63.2</v>
      </c>
      <c r="K238" s="1">
        <f ca="1">IFERROR(__xludf.DUMMYFUNCTION("""COMPUTED_VALUE"""),263)</f>
        <v>263</v>
      </c>
      <c r="L238" s="1">
        <f ca="1">IFERROR(__xludf.DUMMYFUNCTION("""COMPUTED_VALUE"""),-0.074)</f>
        <v>-7.3999999999999996E-2</v>
      </c>
      <c r="M238" s="1">
        <f ca="1">IFERROR(__xludf.DUMMYFUNCTION("""COMPUTED_VALUE"""),323)</f>
        <v>323</v>
      </c>
      <c r="N238" s="1" t="str">
        <f ca="1">IFERROR(__xludf.DUMMYFUNCTION("""COMPUTED_VALUE"""),"+3.85")</f>
        <v>+3.85</v>
      </c>
      <c r="O238" s="1">
        <f ca="1">IFERROR(__xludf.DUMMYFUNCTION("""COMPUTED_VALUE"""),87)</f>
        <v>87</v>
      </c>
      <c r="P238" s="1">
        <f ca="1">IFERROR(__xludf.DUMMYFUNCTION("""COMPUTED_VALUE"""),103.8)</f>
        <v>103.8</v>
      </c>
      <c r="Q238" s="1">
        <f ca="1">IFERROR(__xludf.DUMMYFUNCTION("""COMPUTED_VALUE"""),127)</f>
        <v>127</v>
      </c>
      <c r="R238" s="1">
        <f ca="1">IFERROR(__xludf.DUMMYFUNCTION("""COMPUTED_VALUE"""),100)</f>
        <v>100</v>
      </c>
      <c r="S238" s="1">
        <f ca="1">IFERROR(__xludf.DUMMYFUNCTION("""COMPUTED_VALUE"""),59)</f>
        <v>59</v>
      </c>
      <c r="T238" s="1" t="str">
        <f ca="1">IFERROR(__xludf.DUMMYFUNCTION("""COMPUTED_VALUE"""),"+5.71")</f>
        <v>+5.71</v>
      </c>
      <c r="U238" s="1">
        <f ca="1">IFERROR(__xludf.DUMMYFUNCTION("""COMPUTED_VALUE"""),45)</f>
        <v>45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IFERROR(__xludf.DUMMYFUNCTION("""COMPUTED_VALUE"""),"Southern Utah")</f>
        <v>Southern Utah</v>
      </c>
      <c r="C239" s="1" t="str">
        <f ca="1">IFERROR(__xludf.DUMMYFUNCTION("""COMPUTED_VALUE"""),"Sum")</f>
        <v>Sum</v>
      </c>
      <c r="D239" s="2">
        <f ca="1">IFERROR(__xludf.DUMMYFUNCTION("""COMPUTED_VALUE"""),44885)</f>
        <v>44885</v>
      </c>
      <c r="E239" s="1">
        <f ca="1">IFERROR(__xludf.DUMMYFUNCTION("""COMPUTED_VALUE"""),-5.39)</f>
        <v>-5.39</v>
      </c>
      <c r="F239" s="1">
        <f ca="1">IFERROR(__xludf.DUMMYFUNCTION("""COMPUTED_VALUE"""),102.1)</f>
        <v>102.1</v>
      </c>
      <c r="G239" s="1">
        <f ca="1">IFERROR(__xludf.DUMMYFUNCTION("""COMPUTED_VALUE"""),186)</f>
        <v>186</v>
      </c>
      <c r="H239" s="1">
        <f ca="1">IFERROR(__xludf.DUMMYFUNCTION("""COMPUTED_VALUE"""),107.5)</f>
        <v>107.5</v>
      </c>
      <c r="I239" s="1">
        <f ca="1">IFERROR(__xludf.DUMMYFUNCTION("""COMPUTED_VALUE"""),266)</f>
        <v>266</v>
      </c>
      <c r="J239" s="1">
        <f ca="1">IFERROR(__xludf.DUMMYFUNCTION("""COMPUTED_VALUE"""),62.7)</f>
        <v>62.7</v>
      </c>
      <c r="K239" s="1">
        <f ca="1">IFERROR(__xludf.DUMMYFUNCTION("""COMPUTED_VALUE"""),276)</f>
        <v>276</v>
      </c>
      <c r="L239" s="1">
        <f ca="1">IFERROR(__xludf.DUMMYFUNCTION("""COMPUTED_VALUE"""),-0.048)</f>
        <v>-4.8000000000000001E-2</v>
      </c>
      <c r="M239" s="1">
        <f ca="1">IFERROR(__xludf.DUMMYFUNCTION("""COMPUTED_VALUE"""),287)</f>
        <v>287</v>
      </c>
      <c r="N239" s="1" t="str">
        <f ca="1">IFERROR(__xludf.DUMMYFUNCTION("""COMPUTED_VALUE"""),"+0.06")</f>
        <v>+0.06</v>
      </c>
      <c r="O239" s="1">
        <f ca="1">IFERROR(__xludf.DUMMYFUNCTION("""COMPUTED_VALUE"""),159)</f>
        <v>159</v>
      </c>
      <c r="P239" s="1">
        <f ca="1">IFERROR(__xludf.DUMMYFUNCTION("""COMPUTED_VALUE"""),104.5)</f>
        <v>104.5</v>
      </c>
      <c r="Q239" s="1">
        <f ca="1">IFERROR(__xludf.DUMMYFUNCTION("""COMPUTED_VALUE"""),103)</f>
        <v>103</v>
      </c>
      <c r="R239" s="1">
        <f ca="1">IFERROR(__xludf.DUMMYFUNCTION("""COMPUTED_VALUE"""),104.4)</f>
        <v>104.4</v>
      </c>
      <c r="S239" s="1">
        <f ca="1">IFERROR(__xludf.DUMMYFUNCTION("""COMPUTED_VALUE"""),225)</f>
        <v>225</v>
      </c>
      <c r="T239" s="1" t="str">
        <f ca="1">IFERROR(__xludf.DUMMYFUNCTION("""COMPUTED_VALUE"""),"+3.44")</f>
        <v>+3.44</v>
      </c>
      <c r="U239" s="1">
        <f ca="1">IFERROR(__xludf.DUMMYFUNCTION("""COMPUTED_VALUE"""),80)</f>
        <v>80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IFERROR(__xludf.DUMMYFUNCTION("""COMPUTED_VALUE"""),"Georgia St.")</f>
        <v>Georgia St.</v>
      </c>
      <c r="C240" s="1" t="str">
        <f ca="1">IFERROR(__xludf.DUMMYFUNCTION("""COMPUTED_VALUE"""),"CAA")</f>
        <v>CAA</v>
      </c>
      <c r="D240" s="2">
        <f ca="1">IFERROR(__xludf.DUMMYFUNCTION("""COMPUTED_VALUE"""),44915)</f>
        <v>44915</v>
      </c>
      <c r="E240" s="1">
        <f ca="1">IFERROR(__xludf.DUMMYFUNCTION("""COMPUTED_VALUE"""),-5.6)</f>
        <v>-5.6</v>
      </c>
      <c r="F240" s="1">
        <f ca="1">IFERROR(__xludf.DUMMYFUNCTION("""COMPUTED_VALUE"""),98.7)</f>
        <v>98.7</v>
      </c>
      <c r="G240" s="1">
        <f ca="1">IFERROR(__xludf.DUMMYFUNCTION("""COMPUTED_VALUE"""),236)</f>
        <v>236</v>
      </c>
      <c r="H240" s="1">
        <f ca="1">IFERROR(__xludf.DUMMYFUNCTION("""COMPUTED_VALUE"""),104.3)</f>
        <v>104.3</v>
      </c>
      <c r="I240" s="1">
        <f ca="1">IFERROR(__xludf.DUMMYFUNCTION("""COMPUTED_VALUE"""),201)</f>
        <v>201</v>
      </c>
      <c r="J240" s="1">
        <f ca="1">IFERROR(__xludf.DUMMYFUNCTION("""COMPUTED_VALUE"""),60.1)</f>
        <v>60.1</v>
      </c>
      <c r="K240" s="1">
        <f ca="1">IFERROR(__xludf.DUMMYFUNCTION("""COMPUTED_VALUE"""),325)</f>
        <v>325</v>
      </c>
      <c r="L240" s="1">
        <f ca="1">IFERROR(__xludf.DUMMYFUNCTION("""COMPUTED_VALUE"""),-0.031)</f>
        <v>-3.1E-2</v>
      </c>
      <c r="M240" s="1">
        <f ca="1">IFERROR(__xludf.DUMMYFUNCTION("""COMPUTED_VALUE"""),254)</f>
        <v>254</v>
      </c>
      <c r="N240" s="1">
        <f ca="1">IFERROR(__xludf.DUMMYFUNCTION("""COMPUTED_VALUE"""),-0.08)</f>
        <v>-0.08</v>
      </c>
      <c r="O240" s="1">
        <f ca="1">IFERROR(__xludf.DUMMYFUNCTION("""COMPUTED_VALUE"""),163)</f>
        <v>163</v>
      </c>
      <c r="P240" s="1">
        <f ca="1">IFERROR(__xludf.DUMMYFUNCTION("""COMPUTED_VALUE"""),102)</f>
        <v>102</v>
      </c>
      <c r="Q240" s="1">
        <f ca="1">IFERROR(__xludf.DUMMYFUNCTION("""COMPUTED_VALUE"""),210)</f>
        <v>210</v>
      </c>
      <c r="R240" s="1">
        <f ca="1">IFERROR(__xludf.DUMMYFUNCTION("""COMPUTED_VALUE"""),102)</f>
        <v>102</v>
      </c>
      <c r="S240" s="1">
        <f ca="1">IFERROR(__xludf.DUMMYFUNCTION("""COMPUTED_VALUE"""),129)</f>
        <v>129</v>
      </c>
      <c r="T240" s="1">
        <f ca="1">IFERROR(__xludf.DUMMYFUNCTION("""COMPUTED_VALUE"""),-0.79)</f>
        <v>-0.79</v>
      </c>
      <c r="U240" s="1">
        <f ca="1">IFERROR(__xludf.DUMMYFUNCTION("""COMPUTED_VALUE"""),179)</f>
        <v>179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IFERROR(__xludf.DUMMYFUNCTION("""COMPUTED_VALUE"""),"Loyola Chicago")</f>
        <v>Loyola Chicago</v>
      </c>
      <c r="C241" s="1" t="str">
        <f ca="1">IFERROR(__xludf.DUMMYFUNCTION("""COMPUTED_VALUE"""),"Horz")</f>
        <v>Horz</v>
      </c>
      <c r="D241" s="1" t="str">
        <f ca="1">IFERROR(__xludf.DUMMYFUNCTION("""COMPUTED_VALUE"""),"14-18")</f>
        <v>14-18</v>
      </c>
      <c r="E241" s="1">
        <f ca="1">IFERROR(__xludf.DUMMYFUNCTION("""COMPUTED_VALUE"""),-5.69)</f>
        <v>-5.69</v>
      </c>
      <c r="F241" s="1">
        <f ca="1">IFERROR(__xludf.DUMMYFUNCTION("""COMPUTED_VALUE"""),99.9)</f>
        <v>99.9</v>
      </c>
      <c r="G241" s="1">
        <f ca="1">IFERROR(__xludf.DUMMYFUNCTION("""COMPUTED_VALUE"""),225)</f>
        <v>225</v>
      </c>
      <c r="H241" s="1">
        <f ca="1">IFERROR(__xludf.DUMMYFUNCTION("""COMPUTED_VALUE"""),105.6)</f>
        <v>105.6</v>
      </c>
      <c r="I241" s="1">
        <f ca="1">IFERROR(__xludf.DUMMYFUNCTION("""COMPUTED_VALUE"""),228)</f>
        <v>228</v>
      </c>
      <c r="J241" s="1">
        <f ca="1">IFERROR(__xludf.DUMMYFUNCTION("""COMPUTED_VALUE"""),63.8)</f>
        <v>63.8</v>
      </c>
      <c r="K241" s="1">
        <f ca="1">IFERROR(__xludf.DUMMYFUNCTION("""COMPUTED_VALUE"""),238)</f>
        <v>238</v>
      </c>
      <c r="L241" s="1" t="str">
        <f ca="1">IFERROR(__xludf.DUMMYFUNCTION("""COMPUTED_VALUE"""),"+.046")</f>
        <v>+.046</v>
      </c>
      <c r="M241" s="1">
        <f ca="1">IFERROR(__xludf.DUMMYFUNCTION("""COMPUTED_VALUE"""),57)</f>
        <v>57</v>
      </c>
      <c r="N241" s="1">
        <f ca="1">IFERROR(__xludf.DUMMYFUNCTION("""COMPUTED_VALUE"""),-0.5)</f>
        <v>-0.5</v>
      </c>
      <c r="O241" s="1">
        <f ca="1">IFERROR(__xludf.DUMMYFUNCTION("""COMPUTED_VALUE"""),171)</f>
        <v>171</v>
      </c>
      <c r="P241" s="1">
        <f ca="1">IFERROR(__xludf.DUMMYFUNCTION("""COMPUTED_VALUE"""),101.6)</f>
        <v>101.6</v>
      </c>
      <c r="Q241" s="1">
        <f ca="1">IFERROR(__xludf.DUMMYFUNCTION("""COMPUTED_VALUE"""),218)</f>
        <v>218</v>
      </c>
      <c r="R241" s="1">
        <f ca="1">IFERROR(__xludf.DUMMYFUNCTION("""COMPUTED_VALUE"""),102.1)</f>
        <v>102.1</v>
      </c>
      <c r="S241" s="1">
        <f ca="1">IFERROR(__xludf.DUMMYFUNCTION("""COMPUTED_VALUE"""),133)</f>
        <v>133</v>
      </c>
      <c r="T241" s="1">
        <f ca="1">IFERROR(__xludf.DUMMYFUNCTION("""COMPUTED_VALUE"""),-6.04)</f>
        <v>-6.04</v>
      </c>
      <c r="U241" s="1">
        <f ca="1">IFERROR(__xludf.DUMMYFUNCTION("""COMPUTED_VALUE"""),300)</f>
        <v>300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IFERROR(__xludf.DUMMYFUNCTION("""COMPUTED_VALUE"""),"Air Force")</f>
        <v>Air Force</v>
      </c>
      <c r="C242" s="1" t="str">
        <f ca="1">IFERROR(__xludf.DUMMYFUNCTION("""COMPUTED_VALUE"""),"MWC")</f>
        <v>MWC</v>
      </c>
      <c r="D242" s="2">
        <f ca="1">IFERROR(__xludf.DUMMYFUNCTION("""COMPUTED_VALUE"""),44855)</f>
        <v>44855</v>
      </c>
      <c r="E242" s="1">
        <f ca="1">IFERROR(__xludf.DUMMYFUNCTION("""COMPUTED_VALUE"""),-5.7)</f>
        <v>-5.7</v>
      </c>
      <c r="F242" s="1">
        <f ca="1">IFERROR(__xludf.DUMMYFUNCTION("""COMPUTED_VALUE"""),98.6)</f>
        <v>98.6</v>
      </c>
      <c r="G242" s="1">
        <f ca="1">IFERROR(__xludf.DUMMYFUNCTION("""COMPUTED_VALUE"""),237)</f>
        <v>237</v>
      </c>
      <c r="H242" s="1">
        <f ca="1">IFERROR(__xludf.DUMMYFUNCTION("""COMPUTED_VALUE"""),104.3)</f>
        <v>104.3</v>
      </c>
      <c r="I242" s="1">
        <f ca="1">IFERROR(__xludf.DUMMYFUNCTION("""COMPUTED_VALUE"""),203)</f>
        <v>203</v>
      </c>
      <c r="J242" s="1">
        <f ca="1">IFERROR(__xludf.DUMMYFUNCTION("""COMPUTED_VALUE"""),57.8)</f>
        <v>57.8</v>
      </c>
      <c r="K242" s="1">
        <f ca="1">IFERROR(__xludf.DUMMYFUNCTION("""COMPUTED_VALUE"""),339)</f>
        <v>339</v>
      </c>
      <c r="L242" s="1">
        <f ca="1">IFERROR(__xludf.DUMMYFUNCTION("""COMPUTED_VALUE"""),-0.09)</f>
        <v>-0.09</v>
      </c>
      <c r="M242" s="1">
        <f ca="1">IFERROR(__xludf.DUMMYFUNCTION("""COMPUTED_VALUE"""),332)</f>
        <v>332</v>
      </c>
      <c r="N242" s="1" t="str">
        <f ca="1">IFERROR(__xludf.DUMMYFUNCTION("""COMPUTED_VALUE"""),"+2.30")</f>
        <v>+2.30</v>
      </c>
      <c r="O242" s="1">
        <f ca="1">IFERROR(__xludf.DUMMYFUNCTION("""COMPUTED_VALUE"""),111)</f>
        <v>111</v>
      </c>
      <c r="P242" s="1">
        <f ca="1">IFERROR(__xludf.DUMMYFUNCTION("""COMPUTED_VALUE"""),104.9)</f>
        <v>104.9</v>
      </c>
      <c r="Q242" s="1">
        <f ca="1">IFERROR(__xludf.DUMMYFUNCTION("""COMPUTED_VALUE"""),94)</f>
        <v>94</v>
      </c>
      <c r="R242" s="1">
        <f ca="1">IFERROR(__xludf.DUMMYFUNCTION("""COMPUTED_VALUE"""),102.6)</f>
        <v>102.6</v>
      </c>
      <c r="S242" s="1">
        <f ca="1">IFERROR(__xludf.DUMMYFUNCTION("""COMPUTED_VALUE"""),155)</f>
        <v>155</v>
      </c>
      <c r="T242" s="1">
        <f ca="1">IFERROR(__xludf.DUMMYFUNCTION("""COMPUTED_VALUE"""),-12.06)</f>
        <v>-12.06</v>
      </c>
      <c r="U242" s="1">
        <f ca="1">IFERROR(__xludf.DUMMYFUNCTION("""COMPUTED_VALUE"""),342)</f>
        <v>342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IFERROR(__xludf.DUMMYFUNCTION("""COMPUTED_VALUE"""),"McNeese St.")</f>
        <v>McNeese St.</v>
      </c>
      <c r="C243" s="1" t="str">
        <f ca="1">IFERROR(__xludf.DUMMYFUNCTION("""COMPUTED_VALUE"""),"Slnd")</f>
        <v>Slnd</v>
      </c>
      <c r="D243" s="2">
        <f ca="1">IFERROR(__xludf.DUMMYFUNCTION("""COMPUTED_VALUE"""),44883)</f>
        <v>44883</v>
      </c>
      <c r="E243" s="1">
        <f ca="1">IFERROR(__xludf.DUMMYFUNCTION("""COMPUTED_VALUE"""),-5.88)</f>
        <v>-5.88</v>
      </c>
      <c r="F243" s="1">
        <f ca="1">IFERROR(__xludf.DUMMYFUNCTION("""COMPUTED_VALUE"""),94.1)</f>
        <v>94.1</v>
      </c>
      <c r="G243" s="1">
        <f ca="1">IFERROR(__xludf.DUMMYFUNCTION("""COMPUTED_VALUE"""),295)</f>
        <v>295</v>
      </c>
      <c r="H243" s="1">
        <f ca="1">IFERROR(__xludf.DUMMYFUNCTION("""COMPUTED_VALUE"""),100)</f>
        <v>100</v>
      </c>
      <c r="I243" s="1">
        <f ca="1">IFERROR(__xludf.DUMMYFUNCTION("""COMPUTED_VALUE"""),110)</f>
        <v>110</v>
      </c>
      <c r="J243" s="1">
        <f ca="1">IFERROR(__xludf.DUMMYFUNCTION("""COMPUTED_VALUE"""),64.8)</f>
        <v>64.8</v>
      </c>
      <c r="K243" s="1">
        <f ca="1">IFERROR(__xludf.DUMMYFUNCTION("""COMPUTED_VALUE"""),195)</f>
        <v>195</v>
      </c>
      <c r="L243" s="1">
        <f ca="1">IFERROR(__xludf.DUMMYFUNCTION("""COMPUTED_VALUE"""),-0.088)</f>
        <v>-8.7999999999999995E-2</v>
      </c>
      <c r="M243" s="1">
        <f ca="1">IFERROR(__xludf.DUMMYFUNCTION("""COMPUTED_VALUE"""),331)</f>
        <v>331</v>
      </c>
      <c r="N243" s="1">
        <f ca="1">IFERROR(__xludf.DUMMYFUNCTION("""COMPUTED_VALUE"""),-3.45)</f>
        <v>-3.45</v>
      </c>
      <c r="O243" s="1">
        <f ca="1">IFERROR(__xludf.DUMMYFUNCTION("""COMPUTED_VALUE"""),238)</f>
        <v>238</v>
      </c>
      <c r="P243" s="1">
        <f ca="1">IFERROR(__xludf.DUMMYFUNCTION("""COMPUTED_VALUE"""),100.7)</f>
        <v>100.7</v>
      </c>
      <c r="Q243" s="1">
        <f ca="1">IFERROR(__xludf.DUMMYFUNCTION("""COMPUTED_VALUE"""),250)</f>
        <v>250</v>
      </c>
      <c r="R243" s="1">
        <f ca="1">IFERROR(__xludf.DUMMYFUNCTION("""COMPUTED_VALUE"""),104.1)</f>
        <v>104.1</v>
      </c>
      <c r="S243" s="1">
        <f ca="1">IFERROR(__xludf.DUMMYFUNCTION("""COMPUTED_VALUE"""),214)</f>
        <v>214</v>
      </c>
      <c r="T243" s="1">
        <f ca="1">IFERROR(__xludf.DUMMYFUNCTION("""COMPUTED_VALUE"""),-1.13)</f>
        <v>-1.1299999999999999</v>
      </c>
      <c r="U243" s="1">
        <f ca="1">IFERROR(__xludf.DUMMYFUNCTION("""COMPUTED_VALUE"""),187)</f>
        <v>187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IFERROR(__xludf.DUMMYFUNCTION("""COMPUTED_VALUE"""),"Gardner Webb")</f>
        <v>Gardner Webb</v>
      </c>
      <c r="C244" s="1" t="str">
        <f ca="1">IFERROR(__xludf.DUMMYFUNCTION("""COMPUTED_VALUE"""),"BSth")</f>
        <v>BSth</v>
      </c>
      <c r="D244" s="1" t="str">
        <f ca="1">IFERROR(__xludf.DUMMYFUNCTION("""COMPUTED_VALUE"""),"13-17")</f>
        <v>13-17</v>
      </c>
      <c r="E244" s="1">
        <f ca="1">IFERROR(__xludf.DUMMYFUNCTION("""COMPUTED_VALUE"""),-5.9)</f>
        <v>-5.9</v>
      </c>
      <c r="F244" s="1">
        <f ca="1">IFERROR(__xludf.DUMMYFUNCTION("""COMPUTED_VALUE"""),101.6)</f>
        <v>101.6</v>
      </c>
      <c r="G244" s="1">
        <f ca="1">IFERROR(__xludf.DUMMYFUNCTION("""COMPUTED_VALUE"""),200)</f>
        <v>200</v>
      </c>
      <c r="H244" s="1">
        <f ca="1">IFERROR(__xludf.DUMMYFUNCTION("""COMPUTED_VALUE"""),107.5)</f>
        <v>107.5</v>
      </c>
      <c r="I244" s="1">
        <f ca="1">IFERROR(__xludf.DUMMYFUNCTION("""COMPUTED_VALUE"""),267)</f>
        <v>267</v>
      </c>
      <c r="J244" s="1">
        <f ca="1">IFERROR(__xludf.DUMMYFUNCTION("""COMPUTED_VALUE"""),68.5)</f>
        <v>68.5</v>
      </c>
      <c r="K244" s="1">
        <f ca="1">IFERROR(__xludf.DUMMYFUNCTION("""COMPUTED_VALUE"""),54)</f>
        <v>54</v>
      </c>
      <c r="L244" s="1">
        <f ca="1">IFERROR(__xludf.DUMMYFUNCTION("""COMPUTED_VALUE"""),-0.05)</f>
        <v>-0.05</v>
      </c>
      <c r="M244" s="1">
        <f ca="1">IFERROR(__xludf.DUMMYFUNCTION("""COMPUTED_VALUE"""),295)</f>
        <v>295</v>
      </c>
      <c r="N244" s="1">
        <f ca="1">IFERROR(__xludf.DUMMYFUNCTION("""COMPUTED_VALUE"""),-3.32)</f>
        <v>-3.32</v>
      </c>
      <c r="O244" s="1">
        <f ca="1">IFERROR(__xludf.DUMMYFUNCTION("""COMPUTED_VALUE"""),234)</f>
        <v>234</v>
      </c>
      <c r="P244" s="1">
        <f ca="1">IFERROR(__xludf.DUMMYFUNCTION("""COMPUTED_VALUE"""),101.4)</f>
        <v>101.4</v>
      </c>
      <c r="Q244" s="1">
        <f ca="1">IFERROR(__xludf.DUMMYFUNCTION("""COMPUTED_VALUE"""),223)</f>
        <v>223</v>
      </c>
      <c r="R244" s="1">
        <f ca="1">IFERROR(__xludf.DUMMYFUNCTION("""COMPUTED_VALUE"""),104.8)</f>
        <v>104.8</v>
      </c>
      <c r="S244" s="1">
        <f ca="1">IFERROR(__xludf.DUMMYFUNCTION("""COMPUTED_VALUE"""),238)</f>
        <v>238</v>
      </c>
      <c r="T244" s="1" t="str">
        <f ca="1">IFERROR(__xludf.DUMMYFUNCTION("""COMPUTED_VALUE"""),"+10.36")</f>
        <v>+10.36</v>
      </c>
      <c r="U244" s="1">
        <f ca="1">IFERROR(__xludf.DUMMYFUNCTION("""COMPUTED_VALUE"""),14)</f>
        <v>14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IFERROR(__xludf.DUMMYFUNCTION("""COMPUTED_VALUE"""),"Chicago St.")</f>
        <v>Chicago St.</v>
      </c>
      <c r="C245" s="1" t="str">
        <f ca="1">IFERROR(__xludf.DUMMYFUNCTION("""COMPUTED_VALUE"""),"ind")</f>
        <v>ind</v>
      </c>
      <c r="D245" s="1" t="str">
        <f ca="1">IFERROR(__xludf.DUMMYFUNCTION("""COMPUTED_VALUE"""),"19-13")</f>
        <v>19-13</v>
      </c>
      <c r="E245" s="1">
        <f ca="1">IFERROR(__xludf.DUMMYFUNCTION("""COMPUTED_VALUE"""),-6.02)</f>
        <v>-6.02</v>
      </c>
      <c r="F245" s="1">
        <f ca="1">IFERROR(__xludf.DUMMYFUNCTION("""COMPUTED_VALUE"""),106)</f>
        <v>106</v>
      </c>
      <c r="G245" s="1">
        <f ca="1">IFERROR(__xludf.DUMMYFUNCTION("""COMPUTED_VALUE"""),112)</f>
        <v>112</v>
      </c>
      <c r="H245" s="1">
        <f ca="1">IFERROR(__xludf.DUMMYFUNCTION("""COMPUTED_VALUE"""),112)</f>
        <v>112</v>
      </c>
      <c r="I245" s="1">
        <f ca="1">IFERROR(__xludf.DUMMYFUNCTION("""COMPUTED_VALUE"""),321)</f>
        <v>321</v>
      </c>
      <c r="J245" s="1">
        <f ca="1">IFERROR(__xludf.DUMMYFUNCTION("""COMPUTED_VALUE"""),74.2)</f>
        <v>74.2</v>
      </c>
      <c r="K245" s="1">
        <f ca="1">IFERROR(__xludf.DUMMYFUNCTION("""COMPUTED_VALUE"""),3)</f>
        <v>3</v>
      </c>
      <c r="L245" s="1" t="str">
        <f ca="1">IFERROR(__xludf.DUMMYFUNCTION("""COMPUTED_VALUE"""),"+.015")</f>
        <v>+.015</v>
      </c>
      <c r="M245" s="1">
        <f ca="1">IFERROR(__xludf.DUMMYFUNCTION("""COMPUTED_VALUE"""),127)</f>
        <v>127</v>
      </c>
      <c r="N245" s="1">
        <f ca="1">IFERROR(__xludf.DUMMYFUNCTION("""COMPUTED_VALUE"""),-10.5)</f>
        <v>-10.5</v>
      </c>
      <c r="O245" s="1">
        <f ca="1">IFERROR(__xludf.DUMMYFUNCTION("""COMPUTED_VALUE"""),334)</f>
        <v>334</v>
      </c>
      <c r="P245" s="1">
        <f ca="1">IFERROR(__xludf.DUMMYFUNCTION("""COMPUTED_VALUE"""),96.7)</f>
        <v>96.7</v>
      </c>
      <c r="Q245" s="1">
        <f ca="1">IFERROR(__xludf.DUMMYFUNCTION("""COMPUTED_VALUE"""),328)</f>
        <v>328</v>
      </c>
      <c r="R245" s="1">
        <f ca="1">IFERROR(__xludf.DUMMYFUNCTION("""COMPUTED_VALUE"""),107.2)</f>
        <v>107.2</v>
      </c>
      <c r="S245" s="1">
        <f ca="1">IFERROR(__xludf.DUMMYFUNCTION("""COMPUTED_VALUE"""),334)</f>
        <v>334</v>
      </c>
      <c r="T245" s="1">
        <f ca="1">IFERROR(__xludf.DUMMYFUNCTION("""COMPUTED_VALUE"""),-2.74)</f>
        <v>-2.74</v>
      </c>
      <c r="U245" s="1">
        <f ca="1">IFERROR(__xludf.DUMMYFUNCTION("""COMPUTED_VALUE"""),224)</f>
        <v>224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IFERROR(__xludf.DUMMYFUNCTION("""COMPUTED_VALUE"""),"William &amp; Mary")</f>
        <v>William &amp; Mary</v>
      </c>
      <c r="C246" s="1" t="str">
        <f ca="1">IFERROR(__xludf.DUMMYFUNCTION("""COMPUTED_VALUE"""),"CAA")</f>
        <v>CAA</v>
      </c>
      <c r="D246" s="2">
        <f ca="1">IFERROR(__xludf.DUMMYFUNCTION("""COMPUTED_VALUE"""),44854)</f>
        <v>44854</v>
      </c>
      <c r="E246" s="1">
        <f ca="1">IFERROR(__xludf.DUMMYFUNCTION("""COMPUTED_VALUE"""),-6.08)</f>
        <v>-6.08</v>
      </c>
      <c r="F246" s="1">
        <f ca="1">IFERROR(__xludf.DUMMYFUNCTION("""COMPUTED_VALUE"""),96.5)</f>
        <v>96.5</v>
      </c>
      <c r="G246" s="1">
        <f ca="1">IFERROR(__xludf.DUMMYFUNCTION("""COMPUTED_VALUE"""),271)</f>
        <v>271</v>
      </c>
      <c r="H246" s="1">
        <f ca="1">IFERROR(__xludf.DUMMYFUNCTION("""COMPUTED_VALUE"""),102.5)</f>
        <v>102.5</v>
      </c>
      <c r="I246" s="1">
        <f ca="1">IFERROR(__xludf.DUMMYFUNCTION("""COMPUTED_VALUE"""),166)</f>
        <v>166</v>
      </c>
      <c r="J246" s="1">
        <f ca="1">IFERROR(__xludf.DUMMYFUNCTION("""COMPUTED_VALUE"""),60.9)</f>
        <v>60.9</v>
      </c>
      <c r="K246" s="1">
        <f ca="1">IFERROR(__xludf.DUMMYFUNCTION("""COMPUTED_VALUE"""),315)</f>
        <v>315</v>
      </c>
      <c r="L246" s="1">
        <f ca="1">IFERROR(__xludf.DUMMYFUNCTION("""COMPUTED_VALUE"""),-0.094)</f>
        <v>-9.4E-2</v>
      </c>
      <c r="M246" s="1">
        <f ca="1">IFERROR(__xludf.DUMMYFUNCTION("""COMPUTED_VALUE"""),334)</f>
        <v>334</v>
      </c>
      <c r="N246" s="1">
        <f ca="1">IFERROR(__xludf.DUMMYFUNCTION("""COMPUTED_VALUE"""),-1.72)</f>
        <v>-1.72</v>
      </c>
      <c r="O246" s="1">
        <f ca="1">IFERROR(__xludf.DUMMYFUNCTION("""COMPUTED_VALUE"""),197)</f>
        <v>197</v>
      </c>
      <c r="P246" s="1">
        <f ca="1">IFERROR(__xludf.DUMMYFUNCTION("""COMPUTED_VALUE"""),102)</f>
        <v>102</v>
      </c>
      <c r="Q246" s="1">
        <f ca="1">IFERROR(__xludf.DUMMYFUNCTION("""COMPUTED_VALUE"""),206)</f>
        <v>206</v>
      </c>
      <c r="R246" s="1">
        <f ca="1">IFERROR(__xludf.DUMMYFUNCTION("""COMPUTED_VALUE"""),103.8)</f>
        <v>103.8</v>
      </c>
      <c r="S246" s="1">
        <f ca="1">IFERROR(__xludf.DUMMYFUNCTION("""COMPUTED_VALUE"""),196)</f>
        <v>196</v>
      </c>
      <c r="T246" s="1">
        <f ca="1">IFERROR(__xludf.DUMMYFUNCTION("""COMPUTED_VALUE"""),-5.49)</f>
        <v>-5.49</v>
      </c>
      <c r="U246" s="1">
        <f ca="1">IFERROR(__xludf.DUMMYFUNCTION("""COMPUTED_VALUE"""),291)</f>
        <v>291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IFERROR(__xludf.DUMMYFUNCTION("""COMPUTED_VALUE"""),"Rice")</f>
        <v>Rice</v>
      </c>
      <c r="C247" s="1" t="str">
        <f ca="1">IFERROR(__xludf.DUMMYFUNCTION("""COMPUTED_VALUE"""),"CUSA")</f>
        <v>CUSA</v>
      </c>
      <c r="D247" s="2">
        <f ca="1">IFERROR(__xludf.DUMMYFUNCTION("""COMPUTED_VALUE"""),44856)</f>
        <v>44856</v>
      </c>
      <c r="E247" s="1">
        <f ca="1">IFERROR(__xludf.DUMMYFUNCTION("""COMPUTED_VALUE"""),-6.1)</f>
        <v>-6.1</v>
      </c>
      <c r="F247" s="1">
        <f ca="1">IFERROR(__xludf.DUMMYFUNCTION("""COMPUTED_VALUE"""),100.4)</f>
        <v>100.4</v>
      </c>
      <c r="G247" s="1">
        <f ca="1">IFERROR(__xludf.DUMMYFUNCTION("""COMPUTED_VALUE"""),219)</f>
        <v>219</v>
      </c>
      <c r="H247" s="1">
        <f ca="1">IFERROR(__xludf.DUMMYFUNCTION("""COMPUTED_VALUE"""),106.5)</f>
        <v>106.5</v>
      </c>
      <c r="I247" s="1">
        <f ca="1">IFERROR(__xludf.DUMMYFUNCTION("""COMPUTED_VALUE"""),249)</f>
        <v>249</v>
      </c>
      <c r="J247" s="1">
        <f ca="1">IFERROR(__xludf.DUMMYFUNCTION("""COMPUTED_VALUE"""),63.5)</f>
        <v>63.5</v>
      </c>
      <c r="K247" s="1">
        <f ca="1">IFERROR(__xludf.DUMMYFUNCTION("""COMPUTED_VALUE"""),258)</f>
        <v>258</v>
      </c>
      <c r="L247" s="1" t="str">
        <f ca="1">IFERROR(__xludf.DUMMYFUNCTION("""COMPUTED_VALUE"""),"+.010")</f>
        <v>+.010</v>
      </c>
      <c r="M247" s="1">
        <f ca="1">IFERROR(__xludf.DUMMYFUNCTION("""COMPUTED_VALUE"""),144)</f>
        <v>144</v>
      </c>
      <c r="N247" s="1" t="str">
        <f ca="1">IFERROR(__xludf.DUMMYFUNCTION("""COMPUTED_VALUE"""),"+3.12")</f>
        <v>+3.12</v>
      </c>
      <c r="O247" s="1">
        <f ca="1">IFERROR(__xludf.DUMMYFUNCTION("""COMPUTED_VALUE"""),97)</f>
        <v>97</v>
      </c>
      <c r="P247" s="1">
        <f ca="1">IFERROR(__xludf.DUMMYFUNCTION("""COMPUTED_VALUE"""),105.6)</f>
        <v>105.6</v>
      </c>
      <c r="Q247" s="1">
        <f ca="1">IFERROR(__xludf.DUMMYFUNCTION("""COMPUTED_VALUE"""),71)</f>
        <v>71</v>
      </c>
      <c r="R247" s="1">
        <f ca="1">IFERROR(__xludf.DUMMYFUNCTION("""COMPUTED_VALUE"""),102.5)</f>
        <v>102.5</v>
      </c>
      <c r="S247" s="1">
        <f ca="1">IFERROR(__xludf.DUMMYFUNCTION("""COMPUTED_VALUE"""),143)</f>
        <v>143</v>
      </c>
      <c r="T247" s="1" t="str">
        <f ca="1">IFERROR(__xludf.DUMMYFUNCTION("""COMPUTED_VALUE"""),"+1.80")</f>
        <v>+1.80</v>
      </c>
      <c r="U247" s="1">
        <f ca="1">IFERROR(__xludf.DUMMYFUNCTION("""COMPUTED_VALUE"""),111)</f>
        <v>111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IFERROR(__xludf.DUMMYFUNCTION("""COMPUTED_VALUE"""),"Montana St.")</f>
        <v>Montana St.</v>
      </c>
      <c r="C248" s="1" t="str">
        <f ca="1">IFERROR(__xludf.DUMMYFUNCTION("""COMPUTED_VALUE"""),"BSky")</f>
        <v>BSky</v>
      </c>
      <c r="D248" s="1" t="str">
        <f ca="1">IFERROR(__xludf.DUMMYFUNCTION("""COMPUTED_VALUE"""),"15-17")</f>
        <v>15-17</v>
      </c>
      <c r="E248" s="1">
        <f ca="1">IFERROR(__xludf.DUMMYFUNCTION("""COMPUTED_VALUE"""),-6.11)</f>
        <v>-6.11</v>
      </c>
      <c r="F248" s="1">
        <f ca="1">IFERROR(__xludf.DUMMYFUNCTION("""COMPUTED_VALUE"""),100.9)</f>
        <v>100.9</v>
      </c>
      <c r="G248" s="1">
        <f ca="1">IFERROR(__xludf.DUMMYFUNCTION("""COMPUTED_VALUE"""),211)</f>
        <v>211</v>
      </c>
      <c r="H248" s="1">
        <f ca="1">IFERROR(__xludf.DUMMYFUNCTION("""COMPUTED_VALUE"""),107)</f>
        <v>107</v>
      </c>
      <c r="I248" s="1">
        <f ca="1">IFERROR(__xludf.DUMMYFUNCTION("""COMPUTED_VALUE"""),260)</f>
        <v>260</v>
      </c>
      <c r="J248" s="1">
        <f ca="1">IFERROR(__xludf.DUMMYFUNCTION("""COMPUTED_VALUE"""),64.8)</f>
        <v>64.8</v>
      </c>
      <c r="K248" s="1">
        <f ca="1">IFERROR(__xludf.DUMMYFUNCTION("""COMPUTED_VALUE"""),194)</f>
        <v>194</v>
      </c>
      <c r="L248" s="1" t="str">
        <f ca="1">IFERROR(__xludf.DUMMYFUNCTION("""COMPUTED_VALUE"""),"+.058")</f>
        <v>+.058</v>
      </c>
      <c r="M248" s="1">
        <f ca="1">IFERROR(__xludf.DUMMYFUNCTION("""COMPUTED_VALUE"""),39)</f>
        <v>39</v>
      </c>
      <c r="N248" s="1">
        <f ca="1">IFERROR(__xludf.DUMMYFUNCTION("""COMPUTED_VALUE"""),-0.69)</f>
        <v>-0.69</v>
      </c>
      <c r="O248" s="1">
        <f ca="1">IFERROR(__xludf.DUMMYFUNCTION("""COMPUTED_VALUE"""),175)</f>
        <v>175</v>
      </c>
      <c r="P248" s="1">
        <f ca="1">IFERROR(__xludf.DUMMYFUNCTION("""COMPUTED_VALUE"""),103.4)</f>
        <v>103.4</v>
      </c>
      <c r="Q248" s="1">
        <f ca="1">IFERROR(__xludf.DUMMYFUNCTION("""COMPUTED_VALUE"""),143)</f>
        <v>143</v>
      </c>
      <c r="R248" s="1">
        <f ca="1">IFERROR(__xludf.DUMMYFUNCTION("""COMPUTED_VALUE"""),104.1)</f>
        <v>104.1</v>
      </c>
      <c r="S248" s="1">
        <f ca="1">IFERROR(__xludf.DUMMYFUNCTION("""COMPUTED_VALUE"""),212)</f>
        <v>212</v>
      </c>
      <c r="T248" s="1" t="str">
        <f ca="1">IFERROR(__xludf.DUMMYFUNCTION("""COMPUTED_VALUE"""),"+3.27")</f>
        <v>+3.27</v>
      </c>
      <c r="U248" s="1">
        <f ca="1">IFERROR(__xludf.DUMMYFUNCTION("""COMPUTED_VALUE"""),82)</f>
        <v>82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IFERROR(__xludf.DUMMYFUNCTION("""COMPUTED_VALUE"""),"Canisius")</f>
        <v>Canisius</v>
      </c>
      <c r="C249" s="1" t="str">
        <f ca="1">IFERROR(__xludf.DUMMYFUNCTION("""COMPUTED_VALUE"""),"MAAC")</f>
        <v>MAAC</v>
      </c>
      <c r="D249" s="2">
        <f ca="1">IFERROR(__xludf.DUMMYFUNCTION("""COMPUTED_VALUE"""),44885)</f>
        <v>44885</v>
      </c>
      <c r="E249" s="1">
        <f ca="1">IFERROR(__xludf.DUMMYFUNCTION("""COMPUTED_VALUE"""),-6.13)</f>
        <v>-6.13</v>
      </c>
      <c r="F249" s="1">
        <f ca="1">IFERROR(__xludf.DUMMYFUNCTION("""COMPUTED_VALUE"""),93.9)</f>
        <v>93.9</v>
      </c>
      <c r="G249" s="1">
        <f ca="1">IFERROR(__xludf.DUMMYFUNCTION("""COMPUTED_VALUE"""),300)</f>
        <v>300</v>
      </c>
      <c r="H249" s="1">
        <f ca="1">IFERROR(__xludf.DUMMYFUNCTION("""COMPUTED_VALUE"""),100)</f>
        <v>100</v>
      </c>
      <c r="I249" s="1">
        <f ca="1">IFERROR(__xludf.DUMMYFUNCTION("""COMPUTED_VALUE"""),111)</f>
        <v>111</v>
      </c>
      <c r="J249" s="1">
        <f ca="1">IFERROR(__xludf.DUMMYFUNCTION("""COMPUTED_VALUE"""),66.5)</f>
        <v>66.5</v>
      </c>
      <c r="K249" s="1">
        <f ca="1">IFERROR(__xludf.DUMMYFUNCTION("""COMPUTED_VALUE"""),117)</f>
        <v>117</v>
      </c>
      <c r="L249" s="1">
        <f ca="1">IFERROR(__xludf.DUMMYFUNCTION("""COMPUTED_VALUE"""),-0.018)</f>
        <v>-1.7999999999999999E-2</v>
      </c>
      <c r="M249" s="1">
        <f ca="1">IFERROR(__xludf.DUMMYFUNCTION("""COMPUTED_VALUE"""),224)</f>
        <v>224</v>
      </c>
      <c r="N249" s="1">
        <f ca="1">IFERROR(__xludf.DUMMYFUNCTION("""COMPUTED_VALUE"""),-0.64)</f>
        <v>-0.64</v>
      </c>
      <c r="O249" s="1">
        <f ca="1">IFERROR(__xludf.DUMMYFUNCTION("""COMPUTED_VALUE"""),174)</f>
        <v>174</v>
      </c>
      <c r="P249" s="1">
        <f ca="1">IFERROR(__xludf.DUMMYFUNCTION("""COMPUTED_VALUE"""),101.6)</f>
        <v>101.6</v>
      </c>
      <c r="Q249" s="1">
        <f ca="1">IFERROR(__xludf.DUMMYFUNCTION("""COMPUTED_VALUE"""),219)</f>
        <v>219</v>
      </c>
      <c r="R249" s="1">
        <f ca="1">IFERROR(__xludf.DUMMYFUNCTION("""COMPUTED_VALUE"""),102.2)</f>
        <v>102.2</v>
      </c>
      <c r="S249" s="1">
        <f ca="1">IFERROR(__xludf.DUMMYFUNCTION("""COMPUTED_VALUE"""),138)</f>
        <v>138</v>
      </c>
      <c r="T249" s="1">
        <f ca="1">IFERROR(__xludf.DUMMYFUNCTION("""COMPUTED_VALUE"""),-0.32)</f>
        <v>-0.32</v>
      </c>
      <c r="U249" s="1">
        <f ca="1">IFERROR(__xludf.DUMMYFUNCTION("""COMPUTED_VALUE"""),166)</f>
        <v>166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IFERROR(__xludf.DUMMYFUNCTION("""COMPUTED_VALUE"""),"Tennessee Tech")</f>
        <v>Tennessee Tech</v>
      </c>
      <c r="C250" s="1" t="str">
        <f ca="1">IFERROR(__xludf.DUMMYFUNCTION("""COMPUTED_VALUE"""),"OVC")</f>
        <v>OVC</v>
      </c>
      <c r="D250" s="2">
        <f ca="1">IFERROR(__xludf.DUMMYFUNCTION("""COMPUTED_VALUE"""),44913)</f>
        <v>44913</v>
      </c>
      <c r="E250" s="1">
        <f ca="1">IFERROR(__xludf.DUMMYFUNCTION("""COMPUTED_VALUE"""),-6.35)</f>
        <v>-6.35</v>
      </c>
      <c r="F250" s="1">
        <f ca="1">IFERROR(__xludf.DUMMYFUNCTION("""COMPUTED_VALUE"""),98.1)</f>
        <v>98.1</v>
      </c>
      <c r="G250" s="1">
        <f ca="1">IFERROR(__xludf.DUMMYFUNCTION("""COMPUTED_VALUE"""),246)</f>
        <v>246</v>
      </c>
      <c r="H250" s="1">
        <f ca="1">IFERROR(__xludf.DUMMYFUNCTION("""COMPUTED_VALUE"""),104.4)</f>
        <v>104.4</v>
      </c>
      <c r="I250" s="1">
        <f ca="1">IFERROR(__xludf.DUMMYFUNCTION("""COMPUTED_VALUE"""),207)</f>
        <v>207</v>
      </c>
      <c r="J250" s="1">
        <f ca="1">IFERROR(__xludf.DUMMYFUNCTION("""COMPUTED_VALUE"""),71.4)</f>
        <v>71.400000000000006</v>
      </c>
      <c r="K250" s="1">
        <f ca="1">IFERROR(__xludf.DUMMYFUNCTION("""COMPUTED_VALUE"""),13)</f>
        <v>13</v>
      </c>
      <c r="L250" s="1">
        <f ca="1">IFERROR(__xludf.DUMMYFUNCTION("""COMPUTED_VALUE"""),-0.078)</f>
        <v>-7.8E-2</v>
      </c>
      <c r="M250" s="1">
        <f ca="1">IFERROR(__xludf.DUMMYFUNCTION("""COMPUTED_VALUE"""),329)</f>
        <v>329</v>
      </c>
      <c r="N250" s="1">
        <f ca="1">IFERROR(__xludf.DUMMYFUNCTION("""COMPUTED_VALUE"""),-3.4)</f>
        <v>-3.4</v>
      </c>
      <c r="O250" s="1">
        <f ca="1">IFERROR(__xludf.DUMMYFUNCTION("""COMPUTED_VALUE"""),236)</f>
        <v>236</v>
      </c>
      <c r="P250" s="1">
        <f ca="1">IFERROR(__xludf.DUMMYFUNCTION("""COMPUTED_VALUE"""),103)</f>
        <v>103</v>
      </c>
      <c r="Q250" s="1">
        <f ca="1">IFERROR(__xludf.DUMMYFUNCTION("""COMPUTED_VALUE"""),161)</f>
        <v>161</v>
      </c>
      <c r="R250" s="1">
        <f ca="1">IFERROR(__xludf.DUMMYFUNCTION("""COMPUTED_VALUE"""),106.4)</f>
        <v>106.4</v>
      </c>
      <c r="S250" s="1">
        <f ca="1">IFERROR(__xludf.DUMMYFUNCTION("""COMPUTED_VALUE"""),313)</f>
        <v>313</v>
      </c>
      <c r="T250" s="1">
        <f ca="1">IFERROR(__xludf.DUMMYFUNCTION("""COMPUTED_VALUE"""),-1.05)</f>
        <v>-1.05</v>
      </c>
      <c r="U250" s="1">
        <f ca="1">IFERROR(__xludf.DUMMYFUNCTION("""COMPUTED_VALUE"""),186)</f>
        <v>186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IFERROR(__xludf.DUMMYFUNCTION("""COMPUTED_VALUE"""),"Northern Arizona")</f>
        <v>Northern Arizona</v>
      </c>
      <c r="C251" s="1" t="str">
        <f ca="1">IFERROR(__xludf.DUMMYFUNCTION("""COMPUTED_VALUE"""),"BSky")</f>
        <v>BSky</v>
      </c>
      <c r="D251" s="2">
        <f ca="1">IFERROR(__xludf.DUMMYFUNCTION("""COMPUTED_VALUE"""),44792)</f>
        <v>44792</v>
      </c>
      <c r="E251" s="1">
        <f ca="1">IFERROR(__xludf.DUMMYFUNCTION("""COMPUTED_VALUE"""),-6.47)</f>
        <v>-6.47</v>
      </c>
      <c r="F251" s="1">
        <f ca="1">IFERROR(__xludf.DUMMYFUNCTION("""COMPUTED_VALUE"""),101.8)</f>
        <v>101.8</v>
      </c>
      <c r="G251" s="1">
        <f ca="1">IFERROR(__xludf.DUMMYFUNCTION("""COMPUTED_VALUE"""),195)</f>
        <v>195</v>
      </c>
      <c r="H251" s="1">
        <f ca="1">IFERROR(__xludf.DUMMYFUNCTION("""COMPUTED_VALUE"""),108.3)</f>
        <v>108.3</v>
      </c>
      <c r="I251" s="1">
        <f ca="1">IFERROR(__xludf.DUMMYFUNCTION("""COMPUTED_VALUE"""),281)</f>
        <v>281</v>
      </c>
      <c r="J251" s="1">
        <f ca="1">IFERROR(__xludf.DUMMYFUNCTION("""COMPUTED_VALUE"""),62.2)</f>
        <v>62.2</v>
      </c>
      <c r="K251" s="1">
        <f ca="1">IFERROR(__xludf.DUMMYFUNCTION("""COMPUTED_VALUE"""),297)</f>
        <v>297</v>
      </c>
      <c r="L251" s="1">
        <f ca="1">IFERROR(__xludf.DUMMYFUNCTION("""COMPUTED_VALUE"""),-0.132)</f>
        <v>-0.13200000000000001</v>
      </c>
      <c r="M251" s="1">
        <f ca="1">IFERROR(__xludf.DUMMYFUNCTION("""COMPUTED_VALUE"""),344)</f>
        <v>344</v>
      </c>
      <c r="N251" s="1" t="str">
        <f ca="1">IFERROR(__xludf.DUMMYFUNCTION("""COMPUTED_VALUE"""),"+0.28")</f>
        <v>+0.28</v>
      </c>
      <c r="O251" s="1">
        <f ca="1">IFERROR(__xludf.DUMMYFUNCTION("""COMPUTED_VALUE"""),151)</f>
        <v>151</v>
      </c>
      <c r="P251" s="1">
        <f ca="1">IFERROR(__xludf.DUMMYFUNCTION("""COMPUTED_VALUE"""),104.3)</f>
        <v>104.3</v>
      </c>
      <c r="Q251" s="1">
        <f ca="1">IFERROR(__xludf.DUMMYFUNCTION("""COMPUTED_VALUE"""),106)</f>
        <v>106</v>
      </c>
      <c r="R251" s="1">
        <f ca="1">IFERROR(__xludf.DUMMYFUNCTION("""COMPUTED_VALUE"""),104)</f>
        <v>104</v>
      </c>
      <c r="S251" s="1">
        <f ca="1">IFERROR(__xludf.DUMMYFUNCTION("""COMPUTED_VALUE"""),206)</f>
        <v>206</v>
      </c>
      <c r="T251" s="1" t="str">
        <f ca="1">IFERROR(__xludf.DUMMYFUNCTION("""COMPUTED_VALUE"""),"+9.85")</f>
        <v>+9.85</v>
      </c>
      <c r="U251" s="1">
        <f ca="1">IFERROR(__xludf.DUMMYFUNCTION("""COMPUTED_VALUE"""),16)</f>
        <v>16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IFERROR(__xludf.DUMMYFUNCTION("""COMPUTED_VALUE"""),"Ball St.")</f>
        <v>Ball St.</v>
      </c>
      <c r="C252" s="1" t="str">
        <f ca="1">IFERROR(__xludf.DUMMYFUNCTION("""COMPUTED_VALUE"""),"MAC")</f>
        <v>MAC</v>
      </c>
      <c r="D252" s="1" t="str">
        <f ca="1">IFERROR(__xludf.DUMMYFUNCTION("""COMPUTED_VALUE"""),"14-17")</f>
        <v>14-17</v>
      </c>
      <c r="E252" s="1">
        <f ca="1">IFERROR(__xludf.DUMMYFUNCTION("""COMPUTED_VALUE"""),-6.5)</f>
        <v>-6.5</v>
      </c>
      <c r="F252" s="1">
        <f ca="1">IFERROR(__xludf.DUMMYFUNCTION("""COMPUTED_VALUE"""),95.2)</f>
        <v>95.2</v>
      </c>
      <c r="G252" s="1">
        <f ca="1">IFERROR(__xludf.DUMMYFUNCTION("""COMPUTED_VALUE"""),286)</f>
        <v>286</v>
      </c>
      <c r="H252" s="1">
        <f ca="1">IFERROR(__xludf.DUMMYFUNCTION("""COMPUTED_VALUE"""),101.7)</f>
        <v>101.7</v>
      </c>
      <c r="I252" s="1">
        <f ca="1">IFERROR(__xludf.DUMMYFUNCTION("""COMPUTED_VALUE"""),144)</f>
        <v>144</v>
      </c>
      <c r="J252" s="1">
        <f ca="1">IFERROR(__xludf.DUMMYFUNCTION("""COMPUTED_VALUE"""),60.6)</f>
        <v>60.6</v>
      </c>
      <c r="K252" s="1">
        <f ca="1">IFERROR(__xludf.DUMMYFUNCTION("""COMPUTED_VALUE"""),320)</f>
        <v>320</v>
      </c>
      <c r="L252" s="1" t="str">
        <f ca="1">IFERROR(__xludf.DUMMYFUNCTION("""COMPUTED_VALUE"""),"+.026")</f>
        <v>+.026</v>
      </c>
      <c r="M252" s="1">
        <f ca="1">IFERROR(__xludf.DUMMYFUNCTION("""COMPUTED_VALUE"""),101)</f>
        <v>101</v>
      </c>
      <c r="N252" s="1">
        <f ca="1">IFERROR(__xludf.DUMMYFUNCTION("""COMPUTED_VALUE"""),-4.45)</f>
        <v>-4.45</v>
      </c>
      <c r="O252" s="1">
        <f ca="1">IFERROR(__xludf.DUMMYFUNCTION("""COMPUTED_VALUE"""),257)</f>
        <v>257</v>
      </c>
      <c r="P252" s="1">
        <f ca="1">IFERROR(__xludf.DUMMYFUNCTION("""COMPUTED_VALUE"""),99)</f>
        <v>99</v>
      </c>
      <c r="Q252" s="1">
        <f ca="1">IFERROR(__xludf.DUMMYFUNCTION("""COMPUTED_VALUE"""),289)</f>
        <v>289</v>
      </c>
      <c r="R252" s="1">
        <f ca="1">IFERROR(__xludf.DUMMYFUNCTION("""COMPUTED_VALUE"""),103.5)</f>
        <v>103.5</v>
      </c>
      <c r="S252" s="1">
        <f ca="1">IFERROR(__xludf.DUMMYFUNCTION("""COMPUTED_VALUE"""),187)</f>
        <v>187</v>
      </c>
      <c r="T252" s="1">
        <f ca="1">IFERROR(__xludf.DUMMYFUNCTION("""COMPUTED_VALUE"""),-2.2)</f>
        <v>-2.2000000000000002</v>
      </c>
      <c r="U252" s="1">
        <f ca="1">IFERROR(__xludf.DUMMYFUNCTION("""COMPUTED_VALUE"""),211)</f>
        <v>211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IFERROR(__xludf.DUMMYFUNCTION("""COMPUTED_VALUE"""),"Western Carolina")</f>
        <v>Western Carolina</v>
      </c>
      <c r="C255" s="1" t="str">
        <f ca="1">IFERROR(__xludf.DUMMYFUNCTION("""COMPUTED_VALUE"""),"SC")</f>
        <v>SC</v>
      </c>
      <c r="D255" s="1" t="str">
        <f ca="1">IFERROR(__xludf.DUMMYFUNCTION("""COMPUTED_VALUE"""),"16-15")</f>
        <v>16-15</v>
      </c>
      <c r="E255" s="1">
        <f ca="1">IFERROR(__xludf.DUMMYFUNCTION("""COMPUTED_VALUE"""),-6.58)</f>
        <v>-6.58</v>
      </c>
      <c r="F255" s="1">
        <f ca="1">IFERROR(__xludf.DUMMYFUNCTION("""COMPUTED_VALUE"""),100.7)</f>
        <v>100.7</v>
      </c>
      <c r="G255" s="1">
        <f ca="1">IFERROR(__xludf.DUMMYFUNCTION("""COMPUTED_VALUE"""),212)</f>
        <v>212</v>
      </c>
      <c r="H255" s="1">
        <f ca="1">IFERROR(__xludf.DUMMYFUNCTION("""COMPUTED_VALUE"""),107.3)</f>
        <v>107.3</v>
      </c>
      <c r="I255" s="1">
        <f ca="1">IFERROR(__xludf.DUMMYFUNCTION("""COMPUTED_VALUE"""),262)</f>
        <v>262</v>
      </c>
      <c r="J255" s="1">
        <f ca="1">IFERROR(__xludf.DUMMYFUNCTION("""COMPUTED_VALUE"""),67.7)</f>
        <v>67.7</v>
      </c>
      <c r="K255" s="1">
        <f ca="1">IFERROR(__xludf.DUMMYFUNCTION("""COMPUTED_VALUE"""),73)</f>
        <v>73</v>
      </c>
      <c r="L255" s="1" t="str">
        <f ca="1">IFERROR(__xludf.DUMMYFUNCTION("""COMPUTED_VALUE"""),"+.051")</f>
        <v>+.051</v>
      </c>
      <c r="M255" s="1">
        <f ca="1">IFERROR(__xludf.DUMMYFUNCTION("""COMPUTED_VALUE"""),53)</f>
        <v>53</v>
      </c>
      <c r="N255" s="1">
        <f ca="1">IFERROR(__xludf.DUMMYFUNCTION("""COMPUTED_VALUE"""),-4.92)</f>
        <v>-4.92</v>
      </c>
      <c r="O255" s="1">
        <f ca="1">IFERROR(__xludf.DUMMYFUNCTION("""COMPUTED_VALUE"""),268)</f>
        <v>268</v>
      </c>
      <c r="P255" s="1">
        <f ca="1">IFERROR(__xludf.DUMMYFUNCTION("""COMPUTED_VALUE"""),101.9)</f>
        <v>101.9</v>
      </c>
      <c r="Q255" s="1">
        <f ca="1">IFERROR(__xludf.DUMMYFUNCTION("""COMPUTED_VALUE"""),213)</f>
        <v>213</v>
      </c>
      <c r="R255" s="1">
        <f ca="1">IFERROR(__xludf.DUMMYFUNCTION("""COMPUTED_VALUE"""),106.8)</f>
        <v>106.8</v>
      </c>
      <c r="S255" s="1">
        <f ca="1">IFERROR(__xludf.DUMMYFUNCTION("""COMPUTED_VALUE"""),328)</f>
        <v>328</v>
      </c>
      <c r="T255" s="1" t="str">
        <f ca="1">IFERROR(__xludf.DUMMYFUNCTION("""COMPUTED_VALUE"""),"+5.69")</f>
        <v>+5.69</v>
      </c>
      <c r="U255" s="1">
        <f ca="1">IFERROR(__xludf.DUMMYFUNCTION("""COMPUTED_VALUE"""),46)</f>
        <v>46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IFERROR(__xludf.DUMMYFUNCTION("""COMPUTED_VALUE"""),"Campbell")</f>
        <v>Campbell</v>
      </c>
      <c r="C256" s="1" t="str">
        <f ca="1">IFERROR(__xludf.DUMMYFUNCTION("""COMPUTED_VALUE"""),"ASun")</f>
        <v>ASun</v>
      </c>
      <c r="D256" s="1" t="str">
        <f ca="1">IFERROR(__xludf.DUMMYFUNCTION("""COMPUTED_VALUE"""),"14-16")</f>
        <v>14-16</v>
      </c>
      <c r="E256" s="1">
        <f ca="1">IFERROR(__xludf.DUMMYFUNCTION("""COMPUTED_VALUE"""),-6.61)</f>
        <v>-6.61</v>
      </c>
      <c r="F256" s="1">
        <f ca="1">IFERROR(__xludf.DUMMYFUNCTION("""COMPUTED_VALUE"""),96)</f>
        <v>96</v>
      </c>
      <c r="G256" s="1">
        <f ca="1">IFERROR(__xludf.DUMMYFUNCTION("""COMPUTED_VALUE"""),276)</f>
        <v>276</v>
      </c>
      <c r="H256" s="1">
        <f ca="1">IFERROR(__xludf.DUMMYFUNCTION("""COMPUTED_VALUE"""),102.6)</f>
        <v>102.6</v>
      </c>
      <c r="I256" s="1">
        <f ca="1">IFERROR(__xludf.DUMMYFUNCTION("""COMPUTED_VALUE"""),169)</f>
        <v>169</v>
      </c>
      <c r="J256" s="1">
        <f ca="1">IFERROR(__xludf.DUMMYFUNCTION("""COMPUTED_VALUE"""),68.7)</f>
        <v>68.7</v>
      </c>
      <c r="K256" s="1">
        <f ca="1">IFERROR(__xludf.DUMMYFUNCTION("""COMPUTED_VALUE"""),49)</f>
        <v>49</v>
      </c>
      <c r="L256" s="1">
        <f ca="1">IFERROR(__xludf.DUMMYFUNCTION("""COMPUTED_VALUE"""),-0.053)</f>
        <v>-5.2999999999999999E-2</v>
      </c>
      <c r="M256" s="1">
        <f ca="1">IFERROR(__xludf.DUMMYFUNCTION("""COMPUTED_VALUE"""),300)</f>
        <v>300</v>
      </c>
      <c r="N256" s="1">
        <f ca="1">IFERROR(__xludf.DUMMYFUNCTION("""COMPUTED_VALUE"""),-5.94)</f>
        <v>-5.94</v>
      </c>
      <c r="O256" s="1">
        <f ca="1">IFERROR(__xludf.DUMMYFUNCTION("""COMPUTED_VALUE"""),288)</f>
        <v>288</v>
      </c>
      <c r="P256" s="1">
        <f ca="1">IFERROR(__xludf.DUMMYFUNCTION("""COMPUTED_VALUE"""),101)</f>
        <v>101</v>
      </c>
      <c r="Q256" s="1">
        <f ca="1">IFERROR(__xludf.DUMMYFUNCTION("""COMPUTED_VALUE"""),242)</f>
        <v>242</v>
      </c>
      <c r="R256" s="1">
        <f ca="1">IFERROR(__xludf.DUMMYFUNCTION("""COMPUTED_VALUE"""),106.9)</f>
        <v>106.9</v>
      </c>
      <c r="S256" s="1">
        <f ca="1">IFERROR(__xludf.DUMMYFUNCTION("""COMPUTED_VALUE"""),330)</f>
        <v>330</v>
      </c>
      <c r="T256" s="1">
        <f ca="1">IFERROR(__xludf.DUMMYFUNCTION("""COMPUTED_VALUE"""),-5.18)</f>
        <v>-5.18</v>
      </c>
      <c r="U256" s="1">
        <f ca="1">IFERROR(__xludf.DUMMYFUNCTION("""COMPUTED_VALUE"""),284)</f>
        <v>284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IFERROR(__xludf.DUMMYFUNCTION("""COMPUTED_VALUE"""),"LIU Brooklyn")</f>
        <v>LIU Brooklyn</v>
      </c>
      <c r="C257" s="1" t="str">
        <f ca="1">IFERROR(__xludf.DUMMYFUNCTION("""COMPUTED_VALUE"""),"NEC")</f>
        <v>NEC</v>
      </c>
      <c r="D257" s="1" t="str">
        <f ca="1">IFERROR(__xludf.DUMMYFUNCTION("""COMPUTED_VALUE"""),"16-14")</f>
        <v>16-14</v>
      </c>
      <c r="E257" s="1">
        <f ca="1">IFERROR(__xludf.DUMMYFUNCTION("""COMPUTED_VALUE"""),-6.74)</f>
        <v>-6.74</v>
      </c>
      <c r="F257" s="1">
        <f ca="1">IFERROR(__xludf.DUMMYFUNCTION("""COMPUTED_VALUE"""),100.6)</f>
        <v>100.6</v>
      </c>
      <c r="G257" s="1">
        <f ca="1">IFERROR(__xludf.DUMMYFUNCTION("""COMPUTED_VALUE"""),215)</f>
        <v>215</v>
      </c>
      <c r="H257" s="1">
        <f ca="1">IFERROR(__xludf.DUMMYFUNCTION("""COMPUTED_VALUE"""),107.4)</f>
        <v>107.4</v>
      </c>
      <c r="I257" s="1">
        <f ca="1">IFERROR(__xludf.DUMMYFUNCTION("""COMPUTED_VALUE"""),263)</f>
        <v>263</v>
      </c>
      <c r="J257" s="1">
        <f ca="1">IFERROR(__xludf.DUMMYFUNCTION("""COMPUTED_VALUE"""),67.4)</f>
        <v>67.400000000000006</v>
      </c>
      <c r="K257" s="1">
        <f ca="1">IFERROR(__xludf.DUMMYFUNCTION("""COMPUTED_VALUE"""),83)</f>
        <v>83</v>
      </c>
      <c r="L257" s="1">
        <f ca="1">IFERROR(__xludf.DUMMYFUNCTION("""COMPUTED_VALUE"""),-0.035)</f>
        <v>-3.5000000000000003E-2</v>
      </c>
      <c r="M257" s="1">
        <f ca="1">IFERROR(__xludf.DUMMYFUNCTION("""COMPUTED_VALUE"""),271)</f>
        <v>271</v>
      </c>
      <c r="N257" s="1">
        <f ca="1">IFERROR(__xludf.DUMMYFUNCTION("""COMPUTED_VALUE"""),-10.91)</f>
        <v>-10.91</v>
      </c>
      <c r="O257" s="1">
        <f ca="1">IFERROR(__xludf.DUMMYFUNCTION("""COMPUTED_VALUE"""),337)</f>
        <v>337</v>
      </c>
      <c r="P257" s="1">
        <f ca="1">IFERROR(__xludf.DUMMYFUNCTION("""COMPUTED_VALUE"""),96.3)</f>
        <v>96.3</v>
      </c>
      <c r="Q257" s="1">
        <f ca="1">IFERROR(__xludf.DUMMYFUNCTION("""COMPUTED_VALUE"""),332)</f>
        <v>332</v>
      </c>
      <c r="R257" s="1">
        <f ca="1">IFERROR(__xludf.DUMMYFUNCTION("""COMPUTED_VALUE"""),107.2)</f>
        <v>107.2</v>
      </c>
      <c r="S257" s="1">
        <f ca="1">IFERROR(__xludf.DUMMYFUNCTION("""COMPUTED_VALUE"""),335)</f>
        <v>335</v>
      </c>
      <c r="T257" s="1">
        <f ca="1">IFERROR(__xludf.DUMMYFUNCTION("""COMPUTED_VALUE"""),-8.17)</f>
        <v>-8.17</v>
      </c>
      <c r="U257" s="1">
        <f ca="1">IFERROR(__xludf.DUMMYFUNCTION("""COMPUTED_VALUE"""),322)</f>
        <v>322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IFERROR(__xludf.DUMMYFUNCTION("""COMPUTED_VALUE"""),"San Francisco")</f>
        <v>San Francisco</v>
      </c>
      <c r="C258" s="1" t="str">
        <f ca="1">IFERROR(__xludf.DUMMYFUNCTION("""COMPUTED_VALUE"""),"WCC")</f>
        <v>WCC</v>
      </c>
      <c r="D258" s="2">
        <f ca="1">IFERROR(__xludf.DUMMYFUNCTION("""COMPUTED_VALUE"""),44884)</f>
        <v>44884</v>
      </c>
      <c r="E258" s="1">
        <f ca="1">IFERROR(__xludf.DUMMYFUNCTION("""COMPUTED_VALUE"""),-6.93)</f>
        <v>-6.93</v>
      </c>
      <c r="F258" s="1">
        <f ca="1">IFERROR(__xludf.DUMMYFUNCTION("""COMPUTED_VALUE"""),104.1)</f>
        <v>104.1</v>
      </c>
      <c r="G258" s="1">
        <f ca="1">IFERROR(__xludf.DUMMYFUNCTION("""COMPUTED_VALUE"""),146)</f>
        <v>146</v>
      </c>
      <c r="H258" s="1">
        <f ca="1">IFERROR(__xludf.DUMMYFUNCTION("""COMPUTED_VALUE"""),111)</f>
        <v>111</v>
      </c>
      <c r="I258" s="1">
        <f ca="1">IFERROR(__xludf.DUMMYFUNCTION("""COMPUTED_VALUE"""),312)</f>
        <v>312</v>
      </c>
      <c r="J258" s="1">
        <f ca="1">IFERROR(__xludf.DUMMYFUNCTION("""COMPUTED_VALUE"""),64.6)</f>
        <v>64.599999999999994</v>
      </c>
      <c r="K258" s="1">
        <f ca="1">IFERROR(__xludf.DUMMYFUNCTION("""COMPUTED_VALUE"""),208)</f>
        <v>208</v>
      </c>
      <c r="L258" s="1" t="str">
        <f ca="1">IFERROR(__xludf.DUMMYFUNCTION("""COMPUTED_VALUE"""),"+.033")</f>
        <v>+.033</v>
      </c>
      <c r="M258" s="1">
        <f ca="1">IFERROR(__xludf.DUMMYFUNCTION("""COMPUTED_VALUE"""),81)</f>
        <v>81</v>
      </c>
      <c r="N258" s="1" t="str">
        <f ca="1">IFERROR(__xludf.DUMMYFUNCTION("""COMPUTED_VALUE"""),"+1.88")</f>
        <v>+1.88</v>
      </c>
      <c r="O258" s="1">
        <f ca="1">IFERROR(__xludf.DUMMYFUNCTION("""COMPUTED_VALUE"""),114)</f>
        <v>114</v>
      </c>
      <c r="P258" s="1">
        <f ca="1">IFERROR(__xludf.DUMMYFUNCTION("""COMPUTED_VALUE"""),103.4)</f>
        <v>103.4</v>
      </c>
      <c r="Q258" s="1">
        <f ca="1">IFERROR(__xludf.DUMMYFUNCTION("""COMPUTED_VALUE"""),145)</f>
        <v>145</v>
      </c>
      <c r="R258" s="1">
        <f ca="1">IFERROR(__xludf.DUMMYFUNCTION("""COMPUTED_VALUE"""),101.5)</f>
        <v>101.5</v>
      </c>
      <c r="S258" s="1">
        <f ca="1">IFERROR(__xludf.DUMMYFUNCTION("""COMPUTED_VALUE"""),108)</f>
        <v>108</v>
      </c>
      <c r="T258" s="1" t="str">
        <f ca="1">IFERROR(__xludf.DUMMYFUNCTION("""COMPUTED_VALUE"""),"+3.72")</f>
        <v>+3.72</v>
      </c>
      <c r="U258" s="1">
        <f ca="1">IFERROR(__xludf.DUMMYFUNCTION("""COMPUTED_VALUE"""),72)</f>
        <v>72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IFERROR(__xludf.DUMMYFUNCTION("""COMPUTED_VALUE"""),"Yale")</f>
        <v>Yale</v>
      </c>
      <c r="C259" s="1" t="str">
        <f ca="1">IFERROR(__xludf.DUMMYFUNCTION("""COMPUTED_VALUE"""),"Ivy")</f>
        <v>Ivy</v>
      </c>
      <c r="D259" s="1" t="str">
        <f ca="1">IFERROR(__xludf.DUMMYFUNCTION("""COMPUTED_VALUE"""),"13-15")</f>
        <v>13-15</v>
      </c>
      <c r="E259" s="1">
        <f ca="1">IFERROR(__xludf.DUMMYFUNCTION("""COMPUTED_VALUE"""),-6.95)</f>
        <v>-6.95</v>
      </c>
      <c r="F259" s="1">
        <f ca="1">IFERROR(__xludf.DUMMYFUNCTION("""COMPUTED_VALUE"""),95.3)</f>
        <v>95.3</v>
      </c>
      <c r="G259" s="1">
        <f ca="1">IFERROR(__xludf.DUMMYFUNCTION("""COMPUTED_VALUE"""),285)</f>
        <v>285</v>
      </c>
      <c r="H259" s="1">
        <f ca="1">IFERROR(__xludf.DUMMYFUNCTION("""COMPUTED_VALUE"""),102.2)</f>
        <v>102.2</v>
      </c>
      <c r="I259" s="1">
        <f ca="1">IFERROR(__xludf.DUMMYFUNCTION("""COMPUTED_VALUE"""),158)</f>
        <v>158</v>
      </c>
      <c r="J259" s="1">
        <f ca="1">IFERROR(__xludf.DUMMYFUNCTION("""COMPUTED_VALUE"""),65.4)</f>
        <v>65.400000000000006</v>
      </c>
      <c r="K259" s="1">
        <f ca="1">IFERROR(__xludf.DUMMYFUNCTION("""COMPUTED_VALUE"""),161)</f>
        <v>161</v>
      </c>
      <c r="L259" s="1">
        <f ca="1">IFERROR(__xludf.DUMMYFUNCTION("""COMPUTED_VALUE"""),-0.015)</f>
        <v>-1.4999999999999999E-2</v>
      </c>
      <c r="M259" s="1">
        <f ca="1">IFERROR(__xludf.DUMMYFUNCTION("""COMPUTED_VALUE"""),209)</f>
        <v>209</v>
      </c>
      <c r="N259" s="1">
        <f ca="1">IFERROR(__xludf.DUMMYFUNCTION("""COMPUTED_VALUE"""),-5.77)</f>
        <v>-5.77</v>
      </c>
      <c r="O259" s="1">
        <f ca="1">IFERROR(__xludf.DUMMYFUNCTION("""COMPUTED_VALUE"""),284)</f>
        <v>284</v>
      </c>
      <c r="P259" s="1">
        <f ca="1">IFERROR(__xludf.DUMMYFUNCTION("""COMPUTED_VALUE"""),98.7)</f>
        <v>98.7</v>
      </c>
      <c r="Q259" s="1">
        <f ca="1">IFERROR(__xludf.DUMMYFUNCTION("""COMPUTED_VALUE"""),295)</f>
        <v>295</v>
      </c>
      <c r="R259" s="1">
        <f ca="1">IFERROR(__xludf.DUMMYFUNCTION("""COMPUTED_VALUE"""),104.5)</f>
        <v>104.5</v>
      </c>
      <c r="S259" s="1">
        <f ca="1">IFERROR(__xludf.DUMMYFUNCTION("""COMPUTED_VALUE"""),227)</f>
        <v>227</v>
      </c>
      <c r="T259" s="1">
        <f ca="1">IFERROR(__xludf.DUMMYFUNCTION("""COMPUTED_VALUE"""),-0.95)</f>
        <v>-0.95</v>
      </c>
      <c r="U259" s="1">
        <f ca="1">IFERROR(__xludf.DUMMYFUNCTION("""COMPUTED_VALUE"""),185)</f>
        <v>185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IFERROR(__xludf.DUMMYFUNCTION("""COMPUTED_VALUE"""),"Albany")</f>
        <v>Albany</v>
      </c>
      <c r="C260" s="1" t="str">
        <f ca="1">IFERROR(__xludf.DUMMYFUNCTION("""COMPUTED_VALUE"""),"AE")</f>
        <v>AE</v>
      </c>
      <c r="D260" s="1" t="str">
        <f ca="1">IFERROR(__xludf.DUMMYFUNCTION("""COMPUTED_VALUE"""),"15-16")</f>
        <v>15-16</v>
      </c>
      <c r="E260" s="1">
        <f ca="1">IFERROR(__xludf.DUMMYFUNCTION("""COMPUTED_VALUE"""),-6.99)</f>
        <v>-6.99</v>
      </c>
      <c r="F260" s="1">
        <f ca="1">IFERROR(__xludf.DUMMYFUNCTION("""COMPUTED_VALUE"""),97.3)</f>
        <v>97.3</v>
      </c>
      <c r="G260" s="1">
        <f ca="1">IFERROR(__xludf.DUMMYFUNCTION("""COMPUTED_VALUE"""),261)</f>
        <v>261</v>
      </c>
      <c r="H260" s="1">
        <f ca="1">IFERROR(__xludf.DUMMYFUNCTION("""COMPUTED_VALUE"""),104.3)</f>
        <v>104.3</v>
      </c>
      <c r="I260" s="1">
        <f ca="1">IFERROR(__xludf.DUMMYFUNCTION("""COMPUTED_VALUE"""),199)</f>
        <v>199</v>
      </c>
      <c r="J260" s="1">
        <f ca="1">IFERROR(__xludf.DUMMYFUNCTION("""COMPUTED_VALUE"""),64.3)</f>
        <v>64.3</v>
      </c>
      <c r="K260" s="1">
        <f ca="1">IFERROR(__xludf.DUMMYFUNCTION("""COMPUTED_VALUE"""),217)</f>
        <v>217</v>
      </c>
      <c r="L260" s="1" t="str">
        <f ca="1">IFERROR(__xludf.DUMMYFUNCTION("""COMPUTED_VALUE"""),"+.046")</f>
        <v>+.046</v>
      </c>
      <c r="M260" s="1">
        <f ca="1">IFERROR(__xludf.DUMMYFUNCTION("""COMPUTED_VALUE"""),59)</f>
        <v>59</v>
      </c>
      <c r="N260" s="1">
        <f ca="1">IFERROR(__xludf.DUMMYFUNCTION("""COMPUTED_VALUE"""),-4.91)</f>
        <v>-4.91</v>
      </c>
      <c r="O260" s="1">
        <f ca="1">IFERROR(__xludf.DUMMYFUNCTION("""COMPUTED_VALUE"""),267)</f>
        <v>267</v>
      </c>
      <c r="P260" s="1">
        <f ca="1">IFERROR(__xludf.DUMMYFUNCTION("""COMPUTED_VALUE"""),100.3)</f>
        <v>100.3</v>
      </c>
      <c r="Q260" s="1">
        <f ca="1">IFERROR(__xludf.DUMMYFUNCTION("""COMPUTED_VALUE"""),266)</f>
        <v>266</v>
      </c>
      <c r="R260" s="1">
        <f ca="1">IFERROR(__xludf.DUMMYFUNCTION("""COMPUTED_VALUE"""),105.2)</f>
        <v>105.2</v>
      </c>
      <c r="S260" s="1">
        <f ca="1">IFERROR(__xludf.DUMMYFUNCTION("""COMPUTED_VALUE"""),254)</f>
        <v>254</v>
      </c>
      <c r="T260" s="1">
        <f ca="1">IFERROR(__xludf.DUMMYFUNCTION("""COMPUTED_VALUE"""),-3.46)</f>
        <v>-3.46</v>
      </c>
      <c r="U260" s="1">
        <f ca="1">IFERROR(__xludf.DUMMYFUNCTION("""COMPUTED_VALUE"""),244)</f>
        <v>244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IFERROR(__xludf.DUMMYFUNCTION("""COMPUTED_VALUE"""),"Jackson St.")</f>
        <v>Jackson St.</v>
      </c>
      <c r="C261" s="1" t="str">
        <f ca="1">IFERROR(__xludf.DUMMYFUNCTION("""COMPUTED_VALUE"""),"SWAC")</f>
        <v>SWAC</v>
      </c>
      <c r="D261" s="1" t="str">
        <f ca="1">IFERROR(__xludf.DUMMYFUNCTION("""COMPUTED_VALUE"""),"18-15")</f>
        <v>18-15</v>
      </c>
      <c r="E261" s="1">
        <f ca="1">IFERROR(__xludf.DUMMYFUNCTION("""COMPUTED_VALUE"""),-7.1)</f>
        <v>-7.1</v>
      </c>
      <c r="F261" s="1">
        <f ca="1">IFERROR(__xludf.DUMMYFUNCTION("""COMPUTED_VALUE"""),98.1)</f>
        <v>98.1</v>
      </c>
      <c r="G261" s="1">
        <f ca="1">IFERROR(__xludf.DUMMYFUNCTION("""COMPUTED_VALUE"""),247)</f>
        <v>247</v>
      </c>
      <c r="H261" s="1">
        <f ca="1">IFERROR(__xludf.DUMMYFUNCTION("""COMPUTED_VALUE"""),105.2)</f>
        <v>105.2</v>
      </c>
      <c r="I261" s="1">
        <f ca="1">IFERROR(__xludf.DUMMYFUNCTION("""COMPUTED_VALUE"""),222)</f>
        <v>222</v>
      </c>
      <c r="J261" s="1">
        <f ca="1">IFERROR(__xludf.DUMMYFUNCTION("""COMPUTED_VALUE"""),67.8)</f>
        <v>67.8</v>
      </c>
      <c r="K261" s="1">
        <f ca="1">IFERROR(__xludf.DUMMYFUNCTION("""COMPUTED_VALUE"""),69)</f>
        <v>69</v>
      </c>
      <c r="L261" s="1" t="str">
        <f ca="1">IFERROR(__xludf.DUMMYFUNCTION("""COMPUTED_VALUE"""),"+.059")</f>
        <v>+.059</v>
      </c>
      <c r="M261" s="1">
        <f ca="1">IFERROR(__xludf.DUMMYFUNCTION("""COMPUTED_VALUE"""),38)</f>
        <v>38</v>
      </c>
      <c r="N261" s="1">
        <f ca="1">IFERROR(__xludf.DUMMYFUNCTION("""COMPUTED_VALUE"""),-8.5)</f>
        <v>-8.5</v>
      </c>
      <c r="O261" s="1">
        <f ca="1">IFERROR(__xludf.DUMMYFUNCTION("""COMPUTED_VALUE"""),318)</f>
        <v>318</v>
      </c>
      <c r="P261" s="1">
        <f ca="1">IFERROR(__xludf.DUMMYFUNCTION("""COMPUTED_VALUE"""),97.6)</f>
        <v>97.6</v>
      </c>
      <c r="Q261" s="1">
        <f ca="1">IFERROR(__xludf.DUMMYFUNCTION("""COMPUTED_VALUE"""),320)</f>
        <v>320</v>
      </c>
      <c r="R261" s="1">
        <f ca="1">IFERROR(__xludf.DUMMYFUNCTION("""COMPUTED_VALUE"""),106.1)</f>
        <v>106.1</v>
      </c>
      <c r="S261" s="1">
        <f ca="1">IFERROR(__xludf.DUMMYFUNCTION("""COMPUTED_VALUE"""),305)</f>
        <v>305</v>
      </c>
      <c r="T261" s="1" t="str">
        <f ca="1">IFERROR(__xludf.DUMMYFUNCTION("""COMPUTED_VALUE"""),"+13.97")</f>
        <v>+13.97</v>
      </c>
      <c r="U261" s="1">
        <f ca="1">IFERROR(__xludf.DUMMYFUNCTION("""COMPUTED_VALUE"""),3)</f>
        <v>3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IFERROR(__xludf.DUMMYFUNCTION("""COMPUTED_VALUE"""),"Western Michigan")</f>
        <v>Western Michigan</v>
      </c>
      <c r="C262" s="1" t="str">
        <f ca="1">IFERROR(__xludf.DUMMYFUNCTION("""COMPUTED_VALUE"""),"MAC")</f>
        <v>MAC</v>
      </c>
      <c r="D262" s="2">
        <f ca="1">IFERROR(__xludf.DUMMYFUNCTION("""COMPUTED_VALUE"""),44855)</f>
        <v>44855</v>
      </c>
      <c r="E262" s="1">
        <f ca="1">IFERROR(__xludf.DUMMYFUNCTION("""COMPUTED_VALUE"""),-7.26)</f>
        <v>-7.26</v>
      </c>
      <c r="F262" s="1">
        <f ca="1">IFERROR(__xludf.DUMMYFUNCTION("""COMPUTED_VALUE"""),98.3)</f>
        <v>98.3</v>
      </c>
      <c r="G262" s="1">
        <f ca="1">IFERROR(__xludf.DUMMYFUNCTION("""COMPUTED_VALUE"""),244)</f>
        <v>244</v>
      </c>
      <c r="H262" s="1">
        <f ca="1">IFERROR(__xludf.DUMMYFUNCTION("""COMPUTED_VALUE"""),105.6)</f>
        <v>105.6</v>
      </c>
      <c r="I262" s="1">
        <f ca="1">IFERROR(__xludf.DUMMYFUNCTION("""COMPUTED_VALUE"""),229)</f>
        <v>229</v>
      </c>
      <c r="J262" s="1">
        <f ca="1">IFERROR(__xludf.DUMMYFUNCTION("""COMPUTED_VALUE"""),63.6)</f>
        <v>63.6</v>
      </c>
      <c r="K262" s="1">
        <f ca="1">IFERROR(__xludf.DUMMYFUNCTION("""COMPUTED_VALUE"""),252)</f>
        <v>252</v>
      </c>
      <c r="L262" s="1">
        <f ca="1">IFERROR(__xludf.DUMMYFUNCTION("""COMPUTED_VALUE"""),-0.087)</f>
        <v>-8.6999999999999994E-2</v>
      </c>
      <c r="M262" s="1">
        <f ca="1">IFERROR(__xludf.DUMMYFUNCTION("""COMPUTED_VALUE"""),330)</f>
        <v>330</v>
      </c>
      <c r="N262" s="1">
        <f ca="1">IFERROR(__xludf.DUMMYFUNCTION("""COMPUTED_VALUE"""),-3.95)</f>
        <v>-3.95</v>
      </c>
      <c r="O262" s="1">
        <f ca="1">IFERROR(__xludf.DUMMYFUNCTION("""COMPUTED_VALUE"""),249)</f>
        <v>249</v>
      </c>
      <c r="P262" s="1">
        <f ca="1">IFERROR(__xludf.DUMMYFUNCTION("""COMPUTED_VALUE"""),98.9)</f>
        <v>98.9</v>
      </c>
      <c r="Q262" s="1">
        <f ca="1">IFERROR(__xludf.DUMMYFUNCTION("""COMPUTED_VALUE"""),292)</f>
        <v>292</v>
      </c>
      <c r="R262" s="1">
        <f ca="1">IFERROR(__xludf.DUMMYFUNCTION("""COMPUTED_VALUE"""),102.8)</f>
        <v>102.8</v>
      </c>
      <c r="S262" s="1">
        <f ca="1">IFERROR(__xludf.DUMMYFUNCTION("""COMPUTED_VALUE"""),163)</f>
        <v>163</v>
      </c>
      <c r="T262" s="1">
        <f ca="1">IFERROR(__xludf.DUMMYFUNCTION("""COMPUTED_VALUE"""),-1.37)</f>
        <v>-1.37</v>
      </c>
      <c r="U262" s="1">
        <f ca="1">IFERROR(__xludf.DUMMYFUNCTION("""COMPUTED_VALUE"""),192)</f>
        <v>192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IFERROR(__xludf.DUMMYFUNCTION("""COMPUTED_VALUE"""),"Centenary")</f>
        <v>Centenary</v>
      </c>
      <c r="C263" s="1" t="str">
        <f ca="1">IFERROR(__xludf.DUMMYFUNCTION("""COMPUTED_VALUE"""),"Sum")</f>
        <v>Sum</v>
      </c>
      <c r="D263" s="2">
        <f ca="1">IFERROR(__xludf.DUMMYFUNCTION("""COMPUTED_VALUE"""),44796)</f>
        <v>44796</v>
      </c>
      <c r="E263" s="1">
        <f ca="1">IFERROR(__xludf.DUMMYFUNCTION("""COMPUTED_VALUE"""),-7.3)</f>
        <v>-7.3</v>
      </c>
      <c r="F263" s="1">
        <f ca="1">IFERROR(__xludf.DUMMYFUNCTION("""COMPUTED_VALUE"""),95.9)</f>
        <v>95.9</v>
      </c>
      <c r="G263" s="1">
        <f ca="1">IFERROR(__xludf.DUMMYFUNCTION("""COMPUTED_VALUE"""),281)</f>
        <v>281</v>
      </c>
      <c r="H263" s="1">
        <f ca="1">IFERROR(__xludf.DUMMYFUNCTION("""COMPUTED_VALUE"""),103.2)</f>
        <v>103.2</v>
      </c>
      <c r="I263" s="1">
        <f ca="1">IFERROR(__xludf.DUMMYFUNCTION("""COMPUTED_VALUE"""),177)</f>
        <v>177</v>
      </c>
      <c r="J263" s="1">
        <f ca="1">IFERROR(__xludf.DUMMYFUNCTION("""COMPUTED_VALUE"""),66)</f>
        <v>66</v>
      </c>
      <c r="K263" s="1">
        <f ca="1">IFERROR(__xludf.DUMMYFUNCTION("""COMPUTED_VALUE"""),138)</f>
        <v>138</v>
      </c>
      <c r="L263" s="1">
        <f ca="1">IFERROR(__xludf.DUMMYFUNCTION("""COMPUTED_VALUE"""),-0.048)</f>
        <v>-4.8000000000000001E-2</v>
      </c>
      <c r="M263" s="1">
        <f ca="1">IFERROR(__xludf.DUMMYFUNCTION("""COMPUTED_VALUE"""),291)</f>
        <v>291</v>
      </c>
      <c r="N263" s="1" t="str">
        <f ca="1">IFERROR(__xludf.DUMMYFUNCTION("""COMPUTED_VALUE"""),"+1.41")</f>
        <v>+1.41</v>
      </c>
      <c r="O263" s="1">
        <f ca="1">IFERROR(__xludf.DUMMYFUNCTION("""COMPUTED_VALUE"""),123)</f>
        <v>123</v>
      </c>
      <c r="P263" s="1">
        <f ca="1">IFERROR(__xludf.DUMMYFUNCTION("""COMPUTED_VALUE"""),105.5)</f>
        <v>105.5</v>
      </c>
      <c r="Q263" s="1">
        <f ca="1">IFERROR(__xludf.DUMMYFUNCTION("""COMPUTED_VALUE"""),72)</f>
        <v>72</v>
      </c>
      <c r="R263" s="1">
        <f ca="1">IFERROR(__xludf.DUMMYFUNCTION("""COMPUTED_VALUE"""),104.1)</f>
        <v>104.1</v>
      </c>
      <c r="S263" s="1">
        <f ca="1">IFERROR(__xludf.DUMMYFUNCTION("""COMPUTED_VALUE"""),210)</f>
        <v>210</v>
      </c>
      <c r="T263" s="1" t="str">
        <f ca="1">IFERROR(__xludf.DUMMYFUNCTION("""COMPUTED_VALUE"""),"+6.48")</f>
        <v>+6.48</v>
      </c>
      <c r="U263" s="1">
        <f ca="1">IFERROR(__xludf.DUMMYFUNCTION("""COMPUTED_VALUE"""),37)</f>
        <v>37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IFERROR(__xludf.DUMMYFUNCTION("""COMPUTED_VALUE"""),"Samford")</f>
        <v>Samford</v>
      </c>
      <c r="C264" s="1" t="str">
        <f ca="1">IFERROR(__xludf.DUMMYFUNCTION("""COMPUTED_VALUE"""),"SC")</f>
        <v>SC</v>
      </c>
      <c r="D264" s="1" t="str">
        <f ca="1">IFERROR(__xludf.DUMMYFUNCTION("""COMPUTED_VALUE"""),"16-16")</f>
        <v>16-16</v>
      </c>
      <c r="E264" s="1">
        <f ca="1">IFERROR(__xludf.DUMMYFUNCTION("""COMPUTED_VALUE"""),-7.34)</f>
        <v>-7.34</v>
      </c>
      <c r="F264" s="1">
        <f ca="1">IFERROR(__xludf.DUMMYFUNCTION("""COMPUTED_VALUE"""),101.4)</f>
        <v>101.4</v>
      </c>
      <c r="G264" s="1">
        <f ca="1">IFERROR(__xludf.DUMMYFUNCTION("""COMPUTED_VALUE"""),206)</f>
        <v>206</v>
      </c>
      <c r="H264" s="1">
        <f ca="1">IFERROR(__xludf.DUMMYFUNCTION("""COMPUTED_VALUE"""),108.8)</f>
        <v>108.8</v>
      </c>
      <c r="I264" s="1">
        <f ca="1">IFERROR(__xludf.DUMMYFUNCTION("""COMPUTED_VALUE"""),286)</f>
        <v>286</v>
      </c>
      <c r="J264" s="1">
        <f ca="1">IFERROR(__xludf.DUMMYFUNCTION("""COMPUTED_VALUE"""),57.8)</f>
        <v>57.8</v>
      </c>
      <c r="K264" s="1">
        <f ca="1">IFERROR(__xludf.DUMMYFUNCTION("""COMPUTED_VALUE"""),338)</f>
        <v>338</v>
      </c>
      <c r="L264" s="1" t="str">
        <f ca="1">IFERROR(__xludf.DUMMYFUNCTION("""COMPUTED_VALUE"""),"+.017")</f>
        <v>+.017</v>
      </c>
      <c r="M264" s="1">
        <f ca="1">IFERROR(__xludf.DUMMYFUNCTION("""COMPUTED_VALUE"""),122)</f>
        <v>122</v>
      </c>
      <c r="N264" s="1">
        <f ca="1">IFERROR(__xludf.DUMMYFUNCTION("""COMPUTED_VALUE"""),-5.67)</f>
        <v>-5.67</v>
      </c>
      <c r="O264" s="1">
        <f ca="1">IFERROR(__xludf.DUMMYFUNCTION("""COMPUTED_VALUE"""),283)</f>
        <v>283</v>
      </c>
      <c r="P264" s="1">
        <f ca="1">IFERROR(__xludf.DUMMYFUNCTION("""COMPUTED_VALUE"""),101.1)</f>
        <v>101.1</v>
      </c>
      <c r="Q264" s="1">
        <f ca="1">IFERROR(__xludf.DUMMYFUNCTION("""COMPUTED_VALUE"""),237)</f>
        <v>237</v>
      </c>
      <c r="R264" s="1">
        <f ca="1">IFERROR(__xludf.DUMMYFUNCTION("""COMPUTED_VALUE"""),106.8)</f>
        <v>106.8</v>
      </c>
      <c r="S264" s="1">
        <f ca="1">IFERROR(__xludf.DUMMYFUNCTION("""COMPUTED_VALUE"""),326)</f>
        <v>326</v>
      </c>
      <c r="T264" s="1" t="str">
        <f ca="1">IFERROR(__xludf.DUMMYFUNCTION("""COMPUTED_VALUE"""),"+3.13")</f>
        <v>+3.13</v>
      </c>
      <c r="U264" s="1">
        <f ca="1">IFERROR(__xludf.DUMMYFUNCTION("""COMPUTED_VALUE"""),87)</f>
        <v>87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IFERROR(__xludf.DUMMYFUNCTION("""COMPUTED_VALUE"""),"Marist")</f>
        <v>Marist</v>
      </c>
      <c r="C265" s="1" t="str">
        <f ca="1">IFERROR(__xludf.DUMMYFUNCTION("""COMPUTED_VALUE"""),"MAAC")</f>
        <v>MAAC</v>
      </c>
      <c r="D265" s="2">
        <f ca="1">IFERROR(__xludf.DUMMYFUNCTION("""COMPUTED_VALUE"""),44857)</f>
        <v>44857</v>
      </c>
      <c r="E265" s="1">
        <f ca="1">IFERROR(__xludf.DUMMYFUNCTION("""COMPUTED_VALUE"""),-7.65)</f>
        <v>-7.65</v>
      </c>
      <c r="F265" s="1">
        <f ca="1">IFERROR(__xludf.DUMMYFUNCTION("""COMPUTED_VALUE"""),94.5)</f>
        <v>94.5</v>
      </c>
      <c r="G265" s="1">
        <f ca="1">IFERROR(__xludf.DUMMYFUNCTION("""COMPUTED_VALUE"""),291)</f>
        <v>291</v>
      </c>
      <c r="H265" s="1">
        <f ca="1">IFERROR(__xludf.DUMMYFUNCTION("""COMPUTED_VALUE"""),102.1)</f>
        <v>102.1</v>
      </c>
      <c r="I265" s="1">
        <f ca="1">IFERROR(__xludf.DUMMYFUNCTION("""COMPUTED_VALUE"""),155)</f>
        <v>155</v>
      </c>
      <c r="J265" s="1">
        <f ca="1">IFERROR(__xludf.DUMMYFUNCTION("""COMPUTED_VALUE"""),66.8)</f>
        <v>66.8</v>
      </c>
      <c r="K265" s="1">
        <f ca="1">IFERROR(__xludf.DUMMYFUNCTION("""COMPUTED_VALUE"""),104)</f>
        <v>104</v>
      </c>
      <c r="L265" s="1">
        <f ca="1">IFERROR(__xludf.DUMMYFUNCTION("""COMPUTED_VALUE"""),-0.056)</f>
        <v>-5.6000000000000001E-2</v>
      </c>
      <c r="M265" s="1">
        <f ca="1">IFERROR(__xludf.DUMMYFUNCTION("""COMPUTED_VALUE"""),306)</f>
        <v>306</v>
      </c>
      <c r="N265" s="1">
        <f ca="1">IFERROR(__xludf.DUMMYFUNCTION("""COMPUTED_VALUE"""),-1.38)</f>
        <v>-1.38</v>
      </c>
      <c r="O265" s="1">
        <f ca="1">IFERROR(__xludf.DUMMYFUNCTION("""COMPUTED_VALUE"""),186)</f>
        <v>186</v>
      </c>
      <c r="P265" s="1">
        <f ca="1">IFERROR(__xludf.DUMMYFUNCTION("""COMPUTED_VALUE"""),100.5)</f>
        <v>100.5</v>
      </c>
      <c r="Q265" s="1">
        <f ca="1">IFERROR(__xludf.DUMMYFUNCTION("""COMPUTED_VALUE"""),258)</f>
        <v>258</v>
      </c>
      <c r="R265" s="1">
        <f ca="1">IFERROR(__xludf.DUMMYFUNCTION("""COMPUTED_VALUE"""),101.9)</f>
        <v>101.9</v>
      </c>
      <c r="S265" s="1">
        <f ca="1">IFERROR(__xludf.DUMMYFUNCTION("""COMPUTED_VALUE"""),125)</f>
        <v>125</v>
      </c>
      <c r="T265" s="1">
        <f ca="1">IFERROR(__xludf.DUMMYFUNCTION("""COMPUTED_VALUE"""),-2.39)</f>
        <v>-2.39</v>
      </c>
      <c r="U265" s="1">
        <f ca="1">IFERROR(__xludf.DUMMYFUNCTION("""COMPUTED_VALUE"""),219)</f>
        <v>219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IFERROR(__xludf.DUMMYFUNCTION("""COMPUTED_VALUE"""),"Central Michigan")</f>
        <v>Central Michigan</v>
      </c>
      <c r="C266" s="1" t="str">
        <f ca="1">IFERROR(__xludf.DUMMYFUNCTION("""COMPUTED_VALUE"""),"MAC")</f>
        <v>MAC</v>
      </c>
      <c r="D266" s="2">
        <f ca="1">IFERROR(__xludf.DUMMYFUNCTION("""COMPUTED_VALUE"""),44914)</f>
        <v>44914</v>
      </c>
      <c r="E266" s="1">
        <f ca="1">IFERROR(__xludf.DUMMYFUNCTION("""COMPUTED_VALUE"""),-7.71)</f>
        <v>-7.71</v>
      </c>
      <c r="F266" s="1">
        <f ca="1">IFERROR(__xludf.DUMMYFUNCTION("""COMPUTED_VALUE"""),99)</f>
        <v>99</v>
      </c>
      <c r="G266" s="1">
        <f ca="1">IFERROR(__xludf.DUMMYFUNCTION("""COMPUTED_VALUE"""),233)</f>
        <v>233</v>
      </c>
      <c r="H266" s="1">
        <f ca="1">IFERROR(__xludf.DUMMYFUNCTION("""COMPUTED_VALUE"""),106.7)</f>
        <v>106.7</v>
      </c>
      <c r="I266" s="1">
        <f ca="1">IFERROR(__xludf.DUMMYFUNCTION("""COMPUTED_VALUE"""),255)</f>
        <v>255</v>
      </c>
      <c r="J266" s="1">
        <f ca="1">IFERROR(__xludf.DUMMYFUNCTION("""COMPUTED_VALUE"""),62.5)</f>
        <v>62.5</v>
      </c>
      <c r="K266" s="1">
        <f ca="1">IFERROR(__xludf.DUMMYFUNCTION("""COMPUTED_VALUE"""),283)</f>
        <v>283</v>
      </c>
      <c r="L266" s="1">
        <f ca="1">IFERROR(__xludf.DUMMYFUNCTION("""COMPUTED_VALUE"""),-0.024)</f>
        <v>-2.4E-2</v>
      </c>
      <c r="M266" s="1">
        <f ca="1">IFERROR(__xludf.DUMMYFUNCTION("""COMPUTED_VALUE"""),237)</f>
        <v>237</v>
      </c>
      <c r="N266" s="1">
        <f ca="1">IFERROR(__xludf.DUMMYFUNCTION("""COMPUTED_VALUE"""),-5.01)</f>
        <v>-5.01</v>
      </c>
      <c r="O266" s="1">
        <f ca="1">IFERROR(__xludf.DUMMYFUNCTION("""COMPUTED_VALUE"""),270)</f>
        <v>270</v>
      </c>
      <c r="P266" s="1">
        <f ca="1">IFERROR(__xludf.DUMMYFUNCTION("""COMPUTED_VALUE"""),98.5)</f>
        <v>98.5</v>
      </c>
      <c r="Q266" s="1">
        <f ca="1">IFERROR(__xludf.DUMMYFUNCTION("""COMPUTED_VALUE"""),300)</f>
        <v>300</v>
      </c>
      <c r="R266" s="1">
        <f ca="1">IFERROR(__xludf.DUMMYFUNCTION("""COMPUTED_VALUE"""),103.5)</f>
        <v>103.5</v>
      </c>
      <c r="S266" s="1">
        <f ca="1">IFERROR(__xludf.DUMMYFUNCTION("""COMPUTED_VALUE"""),189)</f>
        <v>189</v>
      </c>
      <c r="T266" s="1">
        <f ca="1">IFERROR(__xludf.DUMMYFUNCTION("""COMPUTED_VALUE"""),-2.04)</f>
        <v>-2.04</v>
      </c>
      <c r="U266" s="1">
        <f ca="1">IFERROR(__xludf.DUMMYFUNCTION("""COMPUTED_VALUE"""),208)</f>
        <v>208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IFERROR(__xludf.DUMMYFUNCTION("""COMPUTED_VALUE"""),"Eastern Washington")</f>
        <v>Eastern Washington</v>
      </c>
      <c r="C267" s="1" t="str">
        <f ca="1">IFERROR(__xludf.DUMMYFUNCTION("""COMPUTED_VALUE"""),"BSky")</f>
        <v>BSky</v>
      </c>
      <c r="D267" s="2">
        <f ca="1">IFERROR(__xludf.DUMMYFUNCTION("""COMPUTED_VALUE"""),44913)</f>
        <v>44913</v>
      </c>
      <c r="E267" s="1">
        <f ca="1">IFERROR(__xludf.DUMMYFUNCTION("""COMPUTED_VALUE"""),-7.74)</f>
        <v>-7.74</v>
      </c>
      <c r="F267" s="1">
        <f ca="1">IFERROR(__xludf.DUMMYFUNCTION("""COMPUTED_VALUE"""),97.7)</f>
        <v>97.7</v>
      </c>
      <c r="G267" s="1">
        <f ca="1">IFERROR(__xludf.DUMMYFUNCTION("""COMPUTED_VALUE"""),251)</f>
        <v>251</v>
      </c>
      <c r="H267" s="1">
        <f ca="1">IFERROR(__xludf.DUMMYFUNCTION("""COMPUTED_VALUE"""),105.4)</f>
        <v>105.4</v>
      </c>
      <c r="I267" s="1">
        <f ca="1">IFERROR(__xludf.DUMMYFUNCTION("""COMPUTED_VALUE"""),226)</f>
        <v>226</v>
      </c>
      <c r="J267" s="1">
        <f ca="1">IFERROR(__xludf.DUMMYFUNCTION("""COMPUTED_VALUE"""),63.6)</f>
        <v>63.6</v>
      </c>
      <c r="K267" s="1">
        <f ca="1">IFERROR(__xludf.DUMMYFUNCTION("""COMPUTED_VALUE"""),251)</f>
        <v>251</v>
      </c>
      <c r="L267" s="1" t="str">
        <f ca="1">IFERROR(__xludf.DUMMYFUNCTION("""COMPUTED_VALUE"""),"+.051")</f>
        <v>+.051</v>
      </c>
      <c r="M267" s="1">
        <f ca="1">IFERROR(__xludf.DUMMYFUNCTION("""COMPUTED_VALUE"""),51)</f>
        <v>51</v>
      </c>
      <c r="N267" s="1">
        <f ca="1">IFERROR(__xludf.DUMMYFUNCTION("""COMPUTED_VALUE"""),-0.57)</f>
        <v>-0.56999999999999995</v>
      </c>
      <c r="O267" s="1">
        <f ca="1">IFERROR(__xludf.DUMMYFUNCTION("""COMPUTED_VALUE"""),172)</f>
        <v>172</v>
      </c>
      <c r="P267" s="1">
        <f ca="1">IFERROR(__xludf.DUMMYFUNCTION("""COMPUTED_VALUE"""),103.6)</f>
        <v>103.6</v>
      </c>
      <c r="Q267" s="1">
        <f ca="1">IFERROR(__xludf.DUMMYFUNCTION("""COMPUTED_VALUE"""),139)</f>
        <v>139</v>
      </c>
      <c r="R267" s="1">
        <f ca="1">IFERROR(__xludf.DUMMYFUNCTION("""COMPUTED_VALUE"""),104.1)</f>
        <v>104.1</v>
      </c>
      <c r="S267" s="1">
        <f ca="1">IFERROR(__xludf.DUMMYFUNCTION("""COMPUTED_VALUE"""),211)</f>
        <v>211</v>
      </c>
      <c r="T267" s="1" t="str">
        <f ca="1">IFERROR(__xludf.DUMMYFUNCTION("""COMPUTED_VALUE"""),"+5.81")</f>
        <v>+5.81</v>
      </c>
      <c r="U267" s="1">
        <f ca="1">IFERROR(__xludf.DUMMYFUNCTION("""COMPUTED_VALUE"""),43)</f>
        <v>43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IFERROR(__xludf.DUMMYFUNCTION("""COMPUTED_VALUE"""),"Harvard")</f>
        <v>Harvard</v>
      </c>
      <c r="C268" s="1" t="str">
        <f ca="1">IFERROR(__xludf.DUMMYFUNCTION("""COMPUTED_VALUE"""),"Ivy")</f>
        <v>Ivy</v>
      </c>
      <c r="D268" s="1" t="str">
        <f ca="1">IFERROR(__xludf.DUMMYFUNCTION("""COMPUTED_VALUE"""),"14-14")</f>
        <v>14-14</v>
      </c>
      <c r="E268" s="1">
        <f ca="1">IFERROR(__xludf.DUMMYFUNCTION("""COMPUTED_VALUE"""),-7.76)</f>
        <v>-7.76</v>
      </c>
      <c r="F268" s="1">
        <f ca="1">IFERROR(__xludf.DUMMYFUNCTION("""COMPUTED_VALUE"""),102.4)</f>
        <v>102.4</v>
      </c>
      <c r="G268" s="1">
        <f ca="1">IFERROR(__xludf.DUMMYFUNCTION("""COMPUTED_VALUE"""),180)</f>
        <v>180</v>
      </c>
      <c r="H268" s="1">
        <f ca="1">IFERROR(__xludf.DUMMYFUNCTION("""COMPUTED_VALUE"""),110.1)</f>
        <v>110.1</v>
      </c>
      <c r="I268" s="1">
        <f ca="1">IFERROR(__xludf.DUMMYFUNCTION("""COMPUTED_VALUE"""),302)</f>
        <v>302</v>
      </c>
      <c r="J268" s="1">
        <f ca="1">IFERROR(__xludf.DUMMYFUNCTION("""COMPUTED_VALUE"""),65.1)</f>
        <v>65.099999999999994</v>
      </c>
      <c r="K268" s="1">
        <f ca="1">IFERROR(__xludf.DUMMYFUNCTION("""COMPUTED_VALUE"""),177)</f>
        <v>177</v>
      </c>
      <c r="L268" s="1" t="str">
        <f ca="1">IFERROR(__xludf.DUMMYFUNCTION("""COMPUTED_VALUE"""),"+.041")</f>
        <v>+.041</v>
      </c>
      <c r="M268" s="1">
        <f ca="1">IFERROR(__xludf.DUMMYFUNCTION("""COMPUTED_VALUE"""),68)</f>
        <v>68</v>
      </c>
      <c r="N268" s="1">
        <f ca="1">IFERROR(__xludf.DUMMYFUNCTION("""COMPUTED_VALUE"""),-6.38)</f>
        <v>-6.38</v>
      </c>
      <c r="O268" s="1">
        <f ca="1">IFERROR(__xludf.DUMMYFUNCTION("""COMPUTED_VALUE"""),296)</f>
        <v>296</v>
      </c>
      <c r="P268" s="1">
        <f ca="1">IFERROR(__xludf.DUMMYFUNCTION("""COMPUTED_VALUE"""),98)</f>
        <v>98</v>
      </c>
      <c r="Q268" s="1">
        <f ca="1">IFERROR(__xludf.DUMMYFUNCTION("""COMPUTED_VALUE"""),311)</f>
        <v>311</v>
      </c>
      <c r="R268" s="1">
        <f ca="1">IFERROR(__xludf.DUMMYFUNCTION("""COMPUTED_VALUE"""),104.4)</f>
        <v>104.4</v>
      </c>
      <c r="S268" s="1">
        <f ca="1">IFERROR(__xludf.DUMMYFUNCTION("""COMPUTED_VALUE"""),226)</f>
        <v>226</v>
      </c>
      <c r="T268" s="1">
        <f ca="1">IFERROR(__xludf.DUMMYFUNCTION("""COMPUTED_VALUE"""),-2.98)</f>
        <v>-2.98</v>
      </c>
      <c r="U268" s="1">
        <f ca="1">IFERROR(__xludf.DUMMYFUNCTION("""COMPUTED_VALUE"""),229)</f>
        <v>229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IFERROR(__xludf.DUMMYFUNCTION("""COMPUTED_VALUE"""),"Presbyterian")</f>
        <v>Presbyterian</v>
      </c>
      <c r="C269" s="1" t="str">
        <f ca="1">IFERROR(__xludf.DUMMYFUNCTION("""COMPUTED_VALUE"""),"BSth")</f>
        <v>BSth</v>
      </c>
      <c r="D269" s="2">
        <f ca="1">IFERROR(__xludf.DUMMYFUNCTION("""COMPUTED_VALUE"""),44912)</f>
        <v>44912</v>
      </c>
      <c r="E269" s="1">
        <f ca="1">IFERROR(__xludf.DUMMYFUNCTION("""COMPUTED_VALUE"""),-7.84)</f>
        <v>-7.84</v>
      </c>
      <c r="F269" s="1">
        <f ca="1">IFERROR(__xludf.DUMMYFUNCTION("""COMPUTED_VALUE"""),93.7)</f>
        <v>93.7</v>
      </c>
      <c r="G269" s="1">
        <f ca="1">IFERROR(__xludf.DUMMYFUNCTION("""COMPUTED_VALUE"""),301)</f>
        <v>301</v>
      </c>
      <c r="H269" s="1">
        <f ca="1">IFERROR(__xludf.DUMMYFUNCTION("""COMPUTED_VALUE"""),101.6)</f>
        <v>101.6</v>
      </c>
      <c r="I269" s="1">
        <f ca="1">IFERROR(__xludf.DUMMYFUNCTION("""COMPUTED_VALUE"""),142)</f>
        <v>142</v>
      </c>
      <c r="J269" s="1">
        <f ca="1">IFERROR(__xludf.DUMMYFUNCTION("""COMPUTED_VALUE"""),60.4)</f>
        <v>60.4</v>
      </c>
      <c r="K269" s="1">
        <f ca="1">IFERROR(__xludf.DUMMYFUNCTION("""COMPUTED_VALUE"""),323)</f>
        <v>323</v>
      </c>
      <c r="L269" s="1" t="str">
        <f ca="1">IFERROR(__xludf.DUMMYFUNCTION("""COMPUTED_VALUE"""),"+.044")</f>
        <v>+.044</v>
      </c>
      <c r="M269" s="1">
        <f ca="1">IFERROR(__xludf.DUMMYFUNCTION("""COMPUTED_VALUE"""),61)</f>
        <v>61</v>
      </c>
      <c r="N269" s="1">
        <f ca="1">IFERROR(__xludf.DUMMYFUNCTION("""COMPUTED_VALUE"""),-2.58)</f>
        <v>-2.58</v>
      </c>
      <c r="O269" s="1">
        <f ca="1">IFERROR(__xludf.DUMMYFUNCTION("""COMPUTED_VALUE"""),212)</f>
        <v>212</v>
      </c>
      <c r="P269" s="1">
        <f ca="1">IFERROR(__xludf.DUMMYFUNCTION("""COMPUTED_VALUE"""),101.6)</f>
        <v>101.6</v>
      </c>
      <c r="Q269" s="1">
        <f ca="1">IFERROR(__xludf.DUMMYFUNCTION("""COMPUTED_VALUE"""),216)</f>
        <v>216</v>
      </c>
      <c r="R269" s="1">
        <f ca="1">IFERROR(__xludf.DUMMYFUNCTION("""COMPUTED_VALUE"""),104.2)</f>
        <v>104.2</v>
      </c>
      <c r="S269" s="1">
        <f ca="1">IFERROR(__xludf.DUMMYFUNCTION("""COMPUTED_VALUE"""),218)</f>
        <v>218</v>
      </c>
      <c r="T269" s="1" t="str">
        <f ca="1">IFERROR(__xludf.DUMMYFUNCTION("""COMPUTED_VALUE"""),"+9.42")</f>
        <v>+9.42</v>
      </c>
      <c r="U269" s="1">
        <f ca="1">IFERROR(__xludf.DUMMYFUNCTION("""COMPUTED_VALUE"""),18)</f>
        <v>18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IFERROR(__xludf.DUMMYFUNCTION("""COMPUTED_VALUE"""),"Jacksonville St.")</f>
        <v>Jacksonville St.</v>
      </c>
      <c r="C270" s="1" t="str">
        <f ca="1">IFERROR(__xludf.DUMMYFUNCTION("""COMPUTED_VALUE"""),"OVC")</f>
        <v>OVC</v>
      </c>
      <c r="D270" s="2">
        <f ca="1">IFERROR(__xludf.DUMMYFUNCTION("""COMPUTED_VALUE"""),44882)</f>
        <v>44882</v>
      </c>
      <c r="E270" s="1">
        <f ca="1">IFERROR(__xludf.DUMMYFUNCTION("""COMPUTED_VALUE"""),-7.87)</f>
        <v>-7.87</v>
      </c>
      <c r="F270" s="1">
        <f ca="1">IFERROR(__xludf.DUMMYFUNCTION("""COMPUTED_VALUE"""),100.4)</f>
        <v>100.4</v>
      </c>
      <c r="G270" s="1">
        <f ca="1">IFERROR(__xludf.DUMMYFUNCTION("""COMPUTED_VALUE"""),217)</f>
        <v>217</v>
      </c>
      <c r="H270" s="1">
        <f ca="1">IFERROR(__xludf.DUMMYFUNCTION("""COMPUTED_VALUE"""),108.3)</f>
        <v>108.3</v>
      </c>
      <c r="I270" s="1">
        <f ca="1">IFERROR(__xludf.DUMMYFUNCTION("""COMPUTED_VALUE"""),280)</f>
        <v>280</v>
      </c>
      <c r="J270" s="1">
        <f ca="1">IFERROR(__xludf.DUMMYFUNCTION("""COMPUTED_VALUE"""),64.3)</f>
        <v>64.3</v>
      </c>
      <c r="K270" s="1">
        <f ca="1">IFERROR(__xludf.DUMMYFUNCTION("""COMPUTED_VALUE"""),219)</f>
        <v>219</v>
      </c>
      <c r="L270" s="1">
        <f ca="1">IFERROR(__xludf.DUMMYFUNCTION("""COMPUTED_VALUE"""),-0.033)</f>
        <v>-3.3000000000000002E-2</v>
      </c>
      <c r="M270" s="1">
        <f ca="1">IFERROR(__xludf.DUMMYFUNCTION("""COMPUTED_VALUE"""),265)</f>
        <v>265</v>
      </c>
      <c r="N270" s="1">
        <f ca="1">IFERROR(__xludf.DUMMYFUNCTION("""COMPUTED_VALUE"""),-2.65)</f>
        <v>-2.65</v>
      </c>
      <c r="O270" s="1">
        <f ca="1">IFERROR(__xludf.DUMMYFUNCTION("""COMPUTED_VALUE"""),214)</f>
        <v>214</v>
      </c>
      <c r="P270" s="1">
        <f ca="1">IFERROR(__xludf.DUMMYFUNCTION("""COMPUTED_VALUE"""),103.4)</f>
        <v>103.4</v>
      </c>
      <c r="Q270" s="1">
        <f ca="1">IFERROR(__xludf.DUMMYFUNCTION("""COMPUTED_VALUE"""),146)</f>
        <v>146</v>
      </c>
      <c r="R270" s="1">
        <f ca="1">IFERROR(__xludf.DUMMYFUNCTION("""COMPUTED_VALUE"""),106)</f>
        <v>106</v>
      </c>
      <c r="S270" s="1">
        <f ca="1">IFERROR(__xludf.DUMMYFUNCTION("""COMPUTED_VALUE"""),304)</f>
        <v>304</v>
      </c>
      <c r="T270" s="1" t="str">
        <f ca="1">IFERROR(__xludf.DUMMYFUNCTION("""COMPUTED_VALUE"""),"+3.07")</f>
        <v>+3.07</v>
      </c>
      <c r="U270" s="1">
        <f ca="1">IFERROR(__xludf.DUMMYFUNCTION("""COMPUTED_VALUE"""),88)</f>
        <v>88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IFERROR(__xludf.DUMMYFUNCTION("""COMPUTED_VALUE"""),"Stetson")</f>
        <v>Stetson</v>
      </c>
      <c r="C271" s="1" t="str">
        <f ca="1">IFERROR(__xludf.DUMMYFUNCTION("""COMPUTED_VALUE"""),"ASun")</f>
        <v>ASun</v>
      </c>
      <c r="D271" s="1" t="str">
        <f ca="1">IFERROR(__xludf.DUMMYFUNCTION("""COMPUTED_VALUE"""),"13-17")</f>
        <v>13-17</v>
      </c>
      <c r="E271" s="1">
        <f ca="1">IFERROR(__xludf.DUMMYFUNCTION("""COMPUTED_VALUE"""),-7.87)</f>
        <v>-7.87</v>
      </c>
      <c r="F271" s="1">
        <f ca="1">IFERROR(__xludf.DUMMYFUNCTION("""COMPUTED_VALUE"""),96.2)</f>
        <v>96.2</v>
      </c>
      <c r="G271" s="1">
        <f ca="1">IFERROR(__xludf.DUMMYFUNCTION("""COMPUTED_VALUE"""),273)</f>
        <v>273</v>
      </c>
      <c r="H271" s="1">
        <f ca="1">IFERROR(__xludf.DUMMYFUNCTION("""COMPUTED_VALUE"""),104)</f>
        <v>104</v>
      </c>
      <c r="I271" s="1">
        <f ca="1">IFERROR(__xludf.DUMMYFUNCTION("""COMPUTED_VALUE"""),193)</f>
        <v>193</v>
      </c>
      <c r="J271" s="1">
        <f ca="1">IFERROR(__xludf.DUMMYFUNCTION("""COMPUTED_VALUE"""),67.2)</f>
        <v>67.2</v>
      </c>
      <c r="K271" s="1">
        <f ca="1">IFERROR(__xludf.DUMMYFUNCTION("""COMPUTED_VALUE"""),92)</f>
        <v>92</v>
      </c>
      <c r="L271" s="1" t="str">
        <f ca="1">IFERROR(__xludf.DUMMYFUNCTION("""COMPUTED_VALUE"""),"+.015")</f>
        <v>+.015</v>
      </c>
      <c r="M271" s="1">
        <f ca="1">IFERROR(__xludf.DUMMYFUNCTION("""COMPUTED_VALUE"""),130)</f>
        <v>130</v>
      </c>
      <c r="N271" s="1">
        <f ca="1">IFERROR(__xludf.DUMMYFUNCTION("""COMPUTED_VALUE"""),-2.56)</f>
        <v>-2.56</v>
      </c>
      <c r="O271" s="1">
        <f ca="1">IFERROR(__xludf.DUMMYFUNCTION("""COMPUTED_VALUE"""),211)</f>
        <v>211</v>
      </c>
      <c r="P271" s="1">
        <f ca="1">IFERROR(__xludf.DUMMYFUNCTION("""COMPUTED_VALUE"""),100.8)</f>
        <v>100.8</v>
      </c>
      <c r="Q271" s="1">
        <f ca="1">IFERROR(__xludf.DUMMYFUNCTION("""COMPUTED_VALUE"""),249)</f>
        <v>249</v>
      </c>
      <c r="R271" s="1">
        <f ca="1">IFERROR(__xludf.DUMMYFUNCTION("""COMPUTED_VALUE"""),103.4)</f>
        <v>103.4</v>
      </c>
      <c r="S271" s="1">
        <f ca="1">IFERROR(__xludf.DUMMYFUNCTION("""COMPUTED_VALUE"""),183)</f>
        <v>183</v>
      </c>
      <c r="T271" s="1" t="str">
        <f ca="1">IFERROR(__xludf.DUMMYFUNCTION("""COMPUTED_VALUE"""),"+14.92")</f>
        <v>+14.92</v>
      </c>
      <c r="U271" s="1">
        <f ca="1">IFERROR(__xludf.DUMMYFUNCTION("""COMPUTED_VALUE"""),2)</f>
        <v>2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IFERROR(__xludf.DUMMYFUNCTION("""COMPUTED_VALUE"""),"Towson")</f>
        <v>Towson</v>
      </c>
      <c r="C272" s="1" t="str">
        <f ca="1">IFERROR(__xludf.DUMMYFUNCTION("""COMPUTED_VALUE"""),"CAA")</f>
        <v>CAA</v>
      </c>
      <c r="D272" s="2">
        <f ca="1">IFERROR(__xludf.DUMMYFUNCTION("""COMPUTED_VALUE"""),44917)</f>
        <v>44917</v>
      </c>
      <c r="E272" s="1">
        <f ca="1">IFERROR(__xludf.DUMMYFUNCTION("""COMPUTED_VALUE"""),-7.99)</f>
        <v>-7.99</v>
      </c>
      <c r="F272" s="1">
        <f ca="1">IFERROR(__xludf.DUMMYFUNCTION("""COMPUTED_VALUE"""),101.2)</f>
        <v>101.2</v>
      </c>
      <c r="G272" s="1">
        <f ca="1">IFERROR(__xludf.DUMMYFUNCTION("""COMPUTED_VALUE"""),209)</f>
        <v>209</v>
      </c>
      <c r="H272" s="1">
        <f ca="1">IFERROR(__xludf.DUMMYFUNCTION("""COMPUTED_VALUE"""),109.2)</f>
        <v>109.2</v>
      </c>
      <c r="I272" s="1">
        <f ca="1">IFERROR(__xludf.DUMMYFUNCTION("""COMPUTED_VALUE"""),293)</f>
        <v>293</v>
      </c>
      <c r="J272" s="1">
        <f ca="1">IFERROR(__xludf.DUMMYFUNCTION("""COMPUTED_VALUE"""),65.7)</f>
        <v>65.7</v>
      </c>
      <c r="K272" s="1">
        <f ca="1">IFERROR(__xludf.DUMMYFUNCTION("""COMPUTED_VALUE"""),154)</f>
        <v>154</v>
      </c>
      <c r="L272" s="1" t="str">
        <f ca="1">IFERROR(__xludf.DUMMYFUNCTION("""COMPUTED_VALUE"""),"+.030")</f>
        <v>+.030</v>
      </c>
      <c r="M272" s="1">
        <f ca="1">IFERROR(__xludf.DUMMYFUNCTION("""COMPUTED_VALUE"""),92)</f>
        <v>92</v>
      </c>
      <c r="N272" s="1">
        <f ca="1">IFERROR(__xludf.DUMMYFUNCTION("""COMPUTED_VALUE"""),-0.01)</f>
        <v>-0.01</v>
      </c>
      <c r="O272" s="1">
        <f ca="1">IFERROR(__xludf.DUMMYFUNCTION("""COMPUTED_VALUE"""),161)</f>
        <v>161</v>
      </c>
      <c r="P272" s="1">
        <f ca="1">IFERROR(__xludf.DUMMYFUNCTION("""COMPUTED_VALUE"""),101.3)</f>
        <v>101.3</v>
      </c>
      <c r="Q272" s="1">
        <f ca="1">IFERROR(__xludf.DUMMYFUNCTION("""COMPUTED_VALUE"""),233)</f>
        <v>233</v>
      </c>
      <c r="R272" s="1">
        <f ca="1">IFERROR(__xludf.DUMMYFUNCTION("""COMPUTED_VALUE"""),101.3)</f>
        <v>101.3</v>
      </c>
      <c r="S272" s="1">
        <f ca="1">IFERROR(__xludf.DUMMYFUNCTION("""COMPUTED_VALUE"""),99)</f>
        <v>99</v>
      </c>
      <c r="T272" s="1">
        <f ca="1">IFERROR(__xludf.DUMMYFUNCTION("""COMPUTED_VALUE"""),-1.23)</f>
        <v>-1.23</v>
      </c>
      <c r="U272" s="1">
        <f ca="1">IFERROR(__xludf.DUMMYFUNCTION("""COMPUTED_VALUE"""),188)</f>
        <v>188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IFERROR(__xludf.DUMMYFUNCTION("""COMPUTED_VALUE"""),"Louisiana Lafayette")</f>
        <v>Louisiana Lafayette</v>
      </c>
      <c r="C273" s="1" t="str">
        <f ca="1">IFERROR(__xludf.DUMMYFUNCTION("""COMPUTED_VALUE"""),"SB")</f>
        <v>SB</v>
      </c>
      <c r="D273" s="2">
        <f ca="1">IFERROR(__xludf.DUMMYFUNCTION("""COMPUTED_VALUE"""),44854)</f>
        <v>44854</v>
      </c>
      <c r="E273" s="1">
        <f ca="1">IFERROR(__xludf.DUMMYFUNCTION("""COMPUTED_VALUE"""),-8.03)</f>
        <v>-8.0299999999999994</v>
      </c>
      <c r="F273" s="1">
        <f ca="1">IFERROR(__xludf.DUMMYFUNCTION("""COMPUTED_VALUE"""),97.3)</f>
        <v>97.3</v>
      </c>
      <c r="G273" s="1">
        <f ca="1">IFERROR(__xludf.DUMMYFUNCTION("""COMPUTED_VALUE"""),260)</f>
        <v>260</v>
      </c>
      <c r="H273" s="1">
        <f ca="1">IFERROR(__xludf.DUMMYFUNCTION("""COMPUTED_VALUE"""),105.4)</f>
        <v>105.4</v>
      </c>
      <c r="I273" s="1">
        <f ca="1">IFERROR(__xludf.DUMMYFUNCTION("""COMPUTED_VALUE"""),224)</f>
        <v>224</v>
      </c>
      <c r="J273" s="1">
        <f ca="1">IFERROR(__xludf.DUMMYFUNCTION("""COMPUTED_VALUE"""),66)</f>
        <v>66</v>
      </c>
      <c r="K273" s="1">
        <f ca="1">IFERROR(__xludf.DUMMYFUNCTION("""COMPUTED_VALUE"""),142)</f>
        <v>142</v>
      </c>
      <c r="L273" s="1">
        <f ca="1">IFERROR(__xludf.DUMMYFUNCTION("""COMPUTED_VALUE"""),-0.046)</f>
        <v>-4.5999999999999999E-2</v>
      </c>
      <c r="M273" s="1">
        <f ca="1">IFERROR(__xludf.DUMMYFUNCTION("""COMPUTED_VALUE"""),284)</f>
        <v>284</v>
      </c>
      <c r="N273" s="1">
        <f ca="1">IFERROR(__xludf.DUMMYFUNCTION("""COMPUTED_VALUE"""),-2.3)</f>
        <v>-2.2999999999999998</v>
      </c>
      <c r="O273" s="1">
        <f ca="1">IFERROR(__xludf.DUMMYFUNCTION("""COMPUTED_VALUE"""),206)</f>
        <v>206</v>
      </c>
      <c r="P273" s="1">
        <f ca="1">IFERROR(__xludf.DUMMYFUNCTION("""COMPUTED_VALUE"""),102.2)</f>
        <v>102.2</v>
      </c>
      <c r="Q273" s="1">
        <f ca="1">IFERROR(__xludf.DUMMYFUNCTION("""COMPUTED_VALUE"""),196)</f>
        <v>196</v>
      </c>
      <c r="R273" s="1">
        <f ca="1">IFERROR(__xludf.DUMMYFUNCTION("""COMPUTED_VALUE"""),104.5)</f>
        <v>104.5</v>
      </c>
      <c r="S273" s="1">
        <f ca="1">IFERROR(__xludf.DUMMYFUNCTION("""COMPUTED_VALUE"""),230)</f>
        <v>230</v>
      </c>
      <c r="T273" s="1" t="str">
        <f ca="1">IFERROR(__xludf.DUMMYFUNCTION("""COMPUTED_VALUE"""),"+4.41")</f>
        <v>+4.41</v>
      </c>
      <c r="U273" s="1">
        <f ca="1">IFERROR(__xludf.DUMMYFUNCTION("""COMPUTED_VALUE"""),60)</f>
        <v>60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IFERROR(__xludf.DUMMYFUNCTION("""COMPUTED_VALUE"""),"Appalachian St.")</f>
        <v>Appalachian St.</v>
      </c>
      <c r="C274" s="1" t="str">
        <f ca="1">IFERROR(__xludf.DUMMYFUNCTION("""COMPUTED_VALUE"""),"SC")</f>
        <v>SC</v>
      </c>
      <c r="D274" s="1" t="str">
        <f ca="1">IFERROR(__xludf.DUMMYFUNCTION("""COMPUTED_VALUE"""),"13-18")</f>
        <v>13-18</v>
      </c>
      <c r="E274" s="1">
        <f ca="1">IFERROR(__xludf.DUMMYFUNCTION("""COMPUTED_VALUE"""),-8.1)</f>
        <v>-8.1</v>
      </c>
      <c r="F274" s="1">
        <f ca="1">IFERROR(__xludf.DUMMYFUNCTION("""COMPUTED_VALUE"""),101.5)</f>
        <v>101.5</v>
      </c>
      <c r="G274" s="1">
        <f ca="1">IFERROR(__xludf.DUMMYFUNCTION("""COMPUTED_VALUE"""),203)</f>
        <v>203</v>
      </c>
      <c r="H274" s="1">
        <f ca="1">IFERROR(__xludf.DUMMYFUNCTION("""COMPUTED_VALUE"""),109.6)</f>
        <v>109.6</v>
      </c>
      <c r="I274" s="1">
        <f ca="1">IFERROR(__xludf.DUMMYFUNCTION("""COMPUTED_VALUE"""),296)</f>
        <v>296</v>
      </c>
      <c r="J274" s="1">
        <f ca="1">IFERROR(__xludf.DUMMYFUNCTION("""COMPUTED_VALUE"""),69.7)</f>
        <v>69.7</v>
      </c>
      <c r="K274" s="1">
        <f ca="1">IFERROR(__xludf.DUMMYFUNCTION("""COMPUTED_VALUE"""),26)</f>
        <v>26</v>
      </c>
      <c r="L274" s="1">
        <f ca="1">IFERROR(__xludf.DUMMYFUNCTION("""COMPUTED_VALUE"""),-0.005)</f>
        <v>-5.0000000000000001E-3</v>
      </c>
      <c r="M274" s="1">
        <f ca="1">IFERROR(__xludf.DUMMYFUNCTION("""COMPUTED_VALUE"""),175)</f>
        <v>175</v>
      </c>
      <c r="N274" s="1">
        <f ca="1">IFERROR(__xludf.DUMMYFUNCTION("""COMPUTED_VALUE"""),-5.31)</f>
        <v>-5.31</v>
      </c>
      <c r="O274" s="1">
        <f ca="1">IFERROR(__xludf.DUMMYFUNCTION("""COMPUTED_VALUE"""),277)</f>
        <v>277</v>
      </c>
      <c r="P274" s="1">
        <f ca="1">IFERROR(__xludf.DUMMYFUNCTION("""COMPUTED_VALUE"""),101.1)</f>
        <v>101.1</v>
      </c>
      <c r="Q274" s="1">
        <f ca="1">IFERROR(__xludf.DUMMYFUNCTION("""COMPUTED_VALUE"""),239)</f>
        <v>239</v>
      </c>
      <c r="R274" s="1">
        <f ca="1">IFERROR(__xludf.DUMMYFUNCTION("""COMPUTED_VALUE"""),106.4)</f>
        <v>106.4</v>
      </c>
      <c r="S274" s="1">
        <f ca="1">IFERROR(__xludf.DUMMYFUNCTION("""COMPUTED_VALUE"""),312)</f>
        <v>312</v>
      </c>
      <c r="T274" s="1" t="str">
        <f ca="1">IFERROR(__xludf.DUMMYFUNCTION("""COMPUTED_VALUE"""),"+2.23")</f>
        <v>+2.23</v>
      </c>
      <c r="U274" s="1">
        <f ca="1">IFERROR(__xludf.DUMMYFUNCTION("""COMPUTED_VALUE"""),104)</f>
        <v>104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IFERROR(__xludf.DUMMYFUNCTION("""COMPUTED_VALUE"""),"New Hampshire")</f>
        <v>New Hampshire</v>
      </c>
      <c r="C275" s="1" t="str">
        <f ca="1">IFERROR(__xludf.DUMMYFUNCTION("""COMPUTED_VALUE"""),"AE")</f>
        <v>AE</v>
      </c>
      <c r="D275" s="1" t="str">
        <f ca="1">IFERROR(__xludf.DUMMYFUNCTION("""COMPUTED_VALUE"""),"14-16")</f>
        <v>14-16</v>
      </c>
      <c r="E275" s="1">
        <f ca="1">IFERROR(__xludf.DUMMYFUNCTION("""COMPUTED_VALUE"""),-8.46)</f>
        <v>-8.4600000000000009</v>
      </c>
      <c r="F275" s="1">
        <f ca="1">IFERROR(__xludf.DUMMYFUNCTION("""COMPUTED_VALUE"""),97.2)</f>
        <v>97.2</v>
      </c>
      <c r="G275" s="1">
        <f ca="1">IFERROR(__xludf.DUMMYFUNCTION("""COMPUTED_VALUE"""),264)</f>
        <v>264</v>
      </c>
      <c r="H275" s="1">
        <f ca="1">IFERROR(__xludf.DUMMYFUNCTION("""COMPUTED_VALUE"""),105.6)</f>
        <v>105.6</v>
      </c>
      <c r="I275" s="1">
        <f ca="1">IFERROR(__xludf.DUMMYFUNCTION("""COMPUTED_VALUE"""),230)</f>
        <v>230</v>
      </c>
      <c r="J275" s="1">
        <f ca="1">IFERROR(__xludf.DUMMYFUNCTION("""COMPUTED_VALUE"""),62.1)</f>
        <v>62.1</v>
      </c>
      <c r="K275" s="1">
        <f ca="1">IFERROR(__xludf.DUMMYFUNCTION("""COMPUTED_VALUE"""),300)</f>
        <v>300</v>
      </c>
      <c r="L275" s="1" t="str">
        <f ca="1">IFERROR(__xludf.DUMMYFUNCTION("""COMPUTED_VALUE"""),"+.043")</f>
        <v>+.043</v>
      </c>
      <c r="M275" s="1">
        <f ca="1">IFERROR(__xludf.DUMMYFUNCTION("""COMPUTED_VALUE"""),62)</f>
        <v>62</v>
      </c>
      <c r="N275" s="1">
        <f ca="1">IFERROR(__xludf.DUMMYFUNCTION("""COMPUTED_VALUE"""),-5.14)</f>
        <v>-5.14</v>
      </c>
      <c r="O275" s="1">
        <f ca="1">IFERROR(__xludf.DUMMYFUNCTION("""COMPUTED_VALUE"""),274)</f>
        <v>274</v>
      </c>
      <c r="P275" s="1">
        <f ca="1">IFERROR(__xludf.DUMMYFUNCTION("""COMPUTED_VALUE"""),99.9)</f>
        <v>99.9</v>
      </c>
      <c r="Q275" s="1">
        <f ca="1">IFERROR(__xludf.DUMMYFUNCTION("""COMPUTED_VALUE"""),274)</f>
        <v>274</v>
      </c>
      <c r="R275" s="1">
        <f ca="1">IFERROR(__xludf.DUMMYFUNCTION("""COMPUTED_VALUE"""),105.1)</f>
        <v>105.1</v>
      </c>
      <c r="S275" s="1">
        <f ca="1">IFERROR(__xludf.DUMMYFUNCTION("""COMPUTED_VALUE"""),251)</f>
        <v>251</v>
      </c>
      <c r="T275" s="1">
        <f ca="1">IFERROR(__xludf.DUMMYFUNCTION("""COMPUTED_VALUE"""),-5.08)</f>
        <v>-5.08</v>
      </c>
      <c r="U275" s="1">
        <f ca="1">IFERROR(__xludf.DUMMYFUNCTION("""COMPUTED_VALUE"""),283)</f>
        <v>283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IFERROR(__xludf.DUMMYFUNCTION("""COMPUTED_VALUE"""),"UMBC")</f>
        <v>UMBC</v>
      </c>
      <c r="C276" s="1" t="str">
        <f ca="1">IFERROR(__xludf.DUMMYFUNCTION("""COMPUTED_VALUE"""),"AE")</f>
        <v>AE</v>
      </c>
      <c r="D276" s="1" t="str">
        <f ca="1">IFERROR(__xludf.DUMMYFUNCTION("""COMPUTED_VALUE"""),"15-17")</f>
        <v>15-17</v>
      </c>
      <c r="E276" s="1">
        <f ca="1">IFERROR(__xludf.DUMMYFUNCTION("""COMPUTED_VALUE"""),-8.56)</f>
        <v>-8.56</v>
      </c>
      <c r="F276" s="1">
        <f ca="1">IFERROR(__xludf.DUMMYFUNCTION("""COMPUTED_VALUE"""),101.9)</f>
        <v>101.9</v>
      </c>
      <c r="G276" s="1">
        <f ca="1">IFERROR(__xludf.DUMMYFUNCTION("""COMPUTED_VALUE"""),191)</f>
        <v>191</v>
      </c>
      <c r="H276" s="1">
        <f ca="1">IFERROR(__xludf.DUMMYFUNCTION("""COMPUTED_VALUE"""),110.5)</f>
        <v>110.5</v>
      </c>
      <c r="I276" s="1">
        <f ca="1">IFERROR(__xludf.DUMMYFUNCTION("""COMPUTED_VALUE"""),306)</f>
        <v>306</v>
      </c>
      <c r="J276" s="1">
        <f ca="1">IFERROR(__xludf.DUMMYFUNCTION("""COMPUTED_VALUE"""),63.6)</f>
        <v>63.6</v>
      </c>
      <c r="K276" s="1">
        <f ca="1">IFERROR(__xludf.DUMMYFUNCTION("""COMPUTED_VALUE"""),248)</f>
        <v>248</v>
      </c>
      <c r="L276" s="1" t="str">
        <f ca="1">IFERROR(__xludf.DUMMYFUNCTION("""COMPUTED_VALUE"""),"+.092")</f>
        <v>+.092</v>
      </c>
      <c r="M276" s="1">
        <f ca="1">IFERROR(__xludf.DUMMYFUNCTION("""COMPUTED_VALUE"""),9)</f>
        <v>9</v>
      </c>
      <c r="N276" s="1">
        <f ca="1">IFERROR(__xludf.DUMMYFUNCTION("""COMPUTED_VALUE"""),-3.24)</f>
        <v>-3.24</v>
      </c>
      <c r="O276" s="1">
        <f ca="1">IFERROR(__xludf.DUMMYFUNCTION("""COMPUTED_VALUE"""),230)</f>
        <v>230</v>
      </c>
      <c r="P276" s="1">
        <f ca="1">IFERROR(__xludf.DUMMYFUNCTION("""COMPUTED_VALUE"""),100.6)</f>
        <v>100.6</v>
      </c>
      <c r="Q276" s="1">
        <f ca="1">IFERROR(__xludf.DUMMYFUNCTION("""COMPUTED_VALUE"""),253)</f>
        <v>253</v>
      </c>
      <c r="R276" s="1">
        <f ca="1">IFERROR(__xludf.DUMMYFUNCTION("""COMPUTED_VALUE"""),103.8)</f>
        <v>103.8</v>
      </c>
      <c r="S276" s="1">
        <f ca="1">IFERROR(__xludf.DUMMYFUNCTION("""COMPUTED_VALUE"""),200)</f>
        <v>200</v>
      </c>
      <c r="T276" s="1">
        <f ca="1">IFERROR(__xludf.DUMMYFUNCTION("""COMPUTED_VALUE"""),-0.89)</f>
        <v>-0.89</v>
      </c>
      <c r="U276" s="1">
        <f ca="1">IFERROR(__xludf.DUMMYFUNCTION("""COMPUTED_VALUE"""),183)</f>
        <v>183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IFERROR(__xludf.DUMMYFUNCTION("""COMPUTED_VALUE"""),"UNC Asheville")</f>
        <v>UNC Asheville</v>
      </c>
      <c r="C277" s="1" t="str">
        <f ca="1">IFERROR(__xludf.DUMMYFUNCTION("""COMPUTED_VALUE"""),"BSth")</f>
        <v>BSth</v>
      </c>
      <c r="D277" s="1" t="str">
        <f ca="1">IFERROR(__xludf.DUMMYFUNCTION("""COMPUTED_VALUE"""),"15-16")</f>
        <v>15-16</v>
      </c>
      <c r="E277" s="1">
        <f ca="1">IFERROR(__xludf.DUMMYFUNCTION("""COMPUTED_VALUE"""),-8.64)</f>
        <v>-8.64</v>
      </c>
      <c r="F277" s="1">
        <f ca="1">IFERROR(__xludf.DUMMYFUNCTION("""COMPUTED_VALUE"""),102.1)</f>
        <v>102.1</v>
      </c>
      <c r="G277" s="1">
        <f ca="1">IFERROR(__xludf.DUMMYFUNCTION("""COMPUTED_VALUE"""),185)</f>
        <v>185</v>
      </c>
      <c r="H277" s="1">
        <f ca="1">IFERROR(__xludf.DUMMYFUNCTION("""COMPUTED_VALUE"""),110.7)</f>
        <v>110.7</v>
      </c>
      <c r="I277" s="1">
        <f ca="1">IFERROR(__xludf.DUMMYFUNCTION("""COMPUTED_VALUE"""),309)</f>
        <v>309</v>
      </c>
      <c r="J277" s="1">
        <f ca="1">IFERROR(__xludf.DUMMYFUNCTION("""COMPUTED_VALUE"""),67.7)</f>
        <v>67.7</v>
      </c>
      <c r="K277" s="1">
        <f ca="1">IFERROR(__xludf.DUMMYFUNCTION("""COMPUTED_VALUE"""),71)</f>
        <v>71</v>
      </c>
      <c r="L277" s="1" t="str">
        <f ca="1">IFERROR(__xludf.DUMMYFUNCTION("""COMPUTED_VALUE"""),"+.065")</f>
        <v>+.065</v>
      </c>
      <c r="M277" s="1">
        <f ca="1">IFERROR(__xludf.DUMMYFUNCTION("""COMPUTED_VALUE"""),30)</f>
        <v>30</v>
      </c>
      <c r="N277" s="1">
        <f ca="1">IFERROR(__xludf.DUMMYFUNCTION("""COMPUTED_VALUE"""),-3.5)</f>
        <v>-3.5</v>
      </c>
      <c r="O277" s="1">
        <f ca="1">IFERROR(__xludf.DUMMYFUNCTION("""COMPUTED_VALUE"""),239)</f>
        <v>239</v>
      </c>
      <c r="P277" s="1">
        <f ca="1">IFERROR(__xludf.DUMMYFUNCTION("""COMPUTED_VALUE"""),101.1)</f>
        <v>101.1</v>
      </c>
      <c r="Q277" s="1">
        <f ca="1">IFERROR(__xludf.DUMMYFUNCTION("""COMPUTED_VALUE"""),236)</f>
        <v>236</v>
      </c>
      <c r="R277" s="1">
        <f ca="1">IFERROR(__xludf.DUMMYFUNCTION("""COMPUTED_VALUE"""),104.6)</f>
        <v>104.6</v>
      </c>
      <c r="S277" s="1">
        <f ca="1">IFERROR(__xludf.DUMMYFUNCTION("""COMPUTED_VALUE"""),233)</f>
        <v>233</v>
      </c>
      <c r="T277" s="1" t="str">
        <f ca="1">IFERROR(__xludf.DUMMYFUNCTION("""COMPUTED_VALUE"""),"+13.06")</f>
        <v>+13.06</v>
      </c>
      <c r="U277" s="1">
        <f ca="1">IFERROR(__xludf.DUMMYFUNCTION("""COMPUTED_VALUE"""),5)</f>
        <v>5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IFERROR(__xludf.DUMMYFUNCTION("""COMPUTED_VALUE"""),"Princeton")</f>
        <v>Princeton</v>
      </c>
      <c r="C278" s="1" t="str">
        <f ca="1">IFERROR(__xludf.DUMMYFUNCTION("""COMPUTED_VALUE"""),"Ivy")</f>
        <v>Ivy</v>
      </c>
      <c r="D278" s="1" t="str">
        <f ca="1">IFERROR(__xludf.DUMMYFUNCTION("""COMPUTED_VALUE"""),"13-14")</f>
        <v>13-14</v>
      </c>
      <c r="E278" s="1">
        <f ca="1">IFERROR(__xludf.DUMMYFUNCTION("""COMPUTED_VALUE"""),-8.72)</f>
        <v>-8.7200000000000006</v>
      </c>
      <c r="F278" s="1">
        <f ca="1">IFERROR(__xludf.DUMMYFUNCTION("""COMPUTED_VALUE"""),95.5)</f>
        <v>95.5</v>
      </c>
      <c r="G278" s="1">
        <f ca="1">IFERROR(__xludf.DUMMYFUNCTION("""COMPUTED_VALUE"""),282)</f>
        <v>282</v>
      </c>
      <c r="H278" s="1">
        <f ca="1">IFERROR(__xludf.DUMMYFUNCTION("""COMPUTED_VALUE"""),104.3)</f>
        <v>104.3</v>
      </c>
      <c r="I278" s="1">
        <f ca="1">IFERROR(__xludf.DUMMYFUNCTION("""COMPUTED_VALUE"""),198)</f>
        <v>198</v>
      </c>
      <c r="J278" s="1">
        <f ca="1">IFERROR(__xludf.DUMMYFUNCTION("""COMPUTED_VALUE"""),57.6)</f>
        <v>57.6</v>
      </c>
      <c r="K278" s="1">
        <f ca="1">IFERROR(__xludf.DUMMYFUNCTION("""COMPUTED_VALUE"""),342)</f>
        <v>342</v>
      </c>
      <c r="L278" s="1">
        <f ca="1">IFERROR(__xludf.DUMMYFUNCTION("""COMPUTED_VALUE"""),-0.034)</f>
        <v>-3.4000000000000002E-2</v>
      </c>
      <c r="M278" s="1">
        <f ca="1">IFERROR(__xludf.DUMMYFUNCTION("""COMPUTED_VALUE"""),268)</f>
        <v>268</v>
      </c>
      <c r="N278" s="1">
        <f ca="1">IFERROR(__xludf.DUMMYFUNCTION("""COMPUTED_VALUE"""),-9.17)</f>
        <v>-9.17</v>
      </c>
      <c r="O278" s="1">
        <f ca="1">IFERROR(__xludf.DUMMYFUNCTION("""COMPUTED_VALUE"""),323)</f>
        <v>323</v>
      </c>
      <c r="P278" s="1">
        <f ca="1">IFERROR(__xludf.DUMMYFUNCTION("""COMPUTED_VALUE"""),96.7)</f>
        <v>96.7</v>
      </c>
      <c r="Q278" s="1">
        <f ca="1">IFERROR(__xludf.DUMMYFUNCTION("""COMPUTED_VALUE"""),327)</f>
        <v>327</v>
      </c>
      <c r="R278" s="1">
        <f ca="1">IFERROR(__xludf.DUMMYFUNCTION("""COMPUTED_VALUE"""),105.9)</f>
        <v>105.9</v>
      </c>
      <c r="S278" s="1">
        <f ca="1">IFERROR(__xludf.DUMMYFUNCTION("""COMPUTED_VALUE"""),297)</f>
        <v>297</v>
      </c>
      <c r="T278" s="1">
        <f ca="1">IFERROR(__xludf.DUMMYFUNCTION("""COMPUTED_VALUE"""),-8.95)</f>
        <v>-8.9499999999999993</v>
      </c>
      <c r="U278" s="1">
        <f ca="1">IFERROR(__xludf.DUMMYFUNCTION("""COMPUTED_VALUE"""),329)</f>
        <v>329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IFERROR(__xludf.DUMMYFUNCTION("""COMPUTED_VALUE"""),"Lehigh")</f>
        <v>Lehigh</v>
      </c>
      <c r="C279" s="1" t="str">
        <f ca="1">IFERROR(__xludf.DUMMYFUNCTION("""COMPUTED_VALUE"""),"Pat")</f>
        <v>Pat</v>
      </c>
      <c r="D279" s="1" t="str">
        <f ca="1">IFERROR(__xludf.DUMMYFUNCTION("""COMPUTED_VALUE"""),"15-14")</f>
        <v>15-14</v>
      </c>
      <c r="E279" s="1">
        <f ca="1">IFERROR(__xludf.DUMMYFUNCTION("""COMPUTED_VALUE"""),-8.84)</f>
        <v>-8.84</v>
      </c>
      <c r="F279" s="1">
        <f ca="1">IFERROR(__xludf.DUMMYFUNCTION("""COMPUTED_VALUE"""),93.9)</f>
        <v>93.9</v>
      </c>
      <c r="G279" s="1">
        <f ca="1">IFERROR(__xludf.DUMMYFUNCTION("""COMPUTED_VALUE"""),298)</f>
        <v>298</v>
      </c>
      <c r="H279" s="1">
        <f ca="1">IFERROR(__xludf.DUMMYFUNCTION("""COMPUTED_VALUE"""),102.8)</f>
        <v>102.8</v>
      </c>
      <c r="I279" s="1">
        <f ca="1">IFERROR(__xludf.DUMMYFUNCTION("""COMPUTED_VALUE"""),171)</f>
        <v>171</v>
      </c>
      <c r="J279" s="1">
        <f ca="1">IFERROR(__xludf.DUMMYFUNCTION("""COMPUTED_VALUE"""),66)</f>
        <v>66</v>
      </c>
      <c r="K279" s="1">
        <f ca="1">IFERROR(__xludf.DUMMYFUNCTION("""COMPUTED_VALUE"""),141)</f>
        <v>141</v>
      </c>
      <c r="L279" s="1">
        <f ca="1">IFERROR(__xludf.DUMMYFUNCTION("""COMPUTED_VALUE"""),-0.016)</f>
        <v>-1.6E-2</v>
      </c>
      <c r="M279" s="1">
        <f ca="1">IFERROR(__xludf.DUMMYFUNCTION("""COMPUTED_VALUE"""),214)</f>
        <v>214</v>
      </c>
      <c r="N279" s="1">
        <f ca="1">IFERROR(__xludf.DUMMYFUNCTION("""COMPUTED_VALUE"""),-10.4)</f>
        <v>-10.4</v>
      </c>
      <c r="O279" s="1">
        <f ca="1">IFERROR(__xludf.DUMMYFUNCTION("""COMPUTED_VALUE"""),332)</f>
        <v>332</v>
      </c>
      <c r="P279" s="1">
        <f ca="1">IFERROR(__xludf.DUMMYFUNCTION("""COMPUTED_VALUE"""),94.9)</f>
        <v>94.9</v>
      </c>
      <c r="Q279" s="1">
        <f ca="1">IFERROR(__xludf.DUMMYFUNCTION("""COMPUTED_VALUE"""),342)</f>
        <v>342</v>
      </c>
      <c r="R279" s="1">
        <f ca="1">IFERROR(__xludf.DUMMYFUNCTION("""COMPUTED_VALUE"""),105.3)</f>
        <v>105.3</v>
      </c>
      <c r="S279" s="1">
        <f ca="1">IFERROR(__xludf.DUMMYFUNCTION("""COMPUTED_VALUE"""),262)</f>
        <v>262</v>
      </c>
      <c r="T279" s="1">
        <f ca="1">IFERROR(__xludf.DUMMYFUNCTION("""COMPUTED_VALUE"""),-11.69)</f>
        <v>-11.69</v>
      </c>
      <c r="U279" s="1">
        <f ca="1">IFERROR(__xludf.DUMMYFUNCTION("""COMPUTED_VALUE"""),341)</f>
        <v>341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IFERROR(__xludf.DUMMYFUNCTION("""COMPUTED_VALUE"""),"FIU")</f>
        <v>FIU</v>
      </c>
      <c r="C280" s="1" t="str">
        <f ca="1">IFERROR(__xludf.DUMMYFUNCTION("""COMPUTED_VALUE"""),"SB")</f>
        <v>SB</v>
      </c>
      <c r="D280" s="1" t="str">
        <f ca="1">IFERROR(__xludf.DUMMYFUNCTION("""COMPUTED_VALUE"""),"13-20")</f>
        <v>13-20</v>
      </c>
      <c r="E280" s="1">
        <f ca="1">IFERROR(__xludf.DUMMYFUNCTION("""COMPUTED_VALUE"""),-8.84)</f>
        <v>-8.84</v>
      </c>
      <c r="F280" s="1">
        <f ca="1">IFERROR(__xludf.DUMMYFUNCTION("""COMPUTED_VALUE"""),97.3)</f>
        <v>97.3</v>
      </c>
      <c r="G280" s="1">
        <f ca="1">IFERROR(__xludf.DUMMYFUNCTION("""COMPUTED_VALUE"""),262)</f>
        <v>262</v>
      </c>
      <c r="H280" s="1">
        <f ca="1">IFERROR(__xludf.DUMMYFUNCTION("""COMPUTED_VALUE"""),106.1)</f>
        <v>106.1</v>
      </c>
      <c r="I280" s="1">
        <f ca="1">IFERROR(__xludf.DUMMYFUNCTION("""COMPUTED_VALUE"""),240)</f>
        <v>240</v>
      </c>
      <c r="J280" s="1">
        <f ca="1">IFERROR(__xludf.DUMMYFUNCTION("""COMPUTED_VALUE"""),64.2)</f>
        <v>64.2</v>
      </c>
      <c r="K280" s="1">
        <f ca="1">IFERROR(__xludf.DUMMYFUNCTION("""COMPUTED_VALUE"""),221)</f>
        <v>221</v>
      </c>
      <c r="L280" s="1" t="str">
        <f ca="1">IFERROR(__xludf.DUMMYFUNCTION("""COMPUTED_VALUE"""),"+.049")</f>
        <v>+.049</v>
      </c>
      <c r="M280" s="1">
        <f ca="1">IFERROR(__xludf.DUMMYFUNCTION("""COMPUTED_VALUE"""),55)</f>
        <v>55</v>
      </c>
      <c r="N280" s="1">
        <f ca="1">IFERROR(__xludf.DUMMYFUNCTION("""COMPUTED_VALUE"""),-1.44)</f>
        <v>-1.44</v>
      </c>
      <c r="O280" s="1">
        <f ca="1">IFERROR(__xludf.DUMMYFUNCTION("""COMPUTED_VALUE"""),188)</f>
        <v>188</v>
      </c>
      <c r="P280" s="1">
        <f ca="1">IFERROR(__xludf.DUMMYFUNCTION("""COMPUTED_VALUE"""),103.3)</f>
        <v>103.3</v>
      </c>
      <c r="Q280" s="1">
        <f ca="1">IFERROR(__xludf.DUMMYFUNCTION("""COMPUTED_VALUE"""),149)</f>
        <v>149</v>
      </c>
      <c r="R280" s="1">
        <f ca="1">IFERROR(__xludf.DUMMYFUNCTION("""COMPUTED_VALUE"""),104.7)</f>
        <v>104.7</v>
      </c>
      <c r="S280" s="1">
        <f ca="1">IFERROR(__xludf.DUMMYFUNCTION("""COMPUTED_VALUE"""),237)</f>
        <v>237</v>
      </c>
      <c r="T280" s="1" t="str">
        <f ca="1">IFERROR(__xludf.DUMMYFUNCTION("""COMPUTED_VALUE"""),"+3.95")</f>
        <v>+3.95</v>
      </c>
      <c r="U280" s="1">
        <f ca="1">IFERROR(__xludf.DUMMYFUNCTION("""COMPUTED_VALUE"""),69)</f>
        <v>69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IFERROR(__xludf.DUMMYFUNCTION("""COMPUTED_VALUE"""),"Coppin St.")</f>
        <v>Coppin St.</v>
      </c>
      <c r="C281" s="1" t="str">
        <f ca="1">IFERROR(__xludf.DUMMYFUNCTION("""COMPUTED_VALUE"""),"MEAC")</f>
        <v>MEAC</v>
      </c>
      <c r="D281" s="1" t="str">
        <f ca="1">IFERROR(__xludf.DUMMYFUNCTION("""COMPUTED_VALUE"""),"13-19")</f>
        <v>13-19</v>
      </c>
      <c r="E281" s="1">
        <f ca="1">IFERROR(__xludf.DUMMYFUNCTION("""COMPUTED_VALUE"""),-9.12)</f>
        <v>-9.1199999999999992</v>
      </c>
      <c r="F281" s="1">
        <f ca="1">IFERROR(__xludf.DUMMYFUNCTION("""COMPUTED_VALUE"""),98.4)</f>
        <v>98.4</v>
      </c>
      <c r="G281" s="1">
        <f ca="1">IFERROR(__xludf.DUMMYFUNCTION("""COMPUTED_VALUE"""),242)</f>
        <v>242</v>
      </c>
      <c r="H281" s="1">
        <f ca="1">IFERROR(__xludf.DUMMYFUNCTION("""COMPUTED_VALUE"""),107.6)</f>
        <v>107.6</v>
      </c>
      <c r="I281" s="1">
        <f ca="1">IFERROR(__xludf.DUMMYFUNCTION("""COMPUTED_VALUE"""),268)</f>
        <v>268</v>
      </c>
      <c r="J281" s="1">
        <f ca="1">IFERROR(__xludf.DUMMYFUNCTION("""COMPUTED_VALUE"""),64.5)</f>
        <v>64.5</v>
      </c>
      <c r="K281" s="1">
        <f ca="1">IFERROR(__xludf.DUMMYFUNCTION("""COMPUTED_VALUE"""),214)</f>
        <v>214</v>
      </c>
      <c r="L281" s="1" t="str">
        <f ca="1">IFERROR(__xludf.DUMMYFUNCTION("""COMPUTED_VALUE"""),"+.005")</f>
        <v>+.005</v>
      </c>
      <c r="M281" s="1">
        <f ca="1">IFERROR(__xludf.DUMMYFUNCTION("""COMPUTED_VALUE"""),151)</f>
        <v>151</v>
      </c>
      <c r="N281" s="1">
        <f ca="1">IFERROR(__xludf.DUMMYFUNCTION("""COMPUTED_VALUE"""),-4.9)</f>
        <v>-4.9000000000000004</v>
      </c>
      <c r="O281" s="1">
        <f ca="1">IFERROR(__xludf.DUMMYFUNCTION("""COMPUTED_VALUE"""),265)</f>
        <v>265</v>
      </c>
      <c r="P281" s="1">
        <f ca="1">IFERROR(__xludf.DUMMYFUNCTION("""COMPUTED_VALUE"""),98.2)</f>
        <v>98.2</v>
      </c>
      <c r="Q281" s="1">
        <f ca="1">IFERROR(__xludf.DUMMYFUNCTION("""COMPUTED_VALUE"""),308)</f>
        <v>308</v>
      </c>
      <c r="R281" s="1">
        <f ca="1">IFERROR(__xludf.DUMMYFUNCTION("""COMPUTED_VALUE"""),103.1)</f>
        <v>103.1</v>
      </c>
      <c r="S281" s="1">
        <f ca="1">IFERROR(__xludf.DUMMYFUNCTION("""COMPUTED_VALUE"""),171)</f>
        <v>171</v>
      </c>
      <c r="T281" s="1" t="str">
        <f ca="1">IFERROR(__xludf.DUMMYFUNCTION("""COMPUTED_VALUE"""),"+13.05")</f>
        <v>+13.05</v>
      </c>
      <c r="U281" s="1">
        <f ca="1">IFERROR(__xludf.DUMMYFUNCTION("""COMPUTED_VALUE"""),6)</f>
        <v>6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IFERROR(__xludf.DUMMYFUNCTION("""COMPUTED_VALUE"""),"Eastern Illinois")</f>
        <v>Eastern Illinois</v>
      </c>
      <c r="C282" s="1" t="str">
        <f ca="1">IFERROR(__xludf.DUMMYFUNCTION("""COMPUTED_VALUE"""),"OVC")</f>
        <v>OVC</v>
      </c>
      <c r="D282" s="2">
        <f ca="1">IFERROR(__xludf.DUMMYFUNCTION("""COMPUTED_VALUE"""),44913)</f>
        <v>44913</v>
      </c>
      <c r="E282" s="1">
        <f ca="1">IFERROR(__xludf.DUMMYFUNCTION("""COMPUTED_VALUE"""),-9.29)</f>
        <v>-9.2899999999999991</v>
      </c>
      <c r="F282" s="1">
        <f ca="1">IFERROR(__xludf.DUMMYFUNCTION("""COMPUTED_VALUE"""),97.5)</f>
        <v>97.5</v>
      </c>
      <c r="G282" s="1">
        <f ca="1">IFERROR(__xludf.DUMMYFUNCTION("""COMPUTED_VALUE"""),257)</f>
        <v>257</v>
      </c>
      <c r="H282" s="1">
        <f ca="1">IFERROR(__xludf.DUMMYFUNCTION("""COMPUTED_VALUE"""),106.8)</f>
        <v>106.8</v>
      </c>
      <c r="I282" s="1">
        <f ca="1">IFERROR(__xludf.DUMMYFUNCTION("""COMPUTED_VALUE"""),258)</f>
        <v>258</v>
      </c>
      <c r="J282" s="1">
        <f ca="1">IFERROR(__xludf.DUMMYFUNCTION("""COMPUTED_VALUE"""),61.6)</f>
        <v>61.6</v>
      </c>
      <c r="K282" s="1">
        <f ca="1">IFERROR(__xludf.DUMMYFUNCTION("""COMPUTED_VALUE"""),308)</f>
        <v>308</v>
      </c>
      <c r="L282" s="1">
        <f ca="1">IFERROR(__xludf.DUMMYFUNCTION("""COMPUTED_VALUE"""),-0.01)</f>
        <v>-0.01</v>
      </c>
      <c r="M282" s="1">
        <f ca="1">IFERROR(__xludf.DUMMYFUNCTION("""COMPUTED_VALUE"""),191)</f>
        <v>191</v>
      </c>
      <c r="N282" s="1">
        <f ca="1">IFERROR(__xludf.DUMMYFUNCTION("""COMPUTED_VALUE"""),-3.9)</f>
        <v>-3.9</v>
      </c>
      <c r="O282" s="1">
        <f ca="1">IFERROR(__xludf.DUMMYFUNCTION("""COMPUTED_VALUE"""),247)</f>
        <v>247</v>
      </c>
      <c r="P282" s="1">
        <f ca="1">IFERROR(__xludf.DUMMYFUNCTION("""COMPUTED_VALUE"""),102.9)</f>
        <v>102.9</v>
      </c>
      <c r="Q282" s="1">
        <f ca="1">IFERROR(__xludf.DUMMYFUNCTION("""COMPUTED_VALUE"""),167)</f>
        <v>167</v>
      </c>
      <c r="R282" s="1">
        <f ca="1">IFERROR(__xludf.DUMMYFUNCTION("""COMPUTED_VALUE"""),106.8)</f>
        <v>106.8</v>
      </c>
      <c r="S282" s="1">
        <f ca="1">IFERROR(__xludf.DUMMYFUNCTION("""COMPUTED_VALUE"""),327)</f>
        <v>327</v>
      </c>
      <c r="T282" s="1">
        <f ca="1">IFERROR(__xludf.DUMMYFUNCTION("""COMPUTED_VALUE"""),-2.55)</f>
        <v>-2.5499999999999998</v>
      </c>
      <c r="U282" s="1">
        <f ca="1">IFERROR(__xludf.DUMMYFUNCTION("""COMPUTED_VALUE"""),221)</f>
        <v>221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IFERROR(__xludf.DUMMYFUNCTION("""COMPUTED_VALUE"""),"Cal Poly")</f>
        <v>Cal Poly</v>
      </c>
      <c r="C283" s="1" t="str">
        <f ca="1">IFERROR(__xludf.DUMMYFUNCTION("""COMPUTED_VALUE"""),"BW")</f>
        <v>BW</v>
      </c>
      <c r="D283" s="2">
        <f ca="1">IFERROR(__xludf.DUMMYFUNCTION("""COMPUTED_VALUE"""),44763)</f>
        <v>44763</v>
      </c>
      <c r="E283" s="1">
        <f ca="1">IFERROR(__xludf.DUMMYFUNCTION("""COMPUTED_VALUE"""),-9.52)</f>
        <v>-9.52</v>
      </c>
      <c r="F283" s="1">
        <f ca="1">IFERROR(__xludf.DUMMYFUNCTION("""COMPUTED_VALUE"""),97.6)</f>
        <v>97.6</v>
      </c>
      <c r="G283" s="1">
        <f ca="1">IFERROR(__xludf.DUMMYFUNCTION("""COMPUTED_VALUE"""),252)</f>
        <v>252</v>
      </c>
      <c r="H283" s="1">
        <f ca="1">IFERROR(__xludf.DUMMYFUNCTION("""COMPUTED_VALUE"""),107.1)</f>
        <v>107.1</v>
      </c>
      <c r="I283" s="1">
        <f ca="1">IFERROR(__xludf.DUMMYFUNCTION("""COMPUTED_VALUE"""),261)</f>
        <v>261</v>
      </c>
      <c r="J283" s="1">
        <f ca="1">IFERROR(__xludf.DUMMYFUNCTION("""COMPUTED_VALUE"""),65.1)</f>
        <v>65.099999999999994</v>
      </c>
      <c r="K283" s="1">
        <f ca="1">IFERROR(__xludf.DUMMYFUNCTION("""COMPUTED_VALUE"""),179)</f>
        <v>179</v>
      </c>
      <c r="L283" s="1">
        <f ca="1">IFERROR(__xludf.DUMMYFUNCTION("""COMPUTED_VALUE"""),-0.1)</f>
        <v>-0.1</v>
      </c>
      <c r="M283" s="1">
        <f ca="1">IFERROR(__xludf.DUMMYFUNCTION("""COMPUTED_VALUE"""),337)</f>
        <v>337</v>
      </c>
      <c r="N283" s="1">
        <f ca="1">IFERROR(__xludf.DUMMYFUNCTION("""COMPUTED_VALUE"""),-3.07)</f>
        <v>-3.07</v>
      </c>
      <c r="O283" s="1">
        <f ca="1">IFERROR(__xludf.DUMMYFUNCTION("""COMPUTED_VALUE"""),223)</f>
        <v>223</v>
      </c>
      <c r="P283" s="1">
        <f ca="1">IFERROR(__xludf.DUMMYFUNCTION("""COMPUTED_VALUE"""),102.7)</f>
        <v>102.7</v>
      </c>
      <c r="Q283" s="1">
        <f ca="1">IFERROR(__xludf.DUMMYFUNCTION("""COMPUTED_VALUE"""),177)</f>
        <v>177</v>
      </c>
      <c r="R283" s="1">
        <f ca="1">IFERROR(__xludf.DUMMYFUNCTION("""COMPUTED_VALUE"""),105.7)</f>
        <v>105.7</v>
      </c>
      <c r="S283" s="1">
        <f ca="1">IFERROR(__xludf.DUMMYFUNCTION("""COMPUTED_VALUE"""),288)</f>
        <v>288</v>
      </c>
      <c r="T283" s="1">
        <f ca="1">IFERROR(__xludf.DUMMYFUNCTION("""COMPUTED_VALUE"""),-5.44)</f>
        <v>-5.44</v>
      </c>
      <c r="U283" s="1">
        <f ca="1">IFERROR(__xludf.DUMMYFUNCTION("""COMPUTED_VALUE"""),288)</f>
        <v>288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IFERROR(__xludf.DUMMYFUNCTION("""COMPUTED_VALUE"""),"Detroit")</f>
        <v>Detroit</v>
      </c>
      <c r="C284" s="1" t="str">
        <f ca="1">IFERROR(__xludf.DUMMYFUNCTION("""COMPUTED_VALUE"""),"Horz")</f>
        <v>Horz</v>
      </c>
      <c r="D284" s="2">
        <f ca="1">IFERROR(__xludf.DUMMYFUNCTION("""COMPUTED_VALUE"""),44765)</f>
        <v>44765</v>
      </c>
      <c r="E284" s="1">
        <f ca="1">IFERROR(__xludf.DUMMYFUNCTION("""COMPUTED_VALUE"""),-9.54)</f>
        <v>-9.5399999999999991</v>
      </c>
      <c r="F284" s="1">
        <f ca="1">IFERROR(__xludf.DUMMYFUNCTION("""COMPUTED_VALUE"""),91.4)</f>
        <v>91.4</v>
      </c>
      <c r="G284" s="1">
        <f ca="1">IFERROR(__xludf.DUMMYFUNCTION("""COMPUTED_VALUE"""),319)</f>
        <v>319</v>
      </c>
      <c r="H284" s="1">
        <f ca="1">IFERROR(__xludf.DUMMYFUNCTION("""COMPUTED_VALUE"""),101)</f>
        <v>101</v>
      </c>
      <c r="I284" s="1">
        <f ca="1">IFERROR(__xludf.DUMMYFUNCTION("""COMPUTED_VALUE"""),132)</f>
        <v>132</v>
      </c>
      <c r="J284" s="1">
        <f ca="1">IFERROR(__xludf.DUMMYFUNCTION("""COMPUTED_VALUE"""),63.9)</f>
        <v>63.9</v>
      </c>
      <c r="K284" s="1">
        <f ca="1">IFERROR(__xludf.DUMMYFUNCTION("""COMPUTED_VALUE"""),233)</f>
        <v>233</v>
      </c>
      <c r="L284" s="1">
        <f ca="1">IFERROR(__xludf.DUMMYFUNCTION("""COMPUTED_VALUE"""),-0.004)</f>
        <v>-4.0000000000000001E-3</v>
      </c>
      <c r="M284" s="1">
        <f ca="1">IFERROR(__xludf.DUMMYFUNCTION("""COMPUTED_VALUE"""),171)</f>
        <v>171</v>
      </c>
      <c r="N284" s="1" t="str">
        <f ca="1">IFERROR(__xludf.DUMMYFUNCTION("""COMPUTED_VALUE"""),"+2.95")</f>
        <v>+2.95</v>
      </c>
      <c r="O284" s="1">
        <f ca="1">IFERROR(__xludf.DUMMYFUNCTION("""COMPUTED_VALUE"""),100)</f>
        <v>100</v>
      </c>
      <c r="P284" s="1">
        <f ca="1">IFERROR(__xludf.DUMMYFUNCTION("""COMPUTED_VALUE"""),103.9)</f>
        <v>103.9</v>
      </c>
      <c r="Q284" s="1">
        <f ca="1">IFERROR(__xludf.DUMMYFUNCTION("""COMPUTED_VALUE"""),125)</f>
        <v>125</v>
      </c>
      <c r="R284" s="1">
        <f ca="1">IFERROR(__xludf.DUMMYFUNCTION("""COMPUTED_VALUE"""),101)</f>
        <v>101</v>
      </c>
      <c r="S284" s="1">
        <f ca="1">IFERROR(__xludf.DUMMYFUNCTION("""COMPUTED_VALUE"""),85)</f>
        <v>85</v>
      </c>
      <c r="T284" s="1" t="str">
        <f ca="1">IFERROR(__xludf.DUMMYFUNCTION("""COMPUTED_VALUE"""),"+1.60")</f>
        <v>+1.60</v>
      </c>
      <c r="U284" s="1">
        <f ca="1">IFERROR(__xludf.DUMMYFUNCTION("""COMPUTED_VALUE"""),116)</f>
        <v>116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IFERROR(__xludf.DUMMYFUNCTION("""COMPUTED_VALUE"""),"Saint Peter's")</f>
        <v>Saint Peter's</v>
      </c>
      <c r="C285" s="1" t="str">
        <f ca="1">IFERROR(__xludf.DUMMYFUNCTION("""COMPUTED_VALUE"""),"MAAC")</f>
        <v>MAAC</v>
      </c>
      <c r="D285" s="2">
        <f ca="1">IFERROR(__xludf.DUMMYFUNCTION("""COMPUTED_VALUE"""),44884)</f>
        <v>44884</v>
      </c>
      <c r="E285" s="1">
        <f ca="1">IFERROR(__xludf.DUMMYFUNCTION("""COMPUTED_VALUE"""),-9.56)</f>
        <v>-9.56</v>
      </c>
      <c r="F285" s="1">
        <f ca="1">IFERROR(__xludf.DUMMYFUNCTION("""COMPUTED_VALUE"""),93.6)</f>
        <v>93.6</v>
      </c>
      <c r="G285" s="1">
        <f ca="1">IFERROR(__xludf.DUMMYFUNCTION("""COMPUTED_VALUE"""),303)</f>
        <v>303</v>
      </c>
      <c r="H285" s="1">
        <f ca="1">IFERROR(__xludf.DUMMYFUNCTION("""COMPUTED_VALUE"""),103.2)</f>
        <v>103.2</v>
      </c>
      <c r="I285" s="1">
        <f ca="1">IFERROR(__xludf.DUMMYFUNCTION("""COMPUTED_VALUE"""),176)</f>
        <v>176</v>
      </c>
      <c r="J285" s="1">
        <f ca="1">IFERROR(__xludf.DUMMYFUNCTION("""COMPUTED_VALUE"""),62.6)</f>
        <v>62.6</v>
      </c>
      <c r="K285" s="1">
        <f ca="1">IFERROR(__xludf.DUMMYFUNCTION("""COMPUTED_VALUE"""),279)</f>
        <v>279</v>
      </c>
      <c r="L285" s="1" t="str">
        <f ca="1">IFERROR(__xludf.DUMMYFUNCTION("""COMPUTED_VALUE"""),"+.024")</f>
        <v>+.024</v>
      </c>
      <c r="M285" s="1">
        <f ca="1">IFERROR(__xludf.DUMMYFUNCTION("""COMPUTED_VALUE"""),109)</f>
        <v>109</v>
      </c>
      <c r="N285" s="1">
        <f ca="1">IFERROR(__xludf.DUMMYFUNCTION("""COMPUTED_VALUE"""),-3.67)</f>
        <v>-3.67</v>
      </c>
      <c r="O285" s="1">
        <f ca="1">IFERROR(__xludf.DUMMYFUNCTION("""COMPUTED_VALUE"""),243)</f>
        <v>243</v>
      </c>
      <c r="P285" s="1">
        <f ca="1">IFERROR(__xludf.DUMMYFUNCTION("""COMPUTED_VALUE"""),99.7)</f>
        <v>99.7</v>
      </c>
      <c r="Q285" s="1">
        <f ca="1">IFERROR(__xludf.DUMMYFUNCTION("""COMPUTED_VALUE"""),278)</f>
        <v>278</v>
      </c>
      <c r="R285" s="1">
        <f ca="1">IFERROR(__xludf.DUMMYFUNCTION("""COMPUTED_VALUE"""),103.4)</f>
        <v>103.4</v>
      </c>
      <c r="S285" s="1">
        <f ca="1">IFERROR(__xludf.DUMMYFUNCTION("""COMPUTED_VALUE"""),185)</f>
        <v>185</v>
      </c>
      <c r="T285" s="1">
        <f ca="1">IFERROR(__xludf.DUMMYFUNCTION("""COMPUTED_VALUE"""),-8.82)</f>
        <v>-8.82</v>
      </c>
      <c r="U285" s="1">
        <f ca="1">IFERROR(__xludf.DUMMYFUNCTION("""COMPUTED_VALUE"""),328)</f>
        <v>328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IFERROR(__xludf.DUMMYFUNCTION("""COMPUTED_VALUE"""),"Cal St. Bakersfield")</f>
        <v>Cal St. Bakersfield</v>
      </c>
      <c r="C286" s="1" t="str">
        <f ca="1">IFERROR(__xludf.DUMMYFUNCTION("""COMPUTED_VALUE"""),"ind")</f>
        <v>ind</v>
      </c>
      <c r="D286" s="2">
        <f ca="1">IFERROR(__xludf.DUMMYFUNCTION("""COMPUTED_VALUE"""),44794)</f>
        <v>44794</v>
      </c>
      <c r="E286" s="1">
        <f ca="1">IFERROR(__xludf.DUMMYFUNCTION("""COMPUTED_VALUE"""),-9.69)</f>
        <v>-9.69</v>
      </c>
      <c r="F286" s="1">
        <f ca="1">IFERROR(__xludf.DUMMYFUNCTION("""COMPUTED_VALUE"""),100.1)</f>
        <v>100.1</v>
      </c>
      <c r="G286" s="1">
        <f ca="1">IFERROR(__xludf.DUMMYFUNCTION("""COMPUTED_VALUE"""),221)</f>
        <v>221</v>
      </c>
      <c r="H286" s="1">
        <f ca="1">IFERROR(__xludf.DUMMYFUNCTION("""COMPUTED_VALUE"""),109.8)</f>
        <v>109.8</v>
      </c>
      <c r="I286" s="1">
        <f ca="1">IFERROR(__xludf.DUMMYFUNCTION("""COMPUTED_VALUE"""),299)</f>
        <v>299</v>
      </c>
      <c r="J286" s="1">
        <f ca="1">IFERROR(__xludf.DUMMYFUNCTION("""COMPUTED_VALUE"""),64.8)</f>
        <v>64.8</v>
      </c>
      <c r="K286" s="1">
        <f ca="1">IFERROR(__xludf.DUMMYFUNCTION("""COMPUTED_VALUE"""),193)</f>
        <v>193</v>
      </c>
      <c r="L286" s="1" t="str">
        <f ca="1">IFERROR(__xludf.DUMMYFUNCTION("""COMPUTED_VALUE"""),"+.011")</f>
        <v>+.011</v>
      </c>
      <c r="M286" s="1">
        <f ca="1">IFERROR(__xludf.DUMMYFUNCTION("""COMPUTED_VALUE"""),141)</f>
        <v>141</v>
      </c>
      <c r="N286" s="1">
        <f ca="1">IFERROR(__xludf.DUMMYFUNCTION("""COMPUTED_VALUE"""),-1)</f>
        <v>-1</v>
      </c>
      <c r="O286" s="1">
        <f ca="1">IFERROR(__xludf.DUMMYFUNCTION("""COMPUTED_VALUE"""),176)</f>
        <v>176</v>
      </c>
      <c r="P286" s="1">
        <f ca="1">IFERROR(__xludf.DUMMYFUNCTION("""COMPUTED_VALUE"""),103.1)</f>
        <v>103.1</v>
      </c>
      <c r="Q286" s="1">
        <f ca="1">IFERROR(__xludf.DUMMYFUNCTION("""COMPUTED_VALUE"""),157)</f>
        <v>157</v>
      </c>
      <c r="R286" s="1">
        <f ca="1">IFERROR(__xludf.DUMMYFUNCTION("""COMPUTED_VALUE"""),104.1)</f>
        <v>104.1</v>
      </c>
      <c r="S286" s="1">
        <f ca="1">IFERROR(__xludf.DUMMYFUNCTION("""COMPUTED_VALUE"""),208)</f>
        <v>208</v>
      </c>
      <c r="T286" s="1">
        <f ca="1">IFERROR(__xludf.DUMMYFUNCTION("""COMPUTED_VALUE"""),-0.86)</f>
        <v>-0.86</v>
      </c>
      <c r="U286" s="1">
        <f ca="1">IFERROR(__xludf.DUMMYFUNCTION("""COMPUTED_VALUE"""),182)</f>
        <v>182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IFERROR(__xludf.DUMMYFUNCTION("""COMPUTED_VALUE"""),"Penn")</f>
        <v>Penn</v>
      </c>
      <c r="C287" s="1" t="str">
        <f ca="1">IFERROR(__xludf.DUMMYFUNCTION("""COMPUTED_VALUE"""),"Ivy")</f>
        <v>Ivy</v>
      </c>
      <c r="D287" s="2">
        <f ca="1">IFERROR(__xludf.DUMMYFUNCTION("""COMPUTED_VALUE"""),44852)</f>
        <v>44852</v>
      </c>
      <c r="E287" s="1">
        <f ca="1">IFERROR(__xludf.DUMMYFUNCTION("""COMPUTED_VALUE"""),-9.7)</f>
        <v>-9.6999999999999993</v>
      </c>
      <c r="F287" s="1">
        <f ca="1">IFERROR(__xludf.DUMMYFUNCTION("""COMPUTED_VALUE"""),96.1)</f>
        <v>96.1</v>
      </c>
      <c r="G287" s="1">
        <f ca="1">IFERROR(__xludf.DUMMYFUNCTION("""COMPUTED_VALUE"""),274)</f>
        <v>274</v>
      </c>
      <c r="H287" s="1">
        <f ca="1">IFERROR(__xludf.DUMMYFUNCTION("""COMPUTED_VALUE"""),105.8)</f>
        <v>105.8</v>
      </c>
      <c r="I287" s="1">
        <f ca="1">IFERROR(__xludf.DUMMYFUNCTION("""COMPUTED_VALUE"""),235)</f>
        <v>235</v>
      </c>
      <c r="J287" s="1">
        <f ca="1">IFERROR(__xludf.DUMMYFUNCTION("""COMPUTED_VALUE"""),67.2)</f>
        <v>67.2</v>
      </c>
      <c r="K287" s="1">
        <f ca="1">IFERROR(__xludf.DUMMYFUNCTION("""COMPUTED_VALUE"""),88)</f>
        <v>88</v>
      </c>
      <c r="L287" s="1">
        <f ca="1">IFERROR(__xludf.DUMMYFUNCTION("""COMPUTED_VALUE"""),-0.032)</f>
        <v>-3.2000000000000001E-2</v>
      </c>
      <c r="M287" s="1">
        <f ca="1">IFERROR(__xludf.DUMMYFUNCTION("""COMPUTED_VALUE"""),258)</f>
        <v>258</v>
      </c>
      <c r="N287" s="1">
        <f ca="1">IFERROR(__xludf.DUMMYFUNCTION("""COMPUTED_VALUE"""),-5.05)</f>
        <v>-5.05</v>
      </c>
      <c r="O287" s="1">
        <f ca="1">IFERROR(__xludf.DUMMYFUNCTION("""COMPUTED_VALUE"""),271)</f>
        <v>271</v>
      </c>
      <c r="P287" s="1">
        <f ca="1">IFERROR(__xludf.DUMMYFUNCTION("""COMPUTED_VALUE"""),99.1)</f>
        <v>99.1</v>
      </c>
      <c r="Q287" s="1">
        <f ca="1">IFERROR(__xludf.DUMMYFUNCTION("""COMPUTED_VALUE"""),288)</f>
        <v>288</v>
      </c>
      <c r="R287" s="1">
        <f ca="1">IFERROR(__xludf.DUMMYFUNCTION("""COMPUTED_VALUE"""),104.1)</f>
        <v>104.1</v>
      </c>
      <c r="S287" s="1">
        <f ca="1">IFERROR(__xludf.DUMMYFUNCTION("""COMPUTED_VALUE"""),215)</f>
        <v>215</v>
      </c>
      <c r="T287" s="1" t="str">
        <f ca="1">IFERROR(__xludf.DUMMYFUNCTION("""COMPUTED_VALUE"""),"+0.34")</f>
        <v>+0.34</v>
      </c>
      <c r="U287" s="1">
        <f ca="1">IFERROR(__xludf.DUMMYFUNCTION("""COMPUTED_VALUE"""),146)</f>
        <v>146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IFERROR(__xludf.DUMMYFUNCTION("""COMPUTED_VALUE"""),"Tennessee St.")</f>
        <v>Tennessee St.</v>
      </c>
      <c r="C288" s="1" t="str">
        <f ca="1">IFERROR(__xludf.DUMMYFUNCTION("""COMPUTED_VALUE"""),"OVC")</f>
        <v>OVC</v>
      </c>
      <c r="D288" s="2">
        <f ca="1">IFERROR(__xludf.DUMMYFUNCTION("""COMPUTED_VALUE"""),44913)</f>
        <v>44913</v>
      </c>
      <c r="E288" s="1">
        <f ca="1">IFERROR(__xludf.DUMMYFUNCTION("""COMPUTED_VALUE"""),-9.86)</f>
        <v>-9.86</v>
      </c>
      <c r="F288" s="1">
        <f ca="1">IFERROR(__xludf.DUMMYFUNCTION("""COMPUTED_VALUE"""),101.6)</f>
        <v>101.6</v>
      </c>
      <c r="G288" s="1">
        <f ca="1">IFERROR(__xludf.DUMMYFUNCTION("""COMPUTED_VALUE"""),198)</f>
        <v>198</v>
      </c>
      <c r="H288" s="1">
        <f ca="1">IFERROR(__xludf.DUMMYFUNCTION("""COMPUTED_VALUE"""),111.4)</f>
        <v>111.4</v>
      </c>
      <c r="I288" s="1">
        <f ca="1">IFERROR(__xludf.DUMMYFUNCTION("""COMPUTED_VALUE"""),316)</f>
        <v>316</v>
      </c>
      <c r="J288" s="1">
        <f ca="1">IFERROR(__xludf.DUMMYFUNCTION("""COMPUTED_VALUE"""),68.6)</f>
        <v>68.599999999999994</v>
      </c>
      <c r="K288" s="1">
        <f ca="1">IFERROR(__xludf.DUMMYFUNCTION("""COMPUTED_VALUE"""),53)</f>
        <v>53</v>
      </c>
      <c r="L288" s="1" t="str">
        <f ca="1">IFERROR(__xludf.DUMMYFUNCTION("""COMPUTED_VALUE"""),"+.059")</f>
        <v>+.059</v>
      </c>
      <c r="M288" s="1">
        <f ca="1">IFERROR(__xludf.DUMMYFUNCTION("""COMPUTED_VALUE"""),37)</f>
        <v>37</v>
      </c>
      <c r="N288" s="1">
        <f ca="1">IFERROR(__xludf.DUMMYFUNCTION("""COMPUTED_VALUE"""),-3.04)</f>
        <v>-3.04</v>
      </c>
      <c r="O288" s="1">
        <f ca="1">IFERROR(__xludf.DUMMYFUNCTION("""COMPUTED_VALUE"""),220)</f>
        <v>220</v>
      </c>
      <c r="P288" s="1">
        <f ca="1">IFERROR(__xludf.DUMMYFUNCTION("""COMPUTED_VALUE"""),102.1)</f>
        <v>102.1</v>
      </c>
      <c r="Q288" s="1">
        <f ca="1">IFERROR(__xludf.DUMMYFUNCTION("""COMPUTED_VALUE"""),203)</f>
        <v>203</v>
      </c>
      <c r="R288" s="1">
        <f ca="1">IFERROR(__xludf.DUMMYFUNCTION("""COMPUTED_VALUE"""),105.1)</f>
        <v>105.1</v>
      </c>
      <c r="S288" s="1">
        <f ca="1">IFERROR(__xludf.DUMMYFUNCTION("""COMPUTED_VALUE"""),252)</f>
        <v>252</v>
      </c>
      <c r="T288" s="1">
        <f ca="1">IFERROR(__xludf.DUMMYFUNCTION("""COMPUTED_VALUE"""),-0.39)</f>
        <v>-0.39</v>
      </c>
      <c r="U288" s="1">
        <f ca="1">IFERROR(__xludf.DUMMYFUNCTION("""COMPUTED_VALUE"""),169)</f>
        <v>169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IFERROR(__xludf.DUMMYFUNCTION("""COMPUTED_VALUE"""),"Hampton")</f>
        <v>Hampton</v>
      </c>
      <c r="C289" s="1" t="str">
        <f ca="1">IFERROR(__xludf.DUMMYFUNCTION("""COMPUTED_VALUE"""),"MEAC")</f>
        <v>MEAC</v>
      </c>
      <c r="D289" s="1" t="str">
        <f ca="1">IFERROR(__xludf.DUMMYFUNCTION("""COMPUTED_VALUE"""),"16-16")</f>
        <v>16-16</v>
      </c>
      <c r="E289" s="1">
        <f ca="1">IFERROR(__xludf.DUMMYFUNCTION("""COMPUTED_VALUE"""),-9.99)</f>
        <v>-9.99</v>
      </c>
      <c r="F289" s="1">
        <f ca="1">IFERROR(__xludf.DUMMYFUNCTION("""COMPUTED_VALUE"""),86.3)</f>
        <v>86.3</v>
      </c>
      <c r="G289" s="1">
        <f ca="1">IFERROR(__xludf.DUMMYFUNCTION("""COMPUTED_VALUE"""),339)</f>
        <v>339</v>
      </c>
      <c r="H289" s="1">
        <f ca="1">IFERROR(__xludf.DUMMYFUNCTION("""COMPUTED_VALUE"""),96.3)</f>
        <v>96.3</v>
      </c>
      <c r="I289" s="1">
        <f ca="1">IFERROR(__xludf.DUMMYFUNCTION("""COMPUTED_VALUE"""),55)</f>
        <v>55</v>
      </c>
      <c r="J289" s="1">
        <f ca="1">IFERROR(__xludf.DUMMYFUNCTION("""COMPUTED_VALUE"""),63.5)</f>
        <v>63.5</v>
      </c>
      <c r="K289" s="1">
        <f ca="1">IFERROR(__xludf.DUMMYFUNCTION("""COMPUTED_VALUE"""),257)</f>
        <v>257</v>
      </c>
      <c r="L289" s="1" t="str">
        <f ca="1">IFERROR(__xludf.DUMMYFUNCTION("""COMPUTED_VALUE"""),"+.029")</f>
        <v>+.029</v>
      </c>
      <c r="M289" s="1">
        <f ca="1">IFERROR(__xludf.DUMMYFUNCTION("""COMPUTED_VALUE"""),94)</f>
        <v>94</v>
      </c>
      <c r="N289" s="1">
        <f ca="1">IFERROR(__xludf.DUMMYFUNCTION("""COMPUTED_VALUE"""),-8.77)</f>
        <v>-8.77</v>
      </c>
      <c r="O289" s="1">
        <f ca="1">IFERROR(__xludf.DUMMYFUNCTION("""COMPUTED_VALUE"""),320)</f>
        <v>320</v>
      </c>
      <c r="P289" s="1">
        <f ca="1">IFERROR(__xludf.DUMMYFUNCTION("""COMPUTED_VALUE"""),97)</f>
        <v>97</v>
      </c>
      <c r="Q289" s="1">
        <f ca="1">IFERROR(__xludf.DUMMYFUNCTION("""COMPUTED_VALUE"""),325)</f>
        <v>325</v>
      </c>
      <c r="R289" s="1">
        <f ca="1">IFERROR(__xludf.DUMMYFUNCTION("""COMPUTED_VALUE"""),105.7)</f>
        <v>105.7</v>
      </c>
      <c r="S289" s="1">
        <f ca="1">IFERROR(__xludf.DUMMYFUNCTION("""COMPUTED_VALUE"""),289)</f>
        <v>289</v>
      </c>
      <c r="T289" s="1">
        <f ca="1">IFERROR(__xludf.DUMMYFUNCTION("""COMPUTED_VALUE"""),-1.64)</f>
        <v>-1.64</v>
      </c>
      <c r="U289" s="1">
        <f ca="1">IFERROR(__xludf.DUMMYFUNCTION("""COMPUTED_VALUE"""),199)</f>
        <v>199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IFERROR(__xludf.DUMMYFUNCTION("""COMPUTED_VALUE"""),"South Carolina St.")</f>
        <v>South Carolina St.</v>
      </c>
      <c r="C290" s="1" t="str">
        <f ca="1">IFERROR(__xludf.DUMMYFUNCTION("""COMPUTED_VALUE"""),"MEAC")</f>
        <v>MEAC</v>
      </c>
      <c r="D290" s="1" t="str">
        <f ca="1">IFERROR(__xludf.DUMMYFUNCTION("""COMPUTED_VALUE"""),"17-14")</f>
        <v>17-14</v>
      </c>
      <c r="E290" s="1">
        <f ca="1">IFERROR(__xludf.DUMMYFUNCTION("""COMPUTED_VALUE"""),-10.24)</f>
        <v>-10.24</v>
      </c>
      <c r="F290" s="1">
        <f ca="1">IFERROR(__xludf.DUMMYFUNCTION("""COMPUTED_VALUE"""),96.4)</f>
        <v>96.4</v>
      </c>
      <c r="G290" s="1">
        <f ca="1">IFERROR(__xludf.DUMMYFUNCTION("""COMPUTED_VALUE"""),272)</f>
        <v>272</v>
      </c>
      <c r="H290" s="1">
        <f ca="1">IFERROR(__xludf.DUMMYFUNCTION("""COMPUTED_VALUE"""),106.6)</f>
        <v>106.6</v>
      </c>
      <c r="I290" s="1">
        <f ca="1">IFERROR(__xludf.DUMMYFUNCTION("""COMPUTED_VALUE"""),250)</f>
        <v>250</v>
      </c>
      <c r="J290" s="1">
        <f ca="1">IFERROR(__xludf.DUMMYFUNCTION("""COMPUTED_VALUE"""),68.5)</f>
        <v>68.5</v>
      </c>
      <c r="K290" s="1">
        <f ca="1">IFERROR(__xludf.DUMMYFUNCTION("""COMPUTED_VALUE"""),56)</f>
        <v>56</v>
      </c>
      <c r="L290" s="1">
        <f ca="1">IFERROR(__xludf.DUMMYFUNCTION("""COMPUTED_VALUE"""),-0.014)</f>
        <v>-1.4E-2</v>
      </c>
      <c r="M290" s="1">
        <f ca="1">IFERROR(__xludf.DUMMYFUNCTION("""COMPUTED_VALUE"""),207)</f>
        <v>207</v>
      </c>
      <c r="N290" s="1">
        <f ca="1">IFERROR(__xludf.DUMMYFUNCTION("""COMPUTED_VALUE"""),-11.92)</f>
        <v>-11.92</v>
      </c>
      <c r="O290" s="1">
        <f ca="1">IFERROR(__xludf.DUMMYFUNCTION("""COMPUTED_VALUE"""),341)</f>
        <v>341</v>
      </c>
      <c r="P290" s="1">
        <f ca="1">IFERROR(__xludf.DUMMYFUNCTION("""COMPUTED_VALUE"""),93.9)</f>
        <v>93.9</v>
      </c>
      <c r="Q290" s="1">
        <f ca="1">IFERROR(__xludf.DUMMYFUNCTION("""COMPUTED_VALUE"""),343)</f>
        <v>343</v>
      </c>
      <c r="R290" s="1">
        <f ca="1">IFERROR(__xludf.DUMMYFUNCTION("""COMPUTED_VALUE"""),105.8)</f>
        <v>105.8</v>
      </c>
      <c r="S290" s="1">
        <f ca="1">IFERROR(__xludf.DUMMYFUNCTION("""COMPUTED_VALUE"""),294)</f>
        <v>294</v>
      </c>
      <c r="T290" s="1">
        <f ca="1">IFERROR(__xludf.DUMMYFUNCTION("""COMPUTED_VALUE"""),-4.07)</f>
        <v>-4.07</v>
      </c>
      <c r="U290" s="1">
        <f ca="1">IFERROR(__xludf.DUMMYFUNCTION("""COMPUTED_VALUE"""),252)</f>
        <v>252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IFERROR(__xludf.DUMMYFUNCTION("""COMPUTED_VALUE"""),"Wagner")</f>
        <v>Wagner</v>
      </c>
      <c r="C291" s="1" t="str">
        <f ca="1">IFERROR(__xludf.DUMMYFUNCTION("""COMPUTED_VALUE"""),"NEC")</f>
        <v>NEC</v>
      </c>
      <c r="D291" s="1" t="str">
        <f ca="1">IFERROR(__xludf.DUMMYFUNCTION("""COMPUTED_VALUE"""),"16-14")</f>
        <v>16-14</v>
      </c>
      <c r="E291" s="1">
        <f ca="1">IFERROR(__xludf.DUMMYFUNCTION("""COMPUTED_VALUE"""),-10.42)</f>
        <v>-10.42</v>
      </c>
      <c r="F291" s="1">
        <f ca="1">IFERROR(__xludf.DUMMYFUNCTION("""COMPUTED_VALUE"""),97.6)</f>
        <v>97.6</v>
      </c>
      <c r="G291" s="1">
        <f ca="1">IFERROR(__xludf.DUMMYFUNCTION("""COMPUTED_VALUE"""),255)</f>
        <v>255</v>
      </c>
      <c r="H291" s="1">
        <f ca="1">IFERROR(__xludf.DUMMYFUNCTION("""COMPUTED_VALUE"""),108)</f>
        <v>108</v>
      </c>
      <c r="I291" s="1">
        <f ca="1">IFERROR(__xludf.DUMMYFUNCTION("""COMPUTED_VALUE"""),276)</f>
        <v>276</v>
      </c>
      <c r="J291" s="1">
        <f ca="1">IFERROR(__xludf.DUMMYFUNCTION("""COMPUTED_VALUE"""),66.5)</f>
        <v>66.5</v>
      </c>
      <c r="K291" s="1">
        <f ca="1">IFERROR(__xludf.DUMMYFUNCTION("""COMPUTED_VALUE"""),119)</f>
        <v>119</v>
      </c>
      <c r="L291" s="1" t="str">
        <f ca="1">IFERROR(__xludf.DUMMYFUNCTION("""COMPUTED_VALUE"""),"+.056")</f>
        <v>+.056</v>
      </c>
      <c r="M291" s="1">
        <f ca="1">IFERROR(__xludf.DUMMYFUNCTION("""COMPUTED_VALUE"""),42)</f>
        <v>42</v>
      </c>
      <c r="N291" s="1">
        <f ca="1">IFERROR(__xludf.DUMMYFUNCTION("""COMPUTED_VALUE"""),-11.18)</f>
        <v>-11.18</v>
      </c>
      <c r="O291" s="1">
        <f ca="1">IFERROR(__xludf.DUMMYFUNCTION("""COMPUTED_VALUE"""),338)</f>
        <v>338</v>
      </c>
      <c r="P291" s="1">
        <f ca="1">IFERROR(__xludf.DUMMYFUNCTION("""COMPUTED_VALUE"""),95.9)</f>
        <v>95.9</v>
      </c>
      <c r="Q291" s="1">
        <f ca="1">IFERROR(__xludf.DUMMYFUNCTION("""COMPUTED_VALUE"""),338)</f>
        <v>338</v>
      </c>
      <c r="R291" s="1">
        <f ca="1">IFERROR(__xludf.DUMMYFUNCTION("""COMPUTED_VALUE"""),107.1)</f>
        <v>107.1</v>
      </c>
      <c r="S291" s="1">
        <f ca="1">IFERROR(__xludf.DUMMYFUNCTION("""COMPUTED_VALUE"""),332)</f>
        <v>332</v>
      </c>
      <c r="T291" s="1">
        <f ca="1">IFERROR(__xludf.DUMMYFUNCTION("""COMPUTED_VALUE"""),-13.35)</f>
        <v>-13.35</v>
      </c>
      <c r="U291" s="1">
        <f ca="1">IFERROR(__xludf.DUMMYFUNCTION("""COMPUTED_VALUE"""),344)</f>
        <v>344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IFERROR(__xludf.DUMMYFUNCTION("""COMPUTED_VALUE"""),"Winthrop")</f>
        <v>Winthrop</v>
      </c>
      <c r="C292" s="1" t="str">
        <f ca="1">IFERROR(__xludf.DUMMYFUNCTION("""COMPUTED_VALUE"""),"BSth")</f>
        <v>BSth</v>
      </c>
      <c r="D292" s="2">
        <f ca="1">IFERROR(__xludf.DUMMYFUNCTION("""COMPUTED_VALUE"""),44884)</f>
        <v>44884</v>
      </c>
      <c r="E292" s="1">
        <f ca="1">IFERROR(__xludf.DUMMYFUNCTION("""COMPUTED_VALUE"""),-10.61)</f>
        <v>-10.61</v>
      </c>
      <c r="F292" s="1">
        <f ca="1">IFERROR(__xludf.DUMMYFUNCTION("""COMPUTED_VALUE"""),92)</f>
        <v>92</v>
      </c>
      <c r="G292" s="1">
        <f ca="1">IFERROR(__xludf.DUMMYFUNCTION("""COMPUTED_VALUE"""),315)</f>
        <v>315</v>
      </c>
      <c r="H292" s="1">
        <f ca="1">IFERROR(__xludf.DUMMYFUNCTION("""COMPUTED_VALUE"""),102.6)</f>
        <v>102.6</v>
      </c>
      <c r="I292" s="1">
        <f ca="1">IFERROR(__xludf.DUMMYFUNCTION("""COMPUTED_VALUE"""),168)</f>
        <v>168</v>
      </c>
      <c r="J292" s="1">
        <f ca="1">IFERROR(__xludf.DUMMYFUNCTION("""COMPUTED_VALUE"""),61.7)</f>
        <v>61.7</v>
      </c>
      <c r="K292" s="1">
        <f ca="1">IFERROR(__xludf.DUMMYFUNCTION("""COMPUTED_VALUE"""),306)</f>
        <v>306</v>
      </c>
      <c r="L292" s="1" t="str">
        <f ca="1">IFERROR(__xludf.DUMMYFUNCTION("""COMPUTED_VALUE"""),"+.033")</f>
        <v>+.033</v>
      </c>
      <c r="M292" s="1">
        <f ca="1">IFERROR(__xludf.DUMMYFUNCTION("""COMPUTED_VALUE"""),80)</f>
        <v>80</v>
      </c>
      <c r="N292" s="1">
        <f ca="1">IFERROR(__xludf.DUMMYFUNCTION("""COMPUTED_VALUE"""),-3.11)</f>
        <v>-3.11</v>
      </c>
      <c r="O292" s="1">
        <f ca="1">IFERROR(__xludf.DUMMYFUNCTION("""COMPUTED_VALUE"""),225)</f>
        <v>225</v>
      </c>
      <c r="P292" s="1">
        <f ca="1">IFERROR(__xludf.DUMMYFUNCTION("""COMPUTED_VALUE"""),102.4)</f>
        <v>102.4</v>
      </c>
      <c r="Q292" s="1">
        <f ca="1">IFERROR(__xludf.DUMMYFUNCTION("""COMPUTED_VALUE"""),187)</f>
        <v>187</v>
      </c>
      <c r="R292" s="1">
        <f ca="1">IFERROR(__xludf.DUMMYFUNCTION("""COMPUTED_VALUE"""),105.5)</f>
        <v>105.5</v>
      </c>
      <c r="S292" s="1">
        <f ca="1">IFERROR(__xludf.DUMMYFUNCTION("""COMPUTED_VALUE"""),275)</f>
        <v>275</v>
      </c>
      <c r="T292" s="1" t="str">
        <f ca="1">IFERROR(__xludf.DUMMYFUNCTION("""COMPUTED_VALUE"""),"+7.54")</f>
        <v>+7.54</v>
      </c>
      <c r="U292" s="1">
        <f ca="1">IFERROR(__xludf.DUMMYFUNCTION("""COMPUTED_VALUE"""),26)</f>
        <v>26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IFERROR(__xludf.DUMMYFUNCTION("""COMPUTED_VALUE"""),"Quinnipiac")</f>
        <v>Quinnipiac</v>
      </c>
      <c r="C293" s="1" t="str">
        <f ca="1">IFERROR(__xludf.DUMMYFUNCTION("""COMPUTED_VALUE"""),"NEC")</f>
        <v>NEC</v>
      </c>
      <c r="D293" s="1" t="str">
        <f ca="1">IFERROR(__xludf.DUMMYFUNCTION("""COMPUTED_VALUE"""),"15-16")</f>
        <v>15-16</v>
      </c>
      <c r="E293" s="1">
        <f ca="1">IFERROR(__xludf.DUMMYFUNCTION("""COMPUTED_VALUE"""),-10.81)</f>
        <v>-10.81</v>
      </c>
      <c r="F293" s="1">
        <f ca="1">IFERROR(__xludf.DUMMYFUNCTION("""COMPUTED_VALUE"""),97.2)</f>
        <v>97.2</v>
      </c>
      <c r="G293" s="1">
        <f ca="1">IFERROR(__xludf.DUMMYFUNCTION("""COMPUTED_VALUE"""),263)</f>
        <v>263</v>
      </c>
      <c r="H293" s="1">
        <f ca="1">IFERROR(__xludf.DUMMYFUNCTION("""COMPUTED_VALUE"""),108)</f>
        <v>108</v>
      </c>
      <c r="I293" s="1">
        <f ca="1">IFERROR(__xludf.DUMMYFUNCTION("""COMPUTED_VALUE"""),278)</f>
        <v>278</v>
      </c>
      <c r="J293" s="1">
        <f ca="1">IFERROR(__xludf.DUMMYFUNCTION("""COMPUTED_VALUE"""),64.6)</f>
        <v>64.599999999999994</v>
      </c>
      <c r="K293" s="1">
        <f ca="1">IFERROR(__xludf.DUMMYFUNCTION("""COMPUTED_VALUE"""),206)</f>
        <v>206</v>
      </c>
      <c r="L293" s="1" t="str">
        <f ca="1">IFERROR(__xludf.DUMMYFUNCTION("""COMPUTED_VALUE"""),"+.027")</f>
        <v>+.027</v>
      </c>
      <c r="M293" s="1">
        <f ca="1">IFERROR(__xludf.DUMMYFUNCTION("""COMPUTED_VALUE"""),99)</f>
        <v>99</v>
      </c>
      <c r="N293" s="1">
        <f ca="1">IFERROR(__xludf.DUMMYFUNCTION("""COMPUTED_VALUE"""),-9.85)</f>
        <v>-9.85</v>
      </c>
      <c r="O293" s="1">
        <f ca="1">IFERROR(__xludf.DUMMYFUNCTION("""COMPUTED_VALUE"""),329)</f>
        <v>329</v>
      </c>
      <c r="P293" s="1">
        <f ca="1">IFERROR(__xludf.DUMMYFUNCTION("""COMPUTED_VALUE"""),98.1)</f>
        <v>98.1</v>
      </c>
      <c r="Q293" s="1">
        <f ca="1">IFERROR(__xludf.DUMMYFUNCTION("""COMPUTED_VALUE"""),310)</f>
        <v>310</v>
      </c>
      <c r="R293" s="1">
        <f ca="1">IFERROR(__xludf.DUMMYFUNCTION("""COMPUTED_VALUE"""),107.9)</f>
        <v>107.9</v>
      </c>
      <c r="S293" s="1">
        <f ca="1">IFERROR(__xludf.DUMMYFUNCTION("""COMPUTED_VALUE"""),342)</f>
        <v>342</v>
      </c>
      <c r="T293" s="1">
        <f ca="1">IFERROR(__xludf.DUMMYFUNCTION("""COMPUTED_VALUE"""),-9.86)</f>
        <v>-9.86</v>
      </c>
      <c r="U293" s="1">
        <f ca="1">IFERROR(__xludf.DUMMYFUNCTION("""COMPUTED_VALUE"""),335)</f>
        <v>335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IFERROR(__xludf.DUMMYFUNCTION("""COMPUTED_VALUE"""),"Columbia")</f>
        <v>Columbia</v>
      </c>
      <c r="C294" s="1" t="str">
        <f ca="1">IFERROR(__xludf.DUMMYFUNCTION("""COMPUTED_VALUE"""),"Ivy")</f>
        <v>Ivy</v>
      </c>
      <c r="D294" s="2">
        <f ca="1">IFERROR(__xludf.DUMMYFUNCTION("""COMPUTED_VALUE"""),44911)</f>
        <v>44911</v>
      </c>
      <c r="E294" s="1">
        <f ca="1">IFERROR(__xludf.DUMMYFUNCTION("""COMPUTED_VALUE"""),-10.85)</f>
        <v>-10.85</v>
      </c>
      <c r="F294" s="1">
        <f ca="1">IFERROR(__xludf.DUMMYFUNCTION("""COMPUTED_VALUE"""),90.9)</f>
        <v>90.9</v>
      </c>
      <c r="G294" s="1">
        <f ca="1">IFERROR(__xludf.DUMMYFUNCTION("""COMPUTED_VALUE"""),326)</f>
        <v>326</v>
      </c>
      <c r="H294" s="1">
        <f ca="1">IFERROR(__xludf.DUMMYFUNCTION("""COMPUTED_VALUE"""),101.7)</f>
        <v>101.7</v>
      </c>
      <c r="I294" s="1">
        <f ca="1">IFERROR(__xludf.DUMMYFUNCTION("""COMPUTED_VALUE"""),146)</f>
        <v>146</v>
      </c>
      <c r="J294" s="1">
        <f ca="1">IFERROR(__xludf.DUMMYFUNCTION("""COMPUTED_VALUE"""),64.2)</f>
        <v>64.2</v>
      </c>
      <c r="K294" s="1">
        <f ca="1">IFERROR(__xludf.DUMMYFUNCTION("""COMPUTED_VALUE"""),225)</f>
        <v>225</v>
      </c>
      <c r="L294" s="1">
        <f ca="1">IFERROR(__xludf.DUMMYFUNCTION("""COMPUTED_VALUE"""),-0.024)</f>
        <v>-2.4E-2</v>
      </c>
      <c r="M294" s="1">
        <f ca="1">IFERROR(__xludf.DUMMYFUNCTION("""COMPUTED_VALUE"""),238)</f>
        <v>238</v>
      </c>
      <c r="N294" s="1">
        <f ca="1">IFERROR(__xludf.DUMMYFUNCTION("""COMPUTED_VALUE"""),-9.19)</f>
        <v>-9.19</v>
      </c>
      <c r="O294" s="1">
        <f ca="1">IFERROR(__xludf.DUMMYFUNCTION("""COMPUTED_VALUE"""),324)</f>
        <v>324</v>
      </c>
      <c r="P294" s="1">
        <f ca="1">IFERROR(__xludf.DUMMYFUNCTION("""COMPUTED_VALUE"""),97.3)</f>
        <v>97.3</v>
      </c>
      <c r="Q294" s="1">
        <f ca="1">IFERROR(__xludf.DUMMYFUNCTION("""COMPUTED_VALUE"""),323)</f>
        <v>323</v>
      </c>
      <c r="R294" s="1">
        <f ca="1">IFERROR(__xludf.DUMMYFUNCTION("""COMPUTED_VALUE"""),106.5)</f>
        <v>106.5</v>
      </c>
      <c r="S294" s="1">
        <f ca="1">IFERROR(__xludf.DUMMYFUNCTION("""COMPUTED_VALUE"""),318)</f>
        <v>318</v>
      </c>
      <c r="T294" s="1">
        <f ca="1">IFERROR(__xludf.DUMMYFUNCTION("""COMPUTED_VALUE"""),-9.33)</f>
        <v>-9.33</v>
      </c>
      <c r="U294" s="1">
        <f ca="1">IFERROR(__xludf.DUMMYFUNCTION("""COMPUTED_VALUE"""),330)</f>
        <v>330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IFERROR(__xludf.DUMMYFUNCTION("""COMPUTED_VALUE"""),"UMKC")</f>
        <v>UMKC</v>
      </c>
      <c r="C297" s="1" t="str">
        <f ca="1">IFERROR(__xludf.DUMMYFUNCTION("""COMPUTED_VALUE"""),"Sum")</f>
        <v>Sum</v>
      </c>
      <c r="D297" s="2">
        <f ca="1">IFERROR(__xludf.DUMMYFUNCTION("""COMPUTED_VALUE"""),44766)</f>
        <v>44766</v>
      </c>
      <c r="E297" s="1">
        <f ca="1">IFERROR(__xludf.DUMMYFUNCTION("""COMPUTED_VALUE"""),-10.9)</f>
        <v>-10.9</v>
      </c>
      <c r="F297" s="1">
        <f ca="1">IFERROR(__xludf.DUMMYFUNCTION("""COMPUTED_VALUE"""),99.4)</f>
        <v>99.4</v>
      </c>
      <c r="G297" s="1">
        <f ca="1">IFERROR(__xludf.DUMMYFUNCTION("""COMPUTED_VALUE"""),229)</f>
        <v>229</v>
      </c>
      <c r="H297" s="1">
        <f ca="1">IFERROR(__xludf.DUMMYFUNCTION("""COMPUTED_VALUE"""),110.4)</f>
        <v>110.4</v>
      </c>
      <c r="I297" s="1">
        <f ca="1">IFERROR(__xludf.DUMMYFUNCTION("""COMPUTED_VALUE"""),304)</f>
        <v>304</v>
      </c>
      <c r="J297" s="1">
        <f ca="1">IFERROR(__xludf.DUMMYFUNCTION("""COMPUTED_VALUE"""),65.5)</f>
        <v>65.5</v>
      </c>
      <c r="K297" s="1">
        <f ca="1">IFERROR(__xludf.DUMMYFUNCTION("""COMPUTED_VALUE"""),157)</f>
        <v>157</v>
      </c>
      <c r="L297" s="1">
        <f ca="1">IFERROR(__xludf.DUMMYFUNCTION("""COMPUTED_VALUE"""),-0.003)</f>
        <v>-3.0000000000000001E-3</v>
      </c>
      <c r="M297" s="1">
        <f ca="1">IFERROR(__xludf.DUMMYFUNCTION("""COMPUTED_VALUE"""),168)</f>
        <v>168</v>
      </c>
      <c r="N297" s="1">
        <f ca="1">IFERROR(__xludf.DUMMYFUNCTION("""COMPUTED_VALUE"""),-0.14)</f>
        <v>-0.14000000000000001</v>
      </c>
      <c r="O297" s="1">
        <f ca="1">IFERROR(__xludf.DUMMYFUNCTION("""COMPUTED_VALUE"""),164)</f>
        <v>164</v>
      </c>
      <c r="P297" s="1">
        <f ca="1">IFERROR(__xludf.DUMMYFUNCTION("""COMPUTED_VALUE"""),104)</f>
        <v>104</v>
      </c>
      <c r="Q297" s="1">
        <f ca="1">IFERROR(__xludf.DUMMYFUNCTION("""COMPUTED_VALUE"""),120)</f>
        <v>120</v>
      </c>
      <c r="R297" s="1">
        <f ca="1">IFERROR(__xludf.DUMMYFUNCTION("""COMPUTED_VALUE"""),104.2)</f>
        <v>104.2</v>
      </c>
      <c r="S297" s="1">
        <f ca="1">IFERROR(__xludf.DUMMYFUNCTION("""COMPUTED_VALUE"""),217)</f>
        <v>217</v>
      </c>
      <c r="T297" s="1" t="str">
        <f ca="1">IFERROR(__xludf.DUMMYFUNCTION("""COMPUTED_VALUE"""),"+2.12")</f>
        <v>+2.12</v>
      </c>
      <c r="U297" s="1">
        <f ca="1">IFERROR(__xludf.DUMMYFUNCTION("""COMPUTED_VALUE"""),106)</f>
        <v>106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IFERROR(__xludf.DUMMYFUNCTION("""COMPUTED_VALUE"""),"New Orleans")</f>
        <v>New Orleans</v>
      </c>
      <c r="C298" s="1" t="str">
        <f ca="1">IFERROR(__xludf.DUMMYFUNCTION("""COMPUTED_VALUE"""),"SB")</f>
        <v>SB</v>
      </c>
      <c r="D298" s="2">
        <f ca="1">IFERROR(__xludf.DUMMYFUNCTION("""COMPUTED_VALUE"""),44884)</f>
        <v>44884</v>
      </c>
      <c r="E298" s="1">
        <f ca="1">IFERROR(__xludf.DUMMYFUNCTION("""COMPUTED_VALUE"""),-11.32)</f>
        <v>-11.32</v>
      </c>
      <c r="F298" s="1">
        <f ca="1">IFERROR(__xludf.DUMMYFUNCTION("""COMPUTED_VALUE"""),91.8)</f>
        <v>91.8</v>
      </c>
      <c r="G298" s="1">
        <f ca="1">IFERROR(__xludf.DUMMYFUNCTION("""COMPUTED_VALUE"""),317)</f>
        <v>317</v>
      </c>
      <c r="H298" s="1">
        <f ca="1">IFERROR(__xludf.DUMMYFUNCTION("""COMPUTED_VALUE"""),103.1)</f>
        <v>103.1</v>
      </c>
      <c r="I298" s="1">
        <f ca="1">IFERROR(__xludf.DUMMYFUNCTION("""COMPUTED_VALUE"""),175)</f>
        <v>175</v>
      </c>
      <c r="J298" s="1">
        <f ca="1">IFERROR(__xludf.DUMMYFUNCTION("""COMPUTED_VALUE"""),65.4)</f>
        <v>65.400000000000006</v>
      </c>
      <c r="K298" s="1">
        <f ca="1">IFERROR(__xludf.DUMMYFUNCTION("""COMPUTED_VALUE"""),163)</f>
        <v>163</v>
      </c>
      <c r="L298" s="1" t="str">
        <f ca="1">IFERROR(__xludf.DUMMYFUNCTION("""COMPUTED_VALUE"""),"+.068")</f>
        <v>+.068</v>
      </c>
      <c r="M298" s="1">
        <f ca="1">IFERROR(__xludf.DUMMYFUNCTION("""COMPUTED_VALUE"""),26)</f>
        <v>26</v>
      </c>
      <c r="N298" s="1">
        <f ca="1">IFERROR(__xludf.DUMMYFUNCTION("""COMPUTED_VALUE"""),-4.3)</f>
        <v>-4.3</v>
      </c>
      <c r="O298" s="1">
        <f ca="1">IFERROR(__xludf.DUMMYFUNCTION("""COMPUTED_VALUE"""),256)</f>
        <v>256</v>
      </c>
      <c r="P298" s="1">
        <f ca="1">IFERROR(__xludf.DUMMYFUNCTION("""COMPUTED_VALUE"""),101.4)</f>
        <v>101.4</v>
      </c>
      <c r="Q298" s="1">
        <f ca="1">IFERROR(__xludf.DUMMYFUNCTION("""COMPUTED_VALUE"""),225)</f>
        <v>225</v>
      </c>
      <c r="R298" s="1">
        <f ca="1">IFERROR(__xludf.DUMMYFUNCTION("""COMPUTED_VALUE"""),105.7)</f>
        <v>105.7</v>
      </c>
      <c r="S298" s="1">
        <f ca="1">IFERROR(__xludf.DUMMYFUNCTION("""COMPUTED_VALUE"""),287)</f>
        <v>287</v>
      </c>
      <c r="T298" s="1">
        <f ca="1">IFERROR(__xludf.DUMMYFUNCTION("""COMPUTED_VALUE"""),-4.56)</f>
        <v>-4.5599999999999996</v>
      </c>
      <c r="U298" s="1">
        <f ca="1">IFERROR(__xludf.DUMMYFUNCTION("""COMPUTED_VALUE"""),268)</f>
        <v>268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IFERROR(__xludf.DUMMYFUNCTION("""COMPUTED_VALUE"""),"USC Upstate")</f>
        <v>USC Upstate</v>
      </c>
      <c r="C299" s="1" t="str">
        <f ca="1">IFERROR(__xludf.DUMMYFUNCTION("""COMPUTED_VALUE"""),"ASun")</f>
        <v>ASun</v>
      </c>
      <c r="D299" s="2">
        <f ca="1">IFERROR(__xludf.DUMMYFUNCTION("""COMPUTED_VALUE"""),44825)</f>
        <v>44825</v>
      </c>
      <c r="E299" s="1">
        <f ca="1">IFERROR(__xludf.DUMMYFUNCTION("""COMPUTED_VALUE"""),-11.44)</f>
        <v>-11.44</v>
      </c>
      <c r="F299" s="1">
        <f ca="1">IFERROR(__xludf.DUMMYFUNCTION("""COMPUTED_VALUE"""),93.4)</f>
        <v>93.4</v>
      </c>
      <c r="G299" s="1">
        <f ca="1">IFERROR(__xludf.DUMMYFUNCTION("""COMPUTED_VALUE"""),306)</f>
        <v>306</v>
      </c>
      <c r="H299" s="1">
        <f ca="1">IFERROR(__xludf.DUMMYFUNCTION("""COMPUTED_VALUE"""),104.8)</f>
        <v>104.8</v>
      </c>
      <c r="I299" s="1">
        <f ca="1">IFERROR(__xludf.DUMMYFUNCTION("""COMPUTED_VALUE"""),211)</f>
        <v>211</v>
      </c>
      <c r="J299" s="1">
        <f ca="1">IFERROR(__xludf.DUMMYFUNCTION("""COMPUTED_VALUE"""),62.6)</f>
        <v>62.6</v>
      </c>
      <c r="K299" s="1">
        <f ca="1">IFERROR(__xludf.DUMMYFUNCTION("""COMPUTED_VALUE"""),282)</f>
        <v>282</v>
      </c>
      <c r="L299" s="1">
        <f ca="1">IFERROR(__xludf.DUMMYFUNCTION("""COMPUTED_VALUE"""),-0.029)</f>
        <v>-2.9000000000000001E-2</v>
      </c>
      <c r="M299" s="1">
        <f ca="1">IFERROR(__xludf.DUMMYFUNCTION("""COMPUTED_VALUE"""),249)</f>
        <v>249</v>
      </c>
      <c r="N299" s="1">
        <f ca="1">IFERROR(__xludf.DUMMYFUNCTION("""COMPUTED_VALUE"""),-2.03)</f>
        <v>-2.0299999999999998</v>
      </c>
      <c r="O299" s="1">
        <f ca="1">IFERROR(__xludf.DUMMYFUNCTION("""COMPUTED_VALUE"""),205)</f>
        <v>205</v>
      </c>
      <c r="P299" s="1">
        <f ca="1">IFERROR(__xludf.DUMMYFUNCTION("""COMPUTED_VALUE"""),102.1)</f>
        <v>102.1</v>
      </c>
      <c r="Q299" s="1">
        <f ca="1">IFERROR(__xludf.DUMMYFUNCTION("""COMPUTED_VALUE"""),201)</f>
        <v>201</v>
      </c>
      <c r="R299" s="1">
        <f ca="1">IFERROR(__xludf.DUMMYFUNCTION("""COMPUTED_VALUE"""),104.1)</f>
        <v>104.1</v>
      </c>
      <c r="S299" s="1">
        <f ca="1">IFERROR(__xludf.DUMMYFUNCTION("""COMPUTED_VALUE"""),213)</f>
        <v>213</v>
      </c>
      <c r="T299" s="1" t="str">
        <f ca="1">IFERROR(__xludf.DUMMYFUNCTION("""COMPUTED_VALUE"""),"+7.64")</f>
        <v>+7.64</v>
      </c>
      <c r="U299" s="1">
        <f ca="1">IFERROR(__xludf.DUMMYFUNCTION("""COMPUTED_VALUE"""),25)</f>
        <v>25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IFERROR(__xludf.DUMMYFUNCTION("""COMPUTED_VALUE"""),"Coastal Carolina")</f>
        <v>Coastal Carolina</v>
      </c>
      <c r="C300" s="1" t="str">
        <f ca="1">IFERROR(__xludf.DUMMYFUNCTION("""COMPUTED_VALUE"""),"BSth")</f>
        <v>BSth</v>
      </c>
      <c r="D300" s="2">
        <f ca="1">IFERROR(__xludf.DUMMYFUNCTION("""COMPUTED_VALUE"""),44885)</f>
        <v>44885</v>
      </c>
      <c r="E300" s="1">
        <f ca="1">IFERROR(__xludf.DUMMYFUNCTION("""COMPUTED_VALUE"""),-11.55)</f>
        <v>-11.55</v>
      </c>
      <c r="F300" s="1">
        <f ca="1">IFERROR(__xludf.DUMMYFUNCTION("""COMPUTED_VALUE"""),96.1)</f>
        <v>96.1</v>
      </c>
      <c r="G300" s="1">
        <f ca="1">IFERROR(__xludf.DUMMYFUNCTION("""COMPUTED_VALUE"""),275)</f>
        <v>275</v>
      </c>
      <c r="H300" s="1">
        <f ca="1">IFERROR(__xludf.DUMMYFUNCTION("""COMPUTED_VALUE"""),107.6)</f>
        <v>107.6</v>
      </c>
      <c r="I300" s="1">
        <f ca="1">IFERROR(__xludf.DUMMYFUNCTION("""COMPUTED_VALUE"""),269)</f>
        <v>269</v>
      </c>
      <c r="J300" s="1">
        <f ca="1">IFERROR(__xludf.DUMMYFUNCTION("""COMPUTED_VALUE"""),66.2)</f>
        <v>66.2</v>
      </c>
      <c r="K300" s="1">
        <f ca="1">IFERROR(__xludf.DUMMYFUNCTION("""COMPUTED_VALUE"""),132)</f>
        <v>132</v>
      </c>
      <c r="L300" s="1">
        <f ca="1">IFERROR(__xludf.DUMMYFUNCTION("""COMPUTED_VALUE"""),-0.049)</f>
        <v>-4.9000000000000002E-2</v>
      </c>
      <c r="M300" s="1">
        <f ca="1">IFERROR(__xludf.DUMMYFUNCTION("""COMPUTED_VALUE"""),293)</f>
        <v>293</v>
      </c>
      <c r="N300" s="1">
        <f ca="1">IFERROR(__xludf.DUMMYFUNCTION("""COMPUTED_VALUE"""),-5.77)</f>
        <v>-5.77</v>
      </c>
      <c r="O300" s="1">
        <f ca="1">IFERROR(__xludf.DUMMYFUNCTION("""COMPUTED_VALUE"""),285)</f>
        <v>285</v>
      </c>
      <c r="P300" s="1">
        <f ca="1">IFERROR(__xludf.DUMMYFUNCTION("""COMPUTED_VALUE"""),100.2)</f>
        <v>100.2</v>
      </c>
      <c r="Q300" s="1">
        <f ca="1">IFERROR(__xludf.DUMMYFUNCTION("""COMPUTED_VALUE"""),268)</f>
        <v>268</v>
      </c>
      <c r="R300" s="1">
        <f ca="1">IFERROR(__xludf.DUMMYFUNCTION("""COMPUTED_VALUE"""),106)</f>
        <v>106</v>
      </c>
      <c r="S300" s="1">
        <f ca="1">IFERROR(__xludf.DUMMYFUNCTION("""COMPUTED_VALUE"""),300)</f>
        <v>300</v>
      </c>
      <c r="T300" s="1">
        <f ca="1">IFERROR(__xludf.DUMMYFUNCTION("""COMPUTED_VALUE"""),-1.58)</f>
        <v>-1.58</v>
      </c>
      <c r="U300" s="1">
        <f ca="1">IFERROR(__xludf.DUMMYFUNCTION("""COMPUTED_VALUE"""),194)</f>
        <v>194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IFERROR(__xludf.DUMMYFUNCTION("""COMPUTED_VALUE"""),"Florida Atlantic")</f>
        <v>Florida Atlantic</v>
      </c>
      <c r="C301" s="1" t="str">
        <f ca="1">IFERROR(__xludf.DUMMYFUNCTION("""COMPUTED_VALUE"""),"SB")</f>
        <v>SB</v>
      </c>
      <c r="D301" s="2">
        <f ca="1">IFERROR(__xludf.DUMMYFUNCTION("""COMPUTED_VALUE"""),44738)</f>
        <v>44738</v>
      </c>
      <c r="E301" s="1">
        <f ca="1">IFERROR(__xludf.DUMMYFUNCTION("""COMPUTED_VALUE"""),-11.58)</f>
        <v>-11.58</v>
      </c>
      <c r="F301" s="1">
        <f ca="1">IFERROR(__xludf.DUMMYFUNCTION("""COMPUTED_VALUE"""),101.5)</f>
        <v>101.5</v>
      </c>
      <c r="G301" s="1">
        <f ca="1">IFERROR(__xludf.DUMMYFUNCTION("""COMPUTED_VALUE"""),204)</f>
        <v>204</v>
      </c>
      <c r="H301" s="1">
        <f ca="1">IFERROR(__xludf.DUMMYFUNCTION("""COMPUTED_VALUE"""),113.1)</f>
        <v>113.1</v>
      </c>
      <c r="I301" s="1">
        <f ca="1">IFERROR(__xludf.DUMMYFUNCTION("""COMPUTED_VALUE"""),332)</f>
        <v>332</v>
      </c>
      <c r="J301" s="1">
        <f ca="1">IFERROR(__xludf.DUMMYFUNCTION("""COMPUTED_VALUE"""),64.1)</f>
        <v>64.099999999999994</v>
      </c>
      <c r="K301" s="1">
        <f ca="1">IFERROR(__xludf.DUMMYFUNCTION("""COMPUTED_VALUE"""),227)</f>
        <v>227</v>
      </c>
      <c r="L301" s="1">
        <f ca="1">IFERROR(__xludf.DUMMYFUNCTION("""COMPUTED_VALUE"""),-0.075)</f>
        <v>-7.4999999999999997E-2</v>
      </c>
      <c r="M301" s="1">
        <f ca="1">IFERROR(__xludf.DUMMYFUNCTION("""COMPUTED_VALUE"""),324)</f>
        <v>324</v>
      </c>
      <c r="N301" s="1">
        <f ca="1">IFERROR(__xludf.DUMMYFUNCTION("""COMPUTED_VALUE"""),-1)</f>
        <v>-1</v>
      </c>
      <c r="O301" s="1">
        <f ca="1">IFERROR(__xludf.DUMMYFUNCTION("""COMPUTED_VALUE"""),177)</f>
        <v>177</v>
      </c>
      <c r="P301" s="1">
        <f ca="1">IFERROR(__xludf.DUMMYFUNCTION("""COMPUTED_VALUE"""),102.7)</f>
        <v>102.7</v>
      </c>
      <c r="Q301" s="1">
        <f ca="1">IFERROR(__xludf.DUMMYFUNCTION("""COMPUTED_VALUE"""),176)</f>
        <v>176</v>
      </c>
      <c r="R301" s="1">
        <f ca="1">IFERROR(__xludf.DUMMYFUNCTION("""COMPUTED_VALUE"""),103.7)</f>
        <v>103.7</v>
      </c>
      <c r="S301" s="1">
        <f ca="1">IFERROR(__xludf.DUMMYFUNCTION("""COMPUTED_VALUE"""),193)</f>
        <v>193</v>
      </c>
      <c r="T301" s="1" t="str">
        <f ca="1">IFERROR(__xludf.DUMMYFUNCTION("""COMPUTED_VALUE"""),"+2.45")</f>
        <v>+2.45</v>
      </c>
      <c r="U301" s="1">
        <f ca="1">IFERROR(__xludf.DUMMYFUNCTION("""COMPUTED_VALUE"""),99)</f>
        <v>99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IFERROR(__xludf.DUMMYFUNCTION("""COMPUTED_VALUE"""),"Prairie View A&amp;M")</f>
        <v>Prairie View A&amp;M</v>
      </c>
      <c r="C302" s="1" t="str">
        <f ca="1">IFERROR(__xludf.DUMMYFUNCTION("""COMPUTED_VALUE"""),"SWAC")</f>
        <v>SWAC</v>
      </c>
      <c r="D302" s="1" t="str">
        <f ca="1">IFERROR(__xludf.DUMMYFUNCTION("""COMPUTED_VALUE"""),"17-16")</f>
        <v>17-16</v>
      </c>
      <c r="E302" s="1">
        <f ca="1">IFERROR(__xludf.DUMMYFUNCTION("""COMPUTED_VALUE"""),-11.72)</f>
        <v>-11.72</v>
      </c>
      <c r="F302" s="1">
        <f ca="1">IFERROR(__xludf.DUMMYFUNCTION("""COMPUTED_VALUE"""),94.4)</f>
        <v>94.4</v>
      </c>
      <c r="G302" s="1">
        <f ca="1">IFERROR(__xludf.DUMMYFUNCTION("""COMPUTED_VALUE"""),292)</f>
        <v>292</v>
      </c>
      <c r="H302" s="1">
        <f ca="1">IFERROR(__xludf.DUMMYFUNCTION("""COMPUTED_VALUE"""),106.1)</f>
        <v>106.1</v>
      </c>
      <c r="I302" s="1">
        <f ca="1">IFERROR(__xludf.DUMMYFUNCTION("""COMPUTED_VALUE"""),241)</f>
        <v>241</v>
      </c>
      <c r="J302" s="1">
        <f ca="1">IFERROR(__xludf.DUMMYFUNCTION("""COMPUTED_VALUE"""),67)</f>
        <v>67</v>
      </c>
      <c r="K302" s="1">
        <f ca="1">IFERROR(__xludf.DUMMYFUNCTION("""COMPUTED_VALUE"""),100)</f>
        <v>100</v>
      </c>
      <c r="L302" s="1" t="str">
        <f ca="1">IFERROR(__xludf.DUMMYFUNCTION("""COMPUTED_VALUE"""),"+.013")</f>
        <v>+.013</v>
      </c>
      <c r="M302" s="1">
        <f ca="1">IFERROR(__xludf.DUMMYFUNCTION("""COMPUTED_VALUE"""),137)</f>
        <v>137</v>
      </c>
      <c r="N302" s="1">
        <f ca="1">IFERROR(__xludf.DUMMYFUNCTION("""COMPUTED_VALUE"""),-9.82)</f>
        <v>-9.82</v>
      </c>
      <c r="O302" s="1">
        <f ca="1">IFERROR(__xludf.DUMMYFUNCTION("""COMPUTED_VALUE"""),328)</f>
        <v>328</v>
      </c>
      <c r="P302" s="1">
        <f ca="1">IFERROR(__xludf.DUMMYFUNCTION("""COMPUTED_VALUE"""),97.4)</f>
        <v>97.4</v>
      </c>
      <c r="Q302" s="1">
        <f ca="1">IFERROR(__xludf.DUMMYFUNCTION("""COMPUTED_VALUE"""),322)</f>
        <v>322</v>
      </c>
      <c r="R302" s="1">
        <f ca="1">IFERROR(__xludf.DUMMYFUNCTION("""COMPUTED_VALUE"""),107.3)</f>
        <v>107.3</v>
      </c>
      <c r="S302" s="1">
        <f ca="1">IFERROR(__xludf.DUMMYFUNCTION("""COMPUTED_VALUE"""),338)</f>
        <v>338</v>
      </c>
      <c r="T302" s="1" t="str">
        <f ca="1">IFERROR(__xludf.DUMMYFUNCTION("""COMPUTED_VALUE"""),"+10.94")</f>
        <v>+10.94</v>
      </c>
      <c r="U302" s="1">
        <f ca="1">IFERROR(__xludf.DUMMYFUNCTION("""COMPUTED_VALUE"""),12)</f>
        <v>12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IFERROR(__xludf.DUMMYFUNCTION("""COMPUTED_VALUE"""),"Bethune Cookman")</f>
        <v>Bethune Cookman</v>
      </c>
      <c r="C303" s="1" t="str">
        <f ca="1">IFERROR(__xludf.DUMMYFUNCTION("""COMPUTED_VALUE"""),"MEAC")</f>
        <v>MEAC</v>
      </c>
      <c r="D303" s="1" t="str">
        <f ca="1">IFERROR(__xludf.DUMMYFUNCTION("""COMPUTED_VALUE"""),"17-16")</f>
        <v>17-16</v>
      </c>
      <c r="E303" s="1">
        <f ca="1">IFERROR(__xludf.DUMMYFUNCTION("""COMPUTED_VALUE"""),-11.76)</f>
        <v>-11.76</v>
      </c>
      <c r="F303" s="1">
        <f ca="1">IFERROR(__xludf.DUMMYFUNCTION("""COMPUTED_VALUE"""),89.5)</f>
        <v>89.5</v>
      </c>
      <c r="G303" s="1">
        <f ca="1">IFERROR(__xludf.DUMMYFUNCTION("""COMPUTED_VALUE"""),333)</f>
        <v>333</v>
      </c>
      <c r="H303" s="1">
        <f ca="1">IFERROR(__xludf.DUMMYFUNCTION("""COMPUTED_VALUE"""),101.3)</f>
        <v>101.3</v>
      </c>
      <c r="I303" s="1">
        <f ca="1">IFERROR(__xludf.DUMMYFUNCTION("""COMPUTED_VALUE"""),136)</f>
        <v>136</v>
      </c>
      <c r="J303" s="1">
        <f ca="1">IFERROR(__xludf.DUMMYFUNCTION("""COMPUTED_VALUE"""),59.8)</f>
        <v>59.8</v>
      </c>
      <c r="K303" s="1">
        <f ca="1">IFERROR(__xludf.DUMMYFUNCTION("""COMPUTED_VALUE"""),329)</f>
        <v>329</v>
      </c>
      <c r="L303" s="1" t="str">
        <f ca="1">IFERROR(__xludf.DUMMYFUNCTION("""COMPUTED_VALUE"""),"+.012")</f>
        <v>+.012</v>
      </c>
      <c r="M303" s="1">
        <f ca="1">IFERROR(__xludf.DUMMYFUNCTION("""COMPUTED_VALUE"""),138)</f>
        <v>138</v>
      </c>
      <c r="N303" s="1">
        <f ca="1">IFERROR(__xludf.DUMMYFUNCTION("""COMPUTED_VALUE"""),-10.45)</f>
        <v>-10.45</v>
      </c>
      <c r="O303" s="1">
        <f ca="1">IFERROR(__xludf.DUMMYFUNCTION("""COMPUTED_VALUE"""),333)</f>
        <v>333</v>
      </c>
      <c r="P303" s="1">
        <f ca="1">IFERROR(__xludf.DUMMYFUNCTION("""COMPUTED_VALUE"""),96.1)</f>
        <v>96.1</v>
      </c>
      <c r="Q303" s="1">
        <f ca="1">IFERROR(__xludf.DUMMYFUNCTION("""COMPUTED_VALUE"""),333)</f>
        <v>333</v>
      </c>
      <c r="R303" s="1">
        <f ca="1">IFERROR(__xludf.DUMMYFUNCTION("""COMPUTED_VALUE"""),106.6)</f>
        <v>106.6</v>
      </c>
      <c r="S303" s="1">
        <f ca="1">IFERROR(__xludf.DUMMYFUNCTION("""COMPUTED_VALUE"""),322)</f>
        <v>322</v>
      </c>
      <c r="T303" s="1">
        <f ca="1">IFERROR(__xludf.DUMMYFUNCTION("""COMPUTED_VALUE"""),-2.18)</f>
        <v>-2.1800000000000002</v>
      </c>
      <c r="U303" s="1">
        <f ca="1">IFERROR(__xludf.DUMMYFUNCTION("""COMPUTED_VALUE"""),210)</f>
        <v>210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IFERROR(__xludf.DUMMYFUNCTION("""COMPUTED_VALUE"""),"Central Connecticut")</f>
        <v>Central Connecticut</v>
      </c>
      <c r="C304" s="1" t="str">
        <f ca="1">IFERROR(__xludf.DUMMYFUNCTION("""COMPUTED_VALUE"""),"NEC")</f>
        <v>NEC</v>
      </c>
      <c r="D304" s="1" t="str">
        <f ca="1">IFERROR(__xludf.DUMMYFUNCTION("""COMPUTED_VALUE"""),"13-17")</f>
        <v>13-17</v>
      </c>
      <c r="E304" s="1">
        <f ca="1">IFERROR(__xludf.DUMMYFUNCTION("""COMPUTED_VALUE"""),-11.95)</f>
        <v>-11.95</v>
      </c>
      <c r="F304" s="1">
        <f ca="1">IFERROR(__xludf.DUMMYFUNCTION("""COMPUTED_VALUE"""),97.7)</f>
        <v>97.7</v>
      </c>
      <c r="G304" s="1">
        <f ca="1">IFERROR(__xludf.DUMMYFUNCTION("""COMPUTED_VALUE"""),250)</f>
        <v>250</v>
      </c>
      <c r="H304" s="1">
        <f ca="1">IFERROR(__xludf.DUMMYFUNCTION("""COMPUTED_VALUE"""),109.7)</f>
        <v>109.7</v>
      </c>
      <c r="I304" s="1">
        <f ca="1">IFERROR(__xludf.DUMMYFUNCTION("""COMPUTED_VALUE"""),297)</f>
        <v>297</v>
      </c>
      <c r="J304" s="1">
        <f ca="1">IFERROR(__xludf.DUMMYFUNCTION("""COMPUTED_VALUE"""),63.6)</f>
        <v>63.6</v>
      </c>
      <c r="K304" s="1">
        <f ca="1">IFERROR(__xludf.DUMMYFUNCTION("""COMPUTED_VALUE"""),250)</f>
        <v>250</v>
      </c>
      <c r="L304" s="1" t="str">
        <f ca="1">IFERROR(__xludf.DUMMYFUNCTION("""COMPUTED_VALUE"""),"+.033")</f>
        <v>+.033</v>
      </c>
      <c r="M304" s="1">
        <f ca="1">IFERROR(__xludf.DUMMYFUNCTION("""COMPUTED_VALUE"""),83)</f>
        <v>83</v>
      </c>
      <c r="N304" s="1">
        <f ca="1">IFERROR(__xludf.DUMMYFUNCTION("""COMPUTED_VALUE"""),-7.7)</f>
        <v>-7.7</v>
      </c>
      <c r="O304" s="1">
        <f ca="1">IFERROR(__xludf.DUMMYFUNCTION("""COMPUTED_VALUE"""),312)</f>
        <v>312</v>
      </c>
      <c r="P304" s="1">
        <f ca="1">IFERROR(__xludf.DUMMYFUNCTION("""COMPUTED_VALUE"""),99.5)</f>
        <v>99.5</v>
      </c>
      <c r="Q304" s="1">
        <f ca="1">IFERROR(__xludf.DUMMYFUNCTION("""COMPUTED_VALUE"""),282)</f>
        <v>282</v>
      </c>
      <c r="R304" s="1">
        <f ca="1">IFERROR(__xludf.DUMMYFUNCTION("""COMPUTED_VALUE"""),107.2)</f>
        <v>107.2</v>
      </c>
      <c r="S304" s="1">
        <f ca="1">IFERROR(__xludf.DUMMYFUNCTION("""COMPUTED_VALUE"""),336)</f>
        <v>336</v>
      </c>
      <c r="T304" s="1">
        <f ca="1">IFERROR(__xludf.DUMMYFUNCTION("""COMPUTED_VALUE"""),-3.03)</f>
        <v>-3.03</v>
      </c>
      <c r="U304" s="1">
        <f ca="1">IFERROR(__xludf.DUMMYFUNCTION("""COMPUTED_VALUE"""),232)</f>
        <v>232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IFERROR(__xludf.DUMMYFUNCTION("""COMPUTED_VALUE"""),"Northern Illinois")</f>
        <v>Northern Illinois</v>
      </c>
      <c r="C305" s="1" t="str">
        <f ca="1">IFERROR(__xludf.DUMMYFUNCTION("""COMPUTED_VALUE"""),"MAC")</f>
        <v>MAC</v>
      </c>
      <c r="D305" s="2">
        <f ca="1">IFERROR(__xludf.DUMMYFUNCTION("""COMPUTED_VALUE"""),44854)</f>
        <v>44854</v>
      </c>
      <c r="E305" s="1">
        <f ca="1">IFERROR(__xludf.DUMMYFUNCTION("""COMPUTED_VALUE"""),-12.27)</f>
        <v>-12.27</v>
      </c>
      <c r="F305" s="1">
        <f ca="1">IFERROR(__xludf.DUMMYFUNCTION("""COMPUTED_VALUE"""),94.6)</f>
        <v>94.6</v>
      </c>
      <c r="G305" s="1">
        <f ca="1">IFERROR(__xludf.DUMMYFUNCTION("""COMPUTED_VALUE"""),290)</f>
        <v>290</v>
      </c>
      <c r="H305" s="1">
        <f ca="1">IFERROR(__xludf.DUMMYFUNCTION("""COMPUTED_VALUE"""),106.9)</f>
        <v>106.9</v>
      </c>
      <c r="I305" s="1">
        <f ca="1">IFERROR(__xludf.DUMMYFUNCTION("""COMPUTED_VALUE"""),259)</f>
        <v>259</v>
      </c>
      <c r="J305" s="1">
        <f ca="1">IFERROR(__xludf.DUMMYFUNCTION("""COMPUTED_VALUE"""),68.9)</f>
        <v>68.900000000000006</v>
      </c>
      <c r="K305" s="1">
        <f ca="1">IFERROR(__xludf.DUMMYFUNCTION("""COMPUTED_VALUE"""),46)</f>
        <v>46</v>
      </c>
      <c r="L305" s="1">
        <f ca="1">IFERROR(__xludf.DUMMYFUNCTION("""COMPUTED_VALUE"""),-0.049)</f>
        <v>-4.9000000000000002E-2</v>
      </c>
      <c r="M305" s="1">
        <f ca="1">IFERROR(__xludf.DUMMYFUNCTION("""COMPUTED_VALUE"""),294)</f>
        <v>294</v>
      </c>
      <c r="N305" s="1">
        <f ca="1">IFERROR(__xludf.DUMMYFUNCTION("""COMPUTED_VALUE"""),-6.05)</f>
        <v>-6.05</v>
      </c>
      <c r="O305" s="1">
        <f ca="1">IFERROR(__xludf.DUMMYFUNCTION("""COMPUTED_VALUE"""),291)</f>
        <v>291</v>
      </c>
      <c r="P305" s="1">
        <f ca="1">IFERROR(__xludf.DUMMYFUNCTION("""COMPUTED_VALUE"""),99)</f>
        <v>99</v>
      </c>
      <c r="Q305" s="1">
        <f ca="1">IFERROR(__xludf.DUMMYFUNCTION("""COMPUTED_VALUE"""),290)</f>
        <v>290</v>
      </c>
      <c r="R305" s="1">
        <f ca="1">IFERROR(__xludf.DUMMYFUNCTION("""COMPUTED_VALUE"""),105.1)</f>
        <v>105.1</v>
      </c>
      <c r="S305" s="1">
        <f ca="1">IFERROR(__xludf.DUMMYFUNCTION("""COMPUTED_VALUE"""),250)</f>
        <v>250</v>
      </c>
      <c r="T305" s="1">
        <f ca="1">IFERROR(__xludf.DUMMYFUNCTION("""COMPUTED_VALUE"""),-7.5)</f>
        <v>-7.5</v>
      </c>
      <c r="U305" s="1">
        <f ca="1">IFERROR(__xludf.DUMMYFUNCTION("""COMPUTED_VALUE"""),315)</f>
        <v>315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IFERROR(__xludf.DUMMYFUNCTION("""COMPUTED_VALUE"""),"Army")</f>
        <v>Army</v>
      </c>
      <c r="C306" s="1" t="str">
        <f ca="1">IFERROR(__xludf.DUMMYFUNCTION("""COMPUTED_VALUE"""),"Pat")</f>
        <v>Pat</v>
      </c>
      <c r="D306" s="2">
        <f ca="1">IFERROR(__xludf.DUMMYFUNCTION("""COMPUTED_VALUE"""),44884)</f>
        <v>44884</v>
      </c>
      <c r="E306" s="1">
        <f ca="1">IFERROR(__xludf.DUMMYFUNCTION("""COMPUTED_VALUE"""),-12.46)</f>
        <v>-12.46</v>
      </c>
      <c r="F306" s="1">
        <f ca="1">IFERROR(__xludf.DUMMYFUNCTION("""COMPUTED_VALUE"""),88.3)</f>
        <v>88.3</v>
      </c>
      <c r="G306" s="1">
        <f ca="1">IFERROR(__xludf.DUMMYFUNCTION("""COMPUTED_VALUE"""),337)</f>
        <v>337</v>
      </c>
      <c r="H306" s="1">
        <f ca="1">IFERROR(__xludf.DUMMYFUNCTION("""COMPUTED_VALUE"""),100.7)</f>
        <v>100.7</v>
      </c>
      <c r="I306" s="1">
        <f ca="1">IFERROR(__xludf.DUMMYFUNCTION("""COMPUTED_VALUE"""),128)</f>
        <v>128</v>
      </c>
      <c r="J306" s="1">
        <f ca="1">IFERROR(__xludf.DUMMYFUNCTION("""COMPUTED_VALUE"""),62.8)</f>
        <v>62.8</v>
      </c>
      <c r="K306" s="1">
        <f ca="1">IFERROR(__xludf.DUMMYFUNCTION("""COMPUTED_VALUE"""),270)</f>
        <v>270</v>
      </c>
      <c r="L306" s="1">
        <f ca="1">IFERROR(__xludf.DUMMYFUNCTION("""COMPUTED_VALUE"""),-0.033)</f>
        <v>-3.3000000000000002E-2</v>
      </c>
      <c r="M306" s="1">
        <f ca="1">IFERROR(__xludf.DUMMYFUNCTION("""COMPUTED_VALUE"""),264)</f>
        <v>264</v>
      </c>
      <c r="N306" s="1">
        <f ca="1">IFERROR(__xludf.DUMMYFUNCTION("""COMPUTED_VALUE"""),-8.81)</f>
        <v>-8.81</v>
      </c>
      <c r="O306" s="1">
        <f ca="1">IFERROR(__xludf.DUMMYFUNCTION("""COMPUTED_VALUE"""),321)</f>
        <v>321</v>
      </c>
      <c r="P306" s="1">
        <f ca="1">IFERROR(__xludf.DUMMYFUNCTION("""COMPUTED_VALUE"""),97.2)</f>
        <v>97.2</v>
      </c>
      <c r="Q306" s="1">
        <f ca="1">IFERROR(__xludf.DUMMYFUNCTION("""COMPUTED_VALUE"""),324)</f>
        <v>324</v>
      </c>
      <c r="R306" s="1">
        <f ca="1">IFERROR(__xludf.DUMMYFUNCTION("""COMPUTED_VALUE"""),106)</f>
        <v>106</v>
      </c>
      <c r="S306" s="1">
        <f ca="1">IFERROR(__xludf.DUMMYFUNCTION("""COMPUTED_VALUE"""),303)</f>
        <v>303</v>
      </c>
      <c r="T306" s="1">
        <f ca="1">IFERROR(__xludf.DUMMYFUNCTION("""COMPUTED_VALUE"""),-9.41)</f>
        <v>-9.41</v>
      </c>
      <c r="U306" s="1">
        <f ca="1">IFERROR(__xludf.DUMMYFUNCTION("""COMPUTED_VALUE"""),331)</f>
        <v>331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IFERROR(__xludf.DUMMYFUNCTION("""COMPUTED_VALUE"""),"Elon")</f>
        <v>Elon</v>
      </c>
      <c r="C307" s="1" t="str">
        <f ca="1">IFERROR(__xludf.DUMMYFUNCTION("""COMPUTED_VALUE"""),"SC")</f>
        <v>SC</v>
      </c>
      <c r="D307" s="2">
        <f ca="1">IFERROR(__xludf.DUMMYFUNCTION("""COMPUTED_VALUE"""),44885)</f>
        <v>44885</v>
      </c>
      <c r="E307" s="1">
        <f ca="1">IFERROR(__xludf.DUMMYFUNCTION("""COMPUTED_VALUE"""),-12.5)</f>
        <v>-12.5</v>
      </c>
      <c r="F307" s="1">
        <f ca="1">IFERROR(__xludf.DUMMYFUNCTION("""COMPUTED_VALUE"""),94.9)</f>
        <v>94.9</v>
      </c>
      <c r="G307" s="1">
        <f ca="1">IFERROR(__xludf.DUMMYFUNCTION("""COMPUTED_VALUE"""),289)</f>
        <v>289</v>
      </c>
      <c r="H307" s="1">
        <f ca="1">IFERROR(__xludf.DUMMYFUNCTION("""COMPUTED_VALUE"""),107.4)</f>
        <v>107.4</v>
      </c>
      <c r="I307" s="1">
        <f ca="1">IFERROR(__xludf.DUMMYFUNCTION("""COMPUTED_VALUE"""),265)</f>
        <v>265</v>
      </c>
      <c r="J307" s="1">
        <f ca="1">IFERROR(__xludf.DUMMYFUNCTION("""COMPUTED_VALUE"""),63.9)</f>
        <v>63.9</v>
      </c>
      <c r="K307" s="1">
        <f ca="1">IFERROR(__xludf.DUMMYFUNCTION("""COMPUTED_VALUE"""),229)</f>
        <v>229</v>
      </c>
      <c r="L307" s="1" t="str">
        <f ca="1">IFERROR(__xludf.DUMMYFUNCTION("""COMPUTED_VALUE"""),"+.027")</f>
        <v>+.027</v>
      </c>
      <c r="M307" s="1">
        <f ca="1">IFERROR(__xludf.DUMMYFUNCTION("""COMPUTED_VALUE"""),97)</f>
        <v>97</v>
      </c>
      <c r="N307" s="1">
        <f ca="1">IFERROR(__xludf.DUMMYFUNCTION("""COMPUTED_VALUE"""),-3.7)</f>
        <v>-3.7</v>
      </c>
      <c r="O307" s="1">
        <f ca="1">IFERROR(__xludf.DUMMYFUNCTION("""COMPUTED_VALUE"""),244)</f>
        <v>244</v>
      </c>
      <c r="P307" s="1">
        <f ca="1">IFERROR(__xludf.DUMMYFUNCTION("""COMPUTED_VALUE"""),103)</f>
        <v>103</v>
      </c>
      <c r="Q307" s="1">
        <f ca="1">IFERROR(__xludf.DUMMYFUNCTION("""COMPUTED_VALUE"""),160)</f>
        <v>160</v>
      </c>
      <c r="R307" s="1">
        <f ca="1">IFERROR(__xludf.DUMMYFUNCTION("""COMPUTED_VALUE"""),106.7)</f>
        <v>106.7</v>
      </c>
      <c r="S307" s="1">
        <f ca="1">IFERROR(__xludf.DUMMYFUNCTION("""COMPUTED_VALUE"""),324)</f>
        <v>324</v>
      </c>
      <c r="T307" s="1" t="str">
        <f ca="1">IFERROR(__xludf.DUMMYFUNCTION("""COMPUTED_VALUE"""),"+6.18")</f>
        <v>+6.18</v>
      </c>
      <c r="U307" s="1">
        <f ca="1">IFERROR(__xludf.DUMMYFUNCTION("""COMPUTED_VALUE"""),38)</f>
        <v>38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IFERROR(__xludf.DUMMYFUNCTION("""COMPUTED_VALUE"""),"Louisiana Monroe")</f>
        <v>Louisiana Monroe</v>
      </c>
      <c r="C308" s="1" t="str">
        <f ca="1">IFERROR(__xludf.DUMMYFUNCTION("""COMPUTED_VALUE"""),"SB")</f>
        <v>SB</v>
      </c>
      <c r="D308" s="2">
        <f ca="1">IFERROR(__xludf.DUMMYFUNCTION("""COMPUTED_VALUE"""),44854)</f>
        <v>44854</v>
      </c>
      <c r="E308" s="1">
        <f ca="1">IFERROR(__xludf.DUMMYFUNCTION("""COMPUTED_VALUE"""),-12.94)</f>
        <v>-12.94</v>
      </c>
      <c r="F308" s="1">
        <f ca="1">IFERROR(__xludf.DUMMYFUNCTION("""COMPUTED_VALUE"""),97.1)</f>
        <v>97.1</v>
      </c>
      <c r="G308" s="1">
        <f ca="1">IFERROR(__xludf.DUMMYFUNCTION("""COMPUTED_VALUE"""),266)</f>
        <v>266</v>
      </c>
      <c r="H308" s="1">
        <f ca="1">IFERROR(__xludf.DUMMYFUNCTION("""COMPUTED_VALUE"""),110.1)</f>
        <v>110.1</v>
      </c>
      <c r="I308" s="1">
        <f ca="1">IFERROR(__xludf.DUMMYFUNCTION("""COMPUTED_VALUE"""),301)</f>
        <v>301</v>
      </c>
      <c r="J308" s="1">
        <f ca="1">IFERROR(__xludf.DUMMYFUNCTION("""COMPUTED_VALUE"""),67.3)</f>
        <v>67.3</v>
      </c>
      <c r="K308" s="1">
        <f ca="1">IFERROR(__xludf.DUMMYFUNCTION("""COMPUTED_VALUE"""),85)</f>
        <v>85</v>
      </c>
      <c r="L308" s="1" t="str">
        <f ca="1">IFERROR(__xludf.DUMMYFUNCTION("""COMPUTED_VALUE"""),"+.056")</f>
        <v>+.056</v>
      </c>
      <c r="M308" s="1">
        <f ca="1">IFERROR(__xludf.DUMMYFUNCTION("""COMPUTED_VALUE"""),43)</f>
        <v>43</v>
      </c>
      <c r="N308" s="1">
        <f ca="1">IFERROR(__xludf.DUMMYFUNCTION("""COMPUTED_VALUE"""),-2.54)</f>
        <v>-2.54</v>
      </c>
      <c r="O308" s="1">
        <f ca="1">IFERROR(__xludf.DUMMYFUNCTION("""COMPUTED_VALUE"""),210)</f>
        <v>210</v>
      </c>
      <c r="P308" s="1">
        <f ca="1">IFERROR(__xludf.DUMMYFUNCTION("""COMPUTED_VALUE"""),100.5)</f>
        <v>100.5</v>
      </c>
      <c r="Q308" s="1">
        <f ca="1">IFERROR(__xludf.DUMMYFUNCTION("""COMPUTED_VALUE"""),257)</f>
        <v>257</v>
      </c>
      <c r="R308" s="1">
        <f ca="1">IFERROR(__xludf.DUMMYFUNCTION("""COMPUTED_VALUE"""),103)</f>
        <v>103</v>
      </c>
      <c r="S308" s="1">
        <f ca="1">IFERROR(__xludf.DUMMYFUNCTION("""COMPUTED_VALUE"""),167)</f>
        <v>167</v>
      </c>
      <c r="T308" s="1" t="str">
        <f ca="1">IFERROR(__xludf.DUMMYFUNCTION("""COMPUTED_VALUE"""),"+0.72")</f>
        <v>+0.72</v>
      </c>
      <c r="U308" s="1">
        <f ca="1">IFERROR(__xludf.DUMMYFUNCTION("""COMPUTED_VALUE"""),135)</f>
        <v>135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IFERROR(__xludf.DUMMYFUNCTION("""COMPUTED_VALUE"""),"Bucknell")</f>
        <v>Bucknell</v>
      </c>
      <c r="C309" s="1" t="str">
        <f ca="1">IFERROR(__xludf.DUMMYFUNCTION("""COMPUTED_VALUE"""),"Pat")</f>
        <v>Pat</v>
      </c>
      <c r="D309" s="2">
        <f ca="1">IFERROR(__xludf.DUMMYFUNCTION("""COMPUTED_VALUE"""),44765)</f>
        <v>44765</v>
      </c>
      <c r="E309" s="1">
        <f ca="1">IFERROR(__xludf.DUMMYFUNCTION("""COMPUTED_VALUE"""),-13.02)</f>
        <v>-13.02</v>
      </c>
      <c r="F309" s="1">
        <f ca="1">IFERROR(__xludf.DUMMYFUNCTION("""COMPUTED_VALUE"""),93.4)</f>
        <v>93.4</v>
      </c>
      <c r="G309" s="1">
        <f ca="1">IFERROR(__xludf.DUMMYFUNCTION("""COMPUTED_VALUE"""),305)</f>
        <v>305</v>
      </c>
      <c r="H309" s="1">
        <f ca="1">IFERROR(__xludf.DUMMYFUNCTION("""COMPUTED_VALUE"""),106.4)</f>
        <v>106.4</v>
      </c>
      <c r="I309" s="1">
        <f ca="1">IFERROR(__xludf.DUMMYFUNCTION("""COMPUTED_VALUE"""),248)</f>
        <v>248</v>
      </c>
      <c r="J309" s="1">
        <f ca="1">IFERROR(__xludf.DUMMYFUNCTION("""COMPUTED_VALUE"""),67.3)</f>
        <v>67.3</v>
      </c>
      <c r="K309" s="1">
        <f ca="1">IFERROR(__xludf.DUMMYFUNCTION("""COMPUTED_VALUE"""),87)</f>
        <v>87</v>
      </c>
      <c r="L309" s="1">
        <f ca="1">IFERROR(__xludf.DUMMYFUNCTION("""COMPUTED_VALUE"""),-0.029)</f>
        <v>-2.9000000000000001E-2</v>
      </c>
      <c r="M309" s="1">
        <f ca="1">IFERROR(__xludf.DUMMYFUNCTION("""COMPUTED_VALUE"""),248)</f>
        <v>248</v>
      </c>
      <c r="N309" s="1">
        <f ca="1">IFERROR(__xludf.DUMMYFUNCTION("""COMPUTED_VALUE"""),-4.02)</f>
        <v>-4.0199999999999996</v>
      </c>
      <c r="O309" s="1">
        <f ca="1">IFERROR(__xludf.DUMMYFUNCTION("""COMPUTED_VALUE"""),251)</f>
        <v>251</v>
      </c>
      <c r="P309" s="1">
        <f ca="1">IFERROR(__xludf.DUMMYFUNCTION("""COMPUTED_VALUE"""),99.1)</f>
        <v>99.1</v>
      </c>
      <c r="Q309" s="1">
        <f ca="1">IFERROR(__xludf.DUMMYFUNCTION("""COMPUTED_VALUE"""),287)</f>
        <v>287</v>
      </c>
      <c r="R309" s="1">
        <f ca="1">IFERROR(__xludf.DUMMYFUNCTION("""COMPUTED_VALUE"""),103.2)</f>
        <v>103.2</v>
      </c>
      <c r="S309" s="1">
        <f ca="1">IFERROR(__xludf.DUMMYFUNCTION("""COMPUTED_VALUE"""),172)</f>
        <v>172</v>
      </c>
      <c r="T309" s="1" t="str">
        <f ca="1">IFERROR(__xludf.DUMMYFUNCTION("""COMPUTED_VALUE"""),"+0.09")</f>
        <v>+0.09</v>
      </c>
      <c r="U309" s="1">
        <f ca="1">IFERROR(__xludf.DUMMYFUNCTION("""COMPUTED_VALUE"""),152)</f>
        <v>152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IFERROR(__xludf.DUMMYFUNCTION("""COMPUTED_VALUE"""),"Pepperdine")</f>
        <v>Pepperdine</v>
      </c>
      <c r="C310" s="1" t="str">
        <f ca="1">IFERROR(__xludf.DUMMYFUNCTION("""COMPUTED_VALUE"""),"WCC")</f>
        <v>WCC</v>
      </c>
      <c r="D310" s="2">
        <f ca="1">IFERROR(__xludf.DUMMYFUNCTION("""COMPUTED_VALUE"""),44827)</f>
        <v>44827</v>
      </c>
      <c r="E310" s="1">
        <f ca="1">IFERROR(__xludf.DUMMYFUNCTION("""COMPUTED_VALUE"""),-13.04)</f>
        <v>-13.04</v>
      </c>
      <c r="F310" s="1">
        <f ca="1">IFERROR(__xludf.DUMMYFUNCTION("""COMPUTED_VALUE"""),92.7)</f>
        <v>92.7</v>
      </c>
      <c r="G310" s="1">
        <f ca="1">IFERROR(__xludf.DUMMYFUNCTION("""COMPUTED_VALUE"""),310)</f>
        <v>310</v>
      </c>
      <c r="H310" s="1">
        <f ca="1">IFERROR(__xludf.DUMMYFUNCTION("""COMPUTED_VALUE"""),105.7)</f>
        <v>105.7</v>
      </c>
      <c r="I310" s="1">
        <f ca="1">IFERROR(__xludf.DUMMYFUNCTION("""COMPUTED_VALUE"""),232)</f>
        <v>232</v>
      </c>
      <c r="J310" s="1">
        <f ca="1">IFERROR(__xludf.DUMMYFUNCTION("""COMPUTED_VALUE"""),66.5)</f>
        <v>66.5</v>
      </c>
      <c r="K310" s="1">
        <f ca="1">IFERROR(__xludf.DUMMYFUNCTION("""COMPUTED_VALUE"""),113)</f>
        <v>113</v>
      </c>
      <c r="L310" s="1" t="str">
        <f ca="1">IFERROR(__xludf.DUMMYFUNCTION("""COMPUTED_VALUE"""),"+.040")</f>
        <v>+.040</v>
      </c>
      <c r="M310" s="1">
        <f ca="1">IFERROR(__xludf.DUMMYFUNCTION("""COMPUTED_VALUE"""),71)</f>
        <v>71</v>
      </c>
      <c r="N310" s="1" t="str">
        <f ca="1">IFERROR(__xludf.DUMMYFUNCTION("""COMPUTED_VALUE"""),"+2.36")</f>
        <v>+2.36</v>
      </c>
      <c r="O310" s="1">
        <f ca="1">IFERROR(__xludf.DUMMYFUNCTION("""COMPUTED_VALUE"""),108)</f>
        <v>108</v>
      </c>
      <c r="P310" s="1">
        <f ca="1">IFERROR(__xludf.DUMMYFUNCTION("""COMPUTED_VALUE"""),104.2)</f>
        <v>104.2</v>
      </c>
      <c r="Q310" s="1">
        <f ca="1">IFERROR(__xludf.DUMMYFUNCTION("""COMPUTED_VALUE"""),107)</f>
        <v>107</v>
      </c>
      <c r="R310" s="1">
        <f ca="1">IFERROR(__xludf.DUMMYFUNCTION("""COMPUTED_VALUE"""),101.9)</f>
        <v>101.9</v>
      </c>
      <c r="S310" s="1">
        <f ca="1">IFERROR(__xludf.DUMMYFUNCTION("""COMPUTED_VALUE"""),127)</f>
        <v>127</v>
      </c>
      <c r="T310" s="1" t="str">
        <f ca="1">IFERROR(__xludf.DUMMYFUNCTION("""COMPUTED_VALUE"""),"+3.17")</f>
        <v>+3.17</v>
      </c>
      <c r="U310" s="1">
        <f ca="1">IFERROR(__xludf.DUMMYFUNCTION("""COMPUTED_VALUE"""),85)</f>
        <v>85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IFERROR(__xludf.DUMMYFUNCTION("""COMPUTED_VALUE"""),"Florida Gulf Coast")</f>
        <v>Florida Gulf Coast</v>
      </c>
      <c r="C311" s="1" t="str">
        <f ca="1">IFERROR(__xludf.DUMMYFUNCTION("""COMPUTED_VALUE"""),"ASun")</f>
        <v>ASun</v>
      </c>
      <c r="D311" s="2">
        <f ca="1">IFERROR(__xludf.DUMMYFUNCTION("""COMPUTED_VALUE"""),44885)</f>
        <v>44885</v>
      </c>
      <c r="E311" s="1">
        <f ca="1">IFERROR(__xludf.DUMMYFUNCTION("""COMPUTED_VALUE"""),-13.17)</f>
        <v>-13.17</v>
      </c>
      <c r="F311" s="1">
        <f ca="1">IFERROR(__xludf.DUMMYFUNCTION("""COMPUTED_VALUE"""),92.3)</f>
        <v>92.3</v>
      </c>
      <c r="G311" s="1">
        <f ca="1">IFERROR(__xludf.DUMMYFUNCTION("""COMPUTED_VALUE"""),312)</f>
        <v>312</v>
      </c>
      <c r="H311" s="1">
        <f ca="1">IFERROR(__xludf.DUMMYFUNCTION("""COMPUTED_VALUE"""),105.5)</f>
        <v>105.5</v>
      </c>
      <c r="I311" s="1">
        <f ca="1">IFERROR(__xludf.DUMMYFUNCTION("""COMPUTED_VALUE"""),227)</f>
        <v>227</v>
      </c>
      <c r="J311" s="1">
        <f ca="1">IFERROR(__xludf.DUMMYFUNCTION("""COMPUTED_VALUE"""),69.2)</f>
        <v>69.2</v>
      </c>
      <c r="K311" s="1">
        <f ca="1">IFERROR(__xludf.DUMMYFUNCTION("""COMPUTED_VALUE"""),38)</f>
        <v>38</v>
      </c>
      <c r="L311" s="1" t="str">
        <f ca="1">IFERROR(__xludf.DUMMYFUNCTION("""COMPUTED_VALUE"""),"+.026")</f>
        <v>+.026</v>
      </c>
      <c r="M311" s="1">
        <f ca="1">IFERROR(__xludf.DUMMYFUNCTION("""COMPUTED_VALUE"""),103)</f>
        <v>103</v>
      </c>
      <c r="N311" s="1">
        <f ca="1">IFERROR(__xludf.DUMMYFUNCTION("""COMPUTED_VALUE"""),-4.75)</f>
        <v>-4.75</v>
      </c>
      <c r="O311" s="1">
        <f ca="1">IFERROR(__xludf.DUMMYFUNCTION("""COMPUTED_VALUE"""),264)</f>
        <v>264</v>
      </c>
      <c r="P311" s="1">
        <f ca="1">IFERROR(__xludf.DUMMYFUNCTION("""COMPUTED_VALUE"""),100.5)</f>
        <v>100.5</v>
      </c>
      <c r="Q311" s="1">
        <f ca="1">IFERROR(__xludf.DUMMYFUNCTION("""COMPUTED_VALUE"""),259)</f>
        <v>259</v>
      </c>
      <c r="R311" s="1">
        <f ca="1">IFERROR(__xludf.DUMMYFUNCTION("""COMPUTED_VALUE"""),105.2)</f>
        <v>105.2</v>
      </c>
      <c r="S311" s="1">
        <f ca="1">IFERROR(__xludf.DUMMYFUNCTION("""COMPUTED_VALUE"""),257)</f>
        <v>257</v>
      </c>
      <c r="T311" s="1">
        <f ca="1">IFERROR(__xludf.DUMMYFUNCTION("""COMPUTED_VALUE"""),-0.28)</f>
        <v>-0.28000000000000003</v>
      </c>
      <c r="U311" s="1">
        <f ca="1">IFERROR(__xludf.DUMMYFUNCTION("""COMPUTED_VALUE"""),164)</f>
        <v>164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IFERROR(__xludf.DUMMYFUNCTION("""COMPUTED_VALUE"""),"Maine")</f>
        <v>Maine</v>
      </c>
      <c r="C312" s="1" t="str">
        <f ca="1">IFERROR(__xludf.DUMMYFUNCTION("""COMPUTED_VALUE"""),"AE")</f>
        <v>AE</v>
      </c>
      <c r="D312" s="2">
        <f ca="1">IFERROR(__xludf.DUMMYFUNCTION("""COMPUTED_VALUE"""),44825)</f>
        <v>44825</v>
      </c>
      <c r="E312" s="1">
        <f ca="1">IFERROR(__xludf.DUMMYFUNCTION("""COMPUTED_VALUE"""),-13.17)</f>
        <v>-13.17</v>
      </c>
      <c r="F312" s="1">
        <f ca="1">IFERROR(__xludf.DUMMYFUNCTION("""COMPUTED_VALUE"""),97.6)</f>
        <v>97.6</v>
      </c>
      <c r="G312" s="1">
        <f ca="1">IFERROR(__xludf.DUMMYFUNCTION("""COMPUTED_VALUE"""),253)</f>
        <v>253</v>
      </c>
      <c r="H312" s="1">
        <f ca="1">IFERROR(__xludf.DUMMYFUNCTION("""COMPUTED_VALUE"""),110.8)</f>
        <v>110.8</v>
      </c>
      <c r="I312" s="1">
        <f ca="1">IFERROR(__xludf.DUMMYFUNCTION("""COMPUTED_VALUE"""),311)</f>
        <v>311</v>
      </c>
      <c r="J312" s="1">
        <f ca="1">IFERROR(__xludf.DUMMYFUNCTION("""COMPUTED_VALUE"""),64.3)</f>
        <v>64.3</v>
      </c>
      <c r="K312" s="1">
        <f ca="1">IFERROR(__xludf.DUMMYFUNCTION("""COMPUTED_VALUE"""),218)</f>
        <v>218</v>
      </c>
      <c r="L312" s="1">
        <f ca="1">IFERROR(__xludf.DUMMYFUNCTION("""COMPUTED_VALUE"""),-0.022)</f>
        <v>-2.1999999999999999E-2</v>
      </c>
      <c r="M312" s="1">
        <f ca="1">IFERROR(__xludf.DUMMYFUNCTION("""COMPUTED_VALUE"""),233)</f>
        <v>233</v>
      </c>
      <c r="N312" s="1">
        <f ca="1">IFERROR(__xludf.DUMMYFUNCTION("""COMPUTED_VALUE"""),-5.11)</f>
        <v>-5.1100000000000003</v>
      </c>
      <c r="O312" s="1">
        <f ca="1">IFERROR(__xludf.DUMMYFUNCTION("""COMPUTED_VALUE"""),273)</f>
        <v>273</v>
      </c>
      <c r="P312" s="1">
        <f ca="1">IFERROR(__xludf.DUMMYFUNCTION("""COMPUTED_VALUE"""),99.8)</f>
        <v>99.8</v>
      </c>
      <c r="Q312" s="1">
        <f ca="1">IFERROR(__xludf.DUMMYFUNCTION("""COMPUTED_VALUE"""),277)</f>
        <v>277</v>
      </c>
      <c r="R312" s="1">
        <f ca="1">IFERROR(__xludf.DUMMYFUNCTION("""COMPUTED_VALUE"""),104.9)</f>
        <v>104.9</v>
      </c>
      <c r="S312" s="1">
        <f ca="1">IFERROR(__xludf.DUMMYFUNCTION("""COMPUTED_VALUE"""),245)</f>
        <v>245</v>
      </c>
      <c r="T312" s="1">
        <f ca="1">IFERROR(__xludf.DUMMYFUNCTION("""COMPUTED_VALUE"""),-4.12)</f>
        <v>-4.12</v>
      </c>
      <c r="U312" s="1">
        <f ca="1">IFERROR(__xludf.DUMMYFUNCTION("""COMPUTED_VALUE"""),255)</f>
        <v>255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IFERROR(__xludf.DUMMYFUNCTION("""COMPUTED_VALUE"""),"Western Illinois")</f>
        <v>Western Illinois</v>
      </c>
      <c r="C313" s="1" t="str">
        <f ca="1">IFERROR(__xludf.DUMMYFUNCTION("""COMPUTED_VALUE"""),"Sum")</f>
        <v>Sum</v>
      </c>
      <c r="D313" s="2">
        <f ca="1">IFERROR(__xludf.DUMMYFUNCTION("""COMPUTED_VALUE"""),44824)</f>
        <v>44824</v>
      </c>
      <c r="E313" s="1">
        <f ca="1">IFERROR(__xludf.DUMMYFUNCTION("""COMPUTED_VALUE"""),-13.2)</f>
        <v>-13.2</v>
      </c>
      <c r="F313" s="1">
        <f ca="1">IFERROR(__xludf.DUMMYFUNCTION("""COMPUTED_VALUE"""),97.4)</f>
        <v>97.4</v>
      </c>
      <c r="G313" s="1">
        <f ca="1">IFERROR(__xludf.DUMMYFUNCTION("""COMPUTED_VALUE"""),259)</f>
        <v>259</v>
      </c>
      <c r="H313" s="1">
        <f ca="1">IFERROR(__xludf.DUMMYFUNCTION("""COMPUTED_VALUE"""),110.6)</f>
        <v>110.6</v>
      </c>
      <c r="I313" s="1">
        <f ca="1">IFERROR(__xludf.DUMMYFUNCTION("""COMPUTED_VALUE"""),308)</f>
        <v>308</v>
      </c>
      <c r="J313" s="1">
        <f ca="1">IFERROR(__xludf.DUMMYFUNCTION("""COMPUTED_VALUE"""),58.5)</f>
        <v>58.5</v>
      </c>
      <c r="K313" s="1">
        <f ca="1">IFERROR(__xludf.DUMMYFUNCTION("""COMPUTED_VALUE"""),336)</f>
        <v>336</v>
      </c>
      <c r="L313" s="1" t="str">
        <f ca="1">IFERROR(__xludf.DUMMYFUNCTION("""COMPUTED_VALUE"""),"+.021")</f>
        <v>+.021</v>
      </c>
      <c r="M313" s="1">
        <f ca="1">IFERROR(__xludf.DUMMYFUNCTION("""COMPUTED_VALUE"""),115)</f>
        <v>115</v>
      </c>
      <c r="N313" s="1">
        <f ca="1">IFERROR(__xludf.DUMMYFUNCTION("""COMPUTED_VALUE"""),-3.24)</f>
        <v>-3.24</v>
      </c>
      <c r="O313" s="1">
        <f ca="1">IFERROR(__xludf.DUMMYFUNCTION("""COMPUTED_VALUE"""),228)</f>
        <v>228</v>
      </c>
      <c r="P313" s="1">
        <f ca="1">IFERROR(__xludf.DUMMYFUNCTION("""COMPUTED_VALUE"""),102.5)</f>
        <v>102.5</v>
      </c>
      <c r="Q313" s="1">
        <f ca="1">IFERROR(__xludf.DUMMYFUNCTION("""COMPUTED_VALUE"""),183)</f>
        <v>183</v>
      </c>
      <c r="R313" s="1">
        <f ca="1">IFERROR(__xludf.DUMMYFUNCTION("""COMPUTED_VALUE"""),105.7)</f>
        <v>105.7</v>
      </c>
      <c r="S313" s="1">
        <f ca="1">IFERROR(__xludf.DUMMYFUNCTION("""COMPUTED_VALUE"""),290)</f>
        <v>290</v>
      </c>
      <c r="T313" s="1">
        <f ca="1">IFERROR(__xludf.DUMMYFUNCTION("""COMPUTED_VALUE"""),-7.29)</f>
        <v>-7.29</v>
      </c>
      <c r="U313" s="1">
        <f ca="1">IFERROR(__xludf.DUMMYFUNCTION("""COMPUTED_VALUE"""),312)</f>
        <v>312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IFERROR(__xludf.DUMMYFUNCTION("""COMPUTED_VALUE"""),"Toledo")</f>
        <v>Toledo</v>
      </c>
      <c r="C314" s="1" t="str">
        <f ca="1">IFERROR(__xludf.DUMMYFUNCTION("""COMPUTED_VALUE"""),"MAC")</f>
        <v>MAC</v>
      </c>
      <c r="D314" s="2">
        <f ca="1">IFERROR(__xludf.DUMMYFUNCTION("""COMPUTED_VALUE"""),44767)</f>
        <v>44767</v>
      </c>
      <c r="E314" s="1">
        <f ca="1">IFERROR(__xludf.DUMMYFUNCTION("""COMPUTED_VALUE"""),-13.31)</f>
        <v>-13.31</v>
      </c>
      <c r="F314" s="1">
        <f ca="1">IFERROR(__xludf.DUMMYFUNCTION("""COMPUTED_VALUE"""),92.6)</f>
        <v>92.6</v>
      </c>
      <c r="G314" s="1">
        <f ca="1">IFERROR(__xludf.DUMMYFUNCTION("""COMPUTED_VALUE"""),311)</f>
        <v>311</v>
      </c>
      <c r="H314" s="1">
        <f ca="1">IFERROR(__xludf.DUMMYFUNCTION("""COMPUTED_VALUE"""),105.9)</f>
        <v>105.9</v>
      </c>
      <c r="I314" s="1">
        <f ca="1">IFERROR(__xludf.DUMMYFUNCTION("""COMPUTED_VALUE"""),236)</f>
        <v>236</v>
      </c>
      <c r="J314" s="1">
        <f ca="1">IFERROR(__xludf.DUMMYFUNCTION("""COMPUTED_VALUE"""),64.9)</f>
        <v>64.900000000000006</v>
      </c>
      <c r="K314" s="1">
        <f ca="1">IFERROR(__xludf.DUMMYFUNCTION("""COMPUTED_VALUE"""),188)</f>
        <v>188</v>
      </c>
      <c r="L314" s="1" t="str">
        <f ca="1">IFERROR(__xludf.DUMMYFUNCTION("""COMPUTED_VALUE"""),"+.010")</f>
        <v>+.010</v>
      </c>
      <c r="M314" s="1">
        <f ca="1">IFERROR(__xludf.DUMMYFUNCTION("""COMPUTED_VALUE"""),142)</f>
        <v>142</v>
      </c>
      <c r="N314" s="1" t="str">
        <f ca="1">IFERROR(__xludf.DUMMYFUNCTION("""COMPUTED_VALUE"""),"+0.34")</f>
        <v>+0.34</v>
      </c>
      <c r="O314" s="1">
        <f ca="1">IFERROR(__xludf.DUMMYFUNCTION("""COMPUTED_VALUE"""),149)</f>
        <v>149</v>
      </c>
      <c r="P314" s="1">
        <f ca="1">IFERROR(__xludf.DUMMYFUNCTION("""COMPUTED_VALUE"""),102.1)</f>
        <v>102.1</v>
      </c>
      <c r="Q314" s="1">
        <f ca="1">IFERROR(__xludf.DUMMYFUNCTION("""COMPUTED_VALUE"""),205)</f>
        <v>205</v>
      </c>
      <c r="R314" s="1">
        <f ca="1">IFERROR(__xludf.DUMMYFUNCTION("""COMPUTED_VALUE"""),101.7)</f>
        <v>101.7</v>
      </c>
      <c r="S314" s="1">
        <f ca="1">IFERROR(__xludf.DUMMYFUNCTION("""COMPUTED_VALUE"""),118)</f>
        <v>118</v>
      </c>
      <c r="T314" s="1" t="str">
        <f ca="1">IFERROR(__xludf.DUMMYFUNCTION("""COMPUTED_VALUE"""),"+5.74")</f>
        <v>+5.74</v>
      </c>
      <c r="U314" s="1">
        <f ca="1">IFERROR(__xludf.DUMMYFUNCTION("""COMPUTED_VALUE"""),44)</f>
        <v>44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IFERROR(__xludf.DUMMYFUNCTION("""COMPUTED_VALUE"""),"North Carolina A&amp;T")</f>
        <v>North Carolina A&amp;T</v>
      </c>
      <c r="C315" s="1" t="str">
        <f ca="1">IFERROR(__xludf.DUMMYFUNCTION("""COMPUTED_VALUE"""),"MEAC")</f>
        <v>MEAC</v>
      </c>
      <c r="D315" s="1" t="str">
        <f ca="1">IFERROR(__xludf.DUMMYFUNCTION("""COMPUTED_VALUE"""),"16-16")</f>
        <v>16-16</v>
      </c>
      <c r="E315" s="1">
        <f ca="1">IFERROR(__xludf.DUMMYFUNCTION("""COMPUTED_VALUE"""),-13.45)</f>
        <v>-13.45</v>
      </c>
      <c r="F315" s="1">
        <f ca="1">IFERROR(__xludf.DUMMYFUNCTION("""COMPUTED_VALUE"""),91.5)</f>
        <v>91.5</v>
      </c>
      <c r="G315" s="1">
        <f ca="1">IFERROR(__xludf.DUMMYFUNCTION("""COMPUTED_VALUE"""),318)</f>
        <v>318</v>
      </c>
      <c r="H315" s="1">
        <f ca="1">IFERROR(__xludf.DUMMYFUNCTION("""COMPUTED_VALUE"""),105)</f>
        <v>105</v>
      </c>
      <c r="I315" s="1">
        <f ca="1">IFERROR(__xludf.DUMMYFUNCTION("""COMPUTED_VALUE"""),214)</f>
        <v>214</v>
      </c>
      <c r="J315" s="1">
        <f ca="1">IFERROR(__xludf.DUMMYFUNCTION("""COMPUTED_VALUE"""),69.7)</f>
        <v>69.7</v>
      </c>
      <c r="K315" s="1">
        <f ca="1">IFERROR(__xludf.DUMMYFUNCTION("""COMPUTED_VALUE"""),27)</f>
        <v>27</v>
      </c>
      <c r="L315" s="1" t="str">
        <f ca="1">IFERROR(__xludf.DUMMYFUNCTION("""COMPUTED_VALUE"""),"+.054")</f>
        <v>+.054</v>
      </c>
      <c r="M315" s="1">
        <f ca="1">IFERROR(__xludf.DUMMYFUNCTION("""COMPUTED_VALUE"""),46)</f>
        <v>46</v>
      </c>
      <c r="N315" s="1">
        <f ca="1">IFERROR(__xludf.DUMMYFUNCTION("""COMPUTED_VALUE"""),-9.55)</f>
        <v>-9.5500000000000007</v>
      </c>
      <c r="O315" s="1">
        <f ca="1">IFERROR(__xludf.DUMMYFUNCTION("""COMPUTED_VALUE"""),325)</f>
        <v>325</v>
      </c>
      <c r="P315" s="1">
        <f ca="1">IFERROR(__xludf.DUMMYFUNCTION("""COMPUTED_VALUE"""),96.1)</f>
        <v>96.1</v>
      </c>
      <c r="Q315" s="1">
        <f ca="1">IFERROR(__xludf.DUMMYFUNCTION("""COMPUTED_VALUE"""),335)</f>
        <v>335</v>
      </c>
      <c r="R315" s="1">
        <f ca="1">IFERROR(__xludf.DUMMYFUNCTION("""COMPUTED_VALUE"""),105.6)</f>
        <v>105.6</v>
      </c>
      <c r="S315" s="1">
        <f ca="1">IFERROR(__xludf.DUMMYFUNCTION("""COMPUTED_VALUE"""),282)</f>
        <v>282</v>
      </c>
      <c r="T315" s="1" t="str">
        <f ca="1">IFERROR(__xludf.DUMMYFUNCTION("""COMPUTED_VALUE"""),"+0.71")</f>
        <v>+0.71</v>
      </c>
      <c r="U315" s="1">
        <f ca="1">IFERROR(__xludf.DUMMYFUNCTION("""COMPUTED_VALUE"""),136)</f>
        <v>136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IFERROR(__xludf.DUMMYFUNCTION("""COMPUTED_VALUE"""),"SIU Edwardsville")</f>
        <v>SIU Edwardsville</v>
      </c>
      <c r="C316" s="1" t="str">
        <f ca="1">IFERROR(__xludf.DUMMYFUNCTION("""COMPUTED_VALUE"""),"ind")</f>
        <v>ind</v>
      </c>
      <c r="D316" s="2">
        <f ca="1">IFERROR(__xludf.DUMMYFUNCTION("""COMPUTED_VALUE"""),44632)</f>
        <v>44632</v>
      </c>
      <c r="E316" s="1">
        <f ca="1">IFERROR(__xludf.DUMMYFUNCTION("""COMPUTED_VALUE"""),-13.72)</f>
        <v>-13.72</v>
      </c>
      <c r="F316" s="1">
        <f ca="1">IFERROR(__xludf.DUMMYFUNCTION("""COMPUTED_VALUE"""),91.2)</f>
        <v>91.2</v>
      </c>
      <c r="G316" s="1">
        <f ca="1">IFERROR(__xludf.DUMMYFUNCTION("""COMPUTED_VALUE"""),323)</f>
        <v>323</v>
      </c>
      <c r="H316" s="1">
        <f ca="1">IFERROR(__xludf.DUMMYFUNCTION("""COMPUTED_VALUE"""),104.9)</f>
        <v>104.9</v>
      </c>
      <c r="I316" s="1">
        <f ca="1">IFERROR(__xludf.DUMMYFUNCTION("""COMPUTED_VALUE"""),213)</f>
        <v>213</v>
      </c>
      <c r="J316" s="1">
        <f ca="1">IFERROR(__xludf.DUMMYFUNCTION("""COMPUTED_VALUE"""),69.5)</f>
        <v>69.5</v>
      </c>
      <c r="K316" s="1">
        <f ca="1">IFERROR(__xludf.DUMMYFUNCTION("""COMPUTED_VALUE"""),34)</f>
        <v>34</v>
      </c>
      <c r="L316" s="1" t="str">
        <f ca="1">IFERROR(__xludf.DUMMYFUNCTION("""COMPUTED_VALUE"""),"+.028")</f>
        <v>+.028</v>
      </c>
      <c r="M316" s="1">
        <f ca="1">IFERROR(__xludf.DUMMYFUNCTION("""COMPUTED_VALUE"""),95)</f>
        <v>95</v>
      </c>
      <c r="N316" s="1" t="str">
        <f ca="1">IFERROR(__xludf.DUMMYFUNCTION("""COMPUTED_VALUE"""),"+4.45")</f>
        <v>+4.45</v>
      </c>
      <c r="O316" s="1">
        <f ca="1">IFERROR(__xludf.DUMMYFUNCTION("""COMPUTED_VALUE"""),81)</f>
        <v>81</v>
      </c>
      <c r="P316" s="1">
        <f ca="1">IFERROR(__xludf.DUMMYFUNCTION("""COMPUTED_VALUE"""),105.9)</f>
        <v>105.9</v>
      </c>
      <c r="Q316" s="1">
        <f ca="1">IFERROR(__xludf.DUMMYFUNCTION("""COMPUTED_VALUE"""),67)</f>
        <v>67</v>
      </c>
      <c r="R316" s="1">
        <f ca="1">IFERROR(__xludf.DUMMYFUNCTION("""COMPUTED_VALUE"""),101.4)</f>
        <v>101.4</v>
      </c>
      <c r="S316" s="1">
        <f ca="1">IFERROR(__xludf.DUMMYFUNCTION("""COMPUTED_VALUE"""),105)</f>
        <v>105</v>
      </c>
      <c r="T316" s="1" t="str">
        <f ca="1">IFERROR(__xludf.DUMMYFUNCTION("""COMPUTED_VALUE"""),"+4.45")</f>
        <v>+4.45</v>
      </c>
      <c r="U316" s="1">
        <f ca="1">IFERROR(__xludf.DUMMYFUNCTION("""COMPUTED_VALUE"""),59)</f>
        <v>59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IFERROR(__xludf.DUMMYFUNCTION("""COMPUTED_VALUE"""),"St. Francis NY")</f>
        <v>St. Francis NY</v>
      </c>
      <c r="C317" s="1" t="str">
        <f ca="1">IFERROR(__xludf.DUMMYFUNCTION("""COMPUTED_VALUE"""),"NEC")</f>
        <v>NEC</v>
      </c>
      <c r="D317" s="2">
        <f ca="1">IFERROR(__xludf.DUMMYFUNCTION("""COMPUTED_VALUE"""),44854)</f>
        <v>44854</v>
      </c>
      <c r="E317" s="1">
        <f ca="1">IFERROR(__xludf.DUMMYFUNCTION("""COMPUTED_VALUE"""),-13.74)</f>
        <v>-13.74</v>
      </c>
      <c r="F317" s="1">
        <f ca="1">IFERROR(__xludf.DUMMYFUNCTION("""COMPUTED_VALUE"""),96)</f>
        <v>96</v>
      </c>
      <c r="G317" s="1">
        <f ca="1">IFERROR(__xludf.DUMMYFUNCTION("""COMPUTED_VALUE"""),278)</f>
        <v>278</v>
      </c>
      <c r="H317" s="1">
        <f ca="1">IFERROR(__xludf.DUMMYFUNCTION("""COMPUTED_VALUE"""),109.7)</f>
        <v>109.7</v>
      </c>
      <c r="I317" s="1">
        <f ca="1">IFERROR(__xludf.DUMMYFUNCTION("""COMPUTED_VALUE"""),298)</f>
        <v>298</v>
      </c>
      <c r="J317" s="1">
        <f ca="1">IFERROR(__xludf.DUMMYFUNCTION("""COMPUTED_VALUE"""),66.2)</f>
        <v>66.2</v>
      </c>
      <c r="K317" s="1">
        <f ca="1">IFERROR(__xludf.DUMMYFUNCTION("""COMPUTED_VALUE"""),131)</f>
        <v>131</v>
      </c>
      <c r="L317" s="1" t="str">
        <f ca="1">IFERROR(__xludf.DUMMYFUNCTION("""COMPUTED_VALUE"""),"+.021")</f>
        <v>+.021</v>
      </c>
      <c r="M317" s="1">
        <f ca="1">IFERROR(__xludf.DUMMYFUNCTION("""COMPUTED_VALUE"""),114)</f>
        <v>114</v>
      </c>
      <c r="N317" s="1">
        <f ca="1">IFERROR(__xludf.DUMMYFUNCTION("""COMPUTED_VALUE"""),-6.75)</f>
        <v>-6.75</v>
      </c>
      <c r="O317" s="1">
        <f ca="1">IFERROR(__xludf.DUMMYFUNCTION("""COMPUTED_VALUE"""),301)</f>
        <v>301</v>
      </c>
      <c r="P317" s="1">
        <f ca="1">IFERROR(__xludf.DUMMYFUNCTION("""COMPUTED_VALUE"""),98.7)</f>
        <v>98.7</v>
      </c>
      <c r="Q317" s="1">
        <f ca="1">IFERROR(__xludf.DUMMYFUNCTION("""COMPUTED_VALUE"""),294)</f>
        <v>294</v>
      </c>
      <c r="R317" s="1">
        <f ca="1">IFERROR(__xludf.DUMMYFUNCTION("""COMPUTED_VALUE"""),105.5)</f>
        <v>105.5</v>
      </c>
      <c r="S317" s="1">
        <f ca="1">IFERROR(__xludf.DUMMYFUNCTION("""COMPUTED_VALUE"""),272)</f>
        <v>272</v>
      </c>
      <c r="T317" s="1">
        <f ca="1">IFERROR(__xludf.DUMMYFUNCTION("""COMPUTED_VALUE"""),-1.83)</f>
        <v>-1.83</v>
      </c>
      <c r="U317" s="1">
        <f ca="1">IFERROR(__xludf.DUMMYFUNCTION("""COMPUTED_VALUE"""),204)</f>
        <v>204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IFERROR(__xludf.DUMMYFUNCTION("""COMPUTED_VALUE"""),"Arkansas Pine Bluff")</f>
        <v>Arkansas Pine Bluff</v>
      </c>
      <c r="C318" s="1" t="str">
        <f ca="1">IFERROR(__xludf.DUMMYFUNCTION("""COMPUTED_VALUE"""),"SWAC")</f>
        <v>SWAC</v>
      </c>
      <c r="D318" s="1" t="str">
        <f ca="1">IFERROR(__xludf.DUMMYFUNCTION("""COMPUTED_VALUE"""),"13-18")</f>
        <v>13-18</v>
      </c>
      <c r="E318" s="1">
        <f ca="1">IFERROR(__xludf.DUMMYFUNCTION("""COMPUTED_VALUE"""),-13.77)</f>
        <v>-13.77</v>
      </c>
      <c r="F318" s="1">
        <f ca="1">IFERROR(__xludf.DUMMYFUNCTION("""COMPUTED_VALUE"""),88)</f>
        <v>88</v>
      </c>
      <c r="G318" s="1">
        <f ca="1">IFERROR(__xludf.DUMMYFUNCTION("""COMPUTED_VALUE"""),338)</f>
        <v>338</v>
      </c>
      <c r="H318" s="1">
        <f ca="1">IFERROR(__xludf.DUMMYFUNCTION("""COMPUTED_VALUE"""),101.7)</f>
        <v>101.7</v>
      </c>
      <c r="I318" s="1">
        <f ca="1">IFERROR(__xludf.DUMMYFUNCTION("""COMPUTED_VALUE"""),145)</f>
        <v>145</v>
      </c>
      <c r="J318" s="1">
        <f ca="1">IFERROR(__xludf.DUMMYFUNCTION("""COMPUTED_VALUE"""),69.7)</f>
        <v>69.7</v>
      </c>
      <c r="K318" s="1">
        <f ca="1">IFERROR(__xludf.DUMMYFUNCTION("""COMPUTED_VALUE"""),30)</f>
        <v>30</v>
      </c>
      <c r="L318" s="1" t="str">
        <f ca="1">IFERROR(__xludf.DUMMYFUNCTION("""COMPUTED_VALUE"""),"+.082")</f>
        <v>+.082</v>
      </c>
      <c r="M318" s="1">
        <f ca="1">IFERROR(__xludf.DUMMYFUNCTION("""COMPUTED_VALUE"""),17)</f>
        <v>17</v>
      </c>
      <c r="N318" s="1">
        <f ca="1">IFERROR(__xludf.DUMMYFUNCTION("""COMPUTED_VALUE"""),-6.85)</f>
        <v>-6.85</v>
      </c>
      <c r="O318" s="1">
        <f ca="1">IFERROR(__xludf.DUMMYFUNCTION("""COMPUTED_VALUE"""),305)</f>
        <v>305</v>
      </c>
      <c r="P318" s="1">
        <f ca="1">IFERROR(__xludf.DUMMYFUNCTION("""COMPUTED_VALUE"""),98.5)</f>
        <v>98.5</v>
      </c>
      <c r="Q318" s="1">
        <f ca="1">IFERROR(__xludf.DUMMYFUNCTION("""COMPUTED_VALUE"""),299)</f>
        <v>299</v>
      </c>
      <c r="R318" s="1">
        <f ca="1">IFERROR(__xludf.DUMMYFUNCTION("""COMPUTED_VALUE"""),105.4)</f>
        <v>105.4</v>
      </c>
      <c r="S318" s="1">
        <f ca="1">IFERROR(__xludf.DUMMYFUNCTION("""COMPUTED_VALUE"""),265)</f>
        <v>265</v>
      </c>
      <c r="T318" s="1" t="str">
        <f ca="1">IFERROR(__xludf.DUMMYFUNCTION("""COMPUTED_VALUE"""),"+15.60")</f>
        <v>+15.60</v>
      </c>
      <c r="U318" s="1">
        <f ca="1">IFERROR(__xludf.DUMMYFUNCTION("""COMPUTED_VALUE"""),1)</f>
        <v>1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IFERROR(__xludf.DUMMYFUNCTION("""COMPUTED_VALUE"""),"Brown")</f>
        <v>Brown</v>
      </c>
      <c r="C319" s="1" t="str">
        <f ca="1">IFERROR(__xludf.DUMMYFUNCTION("""COMPUTED_VALUE"""),"Ivy")</f>
        <v>Ivy</v>
      </c>
      <c r="D319" s="2">
        <f ca="1">IFERROR(__xludf.DUMMYFUNCTION("""COMPUTED_VALUE"""),44823)</f>
        <v>44823</v>
      </c>
      <c r="E319" s="1">
        <f ca="1">IFERROR(__xludf.DUMMYFUNCTION("""COMPUTED_VALUE"""),-13.78)</f>
        <v>-13.78</v>
      </c>
      <c r="F319" s="1">
        <f ca="1">IFERROR(__xludf.DUMMYFUNCTION("""COMPUTED_VALUE"""),95.3)</f>
        <v>95.3</v>
      </c>
      <c r="G319" s="1">
        <f ca="1">IFERROR(__xludf.DUMMYFUNCTION("""COMPUTED_VALUE"""),284)</f>
        <v>284</v>
      </c>
      <c r="H319" s="1">
        <f ca="1">IFERROR(__xludf.DUMMYFUNCTION("""COMPUTED_VALUE"""),109.1)</f>
        <v>109.1</v>
      </c>
      <c r="I319" s="1">
        <f ca="1">IFERROR(__xludf.DUMMYFUNCTION("""COMPUTED_VALUE"""),292)</f>
        <v>292</v>
      </c>
      <c r="J319" s="1">
        <f ca="1">IFERROR(__xludf.DUMMYFUNCTION("""COMPUTED_VALUE"""),64.2)</f>
        <v>64.2</v>
      </c>
      <c r="K319" s="1">
        <f ca="1">IFERROR(__xludf.DUMMYFUNCTION("""COMPUTED_VALUE"""),222)</f>
        <v>222</v>
      </c>
      <c r="L319" s="1">
        <f ca="1">IFERROR(__xludf.DUMMYFUNCTION("""COMPUTED_VALUE"""),-0.015)</f>
        <v>-1.4999999999999999E-2</v>
      </c>
      <c r="M319" s="1">
        <f ca="1">IFERROR(__xludf.DUMMYFUNCTION("""COMPUTED_VALUE"""),211)</f>
        <v>211</v>
      </c>
      <c r="N319" s="1">
        <f ca="1">IFERROR(__xludf.DUMMYFUNCTION("""COMPUTED_VALUE"""),-5.86)</f>
        <v>-5.86</v>
      </c>
      <c r="O319" s="1">
        <f ca="1">IFERROR(__xludf.DUMMYFUNCTION("""COMPUTED_VALUE"""),286)</f>
        <v>286</v>
      </c>
      <c r="P319" s="1">
        <f ca="1">IFERROR(__xludf.DUMMYFUNCTION("""COMPUTED_VALUE"""),98.7)</f>
        <v>98.7</v>
      </c>
      <c r="Q319" s="1">
        <f ca="1">IFERROR(__xludf.DUMMYFUNCTION("""COMPUTED_VALUE"""),296)</f>
        <v>296</v>
      </c>
      <c r="R319" s="1">
        <f ca="1">IFERROR(__xludf.DUMMYFUNCTION("""COMPUTED_VALUE"""),104.6)</f>
        <v>104.6</v>
      </c>
      <c r="S319" s="1">
        <f ca="1">IFERROR(__xludf.DUMMYFUNCTION("""COMPUTED_VALUE"""),231)</f>
        <v>231</v>
      </c>
      <c r="T319" s="1">
        <f ca="1">IFERROR(__xludf.DUMMYFUNCTION("""COMPUTED_VALUE"""),-2.29)</f>
        <v>-2.29</v>
      </c>
      <c r="U319" s="1">
        <f ca="1">IFERROR(__xludf.DUMMYFUNCTION("""COMPUTED_VALUE"""),215)</f>
        <v>215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IFERROR(__xludf.DUMMYFUNCTION("""COMPUTED_VALUE"""),"Norfolk St.")</f>
        <v>Norfolk St.</v>
      </c>
      <c r="C320" s="1" t="str">
        <f ca="1">IFERROR(__xludf.DUMMYFUNCTION("""COMPUTED_VALUE"""),"MEAC")</f>
        <v>MEAC</v>
      </c>
      <c r="D320" s="1" t="str">
        <f ca="1">IFERROR(__xludf.DUMMYFUNCTION("""COMPUTED_VALUE"""),"14-18")</f>
        <v>14-18</v>
      </c>
      <c r="E320" s="1">
        <f ca="1">IFERROR(__xludf.DUMMYFUNCTION("""COMPUTED_VALUE"""),-13.91)</f>
        <v>-13.91</v>
      </c>
      <c r="F320" s="1">
        <f ca="1">IFERROR(__xludf.DUMMYFUNCTION("""COMPUTED_VALUE"""),97.5)</f>
        <v>97.5</v>
      </c>
      <c r="G320" s="1">
        <f ca="1">IFERROR(__xludf.DUMMYFUNCTION("""COMPUTED_VALUE"""),256)</f>
        <v>256</v>
      </c>
      <c r="H320" s="1">
        <f ca="1">IFERROR(__xludf.DUMMYFUNCTION("""COMPUTED_VALUE"""),111.4)</f>
        <v>111.4</v>
      </c>
      <c r="I320" s="1">
        <f ca="1">IFERROR(__xludf.DUMMYFUNCTION("""COMPUTED_VALUE"""),315)</f>
        <v>315</v>
      </c>
      <c r="J320" s="1">
        <f ca="1">IFERROR(__xludf.DUMMYFUNCTION("""COMPUTED_VALUE"""),70)</f>
        <v>70</v>
      </c>
      <c r="K320" s="1">
        <f ca="1">IFERROR(__xludf.DUMMYFUNCTION("""COMPUTED_VALUE"""),24)</f>
        <v>24</v>
      </c>
      <c r="L320" s="1" t="str">
        <f ca="1">IFERROR(__xludf.DUMMYFUNCTION("""COMPUTED_VALUE"""),"+.012")</f>
        <v>+.012</v>
      </c>
      <c r="M320" s="1">
        <f ca="1">IFERROR(__xludf.DUMMYFUNCTION("""COMPUTED_VALUE"""),139)</f>
        <v>139</v>
      </c>
      <c r="N320" s="1">
        <f ca="1">IFERROR(__xludf.DUMMYFUNCTION("""COMPUTED_VALUE"""),-10.67)</f>
        <v>-10.67</v>
      </c>
      <c r="O320" s="1">
        <f ca="1">IFERROR(__xludf.DUMMYFUNCTION("""COMPUTED_VALUE"""),336)</f>
        <v>336</v>
      </c>
      <c r="P320" s="1">
        <f ca="1">IFERROR(__xludf.DUMMYFUNCTION("""COMPUTED_VALUE"""),95.2)</f>
        <v>95.2</v>
      </c>
      <c r="Q320" s="1">
        <f ca="1">IFERROR(__xludf.DUMMYFUNCTION("""COMPUTED_VALUE"""),340)</f>
        <v>340</v>
      </c>
      <c r="R320" s="1">
        <f ca="1">IFERROR(__xludf.DUMMYFUNCTION("""COMPUTED_VALUE"""),105.9)</f>
        <v>105.9</v>
      </c>
      <c r="S320" s="1">
        <f ca="1">IFERROR(__xludf.DUMMYFUNCTION("""COMPUTED_VALUE"""),296)</f>
        <v>296</v>
      </c>
      <c r="T320" s="1">
        <f ca="1">IFERROR(__xludf.DUMMYFUNCTION("""COMPUTED_VALUE"""),-4.47)</f>
        <v>-4.47</v>
      </c>
      <c r="U320" s="1">
        <f ca="1">IFERROR(__xludf.DUMMYFUNCTION("""COMPUTED_VALUE"""),267)</f>
        <v>267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IFERROR(__xludf.DUMMYFUNCTION("""COMPUTED_VALUE"""),"UNC Wilmington")</f>
        <v>UNC Wilmington</v>
      </c>
      <c r="C321" s="1" t="str">
        <f ca="1">IFERROR(__xludf.DUMMYFUNCTION("""COMPUTED_VALUE"""),"CAA")</f>
        <v>CAA</v>
      </c>
      <c r="D321" s="2">
        <f ca="1">IFERROR(__xludf.DUMMYFUNCTION("""COMPUTED_VALUE"""),44767)</f>
        <v>44767</v>
      </c>
      <c r="E321" s="1">
        <f ca="1">IFERROR(__xludf.DUMMYFUNCTION("""COMPUTED_VALUE"""),-14.59)</f>
        <v>-14.59</v>
      </c>
      <c r="F321" s="1">
        <f ca="1">IFERROR(__xludf.DUMMYFUNCTION("""COMPUTED_VALUE"""),99.1)</f>
        <v>99.1</v>
      </c>
      <c r="G321" s="1">
        <f ca="1">IFERROR(__xludf.DUMMYFUNCTION("""COMPUTED_VALUE"""),232)</f>
        <v>232</v>
      </c>
      <c r="H321" s="1">
        <f ca="1">IFERROR(__xludf.DUMMYFUNCTION("""COMPUTED_VALUE"""),113.7)</f>
        <v>113.7</v>
      </c>
      <c r="I321" s="1">
        <f ca="1">IFERROR(__xludf.DUMMYFUNCTION("""COMPUTED_VALUE"""),335)</f>
        <v>335</v>
      </c>
      <c r="J321" s="1">
        <f ca="1">IFERROR(__xludf.DUMMYFUNCTION("""COMPUTED_VALUE"""),70.6)</f>
        <v>70.599999999999994</v>
      </c>
      <c r="K321" s="1">
        <f ca="1">IFERROR(__xludf.DUMMYFUNCTION("""COMPUTED_VALUE"""),17)</f>
        <v>17</v>
      </c>
      <c r="L321" s="1" t="str">
        <f ca="1">IFERROR(__xludf.DUMMYFUNCTION("""COMPUTED_VALUE"""),"+.030")</f>
        <v>+.030</v>
      </c>
      <c r="M321" s="1">
        <f ca="1">IFERROR(__xludf.DUMMYFUNCTION("""COMPUTED_VALUE"""),91)</f>
        <v>91</v>
      </c>
      <c r="N321" s="1" t="str">
        <f ca="1">IFERROR(__xludf.DUMMYFUNCTION("""COMPUTED_VALUE"""),"+0.63")</f>
        <v>+0.63</v>
      </c>
      <c r="O321" s="1">
        <f ca="1">IFERROR(__xludf.DUMMYFUNCTION("""COMPUTED_VALUE"""),142)</f>
        <v>142</v>
      </c>
      <c r="P321" s="1">
        <f ca="1">IFERROR(__xludf.DUMMYFUNCTION("""COMPUTED_VALUE"""),103.2)</f>
        <v>103.2</v>
      </c>
      <c r="Q321" s="1">
        <f ca="1">IFERROR(__xludf.DUMMYFUNCTION("""COMPUTED_VALUE"""),150)</f>
        <v>150</v>
      </c>
      <c r="R321" s="1">
        <f ca="1">IFERROR(__xludf.DUMMYFUNCTION("""COMPUTED_VALUE"""),102.6)</f>
        <v>102.6</v>
      </c>
      <c r="S321" s="1">
        <f ca="1">IFERROR(__xludf.DUMMYFUNCTION("""COMPUTED_VALUE"""),153)</f>
        <v>153</v>
      </c>
      <c r="T321" s="1">
        <f ca="1">IFERROR(__xludf.DUMMYFUNCTION("""COMPUTED_VALUE"""),-0.08)</f>
        <v>-0.08</v>
      </c>
      <c r="U321" s="1">
        <f ca="1">IFERROR(__xludf.DUMMYFUNCTION("""COMPUTED_VALUE"""),159)</f>
        <v>159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IFERROR(__xludf.DUMMYFUNCTION("""COMPUTED_VALUE"""),"High Point")</f>
        <v>High Point</v>
      </c>
      <c r="C322" s="1" t="str">
        <f ca="1">IFERROR(__xludf.DUMMYFUNCTION("""COMPUTED_VALUE"""),"BSth")</f>
        <v>BSth</v>
      </c>
      <c r="D322" s="2">
        <f ca="1">IFERROR(__xludf.DUMMYFUNCTION("""COMPUTED_VALUE"""),44825)</f>
        <v>44825</v>
      </c>
      <c r="E322" s="1">
        <f ca="1">IFERROR(__xludf.DUMMYFUNCTION("""COMPUTED_VALUE"""),-14.72)</f>
        <v>-14.72</v>
      </c>
      <c r="F322" s="1">
        <f ca="1">IFERROR(__xludf.DUMMYFUNCTION("""COMPUTED_VALUE"""),91)</f>
        <v>91</v>
      </c>
      <c r="G322" s="1">
        <f ca="1">IFERROR(__xludf.DUMMYFUNCTION("""COMPUTED_VALUE"""),324)</f>
        <v>324</v>
      </c>
      <c r="H322" s="1">
        <f ca="1">IFERROR(__xludf.DUMMYFUNCTION("""COMPUTED_VALUE"""),105.7)</f>
        <v>105.7</v>
      </c>
      <c r="I322" s="1">
        <f ca="1">IFERROR(__xludf.DUMMYFUNCTION("""COMPUTED_VALUE"""),231)</f>
        <v>231</v>
      </c>
      <c r="J322" s="1">
        <f ca="1">IFERROR(__xludf.DUMMYFUNCTION("""COMPUTED_VALUE"""),63.5)</f>
        <v>63.5</v>
      </c>
      <c r="K322" s="1">
        <f ca="1">IFERROR(__xludf.DUMMYFUNCTION("""COMPUTED_VALUE"""),253)</f>
        <v>253</v>
      </c>
      <c r="L322" s="1">
        <f ca="1">IFERROR(__xludf.DUMMYFUNCTION("""COMPUTED_VALUE"""),-0.027)</f>
        <v>-2.7E-2</v>
      </c>
      <c r="M322" s="1">
        <f ca="1">IFERROR(__xludf.DUMMYFUNCTION("""COMPUTED_VALUE"""),243)</f>
        <v>243</v>
      </c>
      <c r="N322" s="1">
        <f ca="1">IFERROR(__xludf.DUMMYFUNCTION("""COMPUTED_VALUE"""),-5.92)</f>
        <v>-5.92</v>
      </c>
      <c r="O322" s="1">
        <f ca="1">IFERROR(__xludf.DUMMYFUNCTION("""COMPUTED_VALUE"""),287)</f>
        <v>287</v>
      </c>
      <c r="P322" s="1">
        <f ca="1">IFERROR(__xludf.DUMMYFUNCTION("""COMPUTED_VALUE"""),100.6)</f>
        <v>100.6</v>
      </c>
      <c r="Q322" s="1">
        <f ca="1">IFERROR(__xludf.DUMMYFUNCTION("""COMPUTED_VALUE"""),254)</f>
        <v>254</v>
      </c>
      <c r="R322" s="1">
        <f ca="1">IFERROR(__xludf.DUMMYFUNCTION("""COMPUTED_VALUE"""),106.5)</f>
        <v>106.5</v>
      </c>
      <c r="S322" s="1">
        <f ca="1">IFERROR(__xludf.DUMMYFUNCTION("""COMPUTED_VALUE"""),316)</f>
        <v>316</v>
      </c>
      <c r="T322" s="1">
        <f ca="1">IFERROR(__xludf.DUMMYFUNCTION("""COMPUTED_VALUE"""),-2.21)</f>
        <v>-2.21</v>
      </c>
      <c r="U322" s="1">
        <f ca="1">IFERROR(__xludf.DUMMYFUNCTION("""COMPUTED_VALUE"""),212)</f>
        <v>212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IFERROR(__xludf.DUMMYFUNCTION("""COMPUTED_VALUE"""),"Georgia Southern")</f>
        <v>Georgia Southern</v>
      </c>
      <c r="C323" s="1" t="str">
        <f ca="1">IFERROR(__xludf.DUMMYFUNCTION("""COMPUTED_VALUE"""),"SC")</f>
        <v>SC</v>
      </c>
      <c r="D323" s="2">
        <f ca="1">IFERROR(__xludf.DUMMYFUNCTION("""COMPUTED_VALUE"""),44795)</f>
        <v>44795</v>
      </c>
      <c r="E323" s="1">
        <f ca="1">IFERROR(__xludf.DUMMYFUNCTION("""COMPUTED_VALUE"""),-14.75)</f>
        <v>-14.75</v>
      </c>
      <c r="F323" s="1">
        <f ca="1">IFERROR(__xludf.DUMMYFUNCTION("""COMPUTED_VALUE"""),98)</f>
        <v>98</v>
      </c>
      <c r="G323" s="1">
        <f ca="1">IFERROR(__xludf.DUMMYFUNCTION("""COMPUTED_VALUE"""),248)</f>
        <v>248</v>
      </c>
      <c r="H323" s="1">
        <f ca="1">IFERROR(__xludf.DUMMYFUNCTION("""COMPUTED_VALUE"""),112.7)</f>
        <v>112.7</v>
      </c>
      <c r="I323" s="1">
        <f ca="1">IFERROR(__xludf.DUMMYFUNCTION("""COMPUTED_VALUE"""),327)</f>
        <v>327</v>
      </c>
      <c r="J323" s="1">
        <f ca="1">IFERROR(__xludf.DUMMYFUNCTION("""COMPUTED_VALUE"""),68.9)</f>
        <v>68.900000000000006</v>
      </c>
      <c r="K323" s="1">
        <f ca="1">IFERROR(__xludf.DUMMYFUNCTION("""COMPUTED_VALUE"""),48)</f>
        <v>48</v>
      </c>
      <c r="L323" s="1">
        <f ca="1">IFERROR(__xludf.DUMMYFUNCTION("""COMPUTED_VALUE"""),-0.016)</f>
        <v>-1.6E-2</v>
      </c>
      <c r="M323" s="1">
        <f ca="1">IFERROR(__xludf.DUMMYFUNCTION("""COMPUTED_VALUE"""),216)</f>
        <v>216</v>
      </c>
      <c r="N323" s="1">
        <f ca="1">IFERROR(__xludf.DUMMYFUNCTION("""COMPUTED_VALUE"""),-3.06)</f>
        <v>-3.06</v>
      </c>
      <c r="O323" s="1">
        <f ca="1">IFERROR(__xludf.DUMMYFUNCTION("""COMPUTED_VALUE"""),221)</f>
        <v>221</v>
      </c>
      <c r="P323" s="1">
        <f ca="1">IFERROR(__xludf.DUMMYFUNCTION("""COMPUTED_VALUE"""),103.1)</f>
        <v>103.1</v>
      </c>
      <c r="Q323" s="1">
        <f ca="1">IFERROR(__xludf.DUMMYFUNCTION("""COMPUTED_VALUE"""),156)</f>
        <v>156</v>
      </c>
      <c r="R323" s="1">
        <f ca="1">IFERROR(__xludf.DUMMYFUNCTION("""COMPUTED_VALUE"""),106.1)</f>
        <v>106.1</v>
      </c>
      <c r="S323" s="1">
        <f ca="1">IFERROR(__xludf.DUMMYFUNCTION("""COMPUTED_VALUE"""),307)</f>
        <v>307</v>
      </c>
      <c r="T323" s="1" t="str">
        <f ca="1">IFERROR(__xludf.DUMMYFUNCTION("""COMPUTED_VALUE"""),"+9.54")</f>
        <v>+9.54</v>
      </c>
      <c r="U323" s="1">
        <f ca="1">IFERROR(__xludf.DUMMYFUNCTION("""COMPUTED_VALUE"""),17)</f>
        <v>17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IFERROR(__xludf.DUMMYFUNCTION("""COMPUTED_VALUE"""),"Eastern Michigan")</f>
        <v>Eastern Michigan</v>
      </c>
      <c r="C324" s="1" t="str">
        <f ca="1">IFERROR(__xludf.DUMMYFUNCTION("""COMPUTED_VALUE"""),"MAC")</f>
        <v>MAC</v>
      </c>
      <c r="D324" s="2">
        <f ca="1">IFERROR(__xludf.DUMMYFUNCTION("""COMPUTED_VALUE"""),44797)</f>
        <v>44797</v>
      </c>
      <c r="E324" s="1">
        <f ca="1">IFERROR(__xludf.DUMMYFUNCTION("""COMPUTED_VALUE"""),-14.97)</f>
        <v>-14.97</v>
      </c>
      <c r="F324" s="1">
        <f ca="1">IFERROR(__xludf.DUMMYFUNCTION("""COMPUTED_VALUE"""),90.2)</f>
        <v>90.2</v>
      </c>
      <c r="G324" s="1">
        <f ca="1">IFERROR(__xludf.DUMMYFUNCTION("""COMPUTED_VALUE"""),329)</f>
        <v>329</v>
      </c>
      <c r="H324" s="1">
        <f ca="1">IFERROR(__xludf.DUMMYFUNCTION("""COMPUTED_VALUE"""),105.1)</f>
        <v>105.1</v>
      </c>
      <c r="I324" s="1">
        <f ca="1">IFERROR(__xludf.DUMMYFUNCTION("""COMPUTED_VALUE"""),221)</f>
        <v>221</v>
      </c>
      <c r="J324" s="1">
        <f ca="1">IFERROR(__xludf.DUMMYFUNCTION("""COMPUTED_VALUE"""),61.2)</f>
        <v>61.2</v>
      </c>
      <c r="K324" s="1">
        <f ca="1">IFERROR(__xludf.DUMMYFUNCTION("""COMPUTED_VALUE"""),313)</f>
        <v>313</v>
      </c>
      <c r="L324" s="1" t="str">
        <f ca="1">IFERROR(__xludf.DUMMYFUNCTION("""COMPUTED_VALUE"""),"+.001")</f>
        <v>+.001</v>
      </c>
      <c r="M324" s="1">
        <f ca="1">IFERROR(__xludf.DUMMYFUNCTION("""COMPUTED_VALUE"""),161)</f>
        <v>161</v>
      </c>
      <c r="N324" s="1">
        <f ca="1">IFERROR(__xludf.DUMMYFUNCTION("""COMPUTED_VALUE"""),-1.7)</f>
        <v>-1.7</v>
      </c>
      <c r="O324" s="1">
        <f ca="1">IFERROR(__xludf.DUMMYFUNCTION("""COMPUTED_VALUE"""),196)</f>
        <v>196</v>
      </c>
      <c r="P324" s="1">
        <f ca="1">IFERROR(__xludf.DUMMYFUNCTION("""COMPUTED_VALUE"""),100.6)</f>
        <v>100.6</v>
      </c>
      <c r="Q324" s="1">
        <f ca="1">IFERROR(__xludf.DUMMYFUNCTION("""COMPUTED_VALUE"""),252)</f>
        <v>252</v>
      </c>
      <c r="R324" s="1">
        <f ca="1">IFERROR(__xludf.DUMMYFUNCTION("""COMPUTED_VALUE"""),102.3)</f>
        <v>102.3</v>
      </c>
      <c r="S324" s="1">
        <f ca="1">IFERROR(__xludf.DUMMYFUNCTION("""COMPUTED_VALUE"""),141)</f>
        <v>141</v>
      </c>
      <c r="T324" s="1" t="str">
        <f ca="1">IFERROR(__xludf.DUMMYFUNCTION("""COMPUTED_VALUE"""),"+3.45")</f>
        <v>+3.45</v>
      </c>
      <c r="U324" s="1">
        <f ca="1">IFERROR(__xludf.DUMMYFUNCTION("""COMPUTED_VALUE"""),79)</f>
        <v>79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IFERROR(__xludf.DUMMYFUNCTION("""COMPUTED_VALUE"""),"Colgate")</f>
        <v>Colgate</v>
      </c>
      <c r="C325" s="1" t="str">
        <f ca="1">IFERROR(__xludf.DUMMYFUNCTION("""COMPUTED_VALUE"""),"Pat")</f>
        <v>Pat</v>
      </c>
      <c r="D325" s="2">
        <f ca="1">IFERROR(__xludf.DUMMYFUNCTION("""COMPUTED_VALUE"""),44854)</f>
        <v>44854</v>
      </c>
      <c r="E325" s="1">
        <f ca="1">IFERROR(__xludf.DUMMYFUNCTION("""COMPUTED_VALUE"""),-15.1)</f>
        <v>-15.1</v>
      </c>
      <c r="F325" s="1">
        <f ca="1">IFERROR(__xludf.DUMMYFUNCTION("""COMPUTED_VALUE"""),90.7)</f>
        <v>90.7</v>
      </c>
      <c r="G325" s="1">
        <f ca="1">IFERROR(__xludf.DUMMYFUNCTION("""COMPUTED_VALUE"""),328)</f>
        <v>328</v>
      </c>
      <c r="H325" s="1">
        <f ca="1">IFERROR(__xludf.DUMMYFUNCTION("""COMPUTED_VALUE"""),105.8)</f>
        <v>105.8</v>
      </c>
      <c r="I325" s="1">
        <f ca="1">IFERROR(__xludf.DUMMYFUNCTION("""COMPUTED_VALUE"""),234)</f>
        <v>234</v>
      </c>
      <c r="J325" s="1">
        <f ca="1">IFERROR(__xludf.DUMMYFUNCTION("""COMPUTED_VALUE"""),60.9)</f>
        <v>60.9</v>
      </c>
      <c r="K325" s="1">
        <f ca="1">IFERROR(__xludf.DUMMYFUNCTION("""COMPUTED_VALUE"""),316)</f>
        <v>316</v>
      </c>
      <c r="L325" s="1" t="str">
        <f ca="1">IFERROR(__xludf.DUMMYFUNCTION("""COMPUTED_VALUE"""),"+.006")</f>
        <v>+.006</v>
      </c>
      <c r="M325" s="1">
        <f ca="1">IFERROR(__xludf.DUMMYFUNCTION("""COMPUTED_VALUE"""),150)</f>
        <v>150</v>
      </c>
      <c r="N325" s="1">
        <f ca="1">IFERROR(__xludf.DUMMYFUNCTION("""COMPUTED_VALUE"""),-7.14)</f>
        <v>-7.14</v>
      </c>
      <c r="O325" s="1">
        <f ca="1">IFERROR(__xludf.DUMMYFUNCTION("""COMPUTED_VALUE"""),308)</f>
        <v>308</v>
      </c>
      <c r="P325" s="1">
        <f ca="1">IFERROR(__xludf.DUMMYFUNCTION("""COMPUTED_VALUE"""),98)</f>
        <v>98</v>
      </c>
      <c r="Q325" s="1">
        <f ca="1">IFERROR(__xludf.DUMMYFUNCTION("""COMPUTED_VALUE"""),312)</f>
        <v>312</v>
      </c>
      <c r="R325" s="1">
        <f ca="1">IFERROR(__xludf.DUMMYFUNCTION("""COMPUTED_VALUE"""),105.2)</f>
        <v>105.2</v>
      </c>
      <c r="S325" s="1">
        <f ca="1">IFERROR(__xludf.DUMMYFUNCTION("""COMPUTED_VALUE"""),253)</f>
        <v>253</v>
      </c>
      <c r="T325" s="1">
        <f ca="1">IFERROR(__xludf.DUMMYFUNCTION("""COMPUTED_VALUE"""),-7.13)</f>
        <v>-7.13</v>
      </c>
      <c r="U325" s="1">
        <f ca="1">IFERROR(__xludf.DUMMYFUNCTION("""COMPUTED_VALUE"""),306)</f>
        <v>306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IFERROR(__xludf.DUMMYFUNCTION("""COMPUTED_VALUE"""),"Charleston Southern")</f>
        <v>Charleston Southern</v>
      </c>
      <c r="C326" s="1" t="str">
        <f ca="1">IFERROR(__xludf.DUMMYFUNCTION("""COMPUTED_VALUE"""),"BSth")</f>
        <v>BSth</v>
      </c>
      <c r="D326" s="2">
        <f ca="1">IFERROR(__xludf.DUMMYFUNCTION("""COMPUTED_VALUE"""),44824)</f>
        <v>44824</v>
      </c>
      <c r="E326" s="1">
        <f ca="1">IFERROR(__xludf.DUMMYFUNCTION("""COMPUTED_VALUE"""),-15.63)</f>
        <v>-15.63</v>
      </c>
      <c r="F326" s="1">
        <f ca="1">IFERROR(__xludf.DUMMYFUNCTION("""COMPUTED_VALUE"""),96.5)</f>
        <v>96.5</v>
      </c>
      <c r="G326" s="1">
        <f ca="1">IFERROR(__xludf.DUMMYFUNCTION("""COMPUTED_VALUE"""),270)</f>
        <v>270</v>
      </c>
      <c r="H326" s="1">
        <f ca="1">IFERROR(__xludf.DUMMYFUNCTION("""COMPUTED_VALUE"""),112.1)</f>
        <v>112.1</v>
      </c>
      <c r="I326" s="1">
        <f ca="1">IFERROR(__xludf.DUMMYFUNCTION("""COMPUTED_VALUE"""),322)</f>
        <v>322</v>
      </c>
      <c r="J326" s="1">
        <f ca="1">IFERROR(__xludf.DUMMYFUNCTION("""COMPUTED_VALUE"""),65)</f>
        <v>65</v>
      </c>
      <c r="K326" s="1">
        <f ca="1">IFERROR(__xludf.DUMMYFUNCTION("""COMPUTED_VALUE"""),183)</f>
        <v>183</v>
      </c>
      <c r="L326" s="1">
        <f ca="1">IFERROR(__xludf.DUMMYFUNCTION("""COMPUTED_VALUE"""),-0.005)</f>
        <v>-5.0000000000000001E-3</v>
      </c>
      <c r="M326" s="1">
        <f ca="1">IFERROR(__xludf.DUMMYFUNCTION("""COMPUTED_VALUE"""),176)</f>
        <v>176</v>
      </c>
      <c r="N326" s="1">
        <f ca="1">IFERROR(__xludf.DUMMYFUNCTION("""COMPUTED_VALUE"""),-5.47)</f>
        <v>-5.47</v>
      </c>
      <c r="O326" s="1">
        <f ca="1">IFERROR(__xludf.DUMMYFUNCTION("""COMPUTED_VALUE"""),280)</f>
        <v>280</v>
      </c>
      <c r="P326" s="1">
        <f ca="1">IFERROR(__xludf.DUMMYFUNCTION("""COMPUTED_VALUE"""),100.1)</f>
        <v>100.1</v>
      </c>
      <c r="Q326" s="1">
        <f ca="1">IFERROR(__xludf.DUMMYFUNCTION("""COMPUTED_VALUE"""),270)</f>
        <v>270</v>
      </c>
      <c r="R326" s="1">
        <f ca="1">IFERROR(__xludf.DUMMYFUNCTION("""COMPUTED_VALUE"""),105.5)</f>
        <v>105.5</v>
      </c>
      <c r="S326" s="1">
        <f ca="1">IFERROR(__xludf.DUMMYFUNCTION("""COMPUTED_VALUE"""),274)</f>
        <v>274</v>
      </c>
      <c r="T326" s="1" t="str">
        <f ca="1">IFERROR(__xludf.DUMMYFUNCTION("""COMPUTED_VALUE"""),"+1.08")</f>
        <v>+1.08</v>
      </c>
      <c r="U326" s="1">
        <f ca="1">IFERROR(__xludf.DUMMYFUNCTION("""COMPUTED_VALUE"""),125)</f>
        <v>125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IFERROR(__xludf.DUMMYFUNCTION("""COMPUTED_VALUE"""),"Longwood")</f>
        <v>Longwood</v>
      </c>
      <c r="C327" s="1" t="str">
        <f ca="1">IFERROR(__xludf.DUMMYFUNCTION("""COMPUTED_VALUE"""),"ind")</f>
        <v>ind</v>
      </c>
      <c r="D327" s="1" t="str">
        <f ca="1">IFERROR(__xludf.DUMMYFUNCTION("""COMPUTED_VALUE"""),"17-14")</f>
        <v>17-14</v>
      </c>
      <c r="E327" s="1">
        <f ca="1">IFERROR(__xludf.DUMMYFUNCTION("""COMPUTED_VALUE"""),-15.67)</f>
        <v>-15.67</v>
      </c>
      <c r="F327" s="1">
        <f ca="1">IFERROR(__xludf.DUMMYFUNCTION("""COMPUTED_VALUE"""),96.8)</f>
        <v>96.8</v>
      </c>
      <c r="G327" s="1">
        <f ca="1">IFERROR(__xludf.DUMMYFUNCTION("""COMPUTED_VALUE"""),269)</f>
        <v>269</v>
      </c>
      <c r="H327" s="1">
        <f ca="1">IFERROR(__xludf.DUMMYFUNCTION("""COMPUTED_VALUE"""),112.4)</f>
        <v>112.4</v>
      </c>
      <c r="I327" s="1">
        <f ca="1">IFERROR(__xludf.DUMMYFUNCTION("""COMPUTED_VALUE"""),326)</f>
        <v>326</v>
      </c>
      <c r="J327" s="1">
        <f ca="1">IFERROR(__xludf.DUMMYFUNCTION("""COMPUTED_VALUE"""),73.8)</f>
        <v>73.8</v>
      </c>
      <c r="K327" s="1">
        <f ca="1">IFERROR(__xludf.DUMMYFUNCTION("""COMPUTED_VALUE"""),5)</f>
        <v>5</v>
      </c>
      <c r="L327" s="1" t="str">
        <f ca="1">IFERROR(__xludf.DUMMYFUNCTION("""COMPUTED_VALUE"""),"+.089")</f>
        <v>+.089</v>
      </c>
      <c r="M327" s="1">
        <f ca="1">IFERROR(__xludf.DUMMYFUNCTION("""COMPUTED_VALUE"""),13)</f>
        <v>13</v>
      </c>
      <c r="N327" s="1">
        <f ca="1">IFERROR(__xludf.DUMMYFUNCTION("""COMPUTED_VALUE"""),-12.4)</f>
        <v>-12.4</v>
      </c>
      <c r="O327" s="1">
        <f ca="1">IFERROR(__xludf.DUMMYFUNCTION("""COMPUTED_VALUE"""),344)</f>
        <v>344</v>
      </c>
      <c r="P327" s="1">
        <f ca="1">IFERROR(__xludf.DUMMYFUNCTION("""COMPUTED_VALUE"""),95.2)</f>
        <v>95.2</v>
      </c>
      <c r="Q327" s="1">
        <f ca="1">IFERROR(__xludf.DUMMYFUNCTION("""COMPUTED_VALUE"""),341)</f>
        <v>341</v>
      </c>
      <c r="R327" s="1">
        <f ca="1">IFERROR(__xludf.DUMMYFUNCTION("""COMPUTED_VALUE"""),107.6)</f>
        <v>107.6</v>
      </c>
      <c r="S327" s="1">
        <f ca="1">IFERROR(__xludf.DUMMYFUNCTION("""COMPUTED_VALUE"""),340)</f>
        <v>340</v>
      </c>
      <c r="T327" s="1">
        <f ca="1">IFERROR(__xludf.DUMMYFUNCTION("""COMPUTED_VALUE"""),-5.99)</f>
        <v>-5.99</v>
      </c>
      <c r="U327" s="1">
        <f ca="1">IFERROR(__xludf.DUMMYFUNCTION("""COMPUTED_VALUE"""),299)</f>
        <v>299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IFERROR(__xludf.DUMMYFUNCTION("""COMPUTED_VALUE"""),"Savannah St.")</f>
        <v>Savannah St.</v>
      </c>
      <c r="C328" s="1" t="str">
        <f ca="1">IFERROR(__xludf.DUMMYFUNCTION("""COMPUTED_VALUE"""),"ind")</f>
        <v>ind</v>
      </c>
      <c r="D328" s="1" t="str">
        <f ca="1">IFERROR(__xludf.DUMMYFUNCTION("""COMPUTED_VALUE"""),"15-14")</f>
        <v>15-14</v>
      </c>
      <c r="E328" s="1">
        <f ca="1">IFERROR(__xludf.DUMMYFUNCTION("""COMPUTED_VALUE"""),-15.76)</f>
        <v>-15.76</v>
      </c>
      <c r="F328" s="1">
        <f ca="1">IFERROR(__xludf.DUMMYFUNCTION("""COMPUTED_VALUE"""),86)</f>
        <v>86</v>
      </c>
      <c r="G328" s="1">
        <f ca="1">IFERROR(__xludf.DUMMYFUNCTION("""COMPUTED_VALUE"""),340)</f>
        <v>340</v>
      </c>
      <c r="H328" s="1">
        <f ca="1">IFERROR(__xludf.DUMMYFUNCTION("""COMPUTED_VALUE"""),101.8)</f>
        <v>101.8</v>
      </c>
      <c r="I328" s="1">
        <f ca="1">IFERROR(__xludf.DUMMYFUNCTION("""COMPUTED_VALUE"""),148)</f>
        <v>148</v>
      </c>
      <c r="J328" s="1">
        <f ca="1">IFERROR(__xludf.DUMMYFUNCTION("""COMPUTED_VALUE"""),63.4)</f>
        <v>63.4</v>
      </c>
      <c r="K328" s="1">
        <f ca="1">IFERROR(__xludf.DUMMYFUNCTION("""COMPUTED_VALUE"""),260)</f>
        <v>260</v>
      </c>
      <c r="L328" s="1" t="str">
        <f ca="1">IFERROR(__xludf.DUMMYFUNCTION("""COMPUTED_VALUE"""),"+.122")</f>
        <v>+.122</v>
      </c>
      <c r="M328" s="1">
        <f ca="1">IFERROR(__xludf.DUMMYFUNCTION("""COMPUTED_VALUE"""),4)</f>
        <v>4</v>
      </c>
      <c r="N328" s="1">
        <f ca="1">IFERROR(__xludf.DUMMYFUNCTION("""COMPUTED_VALUE"""),-6.14)</f>
        <v>-6.14</v>
      </c>
      <c r="O328" s="1">
        <f ca="1">IFERROR(__xludf.DUMMYFUNCTION("""COMPUTED_VALUE"""),293)</f>
        <v>293</v>
      </c>
      <c r="P328" s="1">
        <f ca="1">IFERROR(__xludf.DUMMYFUNCTION("""COMPUTED_VALUE"""),99.7)</f>
        <v>99.7</v>
      </c>
      <c r="Q328" s="1">
        <f ca="1">IFERROR(__xludf.DUMMYFUNCTION("""COMPUTED_VALUE"""),280)</f>
        <v>280</v>
      </c>
      <c r="R328" s="1">
        <f ca="1">IFERROR(__xludf.DUMMYFUNCTION("""COMPUTED_VALUE"""),105.8)</f>
        <v>105.8</v>
      </c>
      <c r="S328" s="1">
        <f ca="1">IFERROR(__xludf.DUMMYFUNCTION("""COMPUTED_VALUE"""),293)</f>
        <v>293</v>
      </c>
      <c r="T328" s="1">
        <f ca="1">IFERROR(__xludf.DUMMYFUNCTION("""COMPUTED_VALUE"""),-0.9)</f>
        <v>-0.9</v>
      </c>
      <c r="U328" s="1">
        <f ca="1">IFERROR(__xludf.DUMMYFUNCTION("""COMPUTED_VALUE"""),184)</f>
        <v>184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IFERROR(__xludf.DUMMYFUNCTION("""COMPUTED_VALUE"""),"Hartford")</f>
        <v>Hartford</v>
      </c>
      <c r="C329" s="1" t="str">
        <f ca="1">IFERROR(__xludf.DUMMYFUNCTION("""COMPUTED_VALUE"""),"AE")</f>
        <v>AE</v>
      </c>
      <c r="D329" s="2">
        <f ca="1">IFERROR(__xludf.DUMMYFUNCTION("""COMPUTED_VALUE"""),44768)</f>
        <v>44768</v>
      </c>
      <c r="E329" s="1">
        <f ca="1">IFERROR(__xludf.DUMMYFUNCTION("""COMPUTED_VALUE"""),-15.94)</f>
        <v>-15.94</v>
      </c>
      <c r="F329" s="1">
        <f ca="1">IFERROR(__xludf.DUMMYFUNCTION("""COMPUTED_VALUE"""),92.1)</f>
        <v>92.1</v>
      </c>
      <c r="G329" s="1">
        <f ca="1">IFERROR(__xludf.DUMMYFUNCTION("""COMPUTED_VALUE"""),314)</f>
        <v>314</v>
      </c>
      <c r="H329" s="1">
        <f ca="1">IFERROR(__xludf.DUMMYFUNCTION("""COMPUTED_VALUE"""),108)</f>
        <v>108</v>
      </c>
      <c r="I329" s="1">
        <f ca="1">IFERROR(__xludf.DUMMYFUNCTION("""COMPUTED_VALUE"""),279)</f>
        <v>279</v>
      </c>
      <c r="J329" s="1">
        <f ca="1">IFERROR(__xludf.DUMMYFUNCTION("""COMPUTED_VALUE"""),63.4)</f>
        <v>63.4</v>
      </c>
      <c r="K329" s="1">
        <f ca="1">IFERROR(__xludf.DUMMYFUNCTION("""COMPUTED_VALUE"""),259)</f>
        <v>259</v>
      </c>
      <c r="L329" s="1">
        <f ca="1">IFERROR(__xludf.DUMMYFUNCTION("""COMPUTED_VALUE"""),-0.019)</f>
        <v>-1.9E-2</v>
      </c>
      <c r="M329" s="1">
        <f ca="1">IFERROR(__xludf.DUMMYFUNCTION("""COMPUTED_VALUE"""),227)</f>
        <v>227</v>
      </c>
      <c r="N329" s="1">
        <f ca="1">IFERROR(__xludf.DUMMYFUNCTION("""COMPUTED_VALUE"""),-2.62)</f>
        <v>-2.62</v>
      </c>
      <c r="O329" s="1">
        <f ca="1">IFERROR(__xludf.DUMMYFUNCTION("""COMPUTED_VALUE"""),213)</f>
        <v>213</v>
      </c>
      <c r="P329" s="1">
        <f ca="1">IFERROR(__xludf.DUMMYFUNCTION("""COMPUTED_VALUE"""),101.5)</f>
        <v>101.5</v>
      </c>
      <c r="Q329" s="1">
        <f ca="1">IFERROR(__xludf.DUMMYFUNCTION("""COMPUTED_VALUE"""),220)</f>
        <v>220</v>
      </c>
      <c r="R329" s="1">
        <f ca="1">IFERROR(__xludf.DUMMYFUNCTION("""COMPUTED_VALUE"""),104.2)</f>
        <v>104.2</v>
      </c>
      <c r="S329" s="1">
        <f ca="1">IFERROR(__xludf.DUMMYFUNCTION("""COMPUTED_VALUE"""),216)</f>
        <v>216</v>
      </c>
      <c r="T329" s="1" t="str">
        <f ca="1">IFERROR(__xludf.DUMMYFUNCTION("""COMPUTED_VALUE"""),"+1.31")</f>
        <v>+1.31</v>
      </c>
      <c r="U329" s="1">
        <f ca="1">IFERROR(__xludf.DUMMYFUNCTION("""COMPUTED_VALUE"""),122)</f>
        <v>122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IFERROR(__xludf.DUMMYFUNCTION("""COMPUTED_VALUE"""),"Dartmouth")</f>
        <v>Dartmouth</v>
      </c>
      <c r="C330" s="1" t="str">
        <f ca="1">IFERROR(__xludf.DUMMYFUNCTION("""COMPUTED_VALUE"""),"Ivy")</f>
        <v>Ivy</v>
      </c>
      <c r="D330" s="2">
        <f ca="1">IFERROR(__xludf.DUMMYFUNCTION("""COMPUTED_VALUE"""),44823)</f>
        <v>44823</v>
      </c>
      <c r="E330" s="1">
        <f ca="1">IFERROR(__xludf.DUMMYFUNCTION("""COMPUTED_VALUE"""),-16.08)</f>
        <v>-16.079999999999998</v>
      </c>
      <c r="F330" s="1">
        <f ca="1">IFERROR(__xludf.DUMMYFUNCTION("""COMPUTED_VALUE"""),92.8)</f>
        <v>92.8</v>
      </c>
      <c r="G330" s="1">
        <f ca="1">IFERROR(__xludf.DUMMYFUNCTION("""COMPUTED_VALUE"""),309)</f>
        <v>309</v>
      </c>
      <c r="H330" s="1">
        <f ca="1">IFERROR(__xludf.DUMMYFUNCTION("""COMPUTED_VALUE"""),108.8)</f>
        <v>108.8</v>
      </c>
      <c r="I330" s="1">
        <f ca="1">IFERROR(__xludf.DUMMYFUNCTION("""COMPUTED_VALUE"""),288)</f>
        <v>288</v>
      </c>
      <c r="J330" s="1">
        <f ca="1">IFERROR(__xludf.DUMMYFUNCTION("""COMPUTED_VALUE"""),64.5)</f>
        <v>64.5</v>
      </c>
      <c r="K330" s="1">
        <f ca="1">IFERROR(__xludf.DUMMYFUNCTION("""COMPUTED_VALUE"""),212)</f>
        <v>212</v>
      </c>
      <c r="L330" s="1" t="str">
        <f ca="1">IFERROR(__xludf.DUMMYFUNCTION("""COMPUTED_VALUE"""),"+.022")</f>
        <v>+.022</v>
      </c>
      <c r="M330" s="1">
        <f ca="1">IFERROR(__xludf.DUMMYFUNCTION("""COMPUTED_VALUE"""),113)</f>
        <v>113</v>
      </c>
      <c r="N330" s="1">
        <f ca="1">IFERROR(__xludf.DUMMYFUNCTION("""COMPUTED_VALUE"""),-7.93)</f>
        <v>-7.93</v>
      </c>
      <c r="O330" s="1">
        <f ca="1">IFERROR(__xludf.DUMMYFUNCTION("""COMPUTED_VALUE"""),315)</f>
        <v>315</v>
      </c>
      <c r="P330" s="1">
        <f ca="1">IFERROR(__xludf.DUMMYFUNCTION("""COMPUTED_VALUE"""),97.5)</f>
        <v>97.5</v>
      </c>
      <c r="Q330" s="1">
        <f ca="1">IFERROR(__xludf.DUMMYFUNCTION("""COMPUTED_VALUE"""),321)</f>
        <v>321</v>
      </c>
      <c r="R330" s="1">
        <f ca="1">IFERROR(__xludf.DUMMYFUNCTION("""COMPUTED_VALUE"""),105.4)</f>
        <v>105.4</v>
      </c>
      <c r="S330" s="1">
        <f ca="1">IFERROR(__xludf.DUMMYFUNCTION("""COMPUTED_VALUE"""),266)</f>
        <v>266</v>
      </c>
      <c r="T330" s="1">
        <f ca="1">IFERROR(__xludf.DUMMYFUNCTION("""COMPUTED_VALUE"""),-7.42)</f>
        <v>-7.42</v>
      </c>
      <c r="U330" s="1">
        <f ca="1">IFERROR(__xludf.DUMMYFUNCTION("""COMPUTED_VALUE"""),314)</f>
        <v>314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IFERROR(__xludf.DUMMYFUNCTION("""COMPUTED_VALUE"""),"Northwestern St.")</f>
        <v>Northwestern St.</v>
      </c>
      <c r="C331" s="1" t="str">
        <f ca="1">IFERROR(__xludf.DUMMYFUNCTION("""COMPUTED_VALUE"""),"Slnd")</f>
        <v>Slnd</v>
      </c>
      <c r="D331" s="2">
        <f ca="1">IFERROR(__xludf.DUMMYFUNCTION("""COMPUTED_VALUE"""),44885)</f>
        <v>44885</v>
      </c>
      <c r="E331" s="1">
        <f ca="1">IFERROR(__xludf.DUMMYFUNCTION("""COMPUTED_VALUE"""),-16.18)</f>
        <v>-16.18</v>
      </c>
      <c r="F331" s="1">
        <f ca="1">IFERROR(__xludf.DUMMYFUNCTION("""COMPUTED_VALUE"""),91.8)</f>
        <v>91.8</v>
      </c>
      <c r="G331" s="1">
        <f ca="1">IFERROR(__xludf.DUMMYFUNCTION("""COMPUTED_VALUE"""),316)</f>
        <v>316</v>
      </c>
      <c r="H331" s="1">
        <f ca="1">IFERROR(__xludf.DUMMYFUNCTION("""COMPUTED_VALUE"""),108)</f>
        <v>108</v>
      </c>
      <c r="I331" s="1">
        <f ca="1">IFERROR(__xludf.DUMMYFUNCTION("""COMPUTED_VALUE"""),275)</f>
        <v>275</v>
      </c>
      <c r="J331" s="1">
        <f ca="1">IFERROR(__xludf.DUMMYFUNCTION("""COMPUTED_VALUE"""),74.8)</f>
        <v>74.8</v>
      </c>
      <c r="K331" s="1">
        <f ca="1">IFERROR(__xludf.DUMMYFUNCTION("""COMPUTED_VALUE"""),2)</f>
        <v>2</v>
      </c>
      <c r="L331" s="1" t="str">
        <f ca="1">IFERROR(__xludf.DUMMYFUNCTION("""COMPUTED_VALUE"""),"+.062")</f>
        <v>+.062</v>
      </c>
      <c r="M331" s="1">
        <f ca="1">IFERROR(__xludf.DUMMYFUNCTION("""COMPUTED_VALUE"""),33)</f>
        <v>33</v>
      </c>
      <c r="N331" s="1">
        <f ca="1">IFERROR(__xludf.DUMMYFUNCTION("""COMPUTED_VALUE"""),-2.93)</f>
        <v>-2.93</v>
      </c>
      <c r="O331" s="1">
        <f ca="1">IFERROR(__xludf.DUMMYFUNCTION("""COMPUTED_VALUE"""),217)</f>
        <v>217</v>
      </c>
      <c r="P331" s="1">
        <f ca="1">IFERROR(__xludf.DUMMYFUNCTION("""COMPUTED_VALUE"""),100.6)</f>
        <v>100.6</v>
      </c>
      <c r="Q331" s="1">
        <f ca="1">IFERROR(__xludf.DUMMYFUNCTION("""COMPUTED_VALUE"""),251)</f>
        <v>251</v>
      </c>
      <c r="R331" s="1">
        <f ca="1">IFERROR(__xludf.DUMMYFUNCTION("""COMPUTED_VALUE"""),103.6)</f>
        <v>103.6</v>
      </c>
      <c r="S331" s="1">
        <f ca="1">IFERROR(__xludf.DUMMYFUNCTION("""COMPUTED_VALUE"""),190)</f>
        <v>190</v>
      </c>
      <c r="T331" s="1">
        <f ca="1">IFERROR(__xludf.DUMMYFUNCTION("""COMPUTED_VALUE"""),-2.17)</f>
        <v>-2.17</v>
      </c>
      <c r="U331" s="1">
        <f ca="1">IFERROR(__xludf.DUMMYFUNCTION("""COMPUTED_VALUE"""),209)</f>
        <v>209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IFERROR(__xludf.DUMMYFUNCTION("""COMPUTED_VALUE"""),"Delaware St.")</f>
        <v>Delaware St.</v>
      </c>
      <c r="C332" s="1" t="str">
        <f ca="1">IFERROR(__xludf.DUMMYFUNCTION("""COMPUTED_VALUE"""),"MEAC")</f>
        <v>MEAC</v>
      </c>
      <c r="D332" s="2">
        <f ca="1">IFERROR(__xludf.DUMMYFUNCTION("""COMPUTED_VALUE"""),44797)</f>
        <v>44797</v>
      </c>
      <c r="E332" s="1">
        <f ca="1">IFERROR(__xludf.DUMMYFUNCTION("""COMPUTED_VALUE"""),-16.53)</f>
        <v>-16.53</v>
      </c>
      <c r="F332" s="1">
        <f ca="1">IFERROR(__xludf.DUMMYFUNCTION("""COMPUTED_VALUE"""),97.1)</f>
        <v>97.1</v>
      </c>
      <c r="G332" s="1">
        <f ca="1">IFERROR(__xludf.DUMMYFUNCTION("""COMPUTED_VALUE"""),267)</f>
        <v>267</v>
      </c>
      <c r="H332" s="1">
        <f ca="1">IFERROR(__xludf.DUMMYFUNCTION("""COMPUTED_VALUE"""),113.6)</f>
        <v>113.6</v>
      </c>
      <c r="I332" s="1">
        <f ca="1">IFERROR(__xludf.DUMMYFUNCTION("""COMPUTED_VALUE"""),333)</f>
        <v>333</v>
      </c>
      <c r="J332" s="1">
        <f ca="1">IFERROR(__xludf.DUMMYFUNCTION("""COMPUTED_VALUE"""),58.2)</f>
        <v>58.2</v>
      </c>
      <c r="K332" s="1">
        <f ca="1">IFERROR(__xludf.DUMMYFUNCTION("""COMPUTED_VALUE"""),337)</f>
        <v>337</v>
      </c>
      <c r="L332" s="1">
        <f ca="1">IFERROR(__xludf.DUMMYFUNCTION("""COMPUTED_VALUE"""),-0.056)</f>
        <v>-5.6000000000000001E-2</v>
      </c>
      <c r="M332" s="1">
        <f ca="1">IFERROR(__xludf.DUMMYFUNCTION("""COMPUTED_VALUE"""),307)</f>
        <v>307</v>
      </c>
      <c r="N332" s="1">
        <f ca="1">IFERROR(__xludf.DUMMYFUNCTION("""COMPUTED_VALUE"""),-4.66)</f>
        <v>-4.66</v>
      </c>
      <c r="O332" s="1">
        <f ca="1">IFERROR(__xludf.DUMMYFUNCTION("""COMPUTED_VALUE"""),262)</f>
        <v>262</v>
      </c>
      <c r="P332" s="1">
        <f ca="1">IFERROR(__xludf.DUMMYFUNCTION("""COMPUTED_VALUE"""),98.4)</f>
        <v>98.4</v>
      </c>
      <c r="Q332" s="1">
        <f ca="1">IFERROR(__xludf.DUMMYFUNCTION("""COMPUTED_VALUE"""),304)</f>
        <v>304</v>
      </c>
      <c r="R332" s="1">
        <f ca="1">IFERROR(__xludf.DUMMYFUNCTION("""COMPUTED_VALUE"""),103.1)</f>
        <v>103.1</v>
      </c>
      <c r="S332" s="1">
        <f ca="1">IFERROR(__xludf.DUMMYFUNCTION("""COMPUTED_VALUE"""),169)</f>
        <v>169</v>
      </c>
      <c r="T332" s="1" t="str">
        <f ca="1">IFERROR(__xludf.DUMMYFUNCTION("""COMPUTED_VALUE"""),"+11.78")</f>
        <v>+11.78</v>
      </c>
      <c r="U332" s="1">
        <f ca="1">IFERROR(__xludf.DUMMYFUNCTION("""COMPUTED_VALUE"""),8)</f>
        <v>8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IFERROR(__xludf.DUMMYFUNCTION("""COMPUTED_VALUE"""),"Lafayette")</f>
        <v>Lafayette</v>
      </c>
      <c r="C333" s="1" t="str">
        <f ca="1">IFERROR(__xludf.DUMMYFUNCTION("""COMPUTED_VALUE"""),"Pat")</f>
        <v>Pat</v>
      </c>
      <c r="D333" s="2">
        <f ca="1">IFERROR(__xludf.DUMMYFUNCTION("""COMPUTED_VALUE"""),44795)</f>
        <v>44795</v>
      </c>
      <c r="E333" s="1">
        <f ca="1">IFERROR(__xludf.DUMMYFUNCTION("""COMPUTED_VALUE"""),-17.09)</f>
        <v>-17.09</v>
      </c>
      <c r="F333" s="1">
        <f ca="1">IFERROR(__xludf.DUMMYFUNCTION("""COMPUTED_VALUE"""),95.1)</f>
        <v>95.1</v>
      </c>
      <c r="G333" s="1">
        <f ca="1">IFERROR(__xludf.DUMMYFUNCTION("""COMPUTED_VALUE"""),287)</f>
        <v>287</v>
      </c>
      <c r="H333" s="1">
        <f ca="1">IFERROR(__xludf.DUMMYFUNCTION("""COMPUTED_VALUE"""),112.2)</f>
        <v>112.2</v>
      </c>
      <c r="I333" s="1">
        <f ca="1">IFERROR(__xludf.DUMMYFUNCTION("""COMPUTED_VALUE"""),323)</f>
        <v>323</v>
      </c>
      <c r="J333" s="1">
        <f ca="1">IFERROR(__xludf.DUMMYFUNCTION("""COMPUTED_VALUE"""),68.4)</f>
        <v>68.400000000000006</v>
      </c>
      <c r="K333" s="1">
        <f ca="1">IFERROR(__xludf.DUMMYFUNCTION("""COMPUTED_VALUE"""),57)</f>
        <v>57</v>
      </c>
      <c r="L333" s="1" t="str">
        <f ca="1">IFERROR(__xludf.DUMMYFUNCTION("""COMPUTED_VALUE"""),"+.032")</f>
        <v>+.032</v>
      </c>
      <c r="M333" s="1">
        <f ca="1">IFERROR(__xludf.DUMMYFUNCTION("""COMPUTED_VALUE"""),84)</f>
        <v>84</v>
      </c>
      <c r="N333" s="1">
        <f ca="1">IFERROR(__xludf.DUMMYFUNCTION("""COMPUTED_VALUE"""),-6.61)</f>
        <v>-6.61</v>
      </c>
      <c r="O333" s="1">
        <f ca="1">IFERROR(__xludf.DUMMYFUNCTION("""COMPUTED_VALUE"""),299)</f>
        <v>299</v>
      </c>
      <c r="P333" s="1">
        <f ca="1">IFERROR(__xludf.DUMMYFUNCTION("""COMPUTED_VALUE"""),97.6)</f>
        <v>97.6</v>
      </c>
      <c r="Q333" s="1">
        <f ca="1">IFERROR(__xludf.DUMMYFUNCTION("""COMPUTED_VALUE"""),318)</f>
        <v>318</v>
      </c>
      <c r="R333" s="1">
        <f ca="1">IFERROR(__xludf.DUMMYFUNCTION("""COMPUTED_VALUE"""),104.2)</f>
        <v>104.2</v>
      </c>
      <c r="S333" s="1">
        <f ca="1">IFERROR(__xludf.DUMMYFUNCTION("""COMPUTED_VALUE"""),220)</f>
        <v>220</v>
      </c>
      <c r="T333" s="1">
        <f ca="1">IFERROR(__xludf.DUMMYFUNCTION("""COMPUTED_VALUE"""),-6.17)</f>
        <v>-6.17</v>
      </c>
      <c r="U333" s="1">
        <f ca="1">IFERROR(__xludf.DUMMYFUNCTION("""COMPUTED_VALUE"""),301)</f>
        <v>301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IFERROR(__xludf.DUMMYFUNCTION("""COMPUTED_VALUE"""),"Central Arkansas")</f>
        <v>Central Arkansas</v>
      </c>
      <c r="C334" s="1" t="str">
        <f ca="1">IFERROR(__xludf.DUMMYFUNCTION("""COMPUTED_VALUE"""),"Slnd")</f>
        <v>Slnd</v>
      </c>
      <c r="D334" s="2">
        <f ca="1">IFERROR(__xludf.DUMMYFUNCTION("""COMPUTED_VALUE"""),44853)</f>
        <v>44853</v>
      </c>
      <c r="E334" s="1">
        <f ca="1">IFERROR(__xludf.DUMMYFUNCTION("""COMPUTED_VALUE"""),-17.11)</f>
        <v>-17.11</v>
      </c>
      <c r="F334" s="1">
        <f ca="1">IFERROR(__xludf.DUMMYFUNCTION("""COMPUTED_VALUE"""),94.3)</f>
        <v>94.3</v>
      </c>
      <c r="G334" s="1">
        <f ca="1">IFERROR(__xludf.DUMMYFUNCTION("""COMPUTED_VALUE"""),294)</f>
        <v>294</v>
      </c>
      <c r="H334" s="1">
        <f ca="1">IFERROR(__xludf.DUMMYFUNCTION("""COMPUTED_VALUE"""),111.4)</f>
        <v>111.4</v>
      </c>
      <c r="I334" s="1">
        <f ca="1">IFERROR(__xludf.DUMMYFUNCTION("""COMPUTED_VALUE"""),314)</f>
        <v>314</v>
      </c>
      <c r="J334" s="1">
        <f ca="1">IFERROR(__xludf.DUMMYFUNCTION("""COMPUTED_VALUE"""),64.6)</f>
        <v>64.599999999999994</v>
      </c>
      <c r="K334" s="1">
        <f ca="1">IFERROR(__xludf.DUMMYFUNCTION("""COMPUTED_VALUE"""),202)</f>
        <v>202</v>
      </c>
      <c r="L334" s="1" t="str">
        <f ca="1">IFERROR(__xludf.DUMMYFUNCTION("""COMPUTED_VALUE"""),"+.027")</f>
        <v>+.027</v>
      </c>
      <c r="M334" s="1">
        <f ca="1">IFERROR(__xludf.DUMMYFUNCTION("""COMPUTED_VALUE"""),98)</f>
        <v>98</v>
      </c>
      <c r="N334" s="1">
        <f ca="1">IFERROR(__xludf.DUMMYFUNCTION("""COMPUTED_VALUE"""),-2.87)</f>
        <v>-2.87</v>
      </c>
      <c r="O334" s="1">
        <f ca="1">IFERROR(__xludf.DUMMYFUNCTION("""COMPUTED_VALUE"""),216)</f>
        <v>216</v>
      </c>
      <c r="P334" s="1">
        <f ca="1">IFERROR(__xludf.DUMMYFUNCTION("""COMPUTED_VALUE"""),100.4)</f>
        <v>100.4</v>
      </c>
      <c r="Q334" s="1">
        <f ca="1">IFERROR(__xludf.DUMMYFUNCTION("""COMPUTED_VALUE"""),261)</f>
        <v>261</v>
      </c>
      <c r="R334" s="1">
        <f ca="1">IFERROR(__xludf.DUMMYFUNCTION("""COMPUTED_VALUE"""),103.2)</f>
        <v>103.2</v>
      </c>
      <c r="S334" s="1">
        <f ca="1">IFERROR(__xludf.DUMMYFUNCTION("""COMPUTED_VALUE"""),176)</f>
        <v>176</v>
      </c>
      <c r="T334" s="1">
        <f ca="1">IFERROR(__xludf.DUMMYFUNCTION("""COMPUTED_VALUE"""),-1.63)</f>
        <v>-1.63</v>
      </c>
      <c r="U334" s="1">
        <f ca="1">IFERROR(__xludf.DUMMYFUNCTION("""COMPUTED_VALUE"""),198)</f>
        <v>198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IFERROR(__xludf.DUMMYFUNCTION("""COMPUTED_VALUE"""),"Houston Baptist")</f>
        <v>Houston Baptist</v>
      </c>
      <c r="C335" s="1" t="str">
        <f ca="1">IFERROR(__xludf.DUMMYFUNCTION("""COMPUTED_VALUE"""),"ind")</f>
        <v>ind</v>
      </c>
      <c r="D335" s="2">
        <f ca="1">IFERROR(__xludf.DUMMYFUNCTION("""COMPUTED_VALUE"""),44706)</f>
        <v>44706</v>
      </c>
      <c r="E335" s="1">
        <f ca="1">IFERROR(__xludf.DUMMYFUNCTION("""COMPUTED_VALUE"""),-18.16)</f>
        <v>-18.16</v>
      </c>
      <c r="F335" s="1">
        <f ca="1">IFERROR(__xludf.DUMMYFUNCTION("""COMPUTED_VALUE"""),95.9)</f>
        <v>95.9</v>
      </c>
      <c r="G335" s="1">
        <f ca="1">IFERROR(__xludf.DUMMYFUNCTION("""COMPUTED_VALUE"""),280)</f>
        <v>280</v>
      </c>
      <c r="H335" s="1">
        <f ca="1">IFERROR(__xludf.DUMMYFUNCTION("""COMPUTED_VALUE"""),114.1)</f>
        <v>114.1</v>
      </c>
      <c r="I335" s="1">
        <f ca="1">IFERROR(__xludf.DUMMYFUNCTION("""COMPUTED_VALUE"""),336)</f>
        <v>336</v>
      </c>
      <c r="J335" s="1">
        <f ca="1">IFERROR(__xludf.DUMMYFUNCTION("""COMPUTED_VALUE"""),70.3)</f>
        <v>70.3</v>
      </c>
      <c r="K335" s="1">
        <f ca="1">IFERROR(__xludf.DUMMYFUNCTION("""COMPUTED_VALUE"""),20)</f>
        <v>20</v>
      </c>
      <c r="L335" s="1">
        <f ca="1">IFERROR(__xludf.DUMMYFUNCTION("""COMPUTED_VALUE"""),-0.051)</f>
        <v>-5.0999999999999997E-2</v>
      </c>
      <c r="M335" s="1">
        <f ca="1">IFERROR(__xludf.DUMMYFUNCTION("""COMPUTED_VALUE"""),297)</f>
        <v>297</v>
      </c>
      <c r="N335" s="1" t="str">
        <f ca="1">IFERROR(__xludf.DUMMYFUNCTION("""COMPUTED_VALUE"""),"+0.44")</f>
        <v>+0.44</v>
      </c>
      <c r="O335" s="1">
        <f ca="1">IFERROR(__xludf.DUMMYFUNCTION("""COMPUTED_VALUE"""),147)</f>
        <v>147</v>
      </c>
      <c r="P335" s="1">
        <f ca="1">IFERROR(__xludf.DUMMYFUNCTION("""COMPUTED_VALUE"""),103.5)</f>
        <v>103.5</v>
      </c>
      <c r="Q335" s="1">
        <f ca="1">IFERROR(__xludf.DUMMYFUNCTION("""COMPUTED_VALUE"""),140)</f>
        <v>140</v>
      </c>
      <c r="R335" s="1">
        <f ca="1">IFERROR(__xludf.DUMMYFUNCTION("""COMPUTED_VALUE"""),103)</f>
        <v>103</v>
      </c>
      <c r="S335" s="1">
        <f ca="1">IFERROR(__xludf.DUMMYFUNCTION("""COMPUTED_VALUE"""),168)</f>
        <v>168</v>
      </c>
      <c r="T335" s="1" t="str">
        <f ca="1">IFERROR(__xludf.DUMMYFUNCTION("""COMPUTED_VALUE"""),"+3.77")</f>
        <v>+3.77</v>
      </c>
      <c r="U335" s="1">
        <f ca="1">IFERROR(__xludf.DUMMYFUNCTION("""COMPUTED_VALUE"""),71)</f>
        <v>71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IFERROR(__xludf.DUMMYFUNCTION("""COMPUTED_VALUE"""),"Texas Southern")</f>
        <v>Texas Southern</v>
      </c>
      <c r="C336" s="1" t="str">
        <f ca="1">IFERROR(__xludf.DUMMYFUNCTION("""COMPUTED_VALUE"""),"SWAC")</f>
        <v>SWAC</v>
      </c>
      <c r="D336" s="2">
        <f ca="1">IFERROR(__xludf.DUMMYFUNCTION("""COMPUTED_VALUE"""),44767)</f>
        <v>44767</v>
      </c>
      <c r="E336" s="1">
        <f ca="1">IFERROR(__xludf.DUMMYFUNCTION("""COMPUTED_VALUE"""),-18.64)</f>
        <v>-18.64</v>
      </c>
      <c r="F336" s="1">
        <f ca="1">IFERROR(__xludf.DUMMYFUNCTION("""COMPUTED_VALUE"""),93.2)</f>
        <v>93.2</v>
      </c>
      <c r="G336" s="1">
        <f ca="1">IFERROR(__xludf.DUMMYFUNCTION("""COMPUTED_VALUE"""),307)</f>
        <v>307</v>
      </c>
      <c r="H336" s="1">
        <f ca="1">IFERROR(__xludf.DUMMYFUNCTION("""COMPUTED_VALUE"""),111.9)</f>
        <v>111.9</v>
      </c>
      <c r="I336" s="1">
        <f ca="1">IFERROR(__xludf.DUMMYFUNCTION("""COMPUTED_VALUE"""),320)</f>
        <v>320</v>
      </c>
      <c r="J336" s="1">
        <f ca="1">IFERROR(__xludf.DUMMYFUNCTION("""COMPUTED_VALUE"""),66.8)</f>
        <v>66.8</v>
      </c>
      <c r="K336" s="1">
        <f ca="1">IFERROR(__xludf.DUMMYFUNCTION("""COMPUTED_VALUE"""),105)</f>
        <v>105</v>
      </c>
      <c r="L336" s="1">
        <f ca="1">IFERROR(__xludf.DUMMYFUNCTION("""COMPUTED_VALUE"""),-0.031)</f>
        <v>-3.1E-2</v>
      </c>
      <c r="M336" s="1">
        <f ca="1">IFERROR(__xludf.DUMMYFUNCTION("""COMPUTED_VALUE"""),255)</f>
        <v>255</v>
      </c>
      <c r="N336" s="1">
        <f ca="1">IFERROR(__xludf.DUMMYFUNCTION("""COMPUTED_VALUE"""),-6.75)</f>
        <v>-6.75</v>
      </c>
      <c r="O336" s="1">
        <f ca="1">IFERROR(__xludf.DUMMYFUNCTION("""COMPUTED_VALUE"""),302)</f>
        <v>302</v>
      </c>
      <c r="P336" s="1">
        <f ca="1">IFERROR(__xludf.DUMMYFUNCTION("""COMPUTED_VALUE"""),98.8)</f>
        <v>98.8</v>
      </c>
      <c r="Q336" s="1">
        <f ca="1">IFERROR(__xludf.DUMMYFUNCTION("""COMPUTED_VALUE"""),293)</f>
        <v>293</v>
      </c>
      <c r="R336" s="1">
        <f ca="1">IFERROR(__xludf.DUMMYFUNCTION("""COMPUTED_VALUE"""),105.5)</f>
        <v>105.5</v>
      </c>
      <c r="S336" s="1">
        <f ca="1">IFERROR(__xludf.DUMMYFUNCTION("""COMPUTED_VALUE"""),276)</f>
        <v>276</v>
      </c>
      <c r="T336" s="1" t="str">
        <f ca="1">IFERROR(__xludf.DUMMYFUNCTION("""COMPUTED_VALUE"""),"+11.48")</f>
        <v>+11.48</v>
      </c>
      <c r="U336" s="1">
        <f ca="1">IFERROR(__xludf.DUMMYFUNCTION("""COMPUTED_VALUE"""),10)</f>
        <v>10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IFERROR(__xludf.DUMMYFUNCTION("""COMPUTED_VALUE"""),"Fordham")</f>
        <v>Fordham</v>
      </c>
      <c r="C339" s="1" t="str">
        <f ca="1">IFERROR(__xludf.DUMMYFUNCTION("""COMPUTED_VALUE"""),"A10")</f>
        <v>A10</v>
      </c>
      <c r="D339" s="2">
        <f ca="1">IFERROR(__xludf.DUMMYFUNCTION("""COMPUTED_VALUE"""),44645)</f>
        <v>44645</v>
      </c>
      <c r="E339" s="1">
        <f ca="1">IFERROR(__xludf.DUMMYFUNCTION("""COMPUTED_VALUE"""),-18.68)</f>
        <v>-18.68</v>
      </c>
      <c r="F339" s="1">
        <f ca="1">IFERROR(__xludf.DUMMYFUNCTION("""COMPUTED_VALUE"""),93.2)</f>
        <v>93.2</v>
      </c>
      <c r="G339" s="1">
        <f ca="1">IFERROR(__xludf.DUMMYFUNCTION("""COMPUTED_VALUE"""),308)</f>
        <v>308</v>
      </c>
      <c r="H339" s="1">
        <f ca="1">IFERROR(__xludf.DUMMYFUNCTION("""COMPUTED_VALUE"""),111.9)</f>
        <v>111.9</v>
      </c>
      <c r="I339" s="1">
        <f ca="1">IFERROR(__xludf.DUMMYFUNCTION("""COMPUTED_VALUE"""),319)</f>
        <v>319</v>
      </c>
      <c r="J339" s="1">
        <f ca="1">IFERROR(__xludf.DUMMYFUNCTION("""COMPUTED_VALUE"""),66.7)</f>
        <v>66.7</v>
      </c>
      <c r="K339" s="1">
        <f ca="1">IFERROR(__xludf.DUMMYFUNCTION("""COMPUTED_VALUE"""),108)</f>
        <v>108</v>
      </c>
      <c r="L339" s="1">
        <f ca="1">IFERROR(__xludf.DUMMYFUNCTION("""COMPUTED_VALUE"""),-0.014)</f>
        <v>-1.4E-2</v>
      </c>
      <c r="M339" s="1">
        <f ca="1">IFERROR(__xludf.DUMMYFUNCTION("""COMPUTED_VALUE"""),205)</f>
        <v>205</v>
      </c>
      <c r="N339" s="1" t="str">
        <f ca="1">IFERROR(__xludf.DUMMYFUNCTION("""COMPUTED_VALUE"""),"+1.76")</f>
        <v>+1.76</v>
      </c>
      <c r="O339" s="1">
        <f ca="1">IFERROR(__xludf.DUMMYFUNCTION("""COMPUTED_VALUE"""),117)</f>
        <v>117</v>
      </c>
      <c r="P339" s="1">
        <f ca="1">IFERROR(__xludf.DUMMYFUNCTION("""COMPUTED_VALUE"""),103.4)</f>
        <v>103.4</v>
      </c>
      <c r="Q339" s="1">
        <f ca="1">IFERROR(__xludf.DUMMYFUNCTION("""COMPUTED_VALUE"""),147)</f>
        <v>147</v>
      </c>
      <c r="R339" s="1">
        <f ca="1">IFERROR(__xludf.DUMMYFUNCTION("""COMPUTED_VALUE"""),101.6)</f>
        <v>101.6</v>
      </c>
      <c r="S339" s="1">
        <f ca="1">IFERROR(__xludf.DUMMYFUNCTION("""COMPUTED_VALUE"""),112)</f>
        <v>112</v>
      </c>
      <c r="T339" s="1">
        <f ca="1">IFERROR(__xludf.DUMMYFUNCTION("""COMPUTED_VALUE"""),-5.05)</f>
        <v>-5.05</v>
      </c>
      <c r="U339" s="1">
        <f ca="1">IFERROR(__xludf.DUMMYFUNCTION("""COMPUTED_VALUE"""),282)</f>
        <v>282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IFERROR(__xludf.DUMMYFUNCTION("""COMPUTED_VALUE"""),"Texas Pan American")</f>
        <v>Texas Pan American</v>
      </c>
      <c r="C340" s="1" t="str">
        <f ca="1">IFERROR(__xludf.DUMMYFUNCTION("""COMPUTED_VALUE"""),"ind")</f>
        <v>ind</v>
      </c>
      <c r="D340" s="2">
        <f ca="1">IFERROR(__xludf.DUMMYFUNCTION("""COMPUTED_VALUE"""),44851)</f>
        <v>44851</v>
      </c>
      <c r="E340" s="1">
        <f ca="1">IFERROR(__xludf.DUMMYFUNCTION("""COMPUTED_VALUE"""),-18.68)</f>
        <v>-18.68</v>
      </c>
      <c r="F340" s="1">
        <f ca="1">IFERROR(__xludf.DUMMYFUNCTION("""COMPUTED_VALUE"""),93.7)</f>
        <v>93.7</v>
      </c>
      <c r="G340" s="1">
        <f ca="1">IFERROR(__xludf.DUMMYFUNCTION("""COMPUTED_VALUE"""),302)</f>
        <v>302</v>
      </c>
      <c r="H340" s="1">
        <f ca="1">IFERROR(__xludf.DUMMYFUNCTION("""COMPUTED_VALUE"""),112.3)</f>
        <v>112.3</v>
      </c>
      <c r="I340" s="1">
        <f ca="1">IFERROR(__xludf.DUMMYFUNCTION("""COMPUTED_VALUE"""),325)</f>
        <v>325</v>
      </c>
      <c r="J340" s="1">
        <f ca="1">IFERROR(__xludf.DUMMYFUNCTION("""COMPUTED_VALUE"""),62.6)</f>
        <v>62.6</v>
      </c>
      <c r="K340" s="1">
        <f ca="1">IFERROR(__xludf.DUMMYFUNCTION("""COMPUTED_VALUE"""),280)</f>
        <v>280</v>
      </c>
      <c r="L340" s="1" t="str">
        <f ca="1">IFERROR(__xludf.DUMMYFUNCTION("""COMPUTED_VALUE"""),"+.001")</f>
        <v>+.001</v>
      </c>
      <c r="M340" s="1">
        <f ca="1">IFERROR(__xludf.DUMMYFUNCTION("""COMPUTED_VALUE"""),160)</f>
        <v>160</v>
      </c>
      <c r="N340" s="1">
        <f ca="1">IFERROR(__xludf.DUMMYFUNCTION("""COMPUTED_VALUE"""),-8.35)</f>
        <v>-8.35</v>
      </c>
      <c r="O340" s="1">
        <f ca="1">IFERROR(__xludf.DUMMYFUNCTION("""COMPUTED_VALUE"""),316)</f>
        <v>316</v>
      </c>
      <c r="P340" s="1">
        <f ca="1">IFERROR(__xludf.DUMMYFUNCTION("""COMPUTED_VALUE"""),97.7)</f>
        <v>97.7</v>
      </c>
      <c r="Q340" s="1">
        <f ca="1">IFERROR(__xludf.DUMMYFUNCTION("""COMPUTED_VALUE"""),315)</f>
        <v>315</v>
      </c>
      <c r="R340" s="1">
        <f ca="1">IFERROR(__xludf.DUMMYFUNCTION("""COMPUTED_VALUE"""),106.1)</f>
        <v>106.1</v>
      </c>
      <c r="S340" s="1">
        <f ca="1">IFERROR(__xludf.DUMMYFUNCTION("""COMPUTED_VALUE"""),306)</f>
        <v>306</v>
      </c>
      <c r="T340" s="1" t="str">
        <f ca="1">IFERROR(__xludf.DUMMYFUNCTION("""COMPUTED_VALUE"""),"+2.99")</f>
        <v>+2.99</v>
      </c>
      <c r="U340" s="1">
        <f ca="1">IFERROR(__xludf.DUMMYFUNCTION("""COMPUTED_VALUE"""),90)</f>
        <v>90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IFERROR(__xludf.DUMMYFUNCTION("""COMPUTED_VALUE"""),"Loyola Marymount")</f>
        <v>Loyola Marymount</v>
      </c>
      <c r="C341" s="1" t="str">
        <f ca="1">IFERROR(__xludf.DUMMYFUNCTION("""COMPUTED_VALUE"""),"WCC")</f>
        <v>WCC</v>
      </c>
      <c r="D341" s="2">
        <f ca="1">IFERROR(__xludf.DUMMYFUNCTION("""COMPUTED_VALUE"""),44648)</f>
        <v>44648</v>
      </c>
      <c r="E341" s="1">
        <f ca="1">IFERROR(__xludf.DUMMYFUNCTION("""COMPUTED_VALUE"""),-18.69)</f>
        <v>-18.690000000000001</v>
      </c>
      <c r="F341" s="1">
        <f ca="1">IFERROR(__xludf.DUMMYFUNCTION("""COMPUTED_VALUE"""),89.2)</f>
        <v>89.2</v>
      </c>
      <c r="G341" s="1">
        <f ca="1">IFERROR(__xludf.DUMMYFUNCTION("""COMPUTED_VALUE"""),335)</f>
        <v>335</v>
      </c>
      <c r="H341" s="1">
        <f ca="1">IFERROR(__xludf.DUMMYFUNCTION("""COMPUTED_VALUE"""),107.9)</f>
        <v>107.9</v>
      </c>
      <c r="I341" s="1">
        <f ca="1">IFERROR(__xludf.DUMMYFUNCTION("""COMPUTED_VALUE"""),273)</f>
        <v>273</v>
      </c>
      <c r="J341" s="1">
        <f ca="1">IFERROR(__xludf.DUMMYFUNCTION("""COMPUTED_VALUE"""),64.2)</f>
        <v>64.2</v>
      </c>
      <c r="K341" s="1">
        <f ca="1">IFERROR(__xludf.DUMMYFUNCTION("""COMPUTED_VALUE"""),224)</f>
        <v>224</v>
      </c>
      <c r="L341" s="1" t="str">
        <f ca="1">IFERROR(__xludf.DUMMYFUNCTION("""COMPUTED_VALUE"""),"+.005")</f>
        <v>+.005</v>
      </c>
      <c r="M341" s="1">
        <f ca="1">IFERROR(__xludf.DUMMYFUNCTION("""COMPUTED_VALUE"""),152)</f>
        <v>152</v>
      </c>
      <c r="N341" s="1" t="str">
        <f ca="1">IFERROR(__xludf.DUMMYFUNCTION("""COMPUTED_VALUE"""),"+2.45")</f>
        <v>+2.45</v>
      </c>
      <c r="O341" s="1">
        <f ca="1">IFERROR(__xludf.DUMMYFUNCTION("""COMPUTED_VALUE"""),106)</f>
        <v>106</v>
      </c>
      <c r="P341" s="1">
        <f ca="1">IFERROR(__xludf.DUMMYFUNCTION("""COMPUTED_VALUE"""),104.6)</f>
        <v>104.6</v>
      </c>
      <c r="Q341" s="1">
        <f ca="1">IFERROR(__xludf.DUMMYFUNCTION("""COMPUTED_VALUE"""),99)</f>
        <v>99</v>
      </c>
      <c r="R341" s="1">
        <f ca="1">IFERROR(__xludf.DUMMYFUNCTION("""COMPUTED_VALUE"""),102.2)</f>
        <v>102.2</v>
      </c>
      <c r="S341" s="1">
        <f ca="1">IFERROR(__xludf.DUMMYFUNCTION("""COMPUTED_VALUE"""),135)</f>
        <v>135</v>
      </c>
      <c r="T341" s="1" t="str">
        <f ca="1">IFERROR(__xludf.DUMMYFUNCTION("""COMPUTED_VALUE"""),"+2.45")</f>
        <v>+2.45</v>
      </c>
      <c r="U341" s="1">
        <f ca="1">IFERROR(__xludf.DUMMYFUNCTION("""COMPUTED_VALUE"""),98)</f>
        <v>98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IFERROR(__xludf.DUMMYFUNCTION("""COMPUTED_VALUE"""),"UNC Greensboro")</f>
        <v>UNC Greensboro</v>
      </c>
      <c r="C342" s="1" t="str">
        <f ca="1">IFERROR(__xludf.DUMMYFUNCTION("""COMPUTED_VALUE"""),"SC")</f>
        <v>SC</v>
      </c>
      <c r="D342" s="2">
        <f ca="1">IFERROR(__xludf.DUMMYFUNCTION("""COMPUTED_VALUE"""),44706)</f>
        <v>44706</v>
      </c>
      <c r="E342" s="1">
        <f ca="1">IFERROR(__xludf.DUMMYFUNCTION("""COMPUTED_VALUE"""),-18.85)</f>
        <v>-18.850000000000001</v>
      </c>
      <c r="F342" s="1">
        <f ca="1">IFERROR(__xludf.DUMMYFUNCTION("""COMPUTED_VALUE"""),93.5)</f>
        <v>93.5</v>
      </c>
      <c r="G342" s="1">
        <f ca="1">IFERROR(__xludf.DUMMYFUNCTION("""COMPUTED_VALUE"""),304)</f>
        <v>304</v>
      </c>
      <c r="H342" s="1">
        <f ca="1">IFERROR(__xludf.DUMMYFUNCTION("""COMPUTED_VALUE"""),112.3)</f>
        <v>112.3</v>
      </c>
      <c r="I342" s="1">
        <f ca="1">IFERROR(__xludf.DUMMYFUNCTION("""COMPUTED_VALUE"""),324)</f>
        <v>324</v>
      </c>
      <c r="J342" s="1">
        <f ca="1">IFERROR(__xludf.DUMMYFUNCTION("""COMPUTED_VALUE"""),64.9)</f>
        <v>64.900000000000006</v>
      </c>
      <c r="K342" s="1">
        <f ca="1">IFERROR(__xludf.DUMMYFUNCTION("""COMPUTED_VALUE"""),189)</f>
        <v>189</v>
      </c>
      <c r="L342" s="1">
        <f ca="1">IFERROR(__xludf.DUMMYFUNCTION("""COMPUTED_VALUE"""),-0.028)</f>
        <v>-2.8000000000000001E-2</v>
      </c>
      <c r="M342" s="1">
        <f ca="1">IFERROR(__xludf.DUMMYFUNCTION("""COMPUTED_VALUE"""),246)</f>
        <v>246</v>
      </c>
      <c r="N342" s="1">
        <f ca="1">IFERROR(__xludf.DUMMYFUNCTION("""COMPUTED_VALUE"""),-3.24)</f>
        <v>-3.24</v>
      </c>
      <c r="O342" s="1">
        <f ca="1">IFERROR(__xludf.DUMMYFUNCTION("""COMPUTED_VALUE"""),229)</f>
        <v>229</v>
      </c>
      <c r="P342" s="1">
        <f ca="1">IFERROR(__xludf.DUMMYFUNCTION("""COMPUTED_VALUE"""),102.7)</f>
        <v>102.7</v>
      </c>
      <c r="Q342" s="1">
        <f ca="1">IFERROR(__xludf.DUMMYFUNCTION("""COMPUTED_VALUE"""),174)</f>
        <v>174</v>
      </c>
      <c r="R342" s="1">
        <f ca="1">IFERROR(__xludf.DUMMYFUNCTION("""COMPUTED_VALUE"""),106)</f>
        <v>106</v>
      </c>
      <c r="S342" s="1">
        <f ca="1">IFERROR(__xludf.DUMMYFUNCTION("""COMPUTED_VALUE"""),301)</f>
        <v>301</v>
      </c>
      <c r="T342" s="1" t="str">
        <f ca="1">IFERROR(__xludf.DUMMYFUNCTION("""COMPUTED_VALUE"""),"+4.24")</f>
        <v>+4.24</v>
      </c>
      <c r="U342" s="1">
        <f ca="1">IFERROR(__xludf.DUMMYFUNCTION("""COMPUTED_VALUE"""),66)</f>
        <v>66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IFERROR(__xludf.DUMMYFUNCTION("""COMPUTED_VALUE"""),"Mississippi Valley St.")</f>
        <v>Mississippi Valley St.</v>
      </c>
      <c r="C343" s="1" t="str">
        <f ca="1">IFERROR(__xludf.DUMMYFUNCTION("""COMPUTED_VALUE"""),"SWAC")</f>
        <v>SWAC</v>
      </c>
      <c r="D343" s="2">
        <f ca="1">IFERROR(__xludf.DUMMYFUNCTION("""COMPUTED_VALUE"""),44767)</f>
        <v>44767</v>
      </c>
      <c r="E343" s="1">
        <f ca="1">IFERROR(__xludf.DUMMYFUNCTION("""COMPUTED_VALUE"""),-18.88)</f>
        <v>-18.88</v>
      </c>
      <c r="F343" s="1">
        <f ca="1">IFERROR(__xludf.DUMMYFUNCTION("""COMPUTED_VALUE"""),94)</f>
        <v>94</v>
      </c>
      <c r="G343" s="1">
        <f ca="1">IFERROR(__xludf.DUMMYFUNCTION("""COMPUTED_VALUE"""),297)</f>
        <v>297</v>
      </c>
      <c r="H343" s="1">
        <f ca="1">IFERROR(__xludf.DUMMYFUNCTION("""COMPUTED_VALUE"""),112.9)</f>
        <v>112.9</v>
      </c>
      <c r="I343" s="1">
        <f ca="1">IFERROR(__xludf.DUMMYFUNCTION("""COMPUTED_VALUE"""),328)</f>
        <v>328</v>
      </c>
      <c r="J343" s="1">
        <f ca="1">IFERROR(__xludf.DUMMYFUNCTION("""COMPUTED_VALUE"""),66.3)</f>
        <v>66.3</v>
      </c>
      <c r="K343" s="1">
        <f ca="1">IFERROR(__xludf.DUMMYFUNCTION("""COMPUTED_VALUE"""),124)</f>
        <v>124</v>
      </c>
      <c r="L343" s="1">
        <f ca="1">IFERROR(__xludf.DUMMYFUNCTION("""COMPUTED_VALUE"""),-0.048)</f>
        <v>-4.8000000000000001E-2</v>
      </c>
      <c r="M343" s="1">
        <f ca="1">IFERROR(__xludf.DUMMYFUNCTION("""COMPUTED_VALUE"""),292)</f>
        <v>292</v>
      </c>
      <c r="N343" s="1">
        <f ca="1">IFERROR(__xludf.DUMMYFUNCTION("""COMPUTED_VALUE"""),-6.4)</f>
        <v>-6.4</v>
      </c>
      <c r="O343" s="1">
        <f ca="1">IFERROR(__xludf.DUMMYFUNCTION("""COMPUTED_VALUE"""),298)</f>
        <v>298</v>
      </c>
      <c r="P343" s="1">
        <f ca="1">IFERROR(__xludf.DUMMYFUNCTION("""COMPUTED_VALUE"""),98.6)</f>
        <v>98.6</v>
      </c>
      <c r="Q343" s="1">
        <f ca="1">IFERROR(__xludf.DUMMYFUNCTION("""COMPUTED_VALUE"""),298)</f>
        <v>298</v>
      </c>
      <c r="R343" s="1">
        <f ca="1">IFERROR(__xludf.DUMMYFUNCTION("""COMPUTED_VALUE"""),105)</f>
        <v>105</v>
      </c>
      <c r="S343" s="1">
        <f ca="1">IFERROR(__xludf.DUMMYFUNCTION("""COMPUTED_VALUE"""),248)</f>
        <v>248</v>
      </c>
      <c r="T343" s="1" t="str">
        <f ca="1">IFERROR(__xludf.DUMMYFUNCTION("""COMPUTED_VALUE"""),"+11.74")</f>
        <v>+11.74</v>
      </c>
      <c r="U343" s="1">
        <f ca="1">IFERROR(__xludf.DUMMYFUNCTION("""COMPUTED_VALUE"""),9)</f>
        <v>9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IFERROR(__xludf.DUMMYFUNCTION("""COMPUTED_VALUE"""),"Monmouth")</f>
        <v>Monmouth</v>
      </c>
      <c r="C344" s="1" t="str">
        <f ca="1">IFERROR(__xludf.DUMMYFUNCTION("""COMPUTED_VALUE"""),"NEC")</f>
        <v>NEC</v>
      </c>
      <c r="D344" s="2">
        <f ca="1">IFERROR(__xludf.DUMMYFUNCTION("""COMPUTED_VALUE"""),44796)</f>
        <v>44796</v>
      </c>
      <c r="E344" s="1">
        <f ca="1">IFERROR(__xludf.DUMMYFUNCTION("""COMPUTED_VALUE"""),-19.1)</f>
        <v>-19.100000000000001</v>
      </c>
      <c r="F344" s="1">
        <f ca="1">IFERROR(__xludf.DUMMYFUNCTION("""COMPUTED_VALUE"""),93.9)</f>
        <v>93.9</v>
      </c>
      <c r="G344" s="1">
        <f ca="1">IFERROR(__xludf.DUMMYFUNCTION("""COMPUTED_VALUE"""),299)</f>
        <v>299</v>
      </c>
      <c r="H344" s="1">
        <f ca="1">IFERROR(__xludf.DUMMYFUNCTION("""COMPUTED_VALUE"""),113)</f>
        <v>113</v>
      </c>
      <c r="I344" s="1">
        <f ca="1">IFERROR(__xludf.DUMMYFUNCTION("""COMPUTED_VALUE"""),330)</f>
        <v>330</v>
      </c>
      <c r="J344" s="1">
        <f ca="1">IFERROR(__xludf.DUMMYFUNCTION("""COMPUTED_VALUE"""),64)</f>
        <v>64</v>
      </c>
      <c r="K344" s="1">
        <f ca="1">IFERROR(__xludf.DUMMYFUNCTION("""COMPUTED_VALUE"""),228)</f>
        <v>228</v>
      </c>
      <c r="L344" s="1">
        <f ca="1">IFERROR(__xludf.DUMMYFUNCTION("""COMPUTED_VALUE"""),-0.006)</f>
        <v>-6.0000000000000001E-3</v>
      </c>
      <c r="M344" s="1">
        <f ca="1">IFERROR(__xludf.DUMMYFUNCTION("""COMPUTED_VALUE"""),182)</f>
        <v>182</v>
      </c>
      <c r="N344" s="1">
        <f ca="1">IFERROR(__xludf.DUMMYFUNCTION("""COMPUTED_VALUE"""),-7.88)</f>
        <v>-7.88</v>
      </c>
      <c r="O344" s="1">
        <f ca="1">IFERROR(__xludf.DUMMYFUNCTION("""COMPUTED_VALUE"""),314)</f>
        <v>314</v>
      </c>
      <c r="P344" s="1">
        <f ca="1">IFERROR(__xludf.DUMMYFUNCTION("""COMPUTED_VALUE"""),98.5)</f>
        <v>98.5</v>
      </c>
      <c r="Q344" s="1">
        <f ca="1">IFERROR(__xludf.DUMMYFUNCTION("""COMPUTED_VALUE"""),301)</f>
        <v>301</v>
      </c>
      <c r="R344" s="1">
        <f ca="1">IFERROR(__xludf.DUMMYFUNCTION("""COMPUTED_VALUE"""),106.4)</f>
        <v>106.4</v>
      </c>
      <c r="S344" s="1">
        <f ca="1">IFERROR(__xludf.DUMMYFUNCTION("""COMPUTED_VALUE"""),314)</f>
        <v>314</v>
      </c>
      <c r="T344" s="1">
        <f ca="1">IFERROR(__xludf.DUMMYFUNCTION("""COMPUTED_VALUE"""),-5.01)</f>
        <v>-5.01</v>
      </c>
      <c r="U344" s="1">
        <f ca="1">IFERROR(__xludf.DUMMYFUNCTION("""COMPUTED_VALUE"""),280)</f>
        <v>280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IFERROR(__xludf.DUMMYFUNCTION("""COMPUTED_VALUE"""),"Furman")</f>
        <v>Furman</v>
      </c>
      <c r="C345" s="1" t="str">
        <f ca="1">IFERROR(__xludf.DUMMYFUNCTION("""COMPUTED_VALUE"""),"SC")</f>
        <v>SC</v>
      </c>
      <c r="D345" s="2">
        <f ca="1">IFERROR(__xludf.DUMMYFUNCTION("""COMPUTED_VALUE"""),44736)</f>
        <v>44736</v>
      </c>
      <c r="E345" s="1">
        <f ca="1">IFERROR(__xludf.DUMMYFUNCTION("""COMPUTED_VALUE"""),-19.21)</f>
        <v>-19.21</v>
      </c>
      <c r="F345" s="1">
        <f ca="1">IFERROR(__xludf.DUMMYFUNCTION("""COMPUTED_VALUE"""),91.3)</f>
        <v>91.3</v>
      </c>
      <c r="G345" s="1">
        <f ca="1">IFERROR(__xludf.DUMMYFUNCTION("""COMPUTED_VALUE"""),321)</f>
        <v>321</v>
      </c>
      <c r="H345" s="1">
        <f ca="1">IFERROR(__xludf.DUMMYFUNCTION("""COMPUTED_VALUE"""),110.5)</f>
        <v>110.5</v>
      </c>
      <c r="I345" s="1">
        <f ca="1">IFERROR(__xludf.DUMMYFUNCTION("""COMPUTED_VALUE"""),305)</f>
        <v>305</v>
      </c>
      <c r="J345" s="1">
        <f ca="1">IFERROR(__xludf.DUMMYFUNCTION("""COMPUTED_VALUE"""),63.8)</f>
        <v>63.8</v>
      </c>
      <c r="K345" s="1">
        <f ca="1">IFERROR(__xludf.DUMMYFUNCTION("""COMPUTED_VALUE"""),237)</f>
        <v>237</v>
      </c>
      <c r="L345" s="1">
        <f ca="1">IFERROR(__xludf.DUMMYFUNCTION("""COMPUTED_VALUE"""),-0.026)</f>
        <v>-2.5999999999999999E-2</v>
      </c>
      <c r="M345" s="1">
        <f ca="1">IFERROR(__xludf.DUMMYFUNCTION("""COMPUTED_VALUE"""),240)</f>
        <v>240</v>
      </c>
      <c r="N345" s="1">
        <f ca="1">IFERROR(__xludf.DUMMYFUNCTION("""COMPUTED_VALUE"""),-3.91)</f>
        <v>-3.91</v>
      </c>
      <c r="O345" s="1">
        <f ca="1">IFERROR(__xludf.DUMMYFUNCTION("""COMPUTED_VALUE"""),248)</f>
        <v>248</v>
      </c>
      <c r="P345" s="1">
        <f ca="1">IFERROR(__xludf.DUMMYFUNCTION("""COMPUTED_VALUE"""),102.8)</f>
        <v>102.8</v>
      </c>
      <c r="Q345" s="1">
        <f ca="1">IFERROR(__xludf.DUMMYFUNCTION("""COMPUTED_VALUE"""),171)</f>
        <v>171</v>
      </c>
      <c r="R345" s="1">
        <f ca="1">IFERROR(__xludf.DUMMYFUNCTION("""COMPUTED_VALUE"""),106.7)</f>
        <v>106.7</v>
      </c>
      <c r="S345" s="1">
        <f ca="1">IFERROR(__xludf.DUMMYFUNCTION("""COMPUTED_VALUE"""),323)</f>
        <v>323</v>
      </c>
      <c r="T345" s="1" t="str">
        <f ca="1">IFERROR(__xludf.DUMMYFUNCTION("""COMPUTED_VALUE"""),"+4.26")</f>
        <v>+4.26</v>
      </c>
      <c r="U345" s="1">
        <f ca="1">IFERROR(__xludf.DUMMYFUNCTION("""COMPUTED_VALUE"""),64)</f>
        <v>64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IFERROR(__xludf.DUMMYFUNCTION("""COMPUTED_VALUE"""),"St. Francis PA")</f>
        <v>St. Francis PA</v>
      </c>
      <c r="C346" s="1" t="str">
        <f ca="1">IFERROR(__xludf.DUMMYFUNCTION("""COMPUTED_VALUE"""),"NEC")</f>
        <v>NEC</v>
      </c>
      <c r="D346" s="2">
        <f ca="1">IFERROR(__xludf.DUMMYFUNCTION("""COMPUTED_VALUE"""),44735)</f>
        <v>44735</v>
      </c>
      <c r="E346" s="1">
        <f ca="1">IFERROR(__xludf.DUMMYFUNCTION("""COMPUTED_VALUE"""),-19.29)</f>
        <v>-19.29</v>
      </c>
      <c r="F346" s="1">
        <f ca="1">IFERROR(__xludf.DUMMYFUNCTION("""COMPUTED_VALUE"""),94.4)</f>
        <v>94.4</v>
      </c>
      <c r="G346" s="1">
        <f ca="1">IFERROR(__xludf.DUMMYFUNCTION("""COMPUTED_VALUE"""),293)</f>
        <v>293</v>
      </c>
      <c r="H346" s="1">
        <f ca="1">IFERROR(__xludf.DUMMYFUNCTION("""COMPUTED_VALUE"""),113.7)</f>
        <v>113.7</v>
      </c>
      <c r="I346" s="1">
        <f ca="1">IFERROR(__xludf.DUMMYFUNCTION("""COMPUTED_VALUE"""),334)</f>
        <v>334</v>
      </c>
      <c r="J346" s="1">
        <f ca="1">IFERROR(__xludf.DUMMYFUNCTION("""COMPUTED_VALUE"""),62.3)</f>
        <v>62.3</v>
      </c>
      <c r="K346" s="1">
        <f ca="1">IFERROR(__xludf.DUMMYFUNCTION("""COMPUTED_VALUE"""),292)</f>
        <v>292</v>
      </c>
      <c r="L346" s="1">
        <f ca="1">IFERROR(__xludf.DUMMYFUNCTION("""COMPUTED_VALUE"""),-0.016)</f>
        <v>-1.6E-2</v>
      </c>
      <c r="M346" s="1">
        <f ca="1">IFERROR(__xludf.DUMMYFUNCTION("""COMPUTED_VALUE"""),213)</f>
        <v>213</v>
      </c>
      <c r="N346" s="1">
        <f ca="1">IFERROR(__xludf.DUMMYFUNCTION("""COMPUTED_VALUE"""),-6.05)</f>
        <v>-6.05</v>
      </c>
      <c r="O346" s="1">
        <f ca="1">IFERROR(__xludf.DUMMYFUNCTION("""COMPUTED_VALUE"""),290)</f>
        <v>290</v>
      </c>
      <c r="P346" s="1">
        <f ca="1">IFERROR(__xludf.DUMMYFUNCTION("""COMPUTED_VALUE"""),99.7)</f>
        <v>99.7</v>
      </c>
      <c r="Q346" s="1">
        <f ca="1">IFERROR(__xludf.DUMMYFUNCTION("""COMPUTED_VALUE"""),279)</f>
        <v>279</v>
      </c>
      <c r="R346" s="1">
        <f ca="1">IFERROR(__xludf.DUMMYFUNCTION("""COMPUTED_VALUE"""),105.8)</f>
        <v>105.8</v>
      </c>
      <c r="S346" s="1">
        <f ca="1">IFERROR(__xludf.DUMMYFUNCTION("""COMPUTED_VALUE"""),292)</f>
        <v>292</v>
      </c>
      <c r="T346" s="1" t="str">
        <f ca="1">IFERROR(__xludf.DUMMYFUNCTION("""COMPUTED_VALUE"""),"+1.09")</f>
        <v>+1.09</v>
      </c>
      <c r="U346" s="1">
        <f ca="1">IFERROR(__xludf.DUMMYFUNCTION("""COMPUTED_VALUE"""),124)</f>
        <v>124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IFERROR(__xludf.DUMMYFUNCTION("""COMPUTED_VALUE"""),"Howard")</f>
        <v>Howard</v>
      </c>
      <c r="C347" s="1" t="str">
        <f ca="1">IFERROR(__xludf.DUMMYFUNCTION("""COMPUTED_VALUE"""),"MEAC")</f>
        <v>MEAC</v>
      </c>
      <c r="D347" s="2">
        <f ca="1">IFERROR(__xludf.DUMMYFUNCTION("""COMPUTED_VALUE"""),44796)</f>
        <v>44796</v>
      </c>
      <c r="E347" s="1">
        <f ca="1">IFERROR(__xludf.DUMMYFUNCTION("""COMPUTED_VALUE"""),-19.82)</f>
        <v>-19.82</v>
      </c>
      <c r="F347" s="1">
        <f ca="1">IFERROR(__xludf.DUMMYFUNCTION("""COMPUTED_VALUE"""),90.9)</f>
        <v>90.9</v>
      </c>
      <c r="G347" s="1">
        <f ca="1">IFERROR(__xludf.DUMMYFUNCTION("""COMPUTED_VALUE"""),325)</f>
        <v>325</v>
      </c>
      <c r="H347" s="1">
        <f ca="1">IFERROR(__xludf.DUMMYFUNCTION("""COMPUTED_VALUE"""),110.8)</f>
        <v>110.8</v>
      </c>
      <c r="I347" s="1">
        <f ca="1">IFERROR(__xludf.DUMMYFUNCTION("""COMPUTED_VALUE"""),310)</f>
        <v>310</v>
      </c>
      <c r="J347" s="1">
        <f ca="1">IFERROR(__xludf.DUMMYFUNCTION("""COMPUTED_VALUE"""),65.4)</f>
        <v>65.400000000000006</v>
      </c>
      <c r="K347" s="1">
        <f ca="1">IFERROR(__xludf.DUMMYFUNCTION("""COMPUTED_VALUE"""),166)</f>
        <v>166</v>
      </c>
      <c r="L347" s="1" t="str">
        <f ca="1">IFERROR(__xludf.DUMMYFUNCTION("""COMPUTED_VALUE"""),"+.000")</f>
        <v>+.000</v>
      </c>
      <c r="M347" s="1">
        <f ca="1">IFERROR(__xludf.DUMMYFUNCTION("""COMPUTED_VALUE"""),165)</f>
        <v>165</v>
      </c>
      <c r="N347" s="1">
        <f ca="1">IFERROR(__xludf.DUMMYFUNCTION("""COMPUTED_VALUE"""),-8.45)</f>
        <v>-8.4499999999999993</v>
      </c>
      <c r="O347" s="1">
        <f ca="1">IFERROR(__xludf.DUMMYFUNCTION("""COMPUTED_VALUE"""),317)</f>
        <v>317</v>
      </c>
      <c r="P347" s="1">
        <f ca="1">IFERROR(__xludf.DUMMYFUNCTION("""COMPUTED_VALUE"""),96.9)</f>
        <v>96.9</v>
      </c>
      <c r="Q347" s="1">
        <f ca="1">IFERROR(__xludf.DUMMYFUNCTION("""COMPUTED_VALUE"""),326)</f>
        <v>326</v>
      </c>
      <c r="R347" s="1">
        <f ca="1">IFERROR(__xludf.DUMMYFUNCTION("""COMPUTED_VALUE"""),105.4)</f>
        <v>105.4</v>
      </c>
      <c r="S347" s="1">
        <f ca="1">IFERROR(__xludf.DUMMYFUNCTION("""COMPUTED_VALUE"""),263)</f>
        <v>263</v>
      </c>
      <c r="T347" s="1">
        <f ca="1">IFERROR(__xludf.DUMMYFUNCTION("""COMPUTED_VALUE"""),-1.59)</f>
        <v>-1.59</v>
      </c>
      <c r="U347" s="1">
        <f ca="1">IFERROR(__xludf.DUMMYFUNCTION("""COMPUTED_VALUE"""),196)</f>
        <v>196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IFERROR(__xludf.DUMMYFUNCTION("""COMPUTED_VALUE"""),"Florida A&amp;M")</f>
        <v>Florida A&amp;M</v>
      </c>
      <c r="C348" s="1" t="str">
        <f ca="1">IFERROR(__xludf.DUMMYFUNCTION("""COMPUTED_VALUE"""),"MEAC")</f>
        <v>MEAC</v>
      </c>
      <c r="D348" s="2">
        <f ca="1">IFERROR(__xludf.DUMMYFUNCTION("""COMPUTED_VALUE"""),44855)</f>
        <v>44855</v>
      </c>
      <c r="E348" s="1">
        <f ca="1">IFERROR(__xludf.DUMMYFUNCTION("""COMPUTED_VALUE"""),-19.87)</f>
        <v>-19.87</v>
      </c>
      <c r="F348" s="1">
        <f ca="1">IFERROR(__xludf.DUMMYFUNCTION("""COMPUTED_VALUE"""),90.7)</f>
        <v>90.7</v>
      </c>
      <c r="G348" s="1">
        <f ca="1">IFERROR(__xludf.DUMMYFUNCTION("""COMPUTED_VALUE"""),327)</f>
        <v>327</v>
      </c>
      <c r="H348" s="1">
        <f ca="1">IFERROR(__xludf.DUMMYFUNCTION("""COMPUTED_VALUE"""),110.5)</f>
        <v>110.5</v>
      </c>
      <c r="I348" s="1">
        <f ca="1">IFERROR(__xludf.DUMMYFUNCTION("""COMPUTED_VALUE"""),307)</f>
        <v>307</v>
      </c>
      <c r="J348" s="1">
        <f ca="1">IFERROR(__xludf.DUMMYFUNCTION("""COMPUTED_VALUE"""),66.2)</f>
        <v>66.2</v>
      </c>
      <c r="K348" s="1">
        <f ca="1">IFERROR(__xludf.DUMMYFUNCTION("""COMPUTED_VALUE"""),134)</f>
        <v>134</v>
      </c>
      <c r="L348" s="1" t="str">
        <f ca="1">IFERROR(__xludf.DUMMYFUNCTION("""COMPUTED_VALUE"""),"+.083")</f>
        <v>+.083</v>
      </c>
      <c r="M348" s="1">
        <f ca="1">IFERROR(__xludf.DUMMYFUNCTION("""COMPUTED_VALUE"""),15)</f>
        <v>15</v>
      </c>
      <c r="N348" s="1">
        <f ca="1">IFERROR(__xludf.DUMMYFUNCTION("""COMPUTED_VALUE"""),-6.76)</f>
        <v>-6.76</v>
      </c>
      <c r="O348" s="1">
        <f ca="1">IFERROR(__xludf.DUMMYFUNCTION("""COMPUTED_VALUE"""),303)</f>
        <v>303</v>
      </c>
      <c r="P348" s="1">
        <f ca="1">IFERROR(__xludf.DUMMYFUNCTION("""COMPUTED_VALUE"""),97.9)</f>
        <v>97.9</v>
      </c>
      <c r="Q348" s="1">
        <f ca="1">IFERROR(__xludf.DUMMYFUNCTION("""COMPUTED_VALUE"""),314)</f>
        <v>314</v>
      </c>
      <c r="R348" s="1">
        <f ca="1">IFERROR(__xludf.DUMMYFUNCTION("""COMPUTED_VALUE"""),104.6)</f>
        <v>104.6</v>
      </c>
      <c r="S348" s="1">
        <f ca="1">IFERROR(__xludf.DUMMYFUNCTION("""COMPUTED_VALUE"""),234)</f>
        <v>234</v>
      </c>
      <c r="T348" s="1" t="str">
        <f ca="1">IFERROR(__xludf.DUMMYFUNCTION("""COMPUTED_VALUE"""),"+5.00")</f>
        <v>+5.00</v>
      </c>
      <c r="U348" s="1">
        <f ca="1">IFERROR(__xludf.DUMMYFUNCTION("""COMPUTED_VALUE"""),52)</f>
        <v>52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IFERROR(__xludf.DUMMYFUNCTION("""COMPUTED_VALUE"""),"Southern")</f>
        <v>Southern</v>
      </c>
      <c r="C349" s="1" t="str">
        <f ca="1">IFERROR(__xludf.DUMMYFUNCTION("""COMPUTED_VALUE"""),"SWAC")</f>
        <v>SWAC</v>
      </c>
      <c r="D349" s="2">
        <f ca="1">IFERROR(__xludf.DUMMYFUNCTION("""COMPUTED_VALUE"""),44796)</f>
        <v>44796</v>
      </c>
      <c r="E349" s="1">
        <f ca="1">IFERROR(__xludf.DUMMYFUNCTION("""COMPUTED_VALUE"""),-19.91)</f>
        <v>-19.91</v>
      </c>
      <c r="F349" s="1">
        <f ca="1">IFERROR(__xludf.DUMMYFUNCTION("""COMPUTED_VALUE"""),91.2)</f>
        <v>91.2</v>
      </c>
      <c r="G349" s="1">
        <f ca="1">IFERROR(__xludf.DUMMYFUNCTION("""COMPUTED_VALUE"""),322)</f>
        <v>322</v>
      </c>
      <c r="H349" s="1">
        <f ca="1">IFERROR(__xludf.DUMMYFUNCTION("""COMPUTED_VALUE"""),111.2)</f>
        <v>111.2</v>
      </c>
      <c r="I349" s="1">
        <f ca="1">IFERROR(__xludf.DUMMYFUNCTION("""COMPUTED_VALUE"""),313)</f>
        <v>313</v>
      </c>
      <c r="J349" s="1">
        <f ca="1">IFERROR(__xludf.DUMMYFUNCTION("""COMPUTED_VALUE"""),64.8)</f>
        <v>64.8</v>
      </c>
      <c r="K349" s="1">
        <f ca="1">IFERROR(__xludf.DUMMYFUNCTION("""COMPUTED_VALUE"""),197)</f>
        <v>197</v>
      </c>
      <c r="L349" s="1">
        <f ca="1">IFERROR(__xludf.DUMMYFUNCTION("""COMPUTED_VALUE"""),-0.039)</f>
        <v>-3.9E-2</v>
      </c>
      <c r="M349" s="1">
        <f ca="1">IFERROR(__xludf.DUMMYFUNCTION("""COMPUTED_VALUE"""),275)</f>
        <v>275</v>
      </c>
      <c r="N349" s="1">
        <f ca="1">IFERROR(__xludf.DUMMYFUNCTION("""COMPUTED_VALUE"""),-11.51)</f>
        <v>-11.51</v>
      </c>
      <c r="O349" s="1">
        <f ca="1">IFERROR(__xludf.DUMMYFUNCTION("""COMPUTED_VALUE"""),339)</f>
        <v>339</v>
      </c>
      <c r="P349" s="1">
        <f ca="1">IFERROR(__xludf.DUMMYFUNCTION("""COMPUTED_VALUE"""),96)</f>
        <v>96</v>
      </c>
      <c r="Q349" s="1">
        <f ca="1">IFERROR(__xludf.DUMMYFUNCTION("""COMPUTED_VALUE"""),337)</f>
        <v>337</v>
      </c>
      <c r="R349" s="1">
        <f ca="1">IFERROR(__xludf.DUMMYFUNCTION("""COMPUTED_VALUE"""),107.5)</f>
        <v>107.5</v>
      </c>
      <c r="S349" s="1">
        <f ca="1">IFERROR(__xludf.DUMMYFUNCTION("""COMPUTED_VALUE"""),339)</f>
        <v>339</v>
      </c>
      <c r="T349" s="1">
        <f ca="1">IFERROR(__xludf.DUMMYFUNCTION("""COMPUTED_VALUE"""),-0.1)</f>
        <v>-0.1</v>
      </c>
      <c r="U349" s="1">
        <f ca="1">IFERROR(__xludf.DUMMYFUNCTION("""COMPUTED_VALUE"""),160)</f>
        <v>160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IFERROR(__xludf.DUMMYFUNCTION("""COMPUTED_VALUE"""),"North Florida")</f>
        <v>North Florida</v>
      </c>
      <c r="C350" s="1" t="str">
        <f ca="1">IFERROR(__xludf.DUMMYFUNCTION("""COMPUTED_VALUE"""),"ASun")</f>
        <v>ASun</v>
      </c>
      <c r="D350" s="2">
        <f ca="1">IFERROR(__xludf.DUMMYFUNCTION("""COMPUTED_VALUE"""),44795)</f>
        <v>44795</v>
      </c>
      <c r="E350" s="1">
        <f ca="1">IFERROR(__xludf.DUMMYFUNCTION("""COMPUTED_VALUE"""),-20.03)</f>
        <v>-20.03</v>
      </c>
      <c r="F350" s="1">
        <f ca="1">IFERROR(__xludf.DUMMYFUNCTION("""COMPUTED_VALUE"""),89.3)</f>
        <v>89.3</v>
      </c>
      <c r="G350" s="1">
        <f ca="1">IFERROR(__xludf.DUMMYFUNCTION("""COMPUTED_VALUE"""),334)</f>
        <v>334</v>
      </c>
      <c r="H350" s="1">
        <f ca="1">IFERROR(__xludf.DUMMYFUNCTION("""COMPUTED_VALUE"""),109.4)</f>
        <v>109.4</v>
      </c>
      <c r="I350" s="1">
        <f ca="1">IFERROR(__xludf.DUMMYFUNCTION("""COMPUTED_VALUE"""),294)</f>
        <v>294</v>
      </c>
      <c r="J350" s="1">
        <f ca="1">IFERROR(__xludf.DUMMYFUNCTION("""COMPUTED_VALUE"""),62.1)</f>
        <v>62.1</v>
      </c>
      <c r="K350" s="1">
        <f ca="1">IFERROR(__xludf.DUMMYFUNCTION("""COMPUTED_VALUE"""),298)</f>
        <v>298</v>
      </c>
      <c r="L350" s="1" t="str">
        <f ca="1">IFERROR(__xludf.DUMMYFUNCTION("""COMPUTED_VALUE"""),"+.015")</f>
        <v>+.015</v>
      </c>
      <c r="M350" s="1">
        <f ca="1">IFERROR(__xludf.DUMMYFUNCTION("""COMPUTED_VALUE"""),131)</f>
        <v>131</v>
      </c>
      <c r="N350" s="1">
        <f ca="1">IFERROR(__xludf.DUMMYFUNCTION("""COMPUTED_VALUE"""),-4.27)</f>
        <v>-4.2699999999999996</v>
      </c>
      <c r="O350" s="1">
        <f ca="1">IFERROR(__xludf.DUMMYFUNCTION("""COMPUTED_VALUE"""),255)</f>
        <v>255</v>
      </c>
      <c r="P350" s="1">
        <f ca="1">IFERROR(__xludf.DUMMYFUNCTION("""COMPUTED_VALUE"""),100.5)</f>
        <v>100.5</v>
      </c>
      <c r="Q350" s="1">
        <f ca="1">IFERROR(__xludf.DUMMYFUNCTION("""COMPUTED_VALUE"""),256)</f>
        <v>256</v>
      </c>
      <c r="R350" s="1">
        <f ca="1">IFERROR(__xludf.DUMMYFUNCTION("""COMPUTED_VALUE"""),104.8)</f>
        <v>104.8</v>
      </c>
      <c r="S350" s="1">
        <f ca="1">IFERROR(__xludf.DUMMYFUNCTION("""COMPUTED_VALUE"""),239)</f>
        <v>239</v>
      </c>
      <c r="T350" s="1">
        <f ca="1">IFERROR(__xludf.DUMMYFUNCTION("""COMPUTED_VALUE"""),-0.46)</f>
        <v>-0.46</v>
      </c>
      <c r="U350" s="1">
        <f ca="1">IFERROR(__xludf.DUMMYFUNCTION("""COMPUTED_VALUE"""),174)</f>
        <v>174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IFERROR(__xludf.DUMMYFUNCTION("""COMPUTED_VALUE"""),"Bryant")</f>
        <v>Bryant</v>
      </c>
      <c r="C351" s="1" t="str">
        <f ca="1">IFERROR(__xludf.DUMMYFUNCTION("""COMPUTED_VALUE"""),"ind")</f>
        <v>ind</v>
      </c>
      <c r="D351" s="2">
        <f ca="1">IFERROR(__xludf.DUMMYFUNCTION("""COMPUTED_VALUE"""),44794)</f>
        <v>44794</v>
      </c>
      <c r="E351" s="1">
        <f ca="1">IFERROR(__xludf.DUMMYFUNCTION("""COMPUTED_VALUE"""),-20.61)</f>
        <v>-20.61</v>
      </c>
      <c r="F351" s="1">
        <f ca="1">IFERROR(__xludf.DUMMYFUNCTION("""COMPUTED_VALUE"""),94)</f>
        <v>94</v>
      </c>
      <c r="G351" s="1">
        <f ca="1">IFERROR(__xludf.DUMMYFUNCTION("""COMPUTED_VALUE"""),296)</f>
        <v>296</v>
      </c>
      <c r="H351" s="1">
        <f ca="1">IFERROR(__xludf.DUMMYFUNCTION("""COMPUTED_VALUE"""),114.6)</f>
        <v>114.6</v>
      </c>
      <c r="I351" s="1">
        <f ca="1">IFERROR(__xludf.DUMMYFUNCTION("""COMPUTED_VALUE"""),340)</f>
        <v>340</v>
      </c>
      <c r="J351" s="1">
        <f ca="1">IFERROR(__xludf.DUMMYFUNCTION("""COMPUTED_VALUE"""),61)</f>
        <v>61</v>
      </c>
      <c r="K351" s="1">
        <f ca="1">IFERROR(__xludf.DUMMYFUNCTION("""COMPUTED_VALUE"""),314)</f>
        <v>314</v>
      </c>
      <c r="L351" s="1" t="str">
        <f ca="1">IFERROR(__xludf.DUMMYFUNCTION("""COMPUTED_VALUE"""),"+.027")</f>
        <v>+.027</v>
      </c>
      <c r="M351" s="1">
        <f ca="1">IFERROR(__xludf.DUMMYFUNCTION("""COMPUTED_VALUE"""),96)</f>
        <v>96</v>
      </c>
      <c r="N351" s="1">
        <f ca="1">IFERROR(__xludf.DUMMYFUNCTION("""COMPUTED_VALUE"""),-6.04)</f>
        <v>-6.04</v>
      </c>
      <c r="O351" s="1">
        <f ca="1">IFERROR(__xludf.DUMMYFUNCTION("""COMPUTED_VALUE"""),289)</f>
        <v>289</v>
      </c>
      <c r="P351" s="1">
        <f ca="1">IFERROR(__xludf.DUMMYFUNCTION("""COMPUTED_VALUE"""),98.5)</f>
        <v>98.5</v>
      </c>
      <c r="Q351" s="1">
        <f ca="1">IFERROR(__xludf.DUMMYFUNCTION("""COMPUTED_VALUE"""),303)</f>
        <v>303</v>
      </c>
      <c r="R351" s="1">
        <f ca="1">IFERROR(__xludf.DUMMYFUNCTION("""COMPUTED_VALUE"""),104.5)</f>
        <v>104.5</v>
      </c>
      <c r="S351" s="1">
        <f ca="1">IFERROR(__xludf.DUMMYFUNCTION("""COMPUTED_VALUE"""),228)</f>
        <v>228</v>
      </c>
      <c r="T351" s="1">
        <f ca="1">IFERROR(__xludf.DUMMYFUNCTION("""COMPUTED_VALUE"""),-4.14)</f>
        <v>-4.1399999999999997</v>
      </c>
      <c r="U351" s="1">
        <f ca="1">IFERROR(__xludf.DUMMYFUNCTION("""COMPUTED_VALUE"""),256)</f>
        <v>256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IFERROR(__xludf.DUMMYFUNCTION("""COMPUTED_VALUE"""),"Alabama A&amp;M")</f>
        <v>Alabama A&amp;M</v>
      </c>
      <c r="C352" s="1" t="str">
        <f ca="1">IFERROR(__xludf.DUMMYFUNCTION("""COMPUTED_VALUE"""),"SWAC")</f>
        <v>SWAC</v>
      </c>
      <c r="D352" s="2">
        <f ca="1">IFERROR(__xludf.DUMMYFUNCTION("""COMPUTED_VALUE"""),44792)</f>
        <v>44792</v>
      </c>
      <c r="E352" s="1">
        <f ca="1">IFERROR(__xludf.DUMMYFUNCTION("""COMPUTED_VALUE"""),-20.67)</f>
        <v>-20.67</v>
      </c>
      <c r="F352" s="1">
        <f ca="1">IFERROR(__xludf.DUMMYFUNCTION("""COMPUTED_VALUE"""),86)</f>
        <v>86</v>
      </c>
      <c r="G352" s="1">
        <f ca="1">IFERROR(__xludf.DUMMYFUNCTION("""COMPUTED_VALUE"""),341)</f>
        <v>341</v>
      </c>
      <c r="H352" s="1">
        <f ca="1">IFERROR(__xludf.DUMMYFUNCTION("""COMPUTED_VALUE"""),106.7)</f>
        <v>106.7</v>
      </c>
      <c r="I352" s="1">
        <f ca="1">IFERROR(__xludf.DUMMYFUNCTION("""COMPUTED_VALUE"""),252)</f>
        <v>252</v>
      </c>
      <c r="J352" s="1">
        <f ca="1">IFERROR(__xludf.DUMMYFUNCTION("""COMPUTED_VALUE"""),70.2)</f>
        <v>70.2</v>
      </c>
      <c r="K352" s="1">
        <f ca="1">IFERROR(__xludf.DUMMYFUNCTION("""COMPUTED_VALUE"""),21)</f>
        <v>21</v>
      </c>
      <c r="L352" s="1">
        <f ca="1">IFERROR(__xludf.DUMMYFUNCTION("""COMPUTED_VALUE"""),-0.012)</f>
        <v>-1.2E-2</v>
      </c>
      <c r="M352" s="1">
        <f ca="1">IFERROR(__xludf.DUMMYFUNCTION("""COMPUTED_VALUE"""),200)</f>
        <v>200</v>
      </c>
      <c r="N352" s="1">
        <f ca="1">IFERROR(__xludf.DUMMYFUNCTION("""COMPUTED_VALUE"""),-12.18)</f>
        <v>-12.18</v>
      </c>
      <c r="O352" s="1">
        <f ca="1">IFERROR(__xludf.DUMMYFUNCTION("""COMPUTED_VALUE"""),342)</f>
        <v>342</v>
      </c>
      <c r="P352" s="1">
        <f ca="1">IFERROR(__xludf.DUMMYFUNCTION("""COMPUTED_VALUE"""),96.1)</f>
        <v>96.1</v>
      </c>
      <c r="Q352" s="1">
        <f ca="1">IFERROR(__xludf.DUMMYFUNCTION("""COMPUTED_VALUE"""),334)</f>
        <v>334</v>
      </c>
      <c r="R352" s="1">
        <f ca="1">IFERROR(__xludf.DUMMYFUNCTION("""COMPUTED_VALUE"""),108.3)</f>
        <v>108.3</v>
      </c>
      <c r="S352" s="1">
        <f ca="1">IFERROR(__xludf.DUMMYFUNCTION("""COMPUTED_VALUE"""),343)</f>
        <v>343</v>
      </c>
      <c r="T352" s="1" t="str">
        <f ca="1">IFERROR(__xludf.DUMMYFUNCTION("""COMPUTED_VALUE"""),"+9.37")</f>
        <v>+9.37</v>
      </c>
      <c r="U352" s="1">
        <f ca="1">IFERROR(__xludf.DUMMYFUNCTION("""COMPUTED_VALUE"""),19)</f>
        <v>19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IFERROR(__xludf.DUMMYFUNCTION("""COMPUTED_VALUE"""),"Fairleigh Dickinson")</f>
        <v>Fairleigh Dickinson</v>
      </c>
      <c r="C353" s="1" t="str">
        <f ca="1">IFERROR(__xludf.DUMMYFUNCTION("""COMPUTED_VALUE"""),"NEC")</f>
        <v>NEC</v>
      </c>
      <c r="D353" s="2">
        <f ca="1">IFERROR(__xludf.DUMMYFUNCTION("""COMPUTED_VALUE"""),44765)</f>
        <v>44765</v>
      </c>
      <c r="E353" s="1">
        <f ca="1">IFERROR(__xludf.DUMMYFUNCTION("""COMPUTED_VALUE"""),-21.55)</f>
        <v>-21.55</v>
      </c>
      <c r="F353" s="1">
        <f ca="1">IFERROR(__xludf.DUMMYFUNCTION("""COMPUTED_VALUE"""),91.4)</f>
        <v>91.4</v>
      </c>
      <c r="G353" s="1">
        <f ca="1">IFERROR(__xludf.DUMMYFUNCTION("""COMPUTED_VALUE"""),320)</f>
        <v>320</v>
      </c>
      <c r="H353" s="1">
        <f ca="1">IFERROR(__xludf.DUMMYFUNCTION("""COMPUTED_VALUE"""),112.9)</f>
        <v>112.9</v>
      </c>
      <c r="I353" s="1">
        <f ca="1">IFERROR(__xludf.DUMMYFUNCTION("""COMPUTED_VALUE"""),329)</f>
        <v>329</v>
      </c>
      <c r="J353" s="1">
        <f ca="1">IFERROR(__xludf.DUMMYFUNCTION("""COMPUTED_VALUE"""),67.8)</f>
        <v>67.8</v>
      </c>
      <c r="K353" s="1">
        <f ca="1">IFERROR(__xludf.DUMMYFUNCTION("""COMPUTED_VALUE"""),68)</f>
        <v>68</v>
      </c>
      <c r="L353" s="1" t="str">
        <f ca="1">IFERROR(__xludf.DUMMYFUNCTION("""COMPUTED_VALUE"""),"+.041")</f>
        <v>+.041</v>
      </c>
      <c r="M353" s="1">
        <f ca="1">IFERROR(__xludf.DUMMYFUNCTION("""COMPUTED_VALUE"""),70)</f>
        <v>70</v>
      </c>
      <c r="N353" s="1">
        <f ca="1">IFERROR(__xludf.DUMMYFUNCTION("""COMPUTED_VALUE"""),-6.23)</f>
        <v>-6.23</v>
      </c>
      <c r="O353" s="1">
        <f ca="1">IFERROR(__xludf.DUMMYFUNCTION("""COMPUTED_VALUE"""),294)</f>
        <v>294</v>
      </c>
      <c r="P353" s="1">
        <f ca="1">IFERROR(__xludf.DUMMYFUNCTION("""COMPUTED_VALUE"""),99.9)</f>
        <v>99.9</v>
      </c>
      <c r="Q353" s="1">
        <f ca="1">IFERROR(__xludf.DUMMYFUNCTION("""COMPUTED_VALUE"""),275)</f>
        <v>275</v>
      </c>
      <c r="R353" s="1">
        <f ca="1">IFERROR(__xludf.DUMMYFUNCTION("""COMPUTED_VALUE"""),106.1)</f>
        <v>106.1</v>
      </c>
      <c r="S353" s="1">
        <f ca="1">IFERROR(__xludf.DUMMYFUNCTION("""COMPUTED_VALUE"""),308)</f>
        <v>308</v>
      </c>
      <c r="T353" s="1" t="str">
        <f ca="1">IFERROR(__xludf.DUMMYFUNCTION("""COMPUTED_VALUE"""),"+2.32")</f>
        <v>+2.32</v>
      </c>
      <c r="U353" s="1">
        <f ca="1">IFERROR(__xludf.DUMMYFUNCTION("""COMPUTED_VALUE"""),102)</f>
        <v>102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IFERROR(__xludf.DUMMYFUNCTION("""COMPUTED_VALUE"""),"Southeast Missouri St.")</f>
        <v>Southeast Missouri St.</v>
      </c>
      <c r="C354" s="1" t="str">
        <f ca="1">IFERROR(__xludf.DUMMYFUNCTION("""COMPUTED_VALUE"""),"OVC")</f>
        <v>OVC</v>
      </c>
      <c r="D354" s="2">
        <f ca="1">IFERROR(__xludf.DUMMYFUNCTION("""COMPUTED_VALUE"""),44647)</f>
        <v>44647</v>
      </c>
      <c r="E354" s="1">
        <f ca="1">IFERROR(__xludf.DUMMYFUNCTION("""COMPUTED_VALUE"""),-21.81)</f>
        <v>-21.81</v>
      </c>
      <c r="F354" s="1">
        <f ca="1">IFERROR(__xludf.DUMMYFUNCTION("""COMPUTED_VALUE"""),95)</f>
        <v>95</v>
      </c>
      <c r="G354" s="1">
        <f ca="1">IFERROR(__xludf.DUMMYFUNCTION("""COMPUTED_VALUE"""),288)</f>
        <v>288</v>
      </c>
      <c r="H354" s="1">
        <f ca="1">IFERROR(__xludf.DUMMYFUNCTION("""COMPUTED_VALUE"""),116.8)</f>
        <v>116.8</v>
      </c>
      <c r="I354" s="1">
        <f ca="1">IFERROR(__xludf.DUMMYFUNCTION("""COMPUTED_VALUE"""),341)</f>
        <v>341</v>
      </c>
      <c r="J354" s="1">
        <f ca="1">IFERROR(__xludf.DUMMYFUNCTION("""COMPUTED_VALUE"""),69.7)</f>
        <v>69.7</v>
      </c>
      <c r="K354" s="1">
        <f ca="1">IFERROR(__xludf.DUMMYFUNCTION("""COMPUTED_VALUE"""),28)</f>
        <v>28</v>
      </c>
      <c r="L354" s="1">
        <f ca="1">IFERROR(__xludf.DUMMYFUNCTION("""COMPUTED_VALUE"""),-0.017)</f>
        <v>-1.7000000000000001E-2</v>
      </c>
      <c r="M354" s="1">
        <f ca="1">IFERROR(__xludf.DUMMYFUNCTION("""COMPUTED_VALUE"""),218)</f>
        <v>218</v>
      </c>
      <c r="N354" s="1">
        <f ca="1">IFERROR(__xludf.DUMMYFUNCTION("""COMPUTED_VALUE"""),-3.1)</f>
        <v>-3.1</v>
      </c>
      <c r="O354" s="1">
        <f ca="1">IFERROR(__xludf.DUMMYFUNCTION("""COMPUTED_VALUE"""),224)</f>
        <v>224</v>
      </c>
      <c r="P354" s="1">
        <f ca="1">IFERROR(__xludf.DUMMYFUNCTION("""COMPUTED_VALUE"""),102.8)</f>
        <v>102.8</v>
      </c>
      <c r="Q354" s="1">
        <f ca="1">IFERROR(__xludf.DUMMYFUNCTION("""COMPUTED_VALUE"""),170)</f>
        <v>170</v>
      </c>
      <c r="R354" s="1">
        <f ca="1">IFERROR(__xludf.DUMMYFUNCTION("""COMPUTED_VALUE"""),105.9)</f>
        <v>105.9</v>
      </c>
      <c r="S354" s="1">
        <f ca="1">IFERROR(__xludf.DUMMYFUNCTION("""COMPUTED_VALUE"""),295)</f>
        <v>295</v>
      </c>
      <c r="T354" s="1">
        <f ca="1">IFERROR(__xludf.DUMMYFUNCTION("""COMPUTED_VALUE"""),-1.74)</f>
        <v>-1.74</v>
      </c>
      <c r="U354" s="1">
        <f ca="1">IFERROR(__xludf.DUMMYFUNCTION("""COMPUTED_VALUE"""),203)</f>
        <v>203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IFERROR(__xludf.DUMMYFUNCTION("""COMPUTED_VALUE"""),"Kennesaw St.")</f>
        <v>Kennesaw St.</v>
      </c>
      <c r="C355" s="1" t="str">
        <f ca="1">IFERROR(__xludf.DUMMYFUNCTION("""COMPUTED_VALUE"""),"ASun")</f>
        <v>ASun</v>
      </c>
      <c r="D355" s="2">
        <f ca="1">IFERROR(__xludf.DUMMYFUNCTION("""COMPUTED_VALUE"""),44764)</f>
        <v>44764</v>
      </c>
      <c r="E355" s="1">
        <f ca="1">IFERROR(__xludf.DUMMYFUNCTION("""COMPUTED_VALUE"""),-23.44)</f>
        <v>-23.44</v>
      </c>
      <c r="F355" s="1">
        <f ca="1">IFERROR(__xludf.DUMMYFUNCTION("""COMPUTED_VALUE"""),89.6)</f>
        <v>89.6</v>
      </c>
      <c r="G355" s="1">
        <f ca="1">IFERROR(__xludf.DUMMYFUNCTION("""COMPUTED_VALUE"""),331)</f>
        <v>331</v>
      </c>
      <c r="H355" s="1">
        <f ca="1">IFERROR(__xludf.DUMMYFUNCTION("""COMPUTED_VALUE"""),113)</f>
        <v>113</v>
      </c>
      <c r="I355" s="1">
        <f ca="1">IFERROR(__xludf.DUMMYFUNCTION("""COMPUTED_VALUE"""),331)</f>
        <v>331</v>
      </c>
      <c r="J355" s="1">
        <f ca="1">IFERROR(__xludf.DUMMYFUNCTION("""COMPUTED_VALUE"""),61.6)</f>
        <v>61.6</v>
      </c>
      <c r="K355" s="1">
        <f ca="1">IFERROR(__xludf.DUMMYFUNCTION("""COMPUTED_VALUE"""),311)</f>
        <v>311</v>
      </c>
      <c r="L355" s="1" t="str">
        <f ca="1">IFERROR(__xludf.DUMMYFUNCTION("""COMPUTED_VALUE"""),"+.007")</f>
        <v>+.007</v>
      </c>
      <c r="M355" s="1">
        <f ca="1">IFERROR(__xludf.DUMMYFUNCTION("""COMPUTED_VALUE"""),148)</f>
        <v>148</v>
      </c>
      <c r="N355" s="1">
        <f ca="1">IFERROR(__xludf.DUMMYFUNCTION("""COMPUTED_VALUE"""),-7.19)</f>
        <v>-7.19</v>
      </c>
      <c r="O355" s="1">
        <f ca="1">IFERROR(__xludf.DUMMYFUNCTION("""COMPUTED_VALUE"""),309)</f>
        <v>309</v>
      </c>
      <c r="P355" s="1">
        <f ca="1">IFERROR(__xludf.DUMMYFUNCTION("""COMPUTED_VALUE"""),98.3)</f>
        <v>98.3</v>
      </c>
      <c r="Q355" s="1">
        <f ca="1">IFERROR(__xludf.DUMMYFUNCTION("""COMPUTED_VALUE"""),307)</f>
        <v>307</v>
      </c>
      <c r="R355" s="1">
        <f ca="1">IFERROR(__xludf.DUMMYFUNCTION("""COMPUTED_VALUE"""),105.5)</f>
        <v>105.5</v>
      </c>
      <c r="S355" s="1">
        <f ca="1">IFERROR(__xludf.DUMMYFUNCTION("""COMPUTED_VALUE"""),277)</f>
        <v>277</v>
      </c>
      <c r="T355" s="1">
        <f ca="1">IFERROR(__xludf.DUMMYFUNCTION("""COMPUTED_VALUE"""),-12.22)</f>
        <v>-12.22</v>
      </c>
      <c r="U355" s="1">
        <f ca="1">IFERROR(__xludf.DUMMYFUNCTION("""COMPUTED_VALUE"""),343)</f>
        <v>343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IFERROR(__xludf.DUMMYFUNCTION("""COMPUTED_VALUE"""),"Winston Salem St.")</f>
        <v>Winston Salem St.</v>
      </c>
      <c r="C356" s="1" t="str">
        <f ca="1">IFERROR(__xludf.DUMMYFUNCTION("""COMPUTED_VALUE"""),"ind")</f>
        <v>ind</v>
      </c>
      <c r="D356" s="2">
        <f ca="1">IFERROR(__xludf.DUMMYFUNCTION("""COMPUTED_VALUE"""),44795)</f>
        <v>44795</v>
      </c>
      <c r="E356" s="1">
        <f ca="1">IFERROR(__xludf.DUMMYFUNCTION("""COMPUTED_VALUE"""),-23.92)</f>
        <v>-23.92</v>
      </c>
      <c r="F356" s="1">
        <f ca="1">IFERROR(__xludf.DUMMYFUNCTION("""COMPUTED_VALUE"""),83.9)</f>
        <v>83.9</v>
      </c>
      <c r="G356" s="1">
        <f ca="1">IFERROR(__xludf.DUMMYFUNCTION("""COMPUTED_VALUE"""),343)</f>
        <v>343</v>
      </c>
      <c r="H356" s="1">
        <f ca="1">IFERROR(__xludf.DUMMYFUNCTION("""COMPUTED_VALUE"""),107.8)</f>
        <v>107.8</v>
      </c>
      <c r="I356" s="1">
        <f ca="1">IFERROR(__xludf.DUMMYFUNCTION("""COMPUTED_VALUE"""),270)</f>
        <v>270</v>
      </c>
      <c r="J356" s="1">
        <f ca="1">IFERROR(__xludf.DUMMYFUNCTION("""COMPUTED_VALUE"""),67.3)</f>
        <v>67.3</v>
      </c>
      <c r="K356" s="1">
        <f ca="1">IFERROR(__xludf.DUMMYFUNCTION("""COMPUTED_VALUE"""),86)</f>
        <v>86</v>
      </c>
      <c r="L356" s="1" t="str">
        <f ca="1">IFERROR(__xludf.DUMMYFUNCTION("""COMPUTED_VALUE"""),"+.011")</f>
        <v>+.011</v>
      </c>
      <c r="M356" s="1">
        <f ca="1">IFERROR(__xludf.DUMMYFUNCTION("""COMPUTED_VALUE"""),140)</f>
        <v>140</v>
      </c>
      <c r="N356" s="1">
        <f ca="1">IFERROR(__xludf.DUMMYFUNCTION("""COMPUTED_VALUE"""),-9.64)</f>
        <v>-9.64</v>
      </c>
      <c r="O356" s="1">
        <f ca="1">IFERROR(__xludf.DUMMYFUNCTION("""COMPUTED_VALUE"""),326)</f>
        <v>326</v>
      </c>
      <c r="P356" s="1">
        <f ca="1">IFERROR(__xludf.DUMMYFUNCTION("""COMPUTED_VALUE"""),96)</f>
        <v>96</v>
      </c>
      <c r="Q356" s="1">
        <f ca="1">IFERROR(__xludf.DUMMYFUNCTION("""COMPUTED_VALUE"""),336)</f>
        <v>336</v>
      </c>
      <c r="R356" s="1">
        <f ca="1">IFERROR(__xludf.DUMMYFUNCTION("""COMPUTED_VALUE"""),105.7)</f>
        <v>105.7</v>
      </c>
      <c r="S356" s="1">
        <f ca="1">IFERROR(__xludf.DUMMYFUNCTION("""COMPUTED_VALUE"""),284)</f>
        <v>284</v>
      </c>
      <c r="T356" s="1">
        <f ca="1">IFERROR(__xludf.DUMMYFUNCTION("""COMPUTED_VALUE"""),-8.08)</f>
        <v>-8.08</v>
      </c>
      <c r="U356" s="1">
        <f ca="1">IFERROR(__xludf.DUMMYFUNCTION("""COMPUTED_VALUE"""),318)</f>
        <v>318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IFERROR(__xludf.DUMMYFUNCTION("""COMPUTED_VALUE"""),"Sacramento St.")</f>
        <v>Sacramento St.</v>
      </c>
      <c r="C357" s="1" t="str">
        <f ca="1">IFERROR(__xludf.DUMMYFUNCTION("""COMPUTED_VALUE"""),"BSky")</f>
        <v>BSky</v>
      </c>
      <c r="D357" s="2">
        <f ca="1">IFERROR(__xludf.DUMMYFUNCTION("""COMPUTED_VALUE"""),44619)</f>
        <v>44619</v>
      </c>
      <c r="E357" s="1">
        <f ca="1">IFERROR(__xludf.DUMMYFUNCTION("""COMPUTED_VALUE"""),-24.88)</f>
        <v>-24.88</v>
      </c>
      <c r="F357" s="1">
        <f ca="1">IFERROR(__xludf.DUMMYFUNCTION("""COMPUTED_VALUE"""),89.6)</f>
        <v>89.6</v>
      </c>
      <c r="G357" s="1">
        <f ca="1">IFERROR(__xludf.DUMMYFUNCTION("""COMPUTED_VALUE"""),332)</f>
        <v>332</v>
      </c>
      <c r="H357" s="1">
        <f ca="1">IFERROR(__xludf.DUMMYFUNCTION("""COMPUTED_VALUE"""),114.5)</f>
        <v>114.5</v>
      </c>
      <c r="I357" s="1">
        <f ca="1">IFERROR(__xludf.DUMMYFUNCTION("""COMPUTED_VALUE"""),337)</f>
        <v>337</v>
      </c>
      <c r="J357" s="1">
        <f ca="1">IFERROR(__xludf.DUMMYFUNCTION("""COMPUTED_VALUE"""),63.6)</f>
        <v>63.6</v>
      </c>
      <c r="K357" s="1">
        <f ca="1">IFERROR(__xludf.DUMMYFUNCTION("""COMPUTED_VALUE"""),245)</f>
        <v>245</v>
      </c>
      <c r="L357" s="1" t="str">
        <f ca="1">IFERROR(__xludf.DUMMYFUNCTION("""COMPUTED_VALUE"""),"+.017")</f>
        <v>+.017</v>
      </c>
      <c r="M357" s="1">
        <f ca="1">IFERROR(__xludf.DUMMYFUNCTION("""COMPUTED_VALUE"""),123)</f>
        <v>123</v>
      </c>
      <c r="N357" s="1">
        <f ca="1">IFERROR(__xludf.DUMMYFUNCTION("""COMPUTED_VALUE"""),-1.65)</f>
        <v>-1.65</v>
      </c>
      <c r="O357" s="1">
        <f ca="1">IFERROR(__xludf.DUMMYFUNCTION("""COMPUTED_VALUE"""),194)</f>
        <v>194</v>
      </c>
      <c r="P357" s="1">
        <f ca="1">IFERROR(__xludf.DUMMYFUNCTION("""COMPUTED_VALUE"""),103.1)</f>
        <v>103.1</v>
      </c>
      <c r="Q357" s="1">
        <f ca="1">IFERROR(__xludf.DUMMYFUNCTION("""COMPUTED_VALUE"""),152)</f>
        <v>152</v>
      </c>
      <c r="R357" s="1">
        <f ca="1">IFERROR(__xludf.DUMMYFUNCTION("""COMPUTED_VALUE"""),104.8)</f>
        <v>104.8</v>
      </c>
      <c r="S357" s="1">
        <f ca="1">IFERROR(__xludf.DUMMYFUNCTION("""COMPUTED_VALUE"""),241)</f>
        <v>241</v>
      </c>
      <c r="T357" s="1" t="str">
        <f ca="1">IFERROR(__xludf.DUMMYFUNCTION("""COMPUTED_VALUE"""),"+0.09")</f>
        <v>+0.09</v>
      </c>
      <c r="U357" s="1">
        <f ca="1">IFERROR(__xludf.DUMMYFUNCTION("""COMPUTED_VALUE"""),153)</f>
        <v>153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IFERROR(__xludf.DUMMYFUNCTION("""COMPUTED_VALUE"""),"Alcorn St.")</f>
        <v>Alcorn St.</v>
      </c>
      <c r="C358" s="1" t="str">
        <f ca="1">IFERROR(__xludf.DUMMYFUNCTION("""COMPUTED_VALUE"""),"SWAC")</f>
        <v>SWAC</v>
      </c>
      <c r="D358" s="2">
        <f ca="1">IFERROR(__xludf.DUMMYFUNCTION("""COMPUTED_VALUE"""),44737)</f>
        <v>44737</v>
      </c>
      <c r="E358" s="1">
        <f ca="1">IFERROR(__xludf.DUMMYFUNCTION("""COMPUTED_VALUE"""),-26.4)</f>
        <v>-26.4</v>
      </c>
      <c r="F358" s="1">
        <f ca="1">IFERROR(__xludf.DUMMYFUNCTION("""COMPUTED_VALUE"""),92.1)</f>
        <v>92.1</v>
      </c>
      <c r="G358" s="1">
        <f ca="1">IFERROR(__xludf.DUMMYFUNCTION("""COMPUTED_VALUE"""),313)</f>
        <v>313</v>
      </c>
      <c r="H358" s="1">
        <f ca="1">IFERROR(__xludf.DUMMYFUNCTION("""COMPUTED_VALUE"""),118.5)</f>
        <v>118.5</v>
      </c>
      <c r="I358" s="1">
        <f ca="1">IFERROR(__xludf.DUMMYFUNCTION("""COMPUTED_VALUE"""),344)</f>
        <v>344</v>
      </c>
      <c r="J358" s="1">
        <f ca="1">IFERROR(__xludf.DUMMYFUNCTION("""COMPUTED_VALUE"""),72.4)</f>
        <v>72.400000000000006</v>
      </c>
      <c r="K358" s="1">
        <f ca="1">IFERROR(__xludf.DUMMYFUNCTION("""COMPUTED_VALUE"""),9)</f>
        <v>9</v>
      </c>
      <c r="L358" s="1">
        <f ca="1">IFERROR(__xludf.DUMMYFUNCTION("""COMPUTED_VALUE"""),-0.05)</f>
        <v>-0.05</v>
      </c>
      <c r="M358" s="1">
        <f ca="1">IFERROR(__xludf.DUMMYFUNCTION("""COMPUTED_VALUE"""),296)</f>
        <v>296</v>
      </c>
      <c r="N358" s="1">
        <f ca="1">IFERROR(__xludf.DUMMYFUNCTION("""COMPUTED_VALUE"""),-10.26)</f>
        <v>-10.26</v>
      </c>
      <c r="O358" s="1">
        <f ca="1">IFERROR(__xludf.DUMMYFUNCTION("""COMPUTED_VALUE"""),331)</f>
        <v>331</v>
      </c>
      <c r="P358" s="1">
        <f ca="1">IFERROR(__xludf.DUMMYFUNCTION("""COMPUTED_VALUE"""),96.5)</f>
        <v>96.5</v>
      </c>
      <c r="Q358" s="1">
        <f ca="1">IFERROR(__xludf.DUMMYFUNCTION("""COMPUTED_VALUE"""),331)</f>
        <v>331</v>
      </c>
      <c r="R358" s="1">
        <f ca="1">IFERROR(__xludf.DUMMYFUNCTION("""COMPUTED_VALUE"""),106.7)</f>
        <v>106.7</v>
      </c>
      <c r="S358" s="1">
        <f ca="1">IFERROR(__xludf.DUMMYFUNCTION("""COMPUTED_VALUE"""),325)</f>
        <v>325</v>
      </c>
      <c r="T358" s="1" t="str">
        <f ca="1">IFERROR(__xludf.DUMMYFUNCTION("""COMPUTED_VALUE"""),"+2.94")</f>
        <v>+2.94</v>
      </c>
      <c r="U358" s="1">
        <f ca="1">IFERROR(__xludf.DUMMYFUNCTION("""COMPUTED_VALUE"""),92)</f>
        <v>92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IFERROR(__xludf.DUMMYFUNCTION("""COMPUTED_VALUE"""),"Grambling St.")</f>
        <v>Grambling St.</v>
      </c>
      <c r="C359" s="1" t="str">
        <f ca="1">IFERROR(__xludf.DUMMYFUNCTION("""COMPUTED_VALUE"""),"SWAC")</f>
        <v>SWAC</v>
      </c>
      <c r="D359" s="2">
        <f ca="1">IFERROR(__xludf.DUMMYFUNCTION("""COMPUTED_VALUE"""),44735)</f>
        <v>44735</v>
      </c>
      <c r="E359" s="1">
        <f ca="1">IFERROR(__xludf.DUMMYFUNCTION("""COMPUTED_VALUE"""),-27.1)</f>
        <v>-27.1</v>
      </c>
      <c r="F359" s="1">
        <f ca="1">IFERROR(__xludf.DUMMYFUNCTION("""COMPUTED_VALUE"""),89.8)</f>
        <v>89.8</v>
      </c>
      <c r="G359" s="1">
        <f ca="1">IFERROR(__xludf.DUMMYFUNCTION("""COMPUTED_VALUE"""),330)</f>
        <v>330</v>
      </c>
      <c r="H359" s="1">
        <f ca="1">IFERROR(__xludf.DUMMYFUNCTION("""COMPUTED_VALUE"""),116.9)</f>
        <v>116.9</v>
      </c>
      <c r="I359" s="1">
        <f ca="1">IFERROR(__xludf.DUMMYFUNCTION("""COMPUTED_VALUE"""),343)</f>
        <v>343</v>
      </c>
      <c r="J359" s="1">
        <f ca="1">IFERROR(__xludf.DUMMYFUNCTION("""COMPUTED_VALUE"""),61.8)</f>
        <v>61.8</v>
      </c>
      <c r="K359" s="1">
        <f ca="1">IFERROR(__xludf.DUMMYFUNCTION("""COMPUTED_VALUE"""),303)</f>
        <v>303</v>
      </c>
      <c r="L359" s="1">
        <f ca="1">IFERROR(__xludf.DUMMYFUNCTION("""COMPUTED_VALUE"""),-0.015)</f>
        <v>-1.4999999999999999E-2</v>
      </c>
      <c r="M359" s="1">
        <f ca="1">IFERROR(__xludf.DUMMYFUNCTION("""COMPUTED_VALUE"""),210)</f>
        <v>210</v>
      </c>
      <c r="N359" s="1">
        <f ca="1">IFERROR(__xludf.DUMMYFUNCTION("""COMPUTED_VALUE"""),-10)</f>
        <v>-10</v>
      </c>
      <c r="O359" s="1">
        <f ca="1">IFERROR(__xludf.DUMMYFUNCTION("""COMPUTED_VALUE"""),330)</f>
        <v>330</v>
      </c>
      <c r="P359" s="1">
        <f ca="1">IFERROR(__xludf.DUMMYFUNCTION("""COMPUTED_VALUE"""),96.6)</f>
        <v>96.6</v>
      </c>
      <c r="Q359" s="1">
        <f ca="1">IFERROR(__xludf.DUMMYFUNCTION("""COMPUTED_VALUE"""),329)</f>
        <v>329</v>
      </c>
      <c r="R359" s="1">
        <f ca="1">IFERROR(__xludf.DUMMYFUNCTION("""COMPUTED_VALUE"""),106.6)</f>
        <v>106.6</v>
      </c>
      <c r="S359" s="1">
        <f ca="1">IFERROR(__xludf.DUMMYFUNCTION("""COMPUTED_VALUE"""),320)</f>
        <v>320</v>
      </c>
      <c r="T359" s="1" t="str">
        <f ca="1">IFERROR(__xludf.DUMMYFUNCTION("""COMPUTED_VALUE"""),"+4.77")</f>
        <v>+4.77</v>
      </c>
      <c r="U359" s="1">
        <f ca="1">IFERROR(__xludf.DUMMYFUNCTION("""COMPUTED_VALUE"""),56)</f>
        <v>56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IFERROR(__xludf.DUMMYFUNCTION("""COMPUTED_VALUE"""),"Maryland Eastern Shore")</f>
        <v>Maryland Eastern Shore</v>
      </c>
      <c r="C360" s="1" t="str">
        <f ca="1">IFERROR(__xludf.DUMMYFUNCTION("""COMPUTED_VALUE"""),"MEAC")</f>
        <v>MEAC</v>
      </c>
      <c r="D360" s="2">
        <f ca="1">IFERROR(__xludf.DUMMYFUNCTION("""COMPUTED_VALUE"""),44765)</f>
        <v>44765</v>
      </c>
      <c r="E360" s="1">
        <f ca="1">IFERROR(__xludf.DUMMYFUNCTION("""COMPUTED_VALUE"""),-27.77)</f>
        <v>-27.77</v>
      </c>
      <c r="F360" s="1">
        <f ca="1">IFERROR(__xludf.DUMMYFUNCTION("""COMPUTED_VALUE"""),89.2)</f>
        <v>89.2</v>
      </c>
      <c r="G360" s="1">
        <f ca="1">IFERROR(__xludf.DUMMYFUNCTION("""COMPUTED_VALUE"""),336)</f>
        <v>336</v>
      </c>
      <c r="H360" s="1">
        <f ca="1">IFERROR(__xludf.DUMMYFUNCTION("""COMPUTED_VALUE"""),116.9)</f>
        <v>116.9</v>
      </c>
      <c r="I360" s="1">
        <f ca="1">IFERROR(__xludf.DUMMYFUNCTION("""COMPUTED_VALUE"""),342)</f>
        <v>342</v>
      </c>
      <c r="J360" s="1">
        <f ca="1">IFERROR(__xludf.DUMMYFUNCTION("""COMPUTED_VALUE"""),63.5)</f>
        <v>63.5</v>
      </c>
      <c r="K360" s="1">
        <f ca="1">IFERROR(__xludf.DUMMYFUNCTION("""COMPUTED_VALUE"""),256)</f>
        <v>256</v>
      </c>
      <c r="L360" s="1" t="str">
        <f ca="1">IFERROR(__xludf.DUMMYFUNCTION("""COMPUTED_VALUE"""),"+.060")</f>
        <v>+.060</v>
      </c>
      <c r="M360" s="1">
        <f ca="1">IFERROR(__xludf.DUMMYFUNCTION("""COMPUTED_VALUE"""),34)</f>
        <v>34</v>
      </c>
      <c r="N360" s="1">
        <f ca="1">IFERROR(__xludf.DUMMYFUNCTION("""COMPUTED_VALUE"""),-12.24)</f>
        <v>-12.24</v>
      </c>
      <c r="O360" s="1">
        <f ca="1">IFERROR(__xludf.DUMMYFUNCTION("""COMPUTED_VALUE"""),343)</f>
        <v>343</v>
      </c>
      <c r="P360" s="1">
        <f ca="1">IFERROR(__xludf.DUMMYFUNCTION("""COMPUTED_VALUE"""),93.7)</f>
        <v>93.7</v>
      </c>
      <c r="Q360" s="1">
        <f ca="1">IFERROR(__xludf.DUMMYFUNCTION("""COMPUTED_VALUE"""),344)</f>
        <v>344</v>
      </c>
      <c r="R360" s="1">
        <f ca="1">IFERROR(__xludf.DUMMYFUNCTION("""COMPUTED_VALUE"""),105.9)</f>
        <v>105.9</v>
      </c>
      <c r="S360" s="1">
        <f ca="1">IFERROR(__xludf.DUMMYFUNCTION("""COMPUTED_VALUE"""),298)</f>
        <v>298</v>
      </c>
      <c r="T360" s="1">
        <f ca="1">IFERROR(__xludf.DUMMYFUNCTION("""COMPUTED_VALUE"""),-9.51)</f>
        <v>-9.51</v>
      </c>
      <c r="U360" s="1">
        <f ca="1">IFERROR(__xludf.DUMMYFUNCTION("""COMPUTED_VALUE"""),332)</f>
        <v>332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IFERROR(__xludf.DUMMYFUNCTION("""COMPUTED_VALUE"""),"North Carolina Central")</f>
        <v>North Carolina Central</v>
      </c>
      <c r="C361" s="1" t="str">
        <f ca="1">IFERROR(__xludf.DUMMYFUNCTION("""COMPUTED_VALUE"""),"ind")</f>
        <v>ind</v>
      </c>
      <c r="D361" s="2">
        <f ca="1">IFERROR(__xludf.DUMMYFUNCTION("""COMPUTED_VALUE"""),44678)</f>
        <v>44678</v>
      </c>
      <c r="E361" s="1">
        <f ca="1">IFERROR(__xludf.DUMMYFUNCTION("""COMPUTED_VALUE"""),-28.86)</f>
        <v>-28.86</v>
      </c>
      <c r="F361" s="1">
        <f ca="1">IFERROR(__xludf.DUMMYFUNCTION("""COMPUTED_VALUE"""),85.6)</f>
        <v>85.6</v>
      </c>
      <c r="G361" s="1">
        <f ca="1">IFERROR(__xludf.DUMMYFUNCTION("""COMPUTED_VALUE"""),342)</f>
        <v>342</v>
      </c>
      <c r="H361" s="1">
        <f ca="1">IFERROR(__xludf.DUMMYFUNCTION("""COMPUTED_VALUE"""),114.5)</f>
        <v>114.5</v>
      </c>
      <c r="I361" s="1">
        <f ca="1">IFERROR(__xludf.DUMMYFUNCTION("""COMPUTED_VALUE"""),338)</f>
        <v>338</v>
      </c>
      <c r="J361" s="1">
        <f ca="1">IFERROR(__xludf.DUMMYFUNCTION("""COMPUTED_VALUE"""),69)</f>
        <v>69</v>
      </c>
      <c r="K361" s="1">
        <f ca="1">IFERROR(__xludf.DUMMYFUNCTION("""COMPUTED_VALUE"""),43)</f>
        <v>43</v>
      </c>
      <c r="L361" s="1">
        <f ca="1">IFERROR(__xludf.DUMMYFUNCTION("""COMPUTED_VALUE"""),-0.015)</f>
        <v>-1.4999999999999999E-2</v>
      </c>
      <c r="M361" s="1">
        <f ca="1">IFERROR(__xludf.DUMMYFUNCTION("""COMPUTED_VALUE"""),212)</f>
        <v>212</v>
      </c>
      <c r="N361" s="1">
        <f ca="1">IFERROR(__xludf.DUMMYFUNCTION("""COMPUTED_VALUE"""),-4.55)</f>
        <v>-4.55</v>
      </c>
      <c r="O361" s="1">
        <f ca="1">IFERROR(__xludf.DUMMYFUNCTION("""COMPUTED_VALUE"""),261)</f>
        <v>261</v>
      </c>
      <c r="P361" s="1">
        <f ca="1">IFERROR(__xludf.DUMMYFUNCTION("""COMPUTED_VALUE"""),100)</f>
        <v>100</v>
      </c>
      <c r="Q361" s="1">
        <f ca="1">IFERROR(__xludf.DUMMYFUNCTION("""COMPUTED_VALUE"""),273)</f>
        <v>273</v>
      </c>
      <c r="R361" s="1">
        <f ca="1">IFERROR(__xludf.DUMMYFUNCTION("""COMPUTED_VALUE"""),104.5)</f>
        <v>104.5</v>
      </c>
      <c r="S361" s="1">
        <f ca="1">IFERROR(__xludf.DUMMYFUNCTION("""COMPUTED_VALUE"""),229)</f>
        <v>229</v>
      </c>
      <c r="T361" s="1" t="str">
        <f ca="1">IFERROR(__xludf.DUMMYFUNCTION("""COMPUTED_VALUE"""),"+5.90")</f>
        <v>+5.90</v>
      </c>
      <c r="U361" s="1">
        <f ca="1">IFERROR(__xludf.DUMMYFUNCTION("""COMPUTED_VALUE"""),41)</f>
        <v>41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IFERROR(__xludf.DUMMYFUNCTION("""COMPUTED_VALUE"""),"NJIT")</f>
        <v>NJIT</v>
      </c>
      <c r="C362" s="1" t="str">
        <f ca="1">IFERROR(__xludf.DUMMYFUNCTION("""COMPUTED_VALUE"""),"ind")</f>
        <v>ind</v>
      </c>
      <c r="D362" s="2">
        <f ca="1">IFERROR(__xludf.DUMMYFUNCTION("""COMPUTED_VALUE"""),44591)</f>
        <v>44591</v>
      </c>
      <c r="E362" s="1">
        <f ca="1">IFERROR(__xludf.DUMMYFUNCTION("""COMPUTED_VALUE"""),-35.2)</f>
        <v>-35.200000000000003</v>
      </c>
      <c r="F362" s="1">
        <f ca="1">IFERROR(__xludf.DUMMYFUNCTION("""COMPUTED_VALUE"""),71.5)</f>
        <v>71.5</v>
      </c>
      <c r="G362" s="1">
        <f ca="1">IFERROR(__xludf.DUMMYFUNCTION("""COMPUTED_VALUE"""),344)</f>
        <v>344</v>
      </c>
      <c r="H362" s="1">
        <f ca="1">IFERROR(__xludf.DUMMYFUNCTION("""COMPUTED_VALUE"""),106.7)</f>
        <v>106.7</v>
      </c>
      <c r="I362" s="1">
        <f ca="1">IFERROR(__xludf.DUMMYFUNCTION("""COMPUTED_VALUE"""),254)</f>
        <v>254</v>
      </c>
      <c r="J362" s="1">
        <f ca="1">IFERROR(__xludf.DUMMYFUNCTION("""COMPUTED_VALUE"""),64.6)</f>
        <v>64.599999999999994</v>
      </c>
      <c r="K362" s="1">
        <f ca="1">IFERROR(__xludf.DUMMYFUNCTION("""COMPUTED_VALUE"""),200)</f>
        <v>200</v>
      </c>
      <c r="L362" s="1">
        <f ca="1">IFERROR(__xludf.DUMMYFUNCTION("""COMPUTED_VALUE"""),-0.028)</f>
        <v>-2.8000000000000001E-2</v>
      </c>
      <c r="M362" s="1">
        <f ca="1">IFERROR(__xludf.DUMMYFUNCTION("""COMPUTED_VALUE"""),247)</f>
        <v>247</v>
      </c>
      <c r="N362" s="1">
        <f ca="1">IFERROR(__xludf.DUMMYFUNCTION("""COMPUTED_VALUE"""),-10.64)</f>
        <v>-10.64</v>
      </c>
      <c r="O362" s="1">
        <f ca="1">IFERROR(__xludf.DUMMYFUNCTION("""COMPUTED_VALUE"""),335)</f>
        <v>335</v>
      </c>
      <c r="P362" s="1">
        <f ca="1">IFERROR(__xludf.DUMMYFUNCTION("""COMPUTED_VALUE"""),97.6)</f>
        <v>97.6</v>
      </c>
      <c r="Q362" s="1">
        <f ca="1">IFERROR(__xludf.DUMMYFUNCTION("""COMPUTED_VALUE"""),319)</f>
        <v>319</v>
      </c>
      <c r="R362" s="1">
        <f ca="1">IFERROR(__xludf.DUMMYFUNCTION("""COMPUTED_VALUE"""),108.3)</f>
        <v>108.3</v>
      </c>
      <c r="S362" s="1">
        <f ca="1">IFERROR(__xludf.DUMMYFUNCTION("""COMPUTED_VALUE"""),344)</f>
        <v>344</v>
      </c>
      <c r="T362" s="1">
        <f ca="1">IFERROR(__xludf.DUMMYFUNCTION("""COMPUTED_VALUE"""),-7.98)</f>
        <v>-7.98</v>
      </c>
      <c r="U362" s="1">
        <f ca="1">IFERROR(__xludf.DUMMYFUNCTION("""COMPUTED_VALUE"""),317)</f>
        <v>317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U365"/>
  <sheetViews>
    <sheetView topLeftCell="D1" workbookViewId="0">
      <selection activeCell="D2" sqref="A2:XFD2"/>
    </sheetView>
  </sheetViews>
  <sheetFormatPr baseColWidth="10" defaultColWidth="12.6640625" defaultRowHeight="15.75" customHeight="1" x14ac:dyDescent="0.15"/>
  <sheetData>
    <row r="1" spans="1:21" ht="13" x14ac:dyDescent="0.15">
      <c r="A1" s="3" t="str">
        <f ca="1">IFERROR(__xludf.DUMMYFUNCTION("IMPORThtML(""https://kenpom.com/index.php?y=2010"",""table"",1)"),"")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2</v>
      </c>
      <c r="H2" s="1" t="str">
        <f ca="1">IFERROR(__xludf.DUMMYFUNCTION("""COMPUTED_VALUE"""),"AdjD")</f>
        <v>AdjD</v>
      </c>
      <c r="I2" s="1" t="s">
        <v>3</v>
      </c>
      <c r="J2" s="1" t="str">
        <f ca="1">IFERROR(__xludf.DUMMYFUNCTION("""COMPUTED_VALUE"""),"AdjT")</f>
        <v>AdjT</v>
      </c>
      <c r="K2" s="1" t="s">
        <v>4</v>
      </c>
      <c r="L2" s="1" t="str">
        <f ca="1">IFERROR(__xludf.DUMMYFUNCTION("""COMPUTED_VALUE"""),"Luck")</f>
        <v>Luck</v>
      </c>
      <c r="M2" s="1" t="s">
        <v>5</v>
      </c>
      <c r="N2" s="1" t="s">
        <v>0</v>
      </c>
      <c r="O2" s="1" t="s">
        <v>6</v>
      </c>
      <c r="P2" s="1" t="str">
        <f ca="1">IFERROR(__xludf.DUMMYFUNCTION("""COMPUTED_VALUE"""),"OppO")</f>
        <v>OppO</v>
      </c>
      <c r="Q2" s="1" t="s">
        <v>7</v>
      </c>
      <c r="R2" s="1" t="str">
        <f ca="1">IFERROR(__xludf.DUMMYFUNCTION("""COMPUTED_VALUE"""),"OppD")</f>
        <v>OppD</v>
      </c>
      <c r="S2" s="1" t="s">
        <v>8</v>
      </c>
      <c r="T2" s="1" t="s">
        <v>1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IFERROR(__xludf.DUMMYFUNCTION("""COMPUTED_VALUE"""),"Duke1")</f>
        <v>Duke1</v>
      </c>
      <c r="C3" s="1" t="str">
        <f ca="1">IFERROR(__xludf.DUMMYFUNCTION("""COMPUTED_VALUE"""),"ACC")</f>
        <v>ACC</v>
      </c>
      <c r="D3" s="1" t="str">
        <f ca="1">IFERROR(__xludf.DUMMYFUNCTION("""COMPUTED_VALUE"""),"35-5")</f>
        <v>35-5</v>
      </c>
      <c r="E3" s="1" t="str">
        <f ca="1">IFERROR(__xludf.DUMMYFUNCTION("""COMPUTED_VALUE"""),"+33.29")</f>
        <v>+33.29</v>
      </c>
      <c r="F3" s="1">
        <f ca="1">IFERROR(__xludf.DUMMYFUNCTION("""COMPUTED_VALUE"""),121)</f>
        <v>121</v>
      </c>
      <c r="G3" s="1">
        <f ca="1">IFERROR(__xludf.DUMMYFUNCTION("""COMPUTED_VALUE"""),1)</f>
        <v>1</v>
      </c>
      <c r="H3" s="1">
        <f ca="1">IFERROR(__xludf.DUMMYFUNCTION("""COMPUTED_VALUE"""),87.7)</f>
        <v>87.7</v>
      </c>
      <c r="I3" s="1">
        <f ca="1">IFERROR(__xludf.DUMMYFUNCTION("""COMPUTED_VALUE"""),5)</f>
        <v>5</v>
      </c>
      <c r="J3" s="1">
        <f ca="1">IFERROR(__xludf.DUMMYFUNCTION("""COMPUTED_VALUE"""),64.7)</f>
        <v>64.7</v>
      </c>
      <c r="K3" s="1">
        <f ca="1">IFERROR(__xludf.DUMMYFUNCTION("""COMPUTED_VALUE"""),229)</f>
        <v>229</v>
      </c>
      <c r="L3" s="1" t="str">
        <f ca="1">IFERROR(__xludf.DUMMYFUNCTION("""COMPUTED_VALUE"""),"+.009")</f>
        <v>+.009</v>
      </c>
      <c r="M3" s="1">
        <f ca="1">IFERROR(__xludf.DUMMYFUNCTION("""COMPUTED_VALUE"""),145)</f>
        <v>145</v>
      </c>
      <c r="N3" s="1" t="str">
        <f ca="1">IFERROR(__xludf.DUMMYFUNCTION("""COMPUTED_VALUE"""),"+11.53")</f>
        <v>+11.53</v>
      </c>
      <c r="O3" s="1">
        <f ca="1">IFERROR(__xludf.DUMMYFUNCTION("""COMPUTED_VALUE"""),4)</f>
        <v>4</v>
      </c>
      <c r="P3" s="1">
        <f ca="1">IFERROR(__xludf.DUMMYFUNCTION("""COMPUTED_VALUE"""),107.9)</f>
        <v>107.9</v>
      </c>
      <c r="Q3" s="1">
        <f ca="1">IFERROR(__xludf.DUMMYFUNCTION("""COMPUTED_VALUE"""),19)</f>
        <v>19</v>
      </c>
      <c r="R3" s="1">
        <f ca="1">IFERROR(__xludf.DUMMYFUNCTION("""COMPUTED_VALUE"""),96.4)</f>
        <v>96.4</v>
      </c>
      <c r="S3" s="1">
        <f ca="1">IFERROR(__xludf.DUMMYFUNCTION("""COMPUTED_VALUE"""),1)</f>
        <v>1</v>
      </c>
      <c r="T3" s="1" t="str">
        <f ca="1">IFERROR(__xludf.DUMMYFUNCTION("""COMPUTED_VALUE"""),"+2.50")</f>
        <v>+2.50</v>
      </c>
      <c r="U3" s="1">
        <f ca="1">IFERROR(__xludf.DUMMYFUNCTION("""COMPUTED_VALUE"""),94)</f>
        <v>94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IFERROR(__xludf.DUMMYFUNCTION("""COMPUTED_VALUE"""),"Kansas1")</f>
        <v>Kansas1</v>
      </c>
      <c r="C4" s="1" t="str">
        <f ca="1">IFERROR(__xludf.DUMMYFUNCTION("""COMPUTED_VALUE"""),"B12")</f>
        <v>B12</v>
      </c>
      <c r="D4" s="1" t="str">
        <f ca="1">IFERROR(__xludf.DUMMYFUNCTION("""COMPUTED_VALUE"""),"33-3")</f>
        <v>33-3</v>
      </c>
      <c r="E4" s="1" t="str">
        <f ca="1">IFERROR(__xludf.DUMMYFUNCTION("""COMPUTED_VALUE"""),"+31.85")</f>
        <v>+31.85</v>
      </c>
      <c r="F4" s="1">
        <f ca="1">IFERROR(__xludf.DUMMYFUNCTION("""COMPUTED_VALUE"""),120.4)</f>
        <v>120.4</v>
      </c>
      <c r="G4" s="1">
        <f ca="1">IFERROR(__xludf.DUMMYFUNCTION("""COMPUTED_VALUE"""),2)</f>
        <v>2</v>
      </c>
      <c r="H4" s="1">
        <f ca="1">IFERROR(__xludf.DUMMYFUNCTION("""COMPUTED_VALUE"""),88.5)</f>
        <v>88.5</v>
      </c>
      <c r="I4" s="1">
        <f ca="1">IFERROR(__xludf.DUMMYFUNCTION("""COMPUTED_VALUE"""),8)</f>
        <v>8</v>
      </c>
      <c r="J4" s="1">
        <f ca="1">IFERROR(__xludf.DUMMYFUNCTION("""COMPUTED_VALUE"""),67.2)</f>
        <v>67.2</v>
      </c>
      <c r="K4" s="1">
        <f ca="1">IFERROR(__xludf.DUMMYFUNCTION("""COMPUTED_VALUE"""),105)</f>
        <v>105</v>
      </c>
      <c r="L4" s="1" t="str">
        <f ca="1">IFERROR(__xludf.DUMMYFUNCTION("""COMPUTED_VALUE"""),"+.038")</f>
        <v>+.038</v>
      </c>
      <c r="M4" s="1">
        <f ca="1">IFERROR(__xludf.DUMMYFUNCTION("""COMPUTED_VALUE"""),83)</f>
        <v>83</v>
      </c>
      <c r="N4" s="1" t="str">
        <f ca="1">IFERROR(__xludf.DUMMYFUNCTION("""COMPUTED_VALUE"""),"+9.53")</f>
        <v>+9.53</v>
      </c>
      <c r="O4" s="1">
        <f ca="1">IFERROR(__xludf.DUMMYFUNCTION("""COMPUTED_VALUE"""),16)</f>
        <v>16</v>
      </c>
      <c r="P4" s="1">
        <f ca="1">IFERROR(__xludf.DUMMYFUNCTION("""COMPUTED_VALUE"""),108.2)</f>
        <v>108.2</v>
      </c>
      <c r="Q4" s="1">
        <f ca="1">IFERROR(__xludf.DUMMYFUNCTION("""COMPUTED_VALUE"""),16)</f>
        <v>16</v>
      </c>
      <c r="R4" s="1">
        <f ca="1">IFERROR(__xludf.DUMMYFUNCTION("""COMPUTED_VALUE"""),98.7)</f>
        <v>98.7</v>
      </c>
      <c r="S4" s="1">
        <f ca="1">IFERROR(__xludf.DUMMYFUNCTION("""COMPUTED_VALUE"""),32)</f>
        <v>32</v>
      </c>
      <c r="T4" s="1" t="str">
        <f ca="1">IFERROR(__xludf.DUMMYFUNCTION("""COMPUTED_VALUE"""),"+1.13")</f>
        <v>+1.13</v>
      </c>
      <c r="U4" s="1">
        <f ca="1">IFERROR(__xludf.DUMMYFUNCTION("""COMPUTED_VALUE"""),125)</f>
        <v>125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IFERROR(__xludf.DUMMYFUNCTION("""COMPUTED_VALUE"""),"Syracuse1")</f>
        <v>Syracuse1</v>
      </c>
      <c r="C5" s="1" t="str">
        <f ca="1">IFERROR(__xludf.DUMMYFUNCTION("""COMPUTED_VALUE"""),"BE")</f>
        <v>BE</v>
      </c>
      <c r="D5" s="1" t="str">
        <f ca="1">IFERROR(__xludf.DUMMYFUNCTION("""COMPUTED_VALUE"""),"30-5")</f>
        <v>30-5</v>
      </c>
      <c r="E5" s="1" t="str">
        <f ca="1">IFERROR(__xludf.DUMMYFUNCTION("""COMPUTED_VALUE"""),"+27.62")</f>
        <v>+27.62</v>
      </c>
      <c r="F5" s="1">
        <f ca="1">IFERROR(__xludf.DUMMYFUNCTION("""COMPUTED_VALUE"""),118.5)</f>
        <v>118.5</v>
      </c>
      <c r="G5" s="1">
        <f ca="1">IFERROR(__xludf.DUMMYFUNCTION("""COMPUTED_VALUE"""),6)</f>
        <v>6</v>
      </c>
      <c r="H5" s="1">
        <f ca="1">IFERROR(__xludf.DUMMYFUNCTION("""COMPUTED_VALUE"""),90.9)</f>
        <v>90.9</v>
      </c>
      <c r="I5" s="1">
        <f ca="1">IFERROR(__xludf.DUMMYFUNCTION("""COMPUTED_VALUE"""),14)</f>
        <v>14</v>
      </c>
      <c r="J5" s="1">
        <f ca="1">IFERROR(__xludf.DUMMYFUNCTION("""COMPUTED_VALUE"""),68.7)</f>
        <v>68.7</v>
      </c>
      <c r="K5" s="1">
        <f ca="1">IFERROR(__xludf.DUMMYFUNCTION("""COMPUTED_VALUE"""),59)</f>
        <v>59</v>
      </c>
      <c r="L5" s="1">
        <f ca="1">IFERROR(__xludf.DUMMYFUNCTION("""COMPUTED_VALUE"""),-0.008)</f>
        <v>-8.0000000000000002E-3</v>
      </c>
      <c r="M5" s="1">
        <f ca="1">IFERROR(__xludf.DUMMYFUNCTION("""COMPUTED_VALUE"""),191)</f>
        <v>191</v>
      </c>
      <c r="N5" s="1" t="str">
        <f ca="1">IFERROR(__xludf.DUMMYFUNCTION("""COMPUTED_VALUE"""),"+8.62")</f>
        <v>+8.62</v>
      </c>
      <c r="O5" s="1">
        <f ca="1">IFERROR(__xludf.DUMMYFUNCTION("""COMPUTED_VALUE"""),36)</f>
        <v>36</v>
      </c>
      <c r="P5" s="1">
        <f ca="1">IFERROR(__xludf.DUMMYFUNCTION("""COMPUTED_VALUE"""),108.5)</f>
        <v>108.5</v>
      </c>
      <c r="Q5" s="1">
        <f ca="1">IFERROR(__xludf.DUMMYFUNCTION("""COMPUTED_VALUE"""),10)</f>
        <v>10</v>
      </c>
      <c r="R5" s="1">
        <f ca="1">IFERROR(__xludf.DUMMYFUNCTION("""COMPUTED_VALUE"""),99.8)</f>
        <v>99.8</v>
      </c>
      <c r="S5" s="1">
        <f ca="1">IFERROR(__xludf.DUMMYFUNCTION("""COMPUTED_VALUE"""),67)</f>
        <v>67</v>
      </c>
      <c r="T5" s="1">
        <f ca="1">IFERROR(__xludf.DUMMYFUNCTION("""COMPUTED_VALUE"""),-2.96)</f>
        <v>-2.96</v>
      </c>
      <c r="U5" s="1">
        <f ca="1">IFERROR(__xludf.DUMMYFUNCTION("""COMPUTED_VALUE"""),246)</f>
        <v>246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IFERROR(__xludf.DUMMYFUNCTION("""COMPUTED_VALUE"""),"Kentucky1")</f>
        <v>Kentucky1</v>
      </c>
      <c r="C6" s="1" t="str">
        <f ca="1">IFERROR(__xludf.DUMMYFUNCTION("""COMPUTED_VALUE"""),"SEC")</f>
        <v>SEC</v>
      </c>
      <c r="D6" s="1" t="str">
        <f ca="1">IFERROR(__xludf.DUMMYFUNCTION("""COMPUTED_VALUE"""),"35-3")</f>
        <v>35-3</v>
      </c>
      <c r="E6" s="1" t="str">
        <f ca="1">IFERROR(__xludf.DUMMYFUNCTION("""COMPUTED_VALUE"""),"+26.54")</f>
        <v>+26.54</v>
      </c>
      <c r="F6" s="1">
        <f ca="1">IFERROR(__xludf.DUMMYFUNCTION("""COMPUTED_VALUE"""),114.9)</f>
        <v>114.9</v>
      </c>
      <c r="G6" s="1">
        <f ca="1">IFERROR(__xludf.DUMMYFUNCTION("""COMPUTED_VALUE"""),22)</f>
        <v>22</v>
      </c>
      <c r="H6" s="1">
        <f ca="1">IFERROR(__xludf.DUMMYFUNCTION("""COMPUTED_VALUE"""),88.3)</f>
        <v>88.3</v>
      </c>
      <c r="I6" s="1">
        <f ca="1">IFERROR(__xludf.DUMMYFUNCTION("""COMPUTED_VALUE"""),6)</f>
        <v>6</v>
      </c>
      <c r="J6" s="1">
        <f ca="1">IFERROR(__xludf.DUMMYFUNCTION("""COMPUTED_VALUE"""),68.3)</f>
        <v>68.3</v>
      </c>
      <c r="K6" s="1">
        <f ca="1">IFERROR(__xludf.DUMMYFUNCTION("""COMPUTED_VALUE"""),66)</f>
        <v>66</v>
      </c>
      <c r="L6" s="1" t="str">
        <f ca="1">IFERROR(__xludf.DUMMYFUNCTION("""COMPUTED_VALUE"""),"+.060")</f>
        <v>+.060</v>
      </c>
      <c r="M6" s="1">
        <f ca="1">IFERROR(__xludf.DUMMYFUNCTION("""COMPUTED_VALUE"""),43)</f>
        <v>43</v>
      </c>
      <c r="N6" s="1" t="str">
        <f ca="1">IFERROR(__xludf.DUMMYFUNCTION("""COMPUTED_VALUE"""),"+7.06")</f>
        <v>+7.06</v>
      </c>
      <c r="O6" s="1">
        <f ca="1">IFERROR(__xludf.DUMMYFUNCTION("""COMPUTED_VALUE"""),55)</f>
        <v>55</v>
      </c>
      <c r="P6" s="1">
        <f ca="1">IFERROR(__xludf.DUMMYFUNCTION("""COMPUTED_VALUE"""),106.5)</f>
        <v>106.5</v>
      </c>
      <c r="Q6" s="1">
        <f ca="1">IFERROR(__xludf.DUMMYFUNCTION("""COMPUTED_VALUE"""),50)</f>
        <v>50</v>
      </c>
      <c r="R6" s="1">
        <f ca="1">IFERROR(__xludf.DUMMYFUNCTION("""COMPUTED_VALUE"""),99.5)</f>
        <v>99.5</v>
      </c>
      <c r="S6" s="1">
        <f ca="1">IFERROR(__xludf.DUMMYFUNCTION("""COMPUTED_VALUE"""),57)</f>
        <v>57</v>
      </c>
      <c r="T6" s="1">
        <f ca="1">IFERROR(__xludf.DUMMYFUNCTION("""COMPUTED_VALUE"""),-1.28)</f>
        <v>-1.28</v>
      </c>
      <c r="U6" s="1">
        <f ca="1">IFERROR(__xludf.DUMMYFUNCTION("""COMPUTED_VALUE"""),194)</f>
        <v>194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IFERROR(__xludf.DUMMYFUNCTION("""COMPUTED_VALUE"""),"West Virginia2")</f>
        <v>West Virginia2</v>
      </c>
      <c r="C7" s="1" t="str">
        <f ca="1">IFERROR(__xludf.DUMMYFUNCTION("""COMPUTED_VALUE"""),"BE")</f>
        <v>BE</v>
      </c>
      <c r="D7" s="1" t="str">
        <f ca="1">IFERROR(__xludf.DUMMYFUNCTION("""COMPUTED_VALUE"""),"31-7")</f>
        <v>31-7</v>
      </c>
      <c r="E7" s="1" t="str">
        <f ca="1">IFERROR(__xludf.DUMMYFUNCTION("""COMPUTED_VALUE"""),"+25.54")</f>
        <v>+25.54</v>
      </c>
      <c r="F7" s="1">
        <f ca="1">IFERROR(__xludf.DUMMYFUNCTION("""COMPUTED_VALUE"""),117.2)</f>
        <v>117.2</v>
      </c>
      <c r="G7" s="1">
        <f ca="1">IFERROR(__xludf.DUMMYFUNCTION("""COMPUTED_VALUE"""),12)</f>
        <v>12</v>
      </c>
      <c r="H7" s="1">
        <f ca="1">IFERROR(__xludf.DUMMYFUNCTION("""COMPUTED_VALUE"""),91.7)</f>
        <v>91.7</v>
      </c>
      <c r="I7" s="1">
        <f ca="1">IFERROR(__xludf.DUMMYFUNCTION("""COMPUTED_VALUE"""),21)</f>
        <v>21</v>
      </c>
      <c r="J7" s="1">
        <f ca="1">IFERROR(__xludf.DUMMYFUNCTION("""COMPUTED_VALUE"""),62.6)</f>
        <v>62.6</v>
      </c>
      <c r="K7" s="1">
        <f ca="1">IFERROR(__xludf.DUMMYFUNCTION("""COMPUTED_VALUE"""),296)</f>
        <v>296</v>
      </c>
      <c r="L7" s="1" t="str">
        <f ca="1">IFERROR(__xludf.DUMMYFUNCTION("""COMPUTED_VALUE"""),"+.057")</f>
        <v>+.057</v>
      </c>
      <c r="M7" s="1">
        <f ca="1">IFERROR(__xludf.DUMMYFUNCTION("""COMPUTED_VALUE"""),45)</f>
        <v>45</v>
      </c>
      <c r="N7" s="1" t="str">
        <f ca="1">IFERROR(__xludf.DUMMYFUNCTION("""COMPUTED_VALUE"""),"+12.58")</f>
        <v>+12.58</v>
      </c>
      <c r="O7" s="1">
        <f ca="1">IFERROR(__xludf.DUMMYFUNCTION("""COMPUTED_VALUE"""),1)</f>
        <v>1</v>
      </c>
      <c r="P7" s="1">
        <f ca="1">IFERROR(__xludf.DUMMYFUNCTION("""COMPUTED_VALUE"""),110)</f>
        <v>110</v>
      </c>
      <c r="Q7" s="1">
        <f ca="1">IFERROR(__xludf.DUMMYFUNCTION("""COMPUTED_VALUE"""),1)</f>
        <v>1</v>
      </c>
      <c r="R7" s="1">
        <f ca="1">IFERROR(__xludf.DUMMYFUNCTION("""COMPUTED_VALUE"""),97.5)</f>
        <v>97.5</v>
      </c>
      <c r="S7" s="1">
        <f ca="1">IFERROR(__xludf.DUMMYFUNCTION("""COMPUTED_VALUE"""),7)</f>
        <v>7</v>
      </c>
      <c r="T7" s="1" t="str">
        <f ca="1">IFERROR(__xludf.DUMMYFUNCTION("""COMPUTED_VALUE"""),"+5.45")</f>
        <v>+5.45</v>
      </c>
      <c r="U7" s="1">
        <f ca="1">IFERROR(__xludf.DUMMYFUNCTION("""COMPUTED_VALUE"""),50)</f>
        <v>50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IFERROR(__xludf.DUMMYFUNCTION("""COMPUTED_VALUE"""),"Kansas St.2")</f>
        <v>Kansas St.2</v>
      </c>
      <c r="C8" s="1" t="str">
        <f ca="1">IFERROR(__xludf.DUMMYFUNCTION("""COMPUTED_VALUE"""),"B12")</f>
        <v>B12</v>
      </c>
      <c r="D8" s="1" t="str">
        <f ca="1">IFERROR(__xludf.DUMMYFUNCTION("""COMPUTED_VALUE"""),"29-8")</f>
        <v>29-8</v>
      </c>
      <c r="E8" s="1" t="str">
        <f ca="1">IFERROR(__xludf.DUMMYFUNCTION("""COMPUTED_VALUE"""),"+25.52")</f>
        <v>+25.52</v>
      </c>
      <c r="F8" s="1">
        <f ca="1">IFERROR(__xludf.DUMMYFUNCTION("""COMPUTED_VALUE"""),116.1)</f>
        <v>116.1</v>
      </c>
      <c r="G8" s="1">
        <f ca="1">IFERROR(__xludf.DUMMYFUNCTION("""COMPUTED_VALUE"""),15)</f>
        <v>15</v>
      </c>
      <c r="H8" s="1">
        <f ca="1">IFERROR(__xludf.DUMMYFUNCTION("""COMPUTED_VALUE"""),90.6)</f>
        <v>90.6</v>
      </c>
      <c r="I8" s="1">
        <f ca="1">IFERROR(__xludf.DUMMYFUNCTION("""COMPUTED_VALUE"""),12)</f>
        <v>12</v>
      </c>
      <c r="J8" s="1">
        <f ca="1">IFERROR(__xludf.DUMMYFUNCTION("""COMPUTED_VALUE"""),69.4)</f>
        <v>69.400000000000006</v>
      </c>
      <c r="K8" s="1">
        <f ca="1">IFERROR(__xludf.DUMMYFUNCTION("""COMPUTED_VALUE"""),36)</f>
        <v>36</v>
      </c>
      <c r="L8" s="1">
        <f ca="1">IFERROR(__xludf.DUMMYFUNCTION("""COMPUTED_VALUE"""),-0.008)</f>
        <v>-8.0000000000000002E-3</v>
      </c>
      <c r="M8" s="1">
        <f ca="1">IFERROR(__xludf.DUMMYFUNCTION("""COMPUTED_VALUE"""),192)</f>
        <v>192</v>
      </c>
      <c r="N8" s="1" t="str">
        <f ca="1">IFERROR(__xludf.DUMMYFUNCTION("""COMPUTED_VALUE"""),"+11.99")</f>
        <v>+11.99</v>
      </c>
      <c r="O8" s="1">
        <f ca="1">IFERROR(__xludf.DUMMYFUNCTION("""COMPUTED_VALUE"""),2)</f>
        <v>2</v>
      </c>
      <c r="P8" s="1">
        <f ca="1">IFERROR(__xludf.DUMMYFUNCTION("""COMPUTED_VALUE"""),109.5)</f>
        <v>109.5</v>
      </c>
      <c r="Q8" s="1">
        <f ca="1">IFERROR(__xludf.DUMMYFUNCTION("""COMPUTED_VALUE"""),2)</f>
        <v>2</v>
      </c>
      <c r="R8" s="1">
        <f ca="1">IFERROR(__xludf.DUMMYFUNCTION("""COMPUTED_VALUE"""),97.5)</f>
        <v>97.5</v>
      </c>
      <c r="S8" s="1">
        <f ca="1">IFERROR(__xludf.DUMMYFUNCTION("""COMPUTED_VALUE"""),10)</f>
        <v>10</v>
      </c>
      <c r="T8" s="1" t="str">
        <f ca="1">IFERROR(__xludf.DUMMYFUNCTION("""COMPUTED_VALUE"""),"+2.37")</f>
        <v>+2.37</v>
      </c>
      <c r="U8" s="1">
        <f ca="1">IFERROR(__xludf.DUMMYFUNCTION("""COMPUTED_VALUE"""),96)</f>
        <v>96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IFERROR(__xludf.DUMMYFUNCTION("""COMPUTED_VALUE"""),"Ohio St.2")</f>
        <v>Ohio St.2</v>
      </c>
      <c r="C9" s="1" t="str">
        <f ca="1">IFERROR(__xludf.DUMMYFUNCTION("""COMPUTED_VALUE"""),"B10")</f>
        <v>B10</v>
      </c>
      <c r="D9" s="1" t="str">
        <f ca="1">IFERROR(__xludf.DUMMYFUNCTION("""COMPUTED_VALUE"""),"29-8")</f>
        <v>29-8</v>
      </c>
      <c r="E9" s="1" t="str">
        <f ca="1">IFERROR(__xludf.DUMMYFUNCTION("""COMPUTED_VALUE"""),"+24.99")</f>
        <v>+24.99</v>
      </c>
      <c r="F9" s="1">
        <f ca="1">IFERROR(__xludf.DUMMYFUNCTION("""COMPUTED_VALUE"""),117.5)</f>
        <v>117.5</v>
      </c>
      <c r="G9" s="1">
        <f ca="1">IFERROR(__xludf.DUMMYFUNCTION("""COMPUTED_VALUE"""),8)</f>
        <v>8</v>
      </c>
      <c r="H9" s="1">
        <f ca="1">IFERROR(__xludf.DUMMYFUNCTION("""COMPUTED_VALUE"""),92.5)</f>
        <v>92.5</v>
      </c>
      <c r="I9" s="1">
        <f ca="1">IFERROR(__xludf.DUMMYFUNCTION("""COMPUTED_VALUE"""),26)</f>
        <v>26</v>
      </c>
      <c r="J9" s="1">
        <f ca="1">IFERROR(__xludf.DUMMYFUNCTION("""COMPUTED_VALUE"""),64.6)</f>
        <v>64.599999999999994</v>
      </c>
      <c r="K9" s="1">
        <f ca="1">IFERROR(__xludf.DUMMYFUNCTION("""COMPUTED_VALUE"""),232)</f>
        <v>232</v>
      </c>
      <c r="L9" s="1" t="str">
        <f ca="1">IFERROR(__xludf.DUMMYFUNCTION("""COMPUTED_VALUE"""),"+.007")</f>
        <v>+.007</v>
      </c>
      <c r="M9" s="1">
        <f ca="1">IFERROR(__xludf.DUMMYFUNCTION("""COMPUTED_VALUE"""),152)</f>
        <v>152</v>
      </c>
      <c r="N9" s="1" t="str">
        <f ca="1">IFERROR(__xludf.DUMMYFUNCTION("""COMPUTED_VALUE"""),"+7.88")</f>
        <v>+7.88</v>
      </c>
      <c r="O9" s="1">
        <f ca="1">IFERROR(__xludf.DUMMYFUNCTION("""COMPUTED_VALUE"""),49)</f>
        <v>49</v>
      </c>
      <c r="P9" s="1">
        <f ca="1">IFERROR(__xludf.DUMMYFUNCTION("""COMPUTED_VALUE"""),106.3)</f>
        <v>106.3</v>
      </c>
      <c r="Q9" s="1">
        <f ca="1">IFERROR(__xludf.DUMMYFUNCTION("""COMPUTED_VALUE"""),60)</f>
        <v>60</v>
      </c>
      <c r="R9" s="1">
        <f ca="1">IFERROR(__xludf.DUMMYFUNCTION("""COMPUTED_VALUE"""),98.4)</f>
        <v>98.4</v>
      </c>
      <c r="S9" s="1">
        <f ca="1">IFERROR(__xludf.DUMMYFUNCTION("""COMPUTED_VALUE"""),26)</f>
        <v>26</v>
      </c>
      <c r="T9" s="1">
        <f ca="1">IFERROR(__xludf.DUMMYFUNCTION("""COMPUTED_VALUE"""),-2.92)</f>
        <v>-2.92</v>
      </c>
      <c r="U9" s="1">
        <f ca="1">IFERROR(__xludf.DUMMYFUNCTION("""COMPUTED_VALUE"""),243)</f>
        <v>243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IFERROR(__xludf.DUMMYFUNCTION("""COMPUTED_VALUE"""),"Baylor3")</f>
        <v>Baylor3</v>
      </c>
      <c r="C10" s="1" t="str">
        <f ca="1">IFERROR(__xludf.DUMMYFUNCTION("""COMPUTED_VALUE"""),"B12")</f>
        <v>B12</v>
      </c>
      <c r="D10" s="1" t="str">
        <f ca="1">IFERROR(__xludf.DUMMYFUNCTION("""COMPUTED_VALUE"""),"28-8")</f>
        <v>28-8</v>
      </c>
      <c r="E10" s="1" t="str">
        <f ca="1">IFERROR(__xludf.DUMMYFUNCTION("""COMPUTED_VALUE"""),"+24.95")</f>
        <v>+24.95</v>
      </c>
      <c r="F10" s="1">
        <f ca="1">IFERROR(__xludf.DUMMYFUNCTION("""COMPUTED_VALUE"""),119.2)</f>
        <v>119.2</v>
      </c>
      <c r="G10" s="1">
        <f ca="1">IFERROR(__xludf.DUMMYFUNCTION("""COMPUTED_VALUE"""),5)</f>
        <v>5</v>
      </c>
      <c r="H10" s="1">
        <f ca="1">IFERROR(__xludf.DUMMYFUNCTION("""COMPUTED_VALUE"""),94.3)</f>
        <v>94.3</v>
      </c>
      <c r="I10" s="1">
        <f ca="1">IFERROR(__xludf.DUMMYFUNCTION("""COMPUTED_VALUE"""),43)</f>
        <v>43</v>
      </c>
      <c r="J10" s="1">
        <f ca="1">IFERROR(__xludf.DUMMYFUNCTION("""COMPUTED_VALUE"""),64.5)</f>
        <v>64.5</v>
      </c>
      <c r="K10" s="1">
        <f ca="1">IFERROR(__xludf.DUMMYFUNCTION("""COMPUTED_VALUE"""),235)</f>
        <v>235</v>
      </c>
      <c r="L10" s="1">
        <f ca="1">IFERROR(__xludf.DUMMYFUNCTION("""COMPUTED_VALUE"""),-0.021)</f>
        <v>-2.1000000000000001E-2</v>
      </c>
      <c r="M10" s="1">
        <f ca="1">IFERROR(__xludf.DUMMYFUNCTION("""COMPUTED_VALUE"""),234)</f>
        <v>234</v>
      </c>
      <c r="N10" s="1" t="str">
        <f ca="1">IFERROR(__xludf.DUMMYFUNCTION("""COMPUTED_VALUE"""),"+10.59")</f>
        <v>+10.59</v>
      </c>
      <c r="O10" s="1">
        <f ca="1">IFERROR(__xludf.DUMMYFUNCTION("""COMPUTED_VALUE"""),8)</f>
        <v>8</v>
      </c>
      <c r="P10" s="1">
        <f ca="1">IFERROR(__xludf.DUMMYFUNCTION("""COMPUTED_VALUE"""),108.3)</f>
        <v>108.3</v>
      </c>
      <c r="Q10" s="1">
        <f ca="1">IFERROR(__xludf.DUMMYFUNCTION("""COMPUTED_VALUE"""),13)</f>
        <v>13</v>
      </c>
      <c r="R10" s="1">
        <f ca="1">IFERROR(__xludf.DUMMYFUNCTION("""COMPUTED_VALUE"""),97.7)</f>
        <v>97.7</v>
      </c>
      <c r="S10" s="1">
        <f ca="1">IFERROR(__xludf.DUMMYFUNCTION("""COMPUTED_VALUE"""),14)</f>
        <v>14</v>
      </c>
      <c r="T10" s="1">
        <f ca="1">IFERROR(__xludf.DUMMYFUNCTION("""COMPUTED_VALUE"""),-2.79)</f>
        <v>-2.79</v>
      </c>
      <c r="U10" s="1">
        <f ca="1">IFERROR(__xludf.DUMMYFUNCTION("""COMPUTED_VALUE"""),237)</f>
        <v>237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IFERROR(__xludf.DUMMYFUNCTION("""COMPUTED_VALUE"""),"Wisconsin4")</f>
        <v>Wisconsin4</v>
      </c>
      <c r="C11" s="1" t="str">
        <f ca="1">IFERROR(__xludf.DUMMYFUNCTION("""COMPUTED_VALUE"""),"B10")</f>
        <v>B10</v>
      </c>
      <c r="D11" s="1" t="str">
        <f ca="1">IFERROR(__xludf.DUMMYFUNCTION("""COMPUTED_VALUE"""),"24-9")</f>
        <v>24-9</v>
      </c>
      <c r="E11" s="1" t="str">
        <f ca="1">IFERROR(__xludf.DUMMYFUNCTION("""COMPUTED_VALUE"""),"+23.56")</f>
        <v>+23.56</v>
      </c>
      <c r="F11" s="1">
        <f ca="1">IFERROR(__xludf.DUMMYFUNCTION("""COMPUTED_VALUE"""),115.2)</f>
        <v>115.2</v>
      </c>
      <c r="G11" s="1">
        <f ca="1">IFERROR(__xludf.DUMMYFUNCTION("""COMPUTED_VALUE"""),20)</f>
        <v>20</v>
      </c>
      <c r="H11" s="1">
        <f ca="1">IFERROR(__xludf.DUMMYFUNCTION("""COMPUTED_VALUE"""),91.6)</f>
        <v>91.6</v>
      </c>
      <c r="I11" s="1">
        <f ca="1">IFERROR(__xludf.DUMMYFUNCTION("""COMPUTED_VALUE"""),19)</f>
        <v>19</v>
      </c>
      <c r="J11" s="1">
        <f ca="1">IFERROR(__xludf.DUMMYFUNCTION("""COMPUTED_VALUE"""),59.2)</f>
        <v>59.2</v>
      </c>
      <c r="K11" s="1">
        <f ca="1">IFERROR(__xludf.DUMMYFUNCTION("""COMPUTED_VALUE"""),339)</f>
        <v>339</v>
      </c>
      <c r="L11" s="1">
        <f ca="1">IFERROR(__xludf.DUMMYFUNCTION("""COMPUTED_VALUE"""),-0.013)</f>
        <v>-1.2999999999999999E-2</v>
      </c>
      <c r="M11" s="1">
        <f ca="1">IFERROR(__xludf.DUMMYFUNCTION("""COMPUTED_VALUE"""),202)</f>
        <v>202</v>
      </c>
      <c r="N11" s="1" t="str">
        <f ca="1">IFERROR(__xludf.DUMMYFUNCTION("""COMPUTED_VALUE"""),"+8.69")</f>
        <v>+8.69</v>
      </c>
      <c r="O11" s="1">
        <f ca="1">IFERROR(__xludf.DUMMYFUNCTION("""COMPUTED_VALUE"""),33)</f>
        <v>33</v>
      </c>
      <c r="P11" s="1">
        <f ca="1">IFERROR(__xludf.DUMMYFUNCTION("""COMPUTED_VALUE"""),107.9)</f>
        <v>107.9</v>
      </c>
      <c r="Q11" s="1">
        <f ca="1">IFERROR(__xludf.DUMMYFUNCTION("""COMPUTED_VALUE"""),18)</f>
        <v>18</v>
      </c>
      <c r="R11" s="1">
        <f ca="1">IFERROR(__xludf.DUMMYFUNCTION("""COMPUTED_VALUE"""),99.2)</f>
        <v>99.2</v>
      </c>
      <c r="S11" s="1">
        <f ca="1">IFERROR(__xludf.DUMMYFUNCTION("""COMPUTED_VALUE"""),49)</f>
        <v>49</v>
      </c>
      <c r="T11" s="1" t="str">
        <f ca="1">IFERROR(__xludf.DUMMYFUNCTION("""COMPUTED_VALUE"""),"+1.01")</f>
        <v>+1.01</v>
      </c>
      <c r="U11" s="1">
        <f ca="1">IFERROR(__xludf.DUMMYFUNCTION("""COMPUTED_VALUE"""),128)</f>
        <v>128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IFERROR(__xludf.DUMMYFUNCTION("""COMPUTED_VALUE"""),"BYU7")</f>
        <v>BYU7</v>
      </c>
      <c r="C12" s="1" t="str">
        <f ca="1">IFERROR(__xludf.DUMMYFUNCTION("""COMPUTED_VALUE"""),"MWC")</f>
        <v>MWC</v>
      </c>
      <c r="D12" s="1" t="str">
        <f ca="1">IFERROR(__xludf.DUMMYFUNCTION("""COMPUTED_VALUE"""),"30-6")</f>
        <v>30-6</v>
      </c>
      <c r="E12" s="1" t="str">
        <f ca="1">IFERROR(__xludf.DUMMYFUNCTION("""COMPUTED_VALUE"""),"+23.27")</f>
        <v>+23.27</v>
      </c>
      <c r="F12" s="1">
        <f ca="1">IFERROR(__xludf.DUMMYFUNCTION("""COMPUTED_VALUE"""),117.3)</f>
        <v>117.3</v>
      </c>
      <c r="G12" s="1">
        <f ca="1">IFERROR(__xludf.DUMMYFUNCTION("""COMPUTED_VALUE"""),10)</f>
        <v>10</v>
      </c>
      <c r="H12" s="1">
        <f ca="1">IFERROR(__xludf.DUMMYFUNCTION("""COMPUTED_VALUE"""),94)</f>
        <v>94</v>
      </c>
      <c r="I12" s="1">
        <f ca="1">IFERROR(__xludf.DUMMYFUNCTION("""COMPUTED_VALUE"""),37)</f>
        <v>37</v>
      </c>
      <c r="J12" s="1">
        <f ca="1">IFERROR(__xludf.DUMMYFUNCTION("""COMPUTED_VALUE"""),71.1)</f>
        <v>71.099999999999994</v>
      </c>
      <c r="K12" s="1">
        <f ca="1">IFERROR(__xludf.DUMMYFUNCTION("""COMPUTED_VALUE"""),15)</f>
        <v>15</v>
      </c>
      <c r="L12" s="1" t="str">
        <f ca="1">IFERROR(__xludf.DUMMYFUNCTION("""COMPUTED_VALUE"""),"+.012")</f>
        <v>+.012</v>
      </c>
      <c r="M12" s="1">
        <f ca="1">IFERROR(__xludf.DUMMYFUNCTION("""COMPUTED_VALUE"""),130)</f>
        <v>130</v>
      </c>
      <c r="N12" s="1" t="str">
        <f ca="1">IFERROR(__xludf.DUMMYFUNCTION("""COMPUTED_VALUE"""),"+3.88")</f>
        <v>+3.88</v>
      </c>
      <c r="O12" s="1">
        <f ca="1">IFERROR(__xludf.DUMMYFUNCTION("""COMPUTED_VALUE"""),98)</f>
        <v>98</v>
      </c>
      <c r="P12" s="1">
        <f ca="1">IFERROR(__xludf.DUMMYFUNCTION("""COMPUTED_VALUE"""),104.9)</f>
        <v>104.9</v>
      </c>
      <c r="Q12" s="1">
        <f ca="1">IFERROR(__xludf.DUMMYFUNCTION("""COMPUTED_VALUE"""),96)</f>
        <v>96</v>
      </c>
      <c r="R12" s="1">
        <f ca="1">IFERROR(__xludf.DUMMYFUNCTION("""COMPUTED_VALUE"""),101)</f>
        <v>101</v>
      </c>
      <c r="S12" s="1">
        <f ca="1">IFERROR(__xludf.DUMMYFUNCTION("""COMPUTED_VALUE"""),99)</f>
        <v>99</v>
      </c>
      <c r="T12" s="1">
        <f ca="1">IFERROR(__xludf.DUMMYFUNCTION("""COMPUTED_VALUE"""),-0.03)</f>
        <v>-0.03</v>
      </c>
      <c r="U12" s="1">
        <f ca="1">IFERROR(__xludf.DUMMYFUNCTION("""COMPUTED_VALUE"""),148)</f>
        <v>148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IFERROR(__xludf.DUMMYFUNCTION("""COMPUTED_VALUE"""),"Georgetown3")</f>
        <v>Georgetown3</v>
      </c>
      <c r="C13" s="1" t="str">
        <f ca="1">IFERROR(__xludf.DUMMYFUNCTION("""COMPUTED_VALUE"""),"BE")</f>
        <v>BE</v>
      </c>
      <c r="D13" s="1" t="str">
        <f ca="1">IFERROR(__xludf.DUMMYFUNCTION("""COMPUTED_VALUE"""),"23-11")</f>
        <v>23-11</v>
      </c>
      <c r="E13" s="1" t="str">
        <f ca="1">IFERROR(__xludf.DUMMYFUNCTION("""COMPUTED_VALUE"""),"+22.64")</f>
        <v>+22.64</v>
      </c>
      <c r="F13" s="1">
        <f ca="1">IFERROR(__xludf.DUMMYFUNCTION("""COMPUTED_VALUE"""),116.8)</f>
        <v>116.8</v>
      </c>
      <c r="G13" s="1">
        <f ca="1">IFERROR(__xludf.DUMMYFUNCTION("""COMPUTED_VALUE"""),13)</f>
        <v>13</v>
      </c>
      <c r="H13" s="1">
        <f ca="1">IFERROR(__xludf.DUMMYFUNCTION("""COMPUTED_VALUE"""),94.2)</f>
        <v>94.2</v>
      </c>
      <c r="I13" s="1">
        <f ca="1">IFERROR(__xludf.DUMMYFUNCTION("""COMPUTED_VALUE"""),42)</f>
        <v>42</v>
      </c>
      <c r="J13" s="1">
        <f ca="1">IFERROR(__xludf.DUMMYFUNCTION("""COMPUTED_VALUE"""),65.8)</f>
        <v>65.8</v>
      </c>
      <c r="K13" s="1">
        <f ca="1">IFERROR(__xludf.DUMMYFUNCTION("""COMPUTED_VALUE"""),182)</f>
        <v>182</v>
      </c>
      <c r="L13" s="1">
        <f ca="1">IFERROR(__xludf.DUMMYFUNCTION("""COMPUTED_VALUE"""),-0.035)</f>
        <v>-3.5000000000000003E-2</v>
      </c>
      <c r="M13" s="1">
        <f ca="1">IFERROR(__xludf.DUMMYFUNCTION("""COMPUTED_VALUE"""),266)</f>
        <v>266</v>
      </c>
      <c r="N13" s="1" t="str">
        <f ca="1">IFERROR(__xludf.DUMMYFUNCTION("""COMPUTED_VALUE"""),"+11.55")</f>
        <v>+11.55</v>
      </c>
      <c r="O13" s="1">
        <f ca="1">IFERROR(__xludf.DUMMYFUNCTION("""COMPUTED_VALUE"""),3)</f>
        <v>3</v>
      </c>
      <c r="P13" s="1">
        <f ca="1">IFERROR(__xludf.DUMMYFUNCTION("""COMPUTED_VALUE"""),109)</f>
        <v>109</v>
      </c>
      <c r="Q13" s="1">
        <f ca="1">IFERROR(__xludf.DUMMYFUNCTION("""COMPUTED_VALUE"""),4)</f>
        <v>4</v>
      </c>
      <c r="R13" s="1">
        <f ca="1">IFERROR(__xludf.DUMMYFUNCTION("""COMPUTED_VALUE"""),97.4)</f>
        <v>97.4</v>
      </c>
      <c r="S13" s="1">
        <f ca="1">IFERROR(__xludf.DUMMYFUNCTION("""COMPUTED_VALUE"""),6)</f>
        <v>6</v>
      </c>
      <c r="T13" s="1" t="str">
        <f ca="1">IFERROR(__xludf.DUMMYFUNCTION("""COMPUTED_VALUE"""),"+3.35")</f>
        <v>+3.35</v>
      </c>
      <c r="U13" s="1">
        <f ca="1">IFERROR(__xludf.DUMMYFUNCTION("""COMPUTED_VALUE"""),79)</f>
        <v>79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IFERROR(__xludf.DUMMYFUNCTION("""COMPUTED_VALUE"""),"Butler5")</f>
        <v>Butler5</v>
      </c>
      <c r="C14" s="1" t="str">
        <f ca="1">IFERROR(__xludf.DUMMYFUNCTION("""COMPUTED_VALUE"""),"Horz")</f>
        <v>Horz</v>
      </c>
      <c r="D14" s="1" t="str">
        <f ca="1">IFERROR(__xludf.DUMMYFUNCTION("""COMPUTED_VALUE"""),"33-5")</f>
        <v>33-5</v>
      </c>
      <c r="E14" s="1" t="str">
        <f ca="1">IFERROR(__xludf.DUMMYFUNCTION("""COMPUTED_VALUE"""),"+22.45")</f>
        <v>+22.45</v>
      </c>
      <c r="F14" s="1">
        <f ca="1">IFERROR(__xludf.DUMMYFUNCTION("""COMPUTED_VALUE"""),111)</f>
        <v>111</v>
      </c>
      <c r="G14" s="1">
        <f ca="1">IFERROR(__xludf.DUMMYFUNCTION("""COMPUTED_VALUE"""),49)</f>
        <v>49</v>
      </c>
      <c r="H14" s="1">
        <f ca="1">IFERROR(__xludf.DUMMYFUNCTION("""COMPUTED_VALUE"""),88.5)</f>
        <v>88.5</v>
      </c>
      <c r="I14" s="1">
        <f ca="1">IFERROR(__xludf.DUMMYFUNCTION("""COMPUTED_VALUE"""),7)</f>
        <v>7</v>
      </c>
      <c r="J14" s="1">
        <f ca="1">IFERROR(__xludf.DUMMYFUNCTION("""COMPUTED_VALUE"""),63)</f>
        <v>63</v>
      </c>
      <c r="K14" s="1">
        <f ca="1">IFERROR(__xludf.DUMMYFUNCTION("""COMPUTED_VALUE"""),286)</f>
        <v>286</v>
      </c>
      <c r="L14" s="1" t="str">
        <f ca="1">IFERROR(__xludf.DUMMYFUNCTION("""COMPUTED_VALUE"""),"+.032")</f>
        <v>+.032</v>
      </c>
      <c r="M14" s="1">
        <f ca="1">IFERROR(__xludf.DUMMYFUNCTION("""COMPUTED_VALUE"""),91)</f>
        <v>91</v>
      </c>
      <c r="N14" s="1" t="str">
        <f ca="1">IFERROR(__xludf.DUMMYFUNCTION("""COMPUTED_VALUE"""),"+6.85")</f>
        <v>+6.85</v>
      </c>
      <c r="O14" s="1">
        <f ca="1">IFERROR(__xludf.DUMMYFUNCTION("""COMPUTED_VALUE"""),60)</f>
        <v>60</v>
      </c>
      <c r="P14" s="1">
        <f ca="1">IFERROR(__xludf.DUMMYFUNCTION("""COMPUTED_VALUE"""),106.7)</f>
        <v>106.7</v>
      </c>
      <c r="Q14" s="1">
        <f ca="1">IFERROR(__xludf.DUMMYFUNCTION("""COMPUTED_VALUE"""),45)</f>
        <v>45</v>
      </c>
      <c r="R14" s="1">
        <f ca="1">IFERROR(__xludf.DUMMYFUNCTION("""COMPUTED_VALUE"""),99.9)</f>
        <v>99.9</v>
      </c>
      <c r="S14" s="1">
        <f ca="1">IFERROR(__xludf.DUMMYFUNCTION("""COMPUTED_VALUE"""),68)</f>
        <v>68</v>
      </c>
      <c r="T14" s="1" t="str">
        <f ca="1">IFERROR(__xludf.DUMMYFUNCTION("""COMPUTED_VALUE"""),"+11.11")</f>
        <v>+11.11</v>
      </c>
      <c r="U14" s="1">
        <f ca="1">IFERROR(__xludf.DUMMYFUNCTION("""COMPUTED_VALUE"""),4)</f>
        <v>4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IFERROR(__xludf.DUMMYFUNCTION("""COMPUTED_VALUE"""),"Maryland4")</f>
        <v>Maryland4</v>
      </c>
      <c r="C15" s="1" t="str">
        <f ca="1">IFERROR(__xludf.DUMMYFUNCTION("""COMPUTED_VALUE"""),"ACC")</f>
        <v>ACC</v>
      </c>
      <c r="D15" s="1" t="str">
        <f ca="1">IFERROR(__xludf.DUMMYFUNCTION("""COMPUTED_VALUE"""),"24-9")</f>
        <v>24-9</v>
      </c>
      <c r="E15" s="1" t="str">
        <f ca="1">IFERROR(__xludf.DUMMYFUNCTION("""COMPUTED_VALUE"""),"+22.37")</f>
        <v>+22.37</v>
      </c>
      <c r="F15" s="1">
        <f ca="1">IFERROR(__xludf.DUMMYFUNCTION("""COMPUTED_VALUE"""),118.3)</f>
        <v>118.3</v>
      </c>
      <c r="G15" s="1">
        <f ca="1">IFERROR(__xludf.DUMMYFUNCTION("""COMPUTED_VALUE"""),7)</f>
        <v>7</v>
      </c>
      <c r="H15" s="1">
        <f ca="1">IFERROR(__xludf.DUMMYFUNCTION("""COMPUTED_VALUE"""),95.9)</f>
        <v>95.9</v>
      </c>
      <c r="I15" s="1">
        <f ca="1">IFERROR(__xludf.DUMMYFUNCTION("""COMPUTED_VALUE"""),57)</f>
        <v>57</v>
      </c>
      <c r="J15" s="1">
        <f ca="1">IFERROR(__xludf.DUMMYFUNCTION("""COMPUTED_VALUE"""),68.7)</f>
        <v>68.7</v>
      </c>
      <c r="K15" s="1">
        <f ca="1">IFERROR(__xludf.DUMMYFUNCTION("""COMPUTED_VALUE"""),53)</f>
        <v>53</v>
      </c>
      <c r="L15" s="1">
        <f ca="1">IFERROR(__xludf.DUMMYFUNCTION("""COMPUTED_VALUE"""),-0.023)</f>
        <v>-2.3E-2</v>
      </c>
      <c r="M15" s="1">
        <f ca="1">IFERROR(__xludf.DUMMYFUNCTION("""COMPUTED_VALUE"""),241)</f>
        <v>241</v>
      </c>
      <c r="N15" s="1" t="str">
        <f ca="1">IFERROR(__xludf.DUMMYFUNCTION("""COMPUTED_VALUE"""),"+8.87")</f>
        <v>+8.87</v>
      </c>
      <c r="O15" s="1">
        <f ca="1">IFERROR(__xludf.DUMMYFUNCTION("""COMPUTED_VALUE"""),28)</f>
        <v>28</v>
      </c>
      <c r="P15" s="1">
        <f ca="1">IFERROR(__xludf.DUMMYFUNCTION("""COMPUTED_VALUE"""),106.7)</f>
        <v>106.7</v>
      </c>
      <c r="Q15" s="1">
        <f ca="1">IFERROR(__xludf.DUMMYFUNCTION("""COMPUTED_VALUE"""),46)</f>
        <v>46</v>
      </c>
      <c r="R15" s="1">
        <f ca="1">IFERROR(__xludf.DUMMYFUNCTION("""COMPUTED_VALUE"""),97.8)</f>
        <v>97.8</v>
      </c>
      <c r="S15" s="1">
        <f ca="1">IFERROR(__xludf.DUMMYFUNCTION("""COMPUTED_VALUE"""),15)</f>
        <v>15</v>
      </c>
      <c r="T15" s="1">
        <f ca="1">IFERROR(__xludf.DUMMYFUNCTION("""COMPUTED_VALUE"""),-4.35)</f>
        <v>-4.3499999999999996</v>
      </c>
      <c r="U15" s="1">
        <f ca="1">IFERROR(__xludf.DUMMYFUNCTION("""COMPUTED_VALUE"""),276)</f>
        <v>276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IFERROR(__xludf.DUMMYFUNCTION("""COMPUTED_VALUE"""),"California8")</f>
        <v>California8</v>
      </c>
      <c r="C16" s="1" t="str">
        <f ca="1">IFERROR(__xludf.DUMMYFUNCTION("""COMPUTED_VALUE"""),"P10")</f>
        <v>P10</v>
      </c>
      <c r="D16" s="1" t="str">
        <f ca="1">IFERROR(__xludf.DUMMYFUNCTION("""COMPUTED_VALUE"""),"24-11")</f>
        <v>24-11</v>
      </c>
      <c r="E16" s="1" t="str">
        <f ca="1">IFERROR(__xludf.DUMMYFUNCTION("""COMPUTED_VALUE"""),"+22.15")</f>
        <v>+22.15</v>
      </c>
      <c r="F16" s="1">
        <f ca="1">IFERROR(__xludf.DUMMYFUNCTION("""COMPUTED_VALUE"""),119.6)</f>
        <v>119.6</v>
      </c>
      <c r="G16" s="1">
        <f ca="1">IFERROR(__xludf.DUMMYFUNCTION("""COMPUTED_VALUE"""),3)</f>
        <v>3</v>
      </c>
      <c r="H16" s="1">
        <f ca="1">IFERROR(__xludf.DUMMYFUNCTION("""COMPUTED_VALUE"""),97.4)</f>
        <v>97.4</v>
      </c>
      <c r="I16" s="1">
        <f ca="1">IFERROR(__xludf.DUMMYFUNCTION("""COMPUTED_VALUE"""),76)</f>
        <v>76</v>
      </c>
      <c r="J16" s="1">
        <f ca="1">IFERROR(__xludf.DUMMYFUNCTION("""COMPUTED_VALUE"""),67.1)</f>
        <v>67.099999999999994</v>
      </c>
      <c r="K16" s="1">
        <f ca="1">IFERROR(__xludf.DUMMYFUNCTION("""COMPUTED_VALUE"""),107)</f>
        <v>107</v>
      </c>
      <c r="L16" s="1">
        <f ca="1">IFERROR(__xludf.DUMMYFUNCTION("""COMPUTED_VALUE"""),-0.043)</f>
        <v>-4.2999999999999997E-2</v>
      </c>
      <c r="M16" s="1">
        <f ca="1">IFERROR(__xludf.DUMMYFUNCTION("""COMPUTED_VALUE"""),282)</f>
        <v>282</v>
      </c>
      <c r="N16" s="1" t="str">
        <f ca="1">IFERROR(__xludf.DUMMYFUNCTION("""COMPUTED_VALUE"""),"+9.03")</f>
        <v>+9.03</v>
      </c>
      <c r="O16" s="1">
        <f ca="1">IFERROR(__xludf.DUMMYFUNCTION("""COMPUTED_VALUE"""),25)</f>
        <v>25</v>
      </c>
      <c r="P16" s="1">
        <f ca="1">IFERROR(__xludf.DUMMYFUNCTION("""COMPUTED_VALUE"""),106.5)</f>
        <v>106.5</v>
      </c>
      <c r="Q16" s="1">
        <f ca="1">IFERROR(__xludf.DUMMYFUNCTION("""COMPUTED_VALUE"""),53)</f>
        <v>53</v>
      </c>
      <c r="R16" s="1">
        <f ca="1">IFERROR(__xludf.DUMMYFUNCTION("""COMPUTED_VALUE"""),97.5)</f>
        <v>97.5</v>
      </c>
      <c r="S16" s="1">
        <f ca="1">IFERROR(__xludf.DUMMYFUNCTION("""COMPUTED_VALUE"""),8)</f>
        <v>8</v>
      </c>
      <c r="T16" s="1" t="str">
        <f ca="1">IFERROR(__xludf.DUMMYFUNCTION("""COMPUTED_VALUE"""),"+8.46")</f>
        <v>+8.46</v>
      </c>
      <c r="U16" s="1">
        <f ca="1">IFERROR(__xludf.DUMMYFUNCTION("""COMPUTED_VALUE"""),16)</f>
        <v>16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IFERROR(__xludf.DUMMYFUNCTION("""COMPUTED_VALUE"""),"Purdue4")</f>
        <v>Purdue4</v>
      </c>
      <c r="C17" s="1" t="str">
        <f ca="1">IFERROR(__xludf.DUMMYFUNCTION("""COMPUTED_VALUE"""),"B10")</f>
        <v>B10</v>
      </c>
      <c r="D17" s="1" t="str">
        <f ca="1">IFERROR(__xludf.DUMMYFUNCTION("""COMPUTED_VALUE"""),"29-6")</f>
        <v>29-6</v>
      </c>
      <c r="E17" s="1" t="str">
        <f ca="1">IFERROR(__xludf.DUMMYFUNCTION("""COMPUTED_VALUE"""),"+22.05")</f>
        <v>+22.05</v>
      </c>
      <c r="F17" s="1">
        <f ca="1">IFERROR(__xludf.DUMMYFUNCTION("""COMPUTED_VALUE"""),109.8)</f>
        <v>109.8</v>
      </c>
      <c r="G17" s="1">
        <f ca="1">IFERROR(__xludf.DUMMYFUNCTION("""COMPUTED_VALUE"""),65)</f>
        <v>65</v>
      </c>
      <c r="H17" s="1">
        <f ca="1">IFERROR(__xludf.DUMMYFUNCTION("""COMPUTED_VALUE"""),87.7)</f>
        <v>87.7</v>
      </c>
      <c r="I17" s="1">
        <f ca="1">IFERROR(__xludf.DUMMYFUNCTION("""COMPUTED_VALUE"""),4)</f>
        <v>4</v>
      </c>
      <c r="J17" s="1">
        <f ca="1">IFERROR(__xludf.DUMMYFUNCTION("""COMPUTED_VALUE"""),66.2)</f>
        <v>66.2</v>
      </c>
      <c r="K17" s="1">
        <f ca="1">IFERROR(__xludf.DUMMYFUNCTION("""COMPUTED_VALUE"""),161)</f>
        <v>161</v>
      </c>
      <c r="L17" s="1" t="str">
        <f ca="1">IFERROR(__xludf.DUMMYFUNCTION("""COMPUTED_VALUE"""),"+.070")</f>
        <v>+.070</v>
      </c>
      <c r="M17" s="1">
        <f ca="1">IFERROR(__xludf.DUMMYFUNCTION("""COMPUTED_VALUE"""),33)</f>
        <v>33</v>
      </c>
      <c r="N17" s="1" t="str">
        <f ca="1">IFERROR(__xludf.DUMMYFUNCTION("""COMPUTED_VALUE"""),"+8.81")</f>
        <v>+8.81</v>
      </c>
      <c r="O17" s="1">
        <f ca="1">IFERROR(__xludf.DUMMYFUNCTION("""COMPUTED_VALUE"""),30)</f>
        <v>30</v>
      </c>
      <c r="P17" s="1">
        <f ca="1">IFERROR(__xludf.DUMMYFUNCTION("""COMPUTED_VALUE"""),107.8)</f>
        <v>107.8</v>
      </c>
      <c r="Q17" s="1">
        <f ca="1">IFERROR(__xludf.DUMMYFUNCTION("""COMPUTED_VALUE"""),21)</f>
        <v>21</v>
      </c>
      <c r="R17" s="1">
        <f ca="1">IFERROR(__xludf.DUMMYFUNCTION("""COMPUTED_VALUE"""),99)</f>
        <v>99</v>
      </c>
      <c r="S17" s="1">
        <f ca="1">IFERROR(__xludf.DUMMYFUNCTION("""COMPUTED_VALUE"""),45)</f>
        <v>45</v>
      </c>
      <c r="T17" s="1">
        <f ca="1">IFERROR(__xludf.DUMMYFUNCTION("""COMPUTED_VALUE"""),-1.26)</f>
        <v>-1.26</v>
      </c>
      <c r="U17" s="1">
        <f ca="1">IFERROR(__xludf.DUMMYFUNCTION("""COMPUTED_VALUE"""),193)</f>
        <v>193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IFERROR(__xludf.DUMMYFUNCTION("""COMPUTED_VALUE"""),"Texas A&amp;M5")</f>
        <v>Texas A&amp;M5</v>
      </c>
      <c r="C18" s="1" t="str">
        <f ca="1">IFERROR(__xludf.DUMMYFUNCTION("""COMPUTED_VALUE"""),"B12")</f>
        <v>B12</v>
      </c>
      <c r="D18" s="1" t="str">
        <f ca="1">IFERROR(__xludf.DUMMYFUNCTION("""COMPUTED_VALUE"""),"24-10")</f>
        <v>24-10</v>
      </c>
      <c r="E18" s="1" t="str">
        <f ca="1">IFERROR(__xludf.DUMMYFUNCTION("""COMPUTED_VALUE"""),"+21.33")</f>
        <v>+21.33</v>
      </c>
      <c r="F18" s="1">
        <f ca="1">IFERROR(__xludf.DUMMYFUNCTION("""COMPUTED_VALUE"""),112.6)</f>
        <v>112.6</v>
      </c>
      <c r="G18" s="1">
        <f ca="1">IFERROR(__xludf.DUMMYFUNCTION("""COMPUTED_VALUE"""),37)</f>
        <v>37</v>
      </c>
      <c r="H18" s="1">
        <f ca="1">IFERROR(__xludf.DUMMYFUNCTION("""COMPUTED_VALUE"""),91.2)</f>
        <v>91.2</v>
      </c>
      <c r="I18" s="1">
        <f ca="1">IFERROR(__xludf.DUMMYFUNCTION("""COMPUTED_VALUE"""),17)</f>
        <v>17</v>
      </c>
      <c r="J18" s="1">
        <f ca="1">IFERROR(__xludf.DUMMYFUNCTION("""COMPUTED_VALUE"""),64.3)</f>
        <v>64.3</v>
      </c>
      <c r="K18" s="1">
        <f ca="1">IFERROR(__xludf.DUMMYFUNCTION("""COMPUTED_VALUE"""),243)</f>
        <v>243</v>
      </c>
      <c r="L18" s="1">
        <f ca="1">IFERROR(__xludf.DUMMYFUNCTION("""COMPUTED_VALUE"""),-0.005)</f>
        <v>-5.0000000000000001E-3</v>
      </c>
      <c r="M18" s="1">
        <f ca="1">IFERROR(__xludf.DUMMYFUNCTION("""COMPUTED_VALUE"""),182)</f>
        <v>182</v>
      </c>
      <c r="N18" s="1" t="str">
        <f ca="1">IFERROR(__xludf.DUMMYFUNCTION("""COMPUTED_VALUE"""),"+11.51")</f>
        <v>+11.51</v>
      </c>
      <c r="O18" s="1">
        <f ca="1">IFERROR(__xludf.DUMMYFUNCTION("""COMPUTED_VALUE"""),5)</f>
        <v>5</v>
      </c>
      <c r="P18" s="1">
        <f ca="1">IFERROR(__xludf.DUMMYFUNCTION("""COMPUTED_VALUE"""),109.4)</f>
        <v>109.4</v>
      </c>
      <c r="Q18" s="1">
        <f ca="1">IFERROR(__xludf.DUMMYFUNCTION("""COMPUTED_VALUE"""),3)</f>
        <v>3</v>
      </c>
      <c r="R18" s="1">
        <f ca="1">IFERROR(__xludf.DUMMYFUNCTION("""COMPUTED_VALUE"""),97.9)</f>
        <v>97.9</v>
      </c>
      <c r="S18" s="1">
        <f ca="1">IFERROR(__xludf.DUMMYFUNCTION("""COMPUTED_VALUE"""),16)</f>
        <v>16</v>
      </c>
      <c r="T18" s="1" t="str">
        <f ca="1">IFERROR(__xludf.DUMMYFUNCTION("""COMPUTED_VALUE"""),"+0.15")</f>
        <v>+0.15</v>
      </c>
      <c r="U18" s="1">
        <f ca="1">IFERROR(__xludf.DUMMYFUNCTION("""COMPUTED_VALUE"""),141)</f>
        <v>141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IFERROR(__xludf.DUMMYFUNCTION("""COMPUTED_VALUE"""),"Villanova2")</f>
        <v>Villanova2</v>
      </c>
      <c r="C19" s="1" t="str">
        <f ca="1">IFERROR(__xludf.DUMMYFUNCTION("""COMPUTED_VALUE"""),"BE")</f>
        <v>BE</v>
      </c>
      <c r="D19" s="1" t="str">
        <f ca="1">IFERROR(__xludf.DUMMYFUNCTION("""COMPUTED_VALUE"""),"25-8")</f>
        <v>25-8</v>
      </c>
      <c r="E19" s="1" t="str">
        <f ca="1">IFERROR(__xludf.DUMMYFUNCTION("""COMPUTED_VALUE"""),"+21.24")</f>
        <v>+21.24</v>
      </c>
      <c r="F19" s="1">
        <f ca="1">IFERROR(__xludf.DUMMYFUNCTION("""COMPUTED_VALUE"""),117.2)</f>
        <v>117.2</v>
      </c>
      <c r="G19" s="1">
        <f ca="1">IFERROR(__xludf.DUMMYFUNCTION("""COMPUTED_VALUE"""),11)</f>
        <v>11</v>
      </c>
      <c r="H19" s="1">
        <f ca="1">IFERROR(__xludf.DUMMYFUNCTION("""COMPUTED_VALUE"""),96)</f>
        <v>96</v>
      </c>
      <c r="I19" s="1">
        <f ca="1">IFERROR(__xludf.DUMMYFUNCTION("""COMPUTED_VALUE"""),59)</f>
        <v>59</v>
      </c>
      <c r="J19" s="1">
        <f ca="1">IFERROR(__xludf.DUMMYFUNCTION("""COMPUTED_VALUE"""),71.2)</f>
        <v>71.2</v>
      </c>
      <c r="K19" s="1">
        <f ca="1">IFERROR(__xludf.DUMMYFUNCTION("""COMPUTED_VALUE"""),12)</f>
        <v>12</v>
      </c>
      <c r="L19" s="1" t="str">
        <f ca="1">IFERROR(__xludf.DUMMYFUNCTION("""COMPUTED_VALUE"""),"+.025")</f>
        <v>+.025</v>
      </c>
      <c r="M19" s="1">
        <f ca="1">IFERROR(__xludf.DUMMYFUNCTION("""COMPUTED_VALUE"""),103)</f>
        <v>103</v>
      </c>
      <c r="N19" s="1" t="str">
        <f ca="1">IFERROR(__xludf.DUMMYFUNCTION("""COMPUTED_VALUE"""),"+10.03")</f>
        <v>+10.03</v>
      </c>
      <c r="O19" s="1">
        <f ca="1">IFERROR(__xludf.DUMMYFUNCTION("""COMPUTED_VALUE"""),12)</f>
        <v>12</v>
      </c>
      <c r="P19" s="1">
        <f ca="1">IFERROR(__xludf.DUMMYFUNCTION("""COMPUTED_VALUE"""),108.7)</f>
        <v>108.7</v>
      </c>
      <c r="Q19" s="1">
        <f ca="1">IFERROR(__xludf.DUMMYFUNCTION("""COMPUTED_VALUE"""),7)</f>
        <v>7</v>
      </c>
      <c r="R19" s="1">
        <f ca="1">IFERROR(__xludf.DUMMYFUNCTION("""COMPUTED_VALUE"""),98.7)</f>
        <v>98.7</v>
      </c>
      <c r="S19" s="1">
        <f ca="1">IFERROR(__xludf.DUMMYFUNCTION("""COMPUTED_VALUE"""),33)</f>
        <v>33</v>
      </c>
      <c r="T19" s="1">
        <f ca="1">IFERROR(__xludf.DUMMYFUNCTION("""COMPUTED_VALUE"""),-0.91)</f>
        <v>-0.91</v>
      </c>
      <c r="U19" s="1">
        <f ca="1">IFERROR(__xludf.DUMMYFUNCTION("""COMPUTED_VALUE"""),171)</f>
        <v>171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IFERROR(__xludf.DUMMYFUNCTION("""COMPUTED_VALUE"""),"Xavier6")</f>
        <v>Xavier6</v>
      </c>
      <c r="C20" s="1" t="str">
        <f ca="1">IFERROR(__xludf.DUMMYFUNCTION("""COMPUTED_VALUE"""),"A10")</f>
        <v>A10</v>
      </c>
      <c r="D20" s="1" t="str">
        <f ca="1">IFERROR(__xludf.DUMMYFUNCTION("""COMPUTED_VALUE"""),"26-9")</f>
        <v>26-9</v>
      </c>
      <c r="E20" s="1" t="str">
        <f ca="1">IFERROR(__xludf.DUMMYFUNCTION("""COMPUTED_VALUE"""),"+20.87")</f>
        <v>+20.87</v>
      </c>
      <c r="F20" s="1">
        <f ca="1">IFERROR(__xludf.DUMMYFUNCTION("""COMPUTED_VALUE"""),115.5)</f>
        <v>115.5</v>
      </c>
      <c r="G20" s="1">
        <f ca="1">IFERROR(__xludf.DUMMYFUNCTION("""COMPUTED_VALUE"""),18)</f>
        <v>18</v>
      </c>
      <c r="H20" s="1">
        <f ca="1">IFERROR(__xludf.DUMMYFUNCTION("""COMPUTED_VALUE"""),94.6)</f>
        <v>94.6</v>
      </c>
      <c r="I20" s="1">
        <f ca="1">IFERROR(__xludf.DUMMYFUNCTION("""COMPUTED_VALUE"""),47)</f>
        <v>47</v>
      </c>
      <c r="J20" s="1">
        <f ca="1">IFERROR(__xludf.DUMMYFUNCTION("""COMPUTED_VALUE"""),68.9)</f>
        <v>68.900000000000006</v>
      </c>
      <c r="K20" s="1">
        <f ca="1">IFERROR(__xludf.DUMMYFUNCTION("""COMPUTED_VALUE"""),47)</f>
        <v>47</v>
      </c>
      <c r="L20" s="1" t="str">
        <f ca="1">IFERROR(__xludf.DUMMYFUNCTION("""COMPUTED_VALUE"""),"+.010")</f>
        <v>+.010</v>
      </c>
      <c r="M20" s="1">
        <f ca="1">IFERROR(__xludf.DUMMYFUNCTION("""COMPUTED_VALUE"""),139)</f>
        <v>139</v>
      </c>
      <c r="N20" s="1" t="str">
        <f ca="1">IFERROR(__xludf.DUMMYFUNCTION("""COMPUTED_VALUE"""),"+8.04")</f>
        <v>+8.04</v>
      </c>
      <c r="O20" s="1">
        <f ca="1">IFERROR(__xludf.DUMMYFUNCTION("""COMPUTED_VALUE"""),46)</f>
        <v>46</v>
      </c>
      <c r="P20" s="1">
        <f ca="1">IFERROR(__xludf.DUMMYFUNCTION("""COMPUTED_VALUE"""),106.2)</f>
        <v>106.2</v>
      </c>
      <c r="Q20" s="1">
        <f ca="1">IFERROR(__xludf.DUMMYFUNCTION("""COMPUTED_VALUE"""),64)</f>
        <v>64</v>
      </c>
      <c r="R20" s="1">
        <f ca="1">IFERROR(__xludf.DUMMYFUNCTION("""COMPUTED_VALUE"""),98.2)</f>
        <v>98.2</v>
      </c>
      <c r="S20" s="1">
        <f ca="1">IFERROR(__xludf.DUMMYFUNCTION("""COMPUTED_VALUE"""),19)</f>
        <v>19</v>
      </c>
      <c r="T20" s="1" t="str">
        <f ca="1">IFERROR(__xludf.DUMMYFUNCTION("""COMPUTED_VALUE"""),"+7.27")</f>
        <v>+7.27</v>
      </c>
      <c r="U20" s="1">
        <f ca="1">IFERROR(__xludf.DUMMYFUNCTION("""COMPUTED_VALUE"""),30)</f>
        <v>30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IFERROR(__xludf.DUMMYFUNCTION("""COMPUTED_VALUE"""),"Texas8")</f>
        <v>Texas8</v>
      </c>
      <c r="C21" s="1" t="str">
        <f ca="1">IFERROR(__xludf.DUMMYFUNCTION("""COMPUTED_VALUE"""),"B12")</f>
        <v>B12</v>
      </c>
      <c r="D21" s="1" t="str">
        <f ca="1">IFERROR(__xludf.DUMMYFUNCTION("""COMPUTED_VALUE"""),"24-10")</f>
        <v>24-10</v>
      </c>
      <c r="E21" s="1" t="str">
        <f ca="1">IFERROR(__xludf.DUMMYFUNCTION("""COMPUTED_VALUE"""),"+20.75")</f>
        <v>+20.75</v>
      </c>
      <c r="F21" s="1">
        <f ca="1">IFERROR(__xludf.DUMMYFUNCTION("""COMPUTED_VALUE"""),113.9)</f>
        <v>113.9</v>
      </c>
      <c r="G21" s="1">
        <f ca="1">IFERROR(__xludf.DUMMYFUNCTION("""COMPUTED_VALUE"""),24)</f>
        <v>24</v>
      </c>
      <c r="H21" s="1">
        <f ca="1">IFERROR(__xludf.DUMMYFUNCTION("""COMPUTED_VALUE"""),93.1)</f>
        <v>93.1</v>
      </c>
      <c r="I21" s="1">
        <f ca="1">IFERROR(__xludf.DUMMYFUNCTION("""COMPUTED_VALUE"""),30)</f>
        <v>30</v>
      </c>
      <c r="J21" s="1">
        <f ca="1">IFERROR(__xludf.DUMMYFUNCTION("""COMPUTED_VALUE"""),71.5)</f>
        <v>71.5</v>
      </c>
      <c r="K21" s="1">
        <f ca="1">IFERROR(__xludf.DUMMYFUNCTION("""COMPUTED_VALUE"""),11)</f>
        <v>11</v>
      </c>
      <c r="L21" s="1">
        <f ca="1">IFERROR(__xludf.DUMMYFUNCTION("""COMPUTED_VALUE"""),-0.014)</f>
        <v>-1.4E-2</v>
      </c>
      <c r="M21" s="1">
        <f ca="1">IFERROR(__xludf.DUMMYFUNCTION("""COMPUTED_VALUE"""),209)</f>
        <v>209</v>
      </c>
      <c r="N21" s="1" t="str">
        <f ca="1">IFERROR(__xludf.DUMMYFUNCTION("""COMPUTED_VALUE"""),"+9.01")</f>
        <v>+9.01</v>
      </c>
      <c r="O21" s="1">
        <f ca="1">IFERROR(__xludf.DUMMYFUNCTION("""COMPUTED_VALUE"""),27)</f>
        <v>27</v>
      </c>
      <c r="P21" s="1">
        <f ca="1">IFERROR(__xludf.DUMMYFUNCTION("""COMPUTED_VALUE"""),107.2)</f>
        <v>107.2</v>
      </c>
      <c r="Q21" s="1">
        <f ca="1">IFERROR(__xludf.DUMMYFUNCTION("""COMPUTED_VALUE"""),35)</f>
        <v>35</v>
      </c>
      <c r="R21" s="1">
        <f ca="1">IFERROR(__xludf.DUMMYFUNCTION("""COMPUTED_VALUE"""),98.2)</f>
        <v>98.2</v>
      </c>
      <c r="S21" s="1">
        <f ca="1">IFERROR(__xludf.DUMMYFUNCTION("""COMPUTED_VALUE"""),18)</f>
        <v>18</v>
      </c>
      <c r="T21" s="1">
        <f ca="1">IFERROR(__xludf.DUMMYFUNCTION("""COMPUTED_VALUE"""),-1.32)</f>
        <v>-1.32</v>
      </c>
      <c r="U21" s="1">
        <f ca="1">IFERROR(__xludf.DUMMYFUNCTION("""COMPUTED_VALUE"""),195)</f>
        <v>195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IFERROR(__xludf.DUMMYFUNCTION("""COMPUTED_VALUE"""),"Michigan St.5")</f>
        <v>Michigan St.5</v>
      </c>
      <c r="C22" s="1" t="str">
        <f ca="1">IFERROR(__xludf.DUMMYFUNCTION("""COMPUTED_VALUE"""),"B10")</f>
        <v>B10</v>
      </c>
      <c r="D22" s="1" t="str">
        <f ca="1">IFERROR(__xludf.DUMMYFUNCTION("""COMPUTED_VALUE"""),"28-9")</f>
        <v>28-9</v>
      </c>
      <c r="E22" s="1" t="str">
        <f ca="1">IFERROR(__xludf.DUMMYFUNCTION("""COMPUTED_VALUE"""),"+20.13")</f>
        <v>+20.13</v>
      </c>
      <c r="F22" s="1">
        <f ca="1">IFERROR(__xludf.DUMMYFUNCTION("""COMPUTED_VALUE"""),112.8)</f>
        <v>112.8</v>
      </c>
      <c r="G22" s="1">
        <f ca="1">IFERROR(__xludf.DUMMYFUNCTION("""COMPUTED_VALUE"""),33)</f>
        <v>33</v>
      </c>
      <c r="H22" s="1">
        <f ca="1">IFERROR(__xludf.DUMMYFUNCTION("""COMPUTED_VALUE"""),92.7)</f>
        <v>92.7</v>
      </c>
      <c r="I22" s="1">
        <f ca="1">IFERROR(__xludf.DUMMYFUNCTION("""COMPUTED_VALUE"""),27)</f>
        <v>27</v>
      </c>
      <c r="J22" s="1">
        <f ca="1">IFERROR(__xludf.DUMMYFUNCTION("""COMPUTED_VALUE"""),65.3)</f>
        <v>65.3</v>
      </c>
      <c r="K22" s="1">
        <f ca="1">IFERROR(__xludf.DUMMYFUNCTION("""COMPUTED_VALUE"""),203)</f>
        <v>203</v>
      </c>
      <c r="L22" s="1" t="str">
        <f ca="1">IFERROR(__xludf.DUMMYFUNCTION("""COMPUTED_VALUE"""),"+.027")</f>
        <v>+.027</v>
      </c>
      <c r="M22" s="1">
        <f ca="1">IFERROR(__xludf.DUMMYFUNCTION("""COMPUTED_VALUE"""),96)</f>
        <v>96</v>
      </c>
      <c r="N22" s="1" t="str">
        <f ca="1">IFERROR(__xludf.DUMMYFUNCTION("""COMPUTED_VALUE"""),"+9.03")</f>
        <v>+9.03</v>
      </c>
      <c r="O22" s="1">
        <f ca="1">IFERROR(__xludf.DUMMYFUNCTION("""COMPUTED_VALUE"""),24)</f>
        <v>24</v>
      </c>
      <c r="P22" s="1">
        <f ca="1">IFERROR(__xludf.DUMMYFUNCTION("""COMPUTED_VALUE"""),107.5)</f>
        <v>107.5</v>
      </c>
      <c r="Q22" s="1">
        <f ca="1">IFERROR(__xludf.DUMMYFUNCTION("""COMPUTED_VALUE"""),26)</f>
        <v>26</v>
      </c>
      <c r="R22" s="1">
        <f ca="1">IFERROR(__xludf.DUMMYFUNCTION("""COMPUTED_VALUE"""),98.5)</f>
        <v>98.5</v>
      </c>
      <c r="S22" s="1">
        <f ca="1">IFERROR(__xludf.DUMMYFUNCTION("""COMPUTED_VALUE"""),29)</f>
        <v>29</v>
      </c>
      <c r="T22" s="1">
        <f ca="1">IFERROR(__xludf.DUMMYFUNCTION("""COMPUTED_VALUE"""),-0.94)</f>
        <v>-0.94</v>
      </c>
      <c r="U22" s="1">
        <f ca="1">IFERROR(__xludf.DUMMYFUNCTION("""COMPUTED_VALUE"""),173)</f>
        <v>173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IFERROR(__xludf.DUMMYFUNCTION("""COMPUTED_VALUE"""),"Temple5")</f>
        <v>Temple5</v>
      </c>
      <c r="C23" s="1" t="str">
        <f ca="1">IFERROR(__xludf.DUMMYFUNCTION("""COMPUTED_VALUE"""),"A10")</f>
        <v>A10</v>
      </c>
      <c r="D23" s="1" t="str">
        <f ca="1">IFERROR(__xludf.DUMMYFUNCTION("""COMPUTED_VALUE"""),"29-6")</f>
        <v>29-6</v>
      </c>
      <c r="E23" s="1" t="str">
        <f ca="1">IFERROR(__xludf.DUMMYFUNCTION("""COMPUTED_VALUE"""),"+20.12")</f>
        <v>+20.12</v>
      </c>
      <c r="F23" s="1">
        <f ca="1">IFERROR(__xludf.DUMMYFUNCTION("""COMPUTED_VALUE"""),107.8)</f>
        <v>107.8</v>
      </c>
      <c r="G23" s="1">
        <f ca="1">IFERROR(__xludf.DUMMYFUNCTION("""COMPUTED_VALUE"""),93)</f>
        <v>93</v>
      </c>
      <c r="H23" s="1">
        <f ca="1">IFERROR(__xludf.DUMMYFUNCTION("""COMPUTED_VALUE"""),87.7)</f>
        <v>87.7</v>
      </c>
      <c r="I23" s="1">
        <f ca="1">IFERROR(__xludf.DUMMYFUNCTION("""COMPUTED_VALUE"""),3)</f>
        <v>3</v>
      </c>
      <c r="J23" s="1">
        <f ca="1">IFERROR(__xludf.DUMMYFUNCTION("""COMPUTED_VALUE"""),60.4)</f>
        <v>60.4</v>
      </c>
      <c r="K23" s="1">
        <f ca="1">IFERROR(__xludf.DUMMYFUNCTION("""COMPUTED_VALUE"""),332)</f>
        <v>332</v>
      </c>
      <c r="L23" s="1" t="str">
        <f ca="1">IFERROR(__xludf.DUMMYFUNCTION("""COMPUTED_VALUE"""),"+.076")</f>
        <v>+.076</v>
      </c>
      <c r="M23" s="1">
        <f ca="1">IFERROR(__xludf.DUMMYFUNCTION("""COMPUTED_VALUE"""),26)</f>
        <v>26</v>
      </c>
      <c r="N23" s="1" t="str">
        <f ca="1">IFERROR(__xludf.DUMMYFUNCTION("""COMPUTED_VALUE"""),"+6.07")</f>
        <v>+6.07</v>
      </c>
      <c r="O23" s="1">
        <f ca="1">IFERROR(__xludf.DUMMYFUNCTION("""COMPUTED_VALUE"""),67)</f>
        <v>67</v>
      </c>
      <c r="P23" s="1">
        <f ca="1">IFERROR(__xludf.DUMMYFUNCTION("""COMPUTED_VALUE"""),106.4)</f>
        <v>106.4</v>
      </c>
      <c r="Q23" s="1">
        <f ca="1">IFERROR(__xludf.DUMMYFUNCTION("""COMPUTED_VALUE"""),57)</f>
        <v>57</v>
      </c>
      <c r="R23" s="1">
        <f ca="1">IFERROR(__xludf.DUMMYFUNCTION("""COMPUTED_VALUE"""),100.3)</f>
        <v>100.3</v>
      </c>
      <c r="S23" s="1">
        <f ca="1">IFERROR(__xludf.DUMMYFUNCTION("""COMPUTED_VALUE"""),86)</f>
        <v>86</v>
      </c>
      <c r="T23" s="1" t="str">
        <f ca="1">IFERROR(__xludf.DUMMYFUNCTION("""COMPUTED_VALUE"""),"+5.68")</f>
        <v>+5.68</v>
      </c>
      <c r="U23" s="1">
        <f ca="1">IFERROR(__xludf.DUMMYFUNCTION("""COMPUTED_VALUE"""),49)</f>
        <v>49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IFERROR(__xludf.DUMMYFUNCTION("""COMPUTED_VALUE"""),"Missouri10")</f>
        <v>Missouri10</v>
      </c>
      <c r="C24" s="1" t="str">
        <f ca="1">IFERROR(__xludf.DUMMYFUNCTION("""COMPUTED_VALUE"""),"B12")</f>
        <v>B12</v>
      </c>
      <c r="D24" s="1" t="str">
        <f ca="1">IFERROR(__xludf.DUMMYFUNCTION("""COMPUTED_VALUE"""),"23-11")</f>
        <v>23-11</v>
      </c>
      <c r="E24" s="1" t="str">
        <f ca="1">IFERROR(__xludf.DUMMYFUNCTION("""COMPUTED_VALUE"""),"+19.99")</f>
        <v>+19.99</v>
      </c>
      <c r="F24" s="1">
        <f ca="1">IFERROR(__xludf.DUMMYFUNCTION("""COMPUTED_VALUE"""),111.5)</f>
        <v>111.5</v>
      </c>
      <c r="G24" s="1">
        <f ca="1">IFERROR(__xludf.DUMMYFUNCTION("""COMPUTED_VALUE"""),46)</f>
        <v>46</v>
      </c>
      <c r="H24" s="1">
        <f ca="1">IFERROR(__xludf.DUMMYFUNCTION("""COMPUTED_VALUE"""),91.5)</f>
        <v>91.5</v>
      </c>
      <c r="I24" s="1">
        <f ca="1">IFERROR(__xludf.DUMMYFUNCTION("""COMPUTED_VALUE"""),18)</f>
        <v>18</v>
      </c>
      <c r="J24" s="1">
        <f ca="1">IFERROR(__xludf.DUMMYFUNCTION("""COMPUTED_VALUE"""),68.8)</f>
        <v>68.8</v>
      </c>
      <c r="K24" s="1">
        <f ca="1">IFERROR(__xludf.DUMMYFUNCTION("""COMPUTED_VALUE"""),51)</f>
        <v>51</v>
      </c>
      <c r="L24" s="1">
        <f ca="1">IFERROR(__xludf.DUMMYFUNCTION("""COMPUTED_VALUE"""),-0.035)</f>
        <v>-3.5000000000000003E-2</v>
      </c>
      <c r="M24" s="1">
        <f ca="1">IFERROR(__xludf.DUMMYFUNCTION("""COMPUTED_VALUE"""),264)</f>
        <v>264</v>
      </c>
      <c r="N24" s="1" t="str">
        <f ca="1">IFERROR(__xludf.DUMMYFUNCTION("""COMPUTED_VALUE"""),"+8.17")</f>
        <v>+8.17</v>
      </c>
      <c r="O24" s="1">
        <f ca="1">IFERROR(__xludf.DUMMYFUNCTION("""COMPUTED_VALUE"""),44)</f>
        <v>44</v>
      </c>
      <c r="P24" s="1">
        <f ca="1">IFERROR(__xludf.DUMMYFUNCTION("""COMPUTED_VALUE"""),107.1)</f>
        <v>107.1</v>
      </c>
      <c r="Q24" s="1">
        <f ca="1">IFERROR(__xludf.DUMMYFUNCTION("""COMPUTED_VALUE"""),39)</f>
        <v>39</v>
      </c>
      <c r="R24" s="1">
        <f ca="1">IFERROR(__xludf.DUMMYFUNCTION("""COMPUTED_VALUE"""),98.9)</f>
        <v>98.9</v>
      </c>
      <c r="S24" s="1">
        <f ca="1">IFERROR(__xludf.DUMMYFUNCTION("""COMPUTED_VALUE"""),43)</f>
        <v>43</v>
      </c>
      <c r="T24" s="1">
        <f ca="1">IFERROR(__xludf.DUMMYFUNCTION("""COMPUTED_VALUE"""),-6.1)</f>
        <v>-6.1</v>
      </c>
      <c r="U24" s="1">
        <f ca="1">IFERROR(__xludf.DUMMYFUNCTION("""COMPUTED_VALUE"""),306)</f>
        <v>306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IFERROR(__xludf.DUMMYFUNCTION("""COMPUTED_VALUE"""),"Utah St.12")</f>
        <v>Utah St.12</v>
      </c>
      <c r="C25" s="1" t="str">
        <f ca="1">IFERROR(__xludf.DUMMYFUNCTION("""COMPUTED_VALUE"""),"WAC")</f>
        <v>WAC</v>
      </c>
      <c r="D25" s="1" t="str">
        <f ca="1">IFERROR(__xludf.DUMMYFUNCTION("""COMPUTED_VALUE"""),"27-8")</f>
        <v>27-8</v>
      </c>
      <c r="E25" s="1" t="str">
        <f ca="1">IFERROR(__xludf.DUMMYFUNCTION("""COMPUTED_VALUE"""),"+19.90")</f>
        <v>+19.90</v>
      </c>
      <c r="F25" s="1">
        <f ca="1">IFERROR(__xludf.DUMMYFUNCTION("""COMPUTED_VALUE"""),116)</f>
        <v>116</v>
      </c>
      <c r="G25" s="1">
        <f ca="1">IFERROR(__xludf.DUMMYFUNCTION("""COMPUTED_VALUE"""),16)</f>
        <v>16</v>
      </c>
      <c r="H25" s="1">
        <f ca="1">IFERROR(__xludf.DUMMYFUNCTION("""COMPUTED_VALUE"""),96.1)</f>
        <v>96.1</v>
      </c>
      <c r="I25" s="1">
        <f ca="1">IFERROR(__xludf.DUMMYFUNCTION("""COMPUTED_VALUE"""),62)</f>
        <v>62</v>
      </c>
      <c r="J25" s="1">
        <f ca="1">IFERROR(__xludf.DUMMYFUNCTION("""COMPUTED_VALUE"""),59.8)</f>
        <v>59.8</v>
      </c>
      <c r="K25" s="1">
        <f ca="1">IFERROR(__xludf.DUMMYFUNCTION("""COMPUTED_VALUE"""),336)</f>
        <v>336</v>
      </c>
      <c r="L25" s="1">
        <f ca="1">IFERROR(__xludf.DUMMYFUNCTION("""COMPUTED_VALUE"""),-0.026)</f>
        <v>-2.5999999999999999E-2</v>
      </c>
      <c r="M25" s="1">
        <f ca="1">IFERROR(__xludf.DUMMYFUNCTION("""COMPUTED_VALUE"""),244)</f>
        <v>244</v>
      </c>
      <c r="N25" s="1" t="str">
        <f ca="1">IFERROR(__xludf.DUMMYFUNCTION("""COMPUTED_VALUE"""),"+1.81")</f>
        <v>+1.81</v>
      </c>
      <c r="O25" s="1">
        <f ca="1">IFERROR(__xludf.DUMMYFUNCTION("""COMPUTED_VALUE"""),136)</f>
        <v>136</v>
      </c>
      <c r="P25" s="1">
        <f ca="1">IFERROR(__xludf.DUMMYFUNCTION("""COMPUTED_VALUE"""),105)</f>
        <v>105</v>
      </c>
      <c r="Q25" s="1">
        <f ca="1">IFERROR(__xludf.DUMMYFUNCTION("""COMPUTED_VALUE"""),91)</f>
        <v>91</v>
      </c>
      <c r="R25" s="1">
        <f ca="1">IFERROR(__xludf.DUMMYFUNCTION("""COMPUTED_VALUE"""),103.2)</f>
        <v>103.2</v>
      </c>
      <c r="S25" s="1">
        <f ca="1">IFERROR(__xludf.DUMMYFUNCTION("""COMPUTED_VALUE"""),181)</f>
        <v>181</v>
      </c>
      <c r="T25" s="1" t="str">
        <f ca="1">IFERROR(__xludf.DUMMYFUNCTION("""COMPUTED_VALUE"""),"+0.16")</f>
        <v>+0.16</v>
      </c>
      <c r="U25" s="1">
        <f ca="1">IFERROR(__xludf.DUMMYFUNCTION("""COMPUTED_VALUE"""),140)</f>
        <v>140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IFERROR(__xludf.DUMMYFUNCTION("""COMPUTED_VALUE"""),"Marquette6")</f>
        <v>Marquette6</v>
      </c>
      <c r="C26" s="1" t="str">
        <f ca="1">IFERROR(__xludf.DUMMYFUNCTION("""COMPUTED_VALUE"""),"BE")</f>
        <v>BE</v>
      </c>
      <c r="D26" s="1" t="str">
        <f ca="1">IFERROR(__xludf.DUMMYFUNCTION("""COMPUTED_VALUE"""),"22-12")</f>
        <v>22-12</v>
      </c>
      <c r="E26" s="1" t="str">
        <f ca="1">IFERROR(__xludf.DUMMYFUNCTION("""COMPUTED_VALUE"""),"+19.65")</f>
        <v>+19.65</v>
      </c>
      <c r="F26" s="1">
        <f ca="1">IFERROR(__xludf.DUMMYFUNCTION("""COMPUTED_VALUE"""),115.1)</f>
        <v>115.1</v>
      </c>
      <c r="G26" s="1">
        <f ca="1">IFERROR(__xludf.DUMMYFUNCTION("""COMPUTED_VALUE"""),21)</f>
        <v>21</v>
      </c>
      <c r="H26" s="1">
        <f ca="1">IFERROR(__xludf.DUMMYFUNCTION("""COMPUTED_VALUE"""),95.5)</f>
        <v>95.5</v>
      </c>
      <c r="I26" s="1">
        <f ca="1">IFERROR(__xludf.DUMMYFUNCTION("""COMPUTED_VALUE"""),55)</f>
        <v>55</v>
      </c>
      <c r="J26" s="1">
        <f ca="1">IFERROR(__xludf.DUMMYFUNCTION("""COMPUTED_VALUE"""),62.3)</f>
        <v>62.3</v>
      </c>
      <c r="K26" s="1">
        <f ca="1">IFERROR(__xludf.DUMMYFUNCTION("""COMPUTED_VALUE"""),305)</f>
        <v>305</v>
      </c>
      <c r="L26" s="1">
        <f ca="1">IFERROR(__xludf.DUMMYFUNCTION("""COMPUTED_VALUE"""),-0.064)</f>
        <v>-6.4000000000000001E-2</v>
      </c>
      <c r="M26" s="1">
        <f ca="1">IFERROR(__xludf.DUMMYFUNCTION("""COMPUTED_VALUE"""),312)</f>
        <v>312</v>
      </c>
      <c r="N26" s="1" t="str">
        <f ca="1">IFERROR(__xludf.DUMMYFUNCTION("""COMPUTED_VALUE"""),"+9.05")</f>
        <v>+9.05</v>
      </c>
      <c r="O26" s="1">
        <f ca="1">IFERROR(__xludf.DUMMYFUNCTION("""COMPUTED_VALUE"""),23)</f>
        <v>23</v>
      </c>
      <c r="P26" s="1">
        <f ca="1">IFERROR(__xludf.DUMMYFUNCTION("""COMPUTED_VALUE"""),108)</f>
        <v>108</v>
      </c>
      <c r="Q26" s="1">
        <f ca="1">IFERROR(__xludf.DUMMYFUNCTION("""COMPUTED_VALUE"""),17)</f>
        <v>17</v>
      </c>
      <c r="R26" s="1">
        <f ca="1">IFERROR(__xludf.DUMMYFUNCTION("""COMPUTED_VALUE"""),98.9)</f>
        <v>98.9</v>
      </c>
      <c r="S26" s="1">
        <f ca="1">IFERROR(__xludf.DUMMYFUNCTION("""COMPUTED_VALUE"""),44)</f>
        <v>44</v>
      </c>
      <c r="T26" s="1">
        <f ca="1">IFERROR(__xludf.DUMMYFUNCTION("""COMPUTED_VALUE"""),-6.52)</f>
        <v>-6.52</v>
      </c>
      <c r="U26" s="1">
        <f ca="1">IFERROR(__xludf.DUMMYFUNCTION("""COMPUTED_VALUE"""),311)</f>
        <v>311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IFERROR(__xludf.DUMMYFUNCTION("""COMPUTED_VALUE"""),"Clemson7")</f>
        <v>Clemson7</v>
      </c>
      <c r="C27" s="1" t="str">
        <f ca="1">IFERROR(__xludf.DUMMYFUNCTION("""COMPUTED_VALUE"""),"ACC")</f>
        <v>ACC</v>
      </c>
      <c r="D27" s="1" t="str">
        <f ca="1">IFERROR(__xludf.DUMMYFUNCTION("""COMPUTED_VALUE"""),"21-11")</f>
        <v>21-11</v>
      </c>
      <c r="E27" s="1" t="str">
        <f ca="1">IFERROR(__xludf.DUMMYFUNCTION("""COMPUTED_VALUE"""),"+19.28")</f>
        <v>+19.28</v>
      </c>
      <c r="F27" s="1">
        <f ca="1">IFERROR(__xludf.DUMMYFUNCTION("""COMPUTED_VALUE"""),110.9)</f>
        <v>110.9</v>
      </c>
      <c r="G27" s="1">
        <f ca="1">IFERROR(__xludf.DUMMYFUNCTION("""COMPUTED_VALUE"""),50)</f>
        <v>50</v>
      </c>
      <c r="H27" s="1">
        <f ca="1">IFERROR(__xludf.DUMMYFUNCTION("""COMPUTED_VALUE"""),91.6)</f>
        <v>91.6</v>
      </c>
      <c r="I27" s="1">
        <f ca="1">IFERROR(__xludf.DUMMYFUNCTION("""COMPUTED_VALUE"""),20)</f>
        <v>20</v>
      </c>
      <c r="J27" s="1">
        <f ca="1">IFERROR(__xludf.DUMMYFUNCTION("""COMPUTED_VALUE"""),67.6)</f>
        <v>67.599999999999994</v>
      </c>
      <c r="K27" s="1">
        <f ca="1">IFERROR(__xludf.DUMMYFUNCTION("""COMPUTED_VALUE"""),87)</f>
        <v>87</v>
      </c>
      <c r="L27" s="1">
        <f ca="1">IFERROR(__xludf.DUMMYFUNCTION("""COMPUTED_VALUE"""),-0.041)</f>
        <v>-4.1000000000000002E-2</v>
      </c>
      <c r="M27" s="1">
        <f ca="1">IFERROR(__xludf.DUMMYFUNCTION("""COMPUTED_VALUE"""),277)</f>
        <v>277</v>
      </c>
      <c r="N27" s="1" t="str">
        <f ca="1">IFERROR(__xludf.DUMMYFUNCTION("""COMPUTED_VALUE"""),"+8.76")</f>
        <v>+8.76</v>
      </c>
      <c r="O27" s="1">
        <f ca="1">IFERROR(__xludf.DUMMYFUNCTION("""COMPUTED_VALUE"""),31)</f>
        <v>31</v>
      </c>
      <c r="P27" s="1">
        <f ca="1">IFERROR(__xludf.DUMMYFUNCTION("""COMPUTED_VALUE"""),106.3)</f>
        <v>106.3</v>
      </c>
      <c r="Q27" s="1">
        <f ca="1">IFERROR(__xludf.DUMMYFUNCTION("""COMPUTED_VALUE"""),61)</f>
        <v>61</v>
      </c>
      <c r="R27" s="1">
        <f ca="1">IFERROR(__xludf.DUMMYFUNCTION("""COMPUTED_VALUE"""),97.6)</f>
        <v>97.6</v>
      </c>
      <c r="S27" s="1">
        <f ca="1">IFERROR(__xludf.DUMMYFUNCTION("""COMPUTED_VALUE"""),11)</f>
        <v>11</v>
      </c>
      <c r="T27" s="1">
        <f ca="1">IFERROR(__xludf.DUMMYFUNCTION("""COMPUTED_VALUE"""),-2.85)</f>
        <v>-2.85</v>
      </c>
      <c r="U27" s="1">
        <f ca="1">IFERROR(__xludf.DUMMYFUNCTION("""COMPUTED_VALUE"""),239)</f>
        <v>239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IFERROR(__xludf.DUMMYFUNCTION("""COMPUTED_VALUE"""),"Dayton3")</f>
        <v>Dayton3</v>
      </c>
      <c r="C28" s="1" t="str">
        <f ca="1">IFERROR(__xludf.DUMMYFUNCTION("""COMPUTED_VALUE"""),"A10")</f>
        <v>A10</v>
      </c>
      <c r="D28" s="1" t="str">
        <f ca="1">IFERROR(__xludf.DUMMYFUNCTION("""COMPUTED_VALUE"""),"25-12")</f>
        <v>25-12</v>
      </c>
      <c r="E28" s="1" t="str">
        <f ca="1">IFERROR(__xludf.DUMMYFUNCTION("""COMPUTED_VALUE"""),"+18.92")</f>
        <v>+18.92</v>
      </c>
      <c r="F28" s="1">
        <f ca="1">IFERROR(__xludf.DUMMYFUNCTION("""COMPUTED_VALUE"""),108.1)</f>
        <v>108.1</v>
      </c>
      <c r="G28" s="1">
        <f ca="1">IFERROR(__xludf.DUMMYFUNCTION("""COMPUTED_VALUE"""),86)</f>
        <v>86</v>
      </c>
      <c r="H28" s="1">
        <f ca="1">IFERROR(__xludf.DUMMYFUNCTION("""COMPUTED_VALUE"""),89.1)</f>
        <v>89.1</v>
      </c>
      <c r="I28" s="1">
        <f ca="1">IFERROR(__xludf.DUMMYFUNCTION("""COMPUTED_VALUE"""),9)</f>
        <v>9</v>
      </c>
      <c r="J28" s="1">
        <f ca="1">IFERROR(__xludf.DUMMYFUNCTION("""COMPUTED_VALUE"""),65.5)</f>
        <v>65.5</v>
      </c>
      <c r="K28" s="1">
        <f ca="1">IFERROR(__xludf.DUMMYFUNCTION("""COMPUTED_VALUE"""),195)</f>
        <v>195</v>
      </c>
      <c r="L28" s="1">
        <f ca="1">IFERROR(__xludf.DUMMYFUNCTION("""COMPUTED_VALUE"""),-0.097)</f>
        <v>-9.7000000000000003E-2</v>
      </c>
      <c r="M28" s="1">
        <f ca="1">IFERROR(__xludf.DUMMYFUNCTION("""COMPUTED_VALUE"""),340)</f>
        <v>340</v>
      </c>
      <c r="N28" s="1" t="str">
        <f ca="1">IFERROR(__xludf.DUMMYFUNCTION("""COMPUTED_VALUE"""),"+6.43")</f>
        <v>+6.43</v>
      </c>
      <c r="O28" s="1">
        <f ca="1">IFERROR(__xludf.DUMMYFUNCTION("""COMPUTED_VALUE"""),64)</f>
        <v>64</v>
      </c>
      <c r="P28" s="1">
        <f ca="1">IFERROR(__xludf.DUMMYFUNCTION("""COMPUTED_VALUE"""),105.8)</f>
        <v>105.8</v>
      </c>
      <c r="Q28" s="1">
        <f ca="1">IFERROR(__xludf.DUMMYFUNCTION("""COMPUTED_VALUE"""),71)</f>
        <v>71</v>
      </c>
      <c r="R28" s="1">
        <f ca="1">IFERROR(__xludf.DUMMYFUNCTION("""COMPUTED_VALUE"""),99.3)</f>
        <v>99.3</v>
      </c>
      <c r="S28" s="1">
        <f ca="1">IFERROR(__xludf.DUMMYFUNCTION("""COMPUTED_VALUE"""),53)</f>
        <v>53</v>
      </c>
      <c r="T28" s="1" t="str">
        <f ca="1">IFERROR(__xludf.DUMMYFUNCTION("""COMPUTED_VALUE"""),"+3.50")</f>
        <v>+3.50</v>
      </c>
      <c r="U28" s="1">
        <f ca="1">IFERROR(__xludf.DUMMYFUNCTION("""COMPUTED_VALUE"""),74)</f>
        <v>74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IFERROR(__xludf.DUMMYFUNCTION("""COMPUTED_VALUE"""),"Northern Iowa9")</f>
        <v>Northern Iowa9</v>
      </c>
      <c r="C29" s="1" t="str">
        <f ca="1">IFERROR(__xludf.DUMMYFUNCTION("""COMPUTED_VALUE"""),"MVC")</f>
        <v>MVC</v>
      </c>
      <c r="D29" s="1" t="str">
        <f ca="1">IFERROR(__xludf.DUMMYFUNCTION("""COMPUTED_VALUE"""),"30-5")</f>
        <v>30-5</v>
      </c>
      <c r="E29" s="1" t="str">
        <f ca="1">IFERROR(__xludf.DUMMYFUNCTION("""COMPUTED_VALUE"""),"+18.87")</f>
        <v>+18.87</v>
      </c>
      <c r="F29" s="1">
        <f ca="1">IFERROR(__xludf.DUMMYFUNCTION("""COMPUTED_VALUE"""),109.6)</f>
        <v>109.6</v>
      </c>
      <c r="G29" s="1">
        <f ca="1">IFERROR(__xludf.DUMMYFUNCTION("""COMPUTED_VALUE"""),67)</f>
        <v>67</v>
      </c>
      <c r="H29" s="1">
        <f ca="1">IFERROR(__xludf.DUMMYFUNCTION("""COMPUTED_VALUE"""),90.8)</f>
        <v>90.8</v>
      </c>
      <c r="I29" s="1">
        <f ca="1">IFERROR(__xludf.DUMMYFUNCTION("""COMPUTED_VALUE"""),13)</f>
        <v>13</v>
      </c>
      <c r="J29" s="1">
        <f ca="1">IFERROR(__xludf.DUMMYFUNCTION("""COMPUTED_VALUE"""),58.9)</f>
        <v>58.9</v>
      </c>
      <c r="K29" s="1">
        <f ca="1">IFERROR(__xludf.DUMMYFUNCTION("""COMPUTED_VALUE"""),340)</f>
        <v>340</v>
      </c>
      <c r="L29" s="1" t="str">
        <f ca="1">IFERROR(__xludf.DUMMYFUNCTION("""COMPUTED_VALUE"""),"+.034")</f>
        <v>+.034</v>
      </c>
      <c r="M29" s="1">
        <f ca="1">IFERROR(__xludf.DUMMYFUNCTION("""COMPUTED_VALUE"""),85)</f>
        <v>85</v>
      </c>
      <c r="N29" s="1" t="str">
        <f ca="1">IFERROR(__xludf.DUMMYFUNCTION("""COMPUTED_VALUE"""),"+4.08")</f>
        <v>+4.08</v>
      </c>
      <c r="O29" s="1">
        <f ca="1">IFERROR(__xludf.DUMMYFUNCTION("""COMPUTED_VALUE"""),92)</f>
        <v>92</v>
      </c>
      <c r="P29" s="1">
        <f ca="1">IFERROR(__xludf.DUMMYFUNCTION("""COMPUTED_VALUE"""),105.7)</f>
        <v>105.7</v>
      </c>
      <c r="Q29" s="1">
        <f ca="1">IFERROR(__xludf.DUMMYFUNCTION("""COMPUTED_VALUE"""),73)</f>
        <v>73</v>
      </c>
      <c r="R29" s="1">
        <f ca="1">IFERROR(__xludf.DUMMYFUNCTION("""COMPUTED_VALUE"""),101.6)</f>
        <v>101.6</v>
      </c>
      <c r="S29" s="1">
        <f ca="1">IFERROR(__xludf.DUMMYFUNCTION("""COMPUTED_VALUE"""),115)</f>
        <v>115</v>
      </c>
      <c r="T29" s="1">
        <f ca="1">IFERROR(__xludf.DUMMYFUNCTION("""COMPUTED_VALUE"""),-1.58)</f>
        <v>-1.58</v>
      </c>
      <c r="U29" s="1">
        <f ca="1">IFERROR(__xludf.DUMMYFUNCTION("""COMPUTED_VALUE"""),200)</f>
        <v>200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IFERROR(__xludf.DUMMYFUNCTION("""COMPUTED_VALUE"""),"Pittsburgh3")</f>
        <v>Pittsburgh3</v>
      </c>
      <c r="C30" s="1" t="str">
        <f ca="1">IFERROR(__xludf.DUMMYFUNCTION("""COMPUTED_VALUE"""),"BE")</f>
        <v>BE</v>
      </c>
      <c r="D30" s="1" t="str">
        <f ca="1">IFERROR(__xludf.DUMMYFUNCTION("""COMPUTED_VALUE"""),"25-9")</f>
        <v>25-9</v>
      </c>
      <c r="E30" s="1" t="str">
        <f ca="1">IFERROR(__xludf.DUMMYFUNCTION("""COMPUTED_VALUE"""),"+18.66")</f>
        <v>+18.66</v>
      </c>
      <c r="F30" s="1">
        <f ca="1">IFERROR(__xludf.DUMMYFUNCTION("""COMPUTED_VALUE"""),111.4)</f>
        <v>111.4</v>
      </c>
      <c r="G30" s="1">
        <f ca="1">IFERROR(__xludf.DUMMYFUNCTION("""COMPUTED_VALUE"""),47)</f>
        <v>47</v>
      </c>
      <c r="H30" s="1">
        <f ca="1">IFERROR(__xludf.DUMMYFUNCTION("""COMPUTED_VALUE"""),92.8)</f>
        <v>92.8</v>
      </c>
      <c r="I30" s="1">
        <f ca="1">IFERROR(__xludf.DUMMYFUNCTION("""COMPUTED_VALUE"""),28)</f>
        <v>28</v>
      </c>
      <c r="J30" s="1">
        <f ca="1">IFERROR(__xludf.DUMMYFUNCTION("""COMPUTED_VALUE"""),61.3)</f>
        <v>61.3</v>
      </c>
      <c r="K30" s="1">
        <f ca="1">IFERROR(__xludf.DUMMYFUNCTION("""COMPUTED_VALUE"""),319)</f>
        <v>319</v>
      </c>
      <c r="L30" s="1" t="str">
        <f ca="1">IFERROR(__xludf.DUMMYFUNCTION("""COMPUTED_VALUE"""),"+.041")</f>
        <v>+.041</v>
      </c>
      <c r="M30" s="1">
        <f ca="1">IFERROR(__xludf.DUMMYFUNCTION("""COMPUTED_VALUE"""),76)</f>
        <v>76</v>
      </c>
      <c r="N30" s="1" t="str">
        <f ca="1">IFERROR(__xludf.DUMMYFUNCTION("""COMPUTED_VALUE"""),"+7.87")</f>
        <v>+7.87</v>
      </c>
      <c r="O30" s="1">
        <f ca="1">IFERROR(__xludf.DUMMYFUNCTION("""COMPUTED_VALUE"""),50)</f>
        <v>50</v>
      </c>
      <c r="P30" s="1">
        <f ca="1">IFERROR(__xludf.DUMMYFUNCTION("""COMPUTED_VALUE"""),107.7)</f>
        <v>107.7</v>
      </c>
      <c r="Q30" s="1">
        <f ca="1">IFERROR(__xludf.DUMMYFUNCTION("""COMPUTED_VALUE"""),23)</f>
        <v>23</v>
      </c>
      <c r="R30" s="1">
        <f ca="1">IFERROR(__xludf.DUMMYFUNCTION("""COMPUTED_VALUE"""),99.8)</f>
        <v>99.8</v>
      </c>
      <c r="S30" s="1">
        <f ca="1">IFERROR(__xludf.DUMMYFUNCTION("""COMPUTED_VALUE"""),66)</f>
        <v>66</v>
      </c>
      <c r="T30" s="1">
        <f ca="1">IFERROR(__xludf.DUMMYFUNCTION("""COMPUTED_VALUE"""),-2.76)</f>
        <v>-2.76</v>
      </c>
      <c r="U30" s="1">
        <f ca="1">IFERROR(__xludf.DUMMYFUNCTION("""COMPUTED_VALUE"""),233)</f>
        <v>233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IFERROR(__xludf.DUMMYFUNCTION("""COMPUTED_VALUE"""),"Saint Mary's10")</f>
        <v>Saint Mary's10</v>
      </c>
      <c r="C31" s="1" t="str">
        <f ca="1">IFERROR(__xludf.DUMMYFUNCTION("""COMPUTED_VALUE"""),"WCC")</f>
        <v>WCC</v>
      </c>
      <c r="D31" s="1" t="str">
        <f ca="1">IFERROR(__xludf.DUMMYFUNCTION("""COMPUTED_VALUE"""),"28-6")</f>
        <v>28-6</v>
      </c>
      <c r="E31" s="1" t="str">
        <f ca="1">IFERROR(__xludf.DUMMYFUNCTION("""COMPUTED_VALUE"""),"+18.59")</f>
        <v>+18.59</v>
      </c>
      <c r="F31" s="1">
        <f ca="1">IFERROR(__xludf.DUMMYFUNCTION("""COMPUTED_VALUE"""),116.5)</f>
        <v>116.5</v>
      </c>
      <c r="G31" s="1">
        <f ca="1">IFERROR(__xludf.DUMMYFUNCTION("""COMPUTED_VALUE"""),14)</f>
        <v>14</v>
      </c>
      <c r="H31" s="1">
        <f ca="1">IFERROR(__xludf.DUMMYFUNCTION("""COMPUTED_VALUE"""),97.9)</f>
        <v>97.9</v>
      </c>
      <c r="I31" s="1">
        <f ca="1">IFERROR(__xludf.DUMMYFUNCTION("""COMPUTED_VALUE"""),85)</f>
        <v>85</v>
      </c>
      <c r="J31" s="1">
        <f ca="1">IFERROR(__xludf.DUMMYFUNCTION("""COMPUTED_VALUE"""),66.2)</f>
        <v>66.2</v>
      </c>
      <c r="K31" s="1">
        <f ca="1">IFERROR(__xludf.DUMMYFUNCTION("""COMPUTED_VALUE"""),158)</f>
        <v>158</v>
      </c>
      <c r="L31" s="1" t="str">
        <f ca="1">IFERROR(__xludf.DUMMYFUNCTION("""COMPUTED_VALUE"""),"+.038")</f>
        <v>+.038</v>
      </c>
      <c r="M31" s="1">
        <f ca="1">IFERROR(__xludf.DUMMYFUNCTION("""COMPUTED_VALUE"""),82)</f>
        <v>82</v>
      </c>
      <c r="N31" s="1" t="str">
        <f ca="1">IFERROR(__xludf.DUMMYFUNCTION("""COMPUTED_VALUE"""),"+2.72")</f>
        <v>+2.72</v>
      </c>
      <c r="O31" s="1">
        <f ca="1">IFERROR(__xludf.DUMMYFUNCTION("""COMPUTED_VALUE"""),115)</f>
        <v>115</v>
      </c>
      <c r="P31" s="1">
        <f ca="1">IFERROR(__xludf.DUMMYFUNCTION("""COMPUTED_VALUE"""),105.4)</f>
        <v>105.4</v>
      </c>
      <c r="Q31" s="1">
        <f ca="1">IFERROR(__xludf.DUMMYFUNCTION("""COMPUTED_VALUE"""),81)</f>
        <v>81</v>
      </c>
      <c r="R31" s="1">
        <f ca="1">IFERROR(__xludf.DUMMYFUNCTION("""COMPUTED_VALUE"""),102.7)</f>
        <v>102.7</v>
      </c>
      <c r="S31" s="1">
        <f ca="1">IFERROR(__xludf.DUMMYFUNCTION("""COMPUTED_VALUE"""),166)</f>
        <v>166</v>
      </c>
      <c r="T31" s="1" t="str">
        <f ca="1">IFERROR(__xludf.DUMMYFUNCTION("""COMPUTED_VALUE"""),"+1.18")</f>
        <v>+1.18</v>
      </c>
      <c r="U31" s="1">
        <f ca="1">IFERROR(__xludf.DUMMYFUNCTION("""COMPUTED_VALUE"""),123)</f>
        <v>123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IFERROR(__xludf.DUMMYFUNCTION("""COMPUTED_VALUE"""),"Tennessee6")</f>
        <v>Tennessee6</v>
      </c>
      <c r="C32" s="1" t="str">
        <f ca="1">IFERROR(__xludf.DUMMYFUNCTION("""COMPUTED_VALUE"""),"SEC")</f>
        <v>SEC</v>
      </c>
      <c r="D32" s="1" t="str">
        <f ca="1">IFERROR(__xludf.DUMMYFUNCTION("""COMPUTED_VALUE"""),"28-9")</f>
        <v>28-9</v>
      </c>
      <c r="E32" s="1" t="str">
        <f ca="1">IFERROR(__xludf.DUMMYFUNCTION("""COMPUTED_VALUE"""),"+18.50")</f>
        <v>+18.50</v>
      </c>
      <c r="F32" s="1">
        <f ca="1">IFERROR(__xludf.DUMMYFUNCTION("""COMPUTED_VALUE"""),108.9)</f>
        <v>108.9</v>
      </c>
      <c r="G32" s="1">
        <f ca="1">IFERROR(__xludf.DUMMYFUNCTION("""COMPUTED_VALUE"""),75)</f>
        <v>75</v>
      </c>
      <c r="H32" s="1">
        <f ca="1">IFERROR(__xludf.DUMMYFUNCTION("""COMPUTED_VALUE"""),90.4)</f>
        <v>90.4</v>
      </c>
      <c r="I32" s="1">
        <f ca="1">IFERROR(__xludf.DUMMYFUNCTION("""COMPUTED_VALUE"""),11)</f>
        <v>11</v>
      </c>
      <c r="J32" s="1">
        <f ca="1">IFERROR(__xludf.DUMMYFUNCTION("""COMPUTED_VALUE"""),67.5)</f>
        <v>67.5</v>
      </c>
      <c r="K32" s="1">
        <f ca="1">IFERROR(__xludf.DUMMYFUNCTION("""COMPUTED_VALUE"""),91)</f>
        <v>91</v>
      </c>
      <c r="L32" s="1" t="str">
        <f ca="1">IFERROR(__xludf.DUMMYFUNCTION("""COMPUTED_VALUE"""),"+.082")</f>
        <v>+.082</v>
      </c>
      <c r="M32" s="1">
        <f ca="1">IFERROR(__xludf.DUMMYFUNCTION("""COMPUTED_VALUE"""),20)</f>
        <v>20</v>
      </c>
      <c r="N32" s="1" t="str">
        <f ca="1">IFERROR(__xludf.DUMMYFUNCTION("""COMPUTED_VALUE"""),"+8.67")</f>
        <v>+8.67</v>
      </c>
      <c r="O32" s="1">
        <f ca="1">IFERROR(__xludf.DUMMYFUNCTION("""COMPUTED_VALUE"""),34)</f>
        <v>34</v>
      </c>
      <c r="P32" s="1">
        <f ca="1">IFERROR(__xludf.DUMMYFUNCTION("""COMPUTED_VALUE"""),107.4)</f>
        <v>107.4</v>
      </c>
      <c r="Q32" s="1">
        <f ca="1">IFERROR(__xludf.DUMMYFUNCTION("""COMPUTED_VALUE"""),32)</f>
        <v>32</v>
      </c>
      <c r="R32" s="1">
        <f ca="1">IFERROR(__xludf.DUMMYFUNCTION("""COMPUTED_VALUE"""),98.7)</f>
        <v>98.7</v>
      </c>
      <c r="S32" s="1">
        <f ca="1">IFERROR(__xludf.DUMMYFUNCTION("""COMPUTED_VALUE"""),35)</f>
        <v>35</v>
      </c>
      <c r="T32" s="1">
        <f ca="1">IFERROR(__xludf.DUMMYFUNCTION("""COMPUTED_VALUE"""),-0.48)</f>
        <v>-0.48</v>
      </c>
      <c r="U32" s="1">
        <f ca="1">IFERROR(__xludf.DUMMYFUNCTION("""COMPUTED_VALUE"""),160)</f>
        <v>160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IFERROR(__xludf.DUMMYFUNCTION("""COMPUTED_VALUE"""),"Georgia Tech10")</f>
        <v>Georgia Tech10</v>
      </c>
      <c r="C33" s="1" t="str">
        <f ca="1">IFERROR(__xludf.DUMMYFUNCTION("""COMPUTED_VALUE"""),"ACC")</f>
        <v>ACC</v>
      </c>
      <c r="D33" s="1" t="str">
        <f ca="1">IFERROR(__xludf.DUMMYFUNCTION("""COMPUTED_VALUE"""),"23-13")</f>
        <v>23-13</v>
      </c>
      <c r="E33" s="1" t="str">
        <f ca="1">IFERROR(__xludf.DUMMYFUNCTION("""COMPUTED_VALUE"""),"+18.22")</f>
        <v>+18.22</v>
      </c>
      <c r="F33" s="1">
        <f ca="1">IFERROR(__xludf.DUMMYFUNCTION("""COMPUTED_VALUE"""),109.2)</f>
        <v>109.2</v>
      </c>
      <c r="G33" s="1">
        <f ca="1">IFERROR(__xludf.DUMMYFUNCTION("""COMPUTED_VALUE"""),71)</f>
        <v>71</v>
      </c>
      <c r="H33" s="1">
        <f ca="1">IFERROR(__xludf.DUMMYFUNCTION("""COMPUTED_VALUE"""),91)</f>
        <v>91</v>
      </c>
      <c r="I33" s="1">
        <f ca="1">IFERROR(__xludf.DUMMYFUNCTION("""COMPUTED_VALUE"""),15)</f>
        <v>15</v>
      </c>
      <c r="J33" s="1">
        <f ca="1">IFERROR(__xludf.DUMMYFUNCTION("""COMPUTED_VALUE"""),68.2)</f>
        <v>68.2</v>
      </c>
      <c r="K33" s="1">
        <f ca="1">IFERROR(__xludf.DUMMYFUNCTION("""COMPUTED_VALUE"""),67)</f>
        <v>67</v>
      </c>
      <c r="L33" s="1">
        <f ca="1">IFERROR(__xludf.DUMMYFUNCTION("""COMPUTED_VALUE"""),-0.034)</f>
        <v>-3.4000000000000002E-2</v>
      </c>
      <c r="M33" s="1">
        <f ca="1">IFERROR(__xludf.DUMMYFUNCTION("""COMPUTED_VALUE"""),262)</f>
        <v>262</v>
      </c>
      <c r="N33" s="1" t="str">
        <f ca="1">IFERROR(__xludf.DUMMYFUNCTION("""COMPUTED_VALUE"""),"+10.94")</f>
        <v>+10.94</v>
      </c>
      <c r="O33" s="1">
        <f ca="1">IFERROR(__xludf.DUMMYFUNCTION("""COMPUTED_VALUE"""),7)</f>
        <v>7</v>
      </c>
      <c r="P33" s="1">
        <f ca="1">IFERROR(__xludf.DUMMYFUNCTION("""COMPUTED_VALUE"""),107.4)</f>
        <v>107.4</v>
      </c>
      <c r="Q33" s="1">
        <f ca="1">IFERROR(__xludf.DUMMYFUNCTION("""COMPUTED_VALUE"""),31)</f>
        <v>31</v>
      </c>
      <c r="R33" s="1">
        <f ca="1">IFERROR(__xludf.DUMMYFUNCTION("""COMPUTED_VALUE"""),96.4)</f>
        <v>96.4</v>
      </c>
      <c r="S33" s="1">
        <f ca="1">IFERROR(__xludf.DUMMYFUNCTION("""COMPUTED_VALUE"""),2)</f>
        <v>2</v>
      </c>
      <c r="T33" s="1">
        <f ca="1">IFERROR(__xludf.DUMMYFUNCTION("""COMPUTED_VALUE"""),-2.46)</f>
        <v>-2.46</v>
      </c>
      <c r="U33" s="1">
        <f ca="1">IFERROR(__xludf.DUMMYFUNCTION("""COMPUTED_VALUE"""),229)</f>
        <v>229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IFERROR(__xludf.DUMMYFUNCTION("""COMPUTED_VALUE"""),"Washington11")</f>
        <v>Washington11</v>
      </c>
      <c r="C34" s="1" t="str">
        <f ca="1">IFERROR(__xludf.DUMMYFUNCTION("""COMPUTED_VALUE"""),"P10")</f>
        <v>P10</v>
      </c>
      <c r="D34" s="1" t="str">
        <f ca="1">IFERROR(__xludf.DUMMYFUNCTION("""COMPUTED_VALUE"""),"26-10")</f>
        <v>26-10</v>
      </c>
      <c r="E34" s="1" t="str">
        <f ca="1">IFERROR(__xludf.DUMMYFUNCTION("""COMPUTED_VALUE"""),"+18.19")</f>
        <v>+18.19</v>
      </c>
      <c r="F34" s="1">
        <f ca="1">IFERROR(__xludf.DUMMYFUNCTION("""COMPUTED_VALUE"""),111.7)</f>
        <v>111.7</v>
      </c>
      <c r="G34" s="1">
        <f ca="1">IFERROR(__xludf.DUMMYFUNCTION("""COMPUTED_VALUE"""),44)</f>
        <v>44</v>
      </c>
      <c r="H34" s="1">
        <f ca="1">IFERROR(__xludf.DUMMYFUNCTION("""COMPUTED_VALUE"""),93.6)</f>
        <v>93.6</v>
      </c>
      <c r="I34" s="1">
        <f ca="1">IFERROR(__xludf.DUMMYFUNCTION("""COMPUTED_VALUE"""),33)</f>
        <v>33</v>
      </c>
      <c r="J34" s="1">
        <f ca="1">IFERROR(__xludf.DUMMYFUNCTION("""COMPUTED_VALUE"""),71.7)</f>
        <v>71.7</v>
      </c>
      <c r="K34" s="1">
        <f ca="1">IFERROR(__xludf.DUMMYFUNCTION("""COMPUTED_VALUE"""),10)</f>
        <v>10</v>
      </c>
      <c r="L34" s="1" t="str">
        <f ca="1">IFERROR(__xludf.DUMMYFUNCTION("""COMPUTED_VALUE"""),"+.029")</f>
        <v>+.029</v>
      </c>
      <c r="M34" s="1">
        <f ca="1">IFERROR(__xludf.DUMMYFUNCTION("""COMPUTED_VALUE"""),94)</f>
        <v>94</v>
      </c>
      <c r="N34" s="1" t="str">
        <f ca="1">IFERROR(__xludf.DUMMYFUNCTION("""COMPUTED_VALUE"""),"+6.97")</f>
        <v>+6.97</v>
      </c>
      <c r="O34" s="1">
        <f ca="1">IFERROR(__xludf.DUMMYFUNCTION("""COMPUTED_VALUE"""),57)</f>
        <v>57</v>
      </c>
      <c r="P34" s="1">
        <f ca="1">IFERROR(__xludf.DUMMYFUNCTION("""COMPUTED_VALUE"""),106.7)</f>
        <v>106.7</v>
      </c>
      <c r="Q34" s="1">
        <f ca="1">IFERROR(__xludf.DUMMYFUNCTION("""COMPUTED_VALUE"""),44)</f>
        <v>44</v>
      </c>
      <c r="R34" s="1">
        <f ca="1">IFERROR(__xludf.DUMMYFUNCTION("""COMPUTED_VALUE"""),99.7)</f>
        <v>99.7</v>
      </c>
      <c r="S34" s="1">
        <f ca="1">IFERROR(__xludf.DUMMYFUNCTION("""COMPUTED_VALUE"""),62)</f>
        <v>62</v>
      </c>
      <c r="T34" s="1" t="str">
        <f ca="1">IFERROR(__xludf.DUMMYFUNCTION("""COMPUTED_VALUE"""),"+1.13")</f>
        <v>+1.13</v>
      </c>
      <c r="U34" s="1">
        <f ca="1">IFERROR(__xludf.DUMMYFUNCTION("""COMPUTED_VALUE"""),126)</f>
        <v>126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IFERROR(__xludf.DUMMYFUNCTION("""COMPUTED_VALUE"""),"Florida St.9")</f>
        <v>Florida St.9</v>
      </c>
      <c r="C35" s="1" t="str">
        <f ca="1">IFERROR(__xludf.DUMMYFUNCTION("""COMPUTED_VALUE"""),"ACC")</f>
        <v>ACC</v>
      </c>
      <c r="D35" s="1" t="str">
        <f ca="1">IFERROR(__xludf.DUMMYFUNCTION("""COMPUTED_VALUE"""),"22-10")</f>
        <v>22-10</v>
      </c>
      <c r="E35" s="1" t="str">
        <f ca="1">IFERROR(__xludf.DUMMYFUNCTION("""COMPUTED_VALUE"""),"+18.02")</f>
        <v>+18.02</v>
      </c>
      <c r="F35" s="1">
        <f ca="1">IFERROR(__xludf.DUMMYFUNCTION("""COMPUTED_VALUE"""),105)</f>
        <v>105</v>
      </c>
      <c r="G35" s="1">
        <f ca="1">IFERROR(__xludf.DUMMYFUNCTION("""COMPUTED_VALUE"""),145)</f>
        <v>145</v>
      </c>
      <c r="H35" s="1">
        <f ca="1">IFERROR(__xludf.DUMMYFUNCTION("""COMPUTED_VALUE"""),87)</f>
        <v>87</v>
      </c>
      <c r="I35" s="1">
        <f ca="1">IFERROR(__xludf.DUMMYFUNCTION("""COMPUTED_VALUE"""),2)</f>
        <v>2</v>
      </c>
      <c r="J35" s="1">
        <f ca="1">IFERROR(__xludf.DUMMYFUNCTION("""COMPUTED_VALUE"""),65.3)</f>
        <v>65.3</v>
      </c>
      <c r="K35" s="1">
        <f ca="1">IFERROR(__xludf.DUMMYFUNCTION("""COMPUTED_VALUE"""),208)</f>
        <v>208</v>
      </c>
      <c r="L35" s="1" t="str">
        <f ca="1">IFERROR(__xludf.DUMMYFUNCTION("""COMPUTED_VALUE"""),"+.009")</f>
        <v>+.009</v>
      </c>
      <c r="M35" s="1">
        <f ca="1">IFERROR(__xludf.DUMMYFUNCTION("""COMPUTED_VALUE"""),142)</f>
        <v>142</v>
      </c>
      <c r="N35" s="1" t="str">
        <f ca="1">IFERROR(__xludf.DUMMYFUNCTION("""COMPUTED_VALUE"""),"+9.01")</f>
        <v>+9.01</v>
      </c>
      <c r="O35" s="1">
        <f ca="1">IFERROR(__xludf.DUMMYFUNCTION("""COMPUTED_VALUE"""),26)</f>
        <v>26</v>
      </c>
      <c r="P35" s="1">
        <f ca="1">IFERROR(__xludf.DUMMYFUNCTION("""COMPUTED_VALUE"""),107.3)</f>
        <v>107.3</v>
      </c>
      <c r="Q35" s="1">
        <f ca="1">IFERROR(__xludf.DUMMYFUNCTION("""COMPUTED_VALUE"""),34)</f>
        <v>34</v>
      </c>
      <c r="R35" s="1">
        <f ca="1">IFERROR(__xludf.DUMMYFUNCTION("""COMPUTED_VALUE"""),98.3)</f>
        <v>98.3</v>
      </c>
      <c r="S35" s="1">
        <f ca="1">IFERROR(__xludf.DUMMYFUNCTION("""COMPUTED_VALUE"""),21)</f>
        <v>21</v>
      </c>
      <c r="T35" s="1">
        <f ca="1">IFERROR(__xludf.DUMMYFUNCTION("""COMPUTED_VALUE"""),-2.88)</f>
        <v>-2.88</v>
      </c>
      <c r="U35" s="1">
        <f ca="1">IFERROR(__xludf.DUMMYFUNCTION("""COMPUTED_VALUE"""),241)</f>
        <v>241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IFERROR(__xludf.DUMMYFUNCTION("""COMPUTED_VALUE"""),"Minnesota11")</f>
        <v>Minnesota11</v>
      </c>
      <c r="C36" s="1" t="str">
        <f ca="1">IFERROR(__xludf.DUMMYFUNCTION("""COMPUTED_VALUE"""),"B10")</f>
        <v>B10</v>
      </c>
      <c r="D36" s="1" t="str">
        <f ca="1">IFERROR(__xludf.DUMMYFUNCTION("""COMPUTED_VALUE"""),"21-14")</f>
        <v>21-14</v>
      </c>
      <c r="E36" s="1" t="str">
        <f ca="1">IFERROR(__xludf.DUMMYFUNCTION("""COMPUTED_VALUE"""),"+17.97")</f>
        <v>+17.97</v>
      </c>
      <c r="F36" s="1">
        <f ca="1">IFERROR(__xludf.DUMMYFUNCTION("""COMPUTED_VALUE"""),112)</f>
        <v>112</v>
      </c>
      <c r="G36" s="1">
        <f ca="1">IFERROR(__xludf.DUMMYFUNCTION("""COMPUTED_VALUE"""),41)</f>
        <v>41</v>
      </c>
      <c r="H36" s="1">
        <f ca="1">IFERROR(__xludf.DUMMYFUNCTION("""COMPUTED_VALUE"""),94.1)</f>
        <v>94.1</v>
      </c>
      <c r="I36" s="1">
        <f ca="1">IFERROR(__xludf.DUMMYFUNCTION("""COMPUTED_VALUE"""),41)</f>
        <v>41</v>
      </c>
      <c r="J36" s="1">
        <f ca="1">IFERROR(__xludf.DUMMYFUNCTION("""COMPUTED_VALUE"""),65.6)</f>
        <v>65.599999999999994</v>
      </c>
      <c r="K36" s="1">
        <f ca="1">IFERROR(__xludf.DUMMYFUNCTION("""COMPUTED_VALUE"""),190)</f>
        <v>190</v>
      </c>
      <c r="L36" s="1">
        <f ca="1">IFERROR(__xludf.DUMMYFUNCTION("""COMPUTED_VALUE"""),-0.055)</f>
        <v>-5.5E-2</v>
      </c>
      <c r="M36" s="1">
        <f ca="1">IFERROR(__xludf.DUMMYFUNCTION("""COMPUTED_VALUE"""),302)</f>
        <v>302</v>
      </c>
      <c r="N36" s="1" t="str">
        <f ca="1">IFERROR(__xludf.DUMMYFUNCTION("""COMPUTED_VALUE"""),"+8.37")</f>
        <v>+8.37</v>
      </c>
      <c r="O36" s="1">
        <f ca="1">IFERROR(__xludf.DUMMYFUNCTION("""COMPUTED_VALUE"""),40)</f>
        <v>40</v>
      </c>
      <c r="P36" s="1">
        <f ca="1">IFERROR(__xludf.DUMMYFUNCTION("""COMPUTED_VALUE"""),107.7)</f>
        <v>107.7</v>
      </c>
      <c r="Q36" s="1">
        <f ca="1">IFERROR(__xludf.DUMMYFUNCTION("""COMPUTED_VALUE"""),24)</f>
        <v>24</v>
      </c>
      <c r="R36" s="1">
        <f ca="1">IFERROR(__xludf.DUMMYFUNCTION("""COMPUTED_VALUE"""),99.3)</f>
        <v>99.3</v>
      </c>
      <c r="S36" s="1">
        <f ca="1">IFERROR(__xludf.DUMMYFUNCTION("""COMPUTED_VALUE"""),52)</f>
        <v>52</v>
      </c>
      <c r="T36" s="1">
        <f ca="1">IFERROR(__xludf.DUMMYFUNCTION("""COMPUTED_VALUE"""),-3.72)</f>
        <v>-3.72</v>
      </c>
      <c r="U36" s="1">
        <f ca="1">IFERROR(__xludf.DUMMYFUNCTION("""COMPUTED_VALUE"""),261)</f>
        <v>261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IFERROR(__xludf.DUMMYFUNCTION("""COMPUTED_VALUE"""),"Notre Dame6")</f>
        <v>Notre Dame6</v>
      </c>
      <c r="C37" s="1" t="str">
        <f ca="1">IFERROR(__xludf.DUMMYFUNCTION("""COMPUTED_VALUE"""),"BE")</f>
        <v>BE</v>
      </c>
      <c r="D37" s="1" t="str">
        <f ca="1">IFERROR(__xludf.DUMMYFUNCTION("""COMPUTED_VALUE"""),"23-12")</f>
        <v>23-12</v>
      </c>
      <c r="E37" s="1" t="str">
        <f ca="1">IFERROR(__xludf.DUMMYFUNCTION("""COMPUTED_VALUE"""),"+17.71")</f>
        <v>+17.71</v>
      </c>
      <c r="F37" s="1">
        <f ca="1">IFERROR(__xludf.DUMMYFUNCTION("""COMPUTED_VALUE"""),119.4)</f>
        <v>119.4</v>
      </c>
      <c r="G37" s="1">
        <f ca="1">IFERROR(__xludf.DUMMYFUNCTION("""COMPUTED_VALUE"""),4)</f>
        <v>4</v>
      </c>
      <c r="H37" s="1">
        <f ca="1">IFERROR(__xludf.DUMMYFUNCTION("""COMPUTED_VALUE"""),101.7)</f>
        <v>101.7</v>
      </c>
      <c r="I37" s="1">
        <f ca="1">IFERROR(__xludf.DUMMYFUNCTION("""COMPUTED_VALUE"""),153)</f>
        <v>153</v>
      </c>
      <c r="J37" s="1">
        <f ca="1">IFERROR(__xludf.DUMMYFUNCTION("""COMPUTED_VALUE"""),62.4)</f>
        <v>62.4</v>
      </c>
      <c r="K37" s="1">
        <f ca="1">IFERROR(__xludf.DUMMYFUNCTION("""COMPUTED_VALUE"""),302)</f>
        <v>302</v>
      </c>
      <c r="L37" s="1">
        <f ca="1">IFERROR(__xludf.DUMMYFUNCTION("""COMPUTED_VALUE"""),-0.068)</f>
        <v>-6.8000000000000005E-2</v>
      </c>
      <c r="M37" s="1">
        <f ca="1">IFERROR(__xludf.DUMMYFUNCTION("""COMPUTED_VALUE"""),320)</f>
        <v>320</v>
      </c>
      <c r="N37" s="1" t="str">
        <f ca="1">IFERROR(__xludf.DUMMYFUNCTION("""COMPUTED_VALUE"""),"+6.28")</f>
        <v>+6.28</v>
      </c>
      <c r="O37" s="1">
        <f ca="1">IFERROR(__xludf.DUMMYFUNCTION("""COMPUTED_VALUE"""),66)</f>
        <v>66</v>
      </c>
      <c r="P37" s="1">
        <f ca="1">IFERROR(__xludf.DUMMYFUNCTION("""COMPUTED_VALUE"""),106.5)</f>
        <v>106.5</v>
      </c>
      <c r="Q37" s="1">
        <f ca="1">IFERROR(__xludf.DUMMYFUNCTION("""COMPUTED_VALUE"""),51)</f>
        <v>51</v>
      </c>
      <c r="R37" s="1">
        <f ca="1">IFERROR(__xludf.DUMMYFUNCTION("""COMPUTED_VALUE"""),100.2)</f>
        <v>100.2</v>
      </c>
      <c r="S37" s="1">
        <f ca="1">IFERROR(__xludf.DUMMYFUNCTION("""COMPUTED_VALUE"""),84)</f>
        <v>84</v>
      </c>
      <c r="T37" s="1">
        <f ca="1">IFERROR(__xludf.DUMMYFUNCTION("""COMPUTED_VALUE"""),-9.08)</f>
        <v>-9.08</v>
      </c>
      <c r="U37" s="1">
        <f ca="1">IFERROR(__xludf.DUMMYFUNCTION("""COMPUTED_VALUE"""),341)</f>
        <v>341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IFERROR(__xludf.DUMMYFUNCTION("""COMPUTED_VALUE"""),"Vanderbilt4")</f>
        <v>Vanderbilt4</v>
      </c>
      <c r="C38" s="1" t="str">
        <f ca="1">IFERROR(__xludf.DUMMYFUNCTION("""COMPUTED_VALUE"""),"SEC")</f>
        <v>SEC</v>
      </c>
      <c r="D38" s="1" t="str">
        <f ca="1">IFERROR(__xludf.DUMMYFUNCTION("""COMPUTED_VALUE"""),"24-9")</f>
        <v>24-9</v>
      </c>
      <c r="E38" s="1" t="str">
        <f ca="1">IFERROR(__xludf.DUMMYFUNCTION("""COMPUTED_VALUE"""),"+17.54")</f>
        <v>+17.54</v>
      </c>
      <c r="F38" s="1">
        <f ca="1">IFERROR(__xludf.DUMMYFUNCTION("""COMPUTED_VALUE"""),113.7)</f>
        <v>113.7</v>
      </c>
      <c r="G38" s="1">
        <f ca="1">IFERROR(__xludf.DUMMYFUNCTION("""COMPUTED_VALUE"""),25)</f>
        <v>25</v>
      </c>
      <c r="H38" s="1">
        <f ca="1">IFERROR(__xludf.DUMMYFUNCTION("""COMPUTED_VALUE"""),96.2)</f>
        <v>96.2</v>
      </c>
      <c r="I38" s="1">
        <f ca="1">IFERROR(__xludf.DUMMYFUNCTION("""COMPUTED_VALUE"""),64)</f>
        <v>64</v>
      </c>
      <c r="J38" s="1">
        <f ca="1">IFERROR(__xludf.DUMMYFUNCTION("""COMPUTED_VALUE"""),68.7)</f>
        <v>68.7</v>
      </c>
      <c r="K38" s="1">
        <f ca="1">IFERROR(__xludf.DUMMYFUNCTION("""COMPUTED_VALUE"""),56)</f>
        <v>56</v>
      </c>
      <c r="L38" s="1" t="str">
        <f ca="1">IFERROR(__xludf.DUMMYFUNCTION("""COMPUTED_VALUE"""),"+.019")</f>
        <v>+.019</v>
      </c>
      <c r="M38" s="1">
        <f ca="1">IFERROR(__xludf.DUMMYFUNCTION("""COMPUTED_VALUE"""),115)</f>
        <v>115</v>
      </c>
      <c r="N38" s="1" t="str">
        <f ca="1">IFERROR(__xludf.DUMMYFUNCTION("""COMPUTED_VALUE"""),"+8.14")</f>
        <v>+8.14</v>
      </c>
      <c r="O38" s="1">
        <f ca="1">IFERROR(__xludf.DUMMYFUNCTION("""COMPUTED_VALUE"""),45)</f>
        <v>45</v>
      </c>
      <c r="P38" s="1">
        <f ca="1">IFERROR(__xludf.DUMMYFUNCTION("""COMPUTED_VALUE"""),107.1)</f>
        <v>107.1</v>
      </c>
      <c r="Q38" s="1">
        <f ca="1">IFERROR(__xludf.DUMMYFUNCTION("""COMPUTED_VALUE"""),37)</f>
        <v>37</v>
      </c>
      <c r="R38" s="1">
        <f ca="1">IFERROR(__xludf.DUMMYFUNCTION("""COMPUTED_VALUE"""),99)</f>
        <v>99</v>
      </c>
      <c r="S38" s="1">
        <f ca="1">IFERROR(__xludf.DUMMYFUNCTION("""COMPUTED_VALUE"""),47)</f>
        <v>47</v>
      </c>
      <c r="T38" s="1" t="str">
        <f ca="1">IFERROR(__xludf.DUMMYFUNCTION("""COMPUTED_VALUE"""),"+1.50")</f>
        <v>+1.50</v>
      </c>
      <c r="U38" s="1">
        <f ca="1">IFERROR(__xludf.DUMMYFUNCTION("""COMPUTED_VALUE"""),117)</f>
        <v>117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IFERROR(__xludf.DUMMYFUNCTION("""COMPUTED_VALUE"""),"Old Dominion11")</f>
        <v>Old Dominion11</v>
      </c>
      <c r="C39" s="1" t="str">
        <f ca="1">IFERROR(__xludf.DUMMYFUNCTION("""COMPUTED_VALUE"""),"CAA")</f>
        <v>CAA</v>
      </c>
      <c r="D39" s="1" t="str">
        <f ca="1">IFERROR(__xludf.DUMMYFUNCTION("""COMPUTED_VALUE"""),"27-9")</f>
        <v>27-9</v>
      </c>
      <c r="E39" s="1" t="str">
        <f ca="1">IFERROR(__xludf.DUMMYFUNCTION("""COMPUTED_VALUE"""),"+17.51")</f>
        <v>+17.51</v>
      </c>
      <c r="F39" s="1">
        <f ca="1">IFERROR(__xludf.DUMMYFUNCTION("""COMPUTED_VALUE"""),107.8)</f>
        <v>107.8</v>
      </c>
      <c r="G39" s="1">
        <f ca="1">IFERROR(__xludf.DUMMYFUNCTION("""COMPUTED_VALUE"""),90)</f>
        <v>90</v>
      </c>
      <c r="H39" s="1">
        <f ca="1">IFERROR(__xludf.DUMMYFUNCTION("""COMPUTED_VALUE"""),90.3)</f>
        <v>90.3</v>
      </c>
      <c r="I39" s="1">
        <f ca="1">IFERROR(__xludf.DUMMYFUNCTION("""COMPUTED_VALUE"""),10)</f>
        <v>10</v>
      </c>
      <c r="J39" s="1">
        <f ca="1">IFERROR(__xludf.DUMMYFUNCTION("""COMPUTED_VALUE"""),62.6)</f>
        <v>62.6</v>
      </c>
      <c r="K39" s="1">
        <f ca="1">IFERROR(__xludf.DUMMYFUNCTION("""COMPUTED_VALUE"""),295)</f>
        <v>295</v>
      </c>
      <c r="L39" s="1" t="str">
        <f ca="1">IFERROR(__xludf.DUMMYFUNCTION("""COMPUTED_VALUE"""),"+.009")</f>
        <v>+.009</v>
      </c>
      <c r="M39" s="1">
        <f ca="1">IFERROR(__xludf.DUMMYFUNCTION("""COMPUTED_VALUE"""),141)</f>
        <v>141</v>
      </c>
      <c r="N39" s="1" t="str">
        <f ca="1">IFERROR(__xludf.DUMMYFUNCTION("""COMPUTED_VALUE"""),"+3.17")</f>
        <v>+3.17</v>
      </c>
      <c r="O39" s="1">
        <f ca="1">IFERROR(__xludf.DUMMYFUNCTION("""COMPUTED_VALUE"""),108)</f>
        <v>108</v>
      </c>
      <c r="P39" s="1">
        <f ca="1">IFERROR(__xludf.DUMMYFUNCTION("""COMPUTED_VALUE"""),105)</f>
        <v>105</v>
      </c>
      <c r="Q39" s="1">
        <f ca="1">IFERROR(__xludf.DUMMYFUNCTION("""COMPUTED_VALUE"""),90)</f>
        <v>90</v>
      </c>
      <c r="R39" s="1">
        <f ca="1">IFERROR(__xludf.DUMMYFUNCTION("""COMPUTED_VALUE"""),101.9)</f>
        <v>101.9</v>
      </c>
      <c r="S39" s="1">
        <f ca="1">IFERROR(__xludf.DUMMYFUNCTION("""COMPUTED_VALUE"""),127)</f>
        <v>127</v>
      </c>
      <c r="T39" s="1" t="str">
        <f ca="1">IFERROR(__xludf.DUMMYFUNCTION("""COMPUTED_VALUE"""),"+6.16")</f>
        <v>+6.16</v>
      </c>
      <c r="U39" s="1">
        <f ca="1">IFERROR(__xludf.DUMMYFUNCTION("""COMPUTED_VALUE"""),44)</f>
        <v>44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IFERROR(__xludf.DUMMYFUNCTION("""COMPUTED_VALUE"""),"Louisville9")</f>
        <v>Louisville9</v>
      </c>
      <c r="C40" s="1" t="str">
        <f ca="1">IFERROR(__xludf.DUMMYFUNCTION("""COMPUTED_VALUE"""),"BE")</f>
        <v>BE</v>
      </c>
      <c r="D40" s="1" t="str">
        <f ca="1">IFERROR(__xludf.DUMMYFUNCTION("""COMPUTED_VALUE"""),"20-13")</f>
        <v>20-13</v>
      </c>
      <c r="E40" s="1" t="str">
        <f ca="1">IFERROR(__xludf.DUMMYFUNCTION("""COMPUTED_VALUE"""),"+16.91")</f>
        <v>+16.91</v>
      </c>
      <c r="F40" s="1">
        <f ca="1">IFERROR(__xludf.DUMMYFUNCTION("""COMPUTED_VALUE"""),114.5)</f>
        <v>114.5</v>
      </c>
      <c r="G40" s="1">
        <f ca="1">IFERROR(__xludf.DUMMYFUNCTION("""COMPUTED_VALUE"""),23)</f>
        <v>23</v>
      </c>
      <c r="H40" s="1">
        <f ca="1">IFERROR(__xludf.DUMMYFUNCTION("""COMPUTED_VALUE"""),97.6)</f>
        <v>97.6</v>
      </c>
      <c r="I40" s="1">
        <f ca="1">IFERROR(__xludf.DUMMYFUNCTION("""COMPUTED_VALUE"""),78)</f>
        <v>78</v>
      </c>
      <c r="J40" s="1">
        <f ca="1">IFERROR(__xludf.DUMMYFUNCTION("""COMPUTED_VALUE"""),66.3)</f>
        <v>66.3</v>
      </c>
      <c r="K40" s="1">
        <f ca="1">IFERROR(__xludf.DUMMYFUNCTION("""COMPUTED_VALUE"""),151)</f>
        <v>151</v>
      </c>
      <c r="L40" s="1">
        <f ca="1">IFERROR(__xludf.DUMMYFUNCTION("""COMPUTED_VALUE"""),-0.038)</f>
        <v>-3.7999999999999999E-2</v>
      </c>
      <c r="M40" s="1">
        <f ca="1">IFERROR(__xludf.DUMMYFUNCTION("""COMPUTED_VALUE"""),271)</f>
        <v>271</v>
      </c>
      <c r="N40" s="1" t="str">
        <f ca="1">IFERROR(__xludf.DUMMYFUNCTION("""COMPUTED_VALUE"""),"+8.87")</f>
        <v>+8.87</v>
      </c>
      <c r="O40" s="1">
        <f ca="1">IFERROR(__xludf.DUMMYFUNCTION("""COMPUTED_VALUE"""),29)</f>
        <v>29</v>
      </c>
      <c r="P40" s="1">
        <f ca="1">IFERROR(__xludf.DUMMYFUNCTION("""COMPUTED_VALUE"""),107.8)</f>
        <v>107.8</v>
      </c>
      <c r="Q40" s="1">
        <f ca="1">IFERROR(__xludf.DUMMYFUNCTION("""COMPUTED_VALUE"""),20)</f>
        <v>20</v>
      </c>
      <c r="R40" s="1">
        <f ca="1">IFERROR(__xludf.DUMMYFUNCTION("""COMPUTED_VALUE"""),99)</f>
        <v>99</v>
      </c>
      <c r="S40" s="1">
        <f ca="1">IFERROR(__xludf.DUMMYFUNCTION("""COMPUTED_VALUE"""),46)</f>
        <v>46</v>
      </c>
      <c r="T40" s="1">
        <f ca="1">IFERROR(__xludf.DUMMYFUNCTION("""COMPUTED_VALUE"""),-1.62)</f>
        <v>-1.62</v>
      </c>
      <c r="U40" s="1">
        <f ca="1">IFERROR(__xludf.DUMMYFUNCTION("""COMPUTED_VALUE"""),203)</f>
        <v>203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IFERROR(__xludf.DUMMYFUNCTION("""COMPUTED_VALUE"""),"Oklahoma St.7")</f>
        <v>Oklahoma St.7</v>
      </c>
      <c r="C41" s="1" t="str">
        <f ca="1">IFERROR(__xludf.DUMMYFUNCTION("""COMPUTED_VALUE"""),"B12")</f>
        <v>B12</v>
      </c>
      <c r="D41" s="1" t="str">
        <f ca="1">IFERROR(__xludf.DUMMYFUNCTION("""COMPUTED_VALUE"""),"22-11")</f>
        <v>22-11</v>
      </c>
      <c r="E41" s="1" t="str">
        <f ca="1">IFERROR(__xludf.DUMMYFUNCTION("""COMPUTED_VALUE"""),"+16.72")</f>
        <v>+16.72</v>
      </c>
      <c r="F41" s="1">
        <f ca="1">IFERROR(__xludf.DUMMYFUNCTION("""COMPUTED_VALUE"""),112.2)</f>
        <v>112.2</v>
      </c>
      <c r="G41" s="1">
        <f ca="1">IFERROR(__xludf.DUMMYFUNCTION("""COMPUTED_VALUE"""),40)</f>
        <v>40</v>
      </c>
      <c r="H41" s="1">
        <f ca="1">IFERROR(__xludf.DUMMYFUNCTION("""COMPUTED_VALUE"""),95.4)</f>
        <v>95.4</v>
      </c>
      <c r="I41" s="1">
        <f ca="1">IFERROR(__xludf.DUMMYFUNCTION("""COMPUTED_VALUE"""),54)</f>
        <v>54</v>
      </c>
      <c r="J41" s="1">
        <f ca="1">IFERROR(__xludf.DUMMYFUNCTION("""COMPUTED_VALUE"""),66.2)</f>
        <v>66.2</v>
      </c>
      <c r="K41" s="1">
        <f ca="1">IFERROR(__xludf.DUMMYFUNCTION("""COMPUTED_VALUE"""),159)</f>
        <v>159</v>
      </c>
      <c r="L41" s="1" t="str">
        <f ca="1">IFERROR(__xludf.DUMMYFUNCTION("""COMPUTED_VALUE"""),"+.011")</f>
        <v>+.011</v>
      </c>
      <c r="M41" s="1">
        <f ca="1">IFERROR(__xludf.DUMMYFUNCTION("""COMPUTED_VALUE"""),136)</f>
        <v>136</v>
      </c>
      <c r="N41" s="1" t="str">
        <f ca="1">IFERROR(__xludf.DUMMYFUNCTION("""COMPUTED_VALUE"""),"+8.47")</f>
        <v>+8.47</v>
      </c>
      <c r="O41" s="1">
        <f ca="1">IFERROR(__xludf.DUMMYFUNCTION("""COMPUTED_VALUE"""),38)</f>
        <v>38</v>
      </c>
      <c r="P41" s="1">
        <f ca="1">IFERROR(__xludf.DUMMYFUNCTION("""COMPUTED_VALUE"""),107.2)</f>
        <v>107.2</v>
      </c>
      <c r="Q41" s="1">
        <f ca="1">IFERROR(__xludf.DUMMYFUNCTION("""COMPUTED_VALUE"""),36)</f>
        <v>36</v>
      </c>
      <c r="R41" s="1">
        <f ca="1">IFERROR(__xludf.DUMMYFUNCTION("""COMPUTED_VALUE"""),98.7)</f>
        <v>98.7</v>
      </c>
      <c r="S41" s="1">
        <f ca="1">IFERROR(__xludf.DUMMYFUNCTION("""COMPUTED_VALUE"""),36)</f>
        <v>36</v>
      </c>
      <c r="T41" s="1">
        <f ca="1">IFERROR(__xludf.DUMMYFUNCTION("""COMPUTED_VALUE"""),-4.33)</f>
        <v>-4.33</v>
      </c>
      <c r="U41" s="1">
        <f ca="1">IFERROR(__xludf.DUMMYFUNCTION("""COMPUTED_VALUE"""),274)</f>
        <v>274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IFERROR(__xludf.DUMMYFUNCTION("""COMPUTED_VALUE"""),"San Diego St.11")</f>
        <v>San Diego St.11</v>
      </c>
      <c r="C42" s="1" t="str">
        <f ca="1">IFERROR(__xludf.DUMMYFUNCTION("""COMPUTED_VALUE"""),"MWC")</f>
        <v>MWC</v>
      </c>
      <c r="D42" s="1" t="str">
        <f ca="1">IFERROR(__xludf.DUMMYFUNCTION("""COMPUTED_VALUE"""),"25-9")</f>
        <v>25-9</v>
      </c>
      <c r="E42" s="1" t="str">
        <f ca="1">IFERROR(__xludf.DUMMYFUNCTION("""COMPUTED_VALUE"""),"+16.58")</f>
        <v>+16.58</v>
      </c>
      <c r="F42" s="1">
        <f ca="1">IFERROR(__xludf.DUMMYFUNCTION("""COMPUTED_VALUE"""),111.4)</f>
        <v>111.4</v>
      </c>
      <c r="G42" s="1">
        <f ca="1">IFERROR(__xludf.DUMMYFUNCTION("""COMPUTED_VALUE"""),48)</f>
        <v>48</v>
      </c>
      <c r="H42" s="1">
        <f ca="1">IFERROR(__xludf.DUMMYFUNCTION("""COMPUTED_VALUE"""),94.9)</f>
        <v>94.9</v>
      </c>
      <c r="I42" s="1">
        <f ca="1">IFERROR(__xludf.DUMMYFUNCTION("""COMPUTED_VALUE"""),51)</f>
        <v>51</v>
      </c>
      <c r="J42" s="1">
        <f ca="1">IFERROR(__xludf.DUMMYFUNCTION("""COMPUTED_VALUE"""),63.1)</f>
        <v>63.1</v>
      </c>
      <c r="K42" s="1">
        <f ca="1">IFERROR(__xludf.DUMMYFUNCTION("""COMPUTED_VALUE"""),284)</f>
        <v>284</v>
      </c>
      <c r="L42" s="1" t="str">
        <f ca="1">IFERROR(__xludf.DUMMYFUNCTION("""COMPUTED_VALUE"""),"+.006")</f>
        <v>+.006</v>
      </c>
      <c r="M42" s="1">
        <f ca="1">IFERROR(__xludf.DUMMYFUNCTION("""COMPUTED_VALUE"""),155)</f>
        <v>155</v>
      </c>
      <c r="N42" s="1" t="str">
        <f ca="1">IFERROR(__xludf.DUMMYFUNCTION("""COMPUTED_VALUE"""),"+5.40")</f>
        <v>+5.40</v>
      </c>
      <c r="O42" s="1">
        <f ca="1">IFERROR(__xludf.DUMMYFUNCTION("""COMPUTED_VALUE"""),76)</f>
        <v>76</v>
      </c>
      <c r="P42" s="1">
        <f ca="1">IFERROR(__xludf.DUMMYFUNCTION("""COMPUTED_VALUE"""),105.3)</f>
        <v>105.3</v>
      </c>
      <c r="Q42" s="1">
        <f ca="1">IFERROR(__xludf.DUMMYFUNCTION("""COMPUTED_VALUE"""),84)</f>
        <v>84</v>
      </c>
      <c r="R42" s="1">
        <f ca="1">IFERROR(__xludf.DUMMYFUNCTION("""COMPUTED_VALUE"""),99.9)</f>
        <v>99.9</v>
      </c>
      <c r="S42" s="1">
        <f ca="1">IFERROR(__xludf.DUMMYFUNCTION("""COMPUTED_VALUE"""),69)</f>
        <v>69</v>
      </c>
      <c r="T42" s="1" t="str">
        <f ca="1">IFERROR(__xludf.DUMMYFUNCTION("""COMPUTED_VALUE"""),"+2.24")</f>
        <v>+2.24</v>
      </c>
      <c r="U42" s="1">
        <f ca="1">IFERROR(__xludf.DUMMYFUNCTION("""COMPUTED_VALUE"""),99)</f>
        <v>99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IFERROR(__xludf.DUMMYFUNCTION("""COMPUTED_VALUE"""),"UNLV8")</f>
        <v>UNLV8</v>
      </c>
      <c r="C45" s="1" t="str">
        <f ca="1">IFERROR(__xludf.DUMMYFUNCTION("""COMPUTED_VALUE"""),"MWC")</f>
        <v>MWC</v>
      </c>
      <c r="D45" s="1" t="str">
        <f ca="1">IFERROR(__xludf.DUMMYFUNCTION("""COMPUTED_VALUE"""),"25-9")</f>
        <v>25-9</v>
      </c>
      <c r="E45" s="1" t="str">
        <f ca="1">IFERROR(__xludf.DUMMYFUNCTION("""COMPUTED_VALUE"""),"+16.56")</f>
        <v>+16.56</v>
      </c>
      <c r="F45" s="1">
        <f ca="1">IFERROR(__xludf.DUMMYFUNCTION("""COMPUTED_VALUE"""),110.6)</f>
        <v>110.6</v>
      </c>
      <c r="G45" s="1">
        <f ca="1">IFERROR(__xludf.DUMMYFUNCTION("""COMPUTED_VALUE"""),55)</f>
        <v>55</v>
      </c>
      <c r="H45" s="1">
        <f ca="1">IFERROR(__xludf.DUMMYFUNCTION("""COMPUTED_VALUE"""),94)</f>
        <v>94</v>
      </c>
      <c r="I45" s="1">
        <f ca="1">IFERROR(__xludf.DUMMYFUNCTION("""COMPUTED_VALUE"""),40)</f>
        <v>40</v>
      </c>
      <c r="J45" s="1">
        <f ca="1">IFERROR(__xludf.DUMMYFUNCTION("""COMPUTED_VALUE"""),66.3)</f>
        <v>66.3</v>
      </c>
      <c r="K45" s="1">
        <f ca="1">IFERROR(__xludf.DUMMYFUNCTION("""COMPUTED_VALUE"""),156)</f>
        <v>156</v>
      </c>
      <c r="L45" s="1">
        <f ca="1">IFERROR(__xludf.DUMMYFUNCTION("""COMPUTED_VALUE"""),-0.013)</f>
        <v>-1.2999999999999999E-2</v>
      </c>
      <c r="M45" s="1">
        <f ca="1">IFERROR(__xludf.DUMMYFUNCTION("""COMPUTED_VALUE"""),205)</f>
        <v>205</v>
      </c>
      <c r="N45" s="1" t="str">
        <f ca="1">IFERROR(__xludf.DUMMYFUNCTION("""COMPUTED_VALUE"""),"+4.08")</f>
        <v>+4.08</v>
      </c>
      <c r="O45" s="1">
        <f ca="1">IFERROR(__xludf.DUMMYFUNCTION("""COMPUTED_VALUE"""),91)</f>
        <v>91</v>
      </c>
      <c r="P45" s="1">
        <f ca="1">IFERROR(__xludf.DUMMYFUNCTION("""COMPUTED_VALUE"""),104.8)</f>
        <v>104.8</v>
      </c>
      <c r="Q45" s="1">
        <f ca="1">IFERROR(__xludf.DUMMYFUNCTION("""COMPUTED_VALUE"""),104)</f>
        <v>104</v>
      </c>
      <c r="R45" s="1">
        <f ca="1">IFERROR(__xludf.DUMMYFUNCTION("""COMPUTED_VALUE"""),100.7)</f>
        <v>100.7</v>
      </c>
      <c r="S45" s="1">
        <f ca="1">IFERROR(__xludf.DUMMYFUNCTION("""COMPUTED_VALUE"""),93)</f>
        <v>93</v>
      </c>
      <c r="T45" s="1" t="str">
        <f ca="1">IFERROR(__xludf.DUMMYFUNCTION("""COMPUTED_VALUE"""),"+0.67")</f>
        <v>+0.67</v>
      </c>
      <c r="U45" s="1">
        <f ca="1">IFERROR(__xludf.DUMMYFUNCTION("""COMPUTED_VALUE"""),135)</f>
        <v>135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IFERROR(__xludf.DUMMYFUNCTION("""COMPUTED_VALUE"""),"UTEP12")</f>
        <v>UTEP12</v>
      </c>
      <c r="C46" s="1" t="str">
        <f ca="1">IFERROR(__xludf.DUMMYFUNCTION("""COMPUTED_VALUE"""),"CUSA")</f>
        <v>CUSA</v>
      </c>
      <c r="D46" s="1" t="str">
        <f ca="1">IFERROR(__xludf.DUMMYFUNCTION("""COMPUTED_VALUE"""),"26-7")</f>
        <v>26-7</v>
      </c>
      <c r="E46" s="1" t="str">
        <f ca="1">IFERROR(__xludf.DUMMYFUNCTION("""COMPUTED_VALUE"""),"+16.53")</f>
        <v>+16.53</v>
      </c>
      <c r="F46" s="1">
        <f ca="1">IFERROR(__xludf.DUMMYFUNCTION("""COMPUTED_VALUE"""),107.7)</f>
        <v>107.7</v>
      </c>
      <c r="G46" s="1">
        <f ca="1">IFERROR(__xludf.DUMMYFUNCTION("""COMPUTED_VALUE"""),95)</f>
        <v>95</v>
      </c>
      <c r="H46" s="1">
        <f ca="1">IFERROR(__xludf.DUMMYFUNCTION("""COMPUTED_VALUE"""),91.2)</f>
        <v>91.2</v>
      </c>
      <c r="I46" s="1">
        <f ca="1">IFERROR(__xludf.DUMMYFUNCTION("""COMPUTED_VALUE"""),16)</f>
        <v>16</v>
      </c>
      <c r="J46" s="1">
        <f ca="1">IFERROR(__xludf.DUMMYFUNCTION("""COMPUTED_VALUE"""),67.9)</f>
        <v>67.900000000000006</v>
      </c>
      <c r="K46" s="1">
        <f ca="1">IFERROR(__xludf.DUMMYFUNCTION("""COMPUTED_VALUE"""),76)</f>
        <v>76</v>
      </c>
      <c r="L46" s="1" t="str">
        <f ca="1">IFERROR(__xludf.DUMMYFUNCTION("""COMPUTED_VALUE"""),"+.024")</f>
        <v>+.024</v>
      </c>
      <c r="M46" s="1">
        <f ca="1">IFERROR(__xludf.DUMMYFUNCTION("""COMPUTED_VALUE"""),104)</f>
        <v>104</v>
      </c>
      <c r="N46" s="1" t="str">
        <f ca="1">IFERROR(__xludf.DUMMYFUNCTION("""COMPUTED_VALUE"""),"+2.62")</f>
        <v>+2.62</v>
      </c>
      <c r="O46" s="1">
        <f ca="1">IFERROR(__xludf.DUMMYFUNCTION("""COMPUTED_VALUE"""),120)</f>
        <v>120</v>
      </c>
      <c r="P46" s="1">
        <f ca="1">IFERROR(__xludf.DUMMYFUNCTION("""COMPUTED_VALUE"""),104.1)</f>
        <v>104.1</v>
      </c>
      <c r="Q46" s="1">
        <f ca="1">IFERROR(__xludf.DUMMYFUNCTION("""COMPUTED_VALUE"""),129)</f>
        <v>129</v>
      </c>
      <c r="R46" s="1">
        <f ca="1">IFERROR(__xludf.DUMMYFUNCTION("""COMPUTED_VALUE"""),101.5)</f>
        <v>101.5</v>
      </c>
      <c r="S46" s="1">
        <f ca="1">IFERROR(__xludf.DUMMYFUNCTION("""COMPUTED_VALUE"""),112)</f>
        <v>112</v>
      </c>
      <c r="T46" s="1">
        <f ca="1">IFERROR(__xludf.DUMMYFUNCTION("""COMPUTED_VALUE"""),-4.26)</f>
        <v>-4.26</v>
      </c>
      <c r="U46" s="1">
        <f ca="1">IFERROR(__xludf.DUMMYFUNCTION("""COMPUTED_VALUE"""),270)</f>
        <v>270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IFERROR(__xludf.DUMMYFUNCTION("""COMPUTED_VALUE"""),"New Mexico3")</f>
        <v>New Mexico3</v>
      </c>
      <c r="C47" s="1" t="str">
        <f ca="1">IFERROR(__xludf.DUMMYFUNCTION("""COMPUTED_VALUE"""),"MWC")</f>
        <v>MWC</v>
      </c>
      <c r="D47" s="1" t="str">
        <f ca="1">IFERROR(__xludf.DUMMYFUNCTION("""COMPUTED_VALUE"""),"30-5")</f>
        <v>30-5</v>
      </c>
      <c r="E47" s="1" t="str">
        <f ca="1">IFERROR(__xludf.DUMMYFUNCTION("""COMPUTED_VALUE"""),"+16.18")</f>
        <v>+16.18</v>
      </c>
      <c r="F47" s="1">
        <f ca="1">IFERROR(__xludf.DUMMYFUNCTION("""COMPUTED_VALUE"""),113.6)</f>
        <v>113.6</v>
      </c>
      <c r="G47" s="1">
        <f ca="1">IFERROR(__xludf.DUMMYFUNCTION("""COMPUTED_VALUE"""),26)</f>
        <v>26</v>
      </c>
      <c r="H47" s="1">
        <f ca="1">IFERROR(__xludf.DUMMYFUNCTION("""COMPUTED_VALUE"""),97.4)</f>
        <v>97.4</v>
      </c>
      <c r="I47" s="1">
        <f ca="1">IFERROR(__xludf.DUMMYFUNCTION("""COMPUTED_VALUE"""),74)</f>
        <v>74</v>
      </c>
      <c r="J47" s="1">
        <f ca="1">IFERROR(__xludf.DUMMYFUNCTION("""COMPUTED_VALUE"""),67.4)</f>
        <v>67.400000000000006</v>
      </c>
      <c r="K47" s="1">
        <f ca="1">IFERROR(__xludf.DUMMYFUNCTION("""COMPUTED_VALUE"""),98)</f>
        <v>98</v>
      </c>
      <c r="L47" s="1" t="str">
        <f ca="1">IFERROR(__xludf.DUMMYFUNCTION("""COMPUTED_VALUE"""),"+.096")</f>
        <v>+.096</v>
      </c>
      <c r="M47" s="1">
        <f ca="1">IFERROR(__xludf.DUMMYFUNCTION("""COMPUTED_VALUE"""),13)</f>
        <v>13</v>
      </c>
      <c r="N47" s="1" t="str">
        <f ca="1">IFERROR(__xludf.DUMMYFUNCTION("""COMPUTED_VALUE"""),"+4.09")</f>
        <v>+4.09</v>
      </c>
      <c r="O47" s="1">
        <f ca="1">IFERROR(__xludf.DUMMYFUNCTION("""COMPUTED_VALUE"""),90)</f>
        <v>90</v>
      </c>
      <c r="P47" s="1">
        <f ca="1">IFERROR(__xludf.DUMMYFUNCTION("""COMPUTED_VALUE"""),105)</f>
        <v>105</v>
      </c>
      <c r="Q47" s="1">
        <f ca="1">IFERROR(__xludf.DUMMYFUNCTION("""COMPUTED_VALUE"""),92)</f>
        <v>92</v>
      </c>
      <c r="R47" s="1">
        <f ca="1">IFERROR(__xludf.DUMMYFUNCTION("""COMPUTED_VALUE"""),100.9)</f>
        <v>100.9</v>
      </c>
      <c r="S47" s="1">
        <f ca="1">IFERROR(__xludf.DUMMYFUNCTION("""COMPUTED_VALUE"""),96)</f>
        <v>96</v>
      </c>
      <c r="T47" s="1" t="str">
        <f ca="1">IFERROR(__xludf.DUMMYFUNCTION("""COMPUTED_VALUE"""),"+1.85")</f>
        <v>+1.85</v>
      </c>
      <c r="U47" s="1">
        <f ca="1">IFERROR(__xludf.DUMMYFUNCTION("""COMPUTED_VALUE"""),109)</f>
        <v>109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IFERROR(__xludf.DUMMYFUNCTION("""COMPUTED_VALUE"""),"Gonzaga8")</f>
        <v>Gonzaga8</v>
      </c>
      <c r="C48" s="1" t="str">
        <f ca="1">IFERROR(__xludf.DUMMYFUNCTION("""COMPUTED_VALUE"""),"WCC")</f>
        <v>WCC</v>
      </c>
      <c r="D48" s="1" t="str">
        <f ca="1">IFERROR(__xludf.DUMMYFUNCTION("""COMPUTED_VALUE"""),"27-7")</f>
        <v>27-7</v>
      </c>
      <c r="E48" s="1" t="str">
        <f ca="1">IFERROR(__xludf.DUMMYFUNCTION("""COMPUTED_VALUE"""),"+16.14")</f>
        <v>+16.14</v>
      </c>
      <c r="F48" s="1">
        <f ca="1">IFERROR(__xludf.DUMMYFUNCTION("""COMPUTED_VALUE"""),112.3)</f>
        <v>112.3</v>
      </c>
      <c r="G48" s="1">
        <f ca="1">IFERROR(__xludf.DUMMYFUNCTION("""COMPUTED_VALUE"""),38)</f>
        <v>38</v>
      </c>
      <c r="H48" s="1">
        <f ca="1">IFERROR(__xludf.DUMMYFUNCTION("""COMPUTED_VALUE"""),96.1)</f>
        <v>96.1</v>
      </c>
      <c r="I48" s="1">
        <f ca="1">IFERROR(__xludf.DUMMYFUNCTION("""COMPUTED_VALUE"""),63)</f>
        <v>63</v>
      </c>
      <c r="J48" s="1">
        <f ca="1">IFERROR(__xludf.DUMMYFUNCTION("""COMPUTED_VALUE"""),67.5)</f>
        <v>67.5</v>
      </c>
      <c r="K48" s="1">
        <f ca="1">IFERROR(__xludf.DUMMYFUNCTION("""COMPUTED_VALUE"""),95)</f>
        <v>95</v>
      </c>
      <c r="L48" s="1" t="str">
        <f ca="1">IFERROR(__xludf.DUMMYFUNCTION("""COMPUTED_VALUE"""),"+.079")</f>
        <v>+.079</v>
      </c>
      <c r="M48" s="1">
        <f ca="1">IFERROR(__xludf.DUMMYFUNCTION("""COMPUTED_VALUE"""),23)</f>
        <v>23</v>
      </c>
      <c r="N48" s="1" t="str">
        <f ca="1">IFERROR(__xludf.DUMMYFUNCTION("""COMPUTED_VALUE"""),"+3.42")</f>
        <v>+3.42</v>
      </c>
      <c r="O48" s="1">
        <f ca="1">IFERROR(__xludf.DUMMYFUNCTION("""COMPUTED_VALUE"""),104)</f>
        <v>104</v>
      </c>
      <c r="P48" s="1">
        <f ca="1">IFERROR(__xludf.DUMMYFUNCTION("""COMPUTED_VALUE"""),105.5)</f>
        <v>105.5</v>
      </c>
      <c r="Q48" s="1">
        <f ca="1">IFERROR(__xludf.DUMMYFUNCTION("""COMPUTED_VALUE"""),79)</f>
        <v>79</v>
      </c>
      <c r="R48" s="1">
        <f ca="1">IFERROR(__xludf.DUMMYFUNCTION("""COMPUTED_VALUE"""),102.1)</f>
        <v>102.1</v>
      </c>
      <c r="S48" s="1">
        <f ca="1">IFERROR(__xludf.DUMMYFUNCTION("""COMPUTED_VALUE"""),137)</f>
        <v>137</v>
      </c>
      <c r="T48" s="1" t="str">
        <f ca="1">IFERROR(__xludf.DUMMYFUNCTION("""COMPUTED_VALUE"""),"+4.43")</f>
        <v>+4.43</v>
      </c>
      <c r="U48" s="1">
        <f ca="1">IFERROR(__xludf.DUMMYFUNCTION("""COMPUTED_VALUE"""),61)</f>
        <v>61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IFERROR(__xludf.DUMMYFUNCTION("""COMPUTED_VALUE"""),"Mississippi St.1")</f>
        <v>Mississippi St.1</v>
      </c>
      <c r="C49" s="1" t="str">
        <f ca="1">IFERROR(__xludf.DUMMYFUNCTION("""COMPUTED_VALUE"""),"SEC")</f>
        <v>SEC</v>
      </c>
      <c r="D49" s="1" t="str">
        <f ca="1">IFERROR(__xludf.DUMMYFUNCTION("""COMPUTED_VALUE"""),"24-12")</f>
        <v>24-12</v>
      </c>
      <c r="E49" s="1" t="str">
        <f ca="1">IFERROR(__xludf.DUMMYFUNCTION("""COMPUTED_VALUE"""),"+15.98")</f>
        <v>+15.98</v>
      </c>
      <c r="F49" s="1">
        <f ca="1">IFERROR(__xludf.DUMMYFUNCTION("""COMPUTED_VALUE"""),109.7)</f>
        <v>109.7</v>
      </c>
      <c r="G49" s="1">
        <f ca="1">IFERROR(__xludf.DUMMYFUNCTION("""COMPUTED_VALUE"""),66)</f>
        <v>66</v>
      </c>
      <c r="H49" s="1">
        <f ca="1">IFERROR(__xludf.DUMMYFUNCTION("""COMPUTED_VALUE"""),93.7)</f>
        <v>93.7</v>
      </c>
      <c r="I49" s="1">
        <f ca="1">IFERROR(__xludf.DUMMYFUNCTION("""COMPUTED_VALUE"""),34)</f>
        <v>34</v>
      </c>
      <c r="J49" s="1">
        <f ca="1">IFERROR(__xludf.DUMMYFUNCTION("""COMPUTED_VALUE"""),66.5)</f>
        <v>66.5</v>
      </c>
      <c r="K49" s="1">
        <f ca="1">IFERROR(__xludf.DUMMYFUNCTION("""COMPUTED_VALUE"""),141)</f>
        <v>141</v>
      </c>
      <c r="L49" s="1">
        <f ca="1">IFERROR(__xludf.DUMMYFUNCTION("""COMPUTED_VALUE"""),-0.049)</f>
        <v>-4.9000000000000002E-2</v>
      </c>
      <c r="M49" s="1">
        <f ca="1">IFERROR(__xludf.DUMMYFUNCTION("""COMPUTED_VALUE"""),297)</f>
        <v>297</v>
      </c>
      <c r="N49" s="1" t="str">
        <f ca="1">IFERROR(__xludf.DUMMYFUNCTION("""COMPUTED_VALUE"""),"+5.51")</f>
        <v>+5.51</v>
      </c>
      <c r="O49" s="1">
        <f ca="1">IFERROR(__xludf.DUMMYFUNCTION("""COMPUTED_VALUE"""),74)</f>
        <v>74</v>
      </c>
      <c r="P49" s="1">
        <f ca="1">IFERROR(__xludf.DUMMYFUNCTION("""COMPUTED_VALUE"""),105.5)</f>
        <v>105.5</v>
      </c>
      <c r="Q49" s="1">
        <f ca="1">IFERROR(__xludf.DUMMYFUNCTION("""COMPUTED_VALUE"""),77)</f>
        <v>77</v>
      </c>
      <c r="R49" s="1">
        <f ca="1">IFERROR(__xludf.DUMMYFUNCTION("""COMPUTED_VALUE"""),100)</f>
        <v>100</v>
      </c>
      <c r="S49" s="1">
        <f ca="1">IFERROR(__xludf.DUMMYFUNCTION("""COMPUTED_VALUE"""),75)</f>
        <v>75</v>
      </c>
      <c r="T49" s="1">
        <f ca="1">IFERROR(__xludf.DUMMYFUNCTION("""COMPUTED_VALUE"""),-2.76)</f>
        <v>-2.76</v>
      </c>
      <c r="U49" s="1">
        <f ca="1">IFERROR(__xludf.DUMMYFUNCTION("""COMPUTED_VALUE"""),234)</f>
        <v>234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IFERROR(__xludf.DUMMYFUNCTION("""COMPUTED_VALUE"""),"Cornell12")</f>
        <v>Cornell12</v>
      </c>
      <c r="C50" s="1" t="str">
        <f ca="1">IFERROR(__xludf.DUMMYFUNCTION("""COMPUTED_VALUE"""),"Ivy")</f>
        <v>Ivy</v>
      </c>
      <c r="D50" s="1" t="str">
        <f ca="1">IFERROR(__xludf.DUMMYFUNCTION("""COMPUTED_VALUE"""),"29-5")</f>
        <v>29-5</v>
      </c>
      <c r="E50" s="1" t="str">
        <f ca="1">IFERROR(__xludf.DUMMYFUNCTION("""COMPUTED_VALUE"""),"+15.92")</f>
        <v>+15.92</v>
      </c>
      <c r="F50" s="1">
        <f ca="1">IFERROR(__xludf.DUMMYFUNCTION("""COMPUTED_VALUE"""),117.4)</f>
        <v>117.4</v>
      </c>
      <c r="G50" s="1">
        <f ca="1">IFERROR(__xludf.DUMMYFUNCTION("""COMPUTED_VALUE"""),9)</f>
        <v>9</v>
      </c>
      <c r="H50" s="1">
        <f ca="1">IFERROR(__xludf.DUMMYFUNCTION("""COMPUTED_VALUE"""),101.5)</f>
        <v>101.5</v>
      </c>
      <c r="I50" s="1">
        <f ca="1">IFERROR(__xludf.DUMMYFUNCTION("""COMPUTED_VALUE"""),149)</f>
        <v>149</v>
      </c>
      <c r="J50" s="1">
        <f ca="1">IFERROR(__xludf.DUMMYFUNCTION("""COMPUTED_VALUE"""),63.9)</f>
        <v>63.9</v>
      </c>
      <c r="K50" s="1">
        <f ca="1">IFERROR(__xludf.DUMMYFUNCTION("""COMPUTED_VALUE"""),261)</f>
        <v>261</v>
      </c>
      <c r="L50" s="1" t="str">
        <f ca="1">IFERROR(__xludf.DUMMYFUNCTION("""COMPUTED_VALUE"""),"+.068")</f>
        <v>+.068</v>
      </c>
      <c r="M50" s="1">
        <f ca="1">IFERROR(__xludf.DUMMYFUNCTION("""COMPUTED_VALUE"""),36)</f>
        <v>36</v>
      </c>
      <c r="N50" s="1">
        <f ca="1">IFERROR(__xludf.DUMMYFUNCTION("""COMPUTED_VALUE"""),-0.66)</f>
        <v>-0.66</v>
      </c>
      <c r="O50" s="1">
        <f ca="1">IFERROR(__xludf.DUMMYFUNCTION("""COMPUTED_VALUE"""),173)</f>
        <v>173</v>
      </c>
      <c r="P50" s="1">
        <f ca="1">IFERROR(__xludf.DUMMYFUNCTION("""COMPUTED_VALUE"""),101.2)</f>
        <v>101.2</v>
      </c>
      <c r="Q50" s="1">
        <f ca="1">IFERROR(__xludf.DUMMYFUNCTION("""COMPUTED_VALUE"""),218)</f>
        <v>218</v>
      </c>
      <c r="R50" s="1">
        <f ca="1">IFERROR(__xludf.DUMMYFUNCTION("""COMPUTED_VALUE"""),101.9)</f>
        <v>101.9</v>
      </c>
      <c r="S50" s="1">
        <f ca="1">IFERROR(__xludf.DUMMYFUNCTION("""COMPUTED_VALUE"""),130)</f>
        <v>130</v>
      </c>
      <c r="T50" s="1" t="str">
        <f ca="1">IFERROR(__xludf.DUMMYFUNCTION("""COMPUTED_VALUE"""),"+4.12")</f>
        <v>+4.12</v>
      </c>
      <c r="U50" s="1">
        <f ca="1">IFERROR(__xludf.DUMMYFUNCTION("""COMPUTED_VALUE"""),65)</f>
        <v>65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IFERROR(__xludf.DUMMYFUNCTION("""COMPUTED_VALUE"""),"Virginia Tech1")</f>
        <v>Virginia Tech1</v>
      </c>
      <c r="C51" s="1" t="str">
        <f ca="1">IFERROR(__xludf.DUMMYFUNCTION("""COMPUTED_VALUE"""),"ACC")</f>
        <v>ACC</v>
      </c>
      <c r="D51" s="1" t="str">
        <f ca="1">IFERROR(__xludf.DUMMYFUNCTION("""COMPUTED_VALUE"""),"25-9")</f>
        <v>25-9</v>
      </c>
      <c r="E51" s="1" t="str">
        <f ca="1">IFERROR(__xludf.DUMMYFUNCTION("""COMPUTED_VALUE"""),"+15.86")</f>
        <v>+15.86</v>
      </c>
      <c r="F51" s="1">
        <f ca="1">IFERROR(__xludf.DUMMYFUNCTION("""COMPUTED_VALUE"""),108.3)</f>
        <v>108.3</v>
      </c>
      <c r="G51" s="1">
        <f ca="1">IFERROR(__xludf.DUMMYFUNCTION("""COMPUTED_VALUE"""),84)</f>
        <v>84</v>
      </c>
      <c r="H51" s="1">
        <f ca="1">IFERROR(__xludf.DUMMYFUNCTION("""COMPUTED_VALUE"""),92.4)</f>
        <v>92.4</v>
      </c>
      <c r="I51" s="1">
        <f ca="1">IFERROR(__xludf.DUMMYFUNCTION("""COMPUTED_VALUE"""),24)</f>
        <v>24</v>
      </c>
      <c r="J51" s="1">
        <f ca="1">IFERROR(__xludf.DUMMYFUNCTION("""COMPUTED_VALUE"""),67.8)</f>
        <v>67.8</v>
      </c>
      <c r="K51" s="1">
        <f ca="1">IFERROR(__xludf.DUMMYFUNCTION("""COMPUTED_VALUE"""),80)</f>
        <v>80</v>
      </c>
      <c r="L51" s="1" t="str">
        <f ca="1">IFERROR(__xludf.DUMMYFUNCTION("""COMPUTED_VALUE"""),"+.034")</f>
        <v>+.034</v>
      </c>
      <c r="M51" s="1">
        <f ca="1">IFERROR(__xludf.DUMMYFUNCTION("""COMPUTED_VALUE"""),86)</f>
        <v>86</v>
      </c>
      <c r="N51" s="1" t="str">
        <f ca="1">IFERROR(__xludf.DUMMYFUNCTION("""COMPUTED_VALUE"""),"+5.72")</f>
        <v>+5.72</v>
      </c>
      <c r="O51" s="1">
        <f ca="1">IFERROR(__xludf.DUMMYFUNCTION("""COMPUTED_VALUE"""),69)</f>
        <v>69</v>
      </c>
      <c r="P51" s="1">
        <f ca="1">IFERROR(__xludf.DUMMYFUNCTION("""COMPUTED_VALUE"""),105.8)</f>
        <v>105.8</v>
      </c>
      <c r="Q51" s="1">
        <f ca="1">IFERROR(__xludf.DUMMYFUNCTION("""COMPUTED_VALUE"""),70)</f>
        <v>70</v>
      </c>
      <c r="R51" s="1">
        <f ca="1">IFERROR(__xludf.DUMMYFUNCTION("""COMPUTED_VALUE"""),100.1)</f>
        <v>100.1</v>
      </c>
      <c r="S51" s="1">
        <f ca="1">IFERROR(__xludf.DUMMYFUNCTION("""COMPUTED_VALUE"""),78)</f>
        <v>78</v>
      </c>
      <c r="T51" s="1">
        <f ca="1">IFERROR(__xludf.DUMMYFUNCTION("""COMPUTED_VALUE"""),-8.51)</f>
        <v>-8.51</v>
      </c>
      <c r="U51" s="1">
        <f ca="1">IFERROR(__xludf.DUMMYFUNCTION("""COMPUTED_VALUE"""),336)</f>
        <v>336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IFERROR(__xludf.DUMMYFUNCTION("""COMPUTED_VALUE"""),"Mississippi2")</f>
        <v>Mississippi2</v>
      </c>
      <c r="C52" s="1" t="str">
        <f ca="1">IFERROR(__xludf.DUMMYFUNCTION("""COMPUTED_VALUE"""),"SEC")</f>
        <v>SEC</v>
      </c>
      <c r="D52" s="1" t="str">
        <f ca="1">IFERROR(__xludf.DUMMYFUNCTION("""COMPUTED_VALUE"""),"24-11")</f>
        <v>24-11</v>
      </c>
      <c r="E52" s="1" t="str">
        <f ca="1">IFERROR(__xludf.DUMMYFUNCTION("""COMPUTED_VALUE"""),"+15.77")</f>
        <v>+15.77</v>
      </c>
      <c r="F52" s="1">
        <f ca="1">IFERROR(__xludf.DUMMYFUNCTION("""COMPUTED_VALUE"""),112.9)</f>
        <v>112.9</v>
      </c>
      <c r="G52" s="1">
        <f ca="1">IFERROR(__xludf.DUMMYFUNCTION("""COMPUTED_VALUE"""),32)</f>
        <v>32</v>
      </c>
      <c r="H52" s="1">
        <f ca="1">IFERROR(__xludf.DUMMYFUNCTION("""COMPUTED_VALUE"""),97.2)</f>
        <v>97.2</v>
      </c>
      <c r="I52" s="1">
        <f ca="1">IFERROR(__xludf.DUMMYFUNCTION("""COMPUTED_VALUE"""),70)</f>
        <v>70</v>
      </c>
      <c r="J52" s="1">
        <f ca="1">IFERROR(__xludf.DUMMYFUNCTION("""COMPUTED_VALUE"""),68.7)</f>
        <v>68.7</v>
      </c>
      <c r="K52" s="1">
        <f ca="1">IFERROR(__xludf.DUMMYFUNCTION("""COMPUTED_VALUE"""),55)</f>
        <v>55</v>
      </c>
      <c r="L52" s="1">
        <f ca="1">IFERROR(__xludf.DUMMYFUNCTION("""COMPUTED_VALUE"""),-0.034)</f>
        <v>-3.4000000000000002E-2</v>
      </c>
      <c r="M52" s="1">
        <f ca="1">IFERROR(__xludf.DUMMYFUNCTION("""COMPUTED_VALUE"""),261)</f>
        <v>261</v>
      </c>
      <c r="N52" s="1" t="str">
        <f ca="1">IFERROR(__xludf.DUMMYFUNCTION("""COMPUTED_VALUE"""),"+5.66")</f>
        <v>+5.66</v>
      </c>
      <c r="O52" s="1">
        <f ca="1">IFERROR(__xludf.DUMMYFUNCTION("""COMPUTED_VALUE"""),71)</f>
        <v>71</v>
      </c>
      <c r="P52" s="1">
        <f ca="1">IFERROR(__xludf.DUMMYFUNCTION("""COMPUTED_VALUE"""),105.6)</f>
        <v>105.6</v>
      </c>
      <c r="Q52" s="1">
        <f ca="1">IFERROR(__xludf.DUMMYFUNCTION("""COMPUTED_VALUE"""),75)</f>
        <v>75</v>
      </c>
      <c r="R52" s="1">
        <f ca="1">IFERROR(__xludf.DUMMYFUNCTION("""COMPUTED_VALUE"""),100)</f>
        <v>100</v>
      </c>
      <c r="S52" s="1">
        <f ca="1">IFERROR(__xludf.DUMMYFUNCTION("""COMPUTED_VALUE"""),71)</f>
        <v>71</v>
      </c>
      <c r="T52" s="1">
        <f ca="1">IFERROR(__xludf.DUMMYFUNCTION("""COMPUTED_VALUE"""),-2.73)</f>
        <v>-2.73</v>
      </c>
      <c r="U52" s="1">
        <f ca="1">IFERROR(__xludf.DUMMYFUNCTION("""COMPUTED_VALUE"""),232)</f>
        <v>232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IFERROR(__xludf.DUMMYFUNCTION("""COMPUTED_VALUE"""),"Memphis3")</f>
        <v>Memphis3</v>
      </c>
      <c r="C53" s="1" t="str">
        <f ca="1">IFERROR(__xludf.DUMMYFUNCTION("""COMPUTED_VALUE"""),"CUSA")</f>
        <v>CUSA</v>
      </c>
      <c r="D53" s="1" t="str">
        <f ca="1">IFERROR(__xludf.DUMMYFUNCTION("""COMPUTED_VALUE"""),"24-10")</f>
        <v>24-10</v>
      </c>
      <c r="E53" s="1" t="str">
        <f ca="1">IFERROR(__xludf.DUMMYFUNCTION("""COMPUTED_VALUE"""),"+15.24")</f>
        <v>+15.24</v>
      </c>
      <c r="F53" s="1">
        <f ca="1">IFERROR(__xludf.DUMMYFUNCTION("""COMPUTED_VALUE"""),115.3)</f>
        <v>115.3</v>
      </c>
      <c r="G53" s="1">
        <f ca="1">IFERROR(__xludf.DUMMYFUNCTION("""COMPUTED_VALUE"""),19)</f>
        <v>19</v>
      </c>
      <c r="H53" s="1">
        <f ca="1">IFERROR(__xludf.DUMMYFUNCTION("""COMPUTED_VALUE"""),100.1)</f>
        <v>100.1</v>
      </c>
      <c r="I53" s="1">
        <f ca="1">IFERROR(__xludf.DUMMYFUNCTION("""COMPUTED_VALUE"""),118)</f>
        <v>118</v>
      </c>
      <c r="J53" s="1">
        <f ca="1">IFERROR(__xludf.DUMMYFUNCTION("""COMPUTED_VALUE"""),65.2)</f>
        <v>65.2</v>
      </c>
      <c r="K53" s="1">
        <f ca="1">IFERROR(__xludf.DUMMYFUNCTION("""COMPUTED_VALUE"""),211)</f>
        <v>211</v>
      </c>
      <c r="L53" s="1">
        <f ca="1">IFERROR(__xludf.DUMMYFUNCTION("""COMPUTED_VALUE"""),-0.038)</f>
        <v>-3.7999999999999999E-2</v>
      </c>
      <c r="M53" s="1">
        <f ca="1">IFERROR(__xludf.DUMMYFUNCTION("""COMPUTED_VALUE"""),273)</f>
        <v>273</v>
      </c>
      <c r="N53" s="1" t="str">
        <f ca="1">IFERROR(__xludf.DUMMYFUNCTION("""COMPUTED_VALUE"""),"+1.87")</f>
        <v>+1.87</v>
      </c>
      <c r="O53" s="1">
        <f ca="1">IFERROR(__xludf.DUMMYFUNCTION("""COMPUTED_VALUE"""),134)</f>
        <v>134</v>
      </c>
      <c r="P53" s="1">
        <f ca="1">IFERROR(__xludf.DUMMYFUNCTION("""COMPUTED_VALUE"""),103.8)</f>
        <v>103.8</v>
      </c>
      <c r="Q53" s="1">
        <f ca="1">IFERROR(__xludf.DUMMYFUNCTION("""COMPUTED_VALUE"""),139)</f>
        <v>139</v>
      </c>
      <c r="R53" s="1">
        <f ca="1">IFERROR(__xludf.DUMMYFUNCTION("""COMPUTED_VALUE"""),102)</f>
        <v>102</v>
      </c>
      <c r="S53" s="1">
        <f ca="1">IFERROR(__xludf.DUMMYFUNCTION("""COMPUTED_VALUE"""),135)</f>
        <v>135</v>
      </c>
      <c r="T53" s="1">
        <f ca="1">IFERROR(__xludf.DUMMYFUNCTION("""COMPUTED_VALUE"""),-4.79)</f>
        <v>-4.79</v>
      </c>
      <c r="U53" s="1">
        <f ca="1">IFERROR(__xludf.DUMMYFUNCTION("""COMPUTED_VALUE"""),283)</f>
        <v>283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IFERROR(__xludf.DUMMYFUNCTION("""COMPUTED_VALUE"""),"Florida10")</f>
        <v>Florida10</v>
      </c>
      <c r="C54" s="1" t="str">
        <f ca="1">IFERROR(__xludf.DUMMYFUNCTION("""COMPUTED_VALUE"""),"SEC")</f>
        <v>SEC</v>
      </c>
      <c r="D54" s="1" t="str">
        <f ca="1">IFERROR(__xludf.DUMMYFUNCTION("""COMPUTED_VALUE"""),"21-13")</f>
        <v>21-13</v>
      </c>
      <c r="E54" s="1" t="str">
        <f ca="1">IFERROR(__xludf.DUMMYFUNCTION("""COMPUTED_VALUE"""),"+15.23")</f>
        <v>+15.23</v>
      </c>
      <c r="F54" s="1">
        <f ca="1">IFERROR(__xludf.DUMMYFUNCTION("""COMPUTED_VALUE"""),113)</f>
        <v>113</v>
      </c>
      <c r="G54" s="1">
        <f ca="1">IFERROR(__xludf.DUMMYFUNCTION("""COMPUTED_VALUE"""),31)</f>
        <v>31</v>
      </c>
      <c r="H54" s="1">
        <f ca="1">IFERROR(__xludf.DUMMYFUNCTION("""COMPUTED_VALUE"""),97.8)</f>
        <v>97.8</v>
      </c>
      <c r="I54" s="1">
        <f ca="1">IFERROR(__xludf.DUMMYFUNCTION("""COMPUTED_VALUE"""),83)</f>
        <v>83</v>
      </c>
      <c r="J54" s="1">
        <f ca="1">IFERROR(__xludf.DUMMYFUNCTION("""COMPUTED_VALUE"""),63.9)</f>
        <v>63.9</v>
      </c>
      <c r="K54" s="1">
        <f ca="1">IFERROR(__xludf.DUMMYFUNCTION("""COMPUTED_VALUE"""),262)</f>
        <v>262</v>
      </c>
      <c r="L54" s="1">
        <f ca="1">IFERROR(__xludf.DUMMYFUNCTION("""COMPUTED_VALUE"""),-0.061)</f>
        <v>-6.0999999999999999E-2</v>
      </c>
      <c r="M54" s="1">
        <f ca="1">IFERROR(__xludf.DUMMYFUNCTION("""COMPUTED_VALUE"""),309)</f>
        <v>309</v>
      </c>
      <c r="N54" s="1" t="str">
        <f ca="1">IFERROR(__xludf.DUMMYFUNCTION("""COMPUTED_VALUE"""),"+7.75")</f>
        <v>+7.75</v>
      </c>
      <c r="O54" s="1">
        <f ca="1">IFERROR(__xludf.DUMMYFUNCTION("""COMPUTED_VALUE"""),51)</f>
        <v>51</v>
      </c>
      <c r="P54" s="1">
        <f ca="1">IFERROR(__xludf.DUMMYFUNCTION("""COMPUTED_VALUE"""),106.6)</f>
        <v>106.6</v>
      </c>
      <c r="Q54" s="1">
        <f ca="1">IFERROR(__xludf.DUMMYFUNCTION("""COMPUTED_VALUE"""),48)</f>
        <v>48</v>
      </c>
      <c r="R54" s="1">
        <f ca="1">IFERROR(__xludf.DUMMYFUNCTION("""COMPUTED_VALUE"""),98.8)</f>
        <v>98.8</v>
      </c>
      <c r="S54" s="1">
        <f ca="1">IFERROR(__xludf.DUMMYFUNCTION("""COMPUTED_VALUE"""),42)</f>
        <v>42</v>
      </c>
      <c r="T54" s="1">
        <f ca="1">IFERROR(__xludf.DUMMYFUNCTION("""COMPUTED_VALUE"""),-1.96)</f>
        <v>-1.96</v>
      </c>
      <c r="U54" s="1">
        <f ca="1">IFERROR(__xludf.DUMMYFUNCTION("""COMPUTED_VALUE"""),216)</f>
        <v>216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IFERROR(__xludf.DUMMYFUNCTION("""COMPUTED_VALUE"""),"Connecticut4")</f>
        <v>Connecticut4</v>
      </c>
      <c r="C55" s="1" t="str">
        <f ca="1">IFERROR(__xludf.DUMMYFUNCTION("""COMPUTED_VALUE"""),"BE")</f>
        <v>BE</v>
      </c>
      <c r="D55" s="1" t="str">
        <f ca="1">IFERROR(__xludf.DUMMYFUNCTION("""COMPUTED_VALUE"""),"18-16")</f>
        <v>18-16</v>
      </c>
      <c r="E55" s="1" t="str">
        <f ca="1">IFERROR(__xludf.DUMMYFUNCTION("""COMPUTED_VALUE"""),"+15.19")</f>
        <v>+15.19</v>
      </c>
      <c r="F55" s="1">
        <f ca="1">IFERROR(__xludf.DUMMYFUNCTION("""COMPUTED_VALUE"""),107.7)</f>
        <v>107.7</v>
      </c>
      <c r="G55" s="1">
        <f ca="1">IFERROR(__xludf.DUMMYFUNCTION("""COMPUTED_VALUE"""),96)</f>
        <v>96</v>
      </c>
      <c r="H55" s="1">
        <f ca="1">IFERROR(__xludf.DUMMYFUNCTION("""COMPUTED_VALUE"""),92.5)</f>
        <v>92.5</v>
      </c>
      <c r="I55" s="1">
        <f ca="1">IFERROR(__xludf.DUMMYFUNCTION("""COMPUTED_VALUE"""),25)</f>
        <v>25</v>
      </c>
      <c r="J55" s="1">
        <f ca="1">IFERROR(__xludf.DUMMYFUNCTION("""COMPUTED_VALUE"""),67.5)</f>
        <v>67.5</v>
      </c>
      <c r="K55" s="1">
        <f ca="1">IFERROR(__xludf.DUMMYFUNCTION("""COMPUTED_VALUE"""),94)</f>
        <v>94</v>
      </c>
      <c r="L55" s="1">
        <f ca="1">IFERROR(__xludf.DUMMYFUNCTION("""COMPUTED_VALUE"""),-0.078)</f>
        <v>-7.8E-2</v>
      </c>
      <c r="M55" s="1">
        <f ca="1">IFERROR(__xludf.DUMMYFUNCTION("""COMPUTED_VALUE"""),329)</f>
        <v>329</v>
      </c>
      <c r="N55" s="1" t="str">
        <f ca="1">IFERROR(__xludf.DUMMYFUNCTION("""COMPUTED_VALUE"""),"+10.27")</f>
        <v>+10.27</v>
      </c>
      <c r="O55" s="1">
        <f ca="1">IFERROR(__xludf.DUMMYFUNCTION("""COMPUTED_VALUE"""),10)</f>
        <v>10</v>
      </c>
      <c r="P55" s="1">
        <f ca="1">IFERROR(__xludf.DUMMYFUNCTION("""COMPUTED_VALUE"""),108.5)</f>
        <v>108.5</v>
      </c>
      <c r="Q55" s="1">
        <f ca="1">IFERROR(__xludf.DUMMYFUNCTION("""COMPUTED_VALUE"""),9)</f>
        <v>9</v>
      </c>
      <c r="R55" s="1">
        <f ca="1">IFERROR(__xludf.DUMMYFUNCTION("""COMPUTED_VALUE"""),98.2)</f>
        <v>98.2</v>
      </c>
      <c r="S55" s="1">
        <f ca="1">IFERROR(__xludf.DUMMYFUNCTION("""COMPUTED_VALUE"""),20)</f>
        <v>20</v>
      </c>
      <c r="T55" s="1" t="str">
        <f ca="1">IFERROR(__xludf.DUMMYFUNCTION("""COMPUTED_VALUE"""),"+2.59")</f>
        <v>+2.59</v>
      </c>
      <c r="U55" s="1">
        <f ca="1">IFERROR(__xludf.DUMMYFUNCTION("""COMPUTED_VALUE"""),92)</f>
        <v>92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IFERROR(__xludf.DUMMYFUNCTION("""COMPUTED_VALUE"""),"Arizona St.1")</f>
        <v>Arizona St.1</v>
      </c>
      <c r="C56" s="1" t="str">
        <f ca="1">IFERROR(__xludf.DUMMYFUNCTION("""COMPUTED_VALUE"""),"P10")</f>
        <v>P10</v>
      </c>
      <c r="D56" s="1" t="str">
        <f ca="1">IFERROR(__xludf.DUMMYFUNCTION("""COMPUTED_VALUE"""),"22-11")</f>
        <v>22-11</v>
      </c>
      <c r="E56" s="1" t="str">
        <f ca="1">IFERROR(__xludf.DUMMYFUNCTION("""COMPUTED_VALUE"""),"+15.18")</f>
        <v>+15.18</v>
      </c>
      <c r="F56" s="1">
        <f ca="1">IFERROR(__xludf.DUMMYFUNCTION("""COMPUTED_VALUE"""),110)</f>
        <v>110</v>
      </c>
      <c r="G56" s="1">
        <f ca="1">IFERROR(__xludf.DUMMYFUNCTION("""COMPUTED_VALUE"""),61)</f>
        <v>61</v>
      </c>
      <c r="H56" s="1">
        <f ca="1">IFERROR(__xludf.DUMMYFUNCTION("""COMPUTED_VALUE"""),94.8)</f>
        <v>94.8</v>
      </c>
      <c r="I56" s="1">
        <f ca="1">IFERROR(__xludf.DUMMYFUNCTION("""COMPUTED_VALUE"""),50)</f>
        <v>50</v>
      </c>
      <c r="J56" s="1">
        <f ca="1">IFERROR(__xludf.DUMMYFUNCTION("""COMPUTED_VALUE"""),61)</f>
        <v>61</v>
      </c>
      <c r="K56" s="1">
        <f ca="1">IFERROR(__xludf.DUMMYFUNCTION("""COMPUTED_VALUE"""),326)</f>
        <v>326</v>
      </c>
      <c r="L56" s="1">
        <f ca="1">IFERROR(__xludf.DUMMYFUNCTION("""COMPUTED_VALUE"""),-0.013)</f>
        <v>-1.2999999999999999E-2</v>
      </c>
      <c r="M56" s="1">
        <f ca="1">IFERROR(__xludf.DUMMYFUNCTION("""COMPUTED_VALUE"""),201)</f>
        <v>201</v>
      </c>
      <c r="N56" s="1" t="str">
        <f ca="1">IFERROR(__xludf.DUMMYFUNCTION("""COMPUTED_VALUE"""),"+4.11")</f>
        <v>+4.11</v>
      </c>
      <c r="O56" s="1">
        <f ca="1">IFERROR(__xludf.DUMMYFUNCTION("""COMPUTED_VALUE"""),89)</f>
        <v>89</v>
      </c>
      <c r="P56" s="1">
        <f ca="1">IFERROR(__xludf.DUMMYFUNCTION("""COMPUTED_VALUE"""),104.1)</f>
        <v>104.1</v>
      </c>
      <c r="Q56" s="1">
        <f ca="1">IFERROR(__xludf.DUMMYFUNCTION("""COMPUTED_VALUE"""),131)</f>
        <v>131</v>
      </c>
      <c r="R56" s="1">
        <f ca="1">IFERROR(__xludf.DUMMYFUNCTION("""COMPUTED_VALUE"""),100)</f>
        <v>100</v>
      </c>
      <c r="S56" s="1">
        <f ca="1">IFERROR(__xludf.DUMMYFUNCTION("""COMPUTED_VALUE"""),72)</f>
        <v>72</v>
      </c>
      <c r="T56" s="1">
        <f ca="1">IFERROR(__xludf.DUMMYFUNCTION("""COMPUTED_VALUE"""),-3.16)</f>
        <v>-3.16</v>
      </c>
      <c r="U56" s="1">
        <f ca="1">IFERROR(__xludf.DUMMYFUNCTION("""COMPUTED_VALUE"""),252)</f>
        <v>252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IFERROR(__xludf.DUMMYFUNCTION("""COMPUTED_VALUE"""),"Murray St.13")</f>
        <v>Murray St.13</v>
      </c>
      <c r="C57" s="1" t="str">
        <f ca="1">IFERROR(__xludf.DUMMYFUNCTION("""COMPUTED_VALUE"""),"OVC")</f>
        <v>OVC</v>
      </c>
      <c r="D57" s="1" t="str">
        <f ca="1">IFERROR(__xludf.DUMMYFUNCTION("""COMPUTED_VALUE"""),"31-5")</f>
        <v>31-5</v>
      </c>
      <c r="E57" s="1" t="str">
        <f ca="1">IFERROR(__xludf.DUMMYFUNCTION("""COMPUTED_VALUE"""),"+15.06")</f>
        <v>+15.06</v>
      </c>
      <c r="F57" s="1">
        <f ca="1">IFERROR(__xludf.DUMMYFUNCTION("""COMPUTED_VALUE"""),109)</f>
        <v>109</v>
      </c>
      <c r="G57" s="1">
        <f ca="1">IFERROR(__xludf.DUMMYFUNCTION("""COMPUTED_VALUE"""),74)</f>
        <v>74</v>
      </c>
      <c r="H57" s="1">
        <f ca="1">IFERROR(__xludf.DUMMYFUNCTION("""COMPUTED_VALUE"""),94)</f>
        <v>94</v>
      </c>
      <c r="I57" s="1">
        <f ca="1">IFERROR(__xludf.DUMMYFUNCTION("""COMPUTED_VALUE"""),36)</f>
        <v>36</v>
      </c>
      <c r="J57" s="1">
        <f ca="1">IFERROR(__xludf.DUMMYFUNCTION("""COMPUTED_VALUE"""),65.6)</f>
        <v>65.599999999999994</v>
      </c>
      <c r="K57" s="1">
        <f ca="1">IFERROR(__xludf.DUMMYFUNCTION("""COMPUTED_VALUE"""),192)</f>
        <v>192</v>
      </c>
      <c r="L57" s="1">
        <f ca="1">IFERROR(__xludf.DUMMYFUNCTION("""COMPUTED_VALUE"""),-0.011)</f>
        <v>-1.0999999999999999E-2</v>
      </c>
      <c r="M57" s="1">
        <f ca="1">IFERROR(__xludf.DUMMYFUNCTION("""COMPUTED_VALUE"""),200)</f>
        <v>200</v>
      </c>
      <c r="N57" s="1">
        <f ca="1">IFERROR(__xludf.DUMMYFUNCTION("""COMPUTED_VALUE"""),-5.78)</f>
        <v>-5.78</v>
      </c>
      <c r="O57" s="1">
        <f ca="1">IFERROR(__xludf.DUMMYFUNCTION("""COMPUTED_VALUE"""),272)</f>
        <v>272</v>
      </c>
      <c r="P57" s="1">
        <f ca="1">IFERROR(__xludf.DUMMYFUNCTION("""COMPUTED_VALUE"""),100.2)</f>
        <v>100.2</v>
      </c>
      <c r="Q57" s="1">
        <f ca="1">IFERROR(__xludf.DUMMYFUNCTION("""COMPUTED_VALUE"""),252)</f>
        <v>252</v>
      </c>
      <c r="R57" s="1">
        <f ca="1">IFERROR(__xludf.DUMMYFUNCTION("""COMPUTED_VALUE"""),106)</f>
        <v>106</v>
      </c>
      <c r="S57" s="1">
        <f ca="1">IFERROR(__xludf.DUMMYFUNCTION("""COMPUTED_VALUE"""),311)</f>
        <v>311</v>
      </c>
      <c r="T57" s="1">
        <f ca="1">IFERROR(__xludf.DUMMYFUNCTION("""COMPUTED_VALUE"""),-5.24)</f>
        <v>-5.24</v>
      </c>
      <c r="U57" s="1">
        <f ca="1">IFERROR(__xludf.DUMMYFUNCTION("""COMPUTED_VALUE"""),288)</f>
        <v>288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IFERROR(__xludf.DUMMYFUNCTION("""COMPUTED_VALUE"""),"Richmond7")</f>
        <v>Richmond7</v>
      </c>
      <c r="C58" s="1" t="str">
        <f ca="1">IFERROR(__xludf.DUMMYFUNCTION("""COMPUTED_VALUE"""),"A10")</f>
        <v>A10</v>
      </c>
      <c r="D58" s="1" t="str">
        <f ca="1">IFERROR(__xludf.DUMMYFUNCTION("""COMPUTED_VALUE"""),"26-9")</f>
        <v>26-9</v>
      </c>
      <c r="E58" s="1" t="str">
        <f ca="1">IFERROR(__xludf.DUMMYFUNCTION("""COMPUTED_VALUE"""),"+15.01")</f>
        <v>+15.01</v>
      </c>
      <c r="F58" s="1">
        <f ca="1">IFERROR(__xludf.DUMMYFUNCTION("""COMPUTED_VALUE"""),108.8)</f>
        <v>108.8</v>
      </c>
      <c r="G58" s="1">
        <f ca="1">IFERROR(__xludf.DUMMYFUNCTION("""COMPUTED_VALUE"""),77)</f>
        <v>77</v>
      </c>
      <c r="H58" s="1">
        <f ca="1">IFERROR(__xludf.DUMMYFUNCTION("""COMPUTED_VALUE"""),93.8)</f>
        <v>93.8</v>
      </c>
      <c r="I58" s="1">
        <f ca="1">IFERROR(__xludf.DUMMYFUNCTION("""COMPUTED_VALUE"""),35)</f>
        <v>35</v>
      </c>
      <c r="J58" s="1">
        <f ca="1">IFERROR(__xludf.DUMMYFUNCTION("""COMPUTED_VALUE"""),62.5)</f>
        <v>62.5</v>
      </c>
      <c r="K58" s="1">
        <f ca="1">IFERROR(__xludf.DUMMYFUNCTION("""COMPUTED_VALUE"""),301)</f>
        <v>301</v>
      </c>
      <c r="L58" s="1" t="str">
        <f ca="1">IFERROR(__xludf.DUMMYFUNCTION("""COMPUTED_VALUE"""),"+.047")</f>
        <v>+.047</v>
      </c>
      <c r="M58" s="1">
        <f ca="1">IFERROR(__xludf.DUMMYFUNCTION("""COMPUTED_VALUE"""),64)</f>
        <v>64</v>
      </c>
      <c r="N58" s="1" t="str">
        <f ca="1">IFERROR(__xludf.DUMMYFUNCTION("""COMPUTED_VALUE"""),"+5.70")</f>
        <v>+5.70</v>
      </c>
      <c r="O58" s="1">
        <f ca="1">IFERROR(__xludf.DUMMYFUNCTION("""COMPUTED_VALUE"""),70)</f>
        <v>70</v>
      </c>
      <c r="P58" s="1">
        <f ca="1">IFERROR(__xludf.DUMMYFUNCTION("""COMPUTED_VALUE"""),105.4)</f>
        <v>105.4</v>
      </c>
      <c r="Q58" s="1">
        <f ca="1">IFERROR(__xludf.DUMMYFUNCTION("""COMPUTED_VALUE"""),80)</f>
        <v>80</v>
      </c>
      <c r="R58" s="1">
        <f ca="1">IFERROR(__xludf.DUMMYFUNCTION("""COMPUTED_VALUE"""),99.7)</f>
        <v>99.7</v>
      </c>
      <c r="S58" s="1">
        <f ca="1">IFERROR(__xludf.DUMMYFUNCTION("""COMPUTED_VALUE"""),63)</f>
        <v>63</v>
      </c>
      <c r="T58" s="1" t="str">
        <f ca="1">IFERROR(__xludf.DUMMYFUNCTION("""COMPUTED_VALUE"""),"+2.39")</f>
        <v>+2.39</v>
      </c>
      <c r="U58" s="1">
        <f ca="1">IFERROR(__xludf.DUMMYFUNCTION("""COMPUTED_VALUE"""),95)</f>
        <v>95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IFERROR(__xludf.DUMMYFUNCTION("""COMPUTED_VALUE"""),"Miami FL")</f>
        <v>Miami FL</v>
      </c>
      <c r="C59" s="1" t="str">
        <f ca="1">IFERROR(__xludf.DUMMYFUNCTION("""COMPUTED_VALUE"""),"ACC")</f>
        <v>ACC</v>
      </c>
      <c r="D59" s="1" t="str">
        <f ca="1">IFERROR(__xludf.DUMMYFUNCTION("""COMPUTED_VALUE"""),"20-13")</f>
        <v>20-13</v>
      </c>
      <c r="E59" s="1" t="str">
        <f ca="1">IFERROR(__xludf.DUMMYFUNCTION("""COMPUTED_VALUE"""),"+14.79")</f>
        <v>+14.79</v>
      </c>
      <c r="F59" s="1">
        <f ca="1">IFERROR(__xludf.DUMMYFUNCTION("""COMPUTED_VALUE"""),112.2)</f>
        <v>112.2</v>
      </c>
      <c r="G59" s="1">
        <f ca="1">IFERROR(__xludf.DUMMYFUNCTION("""COMPUTED_VALUE"""),39)</f>
        <v>39</v>
      </c>
      <c r="H59" s="1">
        <f ca="1">IFERROR(__xludf.DUMMYFUNCTION("""COMPUTED_VALUE"""),97.4)</f>
        <v>97.4</v>
      </c>
      <c r="I59" s="1">
        <f ca="1">IFERROR(__xludf.DUMMYFUNCTION("""COMPUTED_VALUE"""),75)</f>
        <v>75</v>
      </c>
      <c r="J59" s="1">
        <f ca="1">IFERROR(__xludf.DUMMYFUNCTION("""COMPUTED_VALUE"""),65.3)</f>
        <v>65.3</v>
      </c>
      <c r="K59" s="1">
        <f ca="1">IFERROR(__xludf.DUMMYFUNCTION("""COMPUTED_VALUE"""),204)</f>
        <v>204</v>
      </c>
      <c r="L59" s="1">
        <f ca="1">IFERROR(__xludf.DUMMYFUNCTION("""COMPUTED_VALUE"""),-0.069)</f>
        <v>-6.9000000000000006E-2</v>
      </c>
      <c r="M59" s="1">
        <f ca="1">IFERROR(__xludf.DUMMYFUNCTION("""COMPUTED_VALUE"""),321)</f>
        <v>321</v>
      </c>
      <c r="N59" s="1" t="str">
        <f ca="1">IFERROR(__xludf.DUMMYFUNCTION("""COMPUTED_VALUE"""),"+6.02")</f>
        <v>+6.02</v>
      </c>
      <c r="O59" s="1">
        <f ca="1">IFERROR(__xludf.DUMMYFUNCTION("""COMPUTED_VALUE"""),68)</f>
        <v>68</v>
      </c>
      <c r="P59" s="1">
        <f ca="1">IFERROR(__xludf.DUMMYFUNCTION("""COMPUTED_VALUE"""),104.3)</f>
        <v>104.3</v>
      </c>
      <c r="Q59" s="1">
        <f ca="1">IFERROR(__xludf.DUMMYFUNCTION("""COMPUTED_VALUE"""),120)</f>
        <v>120</v>
      </c>
      <c r="R59" s="1">
        <f ca="1">IFERROR(__xludf.DUMMYFUNCTION("""COMPUTED_VALUE"""),98.3)</f>
        <v>98.3</v>
      </c>
      <c r="S59" s="1">
        <f ca="1">IFERROR(__xludf.DUMMYFUNCTION("""COMPUTED_VALUE"""),23)</f>
        <v>23</v>
      </c>
      <c r="T59" s="1">
        <f ca="1">IFERROR(__xludf.DUMMYFUNCTION("""COMPUTED_VALUE"""),-11.44)</f>
        <v>-11.44</v>
      </c>
      <c r="U59" s="1">
        <f ca="1">IFERROR(__xludf.DUMMYFUNCTION("""COMPUTED_VALUE"""),346)</f>
        <v>346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IFERROR(__xludf.DUMMYFUNCTION("""COMPUTED_VALUE"""),"VCU")</f>
        <v>VCU</v>
      </c>
      <c r="C60" s="1" t="str">
        <f ca="1">IFERROR(__xludf.DUMMYFUNCTION("""COMPUTED_VALUE"""),"CAA")</f>
        <v>CAA</v>
      </c>
      <c r="D60" s="1" t="str">
        <f ca="1">IFERROR(__xludf.DUMMYFUNCTION("""COMPUTED_VALUE"""),"27-9")</f>
        <v>27-9</v>
      </c>
      <c r="E60" s="1" t="str">
        <f ca="1">IFERROR(__xludf.DUMMYFUNCTION("""COMPUTED_VALUE"""),"+14.39")</f>
        <v>+14.39</v>
      </c>
      <c r="F60" s="1">
        <f ca="1">IFERROR(__xludf.DUMMYFUNCTION("""COMPUTED_VALUE"""),113.2)</f>
        <v>113.2</v>
      </c>
      <c r="G60" s="1">
        <f ca="1">IFERROR(__xludf.DUMMYFUNCTION("""COMPUTED_VALUE"""),28)</f>
        <v>28</v>
      </c>
      <c r="H60" s="1">
        <f ca="1">IFERROR(__xludf.DUMMYFUNCTION("""COMPUTED_VALUE"""),98.8)</f>
        <v>98.8</v>
      </c>
      <c r="I60" s="1">
        <f ca="1">IFERROR(__xludf.DUMMYFUNCTION("""COMPUTED_VALUE"""),98)</f>
        <v>98</v>
      </c>
      <c r="J60" s="1">
        <f ca="1">IFERROR(__xludf.DUMMYFUNCTION("""COMPUTED_VALUE"""),68.2)</f>
        <v>68.2</v>
      </c>
      <c r="K60" s="1">
        <f ca="1">IFERROR(__xludf.DUMMYFUNCTION("""COMPUTED_VALUE"""),69)</f>
        <v>69</v>
      </c>
      <c r="L60" s="1">
        <f ca="1">IFERROR(__xludf.DUMMYFUNCTION("""COMPUTED_VALUE"""),-0.016)</f>
        <v>-1.6E-2</v>
      </c>
      <c r="M60" s="1">
        <f ca="1">IFERROR(__xludf.DUMMYFUNCTION("""COMPUTED_VALUE"""),221)</f>
        <v>221</v>
      </c>
      <c r="N60" s="1" t="str">
        <f ca="1">IFERROR(__xludf.DUMMYFUNCTION("""COMPUTED_VALUE"""),"+0.84")</f>
        <v>+0.84</v>
      </c>
      <c r="O60" s="1">
        <f ca="1">IFERROR(__xludf.DUMMYFUNCTION("""COMPUTED_VALUE"""),151)</f>
        <v>151</v>
      </c>
      <c r="P60" s="1">
        <f ca="1">IFERROR(__xludf.DUMMYFUNCTION("""COMPUTED_VALUE"""),102.5)</f>
        <v>102.5</v>
      </c>
      <c r="Q60" s="1">
        <f ca="1">IFERROR(__xludf.DUMMYFUNCTION("""COMPUTED_VALUE"""),175)</f>
        <v>175</v>
      </c>
      <c r="R60" s="1">
        <f ca="1">IFERROR(__xludf.DUMMYFUNCTION("""COMPUTED_VALUE"""),101.7)</f>
        <v>101.7</v>
      </c>
      <c r="S60" s="1">
        <f ca="1">IFERROR(__xludf.DUMMYFUNCTION("""COMPUTED_VALUE"""),118)</f>
        <v>118</v>
      </c>
      <c r="T60" s="1">
        <f ca="1">IFERROR(__xludf.DUMMYFUNCTION("""COMPUTED_VALUE"""),-0.39)</f>
        <v>-0.39</v>
      </c>
      <c r="U60" s="1">
        <f ca="1">IFERROR(__xludf.DUMMYFUNCTION("""COMPUTED_VALUE"""),157)</f>
        <v>157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IFERROR(__xludf.DUMMYFUNCTION("""COMPUTED_VALUE"""),"Illinois1")</f>
        <v>Illinois1</v>
      </c>
      <c r="C61" s="1" t="str">
        <f ca="1">IFERROR(__xludf.DUMMYFUNCTION("""COMPUTED_VALUE"""),"B10")</f>
        <v>B10</v>
      </c>
      <c r="D61" s="1" t="str">
        <f ca="1">IFERROR(__xludf.DUMMYFUNCTION("""COMPUTED_VALUE"""),"21-15")</f>
        <v>21-15</v>
      </c>
      <c r="E61" s="1" t="str">
        <f ca="1">IFERROR(__xludf.DUMMYFUNCTION("""COMPUTED_VALUE"""),"+14.38")</f>
        <v>+14.38</v>
      </c>
      <c r="F61" s="1">
        <f ca="1">IFERROR(__xludf.DUMMYFUNCTION("""COMPUTED_VALUE"""),109.2)</f>
        <v>109.2</v>
      </c>
      <c r="G61" s="1">
        <f ca="1">IFERROR(__xludf.DUMMYFUNCTION("""COMPUTED_VALUE"""),73)</f>
        <v>73</v>
      </c>
      <c r="H61" s="1">
        <f ca="1">IFERROR(__xludf.DUMMYFUNCTION("""COMPUTED_VALUE"""),94.8)</f>
        <v>94.8</v>
      </c>
      <c r="I61" s="1">
        <f ca="1">IFERROR(__xludf.DUMMYFUNCTION("""COMPUTED_VALUE"""),49)</f>
        <v>49</v>
      </c>
      <c r="J61" s="1">
        <f ca="1">IFERROR(__xludf.DUMMYFUNCTION("""COMPUTED_VALUE"""),66.6)</f>
        <v>66.599999999999994</v>
      </c>
      <c r="K61" s="1">
        <f ca="1">IFERROR(__xludf.DUMMYFUNCTION("""COMPUTED_VALUE"""),136)</f>
        <v>136</v>
      </c>
      <c r="L61" s="1">
        <f ca="1">IFERROR(__xludf.DUMMYFUNCTION("""COMPUTED_VALUE"""),-0.029)</f>
        <v>-2.9000000000000001E-2</v>
      </c>
      <c r="M61" s="1">
        <f ca="1">IFERROR(__xludf.DUMMYFUNCTION("""COMPUTED_VALUE"""),249)</f>
        <v>249</v>
      </c>
      <c r="N61" s="1" t="str">
        <f ca="1">IFERROR(__xludf.DUMMYFUNCTION("""COMPUTED_VALUE"""),"+9.09")</f>
        <v>+9.09</v>
      </c>
      <c r="O61" s="1">
        <f ca="1">IFERROR(__xludf.DUMMYFUNCTION("""COMPUTED_VALUE"""),22)</f>
        <v>22</v>
      </c>
      <c r="P61" s="1">
        <f ca="1">IFERROR(__xludf.DUMMYFUNCTION("""COMPUTED_VALUE"""),107.5)</f>
        <v>107.5</v>
      </c>
      <c r="Q61" s="1">
        <f ca="1">IFERROR(__xludf.DUMMYFUNCTION("""COMPUTED_VALUE"""),27)</f>
        <v>27</v>
      </c>
      <c r="R61" s="1">
        <f ca="1">IFERROR(__xludf.DUMMYFUNCTION("""COMPUTED_VALUE"""),98.4)</f>
        <v>98.4</v>
      </c>
      <c r="S61" s="1">
        <f ca="1">IFERROR(__xludf.DUMMYFUNCTION("""COMPUTED_VALUE"""),24)</f>
        <v>24</v>
      </c>
      <c r="T61" s="1" t="str">
        <f ca="1">IFERROR(__xludf.DUMMYFUNCTION("""COMPUTED_VALUE"""),"+2.01")</f>
        <v>+2.01</v>
      </c>
      <c r="U61" s="1">
        <f ca="1">IFERROR(__xludf.DUMMYFUNCTION("""COMPUTED_VALUE"""),103)</f>
        <v>103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IFERROR(__xludf.DUMMYFUNCTION("""COMPUTED_VALUE"""),"Wake Forest9")</f>
        <v>Wake Forest9</v>
      </c>
      <c r="C62" s="1" t="str">
        <f ca="1">IFERROR(__xludf.DUMMYFUNCTION("""COMPUTED_VALUE"""),"ACC")</f>
        <v>ACC</v>
      </c>
      <c r="D62" s="1" t="str">
        <f ca="1">IFERROR(__xludf.DUMMYFUNCTION("""COMPUTED_VALUE"""),"20-11")</f>
        <v>20-11</v>
      </c>
      <c r="E62" s="1" t="str">
        <f ca="1">IFERROR(__xludf.DUMMYFUNCTION("""COMPUTED_VALUE"""),"+14.12")</f>
        <v>+14.12</v>
      </c>
      <c r="F62" s="1">
        <f ca="1">IFERROR(__xludf.DUMMYFUNCTION("""COMPUTED_VALUE"""),107.1)</f>
        <v>107.1</v>
      </c>
      <c r="G62" s="1">
        <f ca="1">IFERROR(__xludf.DUMMYFUNCTION("""COMPUTED_VALUE"""),106)</f>
        <v>106</v>
      </c>
      <c r="H62" s="1">
        <f ca="1">IFERROR(__xludf.DUMMYFUNCTION("""COMPUTED_VALUE"""),93)</f>
        <v>93</v>
      </c>
      <c r="I62" s="1">
        <f ca="1">IFERROR(__xludf.DUMMYFUNCTION("""COMPUTED_VALUE"""),29)</f>
        <v>29</v>
      </c>
      <c r="J62" s="1">
        <f ca="1">IFERROR(__xludf.DUMMYFUNCTION("""COMPUTED_VALUE"""),68.7)</f>
        <v>68.7</v>
      </c>
      <c r="K62" s="1">
        <f ca="1">IFERROR(__xludf.DUMMYFUNCTION("""COMPUTED_VALUE"""),58)</f>
        <v>58</v>
      </c>
      <c r="L62" s="1" t="str">
        <f ca="1">IFERROR(__xludf.DUMMYFUNCTION("""COMPUTED_VALUE"""),"+.067")</f>
        <v>+.067</v>
      </c>
      <c r="M62" s="1">
        <f ca="1">IFERROR(__xludf.DUMMYFUNCTION("""COMPUTED_VALUE"""),39)</f>
        <v>39</v>
      </c>
      <c r="N62" s="1" t="str">
        <f ca="1">IFERROR(__xludf.DUMMYFUNCTION("""COMPUTED_VALUE"""),"+10.51")</f>
        <v>+10.51</v>
      </c>
      <c r="O62" s="1">
        <f ca="1">IFERROR(__xludf.DUMMYFUNCTION("""COMPUTED_VALUE"""),9)</f>
        <v>9</v>
      </c>
      <c r="P62" s="1">
        <f ca="1">IFERROR(__xludf.DUMMYFUNCTION("""COMPUTED_VALUE"""),107.4)</f>
        <v>107.4</v>
      </c>
      <c r="Q62" s="1">
        <f ca="1">IFERROR(__xludf.DUMMYFUNCTION("""COMPUTED_VALUE"""),28)</f>
        <v>28</v>
      </c>
      <c r="R62" s="1">
        <f ca="1">IFERROR(__xludf.DUMMYFUNCTION("""COMPUTED_VALUE"""),96.9)</f>
        <v>96.9</v>
      </c>
      <c r="S62" s="1">
        <f ca="1">IFERROR(__xludf.DUMMYFUNCTION("""COMPUTED_VALUE"""),3)</f>
        <v>3</v>
      </c>
      <c r="T62" s="1">
        <f ca="1">IFERROR(__xludf.DUMMYFUNCTION("""COMPUTED_VALUE"""),-0.82)</f>
        <v>-0.82</v>
      </c>
      <c r="U62" s="1">
        <f ca="1">IFERROR(__xludf.DUMMYFUNCTION("""COMPUTED_VALUE"""),165)</f>
        <v>165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IFERROR(__xludf.DUMMYFUNCTION("""COMPUTED_VALUE"""),"Siena13")</f>
        <v>Siena13</v>
      </c>
      <c r="C63" s="1" t="str">
        <f ca="1">IFERROR(__xludf.DUMMYFUNCTION("""COMPUTED_VALUE"""),"MAAC")</f>
        <v>MAAC</v>
      </c>
      <c r="D63" s="1" t="str">
        <f ca="1">IFERROR(__xludf.DUMMYFUNCTION("""COMPUTED_VALUE"""),"27-7")</f>
        <v>27-7</v>
      </c>
      <c r="E63" s="1" t="str">
        <f ca="1">IFERROR(__xludf.DUMMYFUNCTION("""COMPUTED_VALUE"""),"+13.86")</f>
        <v>+13.86</v>
      </c>
      <c r="F63" s="1">
        <f ca="1">IFERROR(__xludf.DUMMYFUNCTION("""COMPUTED_VALUE"""),109.4)</f>
        <v>109.4</v>
      </c>
      <c r="G63" s="1">
        <f ca="1">IFERROR(__xludf.DUMMYFUNCTION("""COMPUTED_VALUE"""),69)</f>
        <v>69</v>
      </c>
      <c r="H63" s="1">
        <f ca="1">IFERROR(__xludf.DUMMYFUNCTION("""COMPUTED_VALUE"""),95.5)</f>
        <v>95.5</v>
      </c>
      <c r="I63" s="1">
        <f ca="1">IFERROR(__xludf.DUMMYFUNCTION("""COMPUTED_VALUE"""),56)</f>
        <v>56</v>
      </c>
      <c r="J63" s="1">
        <f ca="1">IFERROR(__xludf.DUMMYFUNCTION("""COMPUTED_VALUE"""),69.2)</f>
        <v>69.2</v>
      </c>
      <c r="K63" s="1">
        <f ca="1">IFERROR(__xludf.DUMMYFUNCTION("""COMPUTED_VALUE"""),43)</f>
        <v>43</v>
      </c>
      <c r="L63" s="1" t="str">
        <f ca="1">IFERROR(__xludf.DUMMYFUNCTION("""COMPUTED_VALUE"""),"+.027")</f>
        <v>+.027</v>
      </c>
      <c r="M63" s="1">
        <f ca="1">IFERROR(__xludf.DUMMYFUNCTION("""COMPUTED_VALUE"""),99)</f>
        <v>99</v>
      </c>
      <c r="N63" s="1">
        <f ca="1">IFERROR(__xludf.DUMMYFUNCTION("""COMPUTED_VALUE"""),-0.51)</f>
        <v>-0.51</v>
      </c>
      <c r="O63" s="1">
        <f ca="1">IFERROR(__xludf.DUMMYFUNCTION("""COMPUTED_VALUE"""),170)</f>
        <v>170</v>
      </c>
      <c r="P63" s="1">
        <f ca="1">IFERROR(__xludf.DUMMYFUNCTION("""COMPUTED_VALUE"""),100.9)</f>
        <v>100.9</v>
      </c>
      <c r="Q63" s="1">
        <f ca="1">IFERROR(__xludf.DUMMYFUNCTION("""COMPUTED_VALUE"""),228)</f>
        <v>228</v>
      </c>
      <c r="R63" s="1">
        <f ca="1">IFERROR(__xludf.DUMMYFUNCTION("""COMPUTED_VALUE"""),101.4)</f>
        <v>101.4</v>
      </c>
      <c r="S63" s="1">
        <f ca="1">IFERROR(__xludf.DUMMYFUNCTION("""COMPUTED_VALUE"""),108)</f>
        <v>108</v>
      </c>
      <c r="T63" s="1" t="str">
        <f ca="1">IFERROR(__xludf.DUMMYFUNCTION("""COMPUTED_VALUE"""),"+3.22")</f>
        <v>+3.22</v>
      </c>
      <c r="U63" s="1">
        <f ca="1">IFERROR(__xludf.DUMMYFUNCTION("""COMPUTED_VALUE"""),80)</f>
        <v>80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IFERROR(__xludf.DUMMYFUNCTION("""COMPUTED_VALUE"""),"Rhode Island2")</f>
        <v>Rhode Island2</v>
      </c>
      <c r="C64" s="1" t="str">
        <f ca="1">IFERROR(__xludf.DUMMYFUNCTION("""COMPUTED_VALUE"""),"A10")</f>
        <v>A10</v>
      </c>
      <c r="D64" s="1" t="str">
        <f ca="1">IFERROR(__xludf.DUMMYFUNCTION("""COMPUTED_VALUE"""),"26-10")</f>
        <v>26-10</v>
      </c>
      <c r="E64" s="1" t="str">
        <f ca="1">IFERROR(__xludf.DUMMYFUNCTION("""COMPUTED_VALUE"""),"+13.54")</f>
        <v>+13.54</v>
      </c>
      <c r="F64" s="1">
        <f ca="1">IFERROR(__xludf.DUMMYFUNCTION("""COMPUTED_VALUE"""),112.6)</f>
        <v>112.6</v>
      </c>
      <c r="G64" s="1">
        <f ca="1">IFERROR(__xludf.DUMMYFUNCTION("""COMPUTED_VALUE"""),36)</f>
        <v>36</v>
      </c>
      <c r="H64" s="1">
        <f ca="1">IFERROR(__xludf.DUMMYFUNCTION("""COMPUTED_VALUE"""),99.1)</f>
        <v>99.1</v>
      </c>
      <c r="I64" s="1">
        <f ca="1">IFERROR(__xludf.DUMMYFUNCTION("""COMPUTED_VALUE"""),101)</f>
        <v>101</v>
      </c>
      <c r="J64" s="1">
        <f ca="1">IFERROR(__xludf.DUMMYFUNCTION("""COMPUTED_VALUE"""),67.6)</f>
        <v>67.599999999999994</v>
      </c>
      <c r="K64" s="1">
        <f ca="1">IFERROR(__xludf.DUMMYFUNCTION("""COMPUTED_VALUE"""),86)</f>
        <v>86</v>
      </c>
      <c r="L64" s="1" t="str">
        <f ca="1">IFERROR(__xludf.DUMMYFUNCTION("""COMPUTED_VALUE"""),"+.033")</f>
        <v>+.033</v>
      </c>
      <c r="M64" s="1">
        <f ca="1">IFERROR(__xludf.DUMMYFUNCTION("""COMPUTED_VALUE"""),87)</f>
        <v>87</v>
      </c>
      <c r="N64" s="1" t="str">
        <f ca="1">IFERROR(__xludf.DUMMYFUNCTION("""COMPUTED_VALUE"""),"+4.83")</f>
        <v>+4.83</v>
      </c>
      <c r="O64" s="1">
        <f ca="1">IFERROR(__xludf.DUMMYFUNCTION("""COMPUTED_VALUE"""),81)</f>
        <v>81</v>
      </c>
      <c r="P64" s="1">
        <f ca="1">IFERROR(__xludf.DUMMYFUNCTION("""COMPUTED_VALUE"""),105)</f>
        <v>105</v>
      </c>
      <c r="Q64" s="1">
        <f ca="1">IFERROR(__xludf.DUMMYFUNCTION("""COMPUTED_VALUE"""),89)</f>
        <v>89</v>
      </c>
      <c r="R64" s="1">
        <f ca="1">IFERROR(__xludf.DUMMYFUNCTION("""COMPUTED_VALUE"""),100.2)</f>
        <v>100.2</v>
      </c>
      <c r="S64" s="1">
        <f ca="1">IFERROR(__xludf.DUMMYFUNCTION("""COMPUTED_VALUE"""),81)</f>
        <v>81</v>
      </c>
      <c r="T64" s="1" t="str">
        <f ca="1">IFERROR(__xludf.DUMMYFUNCTION("""COMPUTED_VALUE"""),"+2.98")</f>
        <v>+2.98</v>
      </c>
      <c r="U64" s="1">
        <f ca="1">IFERROR(__xludf.DUMMYFUNCTION("""COMPUTED_VALUE"""),82)</f>
        <v>82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IFERROR(__xludf.DUMMYFUNCTION("""COMPUTED_VALUE"""),"North Carolina4")</f>
        <v>North Carolina4</v>
      </c>
      <c r="C65" s="1" t="str">
        <f ca="1">IFERROR(__xludf.DUMMYFUNCTION("""COMPUTED_VALUE"""),"ACC")</f>
        <v>ACC</v>
      </c>
      <c r="D65" s="1" t="str">
        <f ca="1">IFERROR(__xludf.DUMMYFUNCTION("""COMPUTED_VALUE"""),"20-17")</f>
        <v>20-17</v>
      </c>
      <c r="E65" s="1" t="str">
        <f ca="1">IFERROR(__xludf.DUMMYFUNCTION("""COMPUTED_VALUE"""),"+13.39")</f>
        <v>+13.39</v>
      </c>
      <c r="F65" s="1">
        <f ca="1">IFERROR(__xludf.DUMMYFUNCTION("""COMPUTED_VALUE"""),107.4)</f>
        <v>107.4</v>
      </c>
      <c r="G65" s="1">
        <f ca="1">IFERROR(__xludf.DUMMYFUNCTION("""COMPUTED_VALUE"""),102)</f>
        <v>102</v>
      </c>
      <c r="H65" s="1">
        <f ca="1">IFERROR(__xludf.DUMMYFUNCTION("""COMPUTED_VALUE"""),94)</f>
        <v>94</v>
      </c>
      <c r="I65" s="1">
        <f ca="1">IFERROR(__xludf.DUMMYFUNCTION("""COMPUTED_VALUE"""),38)</f>
        <v>38</v>
      </c>
      <c r="J65" s="1">
        <f ca="1">IFERROR(__xludf.DUMMYFUNCTION("""COMPUTED_VALUE"""),70.4)</f>
        <v>70.400000000000006</v>
      </c>
      <c r="K65" s="1">
        <f ca="1">IFERROR(__xludf.DUMMYFUNCTION("""COMPUTED_VALUE"""),23)</f>
        <v>23</v>
      </c>
      <c r="L65" s="1">
        <f ca="1">IFERROR(__xludf.DUMMYFUNCTION("""COMPUTED_VALUE"""),-0.013)</f>
        <v>-1.2999999999999999E-2</v>
      </c>
      <c r="M65" s="1">
        <f ca="1">IFERROR(__xludf.DUMMYFUNCTION("""COMPUTED_VALUE"""),206)</f>
        <v>206</v>
      </c>
      <c r="N65" s="1" t="str">
        <f ca="1">IFERROR(__xludf.DUMMYFUNCTION("""COMPUTED_VALUE"""),"+11.36")</f>
        <v>+11.36</v>
      </c>
      <c r="O65" s="1">
        <f ca="1">IFERROR(__xludf.DUMMYFUNCTION("""COMPUTED_VALUE"""),6)</f>
        <v>6</v>
      </c>
      <c r="P65" s="1">
        <f ca="1">IFERROR(__xludf.DUMMYFUNCTION("""COMPUTED_VALUE"""),108.4)</f>
        <v>108.4</v>
      </c>
      <c r="Q65" s="1">
        <f ca="1">IFERROR(__xludf.DUMMYFUNCTION("""COMPUTED_VALUE"""),11)</f>
        <v>11</v>
      </c>
      <c r="R65" s="1">
        <f ca="1">IFERROR(__xludf.DUMMYFUNCTION("""COMPUTED_VALUE"""),97.1)</f>
        <v>97.1</v>
      </c>
      <c r="S65" s="1">
        <f ca="1">IFERROR(__xludf.DUMMYFUNCTION("""COMPUTED_VALUE"""),4)</f>
        <v>4</v>
      </c>
      <c r="T65" s="1" t="str">
        <f ca="1">IFERROR(__xludf.DUMMYFUNCTION("""COMPUTED_VALUE"""),"+0.18")</f>
        <v>+0.18</v>
      </c>
      <c r="U65" s="1">
        <f ca="1">IFERROR(__xludf.DUMMYFUNCTION("""COMPUTED_VALUE"""),139)</f>
        <v>139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IFERROR(__xludf.DUMMYFUNCTION("""COMPUTED_VALUE"""),"UAB2")</f>
        <v>UAB2</v>
      </c>
      <c r="C66" s="1" t="str">
        <f ca="1">IFERROR(__xludf.DUMMYFUNCTION("""COMPUTED_VALUE"""),"CUSA")</f>
        <v>CUSA</v>
      </c>
      <c r="D66" s="1" t="str">
        <f ca="1">IFERROR(__xludf.DUMMYFUNCTION("""COMPUTED_VALUE"""),"25-9")</f>
        <v>25-9</v>
      </c>
      <c r="E66" s="1" t="str">
        <f ca="1">IFERROR(__xludf.DUMMYFUNCTION("""COMPUTED_VALUE"""),"+12.73")</f>
        <v>+12.73</v>
      </c>
      <c r="F66" s="1">
        <f ca="1">IFERROR(__xludf.DUMMYFUNCTION("""COMPUTED_VALUE"""),104.6)</f>
        <v>104.6</v>
      </c>
      <c r="G66" s="1">
        <f ca="1">IFERROR(__xludf.DUMMYFUNCTION("""COMPUTED_VALUE"""),148)</f>
        <v>148</v>
      </c>
      <c r="H66" s="1">
        <f ca="1">IFERROR(__xludf.DUMMYFUNCTION("""COMPUTED_VALUE"""),91.8)</f>
        <v>91.8</v>
      </c>
      <c r="I66" s="1">
        <f ca="1">IFERROR(__xludf.DUMMYFUNCTION("""COMPUTED_VALUE"""),22)</f>
        <v>22</v>
      </c>
      <c r="J66" s="1">
        <f ca="1">IFERROR(__xludf.DUMMYFUNCTION("""COMPUTED_VALUE"""),64.1)</f>
        <v>64.099999999999994</v>
      </c>
      <c r="K66" s="1">
        <f ca="1">IFERROR(__xludf.DUMMYFUNCTION("""COMPUTED_VALUE"""),257)</f>
        <v>257</v>
      </c>
      <c r="L66" s="1" t="str">
        <f ca="1">IFERROR(__xludf.DUMMYFUNCTION("""COMPUTED_VALUE"""),"+.017")</f>
        <v>+.017</v>
      </c>
      <c r="M66" s="1">
        <f ca="1">IFERROR(__xludf.DUMMYFUNCTION("""COMPUTED_VALUE"""),119)</f>
        <v>119</v>
      </c>
      <c r="N66" s="1" t="str">
        <f ca="1">IFERROR(__xludf.DUMMYFUNCTION("""COMPUTED_VALUE"""),"+3.09")</f>
        <v>+3.09</v>
      </c>
      <c r="O66" s="1">
        <f ca="1">IFERROR(__xludf.DUMMYFUNCTION("""COMPUTED_VALUE"""),109)</f>
        <v>109</v>
      </c>
      <c r="P66" s="1">
        <f ca="1">IFERROR(__xludf.DUMMYFUNCTION("""COMPUTED_VALUE"""),104)</f>
        <v>104</v>
      </c>
      <c r="Q66" s="1">
        <f ca="1">IFERROR(__xludf.DUMMYFUNCTION("""COMPUTED_VALUE"""),134)</f>
        <v>134</v>
      </c>
      <c r="R66" s="1">
        <f ca="1">IFERROR(__xludf.DUMMYFUNCTION("""COMPUTED_VALUE"""),100.9)</f>
        <v>100.9</v>
      </c>
      <c r="S66" s="1">
        <f ca="1">IFERROR(__xludf.DUMMYFUNCTION("""COMPUTED_VALUE"""),95)</f>
        <v>95</v>
      </c>
      <c r="T66" s="1" t="str">
        <f ca="1">IFERROR(__xludf.DUMMYFUNCTION("""COMPUTED_VALUE"""),"+0.40")</f>
        <v>+0.40</v>
      </c>
      <c r="U66" s="1">
        <f ca="1">IFERROR(__xludf.DUMMYFUNCTION("""COMPUTED_VALUE"""),136)</f>
        <v>136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IFERROR(__xludf.DUMMYFUNCTION("""COMPUTED_VALUE"""),"Alabama")</f>
        <v>Alabama</v>
      </c>
      <c r="C67" s="1" t="str">
        <f ca="1">IFERROR(__xludf.DUMMYFUNCTION("""COMPUTED_VALUE"""),"SEC")</f>
        <v>SEC</v>
      </c>
      <c r="D67" s="1" t="str">
        <f ca="1">IFERROR(__xludf.DUMMYFUNCTION("""COMPUTED_VALUE"""),"17-15")</f>
        <v>17-15</v>
      </c>
      <c r="E67" s="1" t="str">
        <f ca="1">IFERROR(__xludf.DUMMYFUNCTION("""COMPUTED_VALUE"""),"+12.55")</f>
        <v>+12.55</v>
      </c>
      <c r="F67" s="1">
        <f ca="1">IFERROR(__xludf.DUMMYFUNCTION("""COMPUTED_VALUE"""),107.9)</f>
        <v>107.9</v>
      </c>
      <c r="G67" s="1">
        <f ca="1">IFERROR(__xludf.DUMMYFUNCTION("""COMPUTED_VALUE"""),88)</f>
        <v>88</v>
      </c>
      <c r="H67" s="1">
        <f ca="1">IFERROR(__xludf.DUMMYFUNCTION("""COMPUTED_VALUE"""),95.3)</f>
        <v>95.3</v>
      </c>
      <c r="I67" s="1">
        <f ca="1">IFERROR(__xludf.DUMMYFUNCTION("""COMPUTED_VALUE"""),53)</f>
        <v>53</v>
      </c>
      <c r="J67" s="1">
        <f ca="1">IFERROR(__xludf.DUMMYFUNCTION("""COMPUTED_VALUE"""),64.2)</f>
        <v>64.2</v>
      </c>
      <c r="K67" s="1">
        <f ca="1">IFERROR(__xludf.DUMMYFUNCTION("""COMPUTED_VALUE"""),247)</f>
        <v>247</v>
      </c>
      <c r="L67" s="1">
        <f ca="1">IFERROR(__xludf.DUMMYFUNCTION("""COMPUTED_VALUE"""),-0.099)</f>
        <v>-9.9000000000000005E-2</v>
      </c>
      <c r="M67" s="1">
        <f ca="1">IFERROR(__xludf.DUMMYFUNCTION("""COMPUTED_VALUE"""),341)</f>
        <v>341</v>
      </c>
      <c r="N67" s="1" t="str">
        <f ca="1">IFERROR(__xludf.DUMMYFUNCTION("""COMPUTED_VALUE"""),"+6.75")</f>
        <v>+6.75</v>
      </c>
      <c r="O67" s="1">
        <f ca="1">IFERROR(__xludf.DUMMYFUNCTION("""COMPUTED_VALUE"""),61)</f>
        <v>61</v>
      </c>
      <c r="P67" s="1">
        <f ca="1">IFERROR(__xludf.DUMMYFUNCTION("""COMPUTED_VALUE"""),106.5)</f>
        <v>106.5</v>
      </c>
      <c r="Q67" s="1">
        <f ca="1">IFERROR(__xludf.DUMMYFUNCTION("""COMPUTED_VALUE"""),49)</f>
        <v>49</v>
      </c>
      <c r="R67" s="1">
        <f ca="1">IFERROR(__xludf.DUMMYFUNCTION("""COMPUTED_VALUE"""),99.8)</f>
        <v>99.8</v>
      </c>
      <c r="S67" s="1">
        <f ca="1">IFERROR(__xludf.DUMMYFUNCTION("""COMPUTED_VALUE"""),64)</f>
        <v>64</v>
      </c>
      <c r="T67" s="1">
        <f ca="1">IFERROR(__xludf.DUMMYFUNCTION("""COMPUTED_VALUE"""),-0.93)</f>
        <v>-0.93</v>
      </c>
      <c r="U67" s="1">
        <f ca="1">IFERROR(__xludf.DUMMYFUNCTION("""COMPUTED_VALUE"""),172)</f>
        <v>172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IFERROR(__xludf.DUMMYFUNCTION("""COMPUTED_VALUE"""),"Wichita St.3")</f>
        <v>Wichita St.3</v>
      </c>
      <c r="C68" s="1" t="str">
        <f ca="1">IFERROR(__xludf.DUMMYFUNCTION("""COMPUTED_VALUE"""),"MVC")</f>
        <v>MVC</v>
      </c>
      <c r="D68" s="1" t="str">
        <f ca="1">IFERROR(__xludf.DUMMYFUNCTION("""COMPUTED_VALUE"""),"25-10")</f>
        <v>25-10</v>
      </c>
      <c r="E68" s="1" t="str">
        <f ca="1">IFERROR(__xludf.DUMMYFUNCTION("""COMPUTED_VALUE"""),"+12.26")</f>
        <v>+12.26</v>
      </c>
      <c r="F68" s="1">
        <f ca="1">IFERROR(__xludf.DUMMYFUNCTION("""COMPUTED_VALUE"""),108.9)</f>
        <v>108.9</v>
      </c>
      <c r="G68" s="1">
        <f ca="1">IFERROR(__xludf.DUMMYFUNCTION("""COMPUTED_VALUE"""),76)</f>
        <v>76</v>
      </c>
      <c r="H68" s="1">
        <f ca="1">IFERROR(__xludf.DUMMYFUNCTION("""COMPUTED_VALUE"""),96.6)</f>
        <v>96.6</v>
      </c>
      <c r="I68" s="1">
        <f ca="1">IFERROR(__xludf.DUMMYFUNCTION("""COMPUTED_VALUE"""),69)</f>
        <v>69</v>
      </c>
      <c r="J68" s="1">
        <f ca="1">IFERROR(__xludf.DUMMYFUNCTION("""COMPUTED_VALUE"""),64.5)</f>
        <v>64.5</v>
      </c>
      <c r="K68" s="1">
        <f ca="1">IFERROR(__xludf.DUMMYFUNCTION("""COMPUTED_VALUE"""),238)</f>
        <v>238</v>
      </c>
      <c r="L68" s="1" t="str">
        <f ca="1">IFERROR(__xludf.DUMMYFUNCTION("""COMPUTED_VALUE"""),"+.002")</f>
        <v>+.002</v>
      </c>
      <c r="M68" s="1">
        <f ca="1">IFERROR(__xludf.DUMMYFUNCTION("""COMPUTED_VALUE"""),165)</f>
        <v>165</v>
      </c>
      <c r="N68" s="1" t="str">
        <f ca="1">IFERROR(__xludf.DUMMYFUNCTION("""COMPUTED_VALUE"""),"+2.06")</f>
        <v>+2.06</v>
      </c>
      <c r="O68" s="1">
        <f ca="1">IFERROR(__xludf.DUMMYFUNCTION("""COMPUTED_VALUE"""),130)</f>
        <v>130</v>
      </c>
      <c r="P68" s="1">
        <f ca="1">IFERROR(__xludf.DUMMYFUNCTION("""COMPUTED_VALUE"""),104.2)</f>
        <v>104.2</v>
      </c>
      <c r="Q68" s="1">
        <f ca="1">IFERROR(__xludf.DUMMYFUNCTION("""COMPUTED_VALUE"""),123)</f>
        <v>123</v>
      </c>
      <c r="R68" s="1">
        <f ca="1">IFERROR(__xludf.DUMMYFUNCTION("""COMPUTED_VALUE"""),102.2)</f>
        <v>102.2</v>
      </c>
      <c r="S68" s="1">
        <f ca="1">IFERROR(__xludf.DUMMYFUNCTION("""COMPUTED_VALUE"""),142)</f>
        <v>142</v>
      </c>
      <c r="T68" s="1">
        <f ca="1">IFERROR(__xludf.DUMMYFUNCTION("""COMPUTED_VALUE"""),-6.8)</f>
        <v>-6.8</v>
      </c>
      <c r="U68" s="1">
        <f ca="1">IFERROR(__xludf.DUMMYFUNCTION("""COMPUTED_VALUE"""),313)</f>
        <v>313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IFERROR(__xludf.DUMMYFUNCTION("""COMPUTED_VALUE"""),"Wright St.")</f>
        <v>Wright St.</v>
      </c>
      <c r="C69" s="1" t="str">
        <f ca="1">IFERROR(__xludf.DUMMYFUNCTION("""COMPUTED_VALUE"""),"Horz")</f>
        <v>Horz</v>
      </c>
      <c r="D69" s="1" t="str">
        <f ca="1">IFERROR(__xludf.DUMMYFUNCTION("""COMPUTED_VALUE"""),"20-12")</f>
        <v>20-12</v>
      </c>
      <c r="E69" s="1" t="str">
        <f ca="1">IFERROR(__xludf.DUMMYFUNCTION("""COMPUTED_VALUE"""),"+12.10")</f>
        <v>+12.10</v>
      </c>
      <c r="F69" s="1">
        <f ca="1">IFERROR(__xludf.DUMMYFUNCTION("""COMPUTED_VALUE"""),108.6)</f>
        <v>108.6</v>
      </c>
      <c r="G69" s="1">
        <f ca="1">IFERROR(__xludf.DUMMYFUNCTION("""COMPUTED_VALUE"""),80)</f>
        <v>80</v>
      </c>
      <c r="H69" s="1">
        <f ca="1">IFERROR(__xludf.DUMMYFUNCTION("""COMPUTED_VALUE"""),96.5)</f>
        <v>96.5</v>
      </c>
      <c r="I69" s="1">
        <f ca="1">IFERROR(__xludf.DUMMYFUNCTION("""COMPUTED_VALUE"""),68)</f>
        <v>68</v>
      </c>
      <c r="J69" s="1">
        <f ca="1">IFERROR(__xludf.DUMMYFUNCTION("""COMPUTED_VALUE"""),61.8)</f>
        <v>61.8</v>
      </c>
      <c r="K69" s="1">
        <f ca="1">IFERROR(__xludf.DUMMYFUNCTION("""COMPUTED_VALUE"""),313)</f>
        <v>313</v>
      </c>
      <c r="L69" s="1">
        <f ca="1">IFERROR(__xludf.DUMMYFUNCTION("""COMPUTED_VALUE"""),-0.047)</f>
        <v>-4.7E-2</v>
      </c>
      <c r="M69" s="1">
        <f ca="1">IFERROR(__xludf.DUMMYFUNCTION("""COMPUTED_VALUE"""),294)</f>
        <v>294</v>
      </c>
      <c r="N69" s="1" t="str">
        <f ca="1">IFERROR(__xludf.DUMMYFUNCTION("""COMPUTED_VALUE"""),"+1.93")</f>
        <v>+1.93</v>
      </c>
      <c r="O69" s="1">
        <f ca="1">IFERROR(__xludf.DUMMYFUNCTION("""COMPUTED_VALUE"""),132)</f>
        <v>132</v>
      </c>
      <c r="P69" s="1">
        <f ca="1">IFERROR(__xludf.DUMMYFUNCTION("""COMPUTED_VALUE"""),104.1)</f>
        <v>104.1</v>
      </c>
      <c r="Q69" s="1">
        <f ca="1">IFERROR(__xludf.DUMMYFUNCTION("""COMPUTED_VALUE"""),130)</f>
        <v>130</v>
      </c>
      <c r="R69" s="1">
        <f ca="1">IFERROR(__xludf.DUMMYFUNCTION("""COMPUTED_VALUE"""),102.2)</f>
        <v>102.2</v>
      </c>
      <c r="S69" s="1">
        <f ca="1">IFERROR(__xludf.DUMMYFUNCTION("""COMPUTED_VALUE"""),141)</f>
        <v>141</v>
      </c>
      <c r="T69" s="1" t="str">
        <f ca="1">IFERROR(__xludf.DUMMYFUNCTION("""COMPUTED_VALUE"""),"+1.97")</f>
        <v>+1.97</v>
      </c>
      <c r="U69" s="1">
        <f ca="1">IFERROR(__xludf.DUMMYFUNCTION("""COMPUTED_VALUE"""),105)</f>
        <v>105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IFERROR(__xludf.DUMMYFUNCTION("""COMPUTED_VALUE"""),"Seton Hall4")</f>
        <v>Seton Hall4</v>
      </c>
      <c r="C70" s="1" t="str">
        <f ca="1">IFERROR(__xludf.DUMMYFUNCTION("""COMPUTED_VALUE"""),"BE")</f>
        <v>BE</v>
      </c>
      <c r="D70" s="1" t="str">
        <f ca="1">IFERROR(__xludf.DUMMYFUNCTION("""COMPUTED_VALUE"""),"19-13")</f>
        <v>19-13</v>
      </c>
      <c r="E70" s="1" t="str">
        <f ca="1">IFERROR(__xludf.DUMMYFUNCTION("""COMPUTED_VALUE"""),"+12.05")</f>
        <v>+12.05</v>
      </c>
      <c r="F70" s="1">
        <f ca="1">IFERROR(__xludf.DUMMYFUNCTION("""COMPUTED_VALUE"""),112.7)</f>
        <v>112.7</v>
      </c>
      <c r="G70" s="1">
        <f ca="1">IFERROR(__xludf.DUMMYFUNCTION("""COMPUTED_VALUE"""),35)</f>
        <v>35</v>
      </c>
      <c r="H70" s="1">
        <f ca="1">IFERROR(__xludf.DUMMYFUNCTION("""COMPUTED_VALUE"""),100.7)</f>
        <v>100.7</v>
      </c>
      <c r="I70" s="1">
        <f ca="1">IFERROR(__xludf.DUMMYFUNCTION("""COMPUTED_VALUE"""),128)</f>
        <v>128</v>
      </c>
      <c r="J70" s="1">
        <f ca="1">IFERROR(__xludf.DUMMYFUNCTION("""COMPUTED_VALUE"""),69.5)</f>
        <v>69.5</v>
      </c>
      <c r="K70" s="1">
        <f ca="1">IFERROR(__xludf.DUMMYFUNCTION("""COMPUTED_VALUE"""),34)</f>
        <v>34</v>
      </c>
      <c r="L70" s="1">
        <f ca="1">IFERROR(__xludf.DUMMYFUNCTION("""COMPUTED_VALUE"""),-0.009)</f>
        <v>-8.9999999999999993E-3</v>
      </c>
      <c r="M70" s="1">
        <f ca="1">IFERROR(__xludf.DUMMYFUNCTION("""COMPUTED_VALUE"""),193)</f>
        <v>193</v>
      </c>
      <c r="N70" s="1" t="str">
        <f ca="1">IFERROR(__xludf.DUMMYFUNCTION("""COMPUTED_VALUE"""),"+7.65")</f>
        <v>+7.65</v>
      </c>
      <c r="O70" s="1">
        <f ca="1">IFERROR(__xludf.DUMMYFUNCTION("""COMPUTED_VALUE"""),52)</f>
        <v>52</v>
      </c>
      <c r="P70" s="1">
        <f ca="1">IFERROR(__xludf.DUMMYFUNCTION("""COMPUTED_VALUE"""),107.6)</f>
        <v>107.6</v>
      </c>
      <c r="Q70" s="1">
        <f ca="1">IFERROR(__xludf.DUMMYFUNCTION("""COMPUTED_VALUE"""),25)</f>
        <v>25</v>
      </c>
      <c r="R70" s="1">
        <f ca="1">IFERROR(__xludf.DUMMYFUNCTION("""COMPUTED_VALUE"""),99.9)</f>
        <v>99.9</v>
      </c>
      <c r="S70" s="1">
        <f ca="1">IFERROR(__xludf.DUMMYFUNCTION("""COMPUTED_VALUE"""),70)</f>
        <v>70</v>
      </c>
      <c r="T70" s="1">
        <f ca="1">IFERROR(__xludf.DUMMYFUNCTION("""COMPUTED_VALUE"""),-9.28)</f>
        <v>-9.2799999999999994</v>
      </c>
      <c r="U70" s="1">
        <f ca="1">IFERROR(__xludf.DUMMYFUNCTION("""COMPUTED_VALUE"""),342)</f>
        <v>342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IFERROR(__xludf.DUMMYFUNCTION("""COMPUTED_VALUE"""),"St. John's6")</f>
        <v>St. John's6</v>
      </c>
      <c r="C71" s="1" t="str">
        <f ca="1">IFERROR(__xludf.DUMMYFUNCTION("""COMPUTED_VALUE"""),"BE")</f>
        <v>BE</v>
      </c>
      <c r="D71" s="1" t="str">
        <f ca="1">IFERROR(__xludf.DUMMYFUNCTION("""COMPUTED_VALUE"""),"17-16")</f>
        <v>17-16</v>
      </c>
      <c r="E71" s="1" t="str">
        <f ca="1">IFERROR(__xludf.DUMMYFUNCTION("""COMPUTED_VALUE"""),"+11.97")</f>
        <v>+11.97</v>
      </c>
      <c r="F71" s="1">
        <f ca="1">IFERROR(__xludf.DUMMYFUNCTION("""COMPUTED_VALUE"""),106.5)</f>
        <v>106.5</v>
      </c>
      <c r="G71" s="1">
        <f ca="1">IFERROR(__xludf.DUMMYFUNCTION("""COMPUTED_VALUE"""),115)</f>
        <v>115</v>
      </c>
      <c r="H71" s="1">
        <f ca="1">IFERROR(__xludf.DUMMYFUNCTION("""COMPUTED_VALUE"""),94.5)</f>
        <v>94.5</v>
      </c>
      <c r="I71" s="1">
        <f ca="1">IFERROR(__xludf.DUMMYFUNCTION("""COMPUTED_VALUE"""),46)</f>
        <v>46</v>
      </c>
      <c r="J71" s="1">
        <f ca="1">IFERROR(__xludf.DUMMYFUNCTION("""COMPUTED_VALUE"""),64.2)</f>
        <v>64.2</v>
      </c>
      <c r="K71" s="1">
        <f ca="1">IFERROR(__xludf.DUMMYFUNCTION("""COMPUTED_VALUE"""),249)</f>
        <v>249</v>
      </c>
      <c r="L71" s="1">
        <f ca="1">IFERROR(__xludf.DUMMYFUNCTION("""COMPUTED_VALUE"""),-0.032)</f>
        <v>-3.2000000000000001E-2</v>
      </c>
      <c r="M71" s="1">
        <f ca="1">IFERROR(__xludf.DUMMYFUNCTION("""COMPUTED_VALUE"""),257)</f>
        <v>257</v>
      </c>
      <c r="N71" s="1" t="str">
        <f ca="1">IFERROR(__xludf.DUMMYFUNCTION("""COMPUTED_VALUE"""),"+9.38")</f>
        <v>+9.38</v>
      </c>
      <c r="O71" s="1">
        <f ca="1">IFERROR(__xludf.DUMMYFUNCTION("""COMPUTED_VALUE"""),19)</f>
        <v>19</v>
      </c>
      <c r="P71" s="1">
        <f ca="1">IFERROR(__xludf.DUMMYFUNCTION("""COMPUTED_VALUE"""),108.5)</f>
        <v>108.5</v>
      </c>
      <c r="Q71" s="1">
        <f ca="1">IFERROR(__xludf.DUMMYFUNCTION("""COMPUTED_VALUE"""),8)</f>
        <v>8</v>
      </c>
      <c r="R71" s="1">
        <f ca="1">IFERROR(__xludf.DUMMYFUNCTION("""COMPUTED_VALUE"""),99.1)</f>
        <v>99.1</v>
      </c>
      <c r="S71" s="1">
        <f ca="1">IFERROR(__xludf.DUMMYFUNCTION("""COMPUTED_VALUE"""),48)</f>
        <v>48</v>
      </c>
      <c r="T71" s="1">
        <f ca="1">IFERROR(__xludf.DUMMYFUNCTION("""COMPUTED_VALUE"""),-1.66)</f>
        <v>-1.66</v>
      </c>
      <c r="U71" s="1">
        <f ca="1">IFERROR(__xludf.DUMMYFUNCTION("""COMPUTED_VALUE"""),207)</f>
        <v>207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IFERROR(__xludf.DUMMYFUNCTION("""COMPUTED_VALUE"""),"Cincinnati2")</f>
        <v>Cincinnati2</v>
      </c>
      <c r="C72" s="1" t="str">
        <f ca="1">IFERROR(__xludf.DUMMYFUNCTION("""COMPUTED_VALUE"""),"BE")</f>
        <v>BE</v>
      </c>
      <c r="D72" s="1" t="str">
        <f ca="1">IFERROR(__xludf.DUMMYFUNCTION("""COMPUTED_VALUE"""),"19-16")</f>
        <v>19-16</v>
      </c>
      <c r="E72" s="1" t="str">
        <f ca="1">IFERROR(__xludf.DUMMYFUNCTION("""COMPUTED_VALUE"""),"+11.92")</f>
        <v>+11.92</v>
      </c>
      <c r="F72" s="1">
        <f ca="1">IFERROR(__xludf.DUMMYFUNCTION("""COMPUTED_VALUE"""),106.3)</f>
        <v>106.3</v>
      </c>
      <c r="G72" s="1">
        <f ca="1">IFERROR(__xludf.DUMMYFUNCTION("""COMPUTED_VALUE"""),120)</f>
        <v>120</v>
      </c>
      <c r="H72" s="1">
        <f ca="1">IFERROR(__xludf.DUMMYFUNCTION("""COMPUTED_VALUE"""),94.4)</f>
        <v>94.4</v>
      </c>
      <c r="I72" s="1">
        <f ca="1">IFERROR(__xludf.DUMMYFUNCTION("""COMPUTED_VALUE"""),44)</f>
        <v>44</v>
      </c>
      <c r="J72" s="1">
        <f ca="1">IFERROR(__xludf.DUMMYFUNCTION("""COMPUTED_VALUE"""),65.3)</f>
        <v>65.3</v>
      </c>
      <c r="K72" s="1">
        <f ca="1">IFERROR(__xludf.DUMMYFUNCTION("""COMPUTED_VALUE"""),206)</f>
        <v>206</v>
      </c>
      <c r="L72" s="1">
        <f ca="1">IFERROR(__xludf.DUMMYFUNCTION("""COMPUTED_VALUE"""),-0.013)</f>
        <v>-1.2999999999999999E-2</v>
      </c>
      <c r="M72" s="1">
        <f ca="1">IFERROR(__xludf.DUMMYFUNCTION("""COMPUTED_VALUE"""),207)</f>
        <v>207</v>
      </c>
      <c r="N72" s="1" t="str">
        <f ca="1">IFERROR(__xludf.DUMMYFUNCTION("""COMPUTED_VALUE"""),"+9.77")</f>
        <v>+9.77</v>
      </c>
      <c r="O72" s="1">
        <f ca="1">IFERROR(__xludf.DUMMYFUNCTION("""COMPUTED_VALUE"""),14)</f>
        <v>14</v>
      </c>
      <c r="P72" s="1">
        <f ca="1">IFERROR(__xludf.DUMMYFUNCTION("""COMPUTED_VALUE"""),108.3)</f>
        <v>108.3</v>
      </c>
      <c r="Q72" s="1">
        <f ca="1">IFERROR(__xludf.DUMMYFUNCTION("""COMPUTED_VALUE"""),14)</f>
        <v>14</v>
      </c>
      <c r="R72" s="1">
        <f ca="1">IFERROR(__xludf.DUMMYFUNCTION("""COMPUTED_VALUE"""),98.5)</f>
        <v>98.5</v>
      </c>
      <c r="S72" s="1">
        <f ca="1">IFERROR(__xludf.DUMMYFUNCTION("""COMPUTED_VALUE"""),30)</f>
        <v>30</v>
      </c>
      <c r="T72" s="1">
        <f ca="1">IFERROR(__xludf.DUMMYFUNCTION("""COMPUTED_VALUE"""),-1.16)</f>
        <v>-1.1599999999999999</v>
      </c>
      <c r="U72" s="1">
        <f ca="1">IFERROR(__xludf.DUMMYFUNCTION("""COMPUTED_VALUE"""),185)</f>
        <v>185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IFERROR(__xludf.DUMMYFUNCTION("""COMPUTED_VALUE"""),"N.C. State6")</f>
        <v>N.C. State6</v>
      </c>
      <c r="C73" s="1" t="str">
        <f ca="1">IFERROR(__xludf.DUMMYFUNCTION("""COMPUTED_VALUE"""),"ACC")</f>
        <v>ACC</v>
      </c>
      <c r="D73" s="1" t="str">
        <f ca="1">IFERROR(__xludf.DUMMYFUNCTION("""COMPUTED_VALUE"""),"20-16")</f>
        <v>20-16</v>
      </c>
      <c r="E73" s="1" t="str">
        <f ca="1">IFERROR(__xludf.DUMMYFUNCTION("""COMPUTED_VALUE"""),"+11.49")</f>
        <v>+11.49</v>
      </c>
      <c r="F73" s="1">
        <f ca="1">IFERROR(__xludf.DUMMYFUNCTION("""COMPUTED_VALUE"""),106.1)</f>
        <v>106.1</v>
      </c>
      <c r="G73" s="1">
        <f ca="1">IFERROR(__xludf.DUMMYFUNCTION("""COMPUTED_VALUE"""),125)</f>
        <v>125</v>
      </c>
      <c r="H73" s="1">
        <f ca="1">IFERROR(__xludf.DUMMYFUNCTION("""COMPUTED_VALUE"""),94.6)</f>
        <v>94.6</v>
      </c>
      <c r="I73" s="1">
        <f ca="1">IFERROR(__xludf.DUMMYFUNCTION("""COMPUTED_VALUE"""),48)</f>
        <v>48</v>
      </c>
      <c r="J73" s="1">
        <f ca="1">IFERROR(__xludf.DUMMYFUNCTION("""COMPUTED_VALUE"""),64.5)</f>
        <v>64.5</v>
      </c>
      <c r="K73" s="1">
        <f ca="1">IFERROR(__xludf.DUMMYFUNCTION("""COMPUTED_VALUE"""),240)</f>
        <v>240</v>
      </c>
      <c r="L73" s="1">
        <f ca="1">IFERROR(__xludf.DUMMYFUNCTION("""COMPUTED_VALUE"""),-0.007)</f>
        <v>-7.0000000000000001E-3</v>
      </c>
      <c r="M73" s="1">
        <f ca="1">IFERROR(__xludf.DUMMYFUNCTION("""COMPUTED_VALUE"""),188)</f>
        <v>188</v>
      </c>
      <c r="N73" s="1" t="str">
        <f ca="1">IFERROR(__xludf.DUMMYFUNCTION("""COMPUTED_VALUE"""),"+8.66")</f>
        <v>+8.66</v>
      </c>
      <c r="O73" s="1">
        <f ca="1">IFERROR(__xludf.DUMMYFUNCTION("""COMPUTED_VALUE"""),35)</f>
        <v>35</v>
      </c>
      <c r="P73" s="1">
        <f ca="1">IFERROR(__xludf.DUMMYFUNCTION("""COMPUTED_VALUE"""),106.4)</f>
        <v>106.4</v>
      </c>
      <c r="Q73" s="1">
        <f ca="1">IFERROR(__xludf.DUMMYFUNCTION("""COMPUTED_VALUE"""),58)</f>
        <v>58</v>
      </c>
      <c r="R73" s="1">
        <f ca="1">IFERROR(__xludf.DUMMYFUNCTION("""COMPUTED_VALUE"""),97.7)</f>
        <v>97.7</v>
      </c>
      <c r="S73" s="1">
        <f ca="1">IFERROR(__xludf.DUMMYFUNCTION("""COMPUTED_VALUE"""),13)</f>
        <v>13</v>
      </c>
      <c r="T73" s="1">
        <f ca="1">IFERROR(__xludf.DUMMYFUNCTION("""COMPUTED_VALUE"""),-5.32)</f>
        <v>-5.32</v>
      </c>
      <c r="U73" s="1">
        <f ca="1">IFERROR(__xludf.DUMMYFUNCTION("""COMPUTED_VALUE"""),292)</f>
        <v>292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IFERROR(__xludf.DUMMYFUNCTION("""COMPUTED_VALUE"""),"Michigan")</f>
        <v>Michigan</v>
      </c>
      <c r="C74" s="1" t="str">
        <f ca="1">IFERROR(__xludf.DUMMYFUNCTION("""COMPUTED_VALUE"""),"B10")</f>
        <v>B10</v>
      </c>
      <c r="D74" s="1" t="str">
        <f ca="1">IFERROR(__xludf.DUMMYFUNCTION("""COMPUTED_VALUE"""),"15-17")</f>
        <v>15-17</v>
      </c>
      <c r="E74" s="1" t="str">
        <f ca="1">IFERROR(__xludf.DUMMYFUNCTION("""COMPUTED_VALUE"""),"+11.48")</f>
        <v>+11.48</v>
      </c>
      <c r="F74" s="1">
        <f ca="1">IFERROR(__xludf.DUMMYFUNCTION("""COMPUTED_VALUE"""),107.4)</f>
        <v>107.4</v>
      </c>
      <c r="G74" s="1">
        <f ca="1">IFERROR(__xludf.DUMMYFUNCTION("""COMPUTED_VALUE"""),101)</f>
        <v>101</v>
      </c>
      <c r="H74" s="1">
        <f ca="1">IFERROR(__xludf.DUMMYFUNCTION("""COMPUTED_VALUE"""),95.9)</f>
        <v>95.9</v>
      </c>
      <c r="I74" s="1">
        <f ca="1">IFERROR(__xludf.DUMMYFUNCTION("""COMPUTED_VALUE"""),58)</f>
        <v>58</v>
      </c>
      <c r="J74" s="1">
        <f ca="1">IFERROR(__xludf.DUMMYFUNCTION("""COMPUTED_VALUE"""),61.8)</f>
        <v>61.8</v>
      </c>
      <c r="K74" s="1">
        <f ca="1">IFERROR(__xludf.DUMMYFUNCTION("""COMPUTED_VALUE"""),314)</f>
        <v>314</v>
      </c>
      <c r="L74" s="1">
        <f ca="1">IFERROR(__xludf.DUMMYFUNCTION("""COMPUTED_VALUE"""),-0.079)</f>
        <v>-7.9000000000000001E-2</v>
      </c>
      <c r="M74" s="1">
        <f ca="1">IFERROR(__xludf.DUMMYFUNCTION("""COMPUTED_VALUE"""),331)</f>
        <v>331</v>
      </c>
      <c r="N74" s="1" t="str">
        <f ca="1">IFERROR(__xludf.DUMMYFUNCTION("""COMPUTED_VALUE"""),"+9.27")</f>
        <v>+9.27</v>
      </c>
      <c r="O74" s="1">
        <f ca="1">IFERROR(__xludf.DUMMYFUNCTION("""COMPUTED_VALUE"""),21)</f>
        <v>21</v>
      </c>
      <c r="P74" s="1">
        <f ca="1">IFERROR(__xludf.DUMMYFUNCTION("""COMPUTED_VALUE"""),107.7)</f>
        <v>107.7</v>
      </c>
      <c r="Q74" s="1">
        <f ca="1">IFERROR(__xludf.DUMMYFUNCTION("""COMPUTED_VALUE"""),22)</f>
        <v>22</v>
      </c>
      <c r="R74" s="1">
        <f ca="1">IFERROR(__xludf.DUMMYFUNCTION("""COMPUTED_VALUE"""),98.4)</f>
        <v>98.4</v>
      </c>
      <c r="S74" s="1">
        <f ca="1">IFERROR(__xludf.DUMMYFUNCTION("""COMPUTED_VALUE"""),25)</f>
        <v>25</v>
      </c>
      <c r="T74" s="1" t="str">
        <f ca="1">IFERROR(__xludf.DUMMYFUNCTION("""COMPUTED_VALUE"""),"+2.62")</f>
        <v>+2.62</v>
      </c>
      <c r="U74" s="1">
        <f ca="1">IFERROR(__xludf.DUMMYFUNCTION("""COMPUTED_VALUE"""),90)</f>
        <v>90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IFERROR(__xludf.DUMMYFUNCTION("""COMPUTED_VALUE"""),"Northeastern5")</f>
        <v>Northeastern5</v>
      </c>
      <c r="C75" s="1" t="str">
        <f ca="1">IFERROR(__xludf.DUMMYFUNCTION("""COMPUTED_VALUE"""),"CAA")</f>
        <v>CAA</v>
      </c>
      <c r="D75" s="1" t="str">
        <f ca="1">IFERROR(__xludf.DUMMYFUNCTION("""COMPUTED_VALUE"""),"20-13")</f>
        <v>20-13</v>
      </c>
      <c r="E75" s="1" t="str">
        <f ca="1">IFERROR(__xludf.DUMMYFUNCTION("""COMPUTED_VALUE"""),"+11.32")</f>
        <v>+11.32</v>
      </c>
      <c r="F75" s="1">
        <f ca="1">IFERROR(__xludf.DUMMYFUNCTION("""COMPUTED_VALUE"""),106.5)</f>
        <v>106.5</v>
      </c>
      <c r="G75" s="1">
        <f ca="1">IFERROR(__xludf.DUMMYFUNCTION("""COMPUTED_VALUE"""),113)</f>
        <v>113</v>
      </c>
      <c r="H75" s="1">
        <f ca="1">IFERROR(__xludf.DUMMYFUNCTION("""COMPUTED_VALUE"""),95.2)</f>
        <v>95.2</v>
      </c>
      <c r="I75" s="1">
        <f ca="1">IFERROR(__xludf.DUMMYFUNCTION("""COMPUTED_VALUE"""),52)</f>
        <v>52</v>
      </c>
      <c r="J75" s="1">
        <f ca="1">IFERROR(__xludf.DUMMYFUNCTION("""COMPUTED_VALUE"""),60.3)</f>
        <v>60.3</v>
      </c>
      <c r="K75" s="1">
        <f ca="1">IFERROR(__xludf.DUMMYFUNCTION("""COMPUTED_VALUE"""),333)</f>
        <v>333</v>
      </c>
      <c r="L75" s="1">
        <f ca="1">IFERROR(__xludf.DUMMYFUNCTION("""COMPUTED_VALUE"""),-0.057)</f>
        <v>-5.7000000000000002E-2</v>
      </c>
      <c r="M75" s="1">
        <f ca="1">IFERROR(__xludf.DUMMYFUNCTION("""COMPUTED_VALUE"""),304)</f>
        <v>304</v>
      </c>
      <c r="N75" s="1" t="str">
        <f ca="1">IFERROR(__xludf.DUMMYFUNCTION("""COMPUTED_VALUE"""),"+3.89")</f>
        <v>+3.89</v>
      </c>
      <c r="O75" s="1">
        <f ca="1">IFERROR(__xludf.DUMMYFUNCTION("""COMPUTED_VALUE"""),97)</f>
        <v>97</v>
      </c>
      <c r="P75" s="1">
        <f ca="1">IFERROR(__xludf.DUMMYFUNCTION("""COMPUTED_VALUE"""),105)</f>
        <v>105</v>
      </c>
      <c r="Q75" s="1">
        <f ca="1">IFERROR(__xludf.DUMMYFUNCTION("""COMPUTED_VALUE"""),88)</f>
        <v>88</v>
      </c>
      <c r="R75" s="1">
        <f ca="1">IFERROR(__xludf.DUMMYFUNCTION("""COMPUTED_VALUE"""),101.1)</f>
        <v>101.1</v>
      </c>
      <c r="S75" s="1">
        <f ca="1">IFERROR(__xludf.DUMMYFUNCTION("""COMPUTED_VALUE"""),101)</f>
        <v>101</v>
      </c>
      <c r="T75" s="1" t="str">
        <f ca="1">IFERROR(__xludf.DUMMYFUNCTION("""COMPUTED_VALUE"""),"+7.58")</f>
        <v>+7.58</v>
      </c>
      <c r="U75" s="1">
        <f ca="1">IFERROR(__xludf.DUMMYFUNCTION("""COMPUTED_VALUE"""),26)</f>
        <v>26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IFERROR(__xludf.DUMMYFUNCTION("""COMPUTED_VALUE"""),"Texas Tech5")</f>
        <v>Texas Tech5</v>
      </c>
      <c r="C76" s="1" t="str">
        <f ca="1">IFERROR(__xludf.DUMMYFUNCTION("""COMPUTED_VALUE"""),"B12")</f>
        <v>B12</v>
      </c>
      <c r="D76" s="1" t="str">
        <f ca="1">IFERROR(__xludf.DUMMYFUNCTION("""COMPUTED_VALUE"""),"19-16")</f>
        <v>19-16</v>
      </c>
      <c r="E76" s="1" t="str">
        <f ca="1">IFERROR(__xludf.DUMMYFUNCTION("""COMPUTED_VALUE"""),"+11.14")</f>
        <v>+11.14</v>
      </c>
      <c r="F76" s="1">
        <f ca="1">IFERROR(__xludf.DUMMYFUNCTION("""COMPUTED_VALUE"""),108.8)</f>
        <v>108.8</v>
      </c>
      <c r="G76" s="1">
        <f ca="1">IFERROR(__xludf.DUMMYFUNCTION("""COMPUTED_VALUE"""),78)</f>
        <v>78</v>
      </c>
      <c r="H76" s="1">
        <f ca="1">IFERROR(__xludf.DUMMYFUNCTION("""COMPUTED_VALUE"""),97.6)</f>
        <v>97.6</v>
      </c>
      <c r="I76" s="1">
        <f ca="1">IFERROR(__xludf.DUMMYFUNCTION("""COMPUTED_VALUE"""),80)</f>
        <v>80</v>
      </c>
      <c r="J76" s="1">
        <f ca="1">IFERROR(__xludf.DUMMYFUNCTION("""COMPUTED_VALUE"""),70.7)</f>
        <v>70.7</v>
      </c>
      <c r="K76" s="1">
        <f ca="1">IFERROR(__xludf.DUMMYFUNCTION("""COMPUTED_VALUE"""),19)</f>
        <v>19</v>
      </c>
      <c r="L76" s="1" t="str">
        <f ca="1">IFERROR(__xludf.DUMMYFUNCTION("""COMPUTED_VALUE"""),"+.026")</f>
        <v>+.026</v>
      </c>
      <c r="M76" s="1">
        <f ca="1">IFERROR(__xludf.DUMMYFUNCTION("""COMPUTED_VALUE"""),101)</f>
        <v>101</v>
      </c>
      <c r="N76" s="1" t="str">
        <f ca="1">IFERROR(__xludf.DUMMYFUNCTION("""COMPUTED_VALUE"""),"+10.08")</f>
        <v>+10.08</v>
      </c>
      <c r="O76" s="1">
        <f ca="1">IFERROR(__xludf.DUMMYFUNCTION("""COMPUTED_VALUE"""),11)</f>
        <v>11</v>
      </c>
      <c r="P76" s="1">
        <f ca="1">IFERROR(__xludf.DUMMYFUNCTION("""COMPUTED_VALUE"""),108.8)</f>
        <v>108.8</v>
      </c>
      <c r="Q76" s="1">
        <f ca="1">IFERROR(__xludf.DUMMYFUNCTION("""COMPUTED_VALUE"""),5)</f>
        <v>5</v>
      </c>
      <c r="R76" s="1">
        <f ca="1">IFERROR(__xludf.DUMMYFUNCTION("""COMPUTED_VALUE"""),98.8)</f>
        <v>98.8</v>
      </c>
      <c r="S76" s="1">
        <f ca="1">IFERROR(__xludf.DUMMYFUNCTION("""COMPUTED_VALUE"""),38)</f>
        <v>38</v>
      </c>
      <c r="T76" s="1">
        <f ca="1">IFERROR(__xludf.DUMMYFUNCTION("""COMPUTED_VALUE"""),-1.93)</f>
        <v>-1.93</v>
      </c>
      <c r="U76" s="1">
        <f ca="1">IFERROR(__xludf.DUMMYFUNCTION("""COMPUTED_VALUE"""),214)</f>
        <v>214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IFERROR(__xludf.DUMMYFUNCTION("""COMPUTED_VALUE"""),"Iowa St.")</f>
        <v>Iowa St.</v>
      </c>
      <c r="C77" s="1" t="str">
        <f ca="1">IFERROR(__xludf.DUMMYFUNCTION("""COMPUTED_VALUE"""),"B12")</f>
        <v>B12</v>
      </c>
      <c r="D77" s="1" t="str">
        <f ca="1">IFERROR(__xludf.DUMMYFUNCTION("""COMPUTED_VALUE"""),"15-17")</f>
        <v>15-17</v>
      </c>
      <c r="E77" s="1" t="str">
        <f ca="1">IFERROR(__xludf.DUMMYFUNCTION("""COMPUTED_VALUE"""),"+11.09")</f>
        <v>+11.09</v>
      </c>
      <c r="F77" s="1">
        <f ca="1">IFERROR(__xludf.DUMMYFUNCTION("""COMPUTED_VALUE"""),107.2)</f>
        <v>107.2</v>
      </c>
      <c r="G77" s="1">
        <f ca="1">IFERROR(__xludf.DUMMYFUNCTION("""COMPUTED_VALUE"""),105)</f>
        <v>105</v>
      </c>
      <c r="H77" s="1">
        <f ca="1">IFERROR(__xludf.DUMMYFUNCTION("""COMPUTED_VALUE"""),96.1)</f>
        <v>96.1</v>
      </c>
      <c r="I77" s="1">
        <f ca="1">IFERROR(__xludf.DUMMYFUNCTION("""COMPUTED_VALUE"""),61)</f>
        <v>61</v>
      </c>
      <c r="J77" s="1">
        <f ca="1">IFERROR(__xludf.DUMMYFUNCTION("""COMPUTED_VALUE"""),67.5)</f>
        <v>67.5</v>
      </c>
      <c r="K77" s="1">
        <f ca="1">IFERROR(__xludf.DUMMYFUNCTION("""COMPUTED_VALUE"""),93)</f>
        <v>93</v>
      </c>
      <c r="L77" s="1">
        <f ca="1">IFERROR(__xludf.DUMMYFUNCTION("""COMPUTED_VALUE"""),-0.081)</f>
        <v>-8.1000000000000003E-2</v>
      </c>
      <c r="M77" s="1">
        <f ca="1">IFERROR(__xludf.DUMMYFUNCTION("""COMPUTED_VALUE"""),333)</f>
        <v>333</v>
      </c>
      <c r="N77" s="1" t="str">
        <f ca="1">IFERROR(__xludf.DUMMYFUNCTION("""COMPUTED_VALUE"""),"+9.52")</f>
        <v>+9.52</v>
      </c>
      <c r="O77" s="1">
        <f ca="1">IFERROR(__xludf.DUMMYFUNCTION("""COMPUTED_VALUE"""),17)</f>
        <v>17</v>
      </c>
      <c r="P77" s="1">
        <f ca="1">IFERROR(__xludf.DUMMYFUNCTION("""COMPUTED_VALUE"""),108.8)</f>
        <v>108.8</v>
      </c>
      <c r="Q77" s="1">
        <f ca="1">IFERROR(__xludf.DUMMYFUNCTION("""COMPUTED_VALUE"""),6)</f>
        <v>6</v>
      </c>
      <c r="R77" s="1">
        <f ca="1">IFERROR(__xludf.DUMMYFUNCTION("""COMPUTED_VALUE"""),99.3)</f>
        <v>99.3</v>
      </c>
      <c r="S77" s="1">
        <f ca="1">IFERROR(__xludf.DUMMYFUNCTION("""COMPUTED_VALUE"""),50)</f>
        <v>50</v>
      </c>
      <c r="T77" s="1">
        <f ca="1">IFERROR(__xludf.DUMMYFUNCTION("""COMPUTED_VALUE"""),-3.7)</f>
        <v>-3.7</v>
      </c>
      <c r="U77" s="1">
        <f ca="1">IFERROR(__xludf.DUMMYFUNCTION("""COMPUTED_VALUE"""),260)</f>
        <v>260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IFERROR(__xludf.DUMMYFUNCTION("""COMPUTED_VALUE"""),"Boston College")</f>
        <v>Boston College</v>
      </c>
      <c r="C78" s="1" t="str">
        <f ca="1">IFERROR(__xludf.DUMMYFUNCTION("""COMPUTED_VALUE"""),"ACC")</f>
        <v>ACC</v>
      </c>
      <c r="D78" s="1" t="str">
        <f ca="1">IFERROR(__xludf.DUMMYFUNCTION("""COMPUTED_VALUE"""),"15-16")</f>
        <v>15-16</v>
      </c>
      <c r="E78" s="1" t="str">
        <f ca="1">IFERROR(__xludf.DUMMYFUNCTION("""COMPUTED_VALUE"""),"+10.87")</f>
        <v>+10.87</v>
      </c>
      <c r="F78" s="1">
        <f ca="1">IFERROR(__xludf.DUMMYFUNCTION("""COMPUTED_VALUE"""),110.7)</f>
        <v>110.7</v>
      </c>
      <c r="G78" s="1">
        <f ca="1">IFERROR(__xludf.DUMMYFUNCTION("""COMPUTED_VALUE"""),51)</f>
        <v>51</v>
      </c>
      <c r="H78" s="1">
        <f ca="1">IFERROR(__xludf.DUMMYFUNCTION("""COMPUTED_VALUE"""),99.8)</f>
        <v>99.8</v>
      </c>
      <c r="I78" s="1">
        <f ca="1">IFERROR(__xludf.DUMMYFUNCTION("""COMPUTED_VALUE"""),114)</f>
        <v>114</v>
      </c>
      <c r="J78" s="1">
        <f ca="1">IFERROR(__xludf.DUMMYFUNCTION("""COMPUTED_VALUE"""),64.1)</f>
        <v>64.099999999999994</v>
      </c>
      <c r="K78" s="1">
        <f ca="1">IFERROR(__xludf.DUMMYFUNCTION("""COMPUTED_VALUE"""),256)</f>
        <v>256</v>
      </c>
      <c r="L78" s="1">
        <f ca="1">IFERROR(__xludf.DUMMYFUNCTION("""COMPUTED_VALUE"""),-0.086)</f>
        <v>-8.5999999999999993E-2</v>
      </c>
      <c r="M78" s="1">
        <f ca="1">IFERROR(__xludf.DUMMYFUNCTION("""COMPUTED_VALUE"""),337)</f>
        <v>337</v>
      </c>
      <c r="N78" s="1" t="str">
        <f ca="1">IFERROR(__xludf.DUMMYFUNCTION("""COMPUTED_VALUE"""),"+8.22")</f>
        <v>+8.22</v>
      </c>
      <c r="O78" s="1">
        <f ca="1">IFERROR(__xludf.DUMMYFUNCTION("""COMPUTED_VALUE"""),43)</f>
        <v>43</v>
      </c>
      <c r="P78" s="1">
        <f ca="1">IFERROR(__xludf.DUMMYFUNCTION("""COMPUTED_VALUE"""),105.6)</f>
        <v>105.6</v>
      </c>
      <c r="Q78" s="1">
        <f ca="1">IFERROR(__xludf.DUMMYFUNCTION("""COMPUTED_VALUE"""),74)</f>
        <v>74</v>
      </c>
      <c r="R78" s="1">
        <f ca="1">IFERROR(__xludf.DUMMYFUNCTION("""COMPUTED_VALUE"""),97.4)</f>
        <v>97.4</v>
      </c>
      <c r="S78" s="1">
        <f ca="1">IFERROR(__xludf.DUMMYFUNCTION("""COMPUTED_VALUE"""),5)</f>
        <v>5</v>
      </c>
      <c r="T78" s="1">
        <f ca="1">IFERROR(__xludf.DUMMYFUNCTION("""COMPUTED_VALUE"""),-5.29)</f>
        <v>-5.29</v>
      </c>
      <c r="U78" s="1">
        <f ca="1">IFERROR(__xludf.DUMMYFUNCTION("""COMPUTED_VALUE"""),290)</f>
        <v>290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IFERROR(__xludf.DUMMYFUNCTION("""COMPUTED_VALUE"""),"Missouri St.")</f>
        <v>Missouri St.</v>
      </c>
      <c r="C79" s="1" t="str">
        <f ca="1">IFERROR(__xludf.DUMMYFUNCTION("""COMPUTED_VALUE"""),"MVC")</f>
        <v>MVC</v>
      </c>
      <c r="D79" s="1" t="str">
        <f ca="1">IFERROR(__xludf.DUMMYFUNCTION("""COMPUTED_VALUE"""),"24-12")</f>
        <v>24-12</v>
      </c>
      <c r="E79" s="1" t="str">
        <f ca="1">IFERROR(__xludf.DUMMYFUNCTION("""COMPUTED_VALUE"""),"+10.85")</f>
        <v>+10.85</v>
      </c>
      <c r="F79" s="1">
        <f ca="1">IFERROR(__xludf.DUMMYFUNCTION("""COMPUTED_VALUE"""),111.8)</f>
        <v>111.8</v>
      </c>
      <c r="G79" s="1">
        <f ca="1">IFERROR(__xludf.DUMMYFUNCTION("""COMPUTED_VALUE"""),43)</f>
        <v>43</v>
      </c>
      <c r="H79" s="1">
        <f ca="1">IFERROR(__xludf.DUMMYFUNCTION("""COMPUTED_VALUE"""),100.9)</f>
        <v>100.9</v>
      </c>
      <c r="I79" s="1">
        <f ca="1">IFERROR(__xludf.DUMMYFUNCTION("""COMPUTED_VALUE"""),134)</f>
        <v>134</v>
      </c>
      <c r="J79" s="1">
        <f ca="1">IFERROR(__xludf.DUMMYFUNCTION("""COMPUTED_VALUE"""),64.5)</f>
        <v>64.5</v>
      </c>
      <c r="K79" s="1">
        <f ca="1">IFERROR(__xludf.DUMMYFUNCTION("""COMPUTED_VALUE"""),241)</f>
        <v>241</v>
      </c>
      <c r="L79" s="1">
        <f ca="1">IFERROR(__xludf.DUMMYFUNCTION("""COMPUTED_VALUE"""),-0.05)</f>
        <v>-0.05</v>
      </c>
      <c r="M79" s="1">
        <f ca="1">IFERROR(__xludf.DUMMYFUNCTION("""COMPUTED_VALUE"""),298)</f>
        <v>298</v>
      </c>
      <c r="N79" s="1" t="str">
        <f ca="1">IFERROR(__xludf.DUMMYFUNCTION("""COMPUTED_VALUE"""),"+1.07")</f>
        <v>+1.07</v>
      </c>
      <c r="O79" s="1">
        <f ca="1">IFERROR(__xludf.DUMMYFUNCTION("""COMPUTED_VALUE"""),148)</f>
        <v>148</v>
      </c>
      <c r="P79" s="1">
        <f ca="1">IFERROR(__xludf.DUMMYFUNCTION("""COMPUTED_VALUE"""),103.3)</f>
        <v>103.3</v>
      </c>
      <c r="Q79" s="1">
        <f ca="1">IFERROR(__xludf.DUMMYFUNCTION("""COMPUTED_VALUE"""),154)</f>
        <v>154</v>
      </c>
      <c r="R79" s="1">
        <f ca="1">IFERROR(__xludf.DUMMYFUNCTION("""COMPUTED_VALUE"""),102.3)</f>
        <v>102.3</v>
      </c>
      <c r="S79" s="1">
        <f ca="1">IFERROR(__xludf.DUMMYFUNCTION("""COMPUTED_VALUE"""),147)</f>
        <v>147</v>
      </c>
      <c r="T79" s="1">
        <f ca="1">IFERROR(__xludf.DUMMYFUNCTION("""COMPUTED_VALUE"""),-4.44)</f>
        <v>-4.4400000000000004</v>
      </c>
      <c r="U79" s="1">
        <f ca="1">IFERROR(__xludf.DUMMYFUNCTION("""COMPUTED_VALUE"""),279)</f>
        <v>279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IFERROR(__xludf.DUMMYFUNCTION("""COMPUTED_VALUE"""),"Virginia")</f>
        <v>Virginia</v>
      </c>
      <c r="C80" s="1" t="str">
        <f ca="1">IFERROR(__xludf.DUMMYFUNCTION("""COMPUTED_VALUE"""),"ACC")</f>
        <v>ACC</v>
      </c>
      <c r="D80" s="1" t="str">
        <f ca="1">IFERROR(__xludf.DUMMYFUNCTION("""COMPUTED_VALUE"""),"15-16")</f>
        <v>15-16</v>
      </c>
      <c r="E80" s="1" t="str">
        <f ca="1">IFERROR(__xludf.DUMMYFUNCTION("""COMPUTED_VALUE"""),"+10.76")</f>
        <v>+10.76</v>
      </c>
      <c r="F80" s="1">
        <f ca="1">IFERROR(__xludf.DUMMYFUNCTION("""COMPUTED_VALUE"""),108)</f>
        <v>108</v>
      </c>
      <c r="G80" s="1">
        <f ca="1">IFERROR(__xludf.DUMMYFUNCTION("""COMPUTED_VALUE"""),87)</f>
        <v>87</v>
      </c>
      <c r="H80" s="1">
        <f ca="1">IFERROR(__xludf.DUMMYFUNCTION("""COMPUTED_VALUE"""),97.2)</f>
        <v>97.2</v>
      </c>
      <c r="I80" s="1">
        <f ca="1">IFERROR(__xludf.DUMMYFUNCTION("""COMPUTED_VALUE"""),71)</f>
        <v>71</v>
      </c>
      <c r="J80" s="1">
        <f ca="1">IFERROR(__xludf.DUMMYFUNCTION("""COMPUTED_VALUE"""),61.7)</f>
        <v>61.7</v>
      </c>
      <c r="K80" s="1">
        <f ca="1">IFERROR(__xludf.DUMMYFUNCTION("""COMPUTED_VALUE"""),316)</f>
        <v>316</v>
      </c>
      <c r="L80" s="1">
        <f ca="1">IFERROR(__xludf.DUMMYFUNCTION("""COMPUTED_VALUE"""),-0.067)</f>
        <v>-6.7000000000000004E-2</v>
      </c>
      <c r="M80" s="1">
        <f ca="1">IFERROR(__xludf.DUMMYFUNCTION("""COMPUTED_VALUE"""),318)</f>
        <v>318</v>
      </c>
      <c r="N80" s="1" t="str">
        <f ca="1">IFERROR(__xludf.DUMMYFUNCTION("""COMPUTED_VALUE"""),"+8.38")</f>
        <v>+8.38</v>
      </c>
      <c r="O80" s="1">
        <f ca="1">IFERROR(__xludf.DUMMYFUNCTION("""COMPUTED_VALUE"""),39)</f>
        <v>39</v>
      </c>
      <c r="P80" s="1">
        <f ca="1">IFERROR(__xludf.DUMMYFUNCTION("""COMPUTED_VALUE"""),106.3)</f>
        <v>106.3</v>
      </c>
      <c r="Q80" s="1">
        <f ca="1">IFERROR(__xludf.DUMMYFUNCTION("""COMPUTED_VALUE"""),63)</f>
        <v>63</v>
      </c>
      <c r="R80" s="1">
        <f ca="1">IFERROR(__xludf.DUMMYFUNCTION("""COMPUTED_VALUE"""),97.9)</f>
        <v>97.9</v>
      </c>
      <c r="S80" s="1">
        <f ca="1">IFERROR(__xludf.DUMMYFUNCTION("""COMPUTED_VALUE"""),17)</f>
        <v>17</v>
      </c>
      <c r="T80" s="1">
        <f ca="1">IFERROR(__xludf.DUMMYFUNCTION("""COMPUTED_VALUE"""),-5.39)</f>
        <v>-5.39</v>
      </c>
      <c r="U80" s="1">
        <f ca="1">IFERROR(__xludf.DUMMYFUNCTION("""COMPUTED_VALUE"""),295)</f>
        <v>295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IFERROR(__xludf.DUMMYFUNCTION("""COMPUTED_VALUE"""),"USC")</f>
        <v>USC</v>
      </c>
      <c r="C81" s="1" t="str">
        <f ca="1">IFERROR(__xludf.DUMMYFUNCTION("""COMPUTED_VALUE"""),"P10")</f>
        <v>P10</v>
      </c>
      <c r="D81" s="1" t="str">
        <f ca="1">IFERROR(__xludf.DUMMYFUNCTION("""COMPUTED_VALUE"""),"16-14")</f>
        <v>16-14</v>
      </c>
      <c r="E81" s="1" t="str">
        <f ca="1">IFERROR(__xludf.DUMMYFUNCTION("""COMPUTED_VALUE"""),"+10.63")</f>
        <v>+10.63</v>
      </c>
      <c r="F81" s="1">
        <f ca="1">IFERROR(__xludf.DUMMYFUNCTION("""COMPUTED_VALUE"""),96.7)</f>
        <v>96.7</v>
      </c>
      <c r="G81" s="1">
        <f ca="1">IFERROR(__xludf.DUMMYFUNCTION("""COMPUTED_VALUE"""),267)</f>
        <v>267</v>
      </c>
      <c r="H81" s="1">
        <f ca="1">IFERROR(__xludf.DUMMYFUNCTION("""COMPUTED_VALUE"""),86.1)</f>
        <v>86.1</v>
      </c>
      <c r="I81" s="1">
        <f ca="1">IFERROR(__xludf.DUMMYFUNCTION("""COMPUTED_VALUE"""),1)</f>
        <v>1</v>
      </c>
      <c r="J81" s="1">
        <f ca="1">IFERROR(__xludf.DUMMYFUNCTION("""COMPUTED_VALUE"""),62.2)</f>
        <v>62.2</v>
      </c>
      <c r="K81" s="1">
        <f ca="1">IFERROR(__xludf.DUMMYFUNCTION("""COMPUTED_VALUE"""),307)</f>
        <v>307</v>
      </c>
      <c r="L81" s="1">
        <f ca="1">IFERROR(__xludf.DUMMYFUNCTION("""COMPUTED_VALUE"""),-0.043)</f>
        <v>-4.2999999999999997E-2</v>
      </c>
      <c r="M81" s="1">
        <f ca="1">IFERROR(__xludf.DUMMYFUNCTION("""COMPUTED_VALUE"""),283)</f>
        <v>283</v>
      </c>
      <c r="N81" s="1" t="str">
        <f ca="1">IFERROR(__xludf.DUMMYFUNCTION("""COMPUTED_VALUE"""),"+6.53")</f>
        <v>+6.53</v>
      </c>
      <c r="O81" s="1">
        <f ca="1">IFERROR(__xludf.DUMMYFUNCTION("""COMPUTED_VALUE"""),63)</f>
        <v>63</v>
      </c>
      <c r="P81" s="1">
        <f ca="1">IFERROR(__xludf.DUMMYFUNCTION("""COMPUTED_VALUE"""),106.7)</f>
        <v>106.7</v>
      </c>
      <c r="Q81" s="1">
        <f ca="1">IFERROR(__xludf.DUMMYFUNCTION("""COMPUTED_VALUE"""),47)</f>
        <v>47</v>
      </c>
      <c r="R81" s="1">
        <f ca="1">IFERROR(__xludf.DUMMYFUNCTION("""COMPUTED_VALUE"""),100.2)</f>
        <v>100.2</v>
      </c>
      <c r="S81" s="1">
        <f ca="1">IFERROR(__xludf.DUMMYFUNCTION("""COMPUTED_VALUE"""),79)</f>
        <v>79</v>
      </c>
      <c r="T81" s="1" t="str">
        <f ca="1">IFERROR(__xludf.DUMMYFUNCTION("""COMPUTED_VALUE"""),"+1.54")</f>
        <v>+1.54</v>
      </c>
      <c r="U81" s="1">
        <f ca="1">IFERROR(__xludf.DUMMYFUNCTION("""COMPUTED_VALUE"""),113)</f>
        <v>113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IFERROR(__xludf.DUMMYFUNCTION("""COMPUTED_VALUE"""),"South Florida3")</f>
        <v>South Florida3</v>
      </c>
      <c r="C82" s="1" t="str">
        <f ca="1">IFERROR(__xludf.DUMMYFUNCTION("""COMPUTED_VALUE"""),"BE")</f>
        <v>BE</v>
      </c>
      <c r="D82" s="1" t="str">
        <f ca="1">IFERROR(__xludf.DUMMYFUNCTION("""COMPUTED_VALUE"""),"20-13")</f>
        <v>20-13</v>
      </c>
      <c r="E82" s="1" t="str">
        <f ca="1">IFERROR(__xludf.DUMMYFUNCTION("""COMPUTED_VALUE"""),"+10.52")</f>
        <v>+10.52</v>
      </c>
      <c r="F82" s="1">
        <f ca="1">IFERROR(__xludf.DUMMYFUNCTION("""COMPUTED_VALUE"""),107.8)</f>
        <v>107.8</v>
      </c>
      <c r="G82" s="1">
        <f ca="1">IFERROR(__xludf.DUMMYFUNCTION("""COMPUTED_VALUE"""),92)</f>
        <v>92</v>
      </c>
      <c r="H82" s="1">
        <f ca="1">IFERROR(__xludf.DUMMYFUNCTION("""COMPUTED_VALUE"""),97.3)</f>
        <v>97.3</v>
      </c>
      <c r="I82" s="1">
        <f ca="1">IFERROR(__xludf.DUMMYFUNCTION("""COMPUTED_VALUE"""),72)</f>
        <v>72</v>
      </c>
      <c r="J82" s="1">
        <f ca="1">IFERROR(__xludf.DUMMYFUNCTION("""COMPUTED_VALUE"""),63.6)</f>
        <v>63.6</v>
      </c>
      <c r="K82" s="1">
        <f ca="1">IFERROR(__xludf.DUMMYFUNCTION("""COMPUTED_VALUE"""),270)</f>
        <v>270</v>
      </c>
      <c r="L82" s="1" t="str">
        <f ca="1">IFERROR(__xludf.DUMMYFUNCTION("""COMPUTED_VALUE"""),"+.061")</f>
        <v>+.061</v>
      </c>
      <c r="M82" s="1">
        <f ca="1">IFERROR(__xludf.DUMMYFUNCTION("""COMPUTED_VALUE"""),42)</f>
        <v>42</v>
      </c>
      <c r="N82" s="1" t="str">
        <f ca="1">IFERROR(__xludf.DUMMYFUNCTION("""COMPUTED_VALUE"""),"+7.33")</f>
        <v>+7.33</v>
      </c>
      <c r="O82" s="1">
        <f ca="1">IFERROR(__xludf.DUMMYFUNCTION("""COMPUTED_VALUE"""),54)</f>
        <v>54</v>
      </c>
      <c r="P82" s="1">
        <f ca="1">IFERROR(__xludf.DUMMYFUNCTION("""COMPUTED_VALUE"""),107.4)</f>
        <v>107.4</v>
      </c>
      <c r="Q82" s="1">
        <f ca="1">IFERROR(__xludf.DUMMYFUNCTION("""COMPUTED_VALUE"""),30)</f>
        <v>30</v>
      </c>
      <c r="R82" s="1">
        <f ca="1">IFERROR(__xludf.DUMMYFUNCTION("""COMPUTED_VALUE"""),100.1)</f>
        <v>100.1</v>
      </c>
      <c r="S82" s="1">
        <f ca="1">IFERROR(__xludf.DUMMYFUNCTION("""COMPUTED_VALUE"""),77)</f>
        <v>77</v>
      </c>
      <c r="T82" s="1">
        <f ca="1">IFERROR(__xludf.DUMMYFUNCTION("""COMPUTED_VALUE"""),-2.58)</f>
        <v>-2.58</v>
      </c>
      <c r="U82" s="1">
        <f ca="1">IFERROR(__xludf.DUMMYFUNCTION("""COMPUTED_VALUE"""),230)</f>
        <v>230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IFERROR(__xludf.DUMMYFUNCTION("""COMPUTED_VALUE"""),"Portland")</f>
        <v>Portland</v>
      </c>
      <c r="C83" s="1" t="str">
        <f ca="1">IFERROR(__xludf.DUMMYFUNCTION("""COMPUTED_VALUE"""),"WCC")</f>
        <v>WCC</v>
      </c>
      <c r="D83" s="1" t="str">
        <f ca="1">IFERROR(__xludf.DUMMYFUNCTION("""COMPUTED_VALUE"""),"21-11")</f>
        <v>21-11</v>
      </c>
      <c r="E83" s="1" t="str">
        <f ca="1">IFERROR(__xludf.DUMMYFUNCTION("""COMPUTED_VALUE"""),"+10.28")</f>
        <v>+10.28</v>
      </c>
      <c r="F83" s="1">
        <f ca="1">IFERROR(__xludf.DUMMYFUNCTION("""COMPUTED_VALUE"""),110.6)</f>
        <v>110.6</v>
      </c>
      <c r="G83" s="1">
        <f ca="1">IFERROR(__xludf.DUMMYFUNCTION("""COMPUTED_VALUE"""),54)</f>
        <v>54</v>
      </c>
      <c r="H83" s="1">
        <f ca="1">IFERROR(__xludf.DUMMYFUNCTION("""COMPUTED_VALUE"""),100.4)</f>
        <v>100.4</v>
      </c>
      <c r="I83" s="1">
        <f ca="1">IFERROR(__xludf.DUMMYFUNCTION("""COMPUTED_VALUE"""),122)</f>
        <v>122</v>
      </c>
      <c r="J83" s="1">
        <f ca="1">IFERROR(__xludf.DUMMYFUNCTION("""COMPUTED_VALUE"""),63.1)</f>
        <v>63.1</v>
      </c>
      <c r="K83" s="1">
        <f ca="1">IFERROR(__xludf.DUMMYFUNCTION("""COMPUTED_VALUE"""),283)</f>
        <v>283</v>
      </c>
      <c r="L83" s="1" t="str">
        <f ca="1">IFERROR(__xludf.DUMMYFUNCTION("""COMPUTED_VALUE"""),"+.020")</f>
        <v>+.020</v>
      </c>
      <c r="M83" s="1">
        <f ca="1">IFERROR(__xludf.DUMMYFUNCTION("""COMPUTED_VALUE"""),114)</f>
        <v>114</v>
      </c>
      <c r="N83" s="1" t="str">
        <f ca="1">IFERROR(__xludf.DUMMYFUNCTION("""COMPUTED_VALUE"""),"+2.15")</f>
        <v>+2.15</v>
      </c>
      <c r="O83" s="1">
        <f ca="1">IFERROR(__xludf.DUMMYFUNCTION("""COMPUTED_VALUE"""),128)</f>
        <v>128</v>
      </c>
      <c r="P83" s="1">
        <f ca="1">IFERROR(__xludf.DUMMYFUNCTION("""COMPUTED_VALUE"""),104.9)</f>
        <v>104.9</v>
      </c>
      <c r="Q83" s="1">
        <f ca="1">IFERROR(__xludf.DUMMYFUNCTION("""COMPUTED_VALUE"""),95)</f>
        <v>95</v>
      </c>
      <c r="R83" s="1">
        <f ca="1">IFERROR(__xludf.DUMMYFUNCTION("""COMPUTED_VALUE"""),102.8)</f>
        <v>102.8</v>
      </c>
      <c r="S83" s="1">
        <f ca="1">IFERROR(__xludf.DUMMYFUNCTION("""COMPUTED_VALUE"""),167)</f>
        <v>167</v>
      </c>
      <c r="T83" s="1" t="str">
        <f ca="1">IFERROR(__xludf.DUMMYFUNCTION("""COMPUTED_VALUE"""),"+2.98")</f>
        <v>+2.98</v>
      </c>
      <c r="U83" s="1">
        <f ca="1">IFERROR(__xludf.DUMMYFUNCTION("""COMPUTED_VALUE"""),84)</f>
        <v>84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IFERROR(__xludf.DUMMYFUNCTION("""COMPUTED_VALUE"""),"Nevada6")</f>
        <v>Nevada6</v>
      </c>
      <c r="C84" s="1" t="str">
        <f ca="1">IFERROR(__xludf.DUMMYFUNCTION("""COMPUTED_VALUE"""),"WAC")</f>
        <v>WAC</v>
      </c>
      <c r="D84" s="1" t="str">
        <f ca="1">IFERROR(__xludf.DUMMYFUNCTION("""COMPUTED_VALUE"""),"21-13")</f>
        <v>21-13</v>
      </c>
      <c r="E84" s="1" t="str">
        <f ca="1">IFERROR(__xludf.DUMMYFUNCTION("""COMPUTED_VALUE"""),"+10.20")</f>
        <v>+10.20</v>
      </c>
      <c r="F84" s="1">
        <f ca="1">IFERROR(__xludf.DUMMYFUNCTION("""COMPUTED_VALUE"""),112.8)</f>
        <v>112.8</v>
      </c>
      <c r="G84" s="1">
        <f ca="1">IFERROR(__xludf.DUMMYFUNCTION("""COMPUTED_VALUE"""),34)</f>
        <v>34</v>
      </c>
      <c r="H84" s="1">
        <f ca="1">IFERROR(__xludf.DUMMYFUNCTION("""COMPUTED_VALUE"""),102.6)</f>
        <v>102.6</v>
      </c>
      <c r="I84" s="1">
        <f ca="1">IFERROR(__xludf.DUMMYFUNCTION("""COMPUTED_VALUE"""),169)</f>
        <v>169</v>
      </c>
      <c r="J84" s="1">
        <f ca="1">IFERROR(__xludf.DUMMYFUNCTION("""COMPUTED_VALUE"""),68.7)</f>
        <v>68.7</v>
      </c>
      <c r="K84" s="1">
        <f ca="1">IFERROR(__xludf.DUMMYFUNCTION("""COMPUTED_VALUE"""),54)</f>
        <v>54</v>
      </c>
      <c r="L84" s="1">
        <f ca="1">IFERROR(__xludf.DUMMYFUNCTION("""COMPUTED_VALUE"""),-0.03)</f>
        <v>-0.03</v>
      </c>
      <c r="M84" s="1">
        <f ca="1">IFERROR(__xludf.DUMMYFUNCTION("""COMPUTED_VALUE"""),253)</f>
        <v>253</v>
      </c>
      <c r="N84" s="1" t="str">
        <f ca="1">IFERROR(__xludf.DUMMYFUNCTION("""COMPUTED_VALUE"""),"+4.33")</f>
        <v>+4.33</v>
      </c>
      <c r="O84" s="1">
        <f ca="1">IFERROR(__xludf.DUMMYFUNCTION("""COMPUTED_VALUE"""),86)</f>
        <v>86</v>
      </c>
      <c r="P84" s="1">
        <f ca="1">IFERROR(__xludf.DUMMYFUNCTION("""COMPUTED_VALUE"""),106.8)</f>
        <v>106.8</v>
      </c>
      <c r="Q84" s="1">
        <f ca="1">IFERROR(__xludf.DUMMYFUNCTION("""COMPUTED_VALUE"""),43)</f>
        <v>43</v>
      </c>
      <c r="R84" s="1">
        <f ca="1">IFERROR(__xludf.DUMMYFUNCTION("""COMPUTED_VALUE"""),102.4)</f>
        <v>102.4</v>
      </c>
      <c r="S84" s="1">
        <f ca="1">IFERROR(__xludf.DUMMYFUNCTION("""COMPUTED_VALUE"""),153)</f>
        <v>153</v>
      </c>
      <c r="T84" s="1" t="str">
        <f ca="1">IFERROR(__xludf.DUMMYFUNCTION("""COMPUTED_VALUE"""),"+6.00")</f>
        <v>+6.00</v>
      </c>
      <c r="U84" s="1">
        <f ca="1">IFERROR(__xludf.DUMMYFUNCTION("""COMPUTED_VALUE"""),45)</f>
        <v>45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IFERROR(__xludf.DUMMYFUNCTION("""COMPUTED_VALUE"""),"Marshall")</f>
        <v>Marshall</v>
      </c>
      <c r="C87" s="1" t="str">
        <f ca="1">IFERROR(__xludf.DUMMYFUNCTION("""COMPUTED_VALUE"""),"CUSA")</f>
        <v>CUSA</v>
      </c>
      <c r="D87" s="1" t="str">
        <f ca="1">IFERROR(__xludf.DUMMYFUNCTION("""COMPUTED_VALUE"""),"24-10")</f>
        <v>24-10</v>
      </c>
      <c r="E87" s="1" t="str">
        <f ca="1">IFERROR(__xludf.DUMMYFUNCTION("""COMPUTED_VALUE"""),"+10.18")</f>
        <v>+10.18</v>
      </c>
      <c r="F87" s="1">
        <f ca="1">IFERROR(__xludf.DUMMYFUNCTION("""COMPUTED_VALUE"""),110.1)</f>
        <v>110.1</v>
      </c>
      <c r="G87" s="1">
        <f ca="1">IFERROR(__xludf.DUMMYFUNCTION("""COMPUTED_VALUE"""),59)</f>
        <v>59</v>
      </c>
      <c r="H87" s="1">
        <f ca="1">IFERROR(__xludf.DUMMYFUNCTION("""COMPUTED_VALUE"""),99.9)</f>
        <v>99.9</v>
      </c>
      <c r="I87" s="1">
        <f ca="1">IFERROR(__xludf.DUMMYFUNCTION("""COMPUTED_VALUE"""),115)</f>
        <v>115</v>
      </c>
      <c r="J87" s="1">
        <f ca="1">IFERROR(__xludf.DUMMYFUNCTION("""COMPUTED_VALUE"""),68.5)</f>
        <v>68.5</v>
      </c>
      <c r="K87" s="1">
        <f ca="1">IFERROR(__xludf.DUMMYFUNCTION("""COMPUTED_VALUE"""),65)</f>
        <v>65</v>
      </c>
      <c r="L87" s="1" t="str">
        <f ca="1">IFERROR(__xludf.DUMMYFUNCTION("""COMPUTED_VALUE"""),"+.022")</f>
        <v>+.022</v>
      </c>
      <c r="M87" s="1">
        <f ca="1">IFERROR(__xludf.DUMMYFUNCTION("""COMPUTED_VALUE"""),109)</f>
        <v>109</v>
      </c>
      <c r="N87" s="1" t="str">
        <f ca="1">IFERROR(__xludf.DUMMYFUNCTION("""COMPUTED_VALUE"""),"+1.63")</f>
        <v>+1.63</v>
      </c>
      <c r="O87" s="1">
        <f ca="1">IFERROR(__xludf.DUMMYFUNCTION("""COMPUTED_VALUE"""),139)</f>
        <v>139</v>
      </c>
      <c r="P87" s="1">
        <f ca="1">IFERROR(__xludf.DUMMYFUNCTION("""COMPUTED_VALUE"""),103.5)</f>
        <v>103.5</v>
      </c>
      <c r="Q87" s="1">
        <f ca="1">IFERROR(__xludf.DUMMYFUNCTION("""COMPUTED_VALUE"""),149)</f>
        <v>149</v>
      </c>
      <c r="R87" s="1">
        <f ca="1">IFERROR(__xludf.DUMMYFUNCTION("""COMPUTED_VALUE"""),101.8)</f>
        <v>101.8</v>
      </c>
      <c r="S87" s="1">
        <f ca="1">IFERROR(__xludf.DUMMYFUNCTION("""COMPUTED_VALUE"""),124)</f>
        <v>124</v>
      </c>
      <c r="T87" s="1">
        <f ca="1">IFERROR(__xludf.DUMMYFUNCTION("""COMPUTED_VALUE"""),-1.18)</f>
        <v>-1.18</v>
      </c>
      <c r="U87" s="1">
        <f ca="1">IFERROR(__xludf.DUMMYFUNCTION("""COMPUTED_VALUE"""),188)</f>
        <v>188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IFERROR(__xludf.DUMMYFUNCTION("""COMPUTED_VALUE"""),"Wofford13")</f>
        <v>Wofford13</v>
      </c>
      <c r="C88" s="1" t="str">
        <f ca="1">IFERROR(__xludf.DUMMYFUNCTION("""COMPUTED_VALUE"""),"SC")</f>
        <v>SC</v>
      </c>
      <c r="D88" s="1" t="str">
        <f ca="1">IFERROR(__xludf.DUMMYFUNCTION("""COMPUTED_VALUE"""),"26-9")</f>
        <v>26-9</v>
      </c>
      <c r="E88" s="1" t="str">
        <f ca="1">IFERROR(__xludf.DUMMYFUNCTION("""COMPUTED_VALUE"""),"+10.12")</f>
        <v>+10.12</v>
      </c>
      <c r="F88" s="1">
        <f ca="1">IFERROR(__xludf.DUMMYFUNCTION("""COMPUTED_VALUE"""),104.6)</f>
        <v>104.6</v>
      </c>
      <c r="G88" s="1">
        <f ca="1">IFERROR(__xludf.DUMMYFUNCTION("""COMPUTED_VALUE"""),147)</f>
        <v>147</v>
      </c>
      <c r="H88" s="1">
        <f ca="1">IFERROR(__xludf.DUMMYFUNCTION("""COMPUTED_VALUE"""),94.4)</f>
        <v>94.4</v>
      </c>
      <c r="I88" s="1">
        <f ca="1">IFERROR(__xludf.DUMMYFUNCTION("""COMPUTED_VALUE"""),45)</f>
        <v>45</v>
      </c>
      <c r="J88" s="1">
        <f ca="1">IFERROR(__xludf.DUMMYFUNCTION("""COMPUTED_VALUE"""),63.5)</f>
        <v>63.5</v>
      </c>
      <c r="K88" s="1">
        <f ca="1">IFERROR(__xludf.DUMMYFUNCTION("""COMPUTED_VALUE"""),273)</f>
        <v>273</v>
      </c>
      <c r="L88" s="1">
        <f ca="1">IFERROR(__xludf.DUMMYFUNCTION("""COMPUTED_VALUE"""),-0.023)</f>
        <v>-2.3E-2</v>
      </c>
      <c r="M88" s="1">
        <f ca="1">IFERROR(__xludf.DUMMYFUNCTION("""COMPUTED_VALUE"""),242)</f>
        <v>242</v>
      </c>
      <c r="N88" s="1">
        <f ca="1">IFERROR(__xludf.DUMMYFUNCTION("""COMPUTED_VALUE"""),-1.55)</f>
        <v>-1.55</v>
      </c>
      <c r="O88" s="1">
        <f ca="1">IFERROR(__xludf.DUMMYFUNCTION("""COMPUTED_VALUE"""),193)</f>
        <v>193</v>
      </c>
      <c r="P88" s="1">
        <f ca="1">IFERROR(__xludf.DUMMYFUNCTION("""COMPUTED_VALUE"""),102.2)</f>
        <v>102.2</v>
      </c>
      <c r="Q88" s="1">
        <f ca="1">IFERROR(__xludf.DUMMYFUNCTION("""COMPUTED_VALUE"""),183)</f>
        <v>183</v>
      </c>
      <c r="R88" s="1">
        <f ca="1">IFERROR(__xludf.DUMMYFUNCTION("""COMPUTED_VALUE"""),103.8)</f>
        <v>103.8</v>
      </c>
      <c r="S88" s="1">
        <f ca="1">IFERROR(__xludf.DUMMYFUNCTION("""COMPUTED_VALUE"""),203)</f>
        <v>203</v>
      </c>
      <c r="T88" s="1" t="str">
        <f ca="1">IFERROR(__xludf.DUMMYFUNCTION("""COMPUTED_VALUE"""),"+4.23")</f>
        <v>+4.23</v>
      </c>
      <c r="U88" s="1">
        <f ca="1">IFERROR(__xludf.DUMMYFUNCTION("""COMPUTED_VALUE"""),63)</f>
        <v>63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IFERROR(__xludf.DUMMYFUNCTION("""COMPUTED_VALUE"""),"Tulsa5")</f>
        <v>Tulsa5</v>
      </c>
      <c r="C89" s="1" t="str">
        <f ca="1">IFERROR(__xludf.DUMMYFUNCTION("""COMPUTED_VALUE"""),"CUSA")</f>
        <v>CUSA</v>
      </c>
      <c r="D89" s="1" t="str">
        <f ca="1">IFERROR(__xludf.DUMMYFUNCTION("""COMPUTED_VALUE"""),"23-12")</f>
        <v>23-12</v>
      </c>
      <c r="E89" s="1" t="str">
        <f ca="1">IFERROR(__xludf.DUMMYFUNCTION("""COMPUTED_VALUE"""),"+9.87")</f>
        <v>+9.87</v>
      </c>
      <c r="F89" s="1">
        <f ca="1">IFERROR(__xludf.DUMMYFUNCTION("""COMPUTED_VALUE"""),107.6)</f>
        <v>107.6</v>
      </c>
      <c r="G89" s="1">
        <f ca="1">IFERROR(__xludf.DUMMYFUNCTION("""COMPUTED_VALUE"""),97)</f>
        <v>97</v>
      </c>
      <c r="H89" s="1">
        <f ca="1">IFERROR(__xludf.DUMMYFUNCTION("""COMPUTED_VALUE"""),97.7)</f>
        <v>97.7</v>
      </c>
      <c r="I89" s="1">
        <f ca="1">IFERROR(__xludf.DUMMYFUNCTION("""COMPUTED_VALUE"""),82)</f>
        <v>82</v>
      </c>
      <c r="J89" s="1">
        <f ca="1">IFERROR(__xludf.DUMMYFUNCTION("""COMPUTED_VALUE"""),66)</f>
        <v>66</v>
      </c>
      <c r="K89" s="1">
        <f ca="1">IFERROR(__xludf.DUMMYFUNCTION("""COMPUTED_VALUE"""),172)</f>
        <v>172</v>
      </c>
      <c r="L89" s="1" t="str">
        <f ca="1">IFERROR(__xludf.DUMMYFUNCTION("""COMPUTED_VALUE"""),"+.023")</f>
        <v>+.023</v>
      </c>
      <c r="M89" s="1">
        <f ca="1">IFERROR(__xludf.DUMMYFUNCTION("""COMPUTED_VALUE"""),105)</f>
        <v>105</v>
      </c>
      <c r="N89" s="1" t="str">
        <f ca="1">IFERROR(__xludf.DUMMYFUNCTION("""COMPUTED_VALUE"""),"+2.99")</f>
        <v>+2.99</v>
      </c>
      <c r="O89" s="1">
        <f ca="1">IFERROR(__xludf.DUMMYFUNCTION("""COMPUTED_VALUE"""),110)</f>
        <v>110</v>
      </c>
      <c r="P89" s="1">
        <f ca="1">IFERROR(__xludf.DUMMYFUNCTION("""COMPUTED_VALUE"""),104.8)</f>
        <v>104.8</v>
      </c>
      <c r="Q89" s="1">
        <f ca="1">IFERROR(__xludf.DUMMYFUNCTION("""COMPUTED_VALUE"""),105)</f>
        <v>105</v>
      </c>
      <c r="R89" s="1">
        <f ca="1">IFERROR(__xludf.DUMMYFUNCTION("""COMPUTED_VALUE"""),101.8)</f>
        <v>101.8</v>
      </c>
      <c r="S89" s="1">
        <f ca="1">IFERROR(__xludf.DUMMYFUNCTION("""COMPUTED_VALUE"""),122)</f>
        <v>122</v>
      </c>
      <c r="T89" s="1">
        <f ca="1">IFERROR(__xludf.DUMMYFUNCTION("""COMPUTED_VALUE"""),-1.56)</f>
        <v>-1.56</v>
      </c>
      <c r="U89" s="1">
        <f ca="1">IFERROR(__xludf.DUMMYFUNCTION("""COMPUTED_VALUE"""),199)</f>
        <v>199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IFERROR(__xludf.DUMMYFUNCTION("""COMPUTED_VALUE"""),"Northwestern7")</f>
        <v>Northwestern7</v>
      </c>
      <c r="C90" s="1" t="str">
        <f ca="1">IFERROR(__xludf.DUMMYFUNCTION("""COMPUTED_VALUE"""),"B10")</f>
        <v>B10</v>
      </c>
      <c r="D90" s="1" t="str">
        <f ca="1">IFERROR(__xludf.DUMMYFUNCTION("""COMPUTED_VALUE"""),"20-14")</f>
        <v>20-14</v>
      </c>
      <c r="E90" s="1" t="str">
        <f ca="1">IFERROR(__xludf.DUMMYFUNCTION("""COMPUTED_VALUE"""),"+9.77")</f>
        <v>+9.77</v>
      </c>
      <c r="F90" s="1">
        <f ca="1">IFERROR(__xludf.DUMMYFUNCTION("""COMPUTED_VALUE"""),113)</f>
        <v>113</v>
      </c>
      <c r="G90" s="1">
        <f ca="1">IFERROR(__xludf.DUMMYFUNCTION("""COMPUTED_VALUE"""),30)</f>
        <v>30</v>
      </c>
      <c r="H90" s="1">
        <f ca="1">IFERROR(__xludf.DUMMYFUNCTION("""COMPUTED_VALUE"""),103.2)</f>
        <v>103.2</v>
      </c>
      <c r="I90" s="1">
        <f ca="1">IFERROR(__xludf.DUMMYFUNCTION("""COMPUTED_VALUE"""),180)</f>
        <v>180</v>
      </c>
      <c r="J90" s="1">
        <f ca="1">IFERROR(__xludf.DUMMYFUNCTION("""COMPUTED_VALUE"""),62.8)</f>
        <v>62.8</v>
      </c>
      <c r="K90" s="1">
        <f ca="1">IFERROR(__xludf.DUMMYFUNCTION("""COMPUTED_VALUE"""),294)</f>
        <v>294</v>
      </c>
      <c r="L90" s="1" t="str">
        <f ca="1">IFERROR(__xludf.DUMMYFUNCTION("""COMPUTED_VALUE"""),"+.002")</f>
        <v>+.002</v>
      </c>
      <c r="M90" s="1">
        <f ca="1">IFERROR(__xludf.DUMMYFUNCTION("""COMPUTED_VALUE"""),167)</f>
        <v>167</v>
      </c>
      <c r="N90" s="1" t="str">
        <f ca="1">IFERROR(__xludf.DUMMYFUNCTION("""COMPUTED_VALUE"""),"+5.19")</f>
        <v>+5.19</v>
      </c>
      <c r="O90" s="1">
        <f ca="1">IFERROR(__xludf.DUMMYFUNCTION("""COMPUTED_VALUE"""),77)</f>
        <v>77</v>
      </c>
      <c r="P90" s="1">
        <f ca="1">IFERROR(__xludf.DUMMYFUNCTION("""COMPUTED_VALUE"""),104.8)</f>
        <v>104.8</v>
      </c>
      <c r="Q90" s="1">
        <f ca="1">IFERROR(__xludf.DUMMYFUNCTION("""COMPUTED_VALUE"""),101)</f>
        <v>101</v>
      </c>
      <c r="R90" s="1">
        <f ca="1">IFERROR(__xludf.DUMMYFUNCTION("""COMPUTED_VALUE"""),99.6)</f>
        <v>99.6</v>
      </c>
      <c r="S90" s="1">
        <f ca="1">IFERROR(__xludf.DUMMYFUNCTION("""COMPUTED_VALUE"""),60)</f>
        <v>60</v>
      </c>
      <c r="T90" s="1">
        <f ca="1">IFERROR(__xludf.DUMMYFUNCTION("""COMPUTED_VALUE"""),-9.74)</f>
        <v>-9.74</v>
      </c>
      <c r="U90" s="1">
        <f ca="1">IFERROR(__xludf.DUMMYFUNCTION("""COMPUTED_VALUE"""),344)</f>
        <v>344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IFERROR(__xludf.DUMMYFUNCTION("""COMPUTED_VALUE"""),"South Carolina")</f>
        <v>South Carolina</v>
      </c>
      <c r="C91" s="1" t="str">
        <f ca="1">IFERROR(__xludf.DUMMYFUNCTION("""COMPUTED_VALUE"""),"SEC")</f>
        <v>SEC</v>
      </c>
      <c r="D91" s="1" t="str">
        <f ca="1">IFERROR(__xludf.DUMMYFUNCTION("""COMPUTED_VALUE"""),"15-16")</f>
        <v>15-16</v>
      </c>
      <c r="E91" s="1" t="str">
        <f ca="1">IFERROR(__xludf.DUMMYFUNCTION("""COMPUTED_VALUE"""),"+9.06")</f>
        <v>+9.06</v>
      </c>
      <c r="F91" s="1">
        <f ca="1">IFERROR(__xludf.DUMMYFUNCTION("""COMPUTED_VALUE"""),106.5)</f>
        <v>106.5</v>
      </c>
      <c r="G91" s="1">
        <f ca="1">IFERROR(__xludf.DUMMYFUNCTION("""COMPUTED_VALUE"""),114)</f>
        <v>114</v>
      </c>
      <c r="H91" s="1">
        <f ca="1">IFERROR(__xludf.DUMMYFUNCTION("""COMPUTED_VALUE"""),97.4)</f>
        <v>97.4</v>
      </c>
      <c r="I91" s="1">
        <f ca="1">IFERROR(__xludf.DUMMYFUNCTION("""COMPUTED_VALUE"""),77)</f>
        <v>77</v>
      </c>
      <c r="J91" s="1">
        <f ca="1">IFERROR(__xludf.DUMMYFUNCTION("""COMPUTED_VALUE"""),68.7)</f>
        <v>68.7</v>
      </c>
      <c r="K91" s="1">
        <f ca="1">IFERROR(__xludf.DUMMYFUNCTION("""COMPUTED_VALUE"""),57)</f>
        <v>57</v>
      </c>
      <c r="L91" s="1">
        <f ca="1">IFERROR(__xludf.DUMMYFUNCTION("""COMPUTED_VALUE"""),-0.037)</f>
        <v>-3.6999999999999998E-2</v>
      </c>
      <c r="M91" s="1">
        <f ca="1">IFERROR(__xludf.DUMMYFUNCTION("""COMPUTED_VALUE"""),270)</f>
        <v>270</v>
      </c>
      <c r="N91" s="1" t="str">
        <f ca="1">IFERROR(__xludf.DUMMYFUNCTION("""COMPUTED_VALUE"""),"+8.69")</f>
        <v>+8.69</v>
      </c>
      <c r="O91" s="1">
        <f ca="1">IFERROR(__xludf.DUMMYFUNCTION("""COMPUTED_VALUE"""),32)</f>
        <v>32</v>
      </c>
      <c r="P91" s="1">
        <f ca="1">IFERROR(__xludf.DUMMYFUNCTION("""COMPUTED_VALUE"""),107.4)</f>
        <v>107.4</v>
      </c>
      <c r="Q91" s="1">
        <f ca="1">IFERROR(__xludf.DUMMYFUNCTION("""COMPUTED_VALUE"""),29)</f>
        <v>29</v>
      </c>
      <c r="R91" s="1">
        <f ca="1">IFERROR(__xludf.DUMMYFUNCTION("""COMPUTED_VALUE"""),98.8)</f>
        <v>98.8</v>
      </c>
      <c r="S91" s="1">
        <f ca="1">IFERROR(__xludf.DUMMYFUNCTION("""COMPUTED_VALUE"""),39)</f>
        <v>39</v>
      </c>
      <c r="T91" s="1" t="str">
        <f ca="1">IFERROR(__xludf.DUMMYFUNCTION("""COMPUTED_VALUE"""),"+1.22")</f>
        <v>+1.22</v>
      </c>
      <c r="U91" s="1">
        <f ca="1">IFERROR(__xludf.DUMMYFUNCTION("""COMPUTED_VALUE"""),122)</f>
        <v>122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IFERROR(__xludf.DUMMYFUNCTION("""COMPUTED_VALUE"""),"Kent St.4")</f>
        <v>Kent St.4</v>
      </c>
      <c r="C92" s="1" t="str">
        <f ca="1">IFERROR(__xludf.DUMMYFUNCTION("""COMPUTED_VALUE"""),"MAC")</f>
        <v>MAC</v>
      </c>
      <c r="D92" s="1" t="str">
        <f ca="1">IFERROR(__xludf.DUMMYFUNCTION("""COMPUTED_VALUE"""),"24-10")</f>
        <v>24-10</v>
      </c>
      <c r="E92" s="1" t="str">
        <f ca="1">IFERROR(__xludf.DUMMYFUNCTION("""COMPUTED_VALUE"""),"+8.84")</f>
        <v>+8.84</v>
      </c>
      <c r="F92" s="1">
        <f ca="1">IFERROR(__xludf.DUMMYFUNCTION("""COMPUTED_VALUE"""),106.6)</f>
        <v>106.6</v>
      </c>
      <c r="G92" s="1">
        <f ca="1">IFERROR(__xludf.DUMMYFUNCTION("""COMPUTED_VALUE"""),111)</f>
        <v>111</v>
      </c>
      <c r="H92" s="1">
        <f ca="1">IFERROR(__xludf.DUMMYFUNCTION("""COMPUTED_VALUE"""),97.8)</f>
        <v>97.8</v>
      </c>
      <c r="I92" s="1">
        <f ca="1">IFERROR(__xludf.DUMMYFUNCTION("""COMPUTED_VALUE"""),84)</f>
        <v>84</v>
      </c>
      <c r="J92" s="1">
        <f ca="1">IFERROR(__xludf.DUMMYFUNCTION("""COMPUTED_VALUE"""),66.8)</f>
        <v>66.8</v>
      </c>
      <c r="K92" s="1">
        <f ca="1">IFERROR(__xludf.DUMMYFUNCTION("""COMPUTED_VALUE"""),128)</f>
        <v>128</v>
      </c>
      <c r="L92" s="1" t="str">
        <f ca="1">IFERROR(__xludf.DUMMYFUNCTION("""COMPUTED_VALUE"""),"+.071")</f>
        <v>+.071</v>
      </c>
      <c r="M92" s="1">
        <f ca="1">IFERROR(__xludf.DUMMYFUNCTION("""COMPUTED_VALUE"""),31)</f>
        <v>31</v>
      </c>
      <c r="N92" s="1" t="str">
        <f ca="1">IFERROR(__xludf.DUMMYFUNCTION("""COMPUTED_VALUE"""),"+2.10")</f>
        <v>+2.10</v>
      </c>
      <c r="O92" s="1">
        <f ca="1">IFERROR(__xludf.DUMMYFUNCTION("""COMPUTED_VALUE"""),129)</f>
        <v>129</v>
      </c>
      <c r="P92" s="1">
        <f ca="1">IFERROR(__xludf.DUMMYFUNCTION("""COMPUTED_VALUE"""),103.4)</f>
        <v>103.4</v>
      </c>
      <c r="Q92" s="1">
        <f ca="1">IFERROR(__xludf.DUMMYFUNCTION("""COMPUTED_VALUE"""),150)</f>
        <v>150</v>
      </c>
      <c r="R92" s="1">
        <f ca="1">IFERROR(__xludf.DUMMYFUNCTION("""COMPUTED_VALUE"""),101.3)</f>
        <v>101.3</v>
      </c>
      <c r="S92" s="1">
        <f ca="1">IFERROR(__xludf.DUMMYFUNCTION("""COMPUTED_VALUE"""),107)</f>
        <v>107</v>
      </c>
      <c r="T92" s="1" t="str">
        <f ca="1">IFERROR(__xludf.DUMMYFUNCTION("""COMPUTED_VALUE"""),"+3.99")</f>
        <v>+3.99</v>
      </c>
      <c r="U92" s="1">
        <f ca="1">IFERROR(__xludf.DUMMYFUNCTION("""COMPUTED_VALUE"""),67)</f>
        <v>67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IFERROR(__xludf.DUMMYFUNCTION("""COMPUTED_VALUE"""),"Arizona")</f>
        <v>Arizona</v>
      </c>
      <c r="C93" s="1" t="str">
        <f ca="1">IFERROR(__xludf.DUMMYFUNCTION("""COMPUTED_VALUE"""),"P10")</f>
        <v>P10</v>
      </c>
      <c r="D93" s="1" t="str">
        <f ca="1">IFERROR(__xludf.DUMMYFUNCTION("""COMPUTED_VALUE"""),"16-15")</f>
        <v>16-15</v>
      </c>
      <c r="E93" s="1" t="str">
        <f ca="1">IFERROR(__xludf.DUMMYFUNCTION("""COMPUTED_VALUE"""),"+8.83")</f>
        <v>+8.83</v>
      </c>
      <c r="F93" s="1">
        <f ca="1">IFERROR(__xludf.DUMMYFUNCTION("""COMPUTED_VALUE"""),108.4)</f>
        <v>108.4</v>
      </c>
      <c r="G93" s="1">
        <f ca="1">IFERROR(__xludf.DUMMYFUNCTION("""COMPUTED_VALUE"""),83)</f>
        <v>83</v>
      </c>
      <c r="H93" s="1">
        <f ca="1">IFERROR(__xludf.DUMMYFUNCTION("""COMPUTED_VALUE"""),99.5)</f>
        <v>99.5</v>
      </c>
      <c r="I93" s="1">
        <f ca="1">IFERROR(__xludf.DUMMYFUNCTION("""COMPUTED_VALUE"""),108)</f>
        <v>108</v>
      </c>
      <c r="J93" s="1">
        <f ca="1">IFERROR(__xludf.DUMMYFUNCTION("""COMPUTED_VALUE"""),67.6)</f>
        <v>67.599999999999994</v>
      </c>
      <c r="K93" s="1">
        <f ca="1">IFERROR(__xludf.DUMMYFUNCTION("""COMPUTED_VALUE"""),88)</f>
        <v>88</v>
      </c>
      <c r="L93" s="1" t="str">
        <f ca="1">IFERROR(__xludf.DUMMYFUNCTION("""COMPUTED_VALUE"""),"+.027")</f>
        <v>+.027</v>
      </c>
      <c r="M93" s="1">
        <f ca="1">IFERROR(__xludf.DUMMYFUNCTION("""COMPUTED_VALUE"""),98)</f>
        <v>98</v>
      </c>
      <c r="N93" s="1" t="str">
        <f ca="1">IFERROR(__xludf.DUMMYFUNCTION("""COMPUTED_VALUE"""),"+8.32")</f>
        <v>+8.32</v>
      </c>
      <c r="O93" s="1">
        <f ca="1">IFERROR(__xludf.DUMMYFUNCTION("""COMPUTED_VALUE"""),41)</f>
        <v>41</v>
      </c>
      <c r="P93" s="1">
        <f ca="1">IFERROR(__xludf.DUMMYFUNCTION("""COMPUTED_VALUE"""),107.1)</f>
        <v>107.1</v>
      </c>
      <c r="Q93" s="1">
        <f ca="1">IFERROR(__xludf.DUMMYFUNCTION("""COMPUTED_VALUE"""),38)</f>
        <v>38</v>
      </c>
      <c r="R93" s="1">
        <f ca="1">IFERROR(__xludf.DUMMYFUNCTION("""COMPUTED_VALUE"""),98.8)</f>
        <v>98.8</v>
      </c>
      <c r="S93" s="1">
        <f ca="1">IFERROR(__xludf.DUMMYFUNCTION("""COMPUTED_VALUE"""),41)</f>
        <v>41</v>
      </c>
      <c r="T93" s="1" t="str">
        <f ca="1">IFERROR(__xludf.DUMMYFUNCTION("""COMPUTED_VALUE"""),"+6.93")</f>
        <v>+6.93</v>
      </c>
      <c r="U93" s="1">
        <f ca="1">IFERROR(__xludf.DUMMYFUNCTION("""COMPUTED_VALUE"""),32)</f>
        <v>32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IFERROR(__xludf.DUMMYFUNCTION("""COMPUTED_VALUE"""),"Houston13")</f>
        <v>Houston13</v>
      </c>
      <c r="C94" s="1" t="str">
        <f ca="1">IFERROR(__xludf.DUMMYFUNCTION("""COMPUTED_VALUE"""),"CUSA")</f>
        <v>CUSA</v>
      </c>
      <c r="D94" s="1" t="str">
        <f ca="1">IFERROR(__xludf.DUMMYFUNCTION("""COMPUTED_VALUE"""),"19-16")</f>
        <v>19-16</v>
      </c>
      <c r="E94" s="1" t="str">
        <f ca="1">IFERROR(__xludf.DUMMYFUNCTION("""COMPUTED_VALUE"""),"+8.79")</f>
        <v>+8.79</v>
      </c>
      <c r="F94" s="1">
        <f ca="1">IFERROR(__xludf.DUMMYFUNCTION("""COMPUTED_VALUE"""),112)</f>
        <v>112</v>
      </c>
      <c r="G94" s="1">
        <f ca="1">IFERROR(__xludf.DUMMYFUNCTION("""COMPUTED_VALUE"""),42)</f>
        <v>42</v>
      </c>
      <c r="H94" s="1">
        <f ca="1">IFERROR(__xludf.DUMMYFUNCTION("""COMPUTED_VALUE"""),103.2)</f>
        <v>103.2</v>
      </c>
      <c r="I94" s="1">
        <f ca="1">IFERROR(__xludf.DUMMYFUNCTION("""COMPUTED_VALUE"""),179)</f>
        <v>179</v>
      </c>
      <c r="J94" s="1">
        <f ca="1">IFERROR(__xludf.DUMMYFUNCTION("""COMPUTED_VALUE"""),71.1)</f>
        <v>71.099999999999994</v>
      </c>
      <c r="K94" s="1">
        <f ca="1">IFERROR(__xludf.DUMMYFUNCTION("""COMPUTED_VALUE"""),14)</f>
        <v>14</v>
      </c>
      <c r="L94" s="1">
        <f ca="1">IFERROR(__xludf.DUMMYFUNCTION("""COMPUTED_VALUE"""),-0.083)</f>
        <v>-8.3000000000000004E-2</v>
      </c>
      <c r="M94" s="1">
        <f ca="1">IFERROR(__xludf.DUMMYFUNCTION("""COMPUTED_VALUE"""),335)</f>
        <v>335</v>
      </c>
      <c r="N94" s="1" t="str">
        <f ca="1">IFERROR(__xludf.DUMMYFUNCTION("""COMPUTED_VALUE"""),"+3.76")</f>
        <v>+3.76</v>
      </c>
      <c r="O94" s="1">
        <f ca="1">IFERROR(__xludf.DUMMYFUNCTION("""COMPUTED_VALUE"""),100)</f>
        <v>100</v>
      </c>
      <c r="P94" s="1">
        <f ca="1">IFERROR(__xludf.DUMMYFUNCTION("""COMPUTED_VALUE"""),105)</f>
        <v>105</v>
      </c>
      <c r="Q94" s="1">
        <f ca="1">IFERROR(__xludf.DUMMYFUNCTION("""COMPUTED_VALUE"""),93)</f>
        <v>93</v>
      </c>
      <c r="R94" s="1">
        <f ca="1">IFERROR(__xludf.DUMMYFUNCTION("""COMPUTED_VALUE"""),101.2)</f>
        <v>101.2</v>
      </c>
      <c r="S94" s="1">
        <f ca="1">IFERROR(__xludf.DUMMYFUNCTION("""COMPUTED_VALUE"""),104)</f>
        <v>104</v>
      </c>
      <c r="T94" s="1" t="str">
        <f ca="1">IFERROR(__xludf.DUMMYFUNCTION("""COMPUTED_VALUE"""),"+0.68")</f>
        <v>+0.68</v>
      </c>
      <c r="U94" s="1">
        <f ca="1">IFERROR(__xludf.DUMMYFUNCTION("""COMPUTED_VALUE"""),134)</f>
        <v>134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IFERROR(__xludf.DUMMYFUNCTION("""COMPUTED_VALUE"""),"Illinois St.6")</f>
        <v>Illinois St.6</v>
      </c>
      <c r="C95" s="1" t="str">
        <f ca="1">IFERROR(__xludf.DUMMYFUNCTION("""COMPUTED_VALUE"""),"MVC")</f>
        <v>MVC</v>
      </c>
      <c r="D95" s="1" t="str">
        <f ca="1">IFERROR(__xludf.DUMMYFUNCTION("""COMPUTED_VALUE"""),"22-11")</f>
        <v>22-11</v>
      </c>
      <c r="E95" s="1" t="str">
        <f ca="1">IFERROR(__xludf.DUMMYFUNCTION("""COMPUTED_VALUE"""),"+8.77")</f>
        <v>+8.77</v>
      </c>
      <c r="F95" s="1">
        <f ca="1">IFERROR(__xludf.DUMMYFUNCTION("""COMPUTED_VALUE"""),107.5)</f>
        <v>107.5</v>
      </c>
      <c r="G95" s="1">
        <f ca="1">IFERROR(__xludf.DUMMYFUNCTION("""COMPUTED_VALUE"""),100)</f>
        <v>100</v>
      </c>
      <c r="H95" s="1">
        <f ca="1">IFERROR(__xludf.DUMMYFUNCTION("""COMPUTED_VALUE"""),98.7)</f>
        <v>98.7</v>
      </c>
      <c r="I95" s="1">
        <f ca="1">IFERROR(__xludf.DUMMYFUNCTION("""COMPUTED_VALUE"""),96)</f>
        <v>96</v>
      </c>
      <c r="J95" s="1">
        <f ca="1">IFERROR(__xludf.DUMMYFUNCTION("""COMPUTED_VALUE"""),64.6)</f>
        <v>64.599999999999994</v>
      </c>
      <c r="K95" s="1">
        <f ca="1">IFERROR(__xludf.DUMMYFUNCTION("""COMPUTED_VALUE"""),234)</f>
        <v>234</v>
      </c>
      <c r="L95" s="1" t="str">
        <f ca="1">IFERROR(__xludf.DUMMYFUNCTION("""COMPUTED_VALUE"""),"+.023")</f>
        <v>+.023</v>
      </c>
      <c r="M95" s="1">
        <f ca="1">IFERROR(__xludf.DUMMYFUNCTION("""COMPUTED_VALUE"""),106)</f>
        <v>106</v>
      </c>
      <c r="N95" s="1" t="str">
        <f ca="1">IFERROR(__xludf.DUMMYFUNCTION("""COMPUTED_VALUE"""),"+1.25")</f>
        <v>+1.25</v>
      </c>
      <c r="O95" s="1">
        <f ca="1">IFERROR(__xludf.DUMMYFUNCTION("""COMPUTED_VALUE"""),143)</f>
        <v>143</v>
      </c>
      <c r="P95" s="1">
        <f ca="1">IFERROR(__xludf.DUMMYFUNCTION("""COMPUTED_VALUE"""),103.2)</f>
        <v>103.2</v>
      </c>
      <c r="Q95" s="1">
        <f ca="1">IFERROR(__xludf.DUMMYFUNCTION("""COMPUTED_VALUE"""),160)</f>
        <v>160</v>
      </c>
      <c r="R95" s="1">
        <f ca="1">IFERROR(__xludf.DUMMYFUNCTION("""COMPUTED_VALUE"""),102)</f>
        <v>102</v>
      </c>
      <c r="S95" s="1">
        <f ca="1">IFERROR(__xludf.DUMMYFUNCTION("""COMPUTED_VALUE"""),134)</f>
        <v>134</v>
      </c>
      <c r="T95" s="1">
        <f ca="1">IFERROR(__xludf.DUMMYFUNCTION("""COMPUTED_VALUE"""),-8.5)</f>
        <v>-8.5</v>
      </c>
      <c r="U95" s="1">
        <f ca="1">IFERROR(__xludf.DUMMYFUNCTION("""COMPUTED_VALUE"""),335)</f>
        <v>335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IFERROR(__xludf.DUMMYFUNCTION("""COMPUTED_VALUE"""),"Providence")</f>
        <v>Providence</v>
      </c>
      <c r="C96" s="1" t="str">
        <f ca="1">IFERROR(__xludf.DUMMYFUNCTION("""COMPUTED_VALUE"""),"BE")</f>
        <v>BE</v>
      </c>
      <c r="D96" s="2">
        <f ca="1">IFERROR(__xludf.DUMMYFUNCTION("""COMPUTED_VALUE"""),44914)</f>
        <v>44914</v>
      </c>
      <c r="E96" s="1" t="str">
        <f ca="1">IFERROR(__xludf.DUMMYFUNCTION("""COMPUTED_VALUE"""),"+8.70")</f>
        <v>+8.70</v>
      </c>
      <c r="F96" s="1">
        <f ca="1">IFERROR(__xludf.DUMMYFUNCTION("""COMPUTED_VALUE"""),116)</f>
        <v>116</v>
      </c>
      <c r="G96" s="1">
        <f ca="1">IFERROR(__xludf.DUMMYFUNCTION("""COMPUTED_VALUE"""),17)</f>
        <v>17</v>
      </c>
      <c r="H96" s="1">
        <f ca="1">IFERROR(__xludf.DUMMYFUNCTION("""COMPUTED_VALUE"""),107.3)</f>
        <v>107.3</v>
      </c>
      <c r="I96" s="1">
        <f ca="1">IFERROR(__xludf.DUMMYFUNCTION("""COMPUTED_VALUE"""),266)</f>
        <v>266</v>
      </c>
      <c r="J96" s="1">
        <f ca="1">IFERROR(__xludf.DUMMYFUNCTION("""COMPUTED_VALUE"""),73.3)</f>
        <v>73.3</v>
      </c>
      <c r="K96" s="1">
        <f ca="1">IFERROR(__xludf.DUMMYFUNCTION("""COMPUTED_VALUE"""),5)</f>
        <v>5</v>
      </c>
      <c r="L96" s="1">
        <f ca="1">IFERROR(__xludf.DUMMYFUNCTION("""COMPUTED_VALUE"""),-0.111)</f>
        <v>-0.111</v>
      </c>
      <c r="M96" s="1">
        <f ca="1">IFERROR(__xludf.DUMMYFUNCTION("""COMPUTED_VALUE"""),345)</f>
        <v>345</v>
      </c>
      <c r="N96" s="1" t="str">
        <f ca="1">IFERROR(__xludf.DUMMYFUNCTION("""COMPUTED_VALUE"""),"+9.60")</f>
        <v>+9.60</v>
      </c>
      <c r="O96" s="1">
        <f ca="1">IFERROR(__xludf.DUMMYFUNCTION("""COMPUTED_VALUE"""),15)</f>
        <v>15</v>
      </c>
      <c r="P96" s="1">
        <f ca="1">IFERROR(__xludf.DUMMYFUNCTION("""COMPUTED_VALUE"""),108.3)</f>
        <v>108.3</v>
      </c>
      <c r="Q96" s="1">
        <f ca="1">IFERROR(__xludf.DUMMYFUNCTION("""COMPUTED_VALUE"""),15)</f>
        <v>15</v>
      </c>
      <c r="R96" s="1">
        <f ca="1">IFERROR(__xludf.DUMMYFUNCTION("""COMPUTED_VALUE"""),98.7)</f>
        <v>98.7</v>
      </c>
      <c r="S96" s="1">
        <f ca="1">IFERROR(__xludf.DUMMYFUNCTION("""COMPUTED_VALUE"""),34)</f>
        <v>34</v>
      </c>
      <c r="T96" s="1">
        <f ca="1">IFERROR(__xludf.DUMMYFUNCTION("""COMPUTED_VALUE"""),-2.05)</f>
        <v>-2.0499999999999998</v>
      </c>
      <c r="U96" s="1">
        <f ca="1">IFERROR(__xludf.DUMMYFUNCTION("""COMPUTED_VALUE"""),219)</f>
        <v>219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IFERROR(__xludf.DUMMYFUNCTION("""COMPUTED_VALUE"""),"Georgia")</f>
        <v>Georgia</v>
      </c>
      <c r="C97" s="1" t="str">
        <f ca="1">IFERROR(__xludf.DUMMYFUNCTION("""COMPUTED_VALUE"""),"SEC")</f>
        <v>SEC</v>
      </c>
      <c r="D97" s="1" t="str">
        <f ca="1">IFERROR(__xludf.DUMMYFUNCTION("""COMPUTED_VALUE"""),"14-17")</f>
        <v>14-17</v>
      </c>
      <c r="E97" s="1" t="str">
        <f ca="1">IFERROR(__xludf.DUMMYFUNCTION("""COMPUTED_VALUE"""),"+8.68")</f>
        <v>+8.68</v>
      </c>
      <c r="F97" s="1">
        <f ca="1">IFERROR(__xludf.DUMMYFUNCTION("""COMPUTED_VALUE"""),109.8)</f>
        <v>109.8</v>
      </c>
      <c r="G97" s="1">
        <f ca="1">IFERROR(__xludf.DUMMYFUNCTION("""COMPUTED_VALUE"""),64)</f>
        <v>64</v>
      </c>
      <c r="H97" s="1">
        <f ca="1">IFERROR(__xludf.DUMMYFUNCTION("""COMPUTED_VALUE"""),101.1)</f>
        <v>101.1</v>
      </c>
      <c r="I97" s="1">
        <f ca="1">IFERROR(__xludf.DUMMYFUNCTION("""COMPUTED_VALUE"""),137)</f>
        <v>137</v>
      </c>
      <c r="J97" s="1">
        <f ca="1">IFERROR(__xludf.DUMMYFUNCTION("""COMPUTED_VALUE"""),64.1)</f>
        <v>64.099999999999994</v>
      </c>
      <c r="K97" s="1">
        <f ca="1">IFERROR(__xludf.DUMMYFUNCTION("""COMPUTED_VALUE"""),252)</f>
        <v>252</v>
      </c>
      <c r="L97" s="1">
        <f ca="1">IFERROR(__xludf.DUMMYFUNCTION("""COMPUTED_VALUE"""),-0.021)</f>
        <v>-2.1000000000000001E-2</v>
      </c>
      <c r="M97" s="1">
        <f ca="1">IFERROR(__xludf.DUMMYFUNCTION("""COMPUTED_VALUE"""),236)</f>
        <v>236</v>
      </c>
      <c r="N97" s="1" t="str">
        <f ca="1">IFERROR(__xludf.DUMMYFUNCTION("""COMPUTED_VALUE"""),"+9.32")</f>
        <v>+9.32</v>
      </c>
      <c r="O97" s="1">
        <f ca="1">IFERROR(__xludf.DUMMYFUNCTION("""COMPUTED_VALUE"""),20)</f>
        <v>20</v>
      </c>
      <c r="P97" s="1">
        <f ca="1">IFERROR(__xludf.DUMMYFUNCTION("""COMPUTED_VALUE"""),106.8)</f>
        <v>106.8</v>
      </c>
      <c r="Q97" s="1">
        <f ca="1">IFERROR(__xludf.DUMMYFUNCTION("""COMPUTED_VALUE"""),42)</f>
        <v>42</v>
      </c>
      <c r="R97" s="1">
        <f ca="1">IFERROR(__xludf.DUMMYFUNCTION("""COMPUTED_VALUE"""),97.5)</f>
        <v>97.5</v>
      </c>
      <c r="S97" s="1">
        <f ca="1">IFERROR(__xludf.DUMMYFUNCTION("""COMPUTED_VALUE"""),9)</f>
        <v>9</v>
      </c>
      <c r="T97" s="1" t="str">
        <f ca="1">IFERROR(__xludf.DUMMYFUNCTION("""COMPUTED_VALUE"""),"+1.89")</f>
        <v>+1.89</v>
      </c>
      <c r="U97" s="1">
        <f ca="1">IFERROR(__xludf.DUMMYFUNCTION("""COMPUTED_VALUE"""),108)</f>
        <v>108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IFERROR(__xludf.DUMMYFUNCTION("""COMPUTED_VALUE"""),"Colorado")</f>
        <v>Colorado</v>
      </c>
      <c r="C98" s="1" t="str">
        <f ca="1">IFERROR(__xludf.DUMMYFUNCTION("""COMPUTED_VALUE"""),"B12")</f>
        <v>B12</v>
      </c>
      <c r="D98" s="1" t="str">
        <f ca="1">IFERROR(__xludf.DUMMYFUNCTION("""COMPUTED_VALUE"""),"15-16")</f>
        <v>15-16</v>
      </c>
      <c r="E98" s="1" t="str">
        <f ca="1">IFERROR(__xludf.DUMMYFUNCTION("""COMPUTED_VALUE"""),"+8.63")</f>
        <v>+8.63</v>
      </c>
      <c r="F98" s="1">
        <f ca="1">IFERROR(__xludf.DUMMYFUNCTION("""COMPUTED_VALUE"""),113.1)</f>
        <v>113.1</v>
      </c>
      <c r="G98" s="1">
        <f ca="1">IFERROR(__xludf.DUMMYFUNCTION("""COMPUTED_VALUE"""),29)</f>
        <v>29</v>
      </c>
      <c r="H98" s="1">
        <f ca="1">IFERROR(__xludf.DUMMYFUNCTION("""COMPUTED_VALUE"""),104.5)</f>
        <v>104.5</v>
      </c>
      <c r="I98" s="1">
        <f ca="1">IFERROR(__xludf.DUMMYFUNCTION("""COMPUTED_VALUE"""),211)</f>
        <v>211</v>
      </c>
      <c r="J98" s="1">
        <f ca="1">IFERROR(__xludf.DUMMYFUNCTION("""COMPUTED_VALUE"""),67)</f>
        <v>67</v>
      </c>
      <c r="K98" s="1">
        <f ca="1">IFERROR(__xludf.DUMMYFUNCTION("""COMPUTED_VALUE"""),118)</f>
        <v>118</v>
      </c>
      <c r="L98" s="1">
        <f ca="1">IFERROR(__xludf.DUMMYFUNCTION("""COMPUTED_VALUE"""),-0.036)</f>
        <v>-3.5999999999999997E-2</v>
      </c>
      <c r="M98" s="1">
        <f ca="1">IFERROR(__xludf.DUMMYFUNCTION("""COMPUTED_VALUE"""),268)</f>
        <v>268</v>
      </c>
      <c r="N98" s="1" t="str">
        <f ca="1">IFERROR(__xludf.DUMMYFUNCTION("""COMPUTED_VALUE"""),"+9.38")</f>
        <v>+9.38</v>
      </c>
      <c r="O98" s="1">
        <f ca="1">IFERROR(__xludf.DUMMYFUNCTION("""COMPUTED_VALUE"""),18)</f>
        <v>18</v>
      </c>
      <c r="P98" s="1">
        <f ca="1">IFERROR(__xludf.DUMMYFUNCTION("""COMPUTED_VALUE"""),107)</f>
        <v>107</v>
      </c>
      <c r="Q98" s="1">
        <f ca="1">IFERROR(__xludf.DUMMYFUNCTION("""COMPUTED_VALUE"""),40)</f>
        <v>40</v>
      </c>
      <c r="R98" s="1">
        <f ca="1">IFERROR(__xludf.DUMMYFUNCTION("""COMPUTED_VALUE"""),97.6)</f>
        <v>97.6</v>
      </c>
      <c r="S98" s="1">
        <f ca="1">IFERROR(__xludf.DUMMYFUNCTION("""COMPUTED_VALUE"""),12)</f>
        <v>12</v>
      </c>
      <c r="T98" s="1">
        <f ca="1">IFERROR(__xludf.DUMMYFUNCTION("""COMPUTED_VALUE"""),-3.9)</f>
        <v>-3.9</v>
      </c>
      <c r="U98" s="1">
        <f ca="1">IFERROR(__xludf.DUMMYFUNCTION("""COMPUTED_VALUE"""),265)</f>
        <v>265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IFERROR(__xludf.DUMMYFUNCTION("""COMPUTED_VALUE"""),"Nebraska")</f>
        <v>Nebraska</v>
      </c>
      <c r="C99" s="1" t="str">
        <f ca="1">IFERROR(__xludf.DUMMYFUNCTION("""COMPUTED_VALUE"""),"B12")</f>
        <v>B12</v>
      </c>
      <c r="D99" s="1" t="str">
        <f ca="1">IFERROR(__xludf.DUMMYFUNCTION("""COMPUTED_VALUE"""),"15-18")</f>
        <v>15-18</v>
      </c>
      <c r="E99" s="1" t="str">
        <f ca="1">IFERROR(__xludf.DUMMYFUNCTION("""COMPUTED_VALUE"""),"+8.28")</f>
        <v>+8.28</v>
      </c>
      <c r="F99" s="1">
        <f ca="1">IFERROR(__xludf.DUMMYFUNCTION("""COMPUTED_VALUE"""),107)</f>
        <v>107</v>
      </c>
      <c r="G99" s="1">
        <f ca="1">IFERROR(__xludf.DUMMYFUNCTION("""COMPUTED_VALUE"""),107)</f>
        <v>107</v>
      </c>
      <c r="H99" s="1">
        <f ca="1">IFERROR(__xludf.DUMMYFUNCTION("""COMPUTED_VALUE"""),98.7)</f>
        <v>98.7</v>
      </c>
      <c r="I99" s="1">
        <f ca="1">IFERROR(__xludf.DUMMYFUNCTION("""COMPUTED_VALUE"""),97)</f>
        <v>97</v>
      </c>
      <c r="J99" s="1">
        <f ca="1">IFERROR(__xludf.DUMMYFUNCTION("""COMPUTED_VALUE"""),62.8)</f>
        <v>62.8</v>
      </c>
      <c r="K99" s="1">
        <f ca="1">IFERROR(__xludf.DUMMYFUNCTION("""COMPUTED_VALUE"""),293)</f>
        <v>293</v>
      </c>
      <c r="L99" s="1">
        <f ca="1">IFERROR(__xludf.DUMMYFUNCTION("""COMPUTED_VALUE"""),-0.067)</f>
        <v>-6.7000000000000004E-2</v>
      </c>
      <c r="M99" s="1">
        <f ca="1">IFERROR(__xludf.DUMMYFUNCTION("""COMPUTED_VALUE"""),317)</f>
        <v>317</v>
      </c>
      <c r="N99" s="1" t="str">
        <f ca="1">IFERROR(__xludf.DUMMYFUNCTION("""COMPUTED_VALUE"""),"+8.03")</f>
        <v>+8.03</v>
      </c>
      <c r="O99" s="1">
        <f ca="1">IFERROR(__xludf.DUMMYFUNCTION("""COMPUTED_VALUE"""),47)</f>
        <v>47</v>
      </c>
      <c r="P99" s="1">
        <f ca="1">IFERROR(__xludf.DUMMYFUNCTION("""COMPUTED_VALUE"""),106.3)</f>
        <v>106.3</v>
      </c>
      <c r="Q99" s="1">
        <f ca="1">IFERROR(__xludf.DUMMYFUNCTION("""COMPUTED_VALUE"""),62)</f>
        <v>62</v>
      </c>
      <c r="R99" s="1">
        <f ca="1">IFERROR(__xludf.DUMMYFUNCTION("""COMPUTED_VALUE"""),98.3)</f>
        <v>98.3</v>
      </c>
      <c r="S99" s="1">
        <f ca="1">IFERROR(__xludf.DUMMYFUNCTION("""COMPUTED_VALUE"""),22)</f>
        <v>22</v>
      </c>
      <c r="T99" s="1">
        <f ca="1">IFERROR(__xludf.DUMMYFUNCTION("""COMPUTED_VALUE"""),-8.83)</f>
        <v>-8.83</v>
      </c>
      <c r="U99" s="1">
        <f ca="1">IFERROR(__xludf.DUMMYFUNCTION("""COMPUTED_VALUE"""),339)</f>
        <v>339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IFERROR(__xludf.DUMMYFUNCTION("""COMPUTED_VALUE"""),"Ohio14")</f>
        <v>Ohio14</v>
      </c>
      <c r="C100" s="1" t="str">
        <f ca="1">IFERROR(__xludf.DUMMYFUNCTION("""COMPUTED_VALUE"""),"MAC")</f>
        <v>MAC</v>
      </c>
      <c r="D100" s="1" t="str">
        <f ca="1">IFERROR(__xludf.DUMMYFUNCTION("""COMPUTED_VALUE"""),"22-15")</f>
        <v>22-15</v>
      </c>
      <c r="E100" s="1" t="str">
        <f ca="1">IFERROR(__xludf.DUMMYFUNCTION("""COMPUTED_VALUE"""),"+8.25")</f>
        <v>+8.25</v>
      </c>
      <c r="F100" s="1">
        <f ca="1">IFERROR(__xludf.DUMMYFUNCTION("""COMPUTED_VALUE"""),107.3)</f>
        <v>107.3</v>
      </c>
      <c r="G100" s="1">
        <f ca="1">IFERROR(__xludf.DUMMYFUNCTION("""COMPUTED_VALUE"""),103)</f>
        <v>103</v>
      </c>
      <c r="H100" s="1">
        <f ca="1">IFERROR(__xludf.DUMMYFUNCTION("""COMPUTED_VALUE"""),99)</f>
        <v>99</v>
      </c>
      <c r="I100" s="1">
        <f ca="1">IFERROR(__xludf.DUMMYFUNCTION("""COMPUTED_VALUE"""),100)</f>
        <v>100</v>
      </c>
      <c r="J100" s="1">
        <f ca="1">IFERROR(__xludf.DUMMYFUNCTION("""COMPUTED_VALUE"""),68.8)</f>
        <v>68.8</v>
      </c>
      <c r="K100" s="1">
        <f ca="1">IFERROR(__xludf.DUMMYFUNCTION("""COMPUTED_VALUE"""),50)</f>
        <v>50</v>
      </c>
      <c r="L100" s="1">
        <f ca="1">IFERROR(__xludf.DUMMYFUNCTION("""COMPUTED_VALUE"""),-0.068)</f>
        <v>-6.8000000000000005E-2</v>
      </c>
      <c r="M100" s="1">
        <f ca="1">IFERROR(__xludf.DUMMYFUNCTION("""COMPUTED_VALUE"""),319)</f>
        <v>319</v>
      </c>
      <c r="N100" s="1" t="str">
        <f ca="1">IFERROR(__xludf.DUMMYFUNCTION("""COMPUTED_VALUE"""),"+0.76")</f>
        <v>+0.76</v>
      </c>
      <c r="O100" s="1">
        <f ca="1">IFERROR(__xludf.DUMMYFUNCTION("""COMPUTED_VALUE"""),155)</f>
        <v>155</v>
      </c>
      <c r="P100" s="1">
        <f ca="1">IFERROR(__xludf.DUMMYFUNCTION("""COMPUTED_VALUE"""),103.1)</f>
        <v>103.1</v>
      </c>
      <c r="Q100" s="1">
        <f ca="1">IFERROR(__xludf.DUMMYFUNCTION("""COMPUTED_VALUE"""),163)</f>
        <v>163</v>
      </c>
      <c r="R100" s="1">
        <f ca="1">IFERROR(__xludf.DUMMYFUNCTION("""COMPUTED_VALUE"""),102.3)</f>
        <v>102.3</v>
      </c>
      <c r="S100" s="1">
        <f ca="1">IFERROR(__xludf.DUMMYFUNCTION("""COMPUTED_VALUE"""),152)</f>
        <v>152</v>
      </c>
      <c r="T100" s="1">
        <f ca="1">IFERROR(__xludf.DUMMYFUNCTION("""COMPUTED_VALUE"""),-0.9)</f>
        <v>-0.9</v>
      </c>
      <c r="U100" s="1">
        <f ca="1">IFERROR(__xludf.DUMMYFUNCTION("""COMPUTED_VALUE"""),170)</f>
        <v>170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IFERROR(__xludf.DUMMYFUNCTION("""COMPUTED_VALUE"""),"Montana14")</f>
        <v>Montana14</v>
      </c>
      <c r="C101" s="1" t="str">
        <f ca="1">IFERROR(__xludf.DUMMYFUNCTION("""COMPUTED_VALUE"""),"BSky")</f>
        <v>BSky</v>
      </c>
      <c r="D101" s="1" t="str">
        <f ca="1">IFERROR(__xludf.DUMMYFUNCTION("""COMPUTED_VALUE"""),"22-10")</f>
        <v>22-10</v>
      </c>
      <c r="E101" s="1" t="str">
        <f ca="1">IFERROR(__xludf.DUMMYFUNCTION("""COMPUTED_VALUE"""),"+8.08")</f>
        <v>+8.08</v>
      </c>
      <c r="F101" s="1">
        <f ca="1">IFERROR(__xludf.DUMMYFUNCTION("""COMPUTED_VALUE"""),106.5)</f>
        <v>106.5</v>
      </c>
      <c r="G101" s="1">
        <f ca="1">IFERROR(__xludf.DUMMYFUNCTION("""COMPUTED_VALUE"""),116)</f>
        <v>116</v>
      </c>
      <c r="H101" s="1">
        <f ca="1">IFERROR(__xludf.DUMMYFUNCTION("""COMPUTED_VALUE"""),98.4)</f>
        <v>98.4</v>
      </c>
      <c r="I101" s="1">
        <f ca="1">IFERROR(__xludf.DUMMYFUNCTION("""COMPUTED_VALUE"""),92)</f>
        <v>92</v>
      </c>
      <c r="J101" s="1">
        <f ca="1">IFERROR(__xludf.DUMMYFUNCTION("""COMPUTED_VALUE"""),62)</f>
        <v>62</v>
      </c>
      <c r="K101" s="1">
        <f ca="1">IFERROR(__xludf.DUMMYFUNCTION("""COMPUTED_VALUE"""),312)</f>
        <v>312</v>
      </c>
      <c r="L101" s="1">
        <f ca="1">IFERROR(__xludf.DUMMYFUNCTION("""COMPUTED_VALUE"""),-0.042)</f>
        <v>-4.2000000000000003E-2</v>
      </c>
      <c r="M101" s="1">
        <f ca="1">IFERROR(__xludf.DUMMYFUNCTION("""COMPUTED_VALUE"""),278)</f>
        <v>278</v>
      </c>
      <c r="N101" s="1">
        <f ca="1">IFERROR(__xludf.DUMMYFUNCTION("""COMPUTED_VALUE"""),-2.21)</f>
        <v>-2.21</v>
      </c>
      <c r="O101" s="1">
        <f ca="1">IFERROR(__xludf.DUMMYFUNCTION("""COMPUTED_VALUE"""),205)</f>
        <v>205</v>
      </c>
      <c r="P101" s="1">
        <f ca="1">IFERROR(__xludf.DUMMYFUNCTION("""COMPUTED_VALUE"""),103.4)</f>
        <v>103.4</v>
      </c>
      <c r="Q101" s="1">
        <f ca="1">IFERROR(__xludf.DUMMYFUNCTION("""COMPUTED_VALUE"""),153)</f>
        <v>153</v>
      </c>
      <c r="R101" s="1">
        <f ca="1">IFERROR(__xludf.DUMMYFUNCTION("""COMPUTED_VALUE"""),105.6)</f>
        <v>105.6</v>
      </c>
      <c r="S101" s="1">
        <f ca="1">IFERROR(__xludf.DUMMYFUNCTION("""COMPUTED_VALUE"""),289)</f>
        <v>289</v>
      </c>
      <c r="T101" s="1">
        <f ca="1">IFERROR(__xludf.DUMMYFUNCTION("""COMPUTED_VALUE"""),-0.86)</f>
        <v>-0.86</v>
      </c>
      <c r="U101" s="1">
        <f ca="1">IFERROR(__xludf.DUMMYFUNCTION("""COMPUTED_VALUE"""),168)</f>
        <v>168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IFERROR(__xludf.DUMMYFUNCTION("""COMPUTED_VALUE"""),"Charlotte")</f>
        <v>Charlotte</v>
      </c>
      <c r="C102" s="1" t="str">
        <f ca="1">IFERROR(__xludf.DUMMYFUNCTION("""COMPUTED_VALUE"""),"A10")</f>
        <v>A10</v>
      </c>
      <c r="D102" s="1" t="str">
        <f ca="1">IFERROR(__xludf.DUMMYFUNCTION("""COMPUTED_VALUE"""),"19-12")</f>
        <v>19-12</v>
      </c>
      <c r="E102" s="1" t="str">
        <f ca="1">IFERROR(__xludf.DUMMYFUNCTION("""COMPUTED_VALUE"""),"+7.91")</f>
        <v>+7.91</v>
      </c>
      <c r="F102" s="1">
        <f ca="1">IFERROR(__xludf.DUMMYFUNCTION("""COMPUTED_VALUE"""),108.7)</f>
        <v>108.7</v>
      </c>
      <c r="G102" s="1">
        <f ca="1">IFERROR(__xludf.DUMMYFUNCTION("""COMPUTED_VALUE"""),79)</f>
        <v>79</v>
      </c>
      <c r="H102" s="1">
        <f ca="1">IFERROR(__xludf.DUMMYFUNCTION("""COMPUTED_VALUE"""),100.8)</f>
        <v>100.8</v>
      </c>
      <c r="I102" s="1">
        <f ca="1">IFERROR(__xludf.DUMMYFUNCTION("""COMPUTED_VALUE"""),130)</f>
        <v>130</v>
      </c>
      <c r="J102" s="1">
        <f ca="1">IFERROR(__xludf.DUMMYFUNCTION("""COMPUTED_VALUE"""),67.1)</f>
        <v>67.099999999999994</v>
      </c>
      <c r="K102" s="1">
        <f ca="1">IFERROR(__xludf.DUMMYFUNCTION("""COMPUTED_VALUE"""),110)</f>
        <v>110</v>
      </c>
      <c r="L102" s="1" t="str">
        <f ca="1">IFERROR(__xludf.DUMMYFUNCTION("""COMPUTED_VALUE"""),"+.068")</f>
        <v>+.068</v>
      </c>
      <c r="M102" s="1">
        <f ca="1">IFERROR(__xludf.DUMMYFUNCTION("""COMPUTED_VALUE"""),38)</f>
        <v>38</v>
      </c>
      <c r="N102" s="1" t="str">
        <f ca="1">IFERROR(__xludf.DUMMYFUNCTION("""COMPUTED_VALUE"""),"+3.85")</f>
        <v>+3.85</v>
      </c>
      <c r="O102" s="1">
        <f ca="1">IFERROR(__xludf.DUMMYFUNCTION("""COMPUTED_VALUE"""),99)</f>
        <v>99</v>
      </c>
      <c r="P102" s="1">
        <f ca="1">IFERROR(__xludf.DUMMYFUNCTION("""COMPUTED_VALUE"""),103.7)</f>
        <v>103.7</v>
      </c>
      <c r="Q102" s="1">
        <f ca="1">IFERROR(__xludf.DUMMYFUNCTION("""COMPUTED_VALUE"""),142)</f>
        <v>142</v>
      </c>
      <c r="R102" s="1">
        <f ca="1">IFERROR(__xludf.DUMMYFUNCTION("""COMPUTED_VALUE"""),99.8)</f>
        <v>99.8</v>
      </c>
      <c r="S102" s="1">
        <f ca="1">IFERROR(__xludf.DUMMYFUNCTION("""COMPUTED_VALUE"""),65)</f>
        <v>65</v>
      </c>
      <c r="T102" s="1">
        <f ca="1">IFERROR(__xludf.DUMMYFUNCTION("""COMPUTED_VALUE"""),-0.61)</f>
        <v>-0.61</v>
      </c>
      <c r="U102" s="1">
        <f ca="1">IFERROR(__xludf.DUMMYFUNCTION("""COMPUTED_VALUE"""),162)</f>
        <v>162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IFERROR(__xludf.DUMMYFUNCTION("""COMPUTED_VALUE"""),"Pacific")</f>
        <v>Pacific</v>
      </c>
      <c r="C103" s="1" t="str">
        <f ca="1">IFERROR(__xludf.DUMMYFUNCTION("""COMPUTED_VALUE"""),"BW")</f>
        <v>BW</v>
      </c>
      <c r="D103" s="1" t="str">
        <f ca="1">IFERROR(__xludf.DUMMYFUNCTION("""COMPUTED_VALUE"""),"23-12")</f>
        <v>23-12</v>
      </c>
      <c r="E103" s="1" t="str">
        <f ca="1">IFERROR(__xludf.DUMMYFUNCTION("""COMPUTED_VALUE"""),"+7.84")</f>
        <v>+7.84</v>
      </c>
      <c r="F103" s="1">
        <f ca="1">IFERROR(__xludf.DUMMYFUNCTION("""COMPUTED_VALUE"""),106.2)</f>
        <v>106.2</v>
      </c>
      <c r="G103" s="1">
        <f ca="1">IFERROR(__xludf.DUMMYFUNCTION("""COMPUTED_VALUE"""),124)</f>
        <v>124</v>
      </c>
      <c r="H103" s="1">
        <f ca="1">IFERROR(__xludf.DUMMYFUNCTION("""COMPUTED_VALUE"""),98.3)</f>
        <v>98.3</v>
      </c>
      <c r="I103" s="1">
        <f ca="1">IFERROR(__xludf.DUMMYFUNCTION("""COMPUTED_VALUE"""),91)</f>
        <v>91</v>
      </c>
      <c r="J103" s="1">
        <f ca="1">IFERROR(__xludf.DUMMYFUNCTION("""COMPUTED_VALUE"""),60.2)</f>
        <v>60.2</v>
      </c>
      <c r="K103" s="1">
        <f ca="1">IFERROR(__xludf.DUMMYFUNCTION("""COMPUTED_VALUE"""),334)</f>
        <v>334</v>
      </c>
      <c r="L103" s="1" t="str">
        <f ca="1">IFERROR(__xludf.DUMMYFUNCTION("""COMPUTED_VALUE"""),"+.011")</f>
        <v>+.011</v>
      </c>
      <c r="M103" s="1">
        <f ca="1">IFERROR(__xludf.DUMMYFUNCTION("""COMPUTED_VALUE"""),137)</f>
        <v>137</v>
      </c>
      <c r="N103" s="1">
        <f ca="1">IFERROR(__xludf.DUMMYFUNCTION("""COMPUTED_VALUE"""),-0.53)</f>
        <v>-0.53</v>
      </c>
      <c r="O103" s="1">
        <f ca="1">IFERROR(__xludf.DUMMYFUNCTION("""COMPUTED_VALUE"""),171)</f>
        <v>171</v>
      </c>
      <c r="P103" s="1">
        <f ca="1">IFERROR(__xludf.DUMMYFUNCTION("""COMPUTED_VALUE"""),103.3)</f>
        <v>103.3</v>
      </c>
      <c r="Q103" s="1">
        <f ca="1">IFERROR(__xludf.DUMMYFUNCTION("""COMPUTED_VALUE"""),159)</f>
        <v>159</v>
      </c>
      <c r="R103" s="1">
        <f ca="1">IFERROR(__xludf.DUMMYFUNCTION("""COMPUTED_VALUE"""),103.8)</f>
        <v>103.8</v>
      </c>
      <c r="S103" s="1">
        <f ca="1">IFERROR(__xludf.DUMMYFUNCTION("""COMPUTED_VALUE"""),204)</f>
        <v>204</v>
      </c>
      <c r="T103" s="1" t="str">
        <f ca="1">IFERROR(__xludf.DUMMYFUNCTION("""COMPUTED_VALUE"""),"+1.48")</f>
        <v>+1.48</v>
      </c>
      <c r="U103" s="1">
        <f ca="1">IFERROR(__xludf.DUMMYFUNCTION("""COMPUTED_VALUE"""),118)</f>
        <v>118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IFERROR(__xludf.DUMMYFUNCTION("""COMPUTED_VALUE"""),"Saint Louis")</f>
        <v>Saint Louis</v>
      </c>
      <c r="C104" s="1" t="str">
        <f ca="1">IFERROR(__xludf.DUMMYFUNCTION("""COMPUTED_VALUE"""),"A10")</f>
        <v>A10</v>
      </c>
      <c r="D104" s="1" t="str">
        <f ca="1">IFERROR(__xludf.DUMMYFUNCTION("""COMPUTED_VALUE"""),"23-13")</f>
        <v>23-13</v>
      </c>
      <c r="E104" s="1" t="str">
        <f ca="1">IFERROR(__xludf.DUMMYFUNCTION("""COMPUTED_VALUE"""),"+7.72")</f>
        <v>+7.72</v>
      </c>
      <c r="F104" s="1">
        <f ca="1">IFERROR(__xludf.DUMMYFUNCTION("""COMPUTED_VALUE"""),100.1)</f>
        <v>100.1</v>
      </c>
      <c r="G104" s="1">
        <f ca="1">IFERROR(__xludf.DUMMYFUNCTION("""COMPUTED_VALUE"""),211)</f>
        <v>211</v>
      </c>
      <c r="H104" s="1">
        <f ca="1">IFERROR(__xludf.DUMMYFUNCTION("""COMPUTED_VALUE"""),92.4)</f>
        <v>92.4</v>
      </c>
      <c r="I104" s="1">
        <f ca="1">IFERROR(__xludf.DUMMYFUNCTION("""COMPUTED_VALUE"""),23)</f>
        <v>23</v>
      </c>
      <c r="J104" s="1">
        <f ca="1">IFERROR(__xludf.DUMMYFUNCTION("""COMPUTED_VALUE"""),62.4)</f>
        <v>62.4</v>
      </c>
      <c r="K104" s="1">
        <f ca="1">IFERROR(__xludf.DUMMYFUNCTION("""COMPUTED_VALUE"""),304)</f>
        <v>304</v>
      </c>
      <c r="L104" s="1" t="str">
        <f ca="1">IFERROR(__xludf.DUMMYFUNCTION("""COMPUTED_VALUE"""),"+.039")</f>
        <v>+.039</v>
      </c>
      <c r="M104" s="1">
        <f ca="1">IFERROR(__xludf.DUMMYFUNCTION("""COMPUTED_VALUE"""),81)</f>
        <v>81</v>
      </c>
      <c r="N104" s="1" t="str">
        <f ca="1">IFERROR(__xludf.DUMMYFUNCTION("""COMPUTED_VALUE"""),"+3.20")</f>
        <v>+3.20</v>
      </c>
      <c r="O104" s="1">
        <f ca="1">IFERROR(__xludf.DUMMYFUNCTION("""COMPUTED_VALUE"""),106)</f>
        <v>106</v>
      </c>
      <c r="P104" s="1">
        <f ca="1">IFERROR(__xludf.DUMMYFUNCTION("""COMPUTED_VALUE"""),104.5)</f>
        <v>104.5</v>
      </c>
      <c r="Q104" s="1">
        <f ca="1">IFERROR(__xludf.DUMMYFUNCTION("""COMPUTED_VALUE"""),115)</f>
        <v>115</v>
      </c>
      <c r="R104" s="1">
        <f ca="1">IFERROR(__xludf.DUMMYFUNCTION("""COMPUTED_VALUE"""),101.3)</f>
        <v>101.3</v>
      </c>
      <c r="S104" s="1">
        <f ca="1">IFERROR(__xludf.DUMMYFUNCTION("""COMPUTED_VALUE"""),105)</f>
        <v>105</v>
      </c>
      <c r="T104" s="1">
        <f ca="1">IFERROR(__xludf.DUMMYFUNCTION("""COMPUTED_VALUE"""),-4.13)</f>
        <v>-4.13</v>
      </c>
      <c r="U104" s="1">
        <f ca="1">IFERROR(__xludf.DUMMYFUNCTION("""COMPUTED_VALUE"""),267)</f>
        <v>267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IFERROR(__xludf.DUMMYFUNCTION("""COMPUTED_VALUE"""),"Southern Miss")</f>
        <v>Southern Miss</v>
      </c>
      <c r="C105" s="1" t="str">
        <f ca="1">IFERROR(__xludf.DUMMYFUNCTION("""COMPUTED_VALUE"""),"CUSA")</f>
        <v>CUSA</v>
      </c>
      <c r="D105" s="1" t="str">
        <f ca="1">IFERROR(__xludf.DUMMYFUNCTION("""COMPUTED_VALUE"""),"20-14")</f>
        <v>20-14</v>
      </c>
      <c r="E105" s="1" t="str">
        <f ca="1">IFERROR(__xludf.DUMMYFUNCTION("""COMPUTED_VALUE"""),"+7.60")</f>
        <v>+7.60</v>
      </c>
      <c r="F105" s="1">
        <f ca="1">IFERROR(__xludf.DUMMYFUNCTION("""COMPUTED_VALUE"""),103.7)</f>
        <v>103.7</v>
      </c>
      <c r="G105" s="1">
        <f ca="1">IFERROR(__xludf.DUMMYFUNCTION("""COMPUTED_VALUE"""),158)</f>
        <v>158</v>
      </c>
      <c r="H105" s="1">
        <f ca="1">IFERROR(__xludf.DUMMYFUNCTION("""COMPUTED_VALUE"""),96.1)</f>
        <v>96.1</v>
      </c>
      <c r="I105" s="1">
        <f ca="1">IFERROR(__xludf.DUMMYFUNCTION("""COMPUTED_VALUE"""),60)</f>
        <v>60</v>
      </c>
      <c r="J105" s="1">
        <f ca="1">IFERROR(__xludf.DUMMYFUNCTION("""COMPUTED_VALUE"""),61)</f>
        <v>61</v>
      </c>
      <c r="K105" s="1">
        <f ca="1">IFERROR(__xludf.DUMMYFUNCTION("""COMPUTED_VALUE"""),327)</f>
        <v>327</v>
      </c>
      <c r="L105" s="1">
        <f ca="1">IFERROR(__xludf.DUMMYFUNCTION("""COMPUTED_VALUE"""),-0.051)</f>
        <v>-5.0999999999999997E-2</v>
      </c>
      <c r="M105" s="1">
        <f ca="1">IFERROR(__xludf.DUMMYFUNCTION("""COMPUTED_VALUE"""),300)</f>
        <v>300</v>
      </c>
      <c r="N105" s="1" t="str">
        <f ca="1">IFERROR(__xludf.DUMMYFUNCTION("""COMPUTED_VALUE"""),"+2.64")</f>
        <v>+2.64</v>
      </c>
      <c r="O105" s="1">
        <f ca="1">IFERROR(__xludf.DUMMYFUNCTION("""COMPUTED_VALUE"""),119)</f>
        <v>119</v>
      </c>
      <c r="P105" s="1">
        <f ca="1">IFERROR(__xludf.DUMMYFUNCTION("""COMPUTED_VALUE"""),103.4)</f>
        <v>103.4</v>
      </c>
      <c r="Q105" s="1">
        <f ca="1">IFERROR(__xludf.DUMMYFUNCTION("""COMPUTED_VALUE"""),151)</f>
        <v>151</v>
      </c>
      <c r="R105" s="1">
        <f ca="1">IFERROR(__xludf.DUMMYFUNCTION("""COMPUTED_VALUE"""),100.8)</f>
        <v>100.8</v>
      </c>
      <c r="S105" s="1">
        <f ca="1">IFERROR(__xludf.DUMMYFUNCTION("""COMPUTED_VALUE"""),94)</f>
        <v>94</v>
      </c>
      <c r="T105" s="1">
        <f ca="1">IFERROR(__xludf.DUMMYFUNCTION("""COMPUTED_VALUE"""),-3.1)</f>
        <v>-3.1</v>
      </c>
      <c r="U105" s="1">
        <f ca="1">IFERROR(__xludf.DUMMYFUNCTION("""COMPUTED_VALUE"""),250)</f>
        <v>250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IFERROR(__xludf.DUMMYFUNCTION("""COMPUTED_VALUE"""),"Sam Houston St.14")</f>
        <v>Sam Houston St.14</v>
      </c>
      <c r="C106" s="1" t="str">
        <f ca="1">IFERROR(__xludf.DUMMYFUNCTION("""COMPUTED_VALUE"""),"Slnd")</f>
        <v>Slnd</v>
      </c>
      <c r="D106" s="1" t="str">
        <f ca="1">IFERROR(__xludf.DUMMYFUNCTION("""COMPUTED_VALUE"""),"25-8")</f>
        <v>25-8</v>
      </c>
      <c r="E106" s="1" t="str">
        <f ca="1">IFERROR(__xludf.DUMMYFUNCTION("""COMPUTED_VALUE"""),"+7.42")</f>
        <v>+7.42</v>
      </c>
      <c r="F106" s="1">
        <f ca="1">IFERROR(__xludf.DUMMYFUNCTION("""COMPUTED_VALUE"""),110.2)</f>
        <v>110.2</v>
      </c>
      <c r="G106" s="1">
        <f ca="1">IFERROR(__xludf.DUMMYFUNCTION("""COMPUTED_VALUE"""),57)</f>
        <v>57</v>
      </c>
      <c r="H106" s="1">
        <f ca="1">IFERROR(__xludf.DUMMYFUNCTION("""COMPUTED_VALUE"""),102.7)</f>
        <v>102.7</v>
      </c>
      <c r="I106" s="1">
        <f ca="1">IFERROR(__xludf.DUMMYFUNCTION("""COMPUTED_VALUE"""),172)</f>
        <v>172</v>
      </c>
      <c r="J106" s="1">
        <f ca="1">IFERROR(__xludf.DUMMYFUNCTION("""COMPUTED_VALUE"""),69.3)</f>
        <v>69.3</v>
      </c>
      <c r="K106" s="1">
        <f ca="1">IFERROR(__xludf.DUMMYFUNCTION("""COMPUTED_VALUE"""),37)</f>
        <v>37</v>
      </c>
      <c r="L106" s="1" t="str">
        <f ca="1">IFERROR(__xludf.DUMMYFUNCTION("""COMPUTED_VALUE"""),"+.052")</f>
        <v>+.052</v>
      </c>
      <c r="M106" s="1">
        <f ca="1">IFERROR(__xludf.DUMMYFUNCTION("""COMPUTED_VALUE"""),54)</f>
        <v>54</v>
      </c>
      <c r="N106" s="1">
        <f ca="1">IFERROR(__xludf.DUMMYFUNCTION("""COMPUTED_VALUE"""),-3.33)</f>
        <v>-3.33</v>
      </c>
      <c r="O106" s="1">
        <f ca="1">IFERROR(__xludf.DUMMYFUNCTION("""COMPUTED_VALUE"""),230)</f>
        <v>230</v>
      </c>
      <c r="P106" s="1">
        <f ca="1">IFERROR(__xludf.DUMMYFUNCTION("""COMPUTED_VALUE"""),101.3)</f>
        <v>101.3</v>
      </c>
      <c r="Q106" s="1">
        <f ca="1">IFERROR(__xludf.DUMMYFUNCTION("""COMPUTED_VALUE"""),216)</f>
        <v>216</v>
      </c>
      <c r="R106" s="1">
        <f ca="1">IFERROR(__xludf.DUMMYFUNCTION("""COMPUTED_VALUE"""),104.6)</f>
        <v>104.6</v>
      </c>
      <c r="S106" s="1">
        <f ca="1">IFERROR(__xludf.DUMMYFUNCTION("""COMPUTED_VALUE"""),244)</f>
        <v>244</v>
      </c>
      <c r="T106" s="1" t="str">
        <f ca="1">IFERROR(__xludf.DUMMYFUNCTION("""COMPUTED_VALUE"""),"+4.67")</f>
        <v>+4.67</v>
      </c>
      <c r="U106" s="1">
        <f ca="1">IFERROR(__xludf.DUMMYFUNCTION("""COMPUTED_VALUE"""),56)</f>
        <v>56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IFERROR(__xludf.DUMMYFUNCTION("""COMPUTED_VALUE"""),"Penn St.")</f>
        <v>Penn St.</v>
      </c>
      <c r="C107" s="1" t="str">
        <f ca="1">IFERROR(__xludf.DUMMYFUNCTION("""COMPUTED_VALUE"""),"B10")</f>
        <v>B10</v>
      </c>
      <c r="D107" s="2">
        <f ca="1">IFERROR(__xludf.DUMMYFUNCTION("""COMPUTED_VALUE"""),44885)</f>
        <v>44885</v>
      </c>
      <c r="E107" s="1" t="str">
        <f ca="1">IFERROR(__xludf.DUMMYFUNCTION("""COMPUTED_VALUE"""),"+7.04")</f>
        <v>+7.04</v>
      </c>
      <c r="F107" s="1">
        <f ca="1">IFERROR(__xludf.DUMMYFUNCTION("""COMPUTED_VALUE"""),107.9)</f>
        <v>107.9</v>
      </c>
      <c r="G107" s="1">
        <f ca="1">IFERROR(__xludf.DUMMYFUNCTION("""COMPUTED_VALUE"""),89)</f>
        <v>89</v>
      </c>
      <c r="H107" s="1">
        <f ca="1">IFERROR(__xludf.DUMMYFUNCTION("""COMPUTED_VALUE"""),100.8)</f>
        <v>100.8</v>
      </c>
      <c r="I107" s="1">
        <f ca="1">IFERROR(__xludf.DUMMYFUNCTION("""COMPUTED_VALUE"""),131)</f>
        <v>131</v>
      </c>
      <c r="J107" s="1">
        <f ca="1">IFERROR(__xludf.DUMMYFUNCTION("""COMPUTED_VALUE"""),62.2)</f>
        <v>62.2</v>
      </c>
      <c r="K107" s="1">
        <f ca="1">IFERROR(__xludf.DUMMYFUNCTION("""COMPUTED_VALUE"""),306)</f>
        <v>306</v>
      </c>
      <c r="L107" s="1">
        <f ca="1">IFERROR(__xludf.DUMMYFUNCTION("""COMPUTED_VALUE"""),-0.14)</f>
        <v>-0.14000000000000001</v>
      </c>
      <c r="M107" s="1">
        <f ca="1">IFERROR(__xludf.DUMMYFUNCTION("""COMPUTED_VALUE"""),346)</f>
        <v>346</v>
      </c>
      <c r="N107" s="1" t="str">
        <f ca="1">IFERROR(__xludf.DUMMYFUNCTION("""COMPUTED_VALUE"""),"+7.55")</f>
        <v>+7.55</v>
      </c>
      <c r="O107" s="1">
        <f ca="1">IFERROR(__xludf.DUMMYFUNCTION("""COMPUTED_VALUE"""),53)</f>
        <v>53</v>
      </c>
      <c r="P107" s="1">
        <f ca="1">IFERROR(__xludf.DUMMYFUNCTION("""COMPUTED_VALUE"""),106.3)</f>
        <v>106.3</v>
      </c>
      <c r="Q107" s="1">
        <f ca="1">IFERROR(__xludf.DUMMYFUNCTION("""COMPUTED_VALUE"""),59)</f>
        <v>59</v>
      </c>
      <c r="R107" s="1">
        <f ca="1">IFERROR(__xludf.DUMMYFUNCTION("""COMPUTED_VALUE"""),98.8)</f>
        <v>98.8</v>
      </c>
      <c r="S107" s="1">
        <f ca="1">IFERROR(__xludf.DUMMYFUNCTION("""COMPUTED_VALUE"""),40)</f>
        <v>40</v>
      </c>
      <c r="T107" s="1">
        <f ca="1">IFERROR(__xludf.DUMMYFUNCTION("""COMPUTED_VALUE"""),-8.17)</f>
        <v>-8.17</v>
      </c>
      <c r="U107" s="1">
        <f ca="1">IFERROR(__xludf.DUMMYFUNCTION("""COMPUTED_VALUE"""),333)</f>
        <v>333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IFERROR(__xludf.DUMMYFUNCTION("""COMPUTED_VALUE"""),"Morehead St.")</f>
        <v>Morehead St.</v>
      </c>
      <c r="C108" s="1" t="str">
        <f ca="1">IFERROR(__xludf.DUMMYFUNCTION("""COMPUTED_VALUE"""),"OVC")</f>
        <v>OVC</v>
      </c>
      <c r="D108" s="1" t="str">
        <f ca="1">IFERROR(__xludf.DUMMYFUNCTION("""COMPUTED_VALUE"""),"24-11")</f>
        <v>24-11</v>
      </c>
      <c r="E108" s="1" t="str">
        <f ca="1">IFERROR(__xludf.DUMMYFUNCTION("""COMPUTED_VALUE"""),"+7.00")</f>
        <v>+7.00</v>
      </c>
      <c r="F108" s="1">
        <f ca="1">IFERROR(__xludf.DUMMYFUNCTION("""COMPUTED_VALUE"""),105.1)</f>
        <v>105.1</v>
      </c>
      <c r="G108" s="1">
        <f ca="1">IFERROR(__xludf.DUMMYFUNCTION("""COMPUTED_VALUE"""),143)</f>
        <v>143</v>
      </c>
      <c r="H108" s="1">
        <f ca="1">IFERROR(__xludf.DUMMYFUNCTION("""COMPUTED_VALUE"""),98.1)</f>
        <v>98.1</v>
      </c>
      <c r="I108" s="1">
        <f ca="1">IFERROR(__xludf.DUMMYFUNCTION("""COMPUTED_VALUE"""),88)</f>
        <v>88</v>
      </c>
      <c r="J108" s="1">
        <f ca="1">IFERROR(__xludf.DUMMYFUNCTION("""COMPUTED_VALUE"""),64.7)</f>
        <v>64.7</v>
      </c>
      <c r="K108" s="1">
        <f ca="1">IFERROR(__xludf.DUMMYFUNCTION("""COMPUTED_VALUE"""),227)</f>
        <v>227</v>
      </c>
      <c r="L108" s="1">
        <f ca="1">IFERROR(__xludf.DUMMYFUNCTION("""COMPUTED_VALUE"""),-0.017)</f>
        <v>-1.7000000000000001E-2</v>
      </c>
      <c r="M108" s="1">
        <f ca="1">IFERROR(__xludf.DUMMYFUNCTION("""COMPUTED_VALUE"""),226)</f>
        <v>226</v>
      </c>
      <c r="N108" s="1">
        <f ca="1">IFERROR(__xludf.DUMMYFUNCTION("""COMPUTED_VALUE"""),-4.33)</f>
        <v>-4.33</v>
      </c>
      <c r="O108" s="1">
        <f ca="1">IFERROR(__xludf.DUMMYFUNCTION("""COMPUTED_VALUE"""),248)</f>
        <v>248</v>
      </c>
      <c r="P108" s="1">
        <f ca="1">IFERROR(__xludf.DUMMYFUNCTION("""COMPUTED_VALUE"""),101.3)</f>
        <v>101.3</v>
      </c>
      <c r="Q108" s="1">
        <f ca="1">IFERROR(__xludf.DUMMYFUNCTION("""COMPUTED_VALUE"""),214)</f>
        <v>214</v>
      </c>
      <c r="R108" s="1">
        <f ca="1">IFERROR(__xludf.DUMMYFUNCTION("""COMPUTED_VALUE"""),105.6)</f>
        <v>105.6</v>
      </c>
      <c r="S108" s="1">
        <f ca="1">IFERROR(__xludf.DUMMYFUNCTION("""COMPUTED_VALUE"""),291)</f>
        <v>291</v>
      </c>
      <c r="T108" s="1" t="str">
        <f ca="1">IFERROR(__xludf.DUMMYFUNCTION("""COMPUTED_VALUE"""),"+1.84")</f>
        <v>+1.84</v>
      </c>
      <c r="U108" s="1">
        <f ca="1">IFERROR(__xludf.DUMMYFUNCTION("""COMPUTED_VALUE"""),110)</f>
        <v>110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IFERROR(__xludf.DUMMYFUNCTION("""COMPUTED_VALUE"""),"Auburn")</f>
        <v>Auburn</v>
      </c>
      <c r="C109" s="1" t="str">
        <f ca="1">IFERROR(__xludf.DUMMYFUNCTION("""COMPUTED_VALUE"""),"SEC")</f>
        <v>SEC</v>
      </c>
      <c r="D109" s="1" t="str">
        <f ca="1">IFERROR(__xludf.DUMMYFUNCTION("""COMPUTED_VALUE"""),"15-17")</f>
        <v>15-17</v>
      </c>
      <c r="E109" s="1" t="str">
        <f ca="1">IFERROR(__xludf.DUMMYFUNCTION("""COMPUTED_VALUE"""),"+6.98")</f>
        <v>+6.98</v>
      </c>
      <c r="F109" s="1">
        <f ca="1">IFERROR(__xludf.DUMMYFUNCTION("""COMPUTED_VALUE"""),109.9)</f>
        <v>109.9</v>
      </c>
      <c r="G109" s="1">
        <f ca="1">IFERROR(__xludf.DUMMYFUNCTION("""COMPUTED_VALUE"""),63)</f>
        <v>63</v>
      </c>
      <c r="H109" s="1">
        <f ca="1">IFERROR(__xludf.DUMMYFUNCTION("""COMPUTED_VALUE"""),102.9)</f>
        <v>102.9</v>
      </c>
      <c r="I109" s="1">
        <f ca="1">IFERROR(__xludf.DUMMYFUNCTION("""COMPUTED_VALUE"""),174)</f>
        <v>174</v>
      </c>
      <c r="J109" s="1">
        <f ca="1">IFERROR(__xludf.DUMMYFUNCTION("""COMPUTED_VALUE"""),69)</f>
        <v>69</v>
      </c>
      <c r="K109" s="1">
        <f ca="1">IFERROR(__xludf.DUMMYFUNCTION("""COMPUTED_VALUE"""),45)</f>
        <v>45</v>
      </c>
      <c r="L109" s="1">
        <f ca="1">IFERROR(__xludf.DUMMYFUNCTION("""COMPUTED_VALUE"""),-0.075)</f>
        <v>-7.4999999999999997E-2</v>
      </c>
      <c r="M109" s="1">
        <f ca="1">IFERROR(__xludf.DUMMYFUNCTION("""COMPUTED_VALUE"""),327)</f>
        <v>327</v>
      </c>
      <c r="N109" s="1" t="str">
        <f ca="1">IFERROR(__xludf.DUMMYFUNCTION("""COMPUTED_VALUE"""),"+5.52")</f>
        <v>+5.52</v>
      </c>
      <c r="O109" s="1">
        <f ca="1">IFERROR(__xludf.DUMMYFUNCTION("""COMPUTED_VALUE"""),73)</f>
        <v>73</v>
      </c>
      <c r="P109" s="1">
        <f ca="1">IFERROR(__xludf.DUMMYFUNCTION("""COMPUTED_VALUE"""),105.5)</f>
        <v>105.5</v>
      </c>
      <c r="Q109" s="1">
        <f ca="1">IFERROR(__xludf.DUMMYFUNCTION("""COMPUTED_VALUE"""),78)</f>
        <v>78</v>
      </c>
      <c r="R109" s="1">
        <f ca="1">IFERROR(__xludf.DUMMYFUNCTION("""COMPUTED_VALUE"""),100)</f>
        <v>100</v>
      </c>
      <c r="S109" s="1">
        <f ca="1">IFERROR(__xludf.DUMMYFUNCTION("""COMPUTED_VALUE"""),73)</f>
        <v>73</v>
      </c>
      <c r="T109" s="1">
        <f ca="1">IFERROR(__xludf.DUMMYFUNCTION("""COMPUTED_VALUE"""),-3.37)</f>
        <v>-3.37</v>
      </c>
      <c r="U109" s="1">
        <f ca="1">IFERROR(__xludf.DUMMYFUNCTION("""COMPUTED_VALUE"""),254)</f>
        <v>254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IFERROR(__xludf.DUMMYFUNCTION("""COMPUTED_VALUE"""),"Oklahoma")</f>
        <v>Oklahoma</v>
      </c>
      <c r="C110" s="1" t="str">
        <f ca="1">IFERROR(__xludf.DUMMYFUNCTION("""COMPUTED_VALUE"""),"B12")</f>
        <v>B12</v>
      </c>
      <c r="D110" s="1" t="str">
        <f ca="1">IFERROR(__xludf.DUMMYFUNCTION("""COMPUTED_VALUE"""),"13-18")</f>
        <v>13-18</v>
      </c>
      <c r="E110" s="1" t="str">
        <f ca="1">IFERROR(__xludf.DUMMYFUNCTION("""COMPUTED_VALUE"""),"+6.98")</f>
        <v>+6.98</v>
      </c>
      <c r="F110" s="1">
        <f ca="1">IFERROR(__xludf.DUMMYFUNCTION("""COMPUTED_VALUE"""),110.2)</f>
        <v>110.2</v>
      </c>
      <c r="G110" s="1">
        <f ca="1">IFERROR(__xludf.DUMMYFUNCTION("""COMPUTED_VALUE"""),56)</f>
        <v>56</v>
      </c>
      <c r="H110" s="1">
        <f ca="1">IFERROR(__xludf.DUMMYFUNCTION("""COMPUTED_VALUE"""),103.2)</f>
        <v>103.2</v>
      </c>
      <c r="I110" s="1">
        <f ca="1">IFERROR(__xludf.DUMMYFUNCTION("""COMPUTED_VALUE"""),181)</f>
        <v>181</v>
      </c>
      <c r="J110" s="1">
        <f ca="1">IFERROR(__xludf.DUMMYFUNCTION("""COMPUTED_VALUE"""),65.3)</f>
        <v>65.3</v>
      </c>
      <c r="K110" s="1">
        <f ca="1">IFERROR(__xludf.DUMMYFUNCTION("""COMPUTED_VALUE"""),205)</f>
        <v>205</v>
      </c>
      <c r="L110" s="1">
        <f ca="1">IFERROR(__xludf.DUMMYFUNCTION("""COMPUTED_VALUE"""),-0.037)</f>
        <v>-3.6999999999999998E-2</v>
      </c>
      <c r="M110" s="1">
        <f ca="1">IFERROR(__xludf.DUMMYFUNCTION("""COMPUTED_VALUE"""),269)</f>
        <v>269</v>
      </c>
      <c r="N110" s="1" t="str">
        <f ca="1">IFERROR(__xludf.DUMMYFUNCTION("""COMPUTED_VALUE"""),"+9.92")</f>
        <v>+9.92</v>
      </c>
      <c r="O110" s="1">
        <f ca="1">IFERROR(__xludf.DUMMYFUNCTION("""COMPUTED_VALUE"""),13)</f>
        <v>13</v>
      </c>
      <c r="P110" s="1">
        <f ca="1">IFERROR(__xludf.DUMMYFUNCTION("""COMPUTED_VALUE"""),108.4)</f>
        <v>108.4</v>
      </c>
      <c r="Q110" s="1">
        <f ca="1">IFERROR(__xludf.DUMMYFUNCTION("""COMPUTED_VALUE"""),12)</f>
        <v>12</v>
      </c>
      <c r="R110" s="1">
        <f ca="1">IFERROR(__xludf.DUMMYFUNCTION("""COMPUTED_VALUE"""),98.5)</f>
        <v>98.5</v>
      </c>
      <c r="S110" s="1">
        <f ca="1">IFERROR(__xludf.DUMMYFUNCTION("""COMPUTED_VALUE"""),28)</f>
        <v>28</v>
      </c>
      <c r="T110" s="1">
        <f ca="1">IFERROR(__xludf.DUMMYFUNCTION("""COMPUTED_VALUE"""),-1.19)</f>
        <v>-1.19</v>
      </c>
      <c r="U110" s="1">
        <f ca="1">IFERROR(__xludf.DUMMYFUNCTION("""COMPUTED_VALUE"""),189)</f>
        <v>189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IFERROR(__xludf.DUMMYFUNCTION("""COMPUTED_VALUE"""),"Weber St.7")</f>
        <v>Weber St.7</v>
      </c>
      <c r="C111" s="1" t="str">
        <f ca="1">IFERROR(__xludf.DUMMYFUNCTION("""COMPUTED_VALUE"""),"BSky")</f>
        <v>BSky</v>
      </c>
      <c r="D111" s="1" t="str">
        <f ca="1">IFERROR(__xludf.DUMMYFUNCTION("""COMPUTED_VALUE"""),"20-11")</f>
        <v>20-11</v>
      </c>
      <c r="E111" s="1" t="str">
        <f ca="1">IFERROR(__xludf.DUMMYFUNCTION("""COMPUTED_VALUE"""),"+6.96")</f>
        <v>+6.96</v>
      </c>
      <c r="F111" s="1">
        <f ca="1">IFERROR(__xludf.DUMMYFUNCTION("""COMPUTED_VALUE"""),109.2)</f>
        <v>109.2</v>
      </c>
      <c r="G111" s="1">
        <f ca="1">IFERROR(__xludf.DUMMYFUNCTION("""COMPUTED_VALUE"""),72)</f>
        <v>72</v>
      </c>
      <c r="H111" s="1">
        <f ca="1">IFERROR(__xludf.DUMMYFUNCTION("""COMPUTED_VALUE"""),102.2)</f>
        <v>102.2</v>
      </c>
      <c r="I111" s="1">
        <f ca="1">IFERROR(__xludf.DUMMYFUNCTION("""COMPUTED_VALUE"""),163)</f>
        <v>163</v>
      </c>
      <c r="J111" s="1">
        <f ca="1">IFERROR(__xludf.DUMMYFUNCTION("""COMPUTED_VALUE"""),67.7)</f>
        <v>67.7</v>
      </c>
      <c r="K111" s="1">
        <f ca="1">IFERROR(__xludf.DUMMYFUNCTION("""COMPUTED_VALUE"""),85)</f>
        <v>85</v>
      </c>
      <c r="L111" s="1">
        <f ca="1">IFERROR(__xludf.DUMMYFUNCTION("""COMPUTED_VALUE"""),-0.013)</f>
        <v>-1.2999999999999999E-2</v>
      </c>
      <c r="M111" s="1">
        <f ca="1">IFERROR(__xludf.DUMMYFUNCTION("""COMPUTED_VALUE"""),203)</f>
        <v>203</v>
      </c>
      <c r="N111" s="1">
        <f ca="1">IFERROR(__xludf.DUMMYFUNCTION("""COMPUTED_VALUE"""),-0.16)</f>
        <v>-0.16</v>
      </c>
      <c r="O111" s="1">
        <f ca="1">IFERROR(__xludf.DUMMYFUNCTION("""COMPUTED_VALUE"""),164)</f>
        <v>164</v>
      </c>
      <c r="P111" s="1">
        <f ca="1">IFERROR(__xludf.DUMMYFUNCTION("""COMPUTED_VALUE"""),103.9)</f>
        <v>103.9</v>
      </c>
      <c r="Q111" s="1">
        <f ca="1">IFERROR(__xludf.DUMMYFUNCTION("""COMPUTED_VALUE"""),136)</f>
        <v>136</v>
      </c>
      <c r="R111" s="1">
        <f ca="1">IFERROR(__xludf.DUMMYFUNCTION("""COMPUTED_VALUE"""),104.1)</f>
        <v>104.1</v>
      </c>
      <c r="S111" s="1">
        <f ca="1">IFERROR(__xludf.DUMMYFUNCTION("""COMPUTED_VALUE"""),219)</f>
        <v>219</v>
      </c>
      <c r="T111" s="1" t="str">
        <f ca="1">IFERROR(__xludf.DUMMYFUNCTION("""COMPUTED_VALUE"""),"+7.28")</f>
        <v>+7.28</v>
      </c>
      <c r="U111" s="1">
        <f ca="1">IFERROR(__xludf.DUMMYFUNCTION("""COMPUTED_VALUE"""),29)</f>
        <v>29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IFERROR(__xludf.DUMMYFUNCTION("""COMPUTED_VALUE"""),"Stanford")</f>
        <v>Stanford</v>
      </c>
      <c r="C112" s="1" t="str">
        <f ca="1">IFERROR(__xludf.DUMMYFUNCTION("""COMPUTED_VALUE"""),"P10")</f>
        <v>P10</v>
      </c>
      <c r="D112" s="1" t="str">
        <f ca="1">IFERROR(__xludf.DUMMYFUNCTION("""COMPUTED_VALUE"""),"14-18")</f>
        <v>14-18</v>
      </c>
      <c r="E112" s="1" t="str">
        <f ca="1">IFERROR(__xludf.DUMMYFUNCTION("""COMPUTED_VALUE"""),"+6.75")</f>
        <v>+6.75</v>
      </c>
      <c r="F112" s="1">
        <f ca="1">IFERROR(__xludf.DUMMYFUNCTION("""COMPUTED_VALUE"""),106.5)</f>
        <v>106.5</v>
      </c>
      <c r="G112" s="1">
        <f ca="1">IFERROR(__xludf.DUMMYFUNCTION("""COMPUTED_VALUE"""),117)</f>
        <v>117</v>
      </c>
      <c r="H112" s="1">
        <f ca="1">IFERROR(__xludf.DUMMYFUNCTION("""COMPUTED_VALUE"""),99.7)</f>
        <v>99.7</v>
      </c>
      <c r="I112" s="1">
        <f ca="1">IFERROR(__xludf.DUMMYFUNCTION("""COMPUTED_VALUE"""),113)</f>
        <v>113</v>
      </c>
      <c r="J112" s="1">
        <f ca="1">IFERROR(__xludf.DUMMYFUNCTION("""COMPUTED_VALUE"""),66.3)</f>
        <v>66.3</v>
      </c>
      <c r="K112" s="1">
        <f ca="1">IFERROR(__xludf.DUMMYFUNCTION("""COMPUTED_VALUE"""),152)</f>
        <v>152</v>
      </c>
      <c r="L112" s="1">
        <f ca="1">IFERROR(__xludf.DUMMYFUNCTION("""COMPUTED_VALUE"""),-0.047)</f>
        <v>-4.7E-2</v>
      </c>
      <c r="M112" s="1">
        <f ca="1">IFERROR(__xludf.DUMMYFUNCTION("""COMPUTED_VALUE"""),293)</f>
        <v>293</v>
      </c>
      <c r="N112" s="1" t="str">
        <f ca="1">IFERROR(__xludf.DUMMYFUNCTION("""COMPUTED_VALUE"""),"+6.91")</f>
        <v>+6.91</v>
      </c>
      <c r="O112" s="1">
        <f ca="1">IFERROR(__xludf.DUMMYFUNCTION("""COMPUTED_VALUE"""),58)</f>
        <v>58</v>
      </c>
      <c r="P112" s="1">
        <f ca="1">IFERROR(__xludf.DUMMYFUNCTION("""COMPUTED_VALUE"""),106.5)</f>
        <v>106.5</v>
      </c>
      <c r="Q112" s="1">
        <f ca="1">IFERROR(__xludf.DUMMYFUNCTION("""COMPUTED_VALUE"""),54)</f>
        <v>54</v>
      </c>
      <c r="R112" s="1">
        <f ca="1">IFERROR(__xludf.DUMMYFUNCTION("""COMPUTED_VALUE"""),99.6)</f>
        <v>99.6</v>
      </c>
      <c r="S112" s="1">
        <f ca="1">IFERROR(__xludf.DUMMYFUNCTION("""COMPUTED_VALUE"""),59)</f>
        <v>59</v>
      </c>
      <c r="T112" s="1" t="str">
        <f ca="1">IFERROR(__xludf.DUMMYFUNCTION("""COMPUTED_VALUE"""),"+0.15")</f>
        <v>+0.15</v>
      </c>
      <c r="U112" s="1">
        <f ca="1">IFERROR(__xludf.DUMMYFUNCTION("""COMPUTED_VALUE"""),142)</f>
        <v>142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IFERROR(__xludf.DUMMYFUNCTION("""COMPUTED_VALUE"""),"William &amp; Mary5")</f>
        <v>William &amp; Mary5</v>
      </c>
      <c r="C113" s="1" t="str">
        <f ca="1">IFERROR(__xludf.DUMMYFUNCTION("""COMPUTED_VALUE"""),"CAA")</f>
        <v>CAA</v>
      </c>
      <c r="D113" s="1" t="str">
        <f ca="1">IFERROR(__xludf.DUMMYFUNCTION("""COMPUTED_VALUE"""),"22-11")</f>
        <v>22-11</v>
      </c>
      <c r="E113" s="1" t="str">
        <f ca="1">IFERROR(__xludf.DUMMYFUNCTION("""COMPUTED_VALUE"""),"+6.58")</f>
        <v>+6.58</v>
      </c>
      <c r="F113" s="1">
        <f ca="1">IFERROR(__xludf.DUMMYFUNCTION("""COMPUTED_VALUE"""),110)</f>
        <v>110</v>
      </c>
      <c r="G113" s="1">
        <f ca="1">IFERROR(__xludf.DUMMYFUNCTION("""COMPUTED_VALUE"""),60)</f>
        <v>60</v>
      </c>
      <c r="H113" s="1">
        <f ca="1">IFERROR(__xludf.DUMMYFUNCTION("""COMPUTED_VALUE"""),103.4)</f>
        <v>103.4</v>
      </c>
      <c r="I113" s="1">
        <f ca="1">IFERROR(__xludf.DUMMYFUNCTION("""COMPUTED_VALUE"""),185)</f>
        <v>185</v>
      </c>
      <c r="J113" s="1">
        <f ca="1">IFERROR(__xludf.DUMMYFUNCTION("""COMPUTED_VALUE"""),60.2)</f>
        <v>60.2</v>
      </c>
      <c r="K113" s="1">
        <f ca="1">IFERROR(__xludf.DUMMYFUNCTION("""COMPUTED_VALUE"""),335)</f>
        <v>335</v>
      </c>
      <c r="L113" s="1" t="str">
        <f ca="1">IFERROR(__xludf.DUMMYFUNCTION("""COMPUTED_VALUE"""),"+.116")</f>
        <v>+.116</v>
      </c>
      <c r="M113" s="1">
        <f ca="1">IFERROR(__xludf.DUMMYFUNCTION("""COMPUTED_VALUE"""),7)</f>
        <v>7</v>
      </c>
      <c r="N113" s="1" t="str">
        <f ca="1">IFERROR(__xludf.DUMMYFUNCTION("""COMPUTED_VALUE"""),"+4.28")</f>
        <v>+4.28</v>
      </c>
      <c r="O113" s="1">
        <f ca="1">IFERROR(__xludf.DUMMYFUNCTION("""COMPUTED_VALUE"""),87)</f>
        <v>87</v>
      </c>
      <c r="P113" s="1">
        <f ca="1">IFERROR(__xludf.DUMMYFUNCTION("""COMPUTED_VALUE"""),103.7)</f>
        <v>103.7</v>
      </c>
      <c r="Q113" s="1">
        <f ca="1">IFERROR(__xludf.DUMMYFUNCTION("""COMPUTED_VALUE"""),140)</f>
        <v>140</v>
      </c>
      <c r="R113" s="1">
        <f ca="1">IFERROR(__xludf.DUMMYFUNCTION("""COMPUTED_VALUE"""),99.4)</f>
        <v>99.4</v>
      </c>
      <c r="S113" s="1">
        <f ca="1">IFERROR(__xludf.DUMMYFUNCTION("""COMPUTED_VALUE"""),54)</f>
        <v>54</v>
      </c>
      <c r="T113" s="1" t="str">
        <f ca="1">IFERROR(__xludf.DUMMYFUNCTION("""COMPUTED_VALUE"""),"+7.35")</f>
        <v>+7.35</v>
      </c>
      <c r="U113" s="1">
        <f ca="1">IFERROR(__xludf.DUMMYFUNCTION("""COMPUTED_VALUE"""),28)</f>
        <v>28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IFERROR(__xludf.DUMMYFUNCTION("""COMPUTED_VALUE"""),"IUPUI")</f>
        <v>IUPUI</v>
      </c>
      <c r="C114" s="1" t="str">
        <f ca="1">IFERROR(__xludf.DUMMYFUNCTION("""COMPUTED_VALUE"""),"Sum")</f>
        <v>Sum</v>
      </c>
      <c r="D114" s="1" t="str">
        <f ca="1">IFERROR(__xludf.DUMMYFUNCTION("""COMPUTED_VALUE"""),"25-11")</f>
        <v>25-11</v>
      </c>
      <c r="E114" s="1" t="str">
        <f ca="1">IFERROR(__xludf.DUMMYFUNCTION("""COMPUTED_VALUE"""),"+6.34")</f>
        <v>+6.34</v>
      </c>
      <c r="F114" s="1">
        <f ca="1">IFERROR(__xludf.DUMMYFUNCTION("""COMPUTED_VALUE"""),108.5)</f>
        <v>108.5</v>
      </c>
      <c r="G114" s="1">
        <f ca="1">IFERROR(__xludf.DUMMYFUNCTION("""COMPUTED_VALUE"""),81)</f>
        <v>81</v>
      </c>
      <c r="H114" s="1">
        <f ca="1">IFERROR(__xludf.DUMMYFUNCTION("""COMPUTED_VALUE"""),102.2)</f>
        <v>102.2</v>
      </c>
      <c r="I114" s="1">
        <f ca="1">IFERROR(__xludf.DUMMYFUNCTION("""COMPUTED_VALUE"""),161)</f>
        <v>161</v>
      </c>
      <c r="J114" s="1">
        <f ca="1">IFERROR(__xludf.DUMMYFUNCTION("""COMPUTED_VALUE"""),64.7)</f>
        <v>64.7</v>
      </c>
      <c r="K114" s="1">
        <f ca="1">IFERROR(__xludf.DUMMYFUNCTION("""COMPUTED_VALUE"""),225)</f>
        <v>225</v>
      </c>
      <c r="L114" s="1" t="str">
        <f ca="1">IFERROR(__xludf.DUMMYFUNCTION("""COMPUTED_VALUE"""),"+.014")</f>
        <v>+.014</v>
      </c>
      <c r="M114" s="1">
        <f ca="1">IFERROR(__xludf.DUMMYFUNCTION("""COMPUTED_VALUE"""),126)</f>
        <v>126</v>
      </c>
      <c r="N114" s="1">
        <f ca="1">IFERROR(__xludf.DUMMYFUNCTION("""COMPUTED_VALUE"""),-2.81)</f>
        <v>-2.81</v>
      </c>
      <c r="O114" s="1">
        <f ca="1">IFERROR(__xludf.DUMMYFUNCTION("""COMPUTED_VALUE"""),224)</f>
        <v>224</v>
      </c>
      <c r="P114" s="1">
        <f ca="1">IFERROR(__xludf.DUMMYFUNCTION("""COMPUTED_VALUE"""),101.4)</f>
        <v>101.4</v>
      </c>
      <c r="Q114" s="1">
        <f ca="1">IFERROR(__xludf.DUMMYFUNCTION("""COMPUTED_VALUE"""),212)</f>
        <v>212</v>
      </c>
      <c r="R114" s="1">
        <f ca="1">IFERROR(__xludf.DUMMYFUNCTION("""COMPUTED_VALUE"""),104.2)</f>
        <v>104.2</v>
      </c>
      <c r="S114" s="1">
        <f ca="1">IFERROR(__xludf.DUMMYFUNCTION("""COMPUTED_VALUE"""),223)</f>
        <v>223</v>
      </c>
      <c r="T114" s="1" t="str">
        <f ca="1">IFERROR(__xludf.DUMMYFUNCTION("""COMPUTED_VALUE"""),"+6.88")</f>
        <v>+6.88</v>
      </c>
      <c r="U114" s="1">
        <f ca="1">IFERROR(__xludf.DUMMYFUNCTION("""COMPUTED_VALUE"""),34)</f>
        <v>34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IFERROR(__xludf.DUMMYFUNCTION("""COMPUTED_VALUE"""),"Appalachian St.")</f>
        <v>Appalachian St.</v>
      </c>
      <c r="C115" s="1" t="str">
        <f ca="1">IFERROR(__xludf.DUMMYFUNCTION("""COMPUTED_VALUE"""),"SC")</f>
        <v>SC</v>
      </c>
      <c r="D115" s="1" t="str">
        <f ca="1">IFERROR(__xludf.DUMMYFUNCTION("""COMPUTED_VALUE"""),"24-13")</f>
        <v>24-13</v>
      </c>
      <c r="E115" s="1" t="str">
        <f ca="1">IFERROR(__xludf.DUMMYFUNCTION("""COMPUTED_VALUE"""),"+6.18")</f>
        <v>+6.18</v>
      </c>
      <c r="F115" s="1">
        <f ca="1">IFERROR(__xludf.DUMMYFUNCTION("""COMPUTED_VALUE"""),110.1)</f>
        <v>110.1</v>
      </c>
      <c r="G115" s="1">
        <f ca="1">IFERROR(__xludf.DUMMYFUNCTION("""COMPUTED_VALUE"""),58)</f>
        <v>58</v>
      </c>
      <c r="H115" s="1">
        <f ca="1">IFERROR(__xludf.DUMMYFUNCTION("""COMPUTED_VALUE"""),104)</f>
        <v>104</v>
      </c>
      <c r="I115" s="1">
        <f ca="1">IFERROR(__xludf.DUMMYFUNCTION("""COMPUTED_VALUE"""),202)</f>
        <v>202</v>
      </c>
      <c r="J115" s="1">
        <f ca="1">IFERROR(__xludf.DUMMYFUNCTION("""COMPUTED_VALUE"""),65.3)</f>
        <v>65.3</v>
      </c>
      <c r="K115" s="1">
        <f ca="1">IFERROR(__xludf.DUMMYFUNCTION("""COMPUTED_VALUE"""),207)</f>
        <v>207</v>
      </c>
      <c r="L115" s="1" t="str">
        <f ca="1">IFERROR(__xludf.DUMMYFUNCTION("""COMPUTED_VALUE"""),"+.012")</f>
        <v>+.012</v>
      </c>
      <c r="M115" s="1">
        <f ca="1">IFERROR(__xludf.DUMMYFUNCTION("""COMPUTED_VALUE"""),131)</f>
        <v>131</v>
      </c>
      <c r="N115" s="1">
        <f ca="1">IFERROR(__xludf.DUMMYFUNCTION("""COMPUTED_VALUE"""),-1.96)</f>
        <v>-1.96</v>
      </c>
      <c r="O115" s="1">
        <f ca="1">IFERROR(__xludf.DUMMYFUNCTION("""COMPUTED_VALUE"""),202)</f>
        <v>202</v>
      </c>
      <c r="P115" s="1">
        <f ca="1">IFERROR(__xludf.DUMMYFUNCTION("""COMPUTED_VALUE"""),101.7)</f>
        <v>101.7</v>
      </c>
      <c r="Q115" s="1">
        <f ca="1">IFERROR(__xludf.DUMMYFUNCTION("""COMPUTED_VALUE"""),199)</f>
        <v>199</v>
      </c>
      <c r="R115" s="1">
        <f ca="1">IFERROR(__xludf.DUMMYFUNCTION("""COMPUTED_VALUE"""),103.7)</f>
        <v>103.7</v>
      </c>
      <c r="S115" s="1">
        <f ca="1">IFERROR(__xludf.DUMMYFUNCTION("""COMPUTED_VALUE"""),196)</f>
        <v>196</v>
      </c>
      <c r="T115" s="1" t="str">
        <f ca="1">IFERROR(__xludf.DUMMYFUNCTION("""COMPUTED_VALUE"""),"+2.75")</f>
        <v>+2.75</v>
      </c>
      <c r="U115" s="1">
        <f ca="1">IFERROR(__xludf.DUMMYFUNCTION("""COMPUTED_VALUE"""),87)</f>
        <v>87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IFERROR(__xludf.DUMMYFUNCTION("""COMPUTED_VALUE"""),"Iona")</f>
        <v>Iona</v>
      </c>
      <c r="C116" s="1" t="str">
        <f ca="1">IFERROR(__xludf.DUMMYFUNCTION("""COMPUTED_VALUE"""),"MAAC")</f>
        <v>MAAC</v>
      </c>
      <c r="D116" s="1" t="str">
        <f ca="1">IFERROR(__xludf.DUMMYFUNCTION("""COMPUTED_VALUE"""),"21-10")</f>
        <v>21-10</v>
      </c>
      <c r="E116" s="1" t="str">
        <f ca="1">IFERROR(__xludf.DUMMYFUNCTION("""COMPUTED_VALUE"""),"+6.11")</f>
        <v>+6.11</v>
      </c>
      <c r="F116" s="1">
        <f ca="1">IFERROR(__xludf.DUMMYFUNCTION("""COMPUTED_VALUE"""),100.1)</f>
        <v>100.1</v>
      </c>
      <c r="G116" s="1">
        <f ca="1">IFERROR(__xludf.DUMMYFUNCTION("""COMPUTED_VALUE"""),209)</f>
        <v>209</v>
      </c>
      <c r="H116" s="1">
        <f ca="1">IFERROR(__xludf.DUMMYFUNCTION("""COMPUTED_VALUE"""),94)</f>
        <v>94</v>
      </c>
      <c r="I116" s="1">
        <f ca="1">IFERROR(__xludf.DUMMYFUNCTION("""COMPUTED_VALUE"""),39)</f>
        <v>39</v>
      </c>
      <c r="J116" s="1">
        <f ca="1">IFERROR(__xludf.DUMMYFUNCTION("""COMPUTED_VALUE"""),64.7)</f>
        <v>64.7</v>
      </c>
      <c r="K116" s="1">
        <f ca="1">IFERROR(__xludf.DUMMYFUNCTION("""COMPUTED_VALUE"""),230)</f>
        <v>230</v>
      </c>
      <c r="L116" s="1" t="str">
        <f ca="1">IFERROR(__xludf.DUMMYFUNCTION("""COMPUTED_VALUE"""),"+.040")</f>
        <v>+.040</v>
      </c>
      <c r="M116" s="1">
        <f ca="1">IFERROR(__xludf.DUMMYFUNCTION("""COMPUTED_VALUE"""),77)</f>
        <v>77</v>
      </c>
      <c r="N116" s="1">
        <f ca="1">IFERROR(__xludf.DUMMYFUNCTION("""COMPUTED_VALUE"""),-0.81)</f>
        <v>-0.81</v>
      </c>
      <c r="O116" s="1">
        <f ca="1">IFERROR(__xludf.DUMMYFUNCTION("""COMPUTED_VALUE"""),178)</f>
        <v>178</v>
      </c>
      <c r="P116" s="1">
        <f ca="1">IFERROR(__xludf.DUMMYFUNCTION("""COMPUTED_VALUE"""),101.8)</f>
        <v>101.8</v>
      </c>
      <c r="Q116" s="1">
        <f ca="1">IFERROR(__xludf.DUMMYFUNCTION("""COMPUTED_VALUE"""),195)</f>
        <v>195</v>
      </c>
      <c r="R116" s="1">
        <f ca="1">IFERROR(__xludf.DUMMYFUNCTION("""COMPUTED_VALUE"""),102.6)</f>
        <v>102.6</v>
      </c>
      <c r="S116" s="1">
        <f ca="1">IFERROR(__xludf.DUMMYFUNCTION("""COMPUTED_VALUE"""),158)</f>
        <v>158</v>
      </c>
      <c r="T116" s="1" t="str">
        <f ca="1">IFERROR(__xludf.DUMMYFUNCTION("""COMPUTED_VALUE"""),"+0.37")</f>
        <v>+0.37</v>
      </c>
      <c r="U116" s="1">
        <f ca="1">IFERROR(__xludf.DUMMYFUNCTION("""COMPUTED_VALUE"""),137)</f>
        <v>137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IFERROR(__xludf.DUMMYFUNCTION("""COMPUTED_VALUE"""),"Harvard")</f>
        <v>Harvard</v>
      </c>
      <c r="C117" s="1" t="str">
        <f ca="1">IFERROR(__xludf.DUMMYFUNCTION("""COMPUTED_VALUE"""),"Ivy")</f>
        <v>Ivy</v>
      </c>
      <c r="D117" s="1" t="str">
        <f ca="1">IFERROR(__xludf.DUMMYFUNCTION("""COMPUTED_VALUE"""),"21-8")</f>
        <v>21-8</v>
      </c>
      <c r="E117" s="1" t="str">
        <f ca="1">IFERROR(__xludf.DUMMYFUNCTION("""COMPUTED_VALUE"""),"+6.06")</f>
        <v>+6.06</v>
      </c>
      <c r="F117" s="1">
        <f ca="1">IFERROR(__xludf.DUMMYFUNCTION("""COMPUTED_VALUE"""),107.5)</f>
        <v>107.5</v>
      </c>
      <c r="G117" s="1">
        <f ca="1">IFERROR(__xludf.DUMMYFUNCTION("""COMPUTED_VALUE"""),99)</f>
        <v>99</v>
      </c>
      <c r="H117" s="1">
        <f ca="1">IFERROR(__xludf.DUMMYFUNCTION("""COMPUTED_VALUE"""),101.4)</f>
        <v>101.4</v>
      </c>
      <c r="I117" s="1">
        <f ca="1">IFERROR(__xludf.DUMMYFUNCTION("""COMPUTED_VALUE"""),145)</f>
        <v>145</v>
      </c>
      <c r="J117" s="1">
        <f ca="1">IFERROR(__xludf.DUMMYFUNCTION("""COMPUTED_VALUE"""),67)</f>
        <v>67</v>
      </c>
      <c r="K117" s="1">
        <f ca="1">IFERROR(__xludf.DUMMYFUNCTION("""COMPUTED_VALUE"""),119)</f>
        <v>119</v>
      </c>
      <c r="L117" s="1" t="str">
        <f ca="1">IFERROR(__xludf.DUMMYFUNCTION("""COMPUTED_VALUE"""),"+.051")</f>
        <v>+.051</v>
      </c>
      <c r="M117" s="1">
        <f ca="1">IFERROR(__xludf.DUMMYFUNCTION("""COMPUTED_VALUE"""),56)</f>
        <v>56</v>
      </c>
      <c r="N117" s="1">
        <f ca="1">IFERROR(__xludf.DUMMYFUNCTION("""COMPUTED_VALUE"""),-4.12)</f>
        <v>-4.12</v>
      </c>
      <c r="O117" s="1">
        <f ca="1">IFERROR(__xludf.DUMMYFUNCTION("""COMPUTED_VALUE"""),243)</f>
        <v>243</v>
      </c>
      <c r="P117" s="1">
        <f ca="1">IFERROR(__xludf.DUMMYFUNCTION("""COMPUTED_VALUE"""),99.5)</f>
        <v>99.5</v>
      </c>
      <c r="Q117" s="1">
        <f ca="1">IFERROR(__xludf.DUMMYFUNCTION("""COMPUTED_VALUE"""),272)</f>
        <v>272</v>
      </c>
      <c r="R117" s="1">
        <f ca="1">IFERROR(__xludf.DUMMYFUNCTION("""COMPUTED_VALUE"""),103.6)</f>
        <v>103.6</v>
      </c>
      <c r="S117" s="1">
        <f ca="1">IFERROR(__xludf.DUMMYFUNCTION("""COMPUTED_VALUE"""),193)</f>
        <v>193</v>
      </c>
      <c r="T117" s="1" t="str">
        <f ca="1">IFERROR(__xludf.DUMMYFUNCTION("""COMPUTED_VALUE"""),"+0.21")</f>
        <v>+0.21</v>
      </c>
      <c r="U117" s="1">
        <f ca="1">IFERROR(__xludf.DUMMYFUNCTION("""COMPUTED_VALUE"""),138)</f>
        <v>138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IFERROR(__xludf.DUMMYFUNCTION("""COMPUTED_VALUE"""),"New Mexico St.12")</f>
        <v>New Mexico St.12</v>
      </c>
      <c r="C118" s="1" t="str">
        <f ca="1">IFERROR(__xludf.DUMMYFUNCTION("""COMPUTED_VALUE"""),"WAC")</f>
        <v>WAC</v>
      </c>
      <c r="D118" s="1" t="str">
        <f ca="1">IFERROR(__xludf.DUMMYFUNCTION("""COMPUTED_VALUE"""),"22-12")</f>
        <v>22-12</v>
      </c>
      <c r="E118" s="1" t="str">
        <f ca="1">IFERROR(__xludf.DUMMYFUNCTION("""COMPUTED_VALUE"""),"+6.03")</f>
        <v>+6.03</v>
      </c>
      <c r="F118" s="1">
        <f ca="1">IFERROR(__xludf.DUMMYFUNCTION("""COMPUTED_VALUE"""),111.6)</f>
        <v>111.6</v>
      </c>
      <c r="G118" s="1">
        <f ca="1">IFERROR(__xludf.DUMMYFUNCTION("""COMPUTED_VALUE"""),45)</f>
        <v>45</v>
      </c>
      <c r="H118" s="1">
        <f ca="1">IFERROR(__xludf.DUMMYFUNCTION("""COMPUTED_VALUE"""),105.5)</f>
        <v>105.5</v>
      </c>
      <c r="I118" s="1">
        <f ca="1">IFERROR(__xludf.DUMMYFUNCTION("""COMPUTED_VALUE"""),231)</f>
        <v>231</v>
      </c>
      <c r="J118" s="1">
        <f ca="1">IFERROR(__xludf.DUMMYFUNCTION("""COMPUTED_VALUE"""),70.3)</f>
        <v>70.3</v>
      </c>
      <c r="K118" s="1">
        <f ca="1">IFERROR(__xludf.DUMMYFUNCTION("""COMPUTED_VALUE"""),24)</f>
        <v>24</v>
      </c>
      <c r="L118" s="1" t="str">
        <f ca="1">IFERROR(__xludf.DUMMYFUNCTION("""COMPUTED_VALUE"""),"+.122")</f>
        <v>+.122</v>
      </c>
      <c r="M118" s="1">
        <f ca="1">IFERROR(__xludf.DUMMYFUNCTION("""COMPUTED_VALUE"""),5)</f>
        <v>5</v>
      </c>
      <c r="N118" s="1" t="str">
        <f ca="1">IFERROR(__xludf.DUMMYFUNCTION("""COMPUTED_VALUE"""),"+4.03")</f>
        <v>+4.03</v>
      </c>
      <c r="O118" s="1">
        <f ca="1">IFERROR(__xludf.DUMMYFUNCTION("""COMPUTED_VALUE"""),94)</f>
        <v>94</v>
      </c>
      <c r="P118" s="1">
        <f ca="1">IFERROR(__xludf.DUMMYFUNCTION("""COMPUTED_VALUE"""),105.8)</f>
        <v>105.8</v>
      </c>
      <c r="Q118" s="1">
        <f ca="1">IFERROR(__xludf.DUMMYFUNCTION("""COMPUTED_VALUE"""),72)</f>
        <v>72</v>
      </c>
      <c r="R118" s="1">
        <f ca="1">IFERROR(__xludf.DUMMYFUNCTION("""COMPUTED_VALUE"""),101.7)</f>
        <v>101.7</v>
      </c>
      <c r="S118" s="1">
        <f ca="1">IFERROR(__xludf.DUMMYFUNCTION("""COMPUTED_VALUE"""),120)</f>
        <v>120</v>
      </c>
      <c r="T118" s="1" t="str">
        <f ca="1">IFERROR(__xludf.DUMMYFUNCTION("""COMPUTED_VALUE"""),"+2.09")</f>
        <v>+2.09</v>
      </c>
      <c r="U118" s="1">
        <f ca="1">IFERROR(__xludf.DUMMYFUNCTION("""COMPUTED_VALUE"""),102)</f>
        <v>102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IFERROR(__xludf.DUMMYFUNCTION("""COMPUTED_VALUE"""),"Louisiana Tech")</f>
        <v>Louisiana Tech</v>
      </c>
      <c r="C119" s="1" t="str">
        <f ca="1">IFERROR(__xludf.DUMMYFUNCTION("""COMPUTED_VALUE"""),"WAC")</f>
        <v>WAC</v>
      </c>
      <c r="D119" s="1" t="str">
        <f ca="1">IFERROR(__xludf.DUMMYFUNCTION("""COMPUTED_VALUE"""),"24-11")</f>
        <v>24-11</v>
      </c>
      <c r="E119" s="1" t="str">
        <f ca="1">IFERROR(__xludf.DUMMYFUNCTION("""COMPUTED_VALUE"""),"+5.99")</f>
        <v>+5.99</v>
      </c>
      <c r="F119" s="1">
        <f ca="1">IFERROR(__xludf.DUMMYFUNCTION("""COMPUTED_VALUE"""),105.4)</f>
        <v>105.4</v>
      </c>
      <c r="G119" s="1">
        <f ca="1">IFERROR(__xludf.DUMMYFUNCTION("""COMPUTED_VALUE"""),139)</f>
        <v>139</v>
      </c>
      <c r="H119" s="1">
        <f ca="1">IFERROR(__xludf.DUMMYFUNCTION("""COMPUTED_VALUE"""),99.4)</f>
        <v>99.4</v>
      </c>
      <c r="I119" s="1">
        <f ca="1">IFERROR(__xludf.DUMMYFUNCTION("""COMPUTED_VALUE"""),103)</f>
        <v>103</v>
      </c>
      <c r="J119" s="1">
        <f ca="1">IFERROR(__xludf.DUMMYFUNCTION("""COMPUTED_VALUE"""),67.6)</f>
        <v>67.599999999999994</v>
      </c>
      <c r="K119" s="1">
        <f ca="1">IFERROR(__xludf.DUMMYFUNCTION("""COMPUTED_VALUE"""),89)</f>
        <v>89</v>
      </c>
      <c r="L119" s="1" t="str">
        <f ca="1">IFERROR(__xludf.DUMMYFUNCTION("""COMPUTED_VALUE"""),"+.109")</f>
        <v>+.109</v>
      </c>
      <c r="M119" s="1">
        <f ca="1">IFERROR(__xludf.DUMMYFUNCTION("""COMPUTED_VALUE"""),9)</f>
        <v>9</v>
      </c>
      <c r="N119" s="1" t="str">
        <f ca="1">IFERROR(__xludf.DUMMYFUNCTION("""COMPUTED_VALUE"""),"+1.15")</f>
        <v>+1.15</v>
      </c>
      <c r="O119" s="1">
        <f ca="1">IFERROR(__xludf.DUMMYFUNCTION("""COMPUTED_VALUE"""),145)</f>
        <v>145</v>
      </c>
      <c r="P119" s="1">
        <f ca="1">IFERROR(__xludf.DUMMYFUNCTION("""COMPUTED_VALUE"""),104.9)</f>
        <v>104.9</v>
      </c>
      <c r="Q119" s="1">
        <f ca="1">IFERROR(__xludf.DUMMYFUNCTION("""COMPUTED_VALUE"""),94)</f>
        <v>94</v>
      </c>
      <c r="R119" s="1">
        <f ca="1">IFERROR(__xludf.DUMMYFUNCTION("""COMPUTED_VALUE"""),103.8)</f>
        <v>103.8</v>
      </c>
      <c r="S119" s="1">
        <f ca="1">IFERROR(__xludf.DUMMYFUNCTION("""COMPUTED_VALUE"""),206)</f>
        <v>206</v>
      </c>
      <c r="T119" s="1">
        <f ca="1">IFERROR(__xludf.DUMMYFUNCTION("""COMPUTED_VALUE"""),-3.87)</f>
        <v>-3.87</v>
      </c>
      <c r="U119" s="1">
        <f ca="1">IFERROR(__xludf.DUMMYFUNCTION("""COMPUTED_VALUE"""),262)</f>
        <v>262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IFERROR(__xludf.DUMMYFUNCTION("""COMPUTED_VALUE"""),"Bradley")</f>
        <v>Bradley</v>
      </c>
      <c r="C120" s="1" t="str">
        <f ca="1">IFERROR(__xludf.DUMMYFUNCTION("""COMPUTED_VALUE"""),"MVC")</f>
        <v>MVC</v>
      </c>
      <c r="D120" s="1" t="str">
        <f ca="1">IFERROR(__xludf.DUMMYFUNCTION("""COMPUTED_VALUE"""),"16-15")</f>
        <v>16-15</v>
      </c>
      <c r="E120" s="1" t="str">
        <f ca="1">IFERROR(__xludf.DUMMYFUNCTION("""COMPUTED_VALUE"""),"+5.69")</f>
        <v>+5.69</v>
      </c>
      <c r="F120" s="1">
        <f ca="1">IFERROR(__xludf.DUMMYFUNCTION("""COMPUTED_VALUE"""),106.3)</f>
        <v>106.3</v>
      </c>
      <c r="G120" s="1">
        <f ca="1">IFERROR(__xludf.DUMMYFUNCTION("""COMPUTED_VALUE"""),119)</f>
        <v>119</v>
      </c>
      <c r="H120" s="1">
        <f ca="1">IFERROR(__xludf.DUMMYFUNCTION("""COMPUTED_VALUE"""),100.6)</f>
        <v>100.6</v>
      </c>
      <c r="I120" s="1">
        <f ca="1">IFERROR(__xludf.DUMMYFUNCTION("""COMPUTED_VALUE"""),125)</f>
        <v>125</v>
      </c>
      <c r="J120" s="1">
        <f ca="1">IFERROR(__xludf.DUMMYFUNCTION("""COMPUTED_VALUE"""),64.9)</f>
        <v>64.900000000000006</v>
      </c>
      <c r="K120" s="1">
        <f ca="1">IFERROR(__xludf.DUMMYFUNCTION("""COMPUTED_VALUE"""),222)</f>
        <v>222</v>
      </c>
      <c r="L120" s="1" t="str">
        <f ca="1">IFERROR(__xludf.DUMMYFUNCTION("""COMPUTED_VALUE"""),"+.016")</f>
        <v>+.016</v>
      </c>
      <c r="M120" s="1">
        <f ca="1">IFERROR(__xludf.DUMMYFUNCTION("""COMPUTED_VALUE"""),121)</f>
        <v>121</v>
      </c>
      <c r="N120" s="1" t="str">
        <f ca="1">IFERROR(__xludf.DUMMYFUNCTION("""COMPUTED_VALUE"""),"+4.53")</f>
        <v>+4.53</v>
      </c>
      <c r="O120" s="1">
        <f ca="1">IFERROR(__xludf.DUMMYFUNCTION("""COMPUTED_VALUE"""),84)</f>
        <v>84</v>
      </c>
      <c r="P120" s="1">
        <f ca="1">IFERROR(__xludf.DUMMYFUNCTION("""COMPUTED_VALUE"""),105.6)</f>
        <v>105.6</v>
      </c>
      <c r="Q120" s="1">
        <f ca="1">IFERROR(__xludf.DUMMYFUNCTION("""COMPUTED_VALUE"""),76)</f>
        <v>76</v>
      </c>
      <c r="R120" s="1">
        <f ca="1">IFERROR(__xludf.DUMMYFUNCTION("""COMPUTED_VALUE"""),101.1)</f>
        <v>101.1</v>
      </c>
      <c r="S120" s="1">
        <f ca="1">IFERROR(__xludf.DUMMYFUNCTION("""COMPUTED_VALUE"""),100)</f>
        <v>100</v>
      </c>
      <c r="T120" s="1" t="str">
        <f ca="1">IFERROR(__xludf.DUMMYFUNCTION("""COMPUTED_VALUE"""),"+0.99")</f>
        <v>+0.99</v>
      </c>
      <c r="U120" s="1">
        <f ca="1">IFERROR(__xludf.DUMMYFUNCTION("""COMPUTED_VALUE"""),129)</f>
        <v>129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IFERROR(__xludf.DUMMYFUNCTION("""COMPUTED_VALUE"""),"Washington St.")</f>
        <v>Washington St.</v>
      </c>
      <c r="C121" s="1" t="str">
        <f ca="1">IFERROR(__xludf.DUMMYFUNCTION("""COMPUTED_VALUE"""),"P10")</f>
        <v>P10</v>
      </c>
      <c r="D121" s="1" t="str">
        <f ca="1">IFERROR(__xludf.DUMMYFUNCTION("""COMPUTED_VALUE"""),"16-15")</f>
        <v>16-15</v>
      </c>
      <c r="E121" s="1" t="str">
        <f ca="1">IFERROR(__xludf.DUMMYFUNCTION("""COMPUTED_VALUE"""),"+5.67")</f>
        <v>+5.67</v>
      </c>
      <c r="F121" s="1">
        <f ca="1">IFERROR(__xludf.DUMMYFUNCTION("""COMPUTED_VALUE"""),108.2)</f>
        <v>108.2</v>
      </c>
      <c r="G121" s="1">
        <f ca="1">IFERROR(__xludf.DUMMYFUNCTION("""COMPUTED_VALUE"""),85)</f>
        <v>85</v>
      </c>
      <c r="H121" s="1">
        <f ca="1">IFERROR(__xludf.DUMMYFUNCTION("""COMPUTED_VALUE"""),102.5)</f>
        <v>102.5</v>
      </c>
      <c r="I121" s="1">
        <f ca="1">IFERROR(__xludf.DUMMYFUNCTION("""COMPUTED_VALUE"""),167)</f>
        <v>167</v>
      </c>
      <c r="J121" s="1">
        <f ca="1">IFERROR(__xludf.DUMMYFUNCTION("""COMPUTED_VALUE"""),66.1)</f>
        <v>66.099999999999994</v>
      </c>
      <c r="K121" s="1">
        <f ca="1">IFERROR(__xludf.DUMMYFUNCTION("""COMPUTED_VALUE"""),165)</f>
        <v>165</v>
      </c>
      <c r="L121" s="1">
        <f ca="1">IFERROR(__xludf.DUMMYFUNCTION("""COMPUTED_VALUE"""),-0.021)</f>
        <v>-2.1000000000000001E-2</v>
      </c>
      <c r="M121" s="1">
        <f ca="1">IFERROR(__xludf.DUMMYFUNCTION("""COMPUTED_VALUE"""),235)</f>
        <v>235</v>
      </c>
      <c r="N121" s="1" t="str">
        <f ca="1">IFERROR(__xludf.DUMMYFUNCTION("""COMPUTED_VALUE"""),"+4.44")</f>
        <v>+4.44</v>
      </c>
      <c r="O121" s="1">
        <f ca="1">IFERROR(__xludf.DUMMYFUNCTION("""COMPUTED_VALUE"""),85)</f>
        <v>85</v>
      </c>
      <c r="P121" s="1">
        <f ca="1">IFERROR(__xludf.DUMMYFUNCTION("""COMPUTED_VALUE"""),104.8)</f>
        <v>104.8</v>
      </c>
      <c r="Q121" s="1">
        <f ca="1">IFERROR(__xludf.DUMMYFUNCTION("""COMPUTED_VALUE"""),106)</f>
        <v>106</v>
      </c>
      <c r="R121" s="1">
        <f ca="1">IFERROR(__xludf.DUMMYFUNCTION("""COMPUTED_VALUE"""),100.3)</f>
        <v>100.3</v>
      </c>
      <c r="S121" s="1">
        <f ca="1">IFERROR(__xludf.DUMMYFUNCTION("""COMPUTED_VALUE"""),87)</f>
        <v>87</v>
      </c>
      <c r="T121" s="1">
        <f ca="1">IFERROR(__xludf.DUMMYFUNCTION("""COMPUTED_VALUE"""),-6.16)</f>
        <v>-6.16</v>
      </c>
      <c r="U121" s="1">
        <f ca="1">IFERROR(__xludf.DUMMYFUNCTION("""COMPUTED_VALUE"""),308)</f>
        <v>308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IFERROR(__xludf.DUMMYFUNCTION("""COMPUTED_VALUE"""),"Creighton")</f>
        <v>Creighton</v>
      </c>
      <c r="C122" s="1" t="str">
        <f ca="1">IFERROR(__xludf.DUMMYFUNCTION("""COMPUTED_VALUE"""),"MVC")</f>
        <v>MVC</v>
      </c>
      <c r="D122" s="1" t="str">
        <f ca="1">IFERROR(__xludf.DUMMYFUNCTION("""COMPUTED_VALUE"""),"18-16")</f>
        <v>18-16</v>
      </c>
      <c r="E122" s="1" t="str">
        <f ca="1">IFERROR(__xludf.DUMMYFUNCTION("""COMPUTED_VALUE"""),"+5.56")</f>
        <v>+5.56</v>
      </c>
      <c r="F122" s="1">
        <f ca="1">IFERROR(__xludf.DUMMYFUNCTION("""COMPUTED_VALUE"""),107.8)</f>
        <v>107.8</v>
      </c>
      <c r="G122" s="1">
        <f ca="1">IFERROR(__xludf.DUMMYFUNCTION("""COMPUTED_VALUE"""),94)</f>
        <v>94</v>
      </c>
      <c r="H122" s="1">
        <f ca="1">IFERROR(__xludf.DUMMYFUNCTION("""COMPUTED_VALUE"""),102.2)</f>
        <v>102.2</v>
      </c>
      <c r="I122" s="1">
        <f ca="1">IFERROR(__xludf.DUMMYFUNCTION("""COMPUTED_VALUE"""),162)</f>
        <v>162</v>
      </c>
      <c r="J122" s="1">
        <f ca="1">IFERROR(__xludf.DUMMYFUNCTION("""COMPUTED_VALUE"""),65.5)</f>
        <v>65.5</v>
      </c>
      <c r="K122" s="1">
        <f ca="1">IFERROR(__xludf.DUMMYFUNCTION("""COMPUTED_VALUE"""),198)</f>
        <v>198</v>
      </c>
      <c r="L122" s="1">
        <f ca="1">IFERROR(__xludf.DUMMYFUNCTION("""COMPUTED_VALUE"""),-0.014)</f>
        <v>-1.4E-2</v>
      </c>
      <c r="M122" s="1">
        <f ca="1">IFERROR(__xludf.DUMMYFUNCTION("""COMPUTED_VALUE"""),213)</f>
        <v>213</v>
      </c>
      <c r="N122" s="1" t="str">
        <f ca="1">IFERROR(__xludf.DUMMYFUNCTION("""COMPUTED_VALUE"""),"+3.19")</f>
        <v>+3.19</v>
      </c>
      <c r="O122" s="1">
        <f ca="1">IFERROR(__xludf.DUMMYFUNCTION("""COMPUTED_VALUE"""),107)</f>
        <v>107</v>
      </c>
      <c r="P122" s="1">
        <f ca="1">IFERROR(__xludf.DUMMYFUNCTION("""COMPUTED_VALUE"""),104.7)</f>
        <v>104.7</v>
      </c>
      <c r="Q122" s="1">
        <f ca="1">IFERROR(__xludf.DUMMYFUNCTION("""COMPUTED_VALUE"""),110)</f>
        <v>110</v>
      </c>
      <c r="R122" s="1">
        <f ca="1">IFERROR(__xludf.DUMMYFUNCTION("""COMPUTED_VALUE"""),101.5)</f>
        <v>101.5</v>
      </c>
      <c r="S122" s="1">
        <f ca="1">IFERROR(__xludf.DUMMYFUNCTION("""COMPUTED_VALUE"""),111)</f>
        <v>111</v>
      </c>
      <c r="T122" s="1">
        <f ca="1">IFERROR(__xludf.DUMMYFUNCTION("""COMPUTED_VALUE"""),-0.98)</f>
        <v>-0.98</v>
      </c>
      <c r="U122" s="1">
        <f ca="1">IFERROR(__xludf.DUMMYFUNCTION("""COMPUTED_VALUE"""),177)</f>
        <v>177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IFERROR(__xludf.DUMMYFUNCTION("""COMPUTED_VALUE"""),"UCLA")</f>
        <v>UCLA</v>
      </c>
      <c r="C123" s="1" t="str">
        <f ca="1">IFERROR(__xludf.DUMMYFUNCTION("""COMPUTED_VALUE"""),"P10")</f>
        <v>P10</v>
      </c>
      <c r="D123" s="1" t="str">
        <f ca="1">IFERROR(__xludf.DUMMYFUNCTION("""COMPUTED_VALUE"""),"14-18")</f>
        <v>14-18</v>
      </c>
      <c r="E123" s="1" t="str">
        <f ca="1">IFERROR(__xludf.DUMMYFUNCTION("""COMPUTED_VALUE"""),"+5.48")</f>
        <v>+5.48</v>
      </c>
      <c r="F123" s="1">
        <f ca="1">IFERROR(__xludf.DUMMYFUNCTION("""COMPUTED_VALUE"""),106.4)</f>
        <v>106.4</v>
      </c>
      <c r="G123" s="1">
        <f ca="1">IFERROR(__xludf.DUMMYFUNCTION("""COMPUTED_VALUE"""),118)</f>
        <v>118</v>
      </c>
      <c r="H123" s="1">
        <f ca="1">IFERROR(__xludf.DUMMYFUNCTION("""COMPUTED_VALUE"""),100.9)</f>
        <v>100.9</v>
      </c>
      <c r="I123" s="1">
        <f ca="1">IFERROR(__xludf.DUMMYFUNCTION("""COMPUTED_VALUE"""),133)</f>
        <v>133</v>
      </c>
      <c r="J123" s="1">
        <f ca="1">IFERROR(__xludf.DUMMYFUNCTION("""COMPUTED_VALUE"""),64.3)</f>
        <v>64.3</v>
      </c>
      <c r="K123" s="1">
        <f ca="1">IFERROR(__xludf.DUMMYFUNCTION("""COMPUTED_VALUE"""),246)</f>
        <v>246</v>
      </c>
      <c r="L123" s="1">
        <f ca="1">IFERROR(__xludf.DUMMYFUNCTION("""COMPUTED_VALUE"""),-0.016)</f>
        <v>-1.6E-2</v>
      </c>
      <c r="M123" s="1">
        <f ca="1">IFERROR(__xludf.DUMMYFUNCTION("""COMPUTED_VALUE"""),220)</f>
        <v>220</v>
      </c>
      <c r="N123" s="1" t="str">
        <f ca="1">IFERROR(__xludf.DUMMYFUNCTION("""COMPUTED_VALUE"""),"+7.01")</f>
        <v>+7.01</v>
      </c>
      <c r="O123" s="1">
        <f ca="1">IFERROR(__xludf.DUMMYFUNCTION("""COMPUTED_VALUE"""),56)</f>
        <v>56</v>
      </c>
      <c r="P123" s="1">
        <f ca="1">IFERROR(__xludf.DUMMYFUNCTION("""COMPUTED_VALUE"""),106.5)</f>
        <v>106.5</v>
      </c>
      <c r="Q123" s="1">
        <f ca="1">IFERROR(__xludf.DUMMYFUNCTION("""COMPUTED_VALUE"""),55)</f>
        <v>55</v>
      </c>
      <c r="R123" s="1">
        <f ca="1">IFERROR(__xludf.DUMMYFUNCTION("""COMPUTED_VALUE"""),99.4)</f>
        <v>99.4</v>
      </c>
      <c r="S123" s="1">
        <f ca="1">IFERROR(__xludf.DUMMYFUNCTION("""COMPUTED_VALUE"""),55)</f>
        <v>55</v>
      </c>
      <c r="T123" s="1" t="str">
        <f ca="1">IFERROR(__xludf.DUMMYFUNCTION("""COMPUTED_VALUE"""),"+1.15")</f>
        <v>+1.15</v>
      </c>
      <c r="U123" s="1">
        <f ca="1">IFERROR(__xludf.DUMMYFUNCTION("""COMPUTED_VALUE"""),124)</f>
        <v>124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IFERROR(__xludf.DUMMYFUNCTION("""COMPUTED_VALUE"""),"Fairfield")</f>
        <v>Fairfield</v>
      </c>
      <c r="C124" s="1" t="str">
        <f ca="1">IFERROR(__xludf.DUMMYFUNCTION("""COMPUTED_VALUE"""),"MAAC")</f>
        <v>MAAC</v>
      </c>
      <c r="D124" s="1" t="str">
        <f ca="1">IFERROR(__xludf.DUMMYFUNCTION("""COMPUTED_VALUE"""),"23-11")</f>
        <v>23-11</v>
      </c>
      <c r="E124" s="1" t="str">
        <f ca="1">IFERROR(__xludf.DUMMYFUNCTION("""COMPUTED_VALUE"""),"+5.36")</f>
        <v>+5.36</v>
      </c>
      <c r="F124" s="1">
        <f ca="1">IFERROR(__xludf.DUMMYFUNCTION("""COMPUTED_VALUE"""),106.7)</f>
        <v>106.7</v>
      </c>
      <c r="G124" s="1">
        <f ca="1">IFERROR(__xludf.DUMMYFUNCTION("""COMPUTED_VALUE"""),110)</f>
        <v>110</v>
      </c>
      <c r="H124" s="1">
        <f ca="1">IFERROR(__xludf.DUMMYFUNCTION("""COMPUTED_VALUE"""),101.3)</f>
        <v>101.3</v>
      </c>
      <c r="I124" s="1">
        <f ca="1">IFERROR(__xludf.DUMMYFUNCTION("""COMPUTED_VALUE"""),144)</f>
        <v>144</v>
      </c>
      <c r="J124" s="1">
        <f ca="1">IFERROR(__xludf.DUMMYFUNCTION("""COMPUTED_VALUE"""),65.7)</f>
        <v>65.7</v>
      </c>
      <c r="K124" s="1">
        <f ca="1">IFERROR(__xludf.DUMMYFUNCTION("""COMPUTED_VALUE"""),187)</f>
        <v>187</v>
      </c>
      <c r="L124" s="1" t="str">
        <f ca="1">IFERROR(__xludf.DUMMYFUNCTION("""COMPUTED_VALUE"""),"+.045")</f>
        <v>+.045</v>
      </c>
      <c r="M124" s="1">
        <f ca="1">IFERROR(__xludf.DUMMYFUNCTION("""COMPUTED_VALUE"""),68)</f>
        <v>68</v>
      </c>
      <c r="N124" s="1">
        <f ca="1">IFERROR(__xludf.DUMMYFUNCTION("""COMPUTED_VALUE"""),-1.59)</f>
        <v>-1.59</v>
      </c>
      <c r="O124" s="1">
        <f ca="1">IFERROR(__xludf.DUMMYFUNCTION("""COMPUTED_VALUE"""),194)</f>
        <v>194</v>
      </c>
      <c r="P124" s="1">
        <f ca="1">IFERROR(__xludf.DUMMYFUNCTION("""COMPUTED_VALUE"""),100.7)</f>
        <v>100.7</v>
      </c>
      <c r="Q124" s="1">
        <f ca="1">IFERROR(__xludf.DUMMYFUNCTION("""COMPUTED_VALUE"""),235)</f>
        <v>235</v>
      </c>
      <c r="R124" s="1">
        <f ca="1">IFERROR(__xludf.DUMMYFUNCTION("""COMPUTED_VALUE"""),102.3)</f>
        <v>102.3</v>
      </c>
      <c r="S124" s="1">
        <f ca="1">IFERROR(__xludf.DUMMYFUNCTION("""COMPUTED_VALUE"""),149)</f>
        <v>149</v>
      </c>
      <c r="T124" s="1">
        <f ca="1">IFERROR(__xludf.DUMMYFUNCTION("""COMPUTED_VALUE"""),-7.06)</f>
        <v>-7.06</v>
      </c>
      <c r="U124" s="1">
        <f ca="1">IFERROR(__xludf.DUMMYFUNCTION("""COMPUTED_VALUE"""),315)</f>
        <v>315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IFERROR(__xludf.DUMMYFUNCTION("""COMPUTED_VALUE"""),"Arkansas")</f>
        <v>Arkansas</v>
      </c>
      <c r="C125" s="1" t="str">
        <f ca="1">IFERROR(__xludf.DUMMYFUNCTION("""COMPUTED_VALUE"""),"SEC")</f>
        <v>SEC</v>
      </c>
      <c r="D125" s="1" t="str">
        <f ca="1">IFERROR(__xludf.DUMMYFUNCTION("""COMPUTED_VALUE"""),"14-18")</f>
        <v>14-18</v>
      </c>
      <c r="E125" s="1" t="str">
        <f ca="1">IFERROR(__xludf.DUMMYFUNCTION("""COMPUTED_VALUE"""),"+5.30")</f>
        <v>+5.30</v>
      </c>
      <c r="F125" s="1">
        <f ca="1">IFERROR(__xludf.DUMMYFUNCTION("""COMPUTED_VALUE"""),105.9)</f>
        <v>105.9</v>
      </c>
      <c r="G125" s="1">
        <f ca="1">IFERROR(__xludf.DUMMYFUNCTION("""COMPUTED_VALUE"""),129)</f>
        <v>129</v>
      </c>
      <c r="H125" s="1">
        <f ca="1">IFERROR(__xludf.DUMMYFUNCTION("""COMPUTED_VALUE"""),100.6)</f>
        <v>100.6</v>
      </c>
      <c r="I125" s="1">
        <f ca="1">IFERROR(__xludf.DUMMYFUNCTION("""COMPUTED_VALUE"""),124)</f>
        <v>124</v>
      </c>
      <c r="J125" s="1">
        <f ca="1">IFERROR(__xludf.DUMMYFUNCTION("""COMPUTED_VALUE"""),69.7)</f>
        <v>69.7</v>
      </c>
      <c r="K125" s="1">
        <f ca="1">IFERROR(__xludf.DUMMYFUNCTION("""COMPUTED_VALUE"""),31)</f>
        <v>31</v>
      </c>
      <c r="L125" s="1">
        <f ca="1">IFERROR(__xludf.DUMMYFUNCTION("""COMPUTED_VALUE"""),-0.075)</f>
        <v>-7.4999999999999997E-2</v>
      </c>
      <c r="M125" s="1">
        <f ca="1">IFERROR(__xludf.DUMMYFUNCTION("""COMPUTED_VALUE"""),326)</f>
        <v>326</v>
      </c>
      <c r="N125" s="1" t="str">
        <f ca="1">IFERROR(__xludf.DUMMYFUNCTION("""COMPUTED_VALUE"""),"+5.50")</f>
        <v>+5.50</v>
      </c>
      <c r="O125" s="1">
        <f ca="1">IFERROR(__xludf.DUMMYFUNCTION("""COMPUTED_VALUE"""),75)</f>
        <v>75</v>
      </c>
      <c r="P125" s="1">
        <f ca="1">IFERROR(__xludf.DUMMYFUNCTION("""COMPUTED_VALUE"""),105.9)</f>
        <v>105.9</v>
      </c>
      <c r="Q125" s="1">
        <f ca="1">IFERROR(__xludf.DUMMYFUNCTION("""COMPUTED_VALUE"""),69)</f>
        <v>69</v>
      </c>
      <c r="R125" s="1">
        <f ca="1">IFERROR(__xludf.DUMMYFUNCTION("""COMPUTED_VALUE"""),100.3)</f>
        <v>100.3</v>
      </c>
      <c r="S125" s="1">
        <f ca="1">IFERROR(__xludf.DUMMYFUNCTION("""COMPUTED_VALUE"""),88)</f>
        <v>88</v>
      </c>
      <c r="T125" s="1">
        <f ca="1">IFERROR(__xludf.DUMMYFUNCTION("""COMPUTED_VALUE"""),-2.77)</f>
        <v>-2.77</v>
      </c>
      <c r="U125" s="1">
        <f ca="1">IFERROR(__xludf.DUMMYFUNCTION("""COMPUTED_VALUE"""),236)</f>
        <v>236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IFERROR(__xludf.DUMMYFUNCTION("""COMPUTED_VALUE"""),"Princeton")</f>
        <v>Princeton</v>
      </c>
      <c r="C126" s="1" t="str">
        <f ca="1">IFERROR(__xludf.DUMMYFUNCTION("""COMPUTED_VALUE"""),"Ivy")</f>
        <v>Ivy</v>
      </c>
      <c r="D126" s="1" t="str">
        <f ca="1">IFERROR(__xludf.DUMMYFUNCTION("""COMPUTED_VALUE"""),"22-9")</f>
        <v>22-9</v>
      </c>
      <c r="E126" s="1" t="str">
        <f ca="1">IFERROR(__xludf.DUMMYFUNCTION("""COMPUTED_VALUE"""),"+5.29")</f>
        <v>+5.29</v>
      </c>
      <c r="F126" s="1">
        <f ca="1">IFERROR(__xludf.DUMMYFUNCTION("""COMPUTED_VALUE"""),98.6)</f>
        <v>98.6</v>
      </c>
      <c r="G126" s="1">
        <f ca="1">IFERROR(__xludf.DUMMYFUNCTION("""COMPUTED_VALUE"""),236)</f>
        <v>236</v>
      </c>
      <c r="H126" s="1">
        <f ca="1">IFERROR(__xludf.DUMMYFUNCTION("""COMPUTED_VALUE"""),93.3)</f>
        <v>93.3</v>
      </c>
      <c r="I126" s="1">
        <f ca="1">IFERROR(__xludf.DUMMYFUNCTION("""COMPUTED_VALUE"""),32)</f>
        <v>32</v>
      </c>
      <c r="J126" s="1">
        <f ca="1">IFERROR(__xludf.DUMMYFUNCTION("""COMPUTED_VALUE"""),58.7)</f>
        <v>58.7</v>
      </c>
      <c r="K126" s="1">
        <f ca="1">IFERROR(__xludf.DUMMYFUNCTION("""COMPUTED_VALUE"""),343)</f>
        <v>343</v>
      </c>
      <c r="L126" s="1" t="str">
        <f ca="1">IFERROR(__xludf.DUMMYFUNCTION("""COMPUTED_VALUE"""),"+.008")</f>
        <v>+.008</v>
      </c>
      <c r="M126" s="1">
        <f ca="1">IFERROR(__xludf.DUMMYFUNCTION("""COMPUTED_VALUE"""),150)</f>
        <v>150</v>
      </c>
      <c r="N126" s="1">
        <f ca="1">IFERROR(__xludf.DUMMYFUNCTION("""COMPUTED_VALUE"""),-5.24)</f>
        <v>-5.24</v>
      </c>
      <c r="O126" s="1">
        <f ca="1">IFERROR(__xludf.DUMMYFUNCTION("""COMPUTED_VALUE"""),261)</f>
        <v>261</v>
      </c>
      <c r="P126" s="1">
        <f ca="1">IFERROR(__xludf.DUMMYFUNCTION("""COMPUTED_VALUE"""),99.4)</f>
        <v>99.4</v>
      </c>
      <c r="Q126" s="1">
        <f ca="1">IFERROR(__xludf.DUMMYFUNCTION("""COMPUTED_VALUE"""),276)</f>
        <v>276</v>
      </c>
      <c r="R126" s="1">
        <f ca="1">IFERROR(__xludf.DUMMYFUNCTION("""COMPUTED_VALUE"""),104.6)</f>
        <v>104.6</v>
      </c>
      <c r="S126" s="1">
        <f ca="1">IFERROR(__xludf.DUMMYFUNCTION("""COMPUTED_VALUE"""),246)</f>
        <v>246</v>
      </c>
      <c r="T126" s="1">
        <f ca="1">IFERROR(__xludf.DUMMYFUNCTION("""COMPUTED_VALUE"""),-4.42)</f>
        <v>-4.42</v>
      </c>
      <c r="U126" s="1">
        <f ca="1">IFERROR(__xludf.DUMMYFUNCTION("""COMPUTED_VALUE"""),277)</f>
        <v>277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IFERROR(__xludf.DUMMYFUNCTION("""COMPUTED_VALUE"""),"Akron")</f>
        <v>Akron</v>
      </c>
      <c r="C129" s="1" t="str">
        <f ca="1">IFERROR(__xludf.DUMMYFUNCTION("""COMPUTED_VALUE"""),"MAC")</f>
        <v>MAC</v>
      </c>
      <c r="D129" s="1" t="str">
        <f ca="1">IFERROR(__xludf.DUMMYFUNCTION("""COMPUTED_VALUE"""),"24-11")</f>
        <v>24-11</v>
      </c>
      <c r="E129" s="1" t="str">
        <f ca="1">IFERROR(__xludf.DUMMYFUNCTION("""COMPUTED_VALUE"""),"+5.20")</f>
        <v>+5.20</v>
      </c>
      <c r="F129" s="1">
        <f ca="1">IFERROR(__xludf.DUMMYFUNCTION("""COMPUTED_VALUE"""),105.3)</f>
        <v>105.3</v>
      </c>
      <c r="G129" s="1">
        <f ca="1">IFERROR(__xludf.DUMMYFUNCTION("""COMPUTED_VALUE"""),141)</f>
        <v>141</v>
      </c>
      <c r="H129" s="1">
        <f ca="1">IFERROR(__xludf.DUMMYFUNCTION("""COMPUTED_VALUE"""),100.1)</f>
        <v>100.1</v>
      </c>
      <c r="I129" s="1">
        <f ca="1">IFERROR(__xludf.DUMMYFUNCTION("""COMPUTED_VALUE"""),116)</f>
        <v>116</v>
      </c>
      <c r="J129" s="1">
        <f ca="1">IFERROR(__xludf.DUMMYFUNCTION("""COMPUTED_VALUE"""),65.1)</f>
        <v>65.099999999999994</v>
      </c>
      <c r="K129" s="1">
        <f ca="1">IFERROR(__xludf.DUMMYFUNCTION("""COMPUTED_VALUE"""),214)</f>
        <v>214</v>
      </c>
      <c r="L129" s="1" t="str">
        <f ca="1">IFERROR(__xludf.DUMMYFUNCTION("""COMPUTED_VALUE"""),"+.047")</f>
        <v>+.047</v>
      </c>
      <c r="M129" s="1">
        <f ca="1">IFERROR(__xludf.DUMMYFUNCTION("""COMPUTED_VALUE"""),65)</f>
        <v>65</v>
      </c>
      <c r="N129" s="1">
        <f ca="1">IFERROR(__xludf.DUMMYFUNCTION("""COMPUTED_VALUE"""),-1.52)</f>
        <v>-1.52</v>
      </c>
      <c r="O129" s="1">
        <f ca="1">IFERROR(__xludf.DUMMYFUNCTION("""COMPUTED_VALUE"""),190)</f>
        <v>190</v>
      </c>
      <c r="P129" s="1">
        <f ca="1">IFERROR(__xludf.DUMMYFUNCTION("""COMPUTED_VALUE"""),102.2)</f>
        <v>102.2</v>
      </c>
      <c r="Q129" s="1">
        <f ca="1">IFERROR(__xludf.DUMMYFUNCTION("""COMPUTED_VALUE"""),185)</f>
        <v>185</v>
      </c>
      <c r="R129" s="1">
        <f ca="1">IFERROR(__xludf.DUMMYFUNCTION("""COMPUTED_VALUE"""),103.7)</f>
        <v>103.7</v>
      </c>
      <c r="S129" s="1">
        <f ca="1">IFERROR(__xludf.DUMMYFUNCTION("""COMPUTED_VALUE"""),197)</f>
        <v>197</v>
      </c>
      <c r="T129" s="1">
        <f ca="1">IFERROR(__xludf.DUMMYFUNCTION("""COMPUTED_VALUE"""),-4.29)</f>
        <v>-4.29</v>
      </c>
      <c r="U129" s="1">
        <f ca="1">IFERROR(__xludf.DUMMYFUNCTION("""COMPUTED_VALUE"""),272)</f>
        <v>272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IFERROR(__xludf.DUMMYFUNCTION("""COMPUTED_VALUE"""),"George Washington")</f>
        <v>George Washington</v>
      </c>
      <c r="C130" s="1" t="str">
        <f ca="1">IFERROR(__xludf.DUMMYFUNCTION("""COMPUTED_VALUE"""),"A10")</f>
        <v>A10</v>
      </c>
      <c r="D130" s="1" t="str">
        <f ca="1">IFERROR(__xludf.DUMMYFUNCTION("""COMPUTED_VALUE"""),"16-15")</f>
        <v>16-15</v>
      </c>
      <c r="E130" s="1" t="str">
        <f ca="1">IFERROR(__xludf.DUMMYFUNCTION("""COMPUTED_VALUE"""),"+5.15")</f>
        <v>+5.15</v>
      </c>
      <c r="F130" s="1">
        <f ca="1">IFERROR(__xludf.DUMMYFUNCTION("""COMPUTED_VALUE"""),103.4)</f>
        <v>103.4</v>
      </c>
      <c r="G130" s="1">
        <f ca="1">IFERROR(__xludf.DUMMYFUNCTION("""COMPUTED_VALUE"""),162)</f>
        <v>162</v>
      </c>
      <c r="H130" s="1">
        <f ca="1">IFERROR(__xludf.DUMMYFUNCTION("""COMPUTED_VALUE"""),98.3)</f>
        <v>98.3</v>
      </c>
      <c r="I130" s="1">
        <f ca="1">IFERROR(__xludf.DUMMYFUNCTION("""COMPUTED_VALUE"""),89)</f>
        <v>89</v>
      </c>
      <c r="J130" s="1">
        <f ca="1">IFERROR(__xludf.DUMMYFUNCTION("""COMPUTED_VALUE"""),67)</f>
        <v>67</v>
      </c>
      <c r="K130" s="1">
        <f ca="1">IFERROR(__xludf.DUMMYFUNCTION("""COMPUTED_VALUE"""),115)</f>
        <v>115</v>
      </c>
      <c r="L130" s="1">
        <f ca="1">IFERROR(__xludf.DUMMYFUNCTION("""COMPUTED_VALUE"""),-0.044)</f>
        <v>-4.3999999999999997E-2</v>
      </c>
      <c r="M130" s="1">
        <f ca="1">IFERROR(__xludf.DUMMYFUNCTION("""COMPUTED_VALUE"""),284)</f>
        <v>284</v>
      </c>
      <c r="N130" s="1" t="str">
        <f ca="1">IFERROR(__xludf.DUMMYFUNCTION("""COMPUTED_VALUE"""),"+2.48")</f>
        <v>+2.48</v>
      </c>
      <c r="O130" s="1">
        <f ca="1">IFERROR(__xludf.DUMMYFUNCTION("""COMPUTED_VALUE"""),125)</f>
        <v>125</v>
      </c>
      <c r="P130" s="1">
        <f ca="1">IFERROR(__xludf.DUMMYFUNCTION("""COMPUTED_VALUE"""),103.9)</f>
        <v>103.9</v>
      </c>
      <c r="Q130" s="1">
        <f ca="1">IFERROR(__xludf.DUMMYFUNCTION("""COMPUTED_VALUE"""),135)</f>
        <v>135</v>
      </c>
      <c r="R130" s="1">
        <f ca="1">IFERROR(__xludf.DUMMYFUNCTION("""COMPUTED_VALUE"""),101.5)</f>
        <v>101.5</v>
      </c>
      <c r="S130" s="1">
        <f ca="1">IFERROR(__xludf.DUMMYFUNCTION("""COMPUTED_VALUE"""),110)</f>
        <v>110</v>
      </c>
      <c r="T130" s="1">
        <f ca="1">IFERROR(__xludf.DUMMYFUNCTION("""COMPUTED_VALUE"""),-4.3)</f>
        <v>-4.3</v>
      </c>
      <c r="U130" s="1">
        <f ca="1">IFERROR(__xludf.DUMMYFUNCTION("""COMPUTED_VALUE"""),273)</f>
        <v>273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IFERROR(__xludf.DUMMYFUNCTION("""COMPUTED_VALUE"""),"Southern Illinois")</f>
        <v>Southern Illinois</v>
      </c>
      <c r="C131" s="1" t="str">
        <f ca="1">IFERROR(__xludf.DUMMYFUNCTION("""COMPUTED_VALUE"""),"MVC")</f>
        <v>MVC</v>
      </c>
      <c r="D131" s="1" t="str">
        <f ca="1">IFERROR(__xludf.DUMMYFUNCTION("""COMPUTED_VALUE"""),"15-15")</f>
        <v>15-15</v>
      </c>
      <c r="E131" s="1" t="str">
        <f ca="1">IFERROR(__xludf.DUMMYFUNCTION("""COMPUTED_VALUE"""),"+5.14")</f>
        <v>+5.14</v>
      </c>
      <c r="F131" s="1">
        <f ca="1">IFERROR(__xludf.DUMMYFUNCTION("""COMPUTED_VALUE"""),106.1)</f>
        <v>106.1</v>
      </c>
      <c r="G131" s="1">
        <f ca="1">IFERROR(__xludf.DUMMYFUNCTION("""COMPUTED_VALUE"""),127)</f>
        <v>127</v>
      </c>
      <c r="H131" s="1">
        <f ca="1">IFERROR(__xludf.DUMMYFUNCTION("""COMPUTED_VALUE"""),101)</f>
        <v>101</v>
      </c>
      <c r="I131" s="1">
        <f ca="1">IFERROR(__xludf.DUMMYFUNCTION("""COMPUTED_VALUE"""),135)</f>
        <v>135</v>
      </c>
      <c r="J131" s="1">
        <f ca="1">IFERROR(__xludf.DUMMYFUNCTION("""COMPUTED_VALUE"""),66.2)</f>
        <v>66.2</v>
      </c>
      <c r="K131" s="1">
        <f ca="1">IFERROR(__xludf.DUMMYFUNCTION("""COMPUTED_VALUE"""),160)</f>
        <v>160</v>
      </c>
      <c r="L131" s="1">
        <f ca="1">IFERROR(__xludf.DUMMYFUNCTION("""COMPUTED_VALUE"""),-0.086)</f>
        <v>-8.5999999999999993E-2</v>
      </c>
      <c r="M131" s="1">
        <f ca="1">IFERROR(__xludf.DUMMYFUNCTION("""COMPUTED_VALUE"""),336)</f>
        <v>336</v>
      </c>
      <c r="N131" s="1" t="str">
        <f ca="1">IFERROR(__xludf.DUMMYFUNCTION("""COMPUTED_VALUE"""),"+1.79")</f>
        <v>+1.79</v>
      </c>
      <c r="O131" s="1">
        <f ca="1">IFERROR(__xludf.DUMMYFUNCTION("""COMPUTED_VALUE"""),137)</f>
        <v>137</v>
      </c>
      <c r="P131" s="1">
        <f ca="1">IFERROR(__xludf.DUMMYFUNCTION("""COMPUTED_VALUE"""),103.7)</f>
        <v>103.7</v>
      </c>
      <c r="Q131" s="1">
        <f ca="1">IFERROR(__xludf.DUMMYFUNCTION("""COMPUTED_VALUE"""),141)</f>
        <v>141</v>
      </c>
      <c r="R131" s="1">
        <f ca="1">IFERROR(__xludf.DUMMYFUNCTION("""COMPUTED_VALUE"""),101.9)</f>
        <v>101.9</v>
      </c>
      <c r="S131" s="1">
        <f ca="1">IFERROR(__xludf.DUMMYFUNCTION("""COMPUTED_VALUE"""),131)</f>
        <v>131</v>
      </c>
      <c r="T131" s="1">
        <f ca="1">IFERROR(__xludf.DUMMYFUNCTION("""COMPUTED_VALUE"""),-5.92)</f>
        <v>-5.92</v>
      </c>
      <c r="U131" s="1">
        <f ca="1">IFERROR(__xludf.DUMMYFUNCTION("""COMPUTED_VALUE"""),302)</f>
        <v>302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IFERROR(__xludf.DUMMYFUNCTION("""COMPUTED_VALUE"""),"Utah")</f>
        <v>Utah</v>
      </c>
      <c r="C132" s="1" t="str">
        <f ca="1">IFERROR(__xludf.DUMMYFUNCTION("""COMPUTED_VALUE"""),"MWC")</f>
        <v>MWC</v>
      </c>
      <c r="D132" s="1" t="str">
        <f ca="1">IFERROR(__xludf.DUMMYFUNCTION("""COMPUTED_VALUE"""),"14-17")</f>
        <v>14-17</v>
      </c>
      <c r="E132" s="1" t="str">
        <f ca="1">IFERROR(__xludf.DUMMYFUNCTION("""COMPUTED_VALUE"""),"+4.86")</f>
        <v>+4.86</v>
      </c>
      <c r="F132" s="1">
        <f ca="1">IFERROR(__xludf.DUMMYFUNCTION("""COMPUTED_VALUE"""),102.9)</f>
        <v>102.9</v>
      </c>
      <c r="G132" s="1">
        <f ca="1">IFERROR(__xludf.DUMMYFUNCTION("""COMPUTED_VALUE"""),170)</f>
        <v>170</v>
      </c>
      <c r="H132" s="1">
        <f ca="1">IFERROR(__xludf.DUMMYFUNCTION("""COMPUTED_VALUE"""),98)</f>
        <v>98</v>
      </c>
      <c r="I132" s="1">
        <f ca="1">IFERROR(__xludf.DUMMYFUNCTION("""COMPUTED_VALUE"""),87)</f>
        <v>87</v>
      </c>
      <c r="J132" s="1">
        <f ca="1">IFERROR(__xludf.DUMMYFUNCTION("""COMPUTED_VALUE"""),64.8)</f>
        <v>64.8</v>
      </c>
      <c r="K132" s="1">
        <f ca="1">IFERROR(__xludf.DUMMYFUNCTION("""COMPUTED_VALUE"""),224)</f>
        <v>224</v>
      </c>
      <c r="L132" s="1">
        <f ca="1">IFERROR(__xludf.DUMMYFUNCTION("""COMPUTED_VALUE"""),-0.063)</f>
        <v>-6.3E-2</v>
      </c>
      <c r="M132" s="1">
        <f ca="1">IFERROR(__xludf.DUMMYFUNCTION("""COMPUTED_VALUE"""),311)</f>
        <v>311</v>
      </c>
      <c r="N132" s="1" t="str">
        <f ca="1">IFERROR(__xludf.DUMMYFUNCTION("""COMPUTED_VALUE"""),"+4.05")</f>
        <v>+4.05</v>
      </c>
      <c r="O132" s="1">
        <f ca="1">IFERROR(__xludf.DUMMYFUNCTION("""COMPUTED_VALUE"""),93)</f>
        <v>93</v>
      </c>
      <c r="P132" s="1">
        <f ca="1">IFERROR(__xludf.DUMMYFUNCTION("""COMPUTED_VALUE"""),105.4)</f>
        <v>105.4</v>
      </c>
      <c r="Q132" s="1">
        <f ca="1">IFERROR(__xludf.DUMMYFUNCTION("""COMPUTED_VALUE"""),82)</f>
        <v>82</v>
      </c>
      <c r="R132" s="1">
        <f ca="1">IFERROR(__xludf.DUMMYFUNCTION("""COMPUTED_VALUE"""),101.3)</f>
        <v>101.3</v>
      </c>
      <c r="S132" s="1">
        <f ca="1">IFERROR(__xludf.DUMMYFUNCTION("""COMPUTED_VALUE"""),106)</f>
        <v>106</v>
      </c>
      <c r="T132" s="1">
        <f ca="1">IFERROR(__xludf.DUMMYFUNCTION("""COMPUTED_VALUE"""),-0.37)</f>
        <v>-0.37</v>
      </c>
      <c r="U132" s="1">
        <f ca="1">IFERROR(__xludf.DUMMYFUNCTION("""COMPUTED_VALUE"""),156)</f>
        <v>156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IFERROR(__xludf.DUMMYFUNCTION("""COMPUTED_VALUE"""),"Northern Colorado")</f>
        <v>Northern Colorado</v>
      </c>
      <c r="C133" s="1" t="str">
        <f ca="1">IFERROR(__xludf.DUMMYFUNCTION("""COMPUTED_VALUE"""),"BSky")</f>
        <v>BSky</v>
      </c>
      <c r="D133" s="1" t="str">
        <f ca="1">IFERROR(__xludf.DUMMYFUNCTION("""COMPUTED_VALUE"""),"25-8")</f>
        <v>25-8</v>
      </c>
      <c r="E133" s="1" t="str">
        <f ca="1">IFERROR(__xludf.DUMMYFUNCTION("""COMPUTED_VALUE"""),"+4.82")</f>
        <v>+4.82</v>
      </c>
      <c r="F133" s="1">
        <f ca="1">IFERROR(__xludf.DUMMYFUNCTION("""COMPUTED_VALUE"""),105.5)</f>
        <v>105.5</v>
      </c>
      <c r="G133" s="1">
        <f ca="1">IFERROR(__xludf.DUMMYFUNCTION("""COMPUTED_VALUE"""),138)</f>
        <v>138</v>
      </c>
      <c r="H133" s="1">
        <f ca="1">IFERROR(__xludf.DUMMYFUNCTION("""COMPUTED_VALUE"""),100.7)</f>
        <v>100.7</v>
      </c>
      <c r="I133" s="1">
        <f ca="1">IFERROR(__xludf.DUMMYFUNCTION("""COMPUTED_VALUE"""),127)</f>
        <v>127</v>
      </c>
      <c r="J133" s="1">
        <f ca="1">IFERROR(__xludf.DUMMYFUNCTION("""COMPUTED_VALUE"""),66.8)</f>
        <v>66.8</v>
      </c>
      <c r="K133" s="1">
        <f ca="1">IFERROR(__xludf.DUMMYFUNCTION("""COMPUTED_VALUE"""),127)</f>
        <v>127</v>
      </c>
      <c r="L133" s="1" t="str">
        <f ca="1">IFERROR(__xludf.DUMMYFUNCTION("""COMPUTED_VALUE"""),"+.025")</f>
        <v>+.025</v>
      </c>
      <c r="M133" s="1">
        <f ca="1">IFERROR(__xludf.DUMMYFUNCTION("""COMPUTED_VALUE"""),102)</f>
        <v>102</v>
      </c>
      <c r="N133" s="1">
        <f ca="1">IFERROR(__xludf.DUMMYFUNCTION("""COMPUTED_VALUE"""),-4.94)</f>
        <v>-4.9400000000000004</v>
      </c>
      <c r="O133" s="1">
        <f ca="1">IFERROR(__xludf.DUMMYFUNCTION("""COMPUTED_VALUE"""),255)</f>
        <v>255</v>
      </c>
      <c r="P133" s="1">
        <f ca="1">IFERROR(__xludf.DUMMYFUNCTION("""COMPUTED_VALUE"""),101.9)</f>
        <v>101.9</v>
      </c>
      <c r="Q133" s="1">
        <f ca="1">IFERROR(__xludf.DUMMYFUNCTION("""COMPUTED_VALUE"""),193)</f>
        <v>193</v>
      </c>
      <c r="R133" s="1">
        <f ca="1">IFERROR(__xludf.DUMMYFUNCTION("""COMPUTED_VALUE"""),106.8)</f>
        <v>106.8</v>
      </c>
      <c r="S133" s="1">
        <f ca="1">IFERROR(__xludf.DUMMYFUNCTION("""COMPUTED_VALUE"""),331)</f>
        <v>331</v>
      </c>
      <c r="T133" s="1">
        <f ca="1">IFERROR(__xludf.DUMMYFUNCTION("""COMPUTED_VALUE"""),-7.64)</f>
        <v>-7.64</v>
      </c>
      <c r="U133" s="1">
        <f ca="1">IFERROR(__xludf.DUMMYFUNCTION("""COMPUTED_VALUE"""),323)</f>
        <v>323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IFERROR(__xludf.DUMMYFUNCTION("""COMPUTED_VALUE"""),"Detroit")</f>
        <v>Detroit</v>
      </c>
      <c r="C134" s="1" t="str">
        <f ca="1">IFERROR(__xludf.DUMMYFUNCTION("""COMPUTED_VALUE"""),"Horz")</f>
        <v>Horz</v>
      </c>
      <c r="D134" s="1" t="str">
        <f ca="1">IFERROR(__xludf.DUMMYFUNCTION("""COMPUTED_VALUE"""),"20-14")</f>
        <v>20-14</v>
      </c>
      <c r="E134" s="1" t="str">
        <f ca="1">IFERROR(__xludf.DUMMYFUNCTION("""COMPUTED_VALUE"""),"+4.58")</f>
        <v>+4.58</v>
      </c>
      <c r="F134" s="1">
        <f ca="1">IFERROR(__xludf.DUMMYFUNCTION("""COMPUTED_VALUE"""),101)</f>
        <v>101</v>
      </c>
      <c r="G134" s="1">
        <f ca="1">IFERROR(__xludf.DUMMYFUNCTION("""COMPUTED_VALUE"""),196)</f>
        <v>196</v>
      </c>
      <c r="H134" s="1">
        <f ca="1">IFERROR(__xludf.DUMMYFUNCTION("""COMPUTED_VALUE"""),96.4)</f>
        <v>96.4</v>
      </c>
      <c r="I134" s="1">
        <f ca="1">IFERROR(__xludf.DUMMYFUNCTION("""COMPUTED_VALUE"""),66)</f>
        <v>66</v>
      </c>
      <c r="J134" s="1">
        <f ca="1">IFERROR(__xludf.DUMMYFUNCTION("""COMPUTED_VALUE"""),67.5)</f>
        <v>67.5</v>
      </c>
      <c r="K134" s="1">
        <f ca="1">IFERROR(__xludf.DUMMYFUNCTION("""COMPUTED_VALUE"""),92)</f>
        <v>92</v>
      </c>
      <c r="L134" s="1">
        <f ca="1">IFERROR(__xludf.DUMMYFUNCTION("""COMPUTED_VALUE"""),-0.009)</f>
        <v>-8.9999999999999993E-3</v>
      </c>
      <c r="M134" s="1">
        <f ca="1">IFERROR(__xludf.DUMMYFUNCTION("""COMPUTED_VALUE"""),195)</f>
        <v>195</v>
      </c>
      <c r="N134" s="1">
        <f ca="1">IFERROR(__xludf.DUMMYFUNCTION("""COMPUTED_VALUE"""),-0.68)</f>
        <v>-0.68</v>
      </c>
      <c r="O134" s="1">
        <f ca="1">IFERROR(__xludf.DUMMYFUNCTION("""COMPUTED_VALUE"""),174)</f>
        <v>174</v>
      </c>
      <c r="P134" s="1">
        <f ca="1">IFERROR(__xludf.DUMMYFUNCTION("""COMPUTED_VALUE"""),103.1)</f>
        <v>103.1</v>
      </c>
      <c r="Q134" s="1">
        <f ca="1">IFERROR(__xludf.DUMMYFUNCTION("""COMPUTED_VALUE"""),165)</f>
        <v>165</v>
      </c>
      <c r="R134" s="1">
        <f ca="1">IFERROR(__xludf.DUMMYFUNCTION("""COMPUTED_VALUE"""),103.7)</f>
        <v>103.7</v>
      </c>
      <c r="S134" s="1">
        <f ca="1">IFERROR(__xludf.DUMMYFUNCTION("""COMPUTED_VALUE"""),199)</f>
        <v>199</v>
      </c>
      <c r="T134" s="1">
        <f ca="1">IFERROR(__xludf.DUMMYFUNCTION("""COMPUTED_VALUE"""),-6.43)</f>
        <v>-6.43</v>
      </c>
      <c r="U134" s="1">
        <f ca="1">IFERROR(__xludf.DUMMYFUNCTION("""COMPUTED_VALUE"""),310)</f>
        <v>310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IFERROR(__xludf.DUMMYFUNCTION("""COMPUTED_VALUE"""),"Western Kentucky")</f>
        <v>Western Kentucky</v>
      </c>
      <c r="C135" s="1" t="str">
        <f ca="1">IFERROR(__xludf.DUMMYFUNCTION("""COMPUTED_VALUE"""),"SB")</f>
        <v>SB</v>
      </c>
      <c r="D135" s="1" t="str">
        <f ca="1">IFERROR(__xludf.DUMMYFUNCTION("""COMPUTED_VALUE"""),"21-13")</f>
        <v>21-13</v>
      </c>
      <c r="E135" s="1" t="str">
        <f ca="1">IFERROR(__xludf.DUMMYFUNCTION("""COMPUTED_VALUE"""),"+4.39")</f>
        <v>+4.39</v>
      </c>
      <c r="F135" s="1">
        <f ca="1">IFERROR(__xludf.DUMMYFUNCTION("""COMPUTED_VALUE"""),105.9)</f>
        <v>105.9</v>
      </c>
      <c r="G135" s="1">
        <f ca="1">IFERROR(__xludf.DUMMYFUNCTION("""COMPUTED_VALUE"""),128)</f>
        <v>128</v>
      </c>
      <c r="H135" s="1">
        <f ca="1">IFERROR(__xludf.DUMMYFUNCTION("""COMPUTED_VALUE"""),101.5)</f>
        <v>101.5</v>
      </c>
      <c r="I135" s="1">
        <f ca="1">IFERROR(__xludf.DUMMYFUNCTION("""COMPUTED_VALUE"""),150)</f>
        <v>150</v>
      </c>
      <c r="J135" s="1">
        <f ca="1">IFERROR(__xludf.DUMMYFUNCTION("""COMPUTED_VALUE"""),64.5)</f>
        <v>64.5</v>
      </c>
      <c r="K135" s="1">
        <f ca="1">IFERROR(__xludf.DUMMYFUNCTION("""COMPUTED_VALUE"""),237)</f>
        <v>237</v>
      </c>
      <c r="L135" s="1">
        <f ca="1">IFERROR(__xludf.DUMMYFUNCTION("""COMPUTED_VALUE"""),-0.019)</f>
        <v>-1.9E-2</v>
      </c>
      <c r="M135" s="1">
        <f ca="1">IFERROR(__xludf.DUMMYFUNCTION("""COMPUTED_VALUE"""),232)</f>
        <v>232</v>
      </c>
      <c r="N135" s="1">
        <f ca="1">IFERROR(__xludf.DUMMYFUNCTION("""COMPUTED_VALUE"""),-2.84)</f>
        <v>-2.84</v>
      </c>
      <c r="O135" s="1">
        <f ca="1">IFERROR(__xludf.DUMMYFUNCTION("""COMPUTED_VALUE"""),225)</f>
        <v>225</v>
      </c>
      <c r="P135" s="1">
        <f ca="1">IFERROR(__xludf.DUMMYFUNCTION("""COMPUTED_VALUE"""),101.4)</f>
        <v>101.4</v>
      </c>
      <c r="Q135" s="1">
        <f ca="1">IFERROR(__xludf.DUMMYFUNCTION("""COMPUTED_VALUE"""),211)</f>
        <v>211</v>
      </c>
      <c r="R135" s="1">
        <f ca="1">IFERROR(__xludf.DUMMYFUNCTION("""COMPUTED_VALUE"""),104.2)</f>
        <v>104.2</v>
      </c>
      <c r="S135" s="1">
        <f ca="1">IFERROR(__xludf.DUMMYFUNCTION("""COMPUTED_VALUE"""),226)</f>
        <v>226</v>
      </c>
      <c r="T135" s="1" t="str">
        <f ca="1">IFERROR(__xludf.DUMMYFUNCTION("""COMPUTED_VALUE"""),"+4.17")</f>
        <v>+4.17</v>
      </c>
      <c r="U135" s="1">
        <f ca="1">IFERROR(__xludf.DUMMYFUNCTION("""COMPUTED_VALUE"""),64)</f>
        <v>64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IFERROR(__xludf.DUMMYFUNCTION("""COMPUTED_VALUE"""),"Niagara")</f>
        <v>Niagara</v>
      </c>
      <c r="C136" s="1" t="str">
        <f ca="1">IFERROR(__xludf.DUMMYFUNCTION("""COMPUTED_VALUE"""),"MAAC")</f>
        <v>MAAC</v>
      </c>
      <c r="D136" s="1" t="str">
        <f ca="1">IFERROR(__xludf.DUMMYFUNCTION("""COMPUTED_VALUE"""),"18-15")</f>
        <v>18-15</v>
      </c>
      <c r="E136" s="1" t="str">
        <f ca="1">IFERROR(__xludf.DUMMYFUNCTION("""COMPUTED_VALUE"""),"+4.06")</f>
        <v>+4.06</v>
      </c>
      <c r="F136" s="1">
        <f ca="1">IFERROR(__xludf.DUMMYFUNCTION("""COMPUTED_VALUE"""),105.7)</f>
        <v>105.7</v>
      </c>
      <c r="G136" s="1">
        <f ca="1">IFERROR(__xludf.DUMMYFUNCTION("""COMPUTED_VALUE"""),132)</f>
        <v>132</v>
      </c>
      <c r="H136" s="1">
        <f ca="1">IFERROR(__xludf.DUMMYFUNCTION("""COMPUTED_VALUE"""),101.6)</f>
        <v>101.6</v>
      </c>
      <c r="I136" s="1">
        <f ca="1">IFERROR(__xludf.DUMMYFUNCTION("""COMPUTED_VALUE"""),152)</f>
        <v>152</v>
      </c>
      <c r="J136" s="1">
        <f ca="1">IFERROR(__xludf.DUMMYFUNCTION("""COMPUTED_VALUE"""),68)</f>
        <v>68</v>
      </c>
      <c r="K136" s="1">
        <f ca="1">IFERROR(__xludf.DUMMYFUNCTION("""COMPUTED_VALUE"""),73)</f>
        <v>73</v>
      </c>
      <c r="L136" s="1">
        <f ca="1">IFERROR(__xludf.DUMMYFUNCTION("""COMPUTED_VALUE"""),-0.062)</f>
        <v>-6.2E-2</v>
      </c>
      <c r="M136" s="1">
        <f ca="1">IFERROR(__xludf.DUMMYFUNCTION("""COMPUTED_VALUE"""),310)</f>
        <v>310</v>
      </c>
      <c r="N136" s="1">
        <f ca="1">IFERROR(__xludf.DUMMYFUNCTION("""COMPUTED_VALUE"""),-0.51)</f>
        <v>-0.51</v>
      </c>
      <c r="O136" s="1">
        <f ca="1">IFERROR(__xludf.DUMMYFUNCTION("""COMPUTED_VALUE"""),169)</f>
        <v>169</v>
      </c>
      <c r="P136" s="1">
        <f ca="1">IFERROR(__xludf.DUMMYFUNCTION("""COMPUTED_VALUE"""),101.2)</f>
        <v>101.2</v>
      </c>
      <c r="Q136" s="1">
        <f ca="1">IFERROR(__xludf.DUMMYFUNCTION("""COMPUTED_VALUE"""),220)</f>
        <v>220</v>
      </c>
      <c r="R136" s="1">
        <f ca="1">IFERROR(__xludf.DUMMYFUNCTION("""COMPUTED_VALUE"""),101.7)</f>
        <v>101.7</v>
      </c>
      <c r="S136" s="1">
        <f ca="1">IFERROR(__xludf.DUMMYFUNCTION("""COMPUTED_VALUE"""),117)</f>
        <v>117</v>
      </c>
      <c r="T136" s="1">
        <f ca="1">IFERROR(__xludf.DUMMYFUNCTION("""COMPUTED_VALUE"""),-0.54)</f>
        <v>-0.54</v>
      </c>
      <c r="U136" s="1">
        <f ca="1">IFERROR(__xludf.DUMMYFUNCTION("""COMPUTED_VALUE"""),161)</f>
        <v>161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IFERROR(__xludf.DUMMYFUNCTION("""COMPUTED_VALUE"""),"Oregon")</f>
        <v>Oregon</v>
      </c>
      <c r="C137" s="1" t="str">
        <f ca="1">IFERROR(__xludf.DUMMYFUNCTION("""COMPUTED_VALUE"""),"P10")</f>
        <v>P10</v>
      </c>
      <c r="D137" s="1" t="str">
        <f ca="1">IFERROR(__xludf.DUMMYFUNCTION("""COMPUTED_VALUE"""),"16-16")</f>
        <v>16-16</v>
      </c>
      <c r="E137" s="1" t="str">
        <f ca="1">IFERROR(__xludf.DUMMYFUNCTION("""COMPUTED_VALUE"""),"+3.99")</f>
        <v>+3.99</v>
      </c>
      <c r="F137" s="1">
        <f ca="1">IFERROR(__xludf.DUMMYFUNCTION("""COMPUTED_VALUE"""),105.8)</f>
        <v>105.8</v>
      </c>
      <c r="G137" s="1">
        <f ca="1">IFERROR(__xludf.DUMMYFUNCTION("""COMPUTED_VALUE"""),131)</f>
        <v>131</v>
      </c>
      <c r="H137" s="1">
        <f ca="1">IFERROR(__xludf.DUMMYFUNCTION("""COMPUTED_VALUE"""),101.8)</f>
        <v>101.8</v>
      </c>
      <c r="I137" s="1">
        <f ca="1">IFERROR(__xludf.DUMMYFUNCTION("""COMPUTED_VALUE"""),155)</f>
        <v>155</v>
      </c>
      <c r="J137" s="1">
        <f ca="1">IFERROR(__xludf.DUMMYFUNCTION("""COMPUTED_VALUE"""),65.7)</f>
        <v>65.7</v>
      </c>
      <c r="K137" s="1">
        <f ca="1">IFERROR(__xludf.DUMMYFUNCTION("""COMPUTED_VALUE"""),188)</f>
        <v>188</v>
      </c>
      <c r="L137" s="1" t="str">
        <f ca="1">IFERROR(__xludf.DUMMYFUNCTION("""COMPUTED_VALUE"""),"+.009")</f>
        <v>+.009</v>
      </c>
      <c r="M137" s="1">
        <f ca="1">IFERROR(__xludf.DUMMYFUNCTION("""COMPUTED_VALUE"""),147)</f>
        <v>147</v>
      </c>
      <c r="N137" s="1" t="str">
        <f ca="1">IFERROR(__xludf.DUMMYFUNCTION("""COMPUTED_VALUE"""),"+5.10")</f>
        <v>+5.10</v>
      </c>
      <c r="O137" s="1">
        <f ca="1">IFERROR(__xludf.DUMMYFUNCTION("""COMPUTED_VALUE"""),78)</f>
        <v>78</v>
      </c>
      <c r="P137" s="1">
        <f ca="1">IFERROR(__xludf.DUMMYFUNCTION("""COMPUTED_VALUE"""),105.3)</f>
        <v>105.3</v>
      </c>
      <c r="Q137" s="1">
        <f ca="1">IFERROR(__xludf.DUMMYFUNCTION("""COMPUTED_VALUE"""),83)</f>
        <v>83</v>
      </c>
      <c r="R137" s="1">
        <f ca="1">IFERROR(__xludf.DUMMYFUNCTION("""COMPUTED_VALUE"""),100.2)</f>
        <v>100.2</v>
      </c>
      <c r="S137" s="1">
        <f ca="1">IFERROR(__xludf.DUMMYFUNCTION("""COMPUTED_VALUE"""),83)</f>
        <v>83</v>
      </c>
      <c r="T137" s="1">
        <f ca="1">IFERROR(__xludf.DUMMYFUNCTION("""COMPUTED_VALUE"""),-5.66)</f>
        <v>-5.66</v>
      </c>
      <c r="U137" s="1">
        <f ca="1">IFERROR(__xludf.DUMMYFUNCTION("""COMPUTED_VALUE"""),299)</f>
        <v>299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IFERROR(__xludf.DUMMYFUNCTION("""COMPUTED_VALUE"""),"Milwaukee")</f>
        <v>Milwaukee</v>
      </c>
      <c r="C138" s="1" t="str">
        <f ca="1">IFERROR(__xludf.DUMMYFUNCTION("""COMPUTED_VALUE"""),"Horz")</f>
        <v>Horz</v>
      </c>
      <c r="D138" s="1" t="str">
        <f ca="1">IFERROR(__xludf.DUMMYFUNCTION("""COMPUTED_VALUE"""),"20-14")</f>
        <v>20-14</v>
      </c>
      <c r="E138" s="1" t="str">
        <f ca="1">IFERROR(__xludf.DUMMYFUNCTION("""COMPUTED_VALUE"""),"+3.89")</f>
        <v>+3.89</v>
      </c>
      <c r="F138" s="1">
        <f ca="1">IFERROR(__xludf.DUMMYFUNCTION("""COMPUTED_VALUE"""),105.5)</f>
        <v>105.5</v>
      </c>
      <c r="G138" s="1">
        <f ca="1">IFERROR(__xludf.DUMMYFUNCTION("""COMPUTED_VALUE"""),136)</f>
        <v>136</v>
      </c>
      <c r="H138" s="1">
        <f ca="1">IFERROR(__xludf.DUMMYFUNCTION("""COMPUTED_VALUE"""),101.6)</f>
        <v>101.6</v>
      </c>
      <c r="I138" s="1">
        <f ca="1">IFERROR(__xludf.DUMMYFUNCTION("""COMPUTED_VALUE"""),151)</f>
        <v>151</v>
      </c>
      <c r="J138" s="1">
        <f ca="1">IFERROR(__xludf.DUMMYFUNCTION("""COMPUTED_VALUE"""),66.3)</f>
        <v>66.3</v>
      </c>
      <c r="K138" s="1">
        <f ca="1">IFERROR(__xludf.DUMMYFUNCTION("""COMPUTED_VALUE"""),154)</f>
        <v>154</v>
      </c>
      <c r="L138" s="1" t="str">
        <f ca="1">IFERROR(__xludf.DUMMYFUNCTION("""COMPUTED_VALUE"""),"+.032")</f>
        <v>+.032</v>
      </c>
      <c r="M138" s="1">
        <f ca="1">IFERROR(__xludf.DUMMYFUNCTION("""COMPUTED_VALUE"""),90)</f>
        <v>90</v>
      </c>
      <c r="N138" s="1" t="str">
        <f ca="1">IFERROR(__xludf.DUMMYFUNCTION("""COMPUTED_VALUE"""),"+1.07")</f>
        <v>+1.07</v>
      </c>
      <c r="O138" s="1">
        <f ca="1">IFERROR(__xludf.DUMMYFUNCTION("""COMPUTED_VALUE"""),147)</f>
        <v>147</v>
      </c>
      <c r="P138" s="1">
        <f ca="1">IFERROR(__xludf.DUMMYFUNCTION("""COMPUTED_VALUE"""),103.5)</f>
        <v>103.5</v>
      </c>
      <c r="Q138" s="1">
        <f ca="1">IFERROR(__xludf.DUMMYFUNCTION("""COMPUTED_VALUE"""),147)</f>
        <v>147</v>
      </c>
      <c r="R138" s="1">
        <f ca="1">IFERROR(__xludf.DUMMYFUNCTION("""COMPUTED_VALUE"""),102.5)</f>
        <v>102.5</v>
      </c>
      <c r="S138" s="1">
        <f ca="1">IFERROR(__xludf.DUMMYFUNCTION("""COMPUTED_VALUE"""),154)</f>
        <v>154</v>
      </c>
      <c r="T138" s="1">
        <f ca="1">IFERROR(__xludf.DUMMYFUNCTION("""COMPUTED_VALUE"""),-0.14)</f>
        <v>-0.14000000000000001</v>
      </c>
      <c r="U138" s="1">
        <f ca="1">IFERROR(__xludf.DUMMYFUNCTION("""COMPUTED_VALUE"""),151)</f>
        <v>151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IFERROR(__xludf.DUMMYFUNCTION("""COMPUTED_VALUE"""),"Hofstra")</f>
        <v>Hofstra</v>
      </c>
      <c r="C139" s="1" t="str">
        <f ca="1">IFERROR(__xludf.DUMMYFUNCTION("""COMPUTED_VALUE"""),"CAA")</f>
        <v>CAA</v>
      </c>
      <c r="D139" s="1" t="str">
        <f ca="1">IFERROR(__xludf.DUMMYFUNCTION("""COMPUTED_VALUE"""),"19-15")</f>
        <v>19-15</v>
      </c>
      <c r="E139" s="1" t="str">
        <f ca="1">IFERROR(__xludf.DUMMYFUNCTION("""COMPUTED_VALUE"""),"+3.77")</f>
        <v>+3.77</v>
      </c>
      <c r="F139" s="1">
        <f ca="1">IFERROR(__xludf.DUMMYFUNCTION("""COMPUTED_VALUE"""),101.1)</f>
        <v>101.1</v>
      </c>
      <c r="G139" s="1">
        <f ca="1">IFERROR(__xludf.DUMMYFUNCTION("""COMPUTED_VALUE"""),194)</f>
        <v>194</v>
      </c>
      <c r="H139" s="1">
        <f ca="1">IFERROR(__xludf.DUMMYFUNCTION("""COMPUTED_VALUE"""),97.4)</f>
        <v>97.4</v>
      </c>
      <c r="I139" s="1">
        <f ca="1">IFERROR(__xludf.DUMMYFUNCTION("""COMPUTED_VALUE"""),73)</f>
        <v>73</v>
      </c>
      <c r="J139" s="1">
        <f ca="1">IFERROR(__xludf.DUMMYFUNCTION("""COMPUTED_VALUE"""),69.2)</f>
        <v>69.2</v>
      </c>
      <c r="K139" s="1">
        <f ca="1">IFERROR(__xludf.DUMMYFUNCTION("""COMPUTED_VALUE"""),41)</f>
        <v>41</v>
      </c>
      <c r="L139" s="1">
        <f ca="1">IFERROR(__xludf.DUMMYFUNCTION("""COMPUTED_VALUE"""),-0.001)</f>
        <v>-1E-3</v>
      </c>
      <c r="M139" s="1">
        <f ca="1">IFERROR(__xludf.DUMMYFUNCTION("""COMPUTED_VALUE"""),175)</f>
        <v>175</v>
      </c>
      <c r="N139" s="1" t="str">
        <f ca="1">IFERROR(__xludf.DUMMYFUNCTION("""COMPUTED_VALUE"""),"+0.00")</f>
        <v>+0.00</v>
      </c>
      <c r="O139" s="1">
        <f ca="1">IFERROR(__xludf.DUMMYFUNCTION("""COMPUTED_VALUE"""),162)</f>
        <v>162</v>
      </c>
      <c r="P139" s="1">
        <f ca="1">IFERROR(__xludf.DUMMYFUNCTION("""COMPUTED_VALUE"""),102.6)</f>
        <v>102.6</v>
      </c>
      <c r="Q139" s="1">
        <f ca="1">IFERROR(__xludf.DUMMYFUNCTION("""COMPUTED_VALUE"""),174)</f>
        <v>174</v>
      </c>
      <c r="R139" s="1">
        <f ca="1">IFERROR(__xludf.DUMMYFUNCTION("""COMPUTED_VALUE"""),102.6)</f>
        <v>102.6</v>
      </c>
      <c r="S139" s="1">
        <f ca="1">IFERROR(__xludf.DUMMYFUNCTION("""COMPUTED_VALUE"""),160)</f>
        <v>160</v>
      </c>
      <c r="T139" s="1">
        <f ca="1">IFERROR(__xludf.DUMMYFUNCTION("""COMPUTED_VALUE"""),-0.84)</f>
        <v>-0.84</v>
      </c>
      <c r="U139" s="1">
        <f ca="1">IFERROR(__xludf.DUMMYFUNCTION("""COMPUTED_VALUE"""),167)</f>
        <v>167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IFERROR(__xludf.DUMMYFUNCTION("""COMPUTED_VALUE"""),"Belmont")</f>
        <v>Belmont</v>
      </c>
      <c r="C140" s="1" t="str">
        <f ca="1">IFERROR(__xludf.DUMMYFUNCTION("""COMPUTED_VALUE"""),"ASun")</f>
        <v>ASun</v>
      </c>
      <c r="D140" s="1" t="str">
        <f ca="1">IFERROR(__xludf.DUMMYFUNCTION("""COMPUTED_VALUE"""),"19-12")</f>
        <v>19-12</v>
      </c>
      <c r="E140" s="1" t="str">
        <f ca="1">IFERROR(__xludf.DUMMYFUNCTION("""COMPUTED_VALUE"""),"+3.67")</f>
        <v>+3.67</v>
      </c>
      <c r="F140" s="1">
        <f ca="1">IFERROR(__xludf.DUMMYFUNCTION("""COMPUTED_VALUE"""),103.3)</f>
        <v>103.3</v>
      </c>
      <c r="G140" s="1">
        <f ca="1">IFERROR(__xludf.DUMMYFUNCTION("""COMPUTED_VALUE"""),166)</f>
        <v>166</v>
      </c>
      <c r="H140" s="1">
        <f ca="1">IFERROR(__xludf.DUMMYFUNCTION("""COMPUTED_VALUE"""),99.6)</f>
        <v>99.6</v>
      </c>
      <c r="I140" s="1">
        <f ca="1">IFERROR(__xludf.DUMMYFUNCTION("""COMPUTED_VALUE"""),110)</f>
        <v>110</v>
      </c>
      <c r="J140" s="1">
        <f ca="1">IFERROR(__xludf.DUMMYFUNCTION("""COMPUTED_VALUE"""),68.8)</f>
        <v>68.8</v>
      </c>
      <c r="K140" s="1">
        <f ca="1">IFERROR(__xludf.DUMMYFUNCTION("""COMPUTED_VALUE"""),52)</f>
        <v>52</v>
      </c>
      <c r="L140" s="1">
        <f ca="1">IFERROR(__xludf.DUMMYFUNCTION("""COMPUTED_VALUE"""),-0.013)</f>
        <v>-1.2999999999999999E-2</v>
      </c>
      <c r="M140" s="1">
        <f ca="1">IFERROR(__xludf.DUMMYFUNCTION("""COMPUTED_VALUE"""),208)</f>
        <v>208</v>
      </c>
      <c r="N140" s="1">
        <f ca="1">IFERROR(__xludf.DUMMYFUNCTION("""COMPUTED_VALUE"""),-3.95)</f>
        <v>-3.95</v>
      </c>
      <c r="O140" s="1">
        <f ca="1">IFERROR(__xludf.DUMMYFUNCTION("""COMPUTED_VALUE"""),241)</f>
        <v>241</v>
      </c>
      <c r="P140" s="1">
        <f ca="1">IFERROR(__xludf.DUMMYFUNCTION("""COMPUTED_VALUE"""),100.6)</f>
        <v>100.6</v>
      </c>
      <c r="Q140" s="1">
        <f ca="1">IFERROR(__xludf.DUMMYFUNCTION("""COMPUTED_VALUE"""),241)</f>
        <v>241</v>
      </c>
      <c r="R140" s="1">
        <f ca="1">IFERROR(__xludf.DUMMYFUNCTION("""COMPUTED_VALUE"""),104.5)</f>
        <v>104.5</v>
      </c>
      <c r="S140" s="1">
        <f ca="1">IFERROR(__xludf.DUMMYFUNCTION("""COMPUTED_VALUE"""),239)</f>
        <v>239</v>
      </c>
      <c r="T140" s="1" t="str">
        <f ca="1">IFERROR(__xludf.DUMMYFUNCTION("""COMPUTED_VALUE"""),"+3.56")</f>
        <v>+3.56</v>
      </c>
      <c r="U140" s="1">
        <f ca="1">IFERROR(__xludf.DUMMYFUNCTION("""COMPUTED_VALUE"""),73)</f>
        <v>73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IFERROR(__xludf.DUMMYFUNCTION("""COMPUTED_VALUE"""),"Boston University")</f>
        <v>Boston University</v>
      </c>
      <c r="C141" s="1" t="str">
        <f ca="1">IFERROR(__xludf.DUMMYFUNCTION("""COMPUTED_VALUE"""),"AE")</f>
        <v>AE</v>
      </c>
      <c r="D141" s="1" t="str">
        <f ca="1">IFERROR(__xludf.DUMMYFUNCTION("""COMPUTED_VALUE"""),"21-14")</f>
        <v>21-14</v>
      </c>
      <c r="E141" s="1" t="str">
        <f ca="1">IFERROR(__xludf.DUMMYFUNCTION("""COMPUTED_VALUE"""),"+3.51")</f>
        <v>+3.51</v>
      </c>
      <c r="F141" s="1">
        <f ca="1">IFERROR(__xludf.DUMMYFUNCTION("""COMPUTED_VALUE"""),103.8)</f>
        <v>103.8</v>
      </c>
      <c r="G141" s="1">
        <f ca="1">IFERROR(__xludf.DUMMYFUNCTION("""COMPUTED_VALUE"""),155)</f>
        <v>155</v>
      </c>
      <c r="H141" s="1">
        <f ca="1">IFERROR(__xludf.DUMMYFUNCTION("""COMPUTED_VALUE"""),100.3)</f>
        <v>100.3</v>
      </c>
      <c r="I141" s="1">
        <f ca="1">IFERROR(__xludf.DUMMYFUNCTION("""COMPUTED_VALUE"""),120)</f>
        <v>120</v>
      </c>
      <c r="J141" s="1">
        <f ca="1">IFERROR(__xludf.DUMMYFUNCTION("""COMPUTED_VALUE"""),69.8)</f>
        <v>69.8</v>
      </c>
      <c r="K141" s="1">
        <f ca="1">IFERROR(__xludf.DUMMYFUNCTION("""COMPUTED_VALUE"""),28)</f>
        <v>28</v>
      </c>
      <c r="L141" s="1" t="str">
        <f ca="1">IFERROR(__xludf.DUMMYFUNCTION("""COMPUTED_VALUE"""),"+.008")</f>
        <v>+.008</v>
      </c>
      <c r="M141" s="1">
        <f ca="1">IFERROR(__xludf.DUMMYFUNCTION("""COMPUTED_VALUE"""),149)</f>
        <v>149</v>
      </c>
      <c r="N141" s="1">
        <f ca="1">IFERROR(__xludf.DUMMYFUNCTION("""COMPUTED_VALUE"""),-2.66)</f>
        <v>-2.66</v>
      </c>
      <c r="O141" s="1">
        <f ca="1">IFERROR(__xludf.DUMMYFUNCTION("""COMPUTED_VALUE"""),219)</f>
        <v>219</v>
      </c>
      <c r="P141" s="1">
        <f ca="1">IFERROR(__xludf.DUMMYFUNCTION("""COMPUTED_VALUE"""),100.3)</f>
        <v>100.3</v>
      </c>
      <c r="Q141" s="1">
        <f ca="1">IFERROR(__xludf.DUMMYFUNCTION("""COMPUTED_VALUE"""),250)</f>
        <v>250</v>
      </c>
      <c r="R141" s="1">
        <f ca="1">IFERROR(__xludf.DUMMYFUNCTION("""COMPUTED_VALUE"""),102.9)</f>
        <v>102.9</v>
      </c>
      <c r="S141" s="1">
        <f ca="1">IFERROR(__xludf.DUMMYFUNCTION("""COMPUTED_VALUE"""),174)</f>
        <v>174</v>
      </c>
      <c r="T141" s="1" t="str">
        <f ca="1">IFERROR(__xludf.DUMMYFUNCTION("""COMPUTED_VALUE"""),"+4.04")</f>
        <v>+4.04</v>
      </c>
      <c r="U141" s="1">
        <f ca="1">IFERROR(__xludf.DUMMYFUNCTION("""COMPUTED_VALUE"""),66)</f>
        <v>66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IFERROR(__xludf.DUMMYFUNCTION("""COMPUTED_VALUE"""),"St. Bonaventure")</f>
        <v>St. Bonaventure</v>
      </c>
      <c r="C142" s="1" t="str">
        <f ca="1">IFERROR(__xludf.DUMMYFUNCTION("""COMPUTED_VALUE"""),"A10")</f>
        <v>A10</v>
      </c>
      <c r="D142" s="1" t="str">
        <f ca="1">IFERROR(__xludf.DUMMYFUNCTION("""COMPUTED_VALUE"""),"15-16")</f>
        <v>15-16</v>
      </c>
      <c r="E142" s="1" t="str">
        <f ca="1">IFERROR(__xludf.DUMMYFUNCTION("""COMPUTED_VALUE"""),"+3.50")</f>
        <v>+3.50</v>
      </c>
      <c r="F142" s="1">
        <f ca="1">IFERROR(__xludf.DUMMYFUNCTION("""COMPUTED_VALUE"""),106.2)</f>
        <v>106.2</v>
      </c>
      <c r="G142" s="1">
        <f ca="1">IFERROR(__xludf.DUMMYFUNCTION("""COMPUTED_VALUE"""),123)</f>
        <v>123</v>
      </c>
      <c r="H142" s="1">
        <f ca="1">IFERROR(__xludf.DUMMYFUNCTION("""COMPUTED_VALUE"""),102.7)</f>
        <v>102.7</v>
      </c>
      <c r="I142" s="1">
        <f ca="1">IFERROR(__xludf.DUMMYFUNCTION("""COMPUTED_VALUE"""),171)</f>
        <v>171</v>
      </c>
      <c r="J142" s="1">
        <f ca="1">IFERROR(__xludf.DUMMYFUNCTION("""COMPUTED_VALUE"""),66.6)</f>
        <v>66.599999999999994</v>
      </c>
      <c r="K142" s="1">
        <f ca="1">IFERROR(__xludf.DUMMYFUNCTION("""COMPUTED_VALUE"""),135)</f>
        <v>135</v>
      </c>
      <c r="L142" s="1">
        <f ca="1">IFERROR(__xludf.DUMMYFUNCTION("""COMPUTED_VALUE"""),-0.018)</f>
        <v>-1.7999999999999999E-2</v>
      </c>
      <c r="M142" s="1">
        <f ca="1">IFERROR(__xludf.DUMMYFUNCTION("""COMPUTED_VALUE"""),227)</f>
        <v>227</v>
      </c>
      <c r="N142" s="1" t="str">
        <f ca="1">IFERROR(__xludf.DUMMYFUNCTION("""COMPUTED_VALUE"""),"+3.57")</f>
        <v>+3.57</v>
      </c>
      <c r="O142" s="1">
        <f ca="1">IFERROR(__xludf.DUMMYFUNCTION("""COMPUTED_VALUE"""),103)</f>
        <v>103</v>
      </c>
      <c r="P142" s="1">
        <f ca="1">IFERROR(__xludf.DUMMYFUNCTION("""COMPUTED_VALUE"""),103.6)</f>
        <v>103.6</v>
      </c>
      <c r="Q142" s="1">
        <f ca="1">IFERROR(__xludf.DUMMYFUNCTION("""COMPUTED_VALUE"""),144)</f>
        <v>144</v>
      </c>
      <c r="R142" s="1">
        <f ca="1">IFERROR(__xludf.DUMMYFUNCTION("""COMPUTED_VALUE"""),100)</f>
        <v>100</v>
      </c>
      <c r="S142" s="1">
        <f ca="1">IFERROR(__xludf.DUMMYFUNCTION("""COMPUTED_VALUE"""),74)</f>
        <v>74</v>
      </c>
      <c r="T142" s="1" t="str">
        <f ca="1">IFERROR(__xludf.DUMMYFUNCTION("""COMPUTED_VALUE"""),"+1.02")</f>
        <v>+1.02</v>
      </c>
      <c r="U142" s="1">
        <f ca="1">IFERROR(__xludf.DUMMYFUNCTION("""COMPUTED_VALUE"""),127)</f>
        <v>127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IFERROR(__xludf.DUMMYFUNCTION("""COMPUTED_VALUE"""),"Oakland14")</f>
        <v>Oakland14</v>
      </c>
      <c r="C143" s="1" t="str">
        <f ca="1">IFERROR(__xludf.DUMMYFUNCTION("""COMPUTED_VALUE"""),"Sum")</f>
        <v>Sum</v>
      </c>
      <c r="D143" s="1" t="str">
        <f ca="1">IFERROR(__xludf.DUMMYFUNCTION("""COMPUTED_VALUE"""),"26-9")</f>
        <v>26-9</v>
      </c>
      <c r="E143" s="1" t="str">
        <f ca="1">IFERROR(__xludf.DUMMYFUNCTION("""COMPUTED_VALUE"""),"+3.19")</f>
        <v>+3.19</v>
      </c>
      <c r="F143" s="1">
        <f ca="1">IFERROR(__xludf.DUMMYFUNCTION("""COMPUTED_VALUE"""),107.5)</f>
        <v>107.5</v>
      </c>
      <c r="G143" s="1">
        <f ca="1">IFERROR(__xludf.DUMMYFUNCTION("""COMPUTED_VALUE"""),98)</f>
        <v>98</v>
      </c>
      <c r="H143" s="1">
        <f ca="1">IFERROR(__xludf.DUMMYFUNCTION("""COMPUTED_VALUE"""),104.3)</f>
        <v>104.3</v>
      </c>
      <c r="I143" s="1">
        <f ca="1">IFERROR(__xludf.DUMMYFUNCTION("""COMPUTED_VALUE"""),209)</f>
        <v>209</v>
      </c>
      <c r="J143" s="1">
        <f ca="1">IFERROR(__xludf.DUMMYFUNCTION("""COMPUTED_VALUE"""),69.5)</f>
        <v>69.5</v>
      </c>
      <c r="K143" s="1">
        <f ca="1">IFERROR(__xludf.DUMMYFUNCTION("""COMPUTED_VALUE"""),33)</f>
        <v>33</v>
      </c>
      <c r="L143" s="1" t="str">
        <f ca="1">IFERROR(__xludf.DUMMYFUNCTION("""COMPUTED_VALUE"""),"+.173")</f>
        <v>+.173</v>
      </c>
      <c r="M143" s="1">
        <f ca="1">IFERROR(__xludf.DUMMYFUNCTION("""COMPUTED_VALUE"""),1)</f>
        <v>1</v>
      </c>
      <c r="N143" s="1">
        <f ca="1">IFERROR(__xludf.DUMMYFUNCTION("""COMPUTED_VALUE"""),-2.75)</f>
        <v>-2.75</v>
      </c>
      <c r="O143" s="1">
        <f ca="1">IFERROR(__xludf.DUMMYFUNCTION("""COMPUTED_VALUE"""),221)</f>
        <v>221</v>
      </c>
      <c r="P143" s="1">
        <f ca="1">IFERROR(__xludf.DUMMYFUNCTION("""COMPUTED_VALUE"""),101.6)</f>
        <v>101.6</v>
      </c>
      <c r="Q143" s="1">
        <f ca="1">IFERROR(__xludf.DUMMYFUNCTION("""COMPUTED_VALUE"""),205)</f>
        <v>205</v>
      </c>
      <c r="R143" s="1">
        <f ca="1">IFERROR(__xludf.DUMMYFUNCTION("""COMPUTED_VALUE"""),104.4)</f>
        <v>104.4</v>
      </c>
      <c r="S143" s="1">
        <f ca="1">IFERROR(__xludf.DUMMYFUNCTION("""COMPUTED_VALUE"""),232)</f>
        <v>232</v>
      </c>
      <c r="T143" s="1" t="str">
        <f ca="1">IFERROR(__xludf.DUMMYFUNCTION("""COMPUTED_VALUE"""),"+10.65")</f>
        <v>+10.65</v>
      </c>
      <c r="U143" s="1">
        <f ca="1">IFERROR(__xludf.DUMMYFUNCTION("""COMPUTED_VALUE"""),5)</f>
        <v>5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IFERROR(__xludf.DUMMYFUNCTION("""COMPUTED_VALUE"""),"Vermont16")</f>
        <v>Vermont16</v>
      </c>
      <c r="C144" s="1" t="str">
        <f ca="1">IFERROR(__xludf.DUMMYFUNCTION("""COMPUTED_VALUE"""),"AE")</f>
        <v>AE</v>
      </c>
      <c r="D144" s="1" t="str">
        <f ca="1">IFERROR(__xludf.DUMMYFUNCTION("""COMPUTED_VALUE"""),"25-10")</f>
        <v>25-10</v>
      </c>
      <c r="E144" s="1" t="str">
        <f ca="1">IFERROR(__xludf.DUMMYFUNCTION("""COMPUTED_VALUE"""),"+3.08")</f>
        <v>+3.08</v>
      </c>
      <c r="F144" s="1">
        <f ca="1">IFERROR(__xludf.DUMMYFUNCTION("""COMPUTED_VALUE"""),104.1)</f>
        <v>104.1</v>
      </c>
      <c r="G144" s="1">
        <f ca="1">IFERROR(__xludf.DUMMYFUNCTION("""COMPUTED_VALUE"""),151)</f>
        <v>151</v>
      </c>
      <c r="H144" s="1">
        <f ca="1">IFERROR(__xludf.DUMMYFUNCTION("""COMPUTED_VALUE"""),101)</f>
        <v>101</v>
      </c>
      <c r="I144" s="1">
        <f ca="1">IFERROR(__xludf.DUMMYFUNCTION("""COMPUTED_VALUE"""),136)</f>
        <v>136</v>
      </c>
      <c r="J144" s="1">
        <f ca="1">IFERROR(__xludf.DUMMYFUNCTION("""COMPUTED_VALUE"""),66.1)</f>
        <v>66.099999999999994</v>
      </c>
      <c r="K144" s="1">
        <f ca="1">IFERROR(__xludf.DUMMYFUNCTION("""COMPUTED_VALUE"""),167)</f>
        <v>167</v>
      </c>
      <c r="L144" s="1" t="str">
        <f ca="1">IFERROR(__xludf.DUMMYFUNCTION("""COMPUTED_VALUE"""),"+.068")</f>
        <v>+.068</v>
      </c>
      <c r="M144" s="1">
        <f ca="1">IFERROR(__xludf.DUMMYFUNCTION("""COMPUTED_VALUE"""),35)</f>
        <v>35</v>
      </c>
      <c r="N144" s="1">
        <f ca="1">IFERROR(__xludf.DUMMYFUNCTION("""COMPUTED_VALUE"""),-6.32)</f>
        <v>-6.32</v>
      </c>
      <c r="O144" s="1">
        <f ca="1">IFERROR(__xludf.DUMMYFUNCTION("""COMPUTED_VALUE"""),284)</f>
        <v>284</v>
      </c>
      <c r="P144" s="1">
        <f ca="1">IFERROR(__xludf.DUMMYFUNCTION("""COMPUTED_VALUE"""),98.8)</f>
        <v>98.8</v>
      </c>
      <c r="Q144" s="1">
        <f ca="1">IFERROR(__xludf.DUMMYFUNCTION("""COMPUTED_VALUE"""),287)</f>
        <v>287</v>
      </c>
      <c r="R144" s="1">
        <f ca="1">IFERROR(__xludf.DUMMYFUNCTION("""COMPUTED_VALUE"""),105.1)</f>
        <v>105.1</v>
      </c>
      <c r="S144" s="1">
        <f ca="1">IFERROR(__xludf.DUMMYFUNCTION("""COMPUTED_VALUE"""),261)</f>
        <v>261</v>
      </c>
      <c r="T144" s="1">
        <f ca="1">IFERROR(__xludf.DUMMYFUNCTION("""COMPUTED_VALUE"""),-3.11)</f>
        <v>-3.11</v>
      </c>
      <c r="U144" s="1">
        <f ca="1">IFERROR(__xludf.DUMMYFUNCTION("""COMPUTED_VALUE"""),251)</f>
        <v>251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IFERROR(__xludf.DUMMYFUNCTION("""COMPUTED_VALUE"""),"Western Michigan")</f>
        <v>Western Michigan</v>
      </c>
      <c r="C145" s="1" t="str">
        <f ca="1">IFERROR(__xludf.DUMMYFUNCTION("""COMPUTED_VALUE"""),"MAC")</f>
        <v>MAC</v>
      </c>
      <c r="D145" s="1" t="str">
        <f ca="1">IFERROR(__xludf.DUMMYFUNCTION("""COMPUTED_VALUE"""),"18-15")</f>
        <v>18-15</v>
      </c>
      <c r="E145" s="1" t="str">
        <f ca="1">IFERROR(__xludf.DUMMYFUNCTION("""COMPUTED_VALUE"""),"+3.07")</f>
        <v>+3.07</v>
      </c>
      <c r="F145" s="1">
        <f ca="1">IFERROR(__xludf.DUMMYFUNCTION("""COMPUTED_VALUE"""),106.7)</f>
        <v>106.7</v>
      </c>
      <c r="G145" s="1">
        <f ca="1">IFERROR(__xludf.DUMMYFUNCTION("""COMPUTED_VALUE"""),108)</f>
        <v>108</v>
      </c>
      <c r="H145" s="1">
        <f ca="1">IFERROR(__xludf.DUMMYFUNCTION("""COMPUTED_VALUE"""),103.7)</f>
        <v>103.7</v>
      </c>
      <c r="I145" s="1">
        <f ca="1">IFERROR(__xludf.DUMMYFUNCTION("""COMPUTED_VALUE"""),194)</f>
        <v>194</v>
      </c>
      <c r="J145" s="1">
        <f ca="1">IFERROR(__xludf.DUMMYFUNCTION("""COMPUTED_VALUE"""),65.9)</f>
        <v>65.900000000000006</v>
      </c>
      <c r="K145" s="1">
        <f ca="1">IFERROR(__xludf.DUMMYFUNCTION("""COMPUTED_VALUE"""),179)</f>
        <v>179</v>
      </c>
      <c r="L145" s="1">
        <f ca="1">IFERROR(__xludf.DUMMYFUNCTION("""COMPUTED_VALUE"""),-0.03)</f>
        <v>-0.03</v>
      </c>
      <c r="M145" s="1">
        <f ca="1">IFERROR(__xludf.DUMMYFUNCTION("""COMPUTED_VALUE"""),251)</f>
        <v>251</v>
      </c>
      <c r="N145" s="1">
        <f ca="1">IFERROR(__xludf.DUMMYFUNCTION("""COMPUTED_VALUE"""),-0.27)</f>
        <v>-0.27</v>
      </c>
      <c r="O145" s="1">
        <f ca="1">IFERROR(__xludf.DUMMYFUNCTION("""COMPUTED_VALUE"""),166)</f>
        <v>166</v>
      </c>
      <c r="P145" s="1">
        <f ca="1">IFERROR(__xludf.DUMMYFUNCTION("""COMPUTED_VALUE"""),101.8)</f>
        <v>101.8</v>
      </c>
      <c r="Q145" s="1">
        <f ca="1">IFERROR(__xludf.DUMMYFUNCTION("""COMPUTED_VALUE"""),194)</f>
        <v>194</v>
      </c>
      <c r="R145" s="1">
        <f ca="1">IFERROR(__xludf.DUMMYFUNCTION("""COMPUTED_VALUE"""),102.1)</f>
        <v>102.1</v>
      </c>
      <c r="S145" s="1">
        <f ca="1">IFERROR(__xludf.DUMMYFUNCTION("""COMPUTED_VALUE"""),138)</f>
        <v>138</v>
      </c>
      <c r="T145" s="1" t="str">
        <f ca="1">IFERROR(__xludf.DUMMYFUNCTION("""COMPUTED_VALUE"""),"+4.45")</f>
        <v>+4.45</v>
      </c>
      <c r="U145" s="1">
        <f ca="1">IFERROR(__xludf.DUMMYFUNCTION("""COMPUTED_VALUE"""),59)</f>
        <v>59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IFERROR(__xludf.DUMMYFUNCTION("""COMPUTED_VALUE"""),"Indiana St.")</f>
        <v>Indiana St.</v>
      </c>
      <c r="C146" s="1" t="str">
        <f ca="1">IFERROR(__xludf.DUMMYFUNCTION("""COMPUTED_VALUE"""),"MVC")</f>
        <v>MVC</v>
      </c>
      <c r="D146" s="1" t="str">
        <f ca="1">IFERROR(__xludf.DUMMYFUNCTION("""COMPUTED_VALUE"""),"17-15")</f>
        <v>17-15</v>
      </c>
      <c r="E146" s="1" t="str">
        <f ca="1">IFERROR(__xludf.DUMMYFUNCTION("""COMPUTED_VALUE"""),"+3.02")</f>
        <v>+3.02</v>
      </c>
      <c r="F146" s="1">
        <f ca="1">IFERROR(__xludf.DUMMYFUNCTION("""COMPUTED_VALUE"""),104.5)</f>
        <v>104.5</v>
      </c>
      <c r="G146" s="1">
        <f ca="1">IFERROR(__xludf.DUMMYFUNCTION("""COMPUTED_VALUE"""),149)</f>
        <v>149</v>
      </c>
      <c r="H146" s="1">
        <f ca="1">IFERROR(__xludf.DUMMYFUNCTION("""COMPUTED_VALUE"""),101.5)</f>
        <v>101.5</v>
      </c>
      <c r="I146" s="1">
        <f ca="1">IFERROR(__xludf.DUMMYFUNCTION("""COMPUTED_VALUE"""),148)</f>
        <v>148</v>
      </c>
      <c r="J146" s="1">
        <f ca="1">IFERROR(__xludf.DUMMYFUNCTION("""COMPUTED_VALUE"""),64.2)</f>
        <v>64.2</v>
      </c>
      <c r="K146" s="1">
        <f ca="1">IFERROR(__xludf.DUMMYFUNCTION("""COMPUTED_VALUE"""),250)</f>
        <v>250</v>
      </c>
      <c r="L146" s="1" t="str">
        <f ca="1">IFERROR(__xludf.DUMMYFUNCTION("""COMPUTED_VALUE"""),"+.068")</f>
        <v>+.068</v>
      </c>
      <c r="M146" s="1">
        <f ca="1">IFERROR(__xludf.DUMMYFUNCTION("""COMPUTED_VALUE"""),34)</f>
        <v>34</v>
      </c>
      <c r="N146" s="1" t="str">
        <f ca="1">IFERROR(__xludf.DUMMYFUNCTION("""COMPUTED_VALUE"""),"+3.93")</f>
        <v>+3.93</v>
      </c>
      <c r="O146" s="1">
        <f ca="1">IFERROR(__xludf.DUMMYFUNCTION("""COMPUTED_VALUE"""),95)</f>
        <v>95</v>
      </c>
      <c r="P146" s="1">
        <f ca="1">IFERROR(__xludf.DUMMYFUNCTION("""COMPUTED_VALUE"""),104.6)</f>
        <v>104.6</v>
      </c>
      <c r="Q146" s="1">
        <f ca="1">IFERROR(__xludf.DUMMYFUNCTION("""COMPUTED_VALUE"""),113)</f>
        <v>113</v>
      </c>
      <c r="R146" s="1">
        <f ca="1">IFERROR(__xludf.DUMMYFUNCTION("""COMPUTED_VALUE"""),100.7)</f>
        <v>100.7</v>
      </c>
      <c r="S146" s="1">
        <f ca="1">IFERROR(__xludf.DUMMYFUNCTION("""COMPUTED_VALUE"""),91)</f>
        <v>91</v>
      </c>
      <c r="T146" s="1">
        <f ca="1">IFERROR(__xludf.DUMMYFUNCTION("""COMPUTED_VALUE"""),-0.41)</f>
        <v>-0.41</v>
      </c>
      <c r="U146" s="1">
        <f ca="1">IFERROR(__xludf.DUMMYFUNCTION("""COMPUTED_VALUE"""),158)</f>
        <v>158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IFERROR(__xludf.DUMMYFUNCTION("""COMPUTED_VALUE"""),"Green Bay")</f>
        <v>Green Bay</v>
      </c>
      <c r="C147" s="1" t="str">
        <f ca="1">IFERROR(__xludf.DUMMYFUNCTION("""COMPUTED_VALUE"""),"Horz")</f>
        <v>Horz</v>
      </c>
      <c r="D147" s="1" t="str">
        <f ca="1">IFERROR(__xludf.DUMMYFUNCTION("""COMPUTED_VALUE"""),"22-13")</f>
        <v>22-13</v>
      </c>
      <c r="E147" s="1" t="str">
        <f ca="1">IFERROR(__xludf.DUMMYFUNCTION("""COMPUTED_VALUE"""),"+3.00")</f>
        <v>+3.00</v>
      </c>
      <c r="F147" s="1">
        <f ca="1">IFERROR(__xludf.DUMMYFUNCTION("""COMPUTED_VALUE"""),106.7)</f>
        <v>106.7</v>
      </c>
      <c r="G147" s="1">
        <f ca="1">IFERROR(__xludf.DUMMYFUNCTION("""COMPUTED_VALUE"""),109)</f>
        <v>109</v>
      </c>
      <c r="H147" s="1">
        <f ca="1">IFERROR(__xludf.DUMMYFUNCTION("""COMPUTED_VALUE"""),103.7)</f>
        <v>103.7</v>
      </c>
      <c r="I147" s="1">
        <f ca="1">IFERROR(__xludf.DUMMYFUNCTION("""COMPUTED_VALUE"""),195)</f>
        <v>195</v>
      </c>
      <c r="J147" s="1">
        <f ca="1">IFERROR(__xludf.DUMMYFUNCTION("""COMPUTED_VALUE"""),63.4)</f>
        <v>63.4</v>
      </c>
      <c r="K147" s="1">
        <f ca="1">IFERROR(__xludf.DUMMYFUNCTION("""COMPUTED_VALUE"""),278)</f>
        <v>278</v>
      </c>
      <c r="L147" s="1" t="str">
        <f ca="1">IFERROR(__xludf.DUMMYFUNCTION("""COMPUTED_VALUE"""),"+.088")</f>
        <v>+.088</v>
      </c>
      <c r="M147" s="1">
        <f ca="1">IFERROR(__xludf.DUMMYFUNCTION("""COMPUTED_VALUE"""),16)</f>
        <v>16</v>
      </c>
      <c r="N147" s="1" t="str">
        <f ca="1">IFERROR(__xludf.DUMMYFUNCTION("""COMPUTED_VALUE"""),"+0.98")</f>
        <v>+0.98</v>
      </c>
      <c r="O147" s="1">
        <f ca="1">IFERROR(__xludf.DUMMYFUNCTION("""COMPUTED_VALUE"""),150)</f>
        <v>150</v>
      </c>
      <c r="P147" s="1">
        <f ca="1">IFERROR(__xludf.DUMMYFUNCTION("""COMPUTED_VALUE"""),103.2)</f>
        <v>103.2</v>
      </c>
      <c r="Q147" s="1">
        <f ca="1">IFERROR(__xludf.DUMMYFUNCTION("""COMPUTED_VALUE"""),162)</f>
        <v>162</v>
      </c>
      <c r="R147" s="1">
        <f ca="1">IFERROR(__xludf.DUMMYFUNCTION("""COMPUTED_VALUE"""),102.2)</f>
        <v>102.2</v>
      </c>
      <c r="S147" s="1">
        <f ca="1">IFERROR(__xludf.DUMMYFUNCTION("""COMPUTED_VALUE"""),144)</f>
        <v>144</v>
      </c>
      <c r="T147" s="1">
        <f ca="1">IFERROR(__xludf.DUMMYFUNCTION("""COMPUTED_VALUE"""),-1.09)</f>
        <v>-1.0900000000000001</v>
      </c>
      <c r="U147" s="1">
        <f ca="1">IFERROR(__xludf.DUMMYFUNCTION("""COMPUTED_VALUE"""),183)</f>
        <v>183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IFERROR(__xludf.DUMMYFUNCTION("""COMPUTED_VALUE"""),"Oral Roberts")</f>
        <v>Oral Roberts</v>
      </c>
      <c r="C148" s="1" t="str">
        <f ca="1">IFERROR(__xludf.DUMMYFUNCTION("""COMPUTED_VALUE"""),"Sum")</f>
        <v>Sum</v>
      </c>
      <c r="D148" s="1" t="str">
        <f ca="1">IFERROR(__xludf.DUMMYFUNCTION("""COMPUTED_VALUE"""),"20-13")</f>
        <v>20-13</v>
      </c>
      <c r="E148" s="1" t="str">
        <f ca="1">IFERROR(__xludf.DUMMYFUNCTION("""COMPUTED_VALUE"""),"+2.84")</f>
        <v>+2.84</v>
      </c>
      <c r="F148" s="1">
        <f ca="1">IFERROR(__xludf.DUMMYFUNCTION("""COMPUTED_VALUE"""),102.3)</f>
        <v>102.3</v>
      </c>
      <c r="G148" s="1">
        <f ca="1">IFERROR(__xludf.DUMMYFUNCTION("""COMPUTED_VALUE"""),180)</f>
        <v>180</v>
      </c>
      <c r="H148" s="1">
        <f ca="1">IFERROR(__xludf.DUMMYFUNCTION("""COMPUTED_VALUE"""),99.4)</f>
        <v>99.4</v>
      </c>
      <c r="I148" s="1">
        <f ca="1">IFERROR(__xludf.DUMMYFUNCTION("""COMPUTED_VALUE"""),104)</f>
        <v>104</v>
      </c>
      <c r="J148" s="1">
        <f ca="1">IFERROR(__xludf.DUMMYFUNCTION("""COMPUTED_VALUE"""),65.6)</f>
        <v>65.599999999999994</v>
      </c>
      <c r="K148" s="1">
        <f ca="1">IFERROR(__xludf.DUMMYFUNCTION("""COMPUTED_VALUE"""),194)</f>
        <v>194</v>
      </c>
      <c r="L148" s="1" t="str">
        <f ca="1">IFERROR(__xludf.DUMMYFUNCTION("""COMPUTED_VALUE"""),"+.004")</f>
        <v>+.004</v>
      </c>
      <c r="M148" s="1">
        <f ca="1">IFERROR(__xludf.DUMMYFUNCTION("""COMPUTED_VALUE"""),158)</f>
        <v>158</v>
      </c>
      <c r="N148" s="1">
        <f ca="1">IFERROR(__xludf.DUMMYFUNCTION("""COMPUTED_VALUE"""),-2.55)</f>
        <v>-2.5499999999999998</v>
      </c>
      <c r="O148" s="1">
        <f ca="1">IFERROR(__xludf.DUMMYFUNCTION("""COMPUTED_VALUE"""),217)</f>
        <v>217</v>
      </c>
      <c r="P148" s="1">
        <f ca="1">IFERROR(__xludf.DUMMYFUNCTION("""COMPUTED_VALUE"""),102)</f>
        <v>102</v>
      </c>
      <c r="Q148" s="1">
        <f ca="1">IFERROR(__xludf.DUMMYFUNCTION("""COMPUTED_VALUE"""),189)</f>
        <v>189</v>
      </c>
      <c r="R148" s="1">
        <f ca="1">IFERROR(__xludf.DUMMYFUNCTION("""COMPUTED_VALUE"""),104.5)</f>
        <v>104.5</v>
      </c>
      <c r="S148" s="1">
        <f ca="1">IFERROR(__xludf.DUMMYFUNCTION("""COMPUTED_VALUE"""),241)</f>
        <v>241</v>
      </c>
      <c r="T148" s="1" t="str">
        <f ca="1">IFERROR(__xludf.DUMMYFUNCTION("""COMPUTED_VALUE"""),"+7.58")</f>
        <v>+7.58</v>
      </c>
      <c r="U148" s="1">
        <f ca="1">IFERROR(__xludf.DUMMYFUNCTION("""COMPUTED_VALUE"""),27)</f>
        <v>27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IFERROR(__xludf.DUMMYFUNCTION("""COMPUTED_VALUE"""),"Colorado St.")</f>
        <v>Colorado St.</v>
      </c>
      <c r="C149" s="1" t="str">
        <f ca="1">IFERROR(__xludf.DUMMYFUNCTION("""COMPUTED_VALUE"""),"MWC")</f>
        <v>MWC</v>
      </c>
      <c r="D149" s="1" t="str">
        <f ca="1">IFERROR(__xludf.DUMMYFUNCTION("""COMPUTED_VALUE"""),"16-16")</f>
        <v>16-16</v>
      </c>
      <c r="E149" s="1" t="str">
        <f ca="1">IFERROR(__xludf.DUMMYFUNCTION("""COMPUTED_VALUE"""),"+2.83")</f>
        <v>+2.83</v>
      </c>
      <c r="F149" s="1">
        <f ca="1">IFERROR(__xludf.DUMMYFUNCTION("""COMPUTED_VALUE"""),101.5)</f>
        <v>101.5</v>
      </c>
      <c r="G149" s="1">
        <f ca="1">IFERROR(__xludf.DUMMYFUNCTION("""COMPUTED_VALUE"""),188)</f>
        <v>188</v>
      </c>
      <c r="H149" s="1">
        <f ca="1">IFERROR(__xludf.DUMMYFUNCTION("""COMPUTED_VALUE"""),98.7)</f>
        <v>98.7</v>
      </c>
      <c r="I149" s="1">
        <f ca="1">IFERROR(__xludf.DUMMYFUNCTION("""COMPUTED_VALUE"""),95)</f>
        <v>95</v>
      </c>
      <c r="J149" s="1">
        <f ca="1">IFERROR(__xludf.DUMMYFUNCTION("""COMPUTED_VALUE"""),66)</f>
        <v>66</v>
      </c>
      <c r="K149" s="1">
        <f ca="1">IFERROR(__xludf.DUMMYFUNCTION("""COMPUTED_VALUE"""),171)</f>
        <v>171</v>
      </c>
      <c r="L149" s="1" t="str">
        <f ca="1">IFERROR(__xludf.DUMMYFUNCTION("""COMPUTED_VALUE"""),"+.020")</f>
        <v>+.020</v>
      </c>
      <c r="M149" s="1">
        <f ca="1">IFERROR(__xludf.DUMMYFUNCTION("""COMPUTED_VALUE"""),113)</f>
        <v>113</v>
      </c>
      <c r="N149" s="1" t="str">
        <f ca="1">IFERROR(__xludf.DUMMYFUNCTION("""COMPUTED_VALUE"""),"+3.67")</f>
        <v>+3.67</v>
      </c>
      <c r="O149" s="1">
        <f ca="1">IFERROR(__xludf.DUMMYFUNCTION("""COMPUTED_VALUE"""),101)</f>
        <v>101</v>
      </c>
      <c r="P149" s="1">
        <f ca="1">IFERROR(__xludf.DUMMYFUNCTION("""COMPUTED_VALUE"""),104.9)</f>
        <v>104.9</v>
      </c>
      <c r="Q149" s="1">
        <f ca="1">IFERROR(__xludf.DUMMYFUNCTION("""COMPUTED_VALUE"""),97)</f>
        <v>97</v>
      </c>
      <c r="R149" s="1">
        <f ca="1">IFERROR(__xludf.DUMMYFUNCTION("""COMPUTED_VALUE"""),101.2)</f>
        <v>101.2</v>
      </c>
      <c r="S149" s="1">
        <f ca="1">IFERROR(__xludf.DUMMYFUNCTION("""COMPUTED_VALUE"""),103)</f>
        <v>103</v>
      </c>
      <c r="T149" s="1">
        <f ca="1">IFERROR(__xludf.DUMMYFUNCTION("""COMPUTED_VALUE"""),-2.08)</f>
        <v>-2.08</v>
      </c>
      <c r="U149" s="1">
        <f ca="1">IFERROR(__xludf.DUMMYFUNCTION("""COMPUTED_VALUE"""),220)</f>
        <v>220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IFERROR(__xludf.DUMMYFUNCTION("""COMPUTED_VALUE"""),"Duquesne")</f>
        <v>Duquesne</v>
      </c>
      <c r="C150" s="1" t="str">
        <f ca="1">IFERROR(__xludf.DUMMYFUNCTION("""COMPUTED_VALUE"""),"A10")</f>
        <v>A10</v>
      </c>
      <c r="D150" s="1" t="str">
        <f ca="1">IFERROR(__xludf.DUMMYFUNCTION("""COMPUTED_VALUE"""),"16-16")</f>
        <v>16-16</v>
      </c>
      <c r="E150" s="1" t="str">
        <f ca="1">IFERROR(__xludf.DUMMYFUNCTION("""COMPUTED_VALUE"""),"+2.82")</f>
        <v>+2.82</v>
      </c>
      <c r="F150" s="1">
        <f ca="1">IFERROR(__xludf.DUMMYFUNCTION("""COMPUTED_VALUE"""),102.5)</f>
        <v>102.5</v>
      </c>
      <c r="G150" s="1">
        <f ca="1">IFERROR(__xludf.DUMMYFUNCTION("""COMPUTED_VALUE"""),176)</f>
        <v>176</v>
      </c>
      <c r="H150" s="1">
        <f ca="1">IFERROR(__xludf.DUMMYFUNCTION("""COMPUTED_VALUE"""),99.7)</f>
        <v>99.7</v>
      </c>
      <c r="I150" s="1">
        <f ca="1">IFERROR(__xludf.DUMMYFUNCTION("""COMPUTED_VALUE"""),111)</f>
        <v>111</v>
      </c>
      <c r="J150" s="1">
        <f ca="1">IFERROR(__xludf.DUMMYFUNCTION("""COMPUTED_VALUE"""),69.6)</f>
        <v>69.599999999999994</v>
      </c>
      <c r="K150" s="1">
        <f ca="1">IFERROR(__xludf.DUMMYFUNCTION("""COMPUTED_VALUE"""),32)</f>
        <v>32</v>
      </c>
      <c r="L150" s="1" t="str">
        <f ca="1">IFERROR(__xludf.DUMMYFUNCTION("""COMPUTED_VALUE"""),"+.027")</f>
        <v>+.027</v>
      </c>
      <c r="M150" s="1">
        <f ca="1">IFERROR(__xludf.DUMMYFUNCTION("""COMPUTED_VALUE"""),100)</f>
        <v>100</v>
      </c>
      <c r="N150" s="1" t="str">
        <f ca="1">IFERROR(__xludf.DUMMYFUNCTION("""COMPUTED_VALUE"""),"+4.26")</f>
        <v>+4.26</v>
      </c>
      <c r="O150" s="1">
        <f ca="1">IFERROR(__xludf.DUMMYFUNCTION("""COMPUTED_VALUE"""),88)</f>
        <v>88</v>
      </c>
      <c r="P150" s="1">
        <f ca="1">IFERROR(__xludf.DUMMYFUNCTION("""COMPUTED_VALUE"""),103.9)</f>
        <v>103.9</v>
      </c>
      <c r="Q150" s="1">
        <f ca="1">IFERROR(__xludf.DUMMYFUNCTION("""COMPUTED_VALUE"""),137)</f>
        <v>137</v>
      </c>
      <c r="R150" s="1">
        <f ca="1">IFERROR(__xludf.DUMMYFUNCTION("""COMPUTED_VALUE"""),99.7)</f>
        <v>99.7</v>
      </c>
      <c r="S150" s="1">
        <f ca="1">IFERROR(__xludf.DUMMYFUNCTION("""COMPUTED_VALUE"""),61)</f>
        <v>61</v>
      </c>
      <c r="T150" s="1">
        <f ca="1">IFERROR(__xludf.DUMMYFUNCTION("""COMPUTED_VALUE"""),-1.64)</f>
        <v>-1.64</v>
      </c>
      <c r="U150" s="1">
        <f ca="1">IFERROR(__xludf.DUMMYFUNCTION("""COMPUTED_VALUE"""),206)</f>
        <v>206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IFERROR(__xludf.DUMMYFUNCTION("""COMPUTED_VALUE"""),"Miami OH")</f>
        <v>Miami OH</v>
      </c>
      <c r="C151" s="1" t="str">
        <f ca="1">IFERROR(__xludf.DUMMYFUNCTION("""COMPUTED_VALUE"""),"MAC")</f>
        <v>MAC</v>
      </c>
      <c r="D151" s="1" t="str">
        <f ca="1">IFERROR(__xludf.DUMMYFUNCTION("""COMPUTED_VALUE"""),"14-18")</f>
        <v>14-18</v>
      </c>
      <c r="E151" s="1" t="str">
        <f ca="1">IFERROR(__xludf.DUMMYFUNCTION("""COMPUTED_VALUE"""),"+2.79")</f>
        <v>+2.79</v>
      </c>
      <c r="F151" s="1">
        <f ca="1">IFERROR(__xludf.DUMMYFUNCTION("""COMPUTED_VALUE"""),103.9)</f>
        <v>103.9</v>
      </c>
      <c r="G151" s="1">
        <f ca="1">IFERROR(__xludf.DUMMYFUNCTION("""COMPUTED_VALUE"""),152)</f>
        <v>152</v>
      </c>
      <c r="H151" s="1">
        <f ca="1">IFERROR(__xludf.DUMMYFUNCTION("""COMPUTED_VALUE"""),101.1)</f>
        <v>101.1</v>
      </c>
      <c r="I151" s="1">
        <f ca="1">IFERROR(__xludf.DUMMYFUNCTION("""COMPUTED_VALUE"""),138)</f>
        <v>138</v>
      </c>
      <c r="J151" s="1">
        <f ca="1">IFERROR(__xludf.DUMMYFUNCTION("""COMPUTED_VALUE"""),59.7)</f>
        <v>59.7</v>
      </c>
      <c r="K151" s="1">
        <f ca="1">IFERROR(__xludf.DUMMYFUNCTION("""COMPUTED_VALUE"""),337)</f>
        <v>337</v>
      </c>
      <c r="L151" s="1">
        <f ca="1">IFERROR(__xludf.DUMMYFUNCTION("""COMPUTED_VALUE"""),-0.028)</f>
        <v>-2.8000000000000001E-2</v>
      </c>
      <c r="M151" s="1">
        <f ca="1">IFERROR(__xludf.DUMMYFUNCTION("""COMPUTED_VALUE"""),247)</f>
        <v>247</v>
      </c>
      <c r="N151" s="1" t="str">
        <f ca="1">IFERROR(__xludf.DUMMYFUNCTION("""COMPUTED_VALUE"""),"+3.57")</f>
        <v>+3.57</v>
      </c>
      <c r="O151" s="1">
        <f ca="1">IFERROR(__xludf.DUMMYFUNCTION("""COMPUTED_VALUE"""),102)</f>
        <v>102</v>
      </c>
      <c r="P151" s="1">
        <f ca="1">IFERROR(__xludf.DUMMYFUNCTION("""COMPUTED_VALUE"""),104.5)</f>
        <v>104.5</v>
      </c>
      <c r="Q151" s="1">
        <f ca="1">IFERROR(__xludf.DUMMYFUNCTION("""COMPUTED_VALUE"""),114)</f>
        <v>114</v>
      </c>
      <c r="R151" s="1">
        <f ca="1">IFERROR(__xludf.DUMMYFUNCTION("""COMPUTED_VALUE"""),101)</f>
        <v>101</v>
      </c>
      <c r="S151" s="1">
        <f ca="1">IFERROR(__xludf.DUMMYFUNCTION("""COMPUTED_VALUE"""),98)</f>
        <v>98</v>
      </c>
      <c r="T151" s="1" t="str">
        <f ca="1">IFERROR(__xludf.DUMMYFUNCTION("""COMPUTED_VALUE"""),"+8.08")</f>
        <v>+8.08</v>
      </c>
      <c r="U151" s="1">
        <f ca="1">IFERROR(__xludf.DUMMYFUNCTION("""COMPUTED_VALUE"""),23)</f>
        <v>23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IFERROR(__xludf.DUMMYFUNCTION("""COMPUTED_VALUE"""),"Jacksonville8")</f>
        <v>Jacksonville8</v>
      </c>
      <c r="C152" s="1" t="str">
        <f ca="1">IFERROR(__xludf.DUMMYFUNCTION("""COMPUTED_VALUE"""),"ASun")</f>
        <v>ASun</v>
      </c>
      <c r="D152" s="1" t="str">
        <f ca="1">IFERROR(__xludf.DUMMYFUNCTION("""COMPUTED_VALUE"""),"20-13")</f>
        <v>20-13</v>
      </c>
      <c r="E152" s="1" t="str">
        <f ca="1">IFERROR(__xludf.DUMMYFUNCTION("""COMPUTED_VALUE"""),"+2.75")</f>
        <v>+2.75</v>
      </c>
      <c r="F152" s="1">
        <f ca="1">IFERROR(__xludf.DUMMYFUNCTION("""COMPUTED_VALUE"""),102.2)</f>
        <v>102.2</v>
      </c>
      <c r="G152" s="1">
        <f ca="1">IFERROR(__xludf.DUMMYFUNCTION("""COMPUTED_VALUE"""),183)</f>
        <v>183</v>
      </c>
      <c r="H152" s="1">
        <f ca="1">IFERROR(__xludf.DUMMYFUNCTION("""COMPUTED_VALUE"""),99.5)</f>
        <v>99.5</v>
      </c>
      <c r="I152" s="1">
        <f ca="1">IFERROR(__xludf.DUMMYFUNCTION("""COMPUTED_VALUE"""),106)</f>
        <v>106</v>
      </c>
      <c r="J152" s="1">
        <f ca="1">IFERROR(__xludf.DUMMYFUNCTION("""COMPUTED_VALUE"""),68)</f>
        <v>68</v>
      </c>
      <c r="K152" s="1">
        <f ca="1">IFERROR(__xludf.DUMMYFUNCTION("""COMPUTED_VALUE"""),71)</f>
        <v>71</v>
      </c>
      <c r="L152" s="1" t="str">
        <f ca="1">IFERROR(__xludf.DUMMYFUNCTION("""COMPUTED_VALUE"""),"+.043")</f>
        <v>+.043</v>
      </c>
      <c r="M152" s="1">
        <f ca="1">IFERROR(__xludf.DUMMYFUNCTION("""COMPUTED_VALUE"""),71)</f>
        <v>71</v>
      </c>
      <c r="N152" s="1">
        <f ca="1">IFERROR(__xludf.DUMMYFUNCTION("""COMPUTED_VALUE"""),-2.07)</f>
        <v>-2.0699999999999998</v>
      </c>
      <c r="O152" s="1">
        <f ca="1">IFERROR(__xludf.DUMMYFUNCTION("""COMPUTED_VALUE"""),203)</f>
        <v>203</v>
      </c>
      <c r="P152" s="1">
        <f ca="1">IFERROR(__xludf.DUMMYFUNCTION("""COMPUTED_VALUE"""),101.2)</f>
        <v>101.2</v>
      </c>
      <c r="Q152" s="1">
        <f ca="1">IFERROR(__xludf.DUMMYFUNCTION("""COMPUTED_VALUE"""),217)</f>
        <v>217</v>
      </c>
      <c r="R152" s="1">
        <f ca="1">IFERROR(__xludf.DUMMYFUNCTION("""COMPUTED_VALUE"""),103.3)</f>
        <v>103.3</v>
      </c>
      <c r="S152" s="1">
        <f ca="1">IFERROR(__xludf.DUMMYFUNCTION("""COMPUTED_VALUE"""),183)</f>
        <v>183</v>
      </c>
      <c r="T152" s="1" t="str">
        <f ca="1">IFERROR(__xludf.DUMMYFUNCTION("""COMPUTED_VALUE"""),"+6.53")</f>
        <v>+6.53</v>
      </c>
      <c r="U152" s="1">
        <f ca="1">IFERROR(__xludf.DUMMYFUNCTION("""COMPUTED_VALUE"""),39)</f>
        <v>39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IFERROR(__xludf.DUMMYFUNCTION("""COMPUTED_VALUE"""),"Drexel")</f>
        <v>Drexel</v>
      </c>
      <c r="C153" s="1" t="str">
        <f ca="1">IFERROR(__xludf.DUMMYFUNCTION("""COMPUTED_VALUE"""),"CAA")</f>
        <v>CAA</v>
      </c>
      <c r="D153" s="1" t="str">
        <f ca="1">IFERROR(__xludf.DUMMYFUNCTION("""COMPUTED_VALUE"""),"16-16")</f>
        <v>16-16</v>
      </c>
      <c r="E153" s="1" t="str">
        <f ca="1">IFERROR(__xludf.DUMMYFUNCTION("""COMPUTED_VALUE"""),"+2.74")</f>
        <v>+2.74</v>
      </c>
      <c r="F153" s="1">
        <f ca="1">IFERROR(__xludf.DUMMYFUNCTION("""COMPUTED_VALUE"""),100.5)</f>
        <v>100.5</v>
      </c>
      <c r="G153" s="1">
        <f ca="1">IFERROR(__xludf.DUMMYFUNCTION("""COMPUTED_VALUE"""),205)</f>
        <v>205</v>
      </c>
      <c r="H153" s="1">
        <f ca="1">IFERROR(__xludf.DUMMYFUNCTION("""COMPUTED_VALUE"""),97.7)</f>
        <v>97.7</v>
      </c>
      <c r="I153" s="1">
        <f ca="1">IFERROR(__xludf.DUMMYFUNCTION("""COMPUTED_VALUE"""),81)</f>
        <v>81</v>
      </c>
      <c r="J153" s="1">
        <f ca="1">IFERROR(__xludf.DUMMYFUNCTION("""COMPUTED_VALUE"""),63.6)</f>
        <v>63.6</v>
      </c>
      <c r="K153" s="1">
        <f ca="1">IFERROR(__xludf.DUMMYFUNCTION("""COMPUTED_VALUE"""),269)</f>
        <v>269</v>
      </c>
      <c r="L153" s="1" t="str">
        <f ca="1">IFERROR(__xludf.DUMMYFUNCTION("""COMPUTED_VALUE"""),"+.001")</f>
        <v>+.001</v>
      </c>
      <c r="M153" s="1">
        <f ca="1">IFERROR(__xludf.DUMMYFUNCTION("""COMPUTED_VALUE"""),169)</f>
        <v>169</v>
      </c>
      <c r="N153" s="1" t="str">
        <f ca="1">IFERROR(__xludf.DUMMYFUNCTION("""COMPUTED_VALUE"""),"+1.82")</f>
        <v>+1.82</v>
      </c>
      <c r="O153" s="1">
        <f ca="1">IFERROR(__xludf.DUMMYFUNCTION("""COMPUTED_VALUE"""),135)</f>
        <v>135</v>
      </c>
      <c r="P153" s="1">
        <f ca="1">IFERROR(__xludf.DUMMYFUNCTION("""COMPUTED_VALUE"""),104.3)</f>
        <v>104.3</v>
      </c>
      <c r="Q153" s="1">
        <f ca="1">IFERROR(__xludf.DUMMYFUNCTION("""COMPUTED_VALUE"""),122)</f>
        <v>122</v>
      </c>
      <c r="R153" s="1">
        <f ca="1">IFERROR(__xludf.DUMMYFUNCTION("""COMPUTED_VALUE"""),102.5)</f>
        <v>102.5</v>
      </c>
      <c r="S153" s="1">
        <f ca="1">IFERROR(__xludf.DUMMYFUNCTION("""COMPUTED_VALUE"""),156)</f>
        <v>156</v>
      </c>
      <c r="T153" s="1" t="str">
        <f ca="1">IFERROR(__xludf.DUMMYFUNCTION("""COMPUTED_VALUE"""),"+3.67")</f>
        <v>+3.67</v>
      </c>
      <c r="U153" s="1">
        <f ca="1">IFERROR(__xludf.DUMMYFUNCTION("""COMPUTED_VALUE"""),71)</f>
        <v>71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IFERROR(__xludf.DUMMYFUNCTION("""COMPUTED_VALUE"""),"Idaho")</f>
        <v>Idaho</v>
      </c>
      <c r="C154" s="1" t="str">
        <f ca="1">IFERROR(__xludf.DUMMYFUNCTION("""COMPUTED_VALUE"""),"WAC")</f>
        <v>WAC</v>
      </c>
      <c r="D154" s="1" t="str">
        <f ca="1">IFERROR(__xludf.DUMMYFUNCTION("""COMPUTED_VALUE"""),"15-16")</f>
        <v>15-16</v>
      </c>
      <c r="E154" s="1" t="str">
        <f ca="1">IFERROR(__xludf.DUMMYFUNCTION("""COMPUTED_VALUE"""),"+2.67")</f>
        <v>+2.67</v>
      </c>
      <c r="F154" s="1">
        <f ca="1">IFERROR(__xludf.DUMMYFUNCTION("""COMPUTED_VALUE"""),105.6)</f>
        <v>105.6</v>
      </c>
      <c r="G154" s="1">
        <f ca="1">IFERROR(__xludf.DUMMYFUNCTION("""COMPUTED_VALUE"""),133)</f>
        <v>133</v>
      </c>
      <c r="H154" s="1">
        <f ca="1">IFERROR(__xludf.DUMMYFUNCTION("""COMPUTED_VALUE"""),102.9)</f>
        <v>102.9</v>
      </c>
      <c r="I154" s="1">
        <f ca="1">IFERROR(__xludf.DUMMYFUNCTION("""COMPUTED_VALUE"""),175)</f>
        <v>175</v>
      </c>
      <c r="J154" s="1">
        <f ca="1">IFERROR(__xludf.DUMMYFUNCTION("""COMPUTED_VALUE"""),64.9)</f>
        <v>64.900000000000006</v>
      </c>
      <c r="K154" s="1">
        <f ca="1">IFERROR(__xludf.DUMMYFUNCTION("""COMPUTED_VALUE"""),221)</f>
        <v>221</v>
      </c>
      <c r="L154" s="1">
        <f ca="1">IFERROR(__xludf.DUMMYFUNCTION("""COMPUTED_VALUE"""),-0.045)</f>
        <v>-4.4999999999999998E-2</v>
      </c>
      <c r="M154" s="1">
        <f ca="1">IFERROR(__xludf.DUMMYFUNCTION("""COMPUTED_VALUE"""),288)</f>
        <v>288</v>
      </c>
      <c r="N154" s="1" t="str">
        <f ca="1">IFERROR(__xludf.DUMMYFUNCTION("""COMPUTED_VALUE"""),"+1.97")</f>
        <v>+1.97</v>
      </c>
      <c r="O154" s="1">
        <f ca="1">IFERROR(__xludf.DUMMYFUNCTION("""COMPUTED_VALUE"""),131)</f>
        <v>131</v>
      </c>
      <c r="P154" s="1">
        <f ca="1">IFERROR(__xludf.DUMMYFUNCTION("""COMPUTED_VALUE"""),104.8)</f>
        <v>104.8</v>
      </c>
      <c r="Q154" s="1">
        <f ca="1">IFERROR(__xludf.DUMMYFUNCTION("""COMPUTED_VALUE"""),102)</f>
        <v>102</v>
      </c>
      <c r="R154" s="1">
        <f ca="1">IFERROR(__xludf.DUMMYFUNCTION("""COMPUTED_VALUE"""),102.8)</f>
        <v>102.8</v>
      </c>
      <c r="S154" s="1">
        <f ca="1">IFERROR(__xludf.DUMMYFUNCTION("""COMPUTED_VALUE"""),172)</f>
        <v>172</v>
      </c>
      <c r="T154" s="1">
        <f ca="1">IFERROR(__xludf.DUMMYFUNCTION("""COMPUTED_VALUE"""),-1.18)</f>
        <v>-1.18</v>
      </c>
      <c r="U154" s="1">
        <f ca="1">IFERROR(__xludf.DUMMYFUNCTION("""COMPUTED_VALUE"""),186)</f>
        <v>186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IFERROR(__xludf.DUMMYFUNCTION("""COMPUTED_VALUE"""),"Oregon St.")</f>
        <v>Oregon St.</v>
      </c>
      <c r="C155" s="1" t="str">
        <f ca="1">IFERROR(__xludf.DUMMYFUNCTION("""COMPUTED_VALUE"""),"P10")</f>
        <v>P10</v>
      </c>
      <c r="D155" s="1" t="str">
        <f ca="1">IFERROR(__xludf.DUMMYFUNCTION("""COMPUTED_VALUE"""),"14-18")</f>
        <v>14-18</v>
      </c>
      <c r="E155" s="1" t="str">
        <f ca="1">IFERROR(__xludf.DUMMYFUNCTION("""COMPUTED_VALUE"""),"+2.54")</f>
        <v>+2.54</v>
      </c>
      <c r="F155" s="1">
        <f ca="1">IFERROR(__xludf.DUMMYFUNCTION("""COMPUTED_VALUE"""),99)</f>
        <v>99</v>
      </c>
      <c r="G155" s="1">
        <f ca="1">IFERROR(__xludf.DUMMYFUNCTION("""COMPUTED_VALUE"""),233)</f>
        <v>233</v>
      </c>
      <c r="H155" s="1">
        <f ca="1">IFERROR(__xludf.DUMMYFUNCTION("""COMPUTED_VALUE"""),96.4)</f>
        <v>96.4</v>
      </c>
      <c r="I155" s="1">
        <f ca="1">IFERROR(__xludf.DUMMYFUNCTION("""COMPUTED_VALUE"""),67)</f>
        <v>67</v>
      </c>
      <c r="J155" s="1">
        <f ca="1">IFERROR(__xludf.DUMMYFUNCTION("""COMPUTED_VALUE"""),61.3)</f>
        <v>61.3</v>
      </c>
      <c r="K155" s="1">
        <f ca="1">IFERROR(__xludf.DUMMYFUNCTION("""COMPUTED_VALUE"""),320)</f>
        <v>320</v>
      </c>
      <c r="L155" s="1">
        <f ca="1">IFERROR(__xludf.DUMMYFUNCTION("""COMPUTED_VALUE"""),-0.018)</f>
        <v>-1.7999999999999999E-2</v>
      </c>
      <c r="M155" s="1">
        <f ca="1">IFERROR(__xludf.DUMMYFUNCTION("""COMPUTED_VALUE"""),228)</f>
        <v>228</v>
      </c>
      <c r="N155" s="1" t="str">
        <f ca="1">IFERROR(__xludf.DUMMYFUNCTION("""COMPUTED_VALUE"""),"+4.78")</f>
        <v>+4.78</v>
      </c>
      <c r="O155" s="1">
        <f ca="1">IFERROR(__xludf.DUMMYFUNCTION("""COMPUTED_VALUE"""),82)</f>
        <v>82</v>
      </c>
      <c r="P155" s="1">
        <f ca="1">IFERROR(__xludf.DUMMYFUNCTION("""COMPUTED_VALUE"""),104.8)</f>
        <v>104.8</v>
      </c>
      <c r="Q155" s="1">
        <f ca="1">IFERROR(__xludf.DUMMYFUNCTION("""COMPUTED_VALUE"""),100)</f>
        <v>100</v>
      </c>
      <c r="R155" s="1">
        <f ca="1">IFERROR(__xludf.DUMMYFUNCTION("""COMPUTED_VALUE"""),100.1)</f>
        <v>100.1</v>
      </c>
      <c r="S155" s="1">
        <f ca="1">IFERROR(__xludf.DUMMYFUNCTION("""COMPUTED_VALUE"""),76)</f>
        <v>76</v>
      </c>
      <c r="T155" s="1">
        <f ca="1">IFERROR(__xludf.DUMMYFUNCTION("""COMPUTED_VALUE"""),-4.18)</f>
        <v>-4.18</v>
      </c>
      <c r="U155" s="1">
        <f ca="1">IFERROR(__xludf.DUMMYFUNCTION("""COMPUTED_VALUE"""),268)</f>
        <v>268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IFERROR(__xludf.DUMMYFUNCTION("""COMPUTED_VALUE"""),"Coastal Carolina7")</f>
        <v>Coastal Carolina7</v>
      </c>
      <c r="C156" s="1" t="str">
        <f ca="1">IFERROR(__xludf.DUMMYFUNCTION("""COMPUTED_VALUE"""),"BSth")</f>
        <v>BSth</v>
      </c>
      <c r="D156" s="1" t="str">
        <f ca="1">IFERROR(__xludf.DUMMYFUNCTION("""COMPUTED_VALUE"""),"28-7")</f>
        <v>28-7</v>
      </c>
      <c r="E156" s="1" t="str">
        <f ca="1">IFERROR(__xludf.DUMMYFUNCTION("""COMPUTED_VALUE"""),"+2.51")</f>
        <v>+2.51</v>
      </c>
      <c r="F156" s="1">
        <f ca="1">IFERROR(__xludf.DUMMYFUNCTION("""COMPUTED_VALUE"""),101.8)</f>
        <v>101.8</v>
      </c>
      <c r="G156" s="1">
        <f ca="1">IFERROR(__xludf.DUMMYFUNCTION("""COMPUTED_VALUE"""),185)</f>
        <v>185</v>
      </c>
      <c r="H156" s="1">
        <f ca="1">IFERROR(__xludf.DUMMYFUNCTION("""COMPUTED_VALUE"""),99.3)</f>
        <v>99.3</v>
      </c>
      <c r="I156" s="1">
        <f ca="1">IFERROR(__xludf.DUMMYFUNCTION("""COMPUTED_VALUE"""),102)</f>
        <v>102</v>
      </c>
      <c r="J156" s="1">
        <f ca="1">IFERROR(__xludf.DUMMYFUNCTION("""COMPUTED_VALUE"""),63.1)</f>
        <v>63.1</v>
      </c>
      <c r="K156" s="1">
        <f ca="1">IFERROR(__xludf.DUMMYFUNCTION("""COMPUTED_VALUE"""),281)</f>
        <v>281</v>
      </c>
      <c r="L156" s="1" t="str">
        <f ca="1">IFERROR(__xludf.DUMMYFUNCTION("""COMPUTED_VALUE"""),"+.022")</f>
        <v>+.022</v>
      </c>
      <c r="M156" s="1">
        <f ca="1">IFERROR(__xludf.DUMMYFUNCTION("""COMPUTED_VALUE"""),108)</f>
        <v>108</v>
      </c>
      <c r="N156" s="1">
        <f ca="1">IFERROR(__xludf.DUMMYFUNCTION("""COMPUTED_VALUE"""),-12.29)</f>
        <v>-12.29</v>
      </c>
      <c r="O156" s="1">
        <f ca="1">IFERROR(__xludf.DUMMYFUNCTION("""COMPUTED_VALUE"""),340)</f>
        <v>340</v>
      </c>
      <c r="P156" s="1">
        <f ca="1">IFERROR(__xludf.DUMMYFUNCTION("""COMPUTED_VALUE"""),95.7)</f>
        <v>95.7</v>
      </c>
      <c r="Q156" s="1">
        <f ca="1">IFERROR(__xludf.DUMMYFUNCTION("""COMPUTED_VALUE"""),332)</f>
        <v>332</v>
      </c>
      <c r="R156" s="1">
        <f ca="1">IFERROR(__xludf.DUMMYFUNCTION("""COMPUTED_VALUE"""),108)</f>
        <v>108</v>
      </c>
      <c r="S156" s="1">
        <f ca="1">IFERROR(__xludf.DUMMYFUNCTION("""COMPUTED_VALUE"""),346)</f>
        <v>346</v>
      </c>
      <c r="T156" s="1">
        <f ca="1">IFERROR(__xludf.DUMMYFUNCTION("""COMPUTED_VALUE"""),-8.03)</f>
        <v>-8.0299999999999994</v>
      </c>
      <c r="U156" s="1">
        <f ca="1">IFERROR(__xludf.DUMMYFUNCTION("""COMPUTED_VALUE"""),331)</f>
        <v>331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IFERROR(__xludf.DUMMYFUNCTION("""COMPUTED_VALUE"""),"SMU")</f>
        <v>SMU</v>
      </c>
      <c r="C157" s="1" t="str">
        <f ca="1">IFERROR(__xludf.DUMMYFUNCTION("""COMPUTED_VALUE"""),"CUSA")</f>
        <v>CUSA</v>
      </c>
      <c r="D157" s="1" t="str">
        <f ca="1">IFERROR(__xludf.DUMMYFUNCTION("""COMPUTED_VALUE"""),"14-17")</f>
        <v>14-17</v>
      </c>
      <c r="E157" s="1" t="str">
        <f ca="1">IFERROR(__xludf.DUMMYFUNCTION("""COMPUTED_VALUE"""),"+2.49")</f>
        <v>+2.49</v>
      </c>
      <c r="F157" s="1">
        <f ca="1">IFERROR(__xludf.DUMMYFUNCTION("""COMPUTED_VALUE"""),106.1)</f>
        <v>106.1</v>
      </c>
      <c r="G157" s="1">
        <f ca="1">IFERROR(__xludf.DUMMYFUNCTION("""COMPUTED_VALUE"""),126)</f>
        <v>126</v>
      </c>
      <c r="H157" s="1">
        <f ca="1">IFERROR(__xludf.DUMMYFUNCTION("""COMPUTED_VALUE"""),103.6)</f>
        <v>103.6</v>
      </c>
      <c r="I157" s="1">
        <f ca="1">IFERROR(__xludf.DUMMYFUNCTION("""COMPUTED_VALUE"""),190)</f>
        <v>190</v>
      </c>
      <c r="J157" s="1">
        <f ca="1">IFERROR(__xludf.DUMMYFUNCTION("""COMPUTED_VALUE"""),60.8)</f>
        <v>60.8</v>
      </c>
      <c r="K157" s="1">
        <f ca="1">IFERROR(__xludf.DUMMYFUNCTION("""COMPUTED_VALUE"""),329)</f>
        <v>329</v>
      </c>
      <c r="L157" s="1">
        <f ca="1">IFERROR(__xludf.DUMMYFUNCTION("""COMPUTED_VALUE"""),-0.107)</f>
        <v>-0.107</v>
      </c>
      <c r="M157" s="1">
        <f ca="1">IFERROR(__xludf.DUMMYFUNCTION("""COMPUTED_VALUE"""),342)</f>
        <v>342</v>
      </c>
      <c r="N157" s="1" t="str">
        <f ca="1">IFERROR(__xludf.DUMMYFUNCTION("""COMPUTED_VALUE"""),"+1.04")</f>
        <v>+1.04</v>
      </c>
      <c r="O157" s="1">
        <f ca="1">IFERROR(__xludf.DUMMYFUNCTION("""COMPUTED_VALUE"""),149)</f>
        <v>149</v>
      </c>
      <c r="P157" s="1">
        <f ca="1">IFERROR(__xludf.DUMMYFUNCTION("""COMPUTED_VALUE"""),102.9)</f>
        <v>102.9</v>
      </c>
      <c r="Q157" s="1">
        <f ca="1">IFERROR(__xludf.DUMMYFUNCTION("""COMPUTED_VALUE"""),168)</f>
        <v>168</v>
      </c>
      <c r="R157" s="1">
        <f ca="1">IFERROR(__xludf.DUMMYFUNCTION("""COMPUTED_VALUE"""),101.8)</f>
        <v>101.8</v>
      </c>
      <c r="S157" s="1">
        <f ca="1">IFERROR(__xludf.DUMMYFUNCTION("""COMPUTED_VALUE"""),125)</f>
        <v>125</v>
      </c>
      <c r="T157" s="1">
        <f ca="1">IFERROR(__xludf.DUMMYFUNCTION("""COMPUTED_VALUE"""),-6.06)</f>
        <v>-6.06</v>
      </c>
      <c r="U157" s="1">
        <f ca="1">IFERROR(__xludf.DUMMYFUNCTION("""COMPUTED_VALUE"""),305)</f>
        <v>305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IFERROR(__xludf.DUMMYFUNCTION("""COMPUTED_VALUE"""),"East Tennessee St.16")</f>
        <v>East Tennessee St.16</v>
      </c>
      <c r="C158" s="1" t="str">
        <f ca="1">IFERROR(__xludf.DUMMYFUNCTION("""COMPUTED_VALUE"""),"ASun")</f>
        <v>ASun</v>
      </c>
      <c r="D158" s="1" t="str">
        <f ca="1">IFERROR(__xludf.DUMMYFUNCTION("""COMPUTED_VALUE"""),"20-15")</f>
        <v>20-15</v>
      </c>
      <c r="E158" s="1" t="str">
        <f ca="1">IFERROR(__xludf.DUMMYFUNCTION("""COMPUTED_VALUE"""),"+2.47")</f>
        <v>+2.47</v>
      </c>
      <c r="F158" s="1">
        <f ca="1">IFERROR(__xludf.DUMMYFUNCTION("""COMPUTED_VALUE"""),100.9)</f>
        <v>100.9</v>
      </c>
      <c r="G158" s="1">
        <f ca="1">IFERROR(__xludf.DUMMYFUNCTION("""COMPUTED_VALUE"""),199)</f>
        <v>199</v>
      </c>
      <c r="H158" s="1">
        <f ca="1">IFERROR(__xludf.DUMMYFUNCTION("""COMPUTED_VALUE"""),98.4)</f>
        <v>98.4</v>
      </c>
      <c r="I158" s="1">
        <f ca="1">IFERROR(__xludf.DUMMYFUNCTION("""COMPUTED_VALUE"""),93)</f>
        <v>93</v>
      </c>
      <c r="J158" s="1">
        <f ca="1">IFERROR(__xludf.DUMMYFUNCTION("""COMPUTED_VALUE"""),66.8)</f>
        <v>66.8</v>
      </c>
      <c r="K158" s="1">
        <f ca="1">IFERROR(__xludf.DUMMYFUNCTION("""COMPUTED_VALUE"""),125)</f>
        <v>125</v>
      </c>
      <c r="L158" s="1">
        <f ca="1">IFERROR(__xludf.DUMMYFUNCTION("""COMPUTED_VALUE"""),-0.004)</f>
        <v>-4.0000000000000001E-3</v>
      </c>
      <c r="M158" s="1">
        <f ca="1">IFERROR(__xludf.DUMMYFUNCTION("""COMPUTED_VALUE"""),179)</f>
        <v>179</v>
      </c>
      <c r="N158" s="1">
        <f ca="1">IFERROR(__xludf.DUMMYFUNCTION("""COMPUTED_VALUE"""),-1.26)</f>
        <v>-1.26</v>
      </c>
      <c r="O158" s="1">
        <f ca="1">IFERROR(__xludf.DUMMYFUNCTION("""COMPUTED_VALUE"""),186)</f>
        <v>186</v>
      </c>
      <c r="P158" s="1">
        <f ca="1">IFERROR(__xludf.DUMMYFUNCTION("""COMPUTED_VALUE"""),102.1)</f>
        <v>102.1</v>
      </c>
      <c r="Q158" s="1">
        <f ca="1">IFERROR(__xludf.DUMMYFUNCTION("""COMPUTED_VALUE"""),187)</f>
        <v>187</v>
      </c>
      <c r="R158" s="1">
        <f ca="1">IFERROR(__xludf.DUMMYFUNCTION("""COMPUTED_VALUE"""),103.3)</f>
        <v>103.3</v>
      </c>
      <c r="S158" s="1">
        <f ca="1">IFERROR(__xludf.DUMMYFUNCTION("""COMPUTED_VALUE"""),185)</f>
        <v>185</v>
      </c>
      <c r="T158" s="1" t="str">
        <f ca="1">IFERROR(__xludf.DUMMYFUNCTION("""COMPUTED_VALUE"""),"+8.97")</f>
        <v>+8.97</v>
      </c>
      <c r="U158" s="1">
        <f ca="1">IFERROR(__xludf.DUMMYFUNCTION("""COMPUTED_VALUE"""),13)</f>
        <v>13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IFERROR(__xludf.DUMMYFUNCTION("""COMPUTED_VALUE"""),"College of Charleston")</f>
        <v>College of Charleston</v>
      </c>
      <c r="C159" s="1" t="str">
        <f ca="1">IFERROR(__xludf.DUMMYFUNCTION("""COMPUTED_VALUE"""),"SC")</f>
        <v>SC</v>
      </c>
      <c r="D159" s="1" t="str">
        <f ca="1">IFERROR(__xludf.DUMMYFUNCTION("""COMPUTED_VALUE"""),"22-12")</f>
        <v>22-12</v>
      </c>
      <c r="E159" s="1" t="str">
        <f ca="1">IFERROR(__xludf.DUMMYFUNCTION("""COMPUTED_VALUE"""),"+2.30")</f>
        <v>+2.30</v>
      </c>
      <c r="F159" s="1">
        <f ca="1">IFERROR(__xludf.DUMMYFUNCTION("""COMPUTED_VALUE"""),109.4)</f>
        <v>109.4</v>
      </c>
      <c r="G159" s="1">
        <f ca="1">IFERROR(__xludf.DUMMYFUNCTION("""COMPUTED_VALUE"""),68)</f>
        <v>68</v>
      </c>
      <c r="H159" s="1">
        <f ca="1">IFERROR(__xludf.DUMMYFUNCTION("""COMPUTED_VALUE"""),107.1)</f>
        <v>107.1</v>
      </c>
      <c r="I159" s="1">
        <f ca="1">IFERROR(__xludf.DUMMYFUNCTION("""COMPUTED_VALUE"""),257)</f>
        <v>257</v>
      </c>
      <c r="J159" s="1">
        <f ca="1">IFERROR(__xludf.DUMMYFUNCTION("""COMPUTED_VALUE"""),68.6)</f>
        <v>68.599999999999994</v>
      </c>
      <c r="K159" s="1">
        <f ca="1">IFERROR(__xludf.DUMMYFUNCTION("""COMPUTED_VALUE"""),61)</f>
        <v>61</v>
      </c>
      <c r="L159" s="1" t="str">
        <f ca="1">IFERROR(__xludf.DUMMYFUNCTION("""COMPUTED_VALUE"""),"+.100")</f>
        <v>+.100</v>
      </c>
      <c r="M159" s="1">
        <f ca="1">IFERROR(__xludf.DUMMYFUNCTION("""COMPUTED_VALUE"""),11)</f>
        <v>11</v>
      </c>
      <c r="N159" s="1">
        <f ca="1">IFERROR(__xludf.DUMMYFUNCTION("""COMPUTED_VALUE"""),-1.36)</f>
        <v>-1.36</v>
      </c>
      <c r="O159" s="1">
        <f ca="1">IFERROR(__xludf.DUMMYFUNCTION("""COMPUTED_VALUE"""),189)</f>
        <v>189</v>
      </c>
      <c r="P159" s="1">
        <f ca="1">IFERROR(__xludf.DUMMYFUNCTION("""COMPUTED_VALUE"""),102)</f>
        <v>102</v>
      </c>
      <c r="Q159" s="1">
        <f ca="1">IFERROR(__xludf.DUMMYFUNCTION("""COMPUTED_VALUE"""),190)</f>
        <v>190</v>
      </c>
      <c r="R159" s="1">
        <f ca="1">IFERROR(__xludf.DUMMYFUNCTION("""COMPUTED_VALUE"""),103.3)</f>
        <v>103.3</v>
      </c>
      <c r="S159" s="1">
        <f ca="1">IFERROR(__xludf.DUMMYFUNCTION("""COMPUTED_VALUE"""),184)</f>
        <v>184</v>
      </c>
      <c r="T159" s="1" t="str">
        <f ca="1">IFERROR(__xludf.DUMMYFUNCTION("""COMPUTED_VALUE"""),"+2.60")</f>
        <v>+2.60</v>
      </c>
      <c r="U159" s="1">
        <f ca="1">IFERROR(__xludf.DUMMYFUNCTION("""COMPUTED_VALUE"""),91)</f>
        <v>91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IFERROR(__xludf.DUMMYFUNCTION("""COMPUTED_VALUE"""),"Cleveland St.")</f>
        <v>Cleveland St.</v>
      </c>
      <c r="C160" s="1" t="str">
        <f ca="1">IFERROR(__xludf.DUMMYFUNCTION("""COMPUTED_VALUE"""),"Horz")</f>
        <v>Horz</v>
      </c>
      <c r="D160" s="1" t="str">
        <f ca="1">IFERROR(__xludf.DUMMYFUNCTION("""COMPUTED_VALUE"""),"16-17")</f>
        <v>16-17</v>
      </c>
      <c r="E160" s="1" t="str">
        <f ca="1">IFERROR(__xludf.DUMMYFUNCTION("""COMPUTED_VALUE"""),"+2.16")</f>
        <v>+2.16</v>
      </c>
      <c r="F160" s="1">
        <f ca="1">IFERROR(__xludf.DUMMYFUNCTION("""COMPUTED_VALUE"""),105.9)</f>
        <v>105.9</v>
      </c>
      <c r="G160" s="1">
        <f ca="1">IFERROR(__xludf.DUMMYFUNCTION("""COMPUTED_VALUE"""),130)</f>
        <v>130</v>
      </c>
      <c r="H160" s="1">
        <f ca="1">IFERROR(__xludf.DUMMYFUNCTION("""COMPUTED_VALUE"""),103.7)</f>
        <v>103.7</v>
      </c>
      <c r="I160" s="1">
        <f ca="1">IFERROR(__xludf.DUMMYFUNCTION("""COMPUTED_VALUE"""),197)</f>
        <v>197</v>
      </c>
      <c r="J160" s="1">
        <f ca="1">IFERROR(__xludf.DUMMYFUNCTION("""COMPUTED_VALUE"""),64.5)</f>
        <v>64.5</v>
      </c>
      <c r="K160" s="1">
        <f ca="1">IFERROR(__xludf.DUMMYFUNCTION("""COMPUTED_VALUE"""),242)</f>
        <v>242</v>
      </c>
      <c r="L160" s="1">
        <f ca="1">IFERROR(__xludf.DUMMYFUNCTION("""COMPUTED_VALUE"""),-0.01)</f>
        <v>-0.01</v>
      </c>
      <c r="M160" s="1">
        <f ca="1">IFERROR(__xludf.DUMMYFUNCTION("""COMPUTED_VALUE"""),198)</f>
        <v>198</v>
      </c>
      <c r="N160" s="1" t="str">
        <f ca="1">IFERROR(__xludf.DUMMYFUNCTION("""COMPUTED_VALUE"""),"+2.99")</f>
        <v>+2.99</v>
      </c>
      <c r="O160" s="1">
        <f ca="1">IFERROR(__xludf.DUMMYFUNCTION("""COMPUTED_VALUE"""),111)</f>
        <v>111</v>
      </c>
      <c r="P160" s="1">
        <f ca="1">IFERROR(__xludf.DUMMYFUNCTION("""COMPUTED_VALUE"""),104.7)</f>
        <v>104.7</v>
      </c>
      <c r="Q160" s="1">
        <f ca="1">IFERROR(__xludf.DUMMYFUNCTION("""COMPUTED_VALUE"""),111)</f>
        <v>111</v>
      </c>
      <c r="R160" s="1">
        <f ca="1">IFERROR(__xludf.DUMMYFUNCTION("""COMPUTED_VALUE"""),101.7)</f>
        <v>101.7</v>
      </c>
      <c r="S160" s="1">
        <f ca="1">IFERROR(__xludf.DUMMYFUNCTION("""COMPUTED_VALUE"""),116)</f>
        <v>116</v>
      </c>
      <c r="T160" s="1" t="str">
        <f ca="1">IFERROR(__xludf.DUMMYFUNCTION("""COMPUTED_VALUE"""),"+7.65")</f>
        <v>+7.65</v>
      </c>
      <c r="U160" s="1">
        <f ca="1">IFERROR(__xludf.DUMMYFUNCTION("""COMPUTED_VALUE"""),25)</f>
        <v>25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IFERROR(__xludf.DUMMYFUNCTION("""COMPUTED_VALUE"""),"UC Santa Barbara15")</f>
        <v>UC Santa Barbara15</v>
      </c>
      <c r="C161" s="1" t="str">
        <f ca="1">IFERROR(__xludf.DUMMYFUNCTION("""COMPUTED_VALUE"""),"BW")</f>
        <v>BW</v>
      </c>
      <c r="D161" s="1" t="str">
        <f ca="1">IFERROR(__xludf.DUMMYFUNCTION("""COMPUTED_VALUE"""),"20-10")</f>
        <v>20-10</v>
      </c>
      <c r="E161" s="1" t="str">
        <f ca="1">IFERROR(__xludf.DUMMYFUNCTION("""COMPUTED_VALUE"""),"+2.11")</f>
        <v>+2.11</v>
      </c>
      <c r="F161" s="1">
        <f ca="1">IFERROR(__xludf.DUMMYFUNCTION("""COMPUTED_VALUE"""),100)</f>
        <v>100</v>
      </c>
      <c r="G161" s="1">
        <f ca="1">IFERROR(__xludf.DUMMYFUNCTION("""COMPUTED_VALUE"""),212)</f>
        <v>212</v>
      </c>
      <c r="H161" s="1">
        <f ca="1">IFERROR(__xludf.DUMMYFUNCTION("""COMPUTED_VALUE"""),97.9)</f>
        <v>97.9</v>
      </c>
      <c r="I161" s="1">
        <f ca="1">IFERROR(__xludf.DUMMYFUNCTION("""COMPUTED_VALUE"""),86)</f>
        <v>86</v>
      </c>
      <c r="J161" s="1">
        <f ca="1">IFERROR(__xludf.DUMMYFUNCTION("""COMPUTED_VALUE"""),66.3)</f>
        <v>66.3</v>
      </c>
      <c r="K161" s="1">
        <f ca="1">IFERROR(__xludf.DUMMYFUNCTION("""COMPUTED_VALUE"""),150)</f>
        <v>150</v>
      </c>
      <c r="L161" s="1" t="str">
        <f ca="1">IFERROR(__xludf.DUMMYFUNCTION("""COMPUTED_VALUE"""),"+.125")</f>
        <v>+.125</v>
      </c>
      <c r="M161" s="1">
        <f ca="1">IFERROR(__xludf.DUMMYFUNCTION("""COMPUTED_VALUE"""),3)</f>
        <v>3</v>
      </c>
      <c r="N161" s="1">
        <f ca="1">IFERROR(__xludf.DUMMYFUNCTION("""COMPUTED_VALUE"""),-1)</f>
        <v>-1</v>
      </c>
      <c r="O161" s="1">
        <f ca="1">IFERROR(__xludf.DUMMYFUNCTION("""COMPUTED_VALUE"""),182)</f>
        <v>182</v>
      </c>
      <c r="P161" s="1">
        <f ca="1">IFERROR(__xludf.DUMMYFUNCTION("""COMPUTED_VALUE"""),102.8)</f>
        <v>102.8</v>
      </c>
      <c r="Q161" s="1">
        <f ca="1">IFERROR(__xludf.DUMMYFUNCTION("""COMPUTED_VALUE"""),170)</f>
        <v>170</v>
      </c>
      <c r="R161" s="1">
        <f ca="1">IFERROR(__xludf.DUMMYFUNCTION("""COMPUTED_VALUE"""),103.8)</f>
        <v>103.8</v>
      </c>
      <c r="S161" s="1">
        <f ca="1">IFERROR(__xludf.DUMMYFUNCTION("""COMPUTED_VALUE"""),202)</f>
        <v>202</v>
      </c>
      <c r="T161" s="1" t="str">
        <f ca="1">IFERROR(__xludf.DUMMYFUNCTION("""COMPUTED_VALUE"""),"+3.46")</f>
        <v>+3.46</v>
      </c>
      <c r="U161" s="1">
        <f ca="1">IFERROR(__xludf.DUMMYFUNCTION("""COMPUTED_VALUE"""),77)</f>
        <v>77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IFERROR(__xludf.DUMMYFUNCTION("""COMPUTED_VALUE"""),"Long Beach St.")</f>
        <v>Long Beach St.</v>
      </c>
      <c r="C162" s="1" t="str">
        <f ca="1">IFERROR(__xludf.DUMMYFUNCTION("""COMPUTED_VALUE"""),"BW")</f>
        <v>BW</v>
      </c>
      <c r="D162" s="1" t="str">
        <f ca="1">IFERROR(__xludf.DUMMYFUNCTION("""COMPUTED_VALUE"""),"17-16")</f>
        <v>17-16</v>
      </c>
      <c r="E162" s="1" t="str">
        <f ca="1">IFERROR(__xludf.DUMMYFUNCTION("""COMPUTED_VALUE"""),"+2.00")</f>
        <v>+2.00</v>
      </c>
      <c r="F162" s="1">
        <f ca="1">IFERROR(__xludf.DUMMYFUNCTION("""COMPUTED_VALUE"""),100.6)</f>
        <v>100.6</v>
      </c>
      <c r="G162" s="1">
        <f ca="1">IFERROR(__xludf.DUMMYFUNCTION("""COMPUTED_VALUE"""),201)</f>
        <v>201</v>
      </c>
      <c r="H162" s="1">
        <f ca="1">IFERROR(__xludf.DUMMYFUNCTION("""COMPUTED_VALUE"""),98.6)</f>
        <v>98.6</v>
      </c>
      <c r="I162" s="1">
        <f ca="1">IFERROR(__xludf.DUMMYFUNCTION("""COMPUTED_VALUE"""),94)</f>
        <v>94</v>
      </c>
      <c r="J162" s="1">
        <f ca="1">IFERROR(__xludf.DUMMYFUNCTION("""COMPUTED_VALUE"""),69.3)</f>
        <v>69.3</v>
      </c>
      <c r="K162" s="1">
        <f ca="1">IFERROR(__xludf.DUMMYFUNCTION("""COMPUTED_VALUE"""),39)</f>
        <v>39</v>
      </c>
      <c r="L162" s="1" t="str">
        <f ca="1">IFERROR(__xludf.DUMMYFUNCTION("""COMPUTED_VALUE"""),"+.033")</f>
        <v>+.033</v>
      </c>
      <c r="M162" s="1">
        <f ca="1">IFERROR(__xludf.DUMMYFUNCTION("""COMPUTED_VALUE"""),88)</f>
        <v>88</v>
      </c>
      <c r="N162" s="1" t="str">
        <f ca="1">IFERROR(__xludf.DUMMYFUNCTION("""COMPUTED_VALUE"""),"+2.82")</f>
        <v>+2.82</v>
      </c>
      <c r="O162" s="1">
        <f ca="1">IFERROR(__xludf.DUMMYFUNCTION("""COMPUTED_VALUE"""),113)</f>
        <v>113</v>
      </c>
      <c r="P162" s="1">
        <f ca="1">IFERROR(__xludf.DUMMYFUNCTION("""COMPUTED_VALUE"""),105.1)</f>
        <v>105.1</v>
      </c>
      <c r="Q162" s="1">
        <f ca="1">IFERROR(__xludf.DUMMYFUNCTION("""COMPUTED_VALUE"""),85)</f>
        <v>85</v>
      </c>
      <c r="R162" s="1">
        <f ca="1">IFERROR(__xludf.DUMMYFUNCTION("""COMPUTED_VALUE"""),102.3)</f>
        <v>102.3</v>
      </c>
      <c r="S162" s="1">
        <f ca="1">IFERROR(__xludf.DUMMYFUNCTION("""COMPUTED_VALUE"""),148)</f>
        <v>148</v>
      </c>
      <c r="T162" s="1" t="str">
        <f ca="1">IFERROR(__xludf.DUMMYFUNCTION("""COMPUTED_VALUE"""),"+15.55")</f>
        <v>+15.55</v>
      </c>
      <c r="U162" s="1">
        <f ca="1">IFERROR(__xludf.DUMMYFUNCTION("""COMPUTED_VALUE"""),2)</f>
        <v>2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IFERROR(__xludf.DUMMYFUNCTION("""COMPUTED_VALUE"""),"Western Carolina")</f>
        <v>Western Carolina</v>
      </c>
      <c r="C163" s="1" t="str">
        <f ca="1">IFERROR(__xludf.DUMMYFUNCTION("""COMPUTED_VALUE"""),"SC")</f>
        <v>SC</v>
      </c>
      <c r="D163" s="1" t="str">
        <f ca="1">IFERROR(__xludf.DUMMYFUNCTION("""COMPUTED_VALUE"""),"22-12")</f>
        <v>22-12</v>
      </c>
      <c r="E163" s="1" t="str">
        <f ca="1">IFERROR(__xludf.DUMMYFUNCTION("""COMPUTED_VALUE"""),"+1.76")</f>
        <v>+1.76</v>
      </c>
      <c r="F163" s="1">
        <f ca="1">IFERROR(__xludf.DUMMYFUNCTION("""COMPUTED_VALUE"""),105.3)</f>
        <v>105.3</v>
      </c>
      <c r="G163" s="1">
        <f ca="1">IFERROR(__xludf.DUMMYFUNCTION("""COMPUTED_VALUE"""),140)</f>
        <v>140</v>
      </c>
      <c r="H163" s="1">
        <f ca="1">IFERROR(__xludf.DUMMYFUNCTION("""COMPUTED_VALUE"""),103.6)</f>
        <v>103.6</v>
      </c>
      <c r="I163" s="1">
        <f ca="1">IFERROR(__xludf.DUMMYFUNCTION("""COMPUTED_VALUE"""),187)</f>
        <v>187</v>
      </c>
      <c r="J163" s="1">
        <f ca="1">IFERROR(__xludf.DUMMYFUNCTION("""COMPUTED_VALUE"""),69.2)</f>
        <v>69.2</v>
      </c>
      <c r="K163" s="1">
        <f ca="1">IFERROR(__xludf.DUMMYFUNCTION("""COMPUTED_VALUE"""),42)</f>
        <v>42</v>
      </c>
      <c r="L163" s="1" t="str">
        <f ca="1">IFERROR(__xludf.DUMMYFUNCTION("""COMPUTED_VALUE"""),"+.056")</f>
        <v>+.056</v>
      </c>
      <c r="M163" s="1">
        <f ca="1">IFERROR(__xludf.DUMMYFUNCTION("""COMPUTED_VALUE"""),47)</f>
        <v>47</v>
      </c>
      <c r="N163" s="1">
        <f ca="1">IFERROR(__xludf.DUMMYFUNCTION("""COMPUTED_VALUE"""),-2.35)</f>
        <v>-2.35</v>
      </c>
      <c r="O163" s="1">
        <f ca="1">IFERROR(__xludf.DUMMYFUNCTION("""COMPUTED_VALUE"""),209)</f>
        <v>209</v>
      </c>
      <c r="P163" s="1">
        <f ca="1">IFERROR(__xludf.DUMMYFUNCTION("""COMPUTED_VALUE"""),101.7)</f>
        <v>101.7</v>
      </c>
      <c r="Q163" s="1">
        <f ca="1">IFERROR(__xludf.DUMMYFUNCTION("""COMPUTED_VALUE"""),197)</f>
        <v>197</v>
      </c>
      <c r="R163" s="1">
        <f ca="1">IFERROR(__xludf.DUMMYFUNCTION("""COMPUTED_VALUE"""),104.1)</f>
        <v>104.1</v>
      </c>
      <c r="S163" s="1">
        <f ca="1">IFERROR(__xludf.DUMMYFUNCTION("""COMPUTED_VALUE"""),218)</f>
        <v>218</v>
      </c>
      <c r="T163" s="1" t="str">
        <f ca="1">IFERROR(__xludf.DUMMYFUNCTION("""COMPUTED_VALUE"""),"+3.45")</f>
        <v>+3.45</v>
      </c>
      <c r="U163" s="1">
        <f ca="1">IFERROR(__xludf.DUMMYFUNCTION("""COMPUTED_VALUE"""),78)</f>
        <v>78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IFERROR(__xludf.DUMMYFUNCTION("""COMPUTED_VALUE"""),"Morgan St.15")</f>
        <v>Morgan St.15</v>
      </c>
      <c r="C164" s="1" t="str">
        <f ca="1">IFERROR(__xludf.DUMMYFUNCTION("""COMPUTED_VALUE"""),"MEAC")</f>
        <v>MEAC</v>
      </c>
      <c r="D164" s="1" t="str">
        <f ca="1">IFERROR(__xludf.DUMMYFUNCTION("""COMPUTED_VALUE"""),"27-10")</f>
        <v>27-10</v>
      </c>
      <c r="E164" s="1" t="str">
        <f ca="1">IFERROR(__xludf.DUMMYFUNCTION("""COMPUTED_VALUE"""),"+1.58")</f>
        <v>+1.58</v>
      </c>
      <c r="F164" s="1">
        <f ca="1">IFERROR(__xludf.DUMMYFUNCTION("""COMPUTED_VALUE"""),105.5)</f>
        <v>105.5</v>
      </c>
      <c r="G164" s="1">
        <f ca="1">IFERROR(__xludf.DUMMYFUNCTION("""COMPUTED_VALUE"""),135)</f>
        <v>135</v>
      </c>
      <c r="H164" s="1">
        <f ca="1">IFERROR(__xludf.DUMMYFUNCTION("""COMPUTED_VALUE"""),104)</f>
        <v>104</v>
      </c>
      <c r="I164" s="1">
        <f ca="1">IFERROR(__xludf.DUMMYFUNCTION("""COMPUTED_VALUE"""),203)</f>
        <v>203</v>
      </c>
      <c r="J164" s="1">
        <f ca="1">IFERROR(__xludf.DUMMYFUNCTION("""COMPUTED_VALUE"""),68.6)</f>
        <v>68.599999999999994</v>
      </c>
      <c r="K164" s="1">
        <f ca="1">IFERROR(__xludf.DUMMYFUNCTION("""COMPUTED_VALUE"""),62)</f>
        <v>62</v>
      </c>
      <c r="L164" s="1" t="str">
        <f ca="1">IFERROR(__xludf.DUMMYFUNCTION("""COMPUTED_VALUE"""),"+.078")</f>
        <v>+.078</v>
      </c>
      <c r="M164" s="1">
        <f ca="1">IFERROR(__xludf.DUMMYFUNCTION("""COMPUTED_VALUE"""),24)</f>
        <v>24</v>
      </c>
      <c r="N164" s="1">
        <f ca="1">IFERROR(__xludf.DUMMYFUNCTION("""COMPUTED_VALUE"""),-7.71)</f>
        <v>-7.71</v>
      </c>
      <c r="O164" s="1">
        <f ca="1">IFERROR(__xludf.DUMMYFUNCTION("""COMPUTED_VALUE"""),302)</f>
        <v>302</v>
      </c>
      <c r="P164" s="1">
        <f ca="1">IFERROR(__xludf.DUMMYFUNCTION("""COMPUTED_VALUE"""),98.2)</f>
        <v>98.2</v>
      </c>
      <c r="Q164" s="1">
        <f ca="1">IFERROR(__xludf.DUMMYFUNCTION("""COMPUTED_VALUE"""),300)</f>
        <v>300</v>
      </c>
      <c r="R164" s="1">
        <f ca="1">IFERROR(__xludf.DUMMYFUNCTION("""COMPUTED_VALUE"""),105.9)</f>
        <v>105.9</v>
      </c>
      <c r="S164" s="1">
        <f ca="1">IFERROR(__xludf.DUMMYFUNCTION("""COMPUTED_VALUE"""),301)</f>
        <v>301</v>
      </c>
      <c r="T164" s="1" t="str">
        <f ca="1">IFERROR(__xludf.DUMMYFUNCTION("""COMPUTED_VALUE"""),"+0.13")</f>
        <v>+0.13</v>
      </c>
      <c r="U164" s="1">
        <f ca="1">IFERROR(__xludf.DUMMYFUNCTION("""COMPUTED_VALUE"""),143)</f>
        <v>143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IFERROR(__xludf.DUMMYFUNCTION("""COMPUTED_VALUE"""),"Stephen F. Austin")</f>
        <v>Stephen F. Austin</v>
      </c>
      <c r="C165" s="1" t="str">
        <f ca="1">IFERROR(__xludf.DUMMYFUNCTION("""COMPUTED_VALUE"""),"Slnd")</f>
        <v>Slnd</v>
      </c>
      <c r="D165" s="1" t="str">
        <f ca="1">IFERROR(__xludf.DUMMYFUNCTION("""COMPUTED_VALUE"""),"23-9")</f>
        <v>23-9</v>
      </c>
      <c r="E165" s="1" t="str">
        <f ca="1">IFERROR(__xludf.DUMMYFUNCTION("""COMPUTED_VALUE"""),"+1.47")</f>
        <v>+1.47</v>
      </c>
      <c r="F165" s="1">
        <f ca="1">IFERROR(__xludf.DUMMYFUNCTION("""COMPUTED_VALUE"""),103)</f>
        <v>103</v>
      </c>
      <c r="G165" s="1">
        <f ca="1">IFERROR(__xludf.DUMMYFUNCTION("""COMPUTED_VALUE"""),169)</f>
        <v>169</v>
      </c>
      <c r="H165" s="1">
        <f ca="1">IFERROR(__xludf.DUMMYFUNCTION("""COMPUTED_VALUE"""),101.5)</f>
        <v>101.5</v>
      </c>
      <c r="I165" s="1">
        <f ca="1">IFERROR(__xludf.DUMMYFUNCTION("""COMPUTED_VALUE"""),147)</f>
        <v>147</v>
      </c>
      <c r="J165" s="1">
        <f ca="1">IFERROR(__xludf.DUMMYFUNCTION("""COMPUTED_VALUE"""),58.7)</f>
        <v>58.7</v>
      </c>
      <c r="K165" s="1">
        <f ca="1">IFERROR(__xludf.DUMMYFUNCTION("""COMPUTED_VALUE"""),342)</f>
        <v>342</v>
      </c>
      <c r="L165" s="1" t="str">
        <f ca="1">IFERROR(__xludf.DUMMYFUNCTION("""COMPUTED_VALUE"""),"+.043")</f>
        <v>+.043</v>
      </c>
      <c r="M165" s="1">
        <f ca="1">IFERROR(__xludf.DUMMYFUNCTION("""COMPUTED_VALUE"""),73)</f>
        <v>73</v>
      </c>
      <c r="N165" s="1">
        <f ca="1">IFERROR(__xludf.DUMMYFUNCTION("""COMPUTED_VALUE"""),-7.8)</f>
        <v>-7.8</v>
      </c>
      <c r="O165" s="1">
        <f ca="1">IFERROR(__xludf.DUMMYFUNCTION("""COMPUTED_VALUE"""),304)</f>
        <v>304</v>
      </c>
      <c r="P165" s="1">
        <f ca="1">IFERROR(__xludf.DUMMYFUNCTION("""COMPUTED_VALUE"""),98.5)</f>
        <v>98.5</v>
      </c>
      <c r="Q165" s="1">
        <f ca="1">IFERROR(__xludf.DUMMYFUNCTION("""COMPUTED_VALUE"""),295)</f>
        <v>295</v>
      </c>
      <c r="R165" s="1">
        <f ca="1">IFERROR(__xludf.DUMMYFUNCTION("""COMPUTED_VALUE"""),106.3)</f>
        <v>106.3</v>
      </c>
      <c r="S165" s="1">
        <f ca="1">IFERROR(__xludf.DUMMYFUNCTION("""COMPUTED_VALUE"""),318)</f>
        <v>318</v>
      </c>
      <c r="T165" s="1">
        <f ca="1">IFERROR(__xludf.DUMMYFUNCTION("""COMPUTED_VALUE"""),-7.74)</f>
        <v>-7.74</v>
      </c>
      <c r="U165" s="1">
        <f ca="1">IFERROR(__xludf.DUMMYFUNCTION("""COMPUTED_VALUE"""),327)</f>
        <v>327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IFERROR(__xludf.DUMMYFUNCTION("""COMPUTED_VALUE"""),"Buffalo")</f>
        <v>Buffalo</v>
      </c>
      <c r="C166" s="1" t="str">
        <f ca="1">IFERROR(__xludf.DUMMYFUNCTION("""COMPUTED_VALUE"""),"MAC")</f>
        <v>MAC</v>
      </c>
      <c r="D166" s="1" t="str">
        <f ca="1">IFERROR(__xludf.DUMMYFUNCTION("""COMPUTED_VALUE"""),"18-12")</f>
        <v>18-12</v>
      </c>
      <c r="E166" s="1" t="str">
        <f ca="1">IFERROR(__xludf.DUMMYFUNCTION("""COMPUTED_VALUE"""),"+1.47")</f>
        <v>+1.47</v>
      </c>
      <c r="F166" s="1">
        <f ca="1">IFERROR(__xludf.DUMMYFUNCTION("""COMPUTED_VALUE"""),106.6)</f>
        <v>106.6</v>
      </c>
      <c r="G166" s="1">
        <f ca="1">IFERROR(__xludf.DUMMYFUNCTION("""COMPUTED_VALUE"""),112)</f>
        <v>112</v>
      </c>
      <c r="H166" s="1">
        <f ca="1">IFERROR(__xludf.DUMMYFUNCTION("""COMPUTED_VALUE"""),105.1)</f>
        <v>105.1</v>
      </c>
      <c r="I166" s="1">
        <f ca="1">IFERROR(__xludf.DUMMYFUNCTION("""COMPUTED_VALUE"""),226)</f>
        <v>226</v>
      </c>
      <c r="J166" s="1">
        <f ca="1">IFERROR(__xludf.DUMMYFUNCTION("""COMPUTED_VALUE"""),68.2)</f>
        <v>68.2</v>
      </c>
      <c r="K166" s="1">
        <f ca="1">IFERROR(__xludf.DUMMYFUNCTION("""COMPUTED_VALUE"""),68)</f>
        <v>68</v>
      </c>
      <c r="L166" s="1" t="str">
        <f ca="1">IFERROR(__xludf.DUMMYFUNCTION("""COMPUTED_VALUE"""),"+.065")</f>
        <v>+.065</v>
      </c>
      <c r="M166" s="1">
        <f ca="1">IFERROR(__xludf.DUMMYFUNCTION("""COMPUTED_VALUE"""),41)</f>
        <v>41</v>
      </c>
      <c r="N166" s="1">
        <f ca="1">IFERROR(__xludf.DUMMYFUNCTION("""COMPUTED_VALUE"""),-0.92)</f>
        <v>-0.92</v>
      </c>
      <c r="O166" s="1">
        <f ca="1">IFERROR(__xludf.DUMMYFUNCTION("""COMPUTED_VALUE"""),181)</f>
        <v>181</v>
      </c>
      <c r="P166" s="1">
        <f ca="1">IFERROR(__xludf.DUMMYFUNCTION("""COMPUTED_VALUE"""),101.2)</f>
        <v>101.2</v>
      </c>
      <c r="Q166" s="1">
        <f ca="1">IFERROR(__xludf.DUMMYFUNCTION("""COMPUTED_VALUE"""),219)</f>
        <v>219</v>
      </c>
      <c r="R166" s="1">
        <f ca="1">IFERROR(__xludf.DUMMYFUNCTION("""COMPUTED_VALUE"""),102.1)</f>
        <v>102.1</v>
      </c>
      <c r="S166" s="1">
        <f ca="1">IFERROR(__xludf.DUMMYFUNCTION("""COMPUTED_VALUE"""),139)</f>
        <v>139</v>
      </c>
      <c r="T166" s="1">
        <f ca="1">IFERROR(__xludf.DUMMYFUNCTION("""COMPUTED_VALUE"""),-0.72)</f>
        <v>-0.72</v>
      </c>
      <c r="U166" s="1">
        <f ca="1">IFERROR(__xludf.DUMMYFUNCTION("""COMPUTED_VALUE"""),164)</f>
        <v>164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IFERROR(__xludf.DUMMYFUNCTION("""COMPUTED_VALUE"""),"Rutgers")</f>
        <v>Rutgers</v>
      </c>
      <c r="C167" s="1" t="str">
        <f ca="1">IFERROR(__xludf.DUMMYFUNCTION("""COMPUTED_VALUE"""),"BE")</f>
        <v>BE</v>
      </c>
      <c r="D167" s="1" t="str">
        <f ca="1">IFERROR(__xludf.DUMMYFUNCTION("""COMPUTED_VALUE"""),"15-17")</f>
        <v>15-17</v>
      </c>
      <c r="E167" s="1" t="str">
        <f ca="1">IFERROR(__xludf.DUMMYFUNCTION("""COMPUTED_VALUE"""),"+1.37")</f>
        <v>+1.37</v>
      </c>
      <c r="F167" s="1">
        <f ca="1">IFERROR(__xludf.DUMMYFUNCTION("""COMPUTED_VALUE"""),103.4)</f>
        <v>103.4</v>
      </c>
      <c r="G167" s="1">
        <f ca="1">IFERROR(__xludf.DUMMYFUNCTION("""COMPUTED_VALUE"""),163)</f>
        <v>163</v>
      </c>
      <c r="H167" s="1">
        <f ca="1">IFERROR(__xludf.DUMMYFUNCTION("""COMPUTED_VALUE"""),102)</f>
        <v>102</v>
      </c>
      <c r="I167" s="1">
        <f ca="1">IFERROR(__xludf.DUMMYFUNCTION("""COMPUTED_VALUE"""),158)</f>
        <v>158</v>
      </c>
      <c r="J167" s="1">
        <f ca="1">IFERROR(__xludf.DUMMYFUNCTION("""COMPUTED_VALUE"""),67.5)</f>
        <v>67.5</v>
      </c>
      <c r="K167" s="1">
        <f ca="1">IFERROR(__xludf.DUMMYFUNCTION("""COMPUTED_VALUE"""),96)</f>
        <v>96</v>
      </c>
      <c r="L167" s="1" t="str">
        <f ca="1">IFERROR(__xludf.DUMMYFUNCTION("""COMPUTED_VALUE"""),"+.071")</f>
        <v>+.071</v>
      </c>
      <c r="M167" s="1">
        <f ca="1">IFERROR(__xludf.DUMMYFUNCTION("""COMPUTED_VALUE"""),32)</f>
        <v>32</v>
      </c>
      <c r="N167" s="1" t="str">
        <f ca="1">IFERROR(__xludf.DUMMYFUNCTION("""COMPUTED_VALUE"""),"+6.89")</f>
        <v>+6.89</v>
      </c>
      <c r="O167" s="1">
        <f ca="1">IFERROR(__xludf.DUMMYFUNCTION("""COMPUTED_VALUE"""),59)</f>
        <v>59</v>
      </c>
      <c r="P167" s="1">
        <f ca="1">IFERROR(__xludf.DUMMYFUNCTION("""COMPUTED_VALUE"""),106.2)</f>
        <v>106.2</v>
      </c>
      <c r="Q167" s="1">
        <f ca="1">IFERROR(__xludf.DUMMYFUNCTION("""COMPUTED_VALUE"""),65)</f>
        <v>65</v>
      </c>
      <c r="R167" s="1">
        <f ca="1">IFERROR(__xludf.DUMMYFUNCTION("""COMPUTED_VALUE"""),99.3)</f>
        <v>99.3</v>
      </c>
      <c r="S167" s="1">
        <f ca="1">IFERROR(__xludf.DUMMYFUNCTION("""COMPUTED_VALUE"""),51)</f>
        <v>51</v>
      </c>
      <c r="T167" s="1">
        <f ca="1">IFERROR(__xludf.DUMMYFUNCTION("""COMPUTED_VALUE"""),-7.67)</f>
        <v>-7.67</v>
      </c>
      <c r="U167" s="1">
        <f ca="1">IFERROR(__xludf.DUMMYFUNCTION("""COMPUTED_VALUE"""),325)</f>
        <v>325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IFERROR(__xludf.DUMMYFUNCTION("""COMPUTED_VALUE"""),"La Salle")</f>
        <v>La Salle</v>
      </c>
      <c r="C168" s="1" t="str">
        <f ca="1">IFERROR(__xludf.DUMMYFUNCTION("""COMPUTED_VALUE"""),"A10")</f>
        <v>A10</v>
      </c>
      <c r="D168" s="2">
        <f ca="1">IFERROR(__xludf.DUMMYFUNCTION("""COMPUTED_VALUE"""),44913)</f>
        <v>44913</v>
      </c>
      <c r="E168" s="1" t="str">
        <f ca="1">IFERROR(__xludf.DUMMYFUNCTION("""COMPUTED_VALUE"""),"+1.18")</f>
        <v>+1.18</v>
      </c>
      <c r="F168" s="1">
        <f ca="1">IFERROR(__xludf.DUMMYFUNCTION("""COMPUTED_VALUE"""),106.2)</f>
        <v>106.2</v>
      </c>
      <c r="G168" s="1">
        <f ca="1">IFERROR(__xludf.DUMMYFUNCTION("""COMPUTED_VALUE"""),121)</f>
        <v>121</v>
      </c>
      <c r="H168" s="1">
        <f ca="1">IFERROR(__xludf.DUMMYFUNCTION("""COMPUTED_VALUE"""),105.1)</f>
        <v>105.1</v>
      </c>
      <c r="I168" s="1">
        <f ca="1">IFERROR(__xludf.DUMMYFUNCTION("""COMPUTED_VALUE"""),224)</f>
        <v>224</v>
      </c>
      <c r="J168" s="1">
        <f ca="1">IFERROR(__xludf.DUMMYFUNCTION("""COMPUTED_VALUE"""),67.3)</f>
        <v>67.3</v>
      </c>
      <c r="K168" s="1">
        <f ca="1">IFERROR(__xludf.DUMMYFUNCTION("""COMPUTED_VALUE"""),102)</f>
        <v>102</v>
      </c>
      <c r="L168" s="1">
        <f ca="1">IFERROR(__xludf.DUMMYFUNCTION("""COMPUTED_VALUE"""),-0.015)</f>
        <v>-1.4999999999999999E-2</v>
      </c>
      <c r="M168" s="1">
        <f ca="1">IFERROR(__xludf.DUMMYFUNCTION("""COMPUTED_VALUE"""),215)</f>
        <v>215</v>
      </c>
      <c r="N168" s="1" t="str">
        <f ca="1">IFERROR(__xludf.DUMMYFUNCTION("""COMPUTED_VALUE"""),"+3.91")</f>
        <v>+3.91</v>
      </c>
      <c r="O168" s="1">
        <f ca="1">IFERROR(__xludf.DUMMYFUNCTION("""COMPUTED_VALUE"""),96)</f>
        <v>96</v>
      </c>
      <c r="P168" s="1">
        <f ca="1">IFERROR(__xludf.DUMMYFUNCTION("""COMPUTED_VALUE"""),104.5)</f>
        <v>104.5</v>
      </c>
      <c r="Q168" s="1">
        <f ca="1">IFERROR(__xludf.DUMMYFUNCTION("""COMPUTED_VALUE"""),117)</f>
        <v>117</v>
      </c>
      <c r="R168" s="1">
        <f ca="1">IFERROR(__xludf.DUMMYFUNCTION("""COMPUTED_VALUE"""),100.6)</f>
        <v>100.6</v>
      </c>
      <c r="S168" s="1">
        <f ca="1">IFERROR(__xludf.DUMMYFUNCTION("""COMPUTED_VALUE"""),90)</f>
        <v>90</v>
      </c>
      <c r="T168" s="1">
        <f ca="1">IFERROR(__xludf.DUMMYFUNCTION("""COMPUTED_VALUE"""),-0.03)</f>
        <v>-0.03</v>
      </c>
      <c r="U168" s="1">
        <f ca="1">IFERROR(__xludf.DUMMYFUNCTION("""COMPUTED_VALUE"""),149)</f>
        <v>149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IFERROR(__xludf.DUMMYFUNCTION("""COMPUTED_VALUE"""),"Boise St.")</f>
        <v>Boise St.</v>
      </c>
      <c r="C171" s="1" t="str">
        <f ca="1">IFERROR(__xludf.DUMMYFUNCTION("""COMPUTED_VALUE"""),"WAC")</f>
        <v>WAC</v>
      </c>
      <c r="D171" s="1" t="str">
        <f ca="1">IFERROR(__xludf.DUMMYFUNCTION("""COMPUTED_VALUE"""),"15-17")</f>
        <v>15-17</v>
      </c>
      <c r="E171" s="1" t="str">
        <f ca="1">IFERROR(__xludf.DUMMYFUNCTION("""COMPUTED_VALUE"""),"+0.94")</f>
        <v>+0.94</v>
      </c>
      <c r="F171" s="1">
        <f ca="1">IFERROR(__xludf.DUMMYFUNCTION("""COMPUTED_VALUE"""),102.2)</f>
        <v>102.2</v>
      </c>
      <c r="G171" s="1">
        <f ca="1">IFERROR(__xludf.DUMMYFUNCTION("""COMPUTED_VALUE"""),182)</f>
        <v>182</v>
      </c>
      <c r="H171" s="1">
        <f ca="1">IFERROR(__xludf.DUMMYFUNCTION("""COMPUTED_VALUE"""),101.3)</f>
        <v>101.3</v>
      </c>
      <c r="I171" s="1">
        <f ca="1">IFERROR(__xludf.DUMMYFUNCTION("""COMPUTED_VALUE"""),142)</f>
        <v>142</v>
      </c>
      <c r="J171" s="1">
        <f ca="1">IFERROR(__xludf.DUMMYFUNCTION("""COMPUTED_VALUE"""),69.5)</f>
        <v>69.5</v>
      </c>
      <c r="K171" s="1">
        <f ca="1">IFERROR(__xludf.DUMMYFUNCTION("""COMPUTED_VALUE"""),35)</f>
        <v>35</v>
      </c>
      <c r="L171" s="1">
        <f ca="1">IFERROR(__xludf.DUMMYFUNCTION("""COMPUTED_VALUE"""),-0.064)</f>
        <v>-6.4000000000000001E-2</v>
      </c>
      <c r="M171" s="1">
        <f ca="1">IFERROR(__xludf.DUMMYFUNCTION("""COMPUTED_VALUE"""),313)</f>
        <v>313</v>
      </c>
      <c r="N171" s="1">
        <f ca="1">IFERROR(__xludf.DUMMYFUNCTION("""COMPUTED_VALUE"""),-0.68)</f>
        <v>-0.68</v>
      </c>
      <c r="O171" s="1">
        <f ca="1">IFERROR(__xludf.DUMMYFUNCTION("""COMPUTED_VALUE"""),175)</f>
        <v>175</v>
      </c>
      <c r="P171" s="1">
        <f ca="1">IFERROR(__xludf.DUMMYFUNCTION("""COMPUTED_VALUE"""),104.7)</f>
        <v>104.7</v>
      </c>
      <c r="Q171" s="1">
        <f ca="1">IFERROR(__xludf.DUMMYFUNCTION("""COMPUTED_VALUE"""),108)</f>
        <v>108</v>
      </c>
      <c r="R171" s="1">
        <f ca="1">IFERROR(__xludf.DUMMYFUNCTION("""COMPUTED_VALUE"""),105.4)</f>
        <v>105.4</v>
      </c>
      <c r="S171" s="1">
        <f ca="1">IFERROR(__xludf.DUMMYFUNCTION("""COMPUTED_VALUE"""),281)</f>
        <v>281</v>
      </c>
      <c r="T171" s="1">
        <f ca="1">IFERROR(__xludf.DUMMYFUNCTION("""COMPUTED_VALUE"""),-7.53)</f>
        <v>-7.53</v>
      </c>
      <c r="U171" s="1">
        <f ca="1">IFERROR(__xludf.DUMMYFUNCTION("""COMPUTED_VALUE"""),322)</f>
        <v>322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IFERROR(__xludf.DUMMYFUNCTION("""COMPUTED_VALUE"""),"George Mason")</f>
        <v>George Mason</v>
      </c>
      <c r="C172" s="1" t="str">
        <f ca="1">IFERROR(__xludf.DUMMYFUNCTION("""COMPUTED_VALUE"""),"CAA")</f>
        <v>CAA</v>
      </c>
      <c r="D172" s="1" t="str">
        <f ca="1">IFERROR(__xludf.DUMMYFUNCTION("""COMPUTED_VALUE"""),"17-15")</f>
        <v>17-15</v>
      </c>
      <c r="E172" s="1" t="str">
        <f ca="1">IFERROR(__xludf.DUMMYFUNCTION("""COMPUTED_VALUE"""),"+0.91")</f>
        <v>+0.91</v>
      </c>
      <c r="F172" s="1">
        <f ca="1">IFERROR(__xludf.DUMMYFUNCTION("""COMPUTED_VALUE"""),102.8)</f>
        <v>102.8</v>
      </c>
      <c r="G172" s="1">
        <f ca="1">IFERROR(__xludf.DUMMYFUNCTION("""COMPUTED_VALUE"""),171)</f>
        <v>171</v>
      </c>
      <c r="H172" s="1">
        <f ca="1">IFERROR(__xludf.DUMMYFUNCTION("""COMPUTED_VALUE"""),101.9)</f>
        <v>101.9</v>
      </c>
      <c r="I172" s="1">
        <f ca="1">IFERROR(__xludf.DUMMYFUNCTION("""COMPUTED_VALUE"""),156)</f>
        <v>156</v>
      </c>
      <c r="J172" s="1">
        <f ca="1">IFERROR(__xludf.DUMMYFUNCTION("""COMPUTED_VALUE"""),64.6)</f>
        <v>64.599999999999994</v>
      </c>
      <c r="K172" s="1">
        <f ca="1">IFERROR(__xludf.DUMMYFUNCTION("""COMPUTED_VALUE"""),233)</f>
        <v>233</v>
      </c>
      <c r="L172" s="1" t="str">
        <f ca="1">IFERROR(__xludf.DUMMYFUNCTION("""COMPUTED_VALUE"""),"+.049")</f>
        <v>+.049</v>
      </c>
      <c r="M172" s="1">
        <f ca="1">IFERROR(__xludf.DUMMYFUNCTION("""COMPUTED_VALUE"""),60)</f>
        <v>60</v>
      </c>
      <c r="N172" s="1" t="str">
        <f ca="1">IFERROR(__xludf.DUMMYFUNCTION("""COMPUTED_VALUE"""),"+0.72")</f>
        <v>+0.72</v>
      </c>
      <c r="O172" s="1">
        <f ca="1">IFERROR(__xludf.DUMMYFUNCTION("""COMPUTED_VALUE"""),156)</f>
        <v>156</v>
      </c>
      <c r="P172" s="1">
        <f ca="1">IFERROR(__xludf.DUMMYFUNCTION("""COMPUTED_VALUE"""),102.7)</f>
        <v>102.7</v>
      </c>
      <c r="Q172" s="1">
        <f ca="1">IFERROR(__xludf.DUMMYFUNCTION("""COMPUTED_VALUE"""),173)</f>
        <v>173</v>
      </c>
      <c r="R172" s="1">
        <f ca="1">IFERROR(__xludf.DUMMYFUNCTION("""COMPUTED_VALUE"""),101.9)</f>
        <v>101.9</v>
      </c>
      <c r="S172" s="1">
        <f ca="1">IFERROR(__xludf.DUMMYFUNCTION("""COMPUTED_VALUE"""),133)</f>
        <v>133</v>
      </c>
      <c r="T172" s="1">
        <f ca="1">IFERROR(__xludf.DUMMYFUNCTION("""COMPUTED_VALUE"""),-1.22)</f>
        <v>-1.22</v>
      </c>
      <c r="U172" s="1">
        <f ca="1">IFERROR(__xludf.DUMMYFUNCTION("""COMPUTED_VALUE"""),192)</f>
        <v>192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IFERROR(__xludf.DUMMYFUNCTION("""COMPUTED_VALUE"""),"Campbell")</f>
        <v>Campbell</v>
      </c>
      <c r="C173" s="1" t="str">
        <f ca="1">IFERROR(__xludf.DUMMYFUNCTION("""COMPUTED_VALUE"""),"ASun")</f>
        <v>ASun</v>
      </c>
      <c r="D173" s="1" t="str">
        <f ca="1">IFERROR(__xludf.DUMMYFUNCTION("""COMPUTED_VALUE"""),"19-11")</f>
        <v>19-11</v>
      </c>
      <c r="E173" s="1" t="str">
        <f ca="1">IFERROR(__xludf.DUMMYFUNCTION("""COMPUTED_VALUE"""),"+0.85")</f>
        <v>+0.85</v>
      </c>
      <c r="F173" s="1">
        <f ca="1">IFERROR(__xludf.DUMMYFUNCTION("""COMPUTED_VALUE"""),100.5)</f>
        <v>100.5</v>
      </c>
      <c r="G173" s="1">
        <f ca="1">IFERROR(__xludf.DUMMYFUNCTION("""COMPUTED_VALUE"""),202)</f>
        <v>202</v>
      </c>
      <c r="H173" s="1">
        <f ca="1">IFERROR(__xludf.DUMMYFUNCTION("""COMPUTED_VALUE"""),99.7)</f>
        <v>99.7</v>
      </c>
      <c r="I173" s="1">
        <f ca="1">IFERROR(__xludf.DUMMYFUNCTION("""COMPUTED_VALUE"""),112)</f>
        <v>112</v>
      </c>
      <c r="J173" s="1">
        <f ca="1">IFERROR(__xludf.DUMMYFUNCTION("""COMPUTED_VALUE"""),64.2)</f>
        <v>64.2</v>
      </c>
      <c r="K173" s="1">
        <f ca="1">IFERROR(__xludf.DUMMYFUNCTION("""COMPUTED_VALUE"""),251)</f>
        <v>251</v>
      </c>
      <c r="L173" s="1" t="str">
        <f ca="1">IFERROR(__xludf.DUMMYFUNCTION("""COMPUTED_VALUE"""),"+.002")</f>
        <v>+.002</v>
      </c>
      <c r="M173" s="1">
        <f ca="1">IFERROR(__xludf.DUMMYFUNCTION("""COMPUTED_VALUE"""),164)</f>
        <v>164</v>
      </c>
      <c r="N173" s="1">
        <f ca="1">IFERROR(__xludf.DUMMYFUNCTION("""COMPUTED_VALUE"""),-5.22)</f>
        <v>-5.22</v>
      </c>
      <c r="O173" s="1">
        <f ca="1">IFERROR(__xludf.DUMMYFUNCTION("""COMPUTED_VALUE"""),260)</f>
        <v>260</v>
      </c>
      <c r="P173" s="1">
        <f ca="1">IFERROR(__xludf.DUMMYFUNCTION("""COMPUTED_VALUE"""),99.9)</f>
        <v>99.9</v>
      </c>
      <c r="Q173" s="1">
        <f ca="1">IFERROR(__xludf.DUMMYFUNCTION("""COMPUTED_VALUE"""),260)</f>
        <v>260</v>
      </c>
      <c r="R173" s="1">
        <f ca="1">IFERROR(__xludf.DUMMYFUNCTION("""COMPUTED_VALUE"""),105.1)</f>
        <v>105.1</v>
      </c>
      <c r="S173" s="1">
        <f ca="1">IFERROR(__xludf.DUMMYFUNCTION("""COMPUTED_VALUE"""),259)</f>
        <v>259</v>
      </c>
      <c r="T173" s="1">
        <f ca="1">IFERROR(__xludf.DUMMYFUNCTION("""COMPUTED_VALUE"""),-1.95)</f>
        <v>-1.95</v>
      </c>
      <c r="U173" s="1">
        <f ca="1">IFERROR(__xludf.DUMMYFUNCTION("""COMPUTED_VALUE"""),215)</f>
        <v>215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IFERROR(__xludf.DUMMYFUNCTION("""COMPUTED_VALUE"""),"Middle Tennessee")</f>
        <v>Middle Tennessee</v>
      </c>
      <c r="C174" s="1" t="str">
        <f ca="1">IFERROR(__xludf.DUMMYFUNCTION("""COMPUTED_VALUE"""),"SB")</f>
        <v>SB</v>
      </c>
      <c r="D174" s="1" t="str">
        <f ca="1">IFERROR(__xludf.DUMMYFUNCTION("""COMPUTED_VALUE"""),"19-14")</f>
        <v>19-14</v>
      </c>
      <c r="E174" s="1" t="str">
        <f ca="1">IFERROR(__xludf.DUMMYFUNCTION("""COMPUTED_VALUE"""),"+0.65")</f>
        <v>+0.65</v>
      </c>
      <c r="F174" s="1">
        <f ca="1">IFERROR(__xludf.DUMMYFUNCTION("""COMPUTED_VALUE"""),101.4)</f>
        <v>101.4</v>
      </c>
      <c r="G174" s="1">
        <f ca="1">IFERROR(__xludf.DUMMYFUNCTION("""COMPUTED_VALUE"""),189)</f>
        <v>189</v>
      </c>
      <c r="H174" s="1">
        <f ca="1">IFERROR(__xludf.DUMMYFUNCTION("""COMPUTED_VALUE"""),100.7)</f>
        <v>100.7</v>
      </c>
      <c r="I174" s="1">
        <f ca="1">IFERROR(__xludf.DUMMYFUNCTION("""COMPUTED_VALUE"""),129)</f>
        <v>129</v>
      </c>
      <c r="J174" s="1">
        <f ca="1">IFERROR(__xludf.DUMMYFUNCTION("""COMPUTED_VALUE"""),64.7)</f>
        <v>64.7</v>
      </c>
      <c r="K174" s="1">
        <f ca="1">IFERROR(__xludf.DUMMYFUNCTION("""COMPUTED_VALUE"""),231)</f>
        <v>231</v>
      </c>
      <c r="L174" s="1">
        <f ca="1">IFERROR(__xludf.DUMMYFUNCTION("""COMPUTED_VALUE"""),-0.044)</f>
        <v>-4.3999999999999997E-2</v>
      </c>
      <c r="M174" s="1">
        <f ca="1">IFERROR(__xludf.DUMMYFUNCTION("""COMPUTED_VALUE"""),286)</f>
        <v>286</v>
      </c>
      <c r="N174" s="1">
        <f ca="1">IFERROR(__xludf.DUMMYFUNCTION("""COMPUTED_VALUE"""),-4.83)</f>
        <v>-4.83</v>
      </c>
      <c r="O174" s="1">
        <f ca="1">IFERROR(__xludf.DUMMYFUNCTION("""COMPUTED_VALUE"""),254)</f>
        <v>254</v>
      </c>
      <c r="P174" s="1">
        <f ca="1">IFERROR(__xludf.DUMMYFUNCTION("""COMPUTED_VALUE"""),100.6)</f>
        <v>100.6</v>
      </c>
      <c r="Q174" s="1">
        <f ca="1">IFERROR(__xludf.DUMMYFUNCTION("""COMPUTED_VALUE"""),239)</f>
        <v>239</v>
      </c>
      <c r="R174" s="1">
        <f ca="1">IFERROR(__xludf.DUMMYFUNCTION("""COMPUTED_VALUE"""),105.4)</f>
        <v>105.4</v>
      </c>
      <c r="S174" s="1">
        <f ca="1">IFERROR(__xludf.DUMMYFUNCTION("""COMPUTED_VALUE"""),280)</f>
        <v>280</v>
      </c>
      <c r="T174" s="1">
        <f ca="1">IFERROR(__xludf.DUMMYFUNCTION("""COMPUTED_VALUE"""),-1.97)</f>
        <v>-1.97</v>
      </c>
      <c r="U174" s="1">
        <f ca="1">IFERROR(__xludf.DUMMYFUNCTION("""COMPUTED_VALUE"""),217)</f>
        <v>217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IFERROR(__xludf.DUMMYFUNCTION("""COMPUTED_VALUE"""),"Fresno St.")</f>
        <v>Fresno St.</v>
      </c>
      <c r="C175" s="1" t="str">
        <f ca="1">IFERROR(__xludf.DUMMYFUNCTION("""COMPUTED_VALUE"""),"WAC")</f>
        <v>WAC</v>
      </c>
      <c r="D175" s="1" t="str">
        <f ca="1">IFERROR(__xludf.DUMMYFUNCTION("""COMPUTED_VALUE"""),"15-18")</f>
        <v>15-18</v>
      </c>
      <c r="E175" s="1" t="str">
        <f ca="1">IFERROR(__xludf.DUMMYFUNCTION("""COMPUTED_VALUE"""),"+0.58")</f>
        <v>+0.58</v>
      </c>
      <c r="F175" s="1">
        <f ca="1">IFERROR(__xludf.DUMMYFUNCTION("""COMPUTED_VALUE"""),100.1)</f>
        <v>100.1</v>
      </c>
      <c r="G175" s="1">
        <f ca="1">IFERROR(__xludf.DUMMYFUNCTION("""COMPUTED_VALUE"""),210)</f>
        <v>210</v>
      </c>
      <c r="H175" s="1">
        <f ca="1">IFERROR(__xludf.DUMMYFUNCTION("""COMPUTED_VALUE"""),99.5)</f>
        <v>99.5</v>
      </c>
      <c r="I175" s="1">
        <f ca="1">IFERROR(__xludf.DUMMYFUNCTION("""COMPUTED_VALUE"""),109)</f>
        <v>109</v>
      </c>
      <c r="J175" s="1">
        <f ca="1">IFERROR(__xludf.DUMMYFUNCTION("""COMPUTED_VALUE"""),65.4)</f>
        <v>65.400000000000006</v>
      </c>
      <c r="K175" s="1">
        <f ca="1">IFERROR(__xludf.DUMMYFUNCTION("""COMPUTED_VALUE"""),199)</f>
        <v>199</v>
      </c>
      <c r="L175" s="1">
        <f ca="1">IFERROR(__xludf.DUMMYFUNCTION("""COMPUTED_VALUE"""),-0.032)</f>
        <v>-3.2000000000000001E-2</v>
      </c>
      <c r="M175" s="1">
        <f ca="1">IFERROR(__xludf.DUMMYFUNCTION("""COMPUTED_VALUE"""),258)</f>
        <v>258</v>
      </c>
      <c r="N175" s="1" t="str">
        <f ca="1">IFERROR(__xludf.DUMMYFUNCTION("""COMPUTED_VALUE"""),"+1.36")</f>
        <v>+1.36</v>
      </c>
      <c r="O175" s="1">
        <f ca="1">IFERROR(__xludf.DUMMYFUNCTION("""COMPUTED_VALUE"""),141)</f>
        <v>141</v>
      </c>
      <c r="P175" s="1">
        <f ca="1">IFERROR(__xludf.DUMMYFUNCTION("""COMPUTED_VALUE"""),104.4)</f>
        <v>104.4</v>
      </c>
      <c r="Q175" s="1">
        <f ca="1">IFERROR(__xludf.DUMMYFUNCTION("""COMPUTED_VALUE"""),118)</f>
        <v>118</v>
      </c>
      <c r="R175" s="1">
        <f ca="1">IFERROR(__xludf.DUMMYFUNCTION("""COMPUTED_VALUE"""),103)</f>
        <v>103</v>
      </c>
      <c r="S175" s="1">
        <f ca="1">IFERROR(__xludf.DUMMYFUNCTION("""COMPUTED_VALUE"""),177)</f>
        <v>177</v>
      </c>
      <c r="T175" s="1">
        <f ca="1">IFERROR(__xludf.DUMMYFUNCTION("""COMPUTED_VALUE"""),-1.61)</f>
        <v>-1.61</v>
      </c>
      <c r="U175" s="1">
        <f ca="1">IFERROR(__xludf.DUMMYFUNCTION("""COMPUTED_VALUE"""),202)</f>
        <v>202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IFERROR(__xludf.DUMMYFUNCTION("""COMPUTED_VALUE"""),"UCF")</f>
        <v>UCF</v>
      </c>
      <c r="C176" s="1" t="str">
        <f ca="1">IFERROR(__xludf.DUMMYFUNCTION("""COMPUTED_VALUE"""),"CUSA")</f>
        <v>CUSA</v>
      </c>
      <c r="D176" s="1" t="str">
        <f ca="1">IFERROR(__xludf.DUMMYFUNCTION("""COMPUTED_VALUE"""),"15-17")</f>
        <v>15-17</v>
      </c>
      <c r="E176" s="1" t="str">
        <f ca="1">IFERROR(__xludf.DUMMYFUNCTION("""COMPUTED_VALUE"""),"+0.33")</f>
        <v>+0.33</v>
      </c>
      <c r="F176" s="1">
        <f ca="1">IFERROR(__xludf.DUMMYFUNCTION("""COMPUTED_VALUE"""),102.6)</f>
        <v>102.6</v>
      </c>
      <c r="G176" s="1">
        <f ca="1">IFERROR(__xludf.DUMMYFUNCTION("""COMPUTED_VALUE"""),173)</f>
        <v>173</v>
      </c>
      <c r="H176" s="1">
        <f ca="1">IFERROR(__xludf.DUMMYFUNCTION("""COMPUTED_VALUE"""),102.3)</f>
        <v>102.3</v>
      </c>
      <c r="I176" s="1">
        <f ca="1">IFERROR(__xludf.DUMMYFUNCTION("""COMPUTED_VALUE"""),164)</f>
        <v>164</v>
      </c>
      <c r="J176" s="1">
        <f ca="1">IFERROR(__xludf.DUMMYFUNCTION("""COMPUTED_VALUE"""),63.4)</f>
        <v>63.4</v>
      </c>
      <c r="K176" s="1">
        <f ca="1">IFERROR(__xludf.DUMMYFUNCTION("""COMPUTED_VALUE"""),279)</f>
        <v>279</v>
      </c>
      <c r="L176" s="1" t="str">
        <f ca="1">IFERROR(__xludf.DUMMYFUNCTION("""COMPUTED_VALUE"""),"+.009")</f>
        <v>+.009</v>
      </c>
      <c r="M176" s="1">
        <f ca="1">IFERROR(__xludf.DUMMYFUNCTION("""COMPUTED_VALUE"""),146)</f>
        <v>146</v>
      </c>
      <c r="N176" s="1" t="str">
        <f ca="1">IFERROR(__xludf.DUMMYFUNCTION("""COMPUTED_VALUE"""),"+2.52")</f>
        <v>+2.52</v>
      </c>
      <c r="O176" s="1">
        <f ca="1">IFERROR(__xludf.DUMMYFUNCTION("""COMPUTED_VALUE"""),123)</f>
        <v>123</v>
      </c>
      <c r="P176" s="1">
        <f ca="1">IFERROR(__xludf.DUMMYFUNCTION("""COMPUTED_VALUE"""),104.5)</f>
        <v>104.5</v>
      </c>
      <c r="Q176" s="1">
        <f ca="1">IFERROR(__xludf.DUMMYFUNCTION("""COMPUTED_VALUE"""),116)</f>
        <v>116</v>
      </c>
      <c r="R176" s="1">
        <f ca="1">IFERROR(__xludf.DUMMYFUNCTION("""COMPUTED_VALUE"""),102)</f>
        <v>102</v>
      </c>
      <c r="S176" s="1">
        <f ca="1">IFERROR(__xludf.DUMMYFUNCTION("""COMPUTED_VALUE"""),136)</f>
        <v>136</v>
      </c>
      <c r="T176" s="1">
        <f ca="1">IFERROR(__xludf.DUMMYFUNCTION("""COMPUTED_VALUE"""),-1.43)</f>
        <v>-1.43</v>
      </c>
      <c r="U176" s="1">
        <f ca="1">IFERROR(__xludf.DUMMYFUNCTION("""COMPUTED_VALUE"""),197)</f>
        <v>197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IFERROR(__xludf.DUMMYFUNCTION("""COMPUTED_VALUE"""),"Massachusetts")</f>
        <v>Massachusetts</v>
      </c>
      <c r="C177" s="1" t="str">
        <f ca="1">IFERROR(__xludf.DUMMYFUNCTION("""COMPUTED_VALUE"""),"A10")</f>
        <v>A10</v>
      </c>
      <c r="D177" s="2">
        <f ca="1">IFERROR(__xludf.DUMMYFUNCTION("""COMPUTED_VALUE"""),44915)</f>
        <v>44915</v>
      </c>
      <c r="E177" s="1" t="str">
        <f ca="1">IFERROR(__xludf.DUMMYFUNCTION("""COMPUTED_VALUE"""),"+0.12")</f>
        <v>+0.12</v>
      </c>
      <c r="F177" s="1">
        <f ca="1">IFERROR(__xludf.DUMMYFUNCTION("""COMPUTED_VALUE"""),102.7)</f>
        <v>102.7</v>
      </c>
      <c r="G177" s="1">
        <f ca="1">IFERROR(__xludf.DUMMYFUNCTION("""COMPUTED_VALUE"""),172)</f>
        <v>172</v>
      </c>
      <c r="H177" s="1">
        <f ca="1">IFERROR(__xludf.DUMMYFUNCTION("""COMPUTED_VALUE"""),102.6)</f>
        <v>102.6</v>
      </c>
      <c r="I177" s="1">
        <f ca="1">IFERROR(__xludf.DUMMYFUNCTION("""COMPUTED_VALUE"""),168)</f>
        <v>168</v>
      </c>
      <c r="J177" s="1">
        <f ca="1">IFERROR(__xludf.DUMMYFUNCTION("""COMPUTED_VALUE"""),68.6)</f>
        <v>68.599999999999994</v>
      </c>
      <c r="K177" s="1">
        <f ca="1">IFERROR(__xludf.DUMMYFUNCTION("""COMPUTED_VALUE"""),63)</f>
        <v>63</v>
      </c>
      <c r="L177" s="1" t="str">
        <f ca="1">IFERROR(__xludf.DUMMYFUNCTION("""COMPUTED_VALUE"""),"+.004")</f>
        <v>+.004</v>
      </c>
      <c r="M177" s="1">
        <f ca="1">IFERROR(__xludf.DUMMYFUNCTION("""COMPUTED_VALUE"""),159)</f>
        <v>159</v>
      </c>
      <c r="N177" s="1" t="str">
        <f ca="1">IFERROR(__xludf.DUMMYFUNCTION("""COMPUTED_VALUE"""),"+6.34")</f>
        <v>+6.34</v>
      </c>
      <c r="O177" s="1">
        <f ca="1">IFERROR(__xludf.DUMMYFUNCTION("""COMPUTED_VALUE"""),65)</f>
        <v>65</v>
      </c>
      <c r="P177" s="1">
        <f ca="1">IFERROR(__xludf.DUMMYFUNCTION("""COMPUTED_VALUE"""),106.5)</f>
        <v>106.5</v>
      </c>
      <c r="Q177" s="1">
        <f ca="1">IFERROR(__xludf.DUMMYFUNCTION("""COMPUTED_VALUE"""),52)</f>
        <v>52</v>
      </c>
      <c r="R177" s="1">
        <f ca="1">IFERROR(__xludf.DUMMYFUNCTION("""COMPUTED_VALUE"""),100.2)</f>
        <v>100.2</v>
      </c>
      <c r="S177" s="1">
        <f ca="1">IFERROR(__xludf.DUMMYFUNCTION("""COMPUTED_VALUE"""),80)</f>
        <v>80</v>
      </c>
      <c r="T177" s="1" t="str">
        <f ca="1">IFERROR(__xludf.DUMMYFUNCTION("""COMPUTED_VALUE"""),"+4.61")</f>
        <v>+4.61</v>
      </c>
      <c r="U177" s="1">
        <f ca="1">IFERROR(__xludf.DUMMYFUNCTION("""COMPUTED_VALUE"""),58)</f>
        <v>58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IFERROR(__xludf.DUMMYFUNCTION("""COMPUTED_VALUE"""),"Loyola Marymount")</f>
        <v>Loyola Marymount</v>
      </c>
      <c r="C178" s="1" t="str">
        <f ca="1">IFERROR(__xludf.DUMMYFUNCTION("""COMPUTED_VALUE"""),"WCC")</f>
        <v>WCC</v>
      </c>
      <c r="D178" s="1" t="str">
        <f ca="1">IFERROR(__xludf.DUMMYFUNCTION("""COMPUTED_VALUE"""),"18-16")</f>
        <v>18-16</v>
      </c>
      <c r="E178" s="1">
        <f ca="1">IFERROR(__xludf.DUMMYFUNCTION("""COMPUTED_VALUE"""),-0.01)</f>
        <v>-0.01</v>
      </c>
      <c r="F178" s="1">
        <f ca="1">IFERROR(__xludf.DUMMYFUNCTION("""COMPUTED_VALUE"""),108.4)</f>
        <v>108.4</v>
      </c>
      <c r="G178" s="1">
        <f ca="1">IFERROR(__xludf.DUMMYFUNCTION("""COMPUTED_VALUE"""),82)</f>
        <v>82</v>
      </c>
      <c r="H178" s="1">
        <f ca="1">IFERROR(__xludf.DUMMYFUNCTION("""COMPUTED_VALUE"""),108.4)</f>
        <v>108.4</v>
      </c>
      <c r="I178" s="1">
        <f ca="1">IFERROR(__xludf.DUMMYFUNCTION("""COMPUTED_VALUE"""),281)</f>
        <v>281</v>
      </c>
      <c r="J178" s="1">
        <f ca="1">IFERROR(__xludf.DUMMYFUNCTION("""COMPUTED_VALUE"""),69)</f>
        <v>69</v>
      </c>
      <c r="K178" s="1">
        <f ca="1">IFERROR(__xludf.DUMMYFUNCTION("""COMPUTED_VALUE"""),46)</f>
        <v>46</v>
      </c>
      <c r="L178" s="1" t="str">
        <f ca="1">IFERROR(__xludf.DUMMYFUNCTION("""COMPUTED_VALUE"""),"+.041")</f>
        <v>+.041</v>
      </c>
      <c r="M178" s="1">
        <f ca="1">IFERROR(__xludf.DUMMYFUNCTION("""COMPUTED_VALUE"""),75)</f>
        <v>75</v>
      </c>
      <c r="N178" s="1">
        <f ca="1">IFERROR(__xludf.DUMMYFUNCTION("""COMPUTED_VALUE"""),-0.34)</f>
        <v>-0.34</v>
      </c>
      <c r="O178" s="1">
        <f ca="1">IFERROR(__xludf.DUMMYFUNCTION("""COMPUTED_VALUE"""),167)</f>
        <v>167</v>
      </c>
      <c r="P178" s="1">
        <f ca="1">IFERROR(__xludf.DUMMYFUNCTION("""COMPUTED_VALUE"""),102.5)</f>
        <v>102.5</v>
      </c>
      <c r="Q178" s="1">
        <f ca="1">IFERROR(__xludf.DUMMYFUNCTION("""COMPUTED_VALUE"""),177)</f>
        <v>177</v>
      </c>
      <c r="R178" s="1">
        <f ca="1">IFERROR(__xludf.DUMMYFUNCTION("""COMPUTED_VALUE"""),102.8)</f>
        <v>102.8</v>
      </c>
      <c r="S178" s="1">
        <f ca="1">IFERROR(__xludf.DUMMYFUNCTION("""COMPUTED_VALUE"""),171)</f>
        <v>171</v>
      </c>
      <c r="T178" s="1">
        <f ca="1">IFERROR(__xludf.DUMMYFUNCTION("""COMPUTED_VALUE"""),-2.12)</f>
        <v>-2.12</v>
      </c>
      <c r="U178" s="1">
        <f ca="1">IFERROR(__xludf.DUMMYFUNCTION("""COMPUTED_VALUE"""),221)</f>
        <v>221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IFERROR(__xludf.DUMMYFUNCTION("""COMPUTED_VALUE"""),"Drake")</f>
        <v>Drake</v>
      </c>
      <c r="C179" s="1" t="str">
        <f ca="1">IFERROR(__xludf.DUMMYFUNCTION("""COMPUTED_VALUE"""),"MVC")</f>
        <v>MVC</v>
      </c>
      <c r="D179" s="1" t="str">
        <f ca="1">IFERROR(__xludf.DUMMYFUNCTION("""COMPUTED_VALUE"""),"14-19")</f>
        <v>14-19</v>
      </c>
      <c r="E179" s="1">
        <f ca="1">IFERROR(__xludf.DUMMYFUNCTION("""COMPUTED_VALUE"""),-0.01)</f>
        <v>-0.01</v>
      </c>
      <c r="F179" s="1">
        <f ca="1">IFERROR(__xludf.DUMMYFUNCTION("""COMPUTED_VALUE"""),107.2)</f>
        <v>107.2</v>
      </c>
      <c r="G179" s="1">
        <f ca="1">IFERROR(__xludf.DUMMYFUNCTION("""COMPUTED_VALUE"""),104)</f>
        <v>104</v>
      </c>
      <c r="H179" s="1">
        <f ca="1">IFERROR(__xludf.DUMMYFUNCTION("""COMPUTED_VALUE"""),107.2)</f>
        <v>107.2</v>
      </c>
      <c r="I179" s="1">
        <f ca="1">IFERROR(__xludf.DUMMYFUNCTION("""COMPUTED_VALUE"""),265)</f>
        <v>265</v>
      </c>
      <c r="J179" s="1">
        <f ca="1">IFERROR(__xludf.DUMMYFUNCTION("""COMPUTED_VALUE"""),63)</f>
        <v>63</v>
      </c>
      <c r="K179" s="1">
        <f ca="1">IFERROR(__xludf.DUMMYFUNCTION("""COMPUTED_VALUE"""),287)</f>
        <v>287</v>
      </c>
      <c r="L179" s="1" t="str">
        <f ca="1">IFERROR(__xludf.DUMMYFUNCTION("""COMPUTED_VALUE"""),"+.012")</f>
        <v>+.012</v>
      </c>
      <c r="M179" s="1">
        <f ca="1">IFERROR(__xludf.DUMMYFUNCTION("""COMPUTED_VALUE"""),132)</f>
        <v>132</v>
      </c>
      <c r="N179" s="1" t="str">
        <f ca="1">IFERROR(__xludf.DUMMYFUNCTION("""COMPUTED_VALUE"""),"+2.43")</f>
        <v>+2.43</v>
      </c>
      <c r="O179" s="1">
        <f ca="1">IFERROR(__xludf.DUMMYFUNCTION("""COMPUTED_VALUE"""),126)</f>
        <v>126</v>
      </c>
      <c r="P179" s="1">
        <f ca="1">IFERROR(__xludf.DUMMYFUNCTION("""COMPUTED_VALUE"""),104.2)</f>
        <v>104.2</v>
      </c>
      <c r="Q179" s="1">
        <f ca="1">IFERROR(__xludf.DUMMYFUNCTION("""COMPUTED_VALUE"""),128)</f>
        <v>128</v>
      </c>
      <c r="R179" s="1">
        <f ca="1">IFERROR(__xludf.DUMMYFUNCTION("""COMPUTED_VALUE"""),101.8)</f>
        <v>101.8</v>
      </c>
      <c r="S179" s="1">
        <f ca="1">IFERROR(__xludf.DUMMYFUNCTION("""COMPUTED_VALUE"""),121)</f>
        <v>121</v>
      </c>
      <c r="T179" s="1">
        <f ca="1">IFERROR(__xludf.DUMMYFUNCTION("""COMPUTED_VALUE"""),-4.71)</f>
        <v>-4.71</v>
      </c>
      <c r="U179" s="1">
        <f ca="1">IFERROR(__xludf.DUMMYFUNCTION("""COMPUTED_VALUE"""),280)</f>
        <v>280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IFERROR(__xludf.DUMMYFUNCTION("""COMPUTED_VALUE"""),"DePaul")</f>
        <v>DePaul</v>
      </c>
      <c r="C180" s="1" t="str">
        <f ca="1">IFERROR(__xludf.DUMMYFUNCTION("""COMPUTED_VALUE"""),"BE")</f>
        <v>BE</v>
      </c>
      <c r="D180" s="2">
        <f ca="1">IFERROR(__xludf.DUMMYFUNCTION("""COMPUTED_VALUE"""),44796)</f>
        <v>44796</v>
      </c>
      <c r="E180" s="1">
        <f ca="1">IFERROR(__xludf.DUMMYFUNCTION("""COMPUTED_VALUE"""),-0.08)</f>
        <v>-0.08</v>
      </c>
      <c r="F180" s="1">
        <f ca="1">IFERROR(__xludf.DUMMYFUNCTION("""COMPUTED_VALUE"""),100)</f>
        <v>100</v>
      </c>
      <c r="G180" s="1">
        <f ca="1">IFERROR(__xludf.DUMMYFUNCTION("""COMPUTED_VALUE"""),213)</f>
        <v>213</v>
      </c>
      <c r="H180" s="1">
        <f ca="1">IFERROR(__xludf.DUMMYFUNCTION("""COMPUTED_VALUE"""),100.1)</f>
        <v>100.1</v>
      </c>
      <c r="I180" s="1">
        <f ca="1">IFERROR(__xludf.DUMMYFUNCTION("""COMPUTED_VALUE"""),119)</f>
        <v>119</v>
      </c>
      <c r="J180" s="1">
        <f ca="1">IFERROR(__xludf.DUMMYFUNCTION("""COMPUTED_VALUE"""),61.8)</f>
        <v>61.8</v>
      </c>
      <c r="K180" s="1">
        <f ca="1">IFERROR(__xludf.DUMMYFUNCTION("""COMPUTED_VALUE"""),315)</f>
        <v>315</v>
      </c>
      <c r="L180" s="1">
        <f ca="1">IFERROR(__xludf.DUMMYFUNCTION("""COMPUTED_VALUE"""),-0.038)</f>
        <v>-3.7999999999999999E-2</v>
      </c>
      <c r="M180" s="1">
        <f ca="1">IFERROR(__xludf.DUMMYFUNCTION("""COMPUTED_VALUE"""),275)</f>
        <v>275</v>
      </c>
      <c r="N180" s="1" t="str">
        <f ca="1">IFERROR(__xludf.DUMMYFUNCTION("""COMPUTED_VALUE"""),"+8.58")</f>
        <v>+8.58</v>
      </c>
      <c r="O180" s="1">
        <f ca="1">IFERROR(__xludf.DUMMYFUNCTION("""COMPUTED_VALUE"""),37)</f>
        <v>37</v>
      </c>
      <c r="P180" s="1">
        <f ca="1">IFERROR(__xludf.DUMMYFUNCTION("""COMPUTED_VALUE"""),107.3)</f>
        <v>107.3</v>
      </c>
      <c r="Q180" s="1">
        <f ca="1">IFERROR(__xludf.DUMMYFUNCTION("""COMPUTED_VALUE"""),33)</f>
        <v>33</v>
      </c>
      <c r="R180" s="1">
        <f ca="1">IFERROR(__xludf.DUMMYFUNCTION("""COMPUTED_VALUE"""),98.7)</f>
        <v>98.7</v>
      </c>
      <c r="S180" s="1">
        <f ca="1">IFERROR(__xludf.DUMMYFUNCTION("""COMPUTED_VALUE"""),37)</f>
        <v>37</v>
      </c>
      <c r="T180" s="1">
        <f ca="1">IFERROR(__xludf.DUMMYFUNCTION("""COMPUTED_VALUE"""),-3.01)</f>
        <v>-3.01</v>
      </c>
      <c r="U180" s="1">
        <f ca="1">IFERROR(__xludf.DUMMYFUNCTION("""COMPUTED_VALUE"""),248)</f>
        <v>248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IFERROR(__xludf.DUMMYFUNCTION("""COMPUTED_VALUE"""),"Texas A&amp;M Corpus Chris")</f>
        <v>Texas A&amp;M Corpus Chris</v>
      </c>
      <c r="C181" s="1" t="str">
        <f ca="1">IFERROR(__xludf.DUMMYFUNCTION("""COMPUTED_VALUE"""),"Slnd")</f>
        <v>Slnd</v>
      </c>
      <c r="D181" s="1" t="str">
        <f ca="1">IFERROR(__xludf.DUMMYFUNCTION("""COMPUTED_VALUE"""),"17-15")</f>
        <v>17-15</v>
      </c>
      <c r="E181" s="1">
        <f ca="1">IFERROR(__xludf.DUMMYFUNCTION("""COMPUTED_VALUE"""),-0.09)</f>
        <v>-0.09</v>
      </c>
      <c r="F181" s="1">
        <f ca="1">IFERROR(__xludf.DUMMYFUNCTION("""COMPUTED_VALUE"""),99.4)</f>
        <v>99.4</v>
      </c>
      <c r="G181" s="1">
        <f ca="1">IFERROR(__xludf.DUMMYFUNCTION("""COMPUTED_VALUE"""),226)</f>
        <v>226</v>
      </c>
      <c r="H181" s="1">
        <f ca="1">IFERROR(__xludf.DUMMYFUNCTION("""COMPUTED_VALUE"""),99.5)</f>
        <v>99.5</v>
      </c>
      <c r="I181" s="1">
        <f ca="1">IFERROR(__xludf.DUMMYFUNCTION("""COMPUTED_VALUE"""),105)</f>
        <v>105</v>
      </c>
      <c r="J181" s="1">
        <f ca="1">IFERROR(__xludf.DUMMYFUNCTION("""COMPUTED_VALUE"""),64.7)</f>
        <v>64.7</v>
      </c>
      <c r="K181" s="1">
        <f ca="1">IFERROR(__xludf.DUMMYFUNCTION("""COMPUTED_VALUE"""),228)</f>
        <v>228</v>
      </c>
      <c r="L181" s="1">
        <f ca="1">IFERROR(__xludf.DUMMYFUNCTION("""COMPUTED_VALUE"""),-0.035)</f>
        <v>-3.5000000000000003E-2</v>
      </c>
      <c r="M181" s="1">
        <f ca="1">IFERROR(__xludf.DUMMYFUNCTION("""COMPUTED_VALUE"""),263)</f>
        <v>263</v>
      </c>
      <c r="N181" s="1">
        <f ca="1">IFERROR(__xludf.DUMMYFUNCTION("""COMPUTED_VALUE"""),-2.37)</f>
        <v>-2.37</v>
      </c>
      <c r="O181" s="1">
        <f ca="1">IFERROR(__xludf.DUMMYFUNCTION("""COMPUTED_VALUE"""),210)</f>
        <v>210</v>
      </c>
      <c r="P181" s="1">
        <f ca="1">IFERROR(__xludf.DUMMYFUNCTION("""COMPUTED_VALUE"""),101.3)</f>
        <v>101.3</v>
      </c>
      <c r="Q181" s="1">
        <f ca="1">IFERROR(__xludf.DUMMYFUNCTION("""COMPUTED_VALUE"""),215)</f>
        <v>215</v>
      </c>
      <c r="R181" s="1">
        <f ca="1">IFERROR(__xludf.DUMMYFUNCTION("""COMPUTED_VALUE"""),103.7)</f>
        <v>103.7</v>
      </c>
      <c r="S181" s="1">
        <f ca="1">IFERROR(__xludf.DUMMYFUNCTION("""COMPUTED_VALUE"""),195)</f>
        <v>195</v>
      </c>
      <c r="T181" s="1" t="str">
        <f ca="1">IFERROR(__xludf.DUMMYFUNCTION("""COMPUTED_VALUE"""),"+6.29")</f>
        <v>+6.29</v>
      </c>
      <c r="U181" s="1">
        <f ca="1">IFERROR(__xludf.DUMMYFUNCTION("""COMPUTED_VALUE"""),41)</f>
        <v>41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IFERROR(__xludf.DUMMYFUNCTION("""COMPUTED_VALUE"""),"Lipscomb")</f>
        <v>Lipscomb</v>
      </c>
      <c r="C182" s="1" t="str">
        <f ca="1">IFERROR(__xludf.DUMMYFUNCTION("""COMPUTED_VALUE"""),"ASun")</f>
        <v>ASun</v>
      </c>
      <c r="D182" s="1" t="str">
        <f ca="1">IFERROR(__xludf.DUMMYFUNCTION("""COMPUTED_VALUE"""),"17-13")</f>
        <v>17-13</v>
      </c>
      <c r="E182" s="1">
        <f ca="1">IFERROR(__xludf.DUMMYFUNCTION("""COMPUTED_VALUE"""),-0.12)</f>
        <v>-0.12</v>
      </c>
      <c r="F182" s="1">
        <f ca="1">IFERROR(__xludf.DUMMYFUNCTION("""COMPUTED_VALUE"""),109.3)</f>
        <v>109.3</v>
      </c>
      <c r="G182" s="1">
        <f ca="1">IFERROR(__xludf.DUMMYFUNCTION("""COMPUTED_VALUE"""),70)</f>
        <v>70</v>
      </c>
      <c r="H182" s="1">
        <f ca="1">IFERROR(__xludf.DUMMYFUNCTION("""COMPUTED_VALUE"""),109.4)</f>
        <v>109.4</v>
      </c>
      <c r="I182" s="1">
        <f ca="1">IFERROR(__xludf.DUMMYFUNCTION("""COMPUTED_VALUE"""),292)</f>
        <v>292</v>
      </c>
      <c r="J182" s="1">
        <f ca="1">IFERROR(__xludf.DUMMYFUNCTION("""COMPUTED_VALUE"""),69.3)</f>
        <v>69.3</v>
      </c>
      <c r="K182" s="1">
        <f ca="1">IFERROR(__xludf.DUMMYFUNCTION("""COMPUTED_VALUE"""),38)</f>
        <v>38</v>
      </c>
      <c r="L182" s="1">
        <f ca="1">IFERROR(__xludf.DUMMYFUNCTION("""COMPUTED_VALUE"""),-0.033)</f>
        <v>-3.3000000000000002E-2</v>
      </c>
      <c r="M182" s="1">
        <f ca="1">IFERROR(__xludf.DUMMYFUNCTION("""COMPUTED_VALUE"""),260)</f>
        <v>260</v>
      </c>
      <c r="N182" s="1">
        <f ca="1">IFERROR(__xludf.DUMMYFUNCTION("""COMPUTED_VALUE"""),-5.8)</f>
        <v>-5.8</v>
      </c>
      <c r="O182" s="1">
        <f ca="1">IFERROR(__xludf.DUMMYFUNCTION("""COMPUTED_VALUE"""),274)</f>
        <v>274</v>
      </c>
      <c r="P182" s="1">
        <f ca="1">IFERROR(__xludf.DUMMYFUNCTION("""COMPUTED_VALUE"""),99)</f>
        <v>99</v>
      </c>
      <c r="Q182" s="1">
        <f ca="1">IFERROR(__xludf.DUMMYFUNCTION("""COMPUTED_VALUE"""),283)</f>
        <v>283</v>
      </c>
      <c r="R182" s="1">
        <f ca="1">IFERROR(__xludf.DUMMYFUNCTION("""COMPUTED_VALUE"""),104.8)</f>
        <v>104.8</v>
      </c>
      <c r="S182" s="1">
        <f ca="1">IFERROR(__xludf.DUMMYFUNCTION("""COMPUTED_VALUE"""),251)</f>
        <v>251</v>
      </c>
      <c r="T182" s="1" t="str">
        <f ca="1">IFERROR(__xludf.DUMMYFUNCTION("""COMPUTED_VALUE"""),"+0.06")</f>
        <v>+0.06</v>
      </c>
      <c r="U182" s="1">
        <f ca="1">IFERROR(__xludf.DUMMYFUNCTION("""COMPUTED_VALUE"""),145)</f>
        <v>145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IFERROR(__xludf.DUMMYFUNCTION("""COMPUTED_VALUE"""),"Saint Joseph's")</f>
        <v>Saint Joseph's</v>
      </c>
      <c r="C183" s="1" t="str">
        <f ca="1">IFERROR(__xludf.DUMMYFUNCTION("""COMPUTED_VALUE"""),"A10")</f>
        <v>A10</v>
      </c>
      <c r="D183" s="2">
        <f ca="1">IFERROR(__xludf.DUMMYFUNCTION("""COMPUTED_VALUE"""),44885)</f>
        <v>44885</v>
      </c>
      <c r="E183" s="1">
        <f ca="1">IFERROR(__xludf.DUMMYFUNCTION("""COMPUTED_VALUE"""),-0.17)</f>
        <v>-0.17</v>
      </c>
      <c r="F183" s="1">
        <f ca="1">IFERROR(__xludf.DUMMYFUNCTION("""COMPUTED_VALUE"""),102.6)</f>
        <v>102.6</v>
      </c>
      <c r="G183" s="1">
        <f ca="1">IFERROR(__xludf.DUMMYFUNCTION("""COMPUTED_VALUE"""),174)</f>
        <v>174</v>
      </c>
      <c r="H183" s="1">
        <f ca="1">IFERROR(__xludf.DUMMYFUNCTION("""COMPUTED_VALUE"""),102.7)</f>
        <v>102.7</v>
      </c>
      <c r="I183" s="1">
        <f ca="1">IFERROR(__xludf.DUMMYFUNCTION("""COMPUTED_VALUE"""),173)</f>
        <v>173</v>
      </c>
      <c r="J183" s="1">
        <f ca="1">IFERROR(__xludf.DUMMYFUNCTION("""COMPUTED_VALUE"""),68.7)</f>
        <v>68.7</v>
      </c>
      <c r="K183" s="1">
        <f ca="1">IFERROR(__xludf.DUMMYFUNCTION("""COMPUTED_VALUE"""),60)</f>
        <v>60</v>
      </c>
      <c r="L183" s="1" t="str">
        <f ca="1">IFERROR(__xludf.DUMMYFUNCTION("""COMPUTED_VALUE"""),"+.016")</f>
        <v>+.016</v>
      </c>
      <c r="M183" s="1">
        <f ca="1">IFERROR(__xludf.DUMMYFUNCTION("""COMPUTED_VALUE"""),122)</f>
        <v>122</v>
      </c>
      <c r="N183" s="1" t="str">
        <f ca="1">IFERROR(__xludf.DUMMYFUNCTION("""COMPUTED_VALUE"""),"+6.55")</f>
        <v>+6.55</v>
      </c>
      <c r="O183" s="1">
        <f ca="1">IFERROR(__xludf.DUMMYFUNCTION("""COMPUTED_VALUE"""),62)</f>
        <v>62</v>
      </c>
      <c r="P183" s="1">
        <f ca="1">IFERROR(__xludf.DUMMYFUNCTION("""COMPUTED_VALUE"""),106)</f>
        <v>106</v>
      </c>
      <c r="Q183" s="1">
        <f ca="1">IFERROR(__xludf.DUMMYFUNCTION("""COMPUTED_VALUE"""),67)</f>
        <v>67</v>
      </c>
      <c r="R183" s="1">
        <f ca="1">IFERROR(__xludf.DUMMYFUNCTION("""COMPUTED_VALUE"""),99.5)</f>
        <v>99.5</v>
      </c>
      <c r="S183" s="1">
        <f ca="1">IFERROR(__xludf.DUMMYFUNCTION("""COMPUTED_VALUE"""),56)</f>
        <v>56</v>
      </c>
      <c r="T183" s="1" t="str">
        <f ca="1">IFERROR(__xludf.DUMMYFUNCTION("""COMPUTED_VALUE"""),"+4.66")</f>
        <v>+4.66</v>
      </c>
      <c r="U183" s="1">
        <f ca="1">IFERROR(__xludf.DUMMYFUNCTION("""COMPUTED_VALUE"""),57)</f>
        <v>57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IFERROR(__xludf.DUMMYFUNCTION("""COMPUTED_VALUE"""),"Iowa")</f>
        <v>Iowa</v>
      </c>
      <c r="C184" s="1" t="str">
        <f ca="1">IFERROR(__xludf.DUMMYFUNCTION("""COMPUTED_VALUE"""),"B10")</f>
        <v>B10</v>
      </c>
      <c r="D184" s="2">
        <f ca="1">IFERROR(__xludf.DUMMYFUNCTION("""COMPUTED_VALUE"""),44856)</f>
        <v>44856</v>
      </c>
      <c r="E184" s="1">
        <f ca="1">IFERROR(__xludf.DUMMYFUNCTION("""COMPUTED_VALUE"""),-0.36)</f>
        <v>-0.36</v>
      </c>
      <c r="F184" s="1">
        <f ca="1">IFERROR(__xludf.DUMMYFUNCTION("""COMPUTED_VALUE"""),103.4)</f>
        <v>103.4</v>
      </c>
      <c r="G184" s="1">
        <f ca="1">IFERROR(__xludf.DUMMYFUNCTION("""COMPUTED_VALUE"""),165)</f>
        <v>165</v>
      </c>
      <c r="H184" s="1">
        <f ca="1">IFERROR(__xludf.DUMMYFUNCTION("""COMPUTED_VALUE"""),103.7)</f>
        <v>103.7</v>
      </c>
      <c r="I184" s="1">
        <f ca="1">IFERROR(__xludf.DUMMYFUNCTION("""COMPUTED_VALUE"""),196)</f>
        <v>196</v>
      </c>
      <c r="J184" s="1">
        <f ca="1">IFERROR(__xludf.DUMMYFUNCTION("""COMPUTED_VALUE"""),61.2)</f>
        <v>61.2</v>
      </c>
      <c r="K184" s="1">
        <f ca="1">IFERROR(__xludf.DUMMYFUNCTION("""COMPUTED_VALUE"""),322)</f>
        <v>322</v>
      </c>
      <c r="L184" s="1">
        <f ca="1">IFERROR(__xludf.DUMMYFUNCTION("""COMPUTED_VALUE"""),-0.035)</f>
        <v>-3.5000000000000003E-2</v>
      </c>
      <c r="M184" s="1">
        <f ca="1">IFERROR(__xludf.DUMMYFUNCTION("""COMPUTED_VALUE"""),265)</f>
        <v>265</v>
      </c>
      <c r="N184" s="1" t="str">
        <f ca="1">IFERROR(__xludf.DUMMYFUNCTION("""COMPUTED_VALUE"""),"+7.92")</f>
        <v>+7.92</v>
      </c>
      <c r="O184" s="1">
        <f ca="1">IFERROR(__xludf.DUMMYFUNCTION("""COMPUTED_VALUE"""),48)</f>
        <v>48</v>
      </c>
      <c r="P184" s="1">
        <f ca="1">IFERROR(__xludf.DUMMYFUNCTION("""COMPUTED_VALUE"""),106.4)</f>
        <v>106.4</v>
      </c>
      <c r="Q184" s="1">
        <f ca="1">IFERROR(__xludf.DUMMYFUNCTION("""COMPUTED_VALUE"""),56)</f>
        <v>56</v>
      </c>
      <c r="R184" s="1">
        <f ca="1">IFERROR(__xludf.DUMMYFUNCTION("""COMPUTED_VALUE"""),98.5)</f>
        <v>98.5</v>
      </c>
      <c r="S184" s="1">
        <f ca="1">IFERROR(__xludf.DUMMYFUNCTION("""COMPUTED_VALUE"""),27)</f>
        <v>27</v>
      </c>
      <c r="T184" s="1">
        <f ca="1">IFERROR(__xludf.DUMMYFUNCTION("""COMPUTED_VALUE"""),-2.98)</f>
        <v>-2.98</v>
      </c>
      <c r="U184" s="1">
        <f ca="1">IFERROR(__xludf.DUMMYFUNCTION("""COMPUTED_VALUE"""),247)</f>
        <v>247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IFERROR(__xludf.DUMMYFUNCTION("""COMPUTED_VALUE"""),"North Texas15")</f>
        <v>North Texas15</v>
      </c>
      <c r="C185" s="1" t="str">
        <f ca="1">IFERROR(__xludf.DUMMYFUNCTION("""COMPUTED_VALUE"""),"SB")</f>
        <v>SB</v>
      </c>
      <c r="D185" s="1" t="str">
        <f ca="1">IFERROR(__xludf.DUMMYFUNCTION("""COMPUTED_VALUE"""),"24-9")</f>
        <v>24-9</v>
      </c>
      <c r="E185" s="1">
        <f ca="1">IFERROR(__xludf.DUMMYFUNCTION("""COMPUTED_VALUE"""),-0.47)</f>
        <v>-0.47</v>
      </c>
      <c r="F185" s="1">
        <f ca="1">IFERROR(__xludf.DUMMYFUNCTION("""COMPUTED_VALUE"""),103.4)</f>
        <v>103.4</v>
      </c>
      <c r="G185" s="1">
        <f ca="1">IFERROR(__xludf.DUMMYFUNCTION("""COMPUTED_VALUE"""),164)</f>
        <v>164</v>
      </c>
      <c r="H185" s="1">
        <f ca="1">IFERROR(__xludf.DUMMYFUNCTION("""COMPUTED_VALUE"""),103.8)</f>
        <v>103.8</v>
      </c>
      <c r="I185" s="1">
        <f ca="1">IFERROR(__xludf.DUMMYFUNCTION("""COMPUTED_VALUE"""),199)</f>
        <v>199</v>
      </c>
      <c r="J185" s="1">
        <f ca="1">IFERROR(__xludf.DUMMYFUNCTION("""COMPUTED_VALUE"""),67.4)</f>
        <v>67.400000000000006</v>
      </c>
      <c r="K185" s="1">
        <f ca="1">IFERROR(__xludf.DUMMYFUNCTION("""COMPUTED_VALUE"""),99)</f>
        <v>99</v>
      </c>
      <c r="L185" s="1" t="str">
        <f ca="1">IFERROR(__xludf.DUMMYFUNCTION("""COMPUTED_VALUE"""),"+.113")</f>
        <v>+.113</v>
      </c>
      <c r="M185" s="1">
        <f ca="1">IFERROR(__xludf.DUMMYFUNCTION("""COMPUTED_VALUE"""),8)</f>
        <v>8</v>
      </c>
      <c r="N185" s="1">
        <f ca="1">IFERROR(__xludf.DUMMYFUNCTION("""COMPUTED_VALUE"""),-5.87)</f>
        <v>-5.87</v>
      </c>
      <c r="O185" s="1">
        <f ca="1">IFERROR(__xludf.DUMMYFUNCTION("""COMPUTED_VALUE"""),275)</f>
        <v>275</v>
      </c>
      <c r="P185" s="1">
        <f ca="1">IFERROR(__xludf.DUMMYFUNCTION("""COMPUTED_VALUE"""),99.9)</f>
        <v>99.9</v>
      </c>
      <c r="Q185" s="1">
        <f ca="1">IFERROR(__xludf.DUMMYFUNCTION("""COMPUTED_VALUE"""),261)</f>
        <v>261</v>
      </c>
      <c r="R185" s="1">
        <f ca="1">IFERROR(__xludf.DUMMYFUNCTION("""COMPUTED_VALUE"""),105.7)</f>
        <v>105.7</v>
      </c>
      <c r="S185" s="1">
        <f ca="1">IFERROR(__xludf.DUMMYFUNCTION("""COMPUTED_VALUE"""),294)</f>
        <v>294</v>
      </c>
      <c r="T185" s="1">
        <f ca="1">IFERROR(__xludf.DUMMYFUNCTION("""COMPUTED_VALUE"""),-2.96)</f>
        <v>-2.96</v>
      </c>
      <c r="U185" s="1">
        <f ca="1">IFERROR(__xludf.DUMMYFUNCTION("""COMPUTED_VALUE"""),245)</f>
        <v>245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IFERROR(__xludf.DUMMYFUNCTION("""COMPUTED_VALUE"""),"Saint Peter's")</f>
        <v>Saint Peter's</v>
      </c>
      <c r="C186" s="1" t="str">
        <f ca="1">IFERROR(__xludf.DUMMYFUNCTION("""COMPUTED_VALUE"""),"MAAC")</f>
        <v>MAAC</v>
      </c>
      <c r="D186" s="1" t="str">
        <f ca="1">IFERROR(__xludf.DUMMYFUNCTION("""COMPUTED_VALUE"""),"16-14")</f>
        <v>16-14</v>
      </c>
      <c r="E186" s="1">
        <f ca="1">IFERROR(__xludf.DUMMYFUNCTION("""COMPUTED_VALUE"""),-0.49)</f>
        <v>-0.49</v>
      </c>
      <c r="F186" s="1">
        <f ca="1">IFERROR(__xludf.DUMMYFUNCTION("""COMPUTED_VALUE"""),92.8)</f>
        <v>92.8</v>
      </c>
      <c r="G186" s="1">
        <f ca="1">IFERROR(__xludf.DUMMYFUNCTION("""COMPUTED_VALUE"""),304)</f>
        <v>304</v>
      </c>
      <c r="H186" s="1">
        <f ca="1">IFERROR(__xludf.DUMMYFUNCTION("""COMPUTED_VALUE"""),93.3)</f>
        <v>93.3</v>
      </c>
      <c r="I186" s="1">
        <f ca="1">IFERROR(__xludf.DUMMYFUNCTION("""COMPUTED_VALUE"""),31)</f>
        <v>31</v>
      </c>
      <c r="J186" s="1">
        <f ca="1">IFERROR(__xludf.DUMMYFUNCTION("""COMPUTED_VALUE"""),64.1)</f>
        <v>64.099999999999994</v>
      </c>
      <c r="K186" s="1">
        <f ca="1">IFERROR(__xludf.DUMMYFUNCTION("""COMPUTED_VALUE"""),254)</f>
        <v>254</v>
      </c>
      <c r="L186" s="1">
        <f ca="1">IFERROR(__xludf.DUMMYFUNCTION("""COMPUTED_VALUE"""),-0.015)</f>
        <v>-1.4999999999999999E-2</v>
      </c>
      <c r="M186" s="1">
        <f ca="1">IFERROR(__xludf.DUMMYFUNCTION("""COMPUTED_VALUE"""),218)</f>
        <v>218</v>
      </c>
      <c r="N186" s="1">
        <f ca="1">IFERROR(__xludf.DUMMYFUNCTION("""COMPUTED_VALUE"""),-3.38)</f>
        <v>-3.38</v>
      </c>
      <c r="O186" s="1">
        <f ca="1">IFERROR(__xludf.DUMMYFUNCTION("""COMPUTED_VALUE"""),232)</f>
        <v>232</v>
      </c>
      <c r="P186" s="1">
        <f ca="1">IFERROR(__xludf.DUMMYFUNCTION("""COMPUTED_VALUE"""),100.6)</f>
        <v>100.6</v>
      </c>
      <c r="Q186" s="1">
        <f ca="1">IFERROR(__xludf.DUMMYFUNCTION("""COMPUTED_VALUE"""),238)</f>
        <v>238</v>
      </c>
      <c r="R186" s="1">
        <f ca="1">IFERROR(__xludf.DUMMYFUNCTION("""COMPUTED_VALUE"""),104)</f>
        <v>104</v>
      </c>
      <c r="S186" s="1">
        <f ca="1">IFERROR(__xludf.DUMMYFUNCTION("""COMPUTED_VALUE"""),210)</f>
        <v>210</v>
      </c>
      <c r="T186" s="1">
        <f ca="1">IFERROR(__xludf.DUMMYFUNCTION("""COMPUTED_VALUE"""),-8.13)</f>
        <v>-8.1300000000000008</v>
      </c>
      <c r="U186" s="1">
        <f ca="1">IFERROR(__xludf.DUMMYFUNCTION("""COMPUTED_VALUE"""),332)</f>
        <v>332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IFERROR(__xludf.DUMMYFUNCTION("""COMPUTED_VALUE"""),"Seattle")</f>
        <v>Seattle</v>
      </c>
      <c r="C187" s="1" t="str">
        <f ca="1">IFERROR(__xludf.DUMMYFUNCTION("""COMPUTED_VALUE"""),"ind")</f>
        <v>ind</v>
      </c>
      <c r="D187" s="1" t="str">
        <f ca="1">IFERROR(__xludf.DUMMYFUNCTION("""COMPUTED_VALUE"""),"17-14")</f>
        <v>17-14</v>
      </c>
      <c r="E187" s="1">
        <f ca="1">IFERROR(__xludf.DUMMYFUNCTION("""COMPUTED_VALUE"""),-0.58)</f>
        <v>-0.57999999999999996</v>
      </c>
      <c r="F187" s="1">
        <f ca="1">IFERROR(__xludf.DUMMYFUNCTION("""COMPUTED_VALUE"""),100.6)</f>
        <v>100.6</v>
      </c>
      <c r="G187" s="1">
        <f ca="1">IFERROR(__xludf.DUMMYFUNCTION("""COMPUTED_VALUE"""),200)</f>
        <v>200</v>
      </c>
      <c r="H187" s="1">
        <f ca="1">IFERROR(__xludf.DUMMYFUNCTION("""COMPUTED_VALUE"""),101.2)</f>
        <v>101.2</v>
      </c>
      <c r="I187" s="1">
        <f ca="1">IFERROR(__xludf.DUMMYFUNCTION("""COMPUTED_VALUE"""),141)</f>
        <v>141</v>
      </c>
      <c r="J187" s="1">
        <f ca="1">IFERROR(__xludf.DUMMYFUNCTION("""COMPUTED_VALUE"""),77.7)</f>
        <v>77.7</v>
      </c>
      <c r="K187" s="1">
        <f ca="1">IFERROR(__xludf.DUMMYFUNCTION("""COMPUTED_VALUE"""),2)</f>
        <v>2</v>
      </c>
      <c r="L187" s="1" t="str">
        <f ca="1">IFERROR(__xludf.DUMMYFUNCTION("""COMPUTED_VALUE"""),"+.029")</f>
        <v>+.029</v>
      </c>
      <c r="M187" s="1">
        <f ca="1">IFERROR(__xludf.DUMMYFUNCTION("""COMPUTED_VALUE"""),92)</f>
        <v>92</v>
      </c>
      <c r="N187" s="1">
        <f ca="1">IFERROR(__xludf.DUMMYFUNCTION("""COMPUTED_VALUE"""),-2.93)</f>
        <v>-2.93</v>
      </c>
      <c r="O187" s="1">
        <f ca="1">IFERROR(__xludf.DUMMYFUNCTION("""COMPUTED_VALUE"""),228)</f>
        <v>228</v>
      </c>
      <c r="P187" s="1">
        <f ca="1">IFERROR(__xludf.DUMMYFUNCTION("""COMPUTED_VALUE"""),102.2)</f>
        <v>102.2</v>
      </c>
      <c r="Q187" s="1">
        <f ca="1">IFERROR(__xludf.DUMMYFUNCTION("""COMPUTED_VALUE"""),182)</f>
        <v>182</v>
      </c>
      <c r="R187" s="1">
        <f ca="1">IFERROR(__xludf.DUMMYFUNCTION("""COMPUTED_VALUE"""),105.2)</f>
        <v>105.2</v>
      </c>
      <c r="S187" s="1">
        <f ca="1">IFERROR(__xludf.DUMMYFUNCTION("""COMPUTED_VALUE"""),263)</f>
        <v>263</v>
      </c>
      <c r="T187" s="1">
        <f ca="1">IFERROR(__xludf.DUMMYFUNCTION("""COMPUTED_VALUE"""),-2.39)</f>
        <v>-2.39</v>
      </c>
      <c r="U187" s="1">
        <f ca="1">IFERROR(__xludf.DUMMYFUNCTION("""COMPUTED_VALUE"""),228)</f>
        <v>228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IFERROR(__xludf.DUMMYFUNCTION("""COMPUTED_VALUE"""),"Eastern Kentucky")</f>
        <v>Eastern Kentucky</v>
      </c>
      <c r="C188" s="1" t="str">
        <f ca="1">IFERROR(__xludf.DUMMYFUNCTION("""COMPUTED_VALUE"""),"OVC")</f>
        <v>OVC</v>
      </c>
      <c r="D188" s="1" t="str">
        <f ca="1">IFERROR(__xludf.DUMMYFUNCTION("""COMPUTED_VALUE"""),"20-13")</f>
        <v>20-13</v>
      </c>
      <c r="E188" s="1">
        <f ca="1">IFERROR(__xludf.DUMMYFUNCTION("""COMPUTED_VALUE"""),-0.6)</f>
        <v>-0.6</v>
      </c>
      <c r="F188" s="1">
        <f ca="1">IFERROR(__xludf.DUMMYFUNCTION("""COMPUTED_VALUE"""),110.7)</f>
        <v>110.7</v>
      </c>
      <c r="G188" s="1">
        <f ca="1">IFERROR(__xludf.DUMMYFUNCTION("""COMPUTED_VALUE"""),52)</f>
        <v>52</v>
      </c>
      <c r="H188" s="1">
        <f ca="1">IFERROR(__xludf.DUMMYFUNCTION("""COMPUTED_VALUE"""),111.3)</f>
        <v>111.3</v>
      </c>
      <c r="I188" s="1">
        <f ca="1">IFERROR(__xludf.DUMMYFUNCTION("""COMPUTED_VALUE"""),318)</f>
        <v>318</v>
      </c>
      <c r="J188" s="1">
        <f ca="1">IFERROR(__xludf.DUMMYFUNCTION("""COMPUTED_VALUE"""),61.2)</f>
        <v>61.2</v>
      </c>
      <c r="K188" s="1">
        <f ca="1">IFERROR(__xludf.DUMMYFUNCTION("""COMPUTED_VALUE"""),323)</f>
        <v>323</v>
      </c>
      <c r="L188" s="1">
        <f ca="1">IFERROR(__xludf.DUMMYFUNCTION("""COMPUTED_VALUE"""),-0.013)</f>
        <v>-1.2999999999999999E-2</v>
      </c>
      <c r="M188" s="1">
        <f ca="1">IFERROR(__xludf.DUMMYFUNCTION("""COMPUTED_VALUE"""),204)</f>
        <v>204</v>
      </c>
      <c r="N188" s="1">
        <f ca="1">IFERROR(__xludf.DUMMYFUNCTION("""COMPUTED_VALUE"""),-6.28)</f>
        <v>-6.28</v>
      </c>
      <c r="O188" s="1">
        <f ca="1">IFERROR(__xludf.DUMMYFUNCTION("""COMPUTED_VALUE"""),281)</f>
        <v>281</v>
      </c>
      <c r="P188" s="1">
        <f ca="1">IFERROR(__xludf.DUMMYFUNCTION("""COMPUTED_VALUE"""),99.7)</f>
        <v>99.7</v>
      </c>
      <c r="Q188" s="1">
        <f ca="1">IFERROR(__xludf.DUMMYFUNCTION("""COMPUTED_VALUE"""),264)</f>
        <v>264</v>
      </c>
      <c r="R188" s="1">
        <f ca="1">IFERROR(__xludf.DUMMYFUNCTION("""COMPUTED_VALUE"""),106)</f>
        <v>106</v>
      </c>
      <c r="S188" s="1">
        <f ca="1">IFERROR(__xludf.DUMMYFUNCTION("""COMPUTED_VALUE"""),307)</f>
        <v>307</v>
      </c>
      <c r="T188" s="1">
        <f ca="1">IFERROR(__xludf.DUMMYFUNCTION("""COMPUTED_VALUE"""),-5.99)</f>
        <v>-5.99</v>
      </c>
      <c r="U188" s="1">
        <f ca="1">IFERROR(__xludf.DUMMYFUNCTION("""COMPUTED_VALUE"""),303)</f>
        <v>303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IFERROR(__xludf.DUMMYFUNCTION("""COMPUTED_VALUE"""),"San Jose St.")</f>
        <v>San Jose St.</v>
      </c>
      <c r="C189" s="1" t="str">
        <f ca="1">IFERROR(__xludf.DUMMYFUNCTION("""COMPUTED_VALUE"""),"WAC")</f>
        <v>WAC</v>
      </c>
      <c r="D189" s="1" t="str">
        <f ca="1">IFERROR(__xludf.DUMMYFUNCTION("""COMPUTED_VALUE"""),"14-17")</f>
        <v>14-17</v>
      </c>
      <c r="E189" s="1">
        <f ca="1">IFERROR(__xludf.DUMMYFUNCTION("""COMPUTED_VALUE"""),-0.62)</f>
        <v>-0.62</v>
      </c>
      <c r="F189" s="1">
        <f ca="1">IFERROR(__xludf.DUMMYFUNCTION("""COMPUTED_VALUE"""),109.9)</f>
        <v>109.9</v>
      </c>
      <c r="G189" s="1">
        <f ca="1">IFERROR(__xludf.DUMMYFUNCTION("""COMPUTED_VALUE"""),62)</f>
        <v>62</v>
      </c>
      <c r="H189" s="1">
        <f ca="1">IFERROR(__xludf.DUMMYFUNCTION("""COMPUTED_VALUE"""),110.5)</f>
        <v>110.5</v>
      </c>
      <c r="I189" s="1">
        <f ca="1">IFERROR(__xludf.DUMMYFUNCTION("""COMPUTED_VALUE"""),307)</f>
        <v>307</v>
      </c>
      <c r="J189" s="1">
        <f ca="1">IFERROR(__xludf.DUMMYFUNCTION("""COMPUTED_VALUE"""),66)</f>
        <v>66</v>
      </c>
      <c r="K189" s="1">
        <f ca="1">IFERROR(__xludf.DUMMYFUNCTION("""COMPUTED_VALUE"""),174)</f>
        <v>174</v>
      </c>
      <c r="L189" s="1" t="str">
        <f ca="1">IFERROR(__xludf.DUMMYFUNCTION("""COMPUTED_VALUE"""),"+.003")</f>
        <v>+.003</v>
      </c>
      <c r="M189" s="1">
        <f ca="1">IFERROR(__xludf.DUMMYFUNCTION("""COMPUTED_VALUE"""),162)</f>
        <v>162</v>
      </c>
      <c r="N189" s="1" t="str">
        <f ca="1">IFERROR(__xludf.DUMMYFUNCTION("""COMPUTED_VALUE"""),"+1.93")</f>
        <v>+1.93</v>
      </c>
      <c r="O189" s="1">
        <f ca="1">IFERROR(__xludf.DUMMYFUNCTION("""COMPUTED_VALUE"""),133)</f>
        <v>133</v>
      </c>
      <c r="P189" s="1">
        <f ca="1">IFERROR(__xludf.DUMMYFUNCTION("""COMPUTED_VALUE"""),104.9)</f>
        <v>104.9</v>
      </c>
      <c r="Q189" s="1">
        <f ca="1">IFERROR(__xludf.DUMMYFUNCTION("""COMPUTED_VALUE"""),98)</f>
        <v>98</v>
      </c>
      <c r="R189" s="1">
        <f ca="1">IFERROR(__xludf.DUMMYFUNCTION("""COMPUTED_VALUE"""),102.9)</f>
        <v>102.9</v>
      </c>
      <c r="S189" s="1">
        <f ca="1">IFERROR(__xludf.DUMMYFUNCTION("""COMPUTED_VALUE"""),173)</f>
        <v>173</v>
      </c>
      <c r="T189" s="1">
        <f ca="1">IFERROR(__xludf.DUMMYFUNCTION("""COMPUTED_VALUE"""),-1.02)</f>
        <v>-1.02</v>
      </c>
      <c r="U189" s="1">
        <f ca="1">IFERROR(__xludf.DUMMYFUNCTION("""COMPUTED_VALUE"""),181)</f>
        <v>181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IFERROR(__xludf.DUMMYFUNCTION("""COMPUTED_VALUE"""),"Troy7")</f>
        <v>Troy7</v>
      </c>
      <c r="C190" s="1" t="str">
        <f ca="1">IFERROR(__xludf.DUMMYFUNCTION("""COMPUTED_VALUE"""),"SB")</f>
        <v>SB</v>
      </c>
      <c r="D190" s="1" t="str">
        <f ca="1">IFERROR(__xludf.DUMMYFUNCTION("""COMPUTED_VALUE"""),"20-13")</f>
        <v>20-13</v>
      </c>
      <c r="E190" s="1">
        <f ca="1">IFERROR(__xludf.DUMMYFUNCTION("""COMPUTED_VALUE"""),-0.69)</f>
        <v>-0.69</v>
      </c>
      <c r="F190" s="1">
        <f ca="1">IFERROR(__xludf.DUMMYFUNCTION("""COMPUTED_VALUE"""),105.1)</f>
        <v>105.1</v>
      </c>
      <c r="G190" s="1">
        <f ca="1">IFERROR(__xludf.DUMMYFUNCTION("""COMPUTED_VALUE"""),144)</f>
        <v>144</v>
      </c>
      <c r="H190" s="1">
        <f ca="1">IFERROR(__xludf.DUMMYFUNCTION("""COMPUTED_VALUE"""),105.8)</f>
        <v>105.8</v>
      </c>
      <c r="I190" s="1">
        <f ca="1">IFERROR(__xludf.DUMMYFUNCTION("""COMPUTED_VALUE"""),236)</f>
        <v>236</v>
      </c>
      <c r="J190" s="1">
        <f ca="1">IFERROR(__xludf.DUMMYFUNCTION("""COMPUTED_VALUE"""),66)</f>
        <v>66</v>
      </c>
      <c r="K190" s="1">
        <f ca="1">IFERROR(__xludf.DUMMYFUNCTION("""COMPUTED_VALUE"""),175)</f>
        <v>175</v>
      </c>
      <c r="L190" s="1" t="str">
        <f ca="1">IFERROR(__xludf.DUMMYFUNCTION("""COMPUTED_VALUE"""),"+.082")</f>
        <v>+.082</v>
      </c>
      <c r="M190" s="1">
        <f ca="1">IFERROR(__xludf.DUMMYFUNCTION("""COMPUTED_VALUE"""),18)</f>
        <v>18</v>
      </c>
      <c r="N190" s="1">
        <f ca="1">IFERROR(__xludf.DUMMYFUNCTION("""COMPUTED_VALUE"""),-1.33)</f>
        <v>-1.33</v>
      </c>
      <c r="O190" s="1">
        <f ca="1">IFERROR(__xludf.DUMMYFUNCTION("""COMPUTED_VALUE"""),187)</f>
        <v>187</v>
      </c>
      <c r="P190" s="1">
        <f ca="1">IFERROR(__xludf.DUMMYFUNCTION("""COMPUTED_VALUE"""),103.2)</f>
        <v>103.2</v>
      </c>
      <c r="Q190" s="1">
        <f ca="1">IFERROR(__xludf.DUMMYFUNCTION("""COMPUTED_VALUE"""),161)</f>
        <v>161</v>
      </c>
      <c r="R190" s="1">
        <f ca="1">IFERROR(__xludf.DUMMYFUNCTION("""COMPUTED_VALUE"""),104.5)</f>
        <v>104.5</v>
      </c>
      <c r="S190" s="1">
        <f ca="1">IFERROR(__xludf.DUMMYFUNCTION("""COMPUTED_VALUE"""),240)</f>
        <v>240</v>
      </c>
      <c r="T190" s="1" t="str">
        <f ca="1">IFERROR(__xludf.DUMMYFUNCTION("""COMPUTED_VALUE"""),"+8.99")</f>
        <v>+8.99</v>
      </c>
      <c r="U190" s="1">
        <f ca="1">IFERROR(__xludf.DUMMYFUNCTION("""COMPUTED_VALUE"""),12)</f>
        <v>12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IFERROR(__xludf.DUMMYFUNCTION("""COMPUTED_VALUE"""),"TCU")</f>
        <v>TCU</v>
      </c>
      <c r="C191" s="1" t="str">
        <f ca="1">IFERROR(__xludf.DUMMYFUNCTION("""COMPUTED_VALUE"""),"MWC")</f>
        <v>MWC</v>
      </c>
      <c r="D191" s="1" t="str">
        <f ca="1">IFERROR(__xludf.DUMMYFUNCTION("""COMPUTED_VALUE"""),"13-19")</f>
        <v>13-19</v>
      </c>
      <c r="E191" s="1">
        <f ca="1">IFERROR(__xludf.DUMMYFUNCTION("""COMPUTED_VALUE"""),-0.72)</f>
        <v>-0.72</v>
      </c>
      <c r="F191" s="1">
        <f ca="1">IFERROR(__xludf.DUMMYFUNCTION("""COMPUTED_VALUE"""),105.2)</f>
        <v>105.2</v>
      </c>
      <c r="G191" s="1">
        <f ca="1">IFERROR(__xludf.DUMMYFUNCTION("""COMPUTED_VALUE"""),142)</f>
        <v>142</v>
      </c>
      <c r="H191" s="1">
        <f ca="1">IFERROR(__xludf.DUMMYFUNCTION("""COMPUTED_VALUE"""),105.9)</f>
        <v>105.9</v>
      </c>
      <c r="I191" s="1">
        <f ca="1">IFERROR(__xludf.DUMMYFUNCTION("""COMPUTED_VALUE"""),237)</f>
        <v>237</v>
      </c>
      <c r="J191" s="1">
        <f ca="1">IFERROR(__xludf.DUMMYFUNCTION("""COMPUTED_VALUE"""),63.1)</f>
        <v>63.1</v>
      </c>
      <c r="K191" s="1">
        <f ca="1">IFERROR(__xludf.DUMMYFUNCTION("""COMPUTED_VALUE"""),285)</f>
        <v>285</v>
      </c>
      <c r="L191" s="1">
        <f ca="1">IFERROR(__xludf.DUMMYFUNCTION("""COMPUTED_VALUE"""),-0.001)</f>
        <v>-1E-3</v>
      </c>
      <c r="M191" s="1">
        <f ca="1">IFERROR(__xludf.DUMMYFUNCTION("""COMPUTED_VALUE"""),173)</f>
        <v>173</v>
      </c>
      <c r="N191" s="1" t="str">
        <f ca="1">IFERROR(__xludf.DUMMYFUNCTION("""COMPUTED_VALUE"""),"+4.86")</f>
        <v>+4.86</v>
      </c>
      <c r="O191" s="1">
        <f ca="1">IFERROR(__xludf.DUMMYFUNCTION("""COMPUTED_VALUE"""),80)</f>
        <v>80</v>
      </c>
      <c r="P191" s="1">
        <f ca="1">IFERROR(__xludf.DUMMYFUNCTION("""COMPUTED_VALUE"""),105.1)</f>
        <v>105.1</v>
      </c>
      <c r="Q191" s="1">
        <f ca="1">IFERROR(__xludf.DUMMYFUNCTION("""COMPUTED_VALUE"""),86)</f>
        <v>86</v>
      </c>
      <c r="R191" s="1">
        <f ca="1">IFERROR(__xludf.DUMMYFUNCTION("""COMPUTED_VALUE"""),100.2)</f>
        <v>100.2</v>
      </c>
      <c r="S191" s="1">
        <f ca="1">IFERROR(__xludf.DUMMYFUNCTION("""COMPUTED_VALUE"""),85)</f>
        <v>85</v>
      </c>
      <c r="T191" s="1">
        <f ca="1">IFERROR(__xludf.DUMMYFUNCTION("""COMPUTED_VALUE"""),-0.28)</f>
        <v>-0.28000000000000003</v>
      </c>
      <c r="U191" s="1">
        <f ca="1">IFERROR(__xludf.DUMMYFUNCTION("""COMPUTED_VALUE"""),153)</f>
        <v>153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IFERROR(__xludf.DUMMYFUNCTION("""COMPUTED_VALUE"""),"Mount St. Mary's")</f>
        <v>Mount St. Mary's</v>
      </c>
      <c r="C192" s="1" t="str">
        <f ca="1">IFERROR(__xludf.DUMMYFUNCTION("""COMPUTED_VALUE"""),"NEC")</f>
        <v>NEC</v>
      </c>
      <c r="D192" s="1" t="str">
        <f ca="1">IFERROR(__xludf.DUMMYFUNCTION("""COMPUTED_VALUE"""),"16-15")</f>
        <v>16-15</v>
      </c>
      <c r="E192" s="1">
        <f ca="1">IFERROR(__xludf.DUMMYFUNCTION("""COMPUTED_VALUE"""),-0.83)</f>
        <v>-0.83</v>
      </c>
      <c r="F192" s="1">
        <f ca="1">IFERROR(__xludf.DUMMYFUNCTION("""COMPUTED_VALUE"""),96.8)</f>
        <v>96.8</v>
      </c>
      <c r="G192" s="1">
        <f ca="1">IFERROR(__xludf.DUMMYFUNCTION("""COMPUTED_VALUE"""),266)</f>
        <v>266</v>
      </c>
      <c r="H192" s="1">
        <f ca="1">IFERROR(__xludf.DUMMYFUNCTION("""COMPUTED_VALUE"""),97.6)</f>
        <v>97.6</v>
      </c>
      <c r="I192" s="1">
        <f ca="1">IFERROR(__xludf.DUMMYFUNCTION("""COMPUTED_VALUE"""),79)</f>
        <v>79</v>
      </c>
      <c r="J192" s="1">
        <f ca="1">IFERROR(__xludf.DUMMYFUNCTION("""COMPUTED_VALUE"""),65.9)</f>
        <v>65.900000000000006</v>
      </c>
      <c r="K192" s="1">
        <f ca="1">IFERROR(__xludf.DUMMYFUNCTION("""COMPUTED_VALUE"""),178)</f>
        <v>178</v>
      </c>
      <c r="L192" s="1">
        <f ca="1">IFERROR(__xludf.DUMMYFUNCTION("""COMPUTED_VALUE"""),-0.065)</f>
        <v>-6.5000000000000002E-2</v>
      </c>
      <c r="M192" s="1">
        <f ca="1">IFERROR(__xludf.DUMMYFUNCTION("""COMPUTED_VALUE"""),315)</f>
        <v>315</v>
      </c>
      <c r="N192" s="1">
        <f ca="1">IFERROR(__xludf.DUMMYFUNCTION("""COMPUTED_VALUE"""),-6.81)</f>
        <v>-6.81</v>
      </c>
      <c r="O192" s="1">
        <f ca="1">IFERROR(__xludf.DUMMYFUNCTION("""COMPUTED_VALUE"""),288)</f>
        <v>288</v>
      </c>
      <c r="P192" s="1">
        <f ca="1">IFERROR(__xludf.DUMMYFUNCTION("""COMPUTED_VALUE"""),98.6)</f>
        <v>98.6</v>
      </c>
      <c r="Q192" s="1">
        <f ca="1">IFERROR(__xludf.DUMMYFUNCTION("""COMPUTED_VALUE"""),291)</f>
        <v>291</v>
      </c>
      <c r="R192" s="1">
        <f ca="1">IFERROR(__xludf.DUMMYFUNCTION("""COMPUTED_VALUE"""),105.4)</f>
        <v>105.4</v>
      </c>
      <c r="S192" s="1">
        <f ca="1">IFERROR(__xludf.DUMMYFUNCTION("""COMPUTED_VALUE"""),282)</f>
        <v>282</v>
      </c>
      <c r="T192" s="1" t="str">
        <f ca="1">IFERROR(__xludf.DUMMYFUNCTION("""COMPUTED_VALUE"""),"+6.94")</f>
        <v>+6.94</v>
      </c>
      <c r="U192" s="1">
        <f ca="1">IFERROR(__xludf.DUMMYFUNCTION("""COMPUTED_VALUE"""),31)</f>
        <v>31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IFERROR(__xludf.DUMMYFUNCTION("""COMPUTED_VALUE"""),"Valparaiso")</f>
        <v>Valparaiso</v>
      </c>
      <c r="C193" s="1" t="str">
        <f ca="1">IFERROR(__xludf.DUMMYFUNCTION("""COMPUTED_VALUE"""),"Horz")</f>
        <v>Horz</v>
      </c>
      <c r="D193" s="1" t="str">
        <f ca="1">IFERROR(__xludf.DUMMYFUNCTION("""COMPUTED_VALUE"""),"15-17")</f>
        <v>15-17</v>
      </c>
      <c r="E193" s="1">
        <f ca="1">IFERROR(__xludf.DUMMYFUNCTION("""COMPUTED_VALUE"""),-0.92)</f>
        <v>-0.92</v>
      </c>
      <c r="F193" s="1">
        <f ca="1">IFERROR(__xludf.DUMMYFUNCTION("""COMPUTED_VALUE"""),110.7)</f>
        <v>110.7</v>
      </c>
      <c r="G193" s="1">
        <f ca="1">IFERROR(__xludf.DUMMYFUNCTION("""COMPUTED_VALUE"""),53)</f>
        <v>53</v>
      </c>
      <c r="H193" s="1">
        <f ca="1">IFERROR(__xludf.DUMMYFUNCTION("""COMPUTED_VALUE"""),111.6)</f>
        <v>111.6</v>
      </c>
      <c r="I193" s="1">
        <f ca="1">IFERROR(__xludf.DUMMYFUNCTION("""COMPUTED_VALUE"""),326)</f>
        <v>326</v>
      </c>
      <c r="J193" s="1">
        <f ca="1">IFERROR(__xludf.DUMMYFUNCTION("""COMPUTED_VALUE"""),67)</f>
        <v>67</v>
      </c>
      <c r="K193" s="1">
        <f ca="1">IFERROR(__xludf.DUMMYFUNCTION("""COMPUTED_VALUE"""),116)</f>
        <v>116</v>
      </c>
      <c r="L193" s="1" t="str">
        <f ca="1">IFERROR(__xludf.DUMMYFUNCTION("""COMPUTED_VALUE"""),"+.015")</f>
        <v>+.015</v>
      </c>
      <c r="M193" s="1">
        <f ca="1">IFERROR(__xludf.DUMMYFUNCTION("""COMPUTED_VALUE"""),125)</f>
        <v>125</v>
      </c>
      <c r="N193" s="1" t="str">
        <f ca="1">IFERROR(__xludf.DUMMYFUNCTION("""COMPUTED_VALUE"""),"+2.62")</f>
        <v>+2.62</v>
      </c>
      <c r="O193" s="1">
        <f ca="1">IFERROR(__xludf.DUMMYFUNCTION("""COMPUTED_VALUE"""),121)</f>
        <v>121</v>
      </c>
      <c r="P193" s="1">
        <f ca="1">IFERROR(__xludf.DUMMYFUNCTION("""COMPUTED_VALUE"""),103.3)</f>
        <v>103.3</v>
      </c>
      <c r="Q193" s="1">
        <f ca="1">IFERROR(__xludf.DUMMYFUNCTION("""COMPUTED_VALUE"""),156)</f>
        <v>156</v>
      </c>
      <c r="R193" s="1">
        <f ca="1">IFERROR(__xludf.DUMMYFUNCTION("""COMPUTED_VALUE"""),100.7)</f>
        <v>100.7</v>
      </c>
      <c r="S193" s="1">
        <f ca="1">IFERROR(__xludf.DUMMYFUNCTION("""COMPUTED_VALUE"""),92)</f>
        <v>92</v>
      </c>
      <c r="T193" s="1" t="str">
        <f ca="1">IFERROR(__xludf.DUMMYFUNCTION("""COMPUTED_VALUE"""),"+4.44")</f>
        <v>+4.44</v>
      </c>
      <c r="U193" s="1">
        <f ca="1">IFERROR(__xludf.DUMMYFUNCTION("""COMPUTED_VALUE"""),60)</f>
        <v>60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IFERROR(__xludf.DUMMYFUNCTION("""COMPUTED_VALUE"""),"Portland St.")</f>
        <v>Portland St.</v>
      </c>
      <c r="C194" s="1" t="str">
        <f ca="1">IFERROR(__xludf.DUMMYFUNCTION("""COMPUTED_VALUE"""),"BSky")</f>
        <v>BSky</v>
      </c>
      <c r="D194" s="1" t="str">
        <f ca="1">IFERROR(__xludf.DUMMYFUNCTION("""COMPUTED_VALUE"""),"13-19")</f>
        <v>13-19</v>
      </c>
      <c r="E194" s="1">
        <f ca="1">IFERROR(__xludf.DUMMYFUNCTION("""COMPUTED_VALUE"""),-0.94)</f>
        <v>-0.94</v>
      </c>
      <c r="F194" s="1">
        <f ca="1">IFERROR(__xludf.DUMMYFUNCTION("""COMPUTED_VALUE"""),113.3)</f>
        <v>113.3</v>
      </c>
      <c r="G194" s="1">
        <f ca="1">IFERROR(__xludf.DUMMYFUNCTION("""COMPUTED_VALUE"""),27)</f>
        <v>27</v>
      </c>
      <c r="H194" s="1">
        <f ca="1">IFERROR(__xludf.DUMMYFUNCTION("""COMPUTED_VALUE"""),114.2)</f>
        <v>114.2</v>
      </c>
      <c r="I194" s="1">
        <f ca="1">IFERROR(__xludf.DUMMYFUNCTION("""COMPUTED_VALUE"""),343)</f>
        <v>343</v>
      </c>
      <c r="J194" s="1">
        <f ca="1">IFERROR(__xludf.DUMMYFUNCTION("""COMPUTED_VALUE"""),65.9)</f>
        <v>65.900000000000006</v>
      </c>
      <c r="K194" s="1">
        <f ca="1">IFERROR(__xludf.DUMMYFUNCTION("""COMPUTED_VALUE"""),177)</f>
        <v>177</v>
      </c>
      <c r="L194" s="1">
        <f ca="1">IFERROR(__xludf.DUMMYFUNCTION("""COMPUTED_VALUE"""),-0.074)</f>
        <v>-7.3999999999999996E-2</v>
      </c>
      <c r="M194" s="1">
        <f ca="1">IFERROR(__xludf.DUMMYFUNCTION("""COMPUTED_VALUE"""),325)</f>
        <v>325</v>
      </c>
      <c r="N194" s="1" t="str">
        <f ca="1">IFERROR(__xludf.DUMMYFUNCTION("""COMPUTED_VALUE"""),"+1.08")</f>
        <v>+1.08</v>
      </c>
      <c r="O194" s="1">
        <f ca="1">IFERROR(__xludf.DUMMYFUNCTION("""COMPUTED_VALUE"""),146)</f>
        <v>146</v>
      </c>
      <c r="P194" s="1">
        <f ca="1">IFERROR(__xludf.DUMMYFUNCTION("""COMPUTED_VALUE"""),104.2)</f>
        <v>104.2</v>
      </c>
      <c r="Q194" s="1">
        <f ca="1">IFERROR(__xludf.DUMMYFUNCTION("""COMPUTED_VALUE"""),126)</f>
        <v>126</v>
      </c>
      <c r="R194" s="1">
        <f ca="1">IFERROR(__xludf.DUMMYFUNCTION("""COMPUTED_VALUE"""),103.1)</f>
        <v>103.1</v>
      </c>
      <c r="S194" s="1">
        <f ca="1">IFERROR(__xludf.DUMMYFUNCTION("""COMPUTED_VALUE"""),179)</f>
        <v>179</v>
      </c>
      <c r="T194" s="1" t="str">
        <f ca="1">IFERROR(__xludf.DUMMYFUNCTION("""COMPUTED_VALUE"""),"+6.23")</f>
        <v>+6.23</v>
      </c>
      <c r="U194" s="1">
        <f ca="1">IFERROR(__xludf.DUMMYFUNCTION("""COMPUTED_VALUE"""),42)</f>
        <v>42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IFERROR(__xludf.DUMMYFUNCTION("""COMPUTED_VALUE"""),"Robert Morris15")</f>
        <v>Robert Morris15</v>
      </c>
      <c r="C195" s="1" t="str">
        <f ca="1">IFERROR(__xludf.DUMMYFUNCTION("""COMPUTED_VALUE"""),"NEC")</f>
        <v>NEC</v>
      </c>
      <c r="D195" s="1" t="str">
        <f ca="1">IFERROR(__xludf.DUMMYFUNCTION("""COMPUTED_VALUE"""),"23-12")</f>
        <v>23-12</v>
      </c>
      <c r="E195" s="1">
        <f ca="1">IFERROR(__xludf.DUMMYFUNCTION("""COMPUTED_VALUE"""),-0.97)</f>
        <v>-0.97</v>
      </c>
      <c r="F195" s="1">
        <f ca="1">IFERROR(__xludf.DUMMYFUNCTION("""COMPUTED_VALUE"""),99.9)</f>
        <v>99.9</v>
      </c>
      <c r="G195" s="1">
        <f ca="1">IFERROR(__xludf.DUMMYFUNCTION("""COMPUTED_VALUE"""),216)</f>
        <v>216</v>
      </c>
      <c r="H195" s="1">
        <f ca="1">IFERROR(__xludf.DUMMYFUNCTION("""COMPUTED_VALUE"""),100.8)</f>
        <v>100.8</v>
      </c>
      <c r="I195" s="1">
        <f ca="1">IFERROR(__xludf.DUMMYFUNCTION("""COMPUTED_VALUE"""),132)</f>
        <v>132</v>
      </c>
      <c r="J195" s="1">
        <f ca="1">IFERROR(__xludf.DUMMYFUNCTION("""COMPUTED_VALUE"""),66.1)</f>
        <v>66.099999999999994</v>
      </c>
      <c r="K195" s="1">
        <f ca="1">IFERROR(__xludf.DUMMYFUNCTION("""COMPUTED_VALUE"""),170)</f>
        <v>170</v>
      </c>
      <c r="L195" s="1" t="str">
        <f ca="1">IFERROR(__xludf.DUMMYFUNCTION("""COMPUTED_VALUE"""),"+.074")</f>
        <v>+.074</v>
      </c>
      <c r="M195" s="1">
        <f ca="1">IFERROR(__xludf.DUMMYFUNCTION("""COMPUTED_VALUE"""),27)</f>
        <v>27</v>
      </c>
      <c r="N195" s="1">
        <f ca="1">IFERROR(__xludf.DUMMYFUNCTION("""COMPUTED_VALUE"""),-7.18)</f>
        <v>-7.18</v>
      </c>
      <c r="O195" s="1">
        <f ca="1">IFERROR(__xludf.DUMMYFUNCTION("""COMPUTED_VALUE"""),293)</f>
        <v>293</v>
      </c>
      <c r="P195" s="1">
        <f ca="1">IFERROR(__xludf.DUMMYFUNCTION("""COMPUTED_VALUE"""),98.1)</f>
        <v>98.1</v>
      </c>
      <c r="Q195" s="1">
        <f ca="1">IFERROR(__xludf.DUMMYFUNCTION("""COMPUTED_VALUE"""),305)</f>
        <v>305</v>
      </c>
      <c r="R195" s="1">
        <f ca="1">IFERROR(__xludf.DUMMYFUNCTION("""COMPUTED_VALUE"""),105.3)</f>
        <v>105.3</v>
      </c>
      <c r="S195" s="1">
        <f ca="1">IFERROR(__xludf.DUMMYFUNCTION("""COMPUTED_VALUE"""),272)</f>
        <v>272</v>
      </c>
      <c r="T195" s="1" t="str">
        <f ca="1">IFERROR(__xludf.DUMMYFUNCTION("""COMPUTED_VALUE"""),"+3.47")</f>
        <v>+3.47</v>
      </c>
      <c r="U195" s="1">
        <f ca="1">IFERROR(__xludf.DUMMYFUNCTION("""COMPUTED_VALUE"""),75)</f>
        <v>75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IFERROR(__xludf.DUMMYFUNCTION("""COMPUTED_VALUE"""),"Lehigh16")</f>
        <v>Lehigh16</v>
      </c>
      <c r="C196" s="1" t="str">
        <f ca="1">IFERROR(__xludf.DUMMYFUNCTION("""COMPUTED_VALUE"""),"Pat")</f>
        <v>Pat</v>
      </c>
      <c r="D196" s="1" t="str">
        <f ca="1">IFERROR(__xludf.DUMMYFUNCTION("""COMPUTED_VALUE"""),"22-11")</f>
        <v>22-11</v>
      </c>
      <c r="E196" s="1">
        <f ca="1">IFERROR(__xludf.DUMMYFUNCTION("""COMPUTED_VALUE"""),-0.97)</f>
        <v>-0.97</v>
      </c>
      <c r="F196" s="1">
        <f ca="1">IFERROR(__xludf.DUMMYFUNCTION("""COMPUTED_VALUE"""),105.6)</f>
        <v>105.6</v>
      </c>
      <c r="G196" s="1">
        <f ca="1">IFERROR(__xludf.DUMMYFUNCTION("""COMPUTED_VALUE"""),134)</f>
        <v>134</v>
      </c>
      <c r="H196" s="1">
        <f ca="1">IFERROR(__xludf.DUMMYFUNCTION("""COMPUTED_VALUE"""),106.6)</f>
        <v>106.6</v>
      </c>
      <c r="I196" s="1">
        <f ca="1">IFERROR(__xludf.DUMMYFUNCTION("""COMPUTED_VALUE"""),249)</f>
        <v>249</v>
      </c>
      <c r="J196" s="1">
        <f ca="1">IFERROR(__xludf.DUMMYFUNCTION("""COMPUTED_VALUE"""),68.9)</f>
        <v>68.900000000000006</v>
      </c>
      <c r="K196" s="1">
        <f ca="1">IFERROR(__xludf.DUMMYFUNCTION("""COMPUTED_VALUE"""),48)</f>
        <v>48</v>
      </c>
      <c r="L196" s="1" t="str">
        <f ca="1">IFERROR(__xludf.DUMMYFUNCTION("""COMPUTED_VALUE"""),"+.018")</f>
        <v>+.018</v>
      </c>
      <c r="M196" s="1">
        <f ca="1">IFERROR(__xludf.DUMMYFUNCTION("""COMPUTED_VALUE"""),116)</f>
        <v>116</v>
      </c>
      <c r="N196" s="1">
        <f ca="1">IFERROR(__xludf.DUMMYFUNCTION("""COMPUTED_VALUE"""),-10.02)</f>
        <v>-10.02</v>
      </c>
      <c r="O196" s="1">
        <f ca="1">IFERROR(__xludf.DUMMYFUNCTION("""COMPUTED_VALUE"""),326)</f>
        <v>326</v>
      </c>
      <c r="P196" s="1">
        <f ca="1">IFERROR(__xludf.DUMMYFUNCTION("""COMPUTED_VALUE"""),96.8)</f>
        <v>96.8</v>
      </c>
      <c r="Q196" s="1">
        <f ca="1">IFERROR(__xludf.DUMMYFUNCTION("""COMPUTED_VALUE"""),322)</f>
        <v>322</v>
      </c>
      <c r="R196" s="1">
        <f ca="1">IFERROR(__xludf.DUMMYFUNCTION("""COMPUTED_VALUE"""),106.8)</f>
        <v>106.8</v>
      </c>
      <c r="S196" s="1">
        <f ca="1">IFERROR(__xludf.DUMMYFUNCTION("""COMPUTED_VALUE"""),330)</f>
        <v>330</v>
      </c>
      <c r="T196" s="1">
        <f ca="1">IFERROR(__xludf.DUMMYFUNCTION("""COMPUTED_VALUE"""),-8.95)</f>
        <v>-8.9499999999999993</v>
      </c>
      <c r="U196" s="1">
        <f ca="1">IFERROR(__xludf.DUMMYFUNCTION("""COMPUTED_VALUE"""),340)</f>
        <v>340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IFERROR(__xludf.DUMMYFUNCTION("""COMPUTED_VALUE"""),"Quinnipiac8")</f>
        <v>Quinnipiac8</v>
      </c>
      <c r="C197" s="1" t="str">
        <f ca="1">IFERROR(__xludf.DUMMYFUNCTION("""COMPUTED_VALUE"""),"NEC")</f>
        <v>NEC</v>
      </c>
      <c r="D197" s="1" t="str">
        <f ca="1">IFERROR(__xludf.DUMMYFUNCTION("""COMPUTED_VALUE"""),"23-10")</f>
        <v>23-10</v>
      </c>
      <c r="E197" s="1">
        <f ca="1">IFERROR(__xludf.DUMMYFUNCTION("""COMPUTED_VALUE"""),-1.01)</f>
        <v>-1.01</v>
      </c>
      <c r="F197" s="1">
        <f ca="1">IFERROR(__xludf.DUMMYFUNCTION("""COMPUTED_VALUE"""),103.5)</f>
        <v>103.5</v>
      </c>
      <c r="G197" s="1">
        <f ca="1">IFERROR(__xludf.DUMMYFUNCTION("""COMPUTED_VALUE"""),160)</f>
        <v>160</v>
      </c>
      <c r="H197" s="1">
        <f ca="1">IFERROR(__xludf.DUMMYFUNCTION("""COMPUTED_VALUE"""),104.5)</f>
        <v>104.5</v>
      </c>
      <c r="I197" s="1">
        <f ca="1">IFERROR(__xludf.DUMMYFUNCTION("""COMPUTED_VALUE"""),212)</f>
        <v>212</v>
      </c>
      <c r="J197" s="1">
        <f ca="1">IFERROR(__xludf.DUMMYFUNCTION("""COMPUTED_VALUE"""),67.7)</f>
        <v>67.7</v>
      </c>
      <c r="K197" s="1">
        <f ca="1">IFERROR(__xludf.DUMMYFUNCTION("""COMPUTED_VALUE"""),81)</f>
        <v>81</v>
      </c>
      <c r="L197" s="1">
        <f ca="1">IFERROR(__xludf.DUMMYFUNCTION("""COMPUTED_VALUE"""),-0.023)</f>
        <v>-2.3E-2</v>
      </c>
      <c r="M197" s="1">
        <f ca="1">IFERROR(__xludf.DUMMYFUNCTION("""COMPUTED_VALUE"""),240)</f>
        <v>240</v>
      </c>
      <c r="N197" s="1">
        <f ca="1">IFERROR(__xludf.DUMMYFUNCTION("""COMPUTED_VALUE"""),-11.77)</f>
        <v>-11.77</v>
      </c>
      <c r="O197" s="1">
        <f ca="1">IFERROR(__xludf.DUMMYFUNCTION("""COMPUTED_VALUE"""),338)</f>
        <v>338</v>
      </c>
      <c r="P197" s="1">
        <f ca="1">IFERROR(__xludf.DUMMYFUNCTION("""COMPUTED_VALUE"""),95)</f>
        <v>95</v>
      </c>
      <c r="Q197" s="1">
        <f ca="1">IFERROR(__xludf.DUMMYFUNCTION("""COMPUTED_VALUE"""),338)</f>
        <v>338</v>
      </c>
      <c r="R197" s="1">
        <f ca="1">IFERROR(__xludf.DUMMYFUNCTION("""COMPUTED_VALUE"""),106.8)</f>
        <v>106.8</v>
      </c>
      <c r="S197" s="1">
        <f ca="1">IFERROR(__xludf.DUMMYFUNCTION("""COMPUTED_VALUE"""),329)</f>
        <v>329</v>
      </c>
      <c r="T197" s="1">
        <f ca="1">IFERROR(__xludf.DUMMYFUNCTION("""COMPUTED_VALUE"""),-5.63)</f>
        <v>-5.63</v>
      </c>
      <c r="U197" s="1">
        <f ca="1">IFERROR(__xludf.DUMMYFUNCTION("""COMPUTED_VALUE"""),298)</f>
        <v>298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IFERROR(__xludf.DUMMYFUNCTION("""COMPUTED_VALUE"""),"Stony Brook8")</f>
        <v>Stony Brook8</v>
      </c>
      <c r="C198" s="1" t="str">
        <f ca="1">IFERROR(__xludf.DUMMYFUNCTION("""COMPUTED_VALUE"""),"AE")</f>
        <v>AE</v>
      </c>
      <c r="D198" s="1" t="str">
        <f ca="1">IFERROR(__xludf.DUMMYFUNCTION("""COMPUTED_VALUE"""),"22-10")</f>
        <v>22-10</v>
      </c>
      <c r="E198" s="1">
        <f ca="1">IFERROR(__xludf.DUMMYFUNCTION("""COMPUTED_VALUE"""),-1.12)</f>
        <v>-1.1200000000000001</v>
      </c>
      <c r="F198" s="1">
        <f ca="1">IFERROR(__xludf.DUMMYFUNCTION("""COMPUTED_VALUE"""),102.3)</f>
        <v>102.3</v>
      </c>
      <c r="G198" s="1">
        <f ca="1">IFERROR(__xludf.DUMMYFUNCTION("""COMPUTED_VALUE"""),179)</f>
        <v>179</v>
      </c>
      <c r="H198" s="1">
        <f ca="1">IFERROR(__xludf.DUMMYFUNCTION("""COMPUTED_VALUE"""),103.4)</f>
        <v>103.4</v>
      </c>
      <c r="I198" s="1">
        <f ca="1">IFERROR(__xludf.DUMMYFUNCTION("""COMPUTED_VALUE"""),183)</f>
        <v>183</v>
      </c>
      <c r="J198" s="1">
        <f ca="1">IFERROR(__xludf.DUMMYFUNCTION("""COMPUTED_VALUE"""),65.1)</f>
        <v>65.099999999999994</v>
      </c>
      <c r="K198" s="1">
        <f ca="1">IFERROR(__xludf.DUMMYFUNCTION("""COMPUTED_VALUE"""),217)</f>
        <v>217</v>
      </c>
      <c r="L198" s="1" t="str">
        <f ca="1">IFERROR(__xludf.DUMMYFUNCTION("""COMPUTED_VALUE"""),"+.052")</f>
        <v>+.052</v>
      </c>
      <c r="M198" s="1">
        <f ca="1">IFERROR(__xludf.DUMMYFUNCTION("""COMPUTED_VALUE"""),55)</f>
        <v>55</v>
      </c>
      <c r="N198" s="1">
        <f ca="1">IFERROR(__xludf.DUMMYFUNCTION("""COMPUTED_VALUE"""),-7.82)</f>
        <v>-7.82</v>
      </c>
      <c r="O198" s="1">
        <f ca="1">IFERROR(__xludf.DUMMYFUNCTION("""COMPUTED_VALUE"""),306)</f>
        <v>306</v>
      </c>
      <c r="P198" s="1">
        <f ca="1">IFERROR(__xludf.DUMMYFUNCTION("""COMPUTED_VALUE"""),97.8)</f>
        <v>97.8</v>
      </c>
      <c r="Q198" s="1">
        <f ca="1">IFERROR(__xludf.DUMMYFUNCTION("""COMPUTED_VALUE"""),308)</f>
        <v>308</v>
      </c>
      <c r="R198" s="1">
        <f ca="1">IFERROR(__xludf.DUMMYFUNCTION("""COMPUTED_VALUE"""),105.6)</f>
        <v>105.6</v>
      </c>
      <c r="S198" s="1">
        <f ca="1">IFERROR(__xludf.DUMMYFUNCTION("""COMPUTED_VALUE"""),286)</f>
        <v>286</v>
      </c>
      <c r="T198" s="1">
        <f ca="1">IFERROR(__xludf.DUMMYFUNCTION("""COMPUTED_VALUE"""),-7.89)</f>
        <v>-7.89</v>
      </c>
      <c r="U198" s="1">
        <f ca="1">IFERROR(__xludf.DUMMYFUNCTION("""COMPUTED_VALUE"""),330)</f>
        <v>330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IFERROR(__xludf.DUMMYFUNCTION("""COMPUTED_VALUE"""),"Eastern Michigan")</f>
        <v>Eastern Michigan</v>
      </c>
      <c r="C199" s="1" t="str">
        <f ca="1">IFERROR(__xludf.DUMMYFUNCTION("""COMPUTED_VALUE"""),"MAC")</f>
        <v>MAC</v>
      </c>
      <c r="D199" s="1" t="str">
        <f ca="1">IFERROR(__xludf.DUMMYFUNCTION("""COMPUTED_VALUE"""),"17-15")</f>
        <v>17-15</v>
      </c>
      <c r="E199" s="1">
        <f ca="1">IFERROR(__xludf.DUMMYFUNCTION("""COMPUTED_VALUE"""),-1.19)</f>
        <v>-1.19</v>
      </c>
      <c r="F199" s="1">
        <f ca="1">IFERROR(__xludf.DUMMYFUNCTION("""COMPUTED_VALUE"""),100.3)</f>
        <v>100.3</v>
      </c>
      <c r="G199" s="1">
        <f ca="1">IFERROR(__xludf.DUMMYFUNCTION("""COMPUTED_VALUE"""),207)</f>
        <v>207</v>
      </c>
      <c r="H199" s="1">
        <f ca="1">IFERROR(__xludf.DUMMYFUNCTION("""COMPUTED_VALUE"""),101.4)</f>
        <v>101.4</v>
      </c>
      <c r="I199" s="1">
        <f ca="1">IFERROR(__xludf.DUMMYFUNCTION("""COMPUTED_VALUE"""),146)</f>
        <v>146</v>
      </c>
      <c r="J199" s="1">
        <f ca="1">IFERROR(__xludf.DUMMYFUNCTION("""COMPUTED_VALUE"""),65.2)</f>
        <v>65.2</v>
      </c>
      <c r="K199" s="1">
        <f ca="1">IFERROR(__xludf.DUMMYFUNCTION("""COMPUTED_VALUE"""),209)</f>
        <v>209</v>
      </c>
      <c r="L199" s="1">
        <f ca="1">IFERROR(__xludf.DUMMYFUNCTION("""COMPUTED_VALUE"""),-0.01)</f>
        <v>-0.01</v>
      </c>
      <c r="M199" s="1">
        <f ca="1">IFERROR(__xludf.DUMMYFUNCTION("""COMPUTED_VALUE"""),197)</f>
        <v>197</v>
      </c>
      <c r="N199" s="1">
        <f ca="1">IFERROR(__xludf.DUMMYFUNCTION("""COMPUTED_VALUE"""),-3.23)</f>
        <v>-3.23</v>
      </c>
      <c r="O199" s="1">
        <f ca="1">IFERROR(__xludf.DUMMYFUNCTION("""COMPUTED_VALUE"""),229)</f>
        <v>229</v>
      </c>
      <c r="P199" s="1">
        <f ca="1">IFERROR(__xludf.DUMMYFUNCTION("""COMPUTED_VALUE"""),100.5)</f>
        <v>100.5</v>
      </c>
      <c r="Q199" s="1">
        <f ca="1">IFERROR(__xludf.DUMMYFUNCTION("""COMPUTED_VALUE"""),242)</f>
        <v>242</v>
      </c>
      <c r="R199" s="1">
        <f ca="1">IFERROR(__xludf.DUMMYFUNCTION("""COMPUTED_VALUE"""),103.8)</f>
        <v>103.8</v>
      </c>
      <c r="S199" s="1">
        <f ca="1">IFERROR(__xludf.DUMMYFUNCTION("""COMPUTED_VALUE"""),201)</f>
        <v>201</v>
      </c>
      <c r="T199" s="1">
        <f ca="1">IFERROR(__xludf.DUMMYFUNCTION("""COMPUTED_VALUE"""),-3.46)</f>
        <v>-3.46</v>
      </c>
      <c r="U199" s="1">
        <f ca="1">IFERROR(__xludf.DUMMYFUNCTION("""COMPUTED_VALUE"""),256)</f>
        <v>256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IFERROR(__xludf.DUMMYFUNCTION("""COMPUTED_VALUE"""),"Davidson")</f>
        <v>Davidson</v>
      </c>
      <c r="C200" s="1" t="str">
        <f ca="1">IFERROR(__xludf.DUMMYFUNCTION("""COMPUTED_VALUE"""),"SC")</f>
        <v>SC</v>
      </c>
      <c r="D200" s="1" t="str">
        <f ca="1">IFERROR(__xludf.DUMMYFUNCTION("""COMPUTED_VALUE"""),"16-15")</f>
        <v>16-15</v>
      </c>
      <c r="E200" s="1">
        <f ca="1">IFERROR(__xludf.DUMMYFUNCTION("""COMPUTED_VALUE"""),-1.31)</f>
        <v>-1.31</v>
      </c>
      <c r="F200" s="1">
        <f ca="1">IFERROR(__xludf.DUMMYFUNCTION("""COMPUTED_VALUE"""),103.6)</f>
        <v>103.6</v>
      </c>
      <c r="G200" s="1">
        <f ca="1">IFERROR(__xludf.DUMMYFUNCTION("""COMPUTED_VALUE"""),159)</f>
        <v>159</v>
      </c>
      <c r="H200" s="1">
        <f ca="1">IFERROR(__xludf.DUMMYFUNCTION("""COMPUTED_VALUE"""),104.9)</f>
        <v>104.9</v>
      </c>
      <c r="I200" s="1">
        <f ca="1">IFERROR(__xludf.DUMMYFUNCTION("""COMPUTED_VALUE"""),221)</f>
        <v>221</v>
      </c>
      <c r="J200" s="1">
        <f ca="1">IFERROR(__xludf.DUMMYFUNCTION("""COMPUTED_VALUE"""),65.2)</f>
        <v>65.2</v>
      </c>
      <c r="K200" s="1">
        <f ca="1">IFERROR(__xludf.DUMMYFUNCTION("""COMPUTED_VALUE"""),210)</f>
        <v>210</v>
      </c>
      <c r="L200" s="1" t="str">
        <f ca="1">IFERROR(__xludf.DUMMYFUNCTION("""COMPUTED_VALUE"""),"+.012")</f>
        <v>+.012</v>
      </c>
      <c r="M200" s="1">
        <f ca="1">IFERROR(__xludf.DUMMYFUNCTION("""COMPUTED_VALUE"""),129)</f>
        <v>129</v>
      </c>
      <c r="N200" s="1">
        <f ca="1">IFERROR(__xludf.DUMMYFUNCTION("""COMPUTED_VALUE"""),-0.44)</f>
        <v>-0.44</v>
      </c>
      <c r="O200" s="1">
        <f ca="1">IFERROR(__xludf.DUMMYFUNCTION("""COMPUTED_VALUE"""),168)</f>
        <v>168</v>
      </c>
      <c r="P200" s="1">
        <f ca="1">IFERROR(__xludf.DUMMYFUNCTION("""COMPUTED_VALUE"""),103.3)</f>
        <v>103.3</v>
      </c>
      <c r="Q200" s="1">
        <f ca="1">IFERROR(__xludf.DUMMYFUNCTION("""COMPUTED_VALUE"""),155)</f>
        <v>155</v>
      </c>
      <c r="R200" s="1">
        <f ca="1">IFERROR(__xludf.DUMMYFUNCTION("""COMPUTED_VALUE"""),103.8)</f>
        <v>103.8</v>
      </c>
      <c r="S200" s="1">
        <f ca="1">IFERROR(__xludf.DUMMYFUNCTION("""COMPUTED_VALUE"""),200)</f>
        <v>200</v>
      </c>
      <c r="T200" s="1" t="str">
        <f ca="1">IFERROR(__xludf.DUMMYFUNCTION("""COMPUTED_VALUE"""),"+6.56")</f>
        <v>+6.56</v>
      </c>
      <c r="U200" s="1">
        <f ca="1">IFERROR(__xludf.DUMMYFUNCTION("""COMPUTED_VALUE"""),38)</f>
        <v>38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IFERROR(__xludf.DUMMYFUNCTION("""COMPUTED_VALUE"""),"LSU")</f>
        <v>LSU</v>
      </c>
      <c r="C201" s="1" t="str">
        <f ca="1">IFERROR(__xludf.DUMMYFUNCTION("""COMPUTED_VALUE"""),"SEC")</f>
        <v>SEC</v>
      </c>
      <c r="D201" s="2">
        <f ca="1">IFERROR(__xludf.DUMMYFUNCTION("""COMPUTED_VALUE"""),44885)</f>
        <v>44885</v>
      </c>
      <c r="E201" s="1">
        <f ca="1">IFERROR(__xludf.DUMMYFUNCTION("""COMPUTED_VALUE"""),-1.42)</f>
        <v>-1.42</v>
      </c>
      <c r="F201" s="1">
        <f ca="1">IFERROR(__xludf.DUMMYFUNCTION("""COMPUTED_VALUE"""),99.7)</f>
        <v>99.7</v>
      </c>
      <c r="G201" s="1">
        <f ca="1">IFERROR(__xludf.DUMMYFUNCTION("""COMPUTED_VALUE"""),219)</f>
        <v>219</v>
      </c>
      <c r="H201" s="1">
        <f ca="1">IFERROR(__xludf.DUMMYFUNCTION("""COMPUTED_VALUE"""),101.2)</f>
        <v>101.2</v>
      </c>
      <c r="I201" s="1">
        <f ca="1">IFERROR(__xludf.DUMMYFUNCTION("""COMPUTED_VALUE"""),139)</f>
        <v>139</v>
      </c>
      <c r="J201" s="1">
        <f ca="1">IFERROR(__xludf.DUMMYFUNCTION("""COMPUTED_VALUE"""),61.2)</f>
        <v>61.2</v>
      </c>
      <c r="K201" s="1">
        <f ca="1">IFERROR(__xludf.DUMMYFUNCTION("""COMPUTED_VALUE"""),324)</f>
        <v>324</v>
      </c>
      <c r="L201" s="1">
        <f ca="1">IFERROR(__xludf.DUMMYFUNCTION("""COMPUTED_VALUE"""),-0.006)</f>
        <v>-6.0000000000000001E-3</v>
      </c>
      <c r="M201" s="1">
        <f ca="1">IFERROR(__xludf.DUMMYFUNCTION("""COMPUTED_VALUE"""),185)</f>
        <v>185</v>
      </c>
      <c r="N201" s="1" t="str">
        <f ca="1">IFERROR(__xludf.DUMMYFUNCTION("""COMPUTED_VALUE"""),"+5.54")</f>
        <v>+5.54</v>
      </c>
      <c r="O201" s="1">
        <f ca="1">IFERROR(__xludf.DUMMYFUNCTION("""COMPUTED_VALUE"""),72)</f>
        <v>72</v>
      </c>
      <c r="P201" s="1">
        <f ca="1">IFERROR(__xludf.DUMMYFUNCTION("""COMPUTED_VALUE"""),106)</f>
        <v>106</v>
      </c>
      <c r="Q201" s="1">
        <f ca="1">IFERROR(__xludf.DUMMYFUNCTION("""COMPUTED_VALUE"""),68)</f>
        <v>68</v>
      </c>
      <c r="R201" s="1">
        <f ca="1">IFERROR(__xludf.DUMMYFUNCTION("""COMPUTED_VALUE"""),100.4)</f>
        <v>100.4</v>
      </c>
      <c r="S201" s="1">
        <f ca="1">IFERROR(__xludf.DUMMYFUNCTION("""COMPUTED_VALUE"""),89)</f>
        <v>89</v>
      </c>
      <c r="T201" s="1">
        <f ca="1">IFERROR(__xludf.DUMMYFUNCTION("""COMPUTED_VALUE"""),-5.27)</f>
        <v>-5.27</v>
      </c>
      <c r="U201" s="1">
        <f ca="1">IFERROR(__xludf.DUMMYFUNCTION("""COMPUTED_VALUE"""),289)</f>
        <v>289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IFERROR(__xludf.DUMMYFUNCTION("""COMPUTED_VALUE"""),"Denver")</f>
        <v>Denver</v>
      </c>
      <c r="C202" s="1" t="str">
        <f ca="1">IFERROR(__xludf.DUMMYFUNCTION("""COMPUTED_VALUE"""),"SB")</f>
        <v>SB</v>
      </c>
      <c r="D202" s="1" t="str">
        <f ca="1">IFERROR(__xludf.DUMMYFUNCTION("""COMPUTED_VALUE"""),"19-13")</f>
        <v>19-13</v>
      </c>
      <c r="E202" s="1">
        <f ca="1">IFERROR(__xludf.DUMMYFUNCTION("""COMPUTED_VALUE"""),-1.43)</f>
        <v>-1.43</v>
      </c>
      <c r="F202" s="1">
        <f ca="1">IFERROR(__xludf.DUMMYFUNCTION("""COMPUTED_VALUE"""),106.2)</f>
        <v>106.2</v>
      </c>
      <c r="G202" s="1">
        <f ca="1">IFERROR(__xludf.DUMMYFUNCTION("""COMPUTED_VALUE"""),122)</f>
        <v>122</v>
      </c>
      <c r="H202" s="1">
        <f ca="1">IFERROR(__xludf.DUMMYFUNCTION("""COMPUTED_VALUE"""),107.7)</f>
        <v>107.7</v>
      </c>
      <c r="I202" s="1">
        <f ca="1">IFERROR(__xludf.DUMMYFUNCTION("""COMPUTED_VALUE"""),269)</f>
        <v>269</v>
      </c>
      <c r="J202" s="1">
        <f ca="1">IFERROR(__xludf.DUMMYFUNCTION("""COMPUTED_VALUE"""),58.5)</f>
        <v>58.5</v>
      </c>
      <c r="K202" s="1">
        <f ca="1">IFERROR(__xludf.DUMMYFUNCTION("""COMPUTED_VALUE"""),344)</f>
        <v>344</v>
      </c>
      <c r="L202" s="1" t="str">
        <f ca="1">IFERROR(__xludf.DUMMYFUNCTION("""COMPUTED_VALUE"""),"+.017")</f>
        <v>+.017</v>
      </c>
      <c r="M202" s="1">
        <f ca="1">IFERROR(__xludf.DUMMYFUNCTION("""COMPUTED_VALUE"""),118)</f>
        <v>118</v>
      </c>
      <c r="N202" s="1">
        <f ca="1">IFERROR(__xludf.DUMMYFUNCTION("""COMPUTED_VALUE"""),-5.78)</f>
        <v>-5.78</v>
      </c>
      <c r="O202" s="1">
        <f ca="1">IFERROR(__xludf.DUMMYFUNCTION("""COMPUTED_VALUE"""),273)</f>
        <v>273</v>
      </c>
      <c r="P202" s="1">
        <f ca="1">IFERROR(__xludf.DUMMYFUNCTION("""COMPUTED_VALUE"""),99.5)</f>
        <v>99.5</v>
      </c>
      <c r="Q202" s="1">
        <f ca="1">IFERROR(__xludf.DUMMYFUNCTION("""COMPUTED_VALUE"""),269)</f>
        <v>269</v>
      </c>
      <c r="R202" s="1">
        <f ca="1">IFERROR(__xludf.DUMMYFUNCTION("""COMPUTED_VALUE"""),105.3)</f>
        <v>105.3</v>
      </c>
      <c r="S202" s="1">
        <f ca="1">IFERROR(__xludf.DUMMYFUNCTION("""COMPUTED_VALUE"""),275)</f>
        <v>275</v>
      </c>
      <c r="T202" s="1">
        <f ca="1">IFERROR(__xludf.DUMMYFUNCTION("""COMPUTED_VALUE"""),-2.34)</f>
        <v>-2.34</v>
      </c>
      <c r="U202" s="1">
        <f ca="1">IFERROR(__xludf.DUMMYFUNCTION("""COMPUTED_VALUE"""),227)</f>
        <v>227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IFERROR(__xludf.DUMMYFUNCTION("""COMPUTED_VALUE"""),"Rider")</f>
        <v>Rider</v>
      </c>
      <c r="C203" s="1" t="str">
        <f ca="1">IFERROR(__xludf.DUMMYFUNCTION("""COMPUTED_VALUE"""),"MAAC")</f>
        <v>MAAC</v>
      </c>
      <c r="D203" s="1" t="str">
        <f ca="1">IFERROR(__xludf.DUMMYFUNCTION("""COMPUTED_VALUE"""),"17-16")</f>
        <v>17-16</v>
      </c>
      <c r="E203" s="1">
        <f ca="1">IFERROR(__xludf.DUMMYFUNCTION("""COMPUTED_VALUE"""),-1.45)</f>
        <v>-1.45</v>
      </c>
      <c r="F203" s="1">
        <f ca="1">IFERROR(__xludf.DUMMYFUNCTION("""COMPUTED_VALUE"""),103.1)</f>
        <v>103.1</v>
      </c>
      <c r="G203" s="1">
        <f ca="1">IFERROR(__xludf.DUMMYFUNCTION("""COMPUTED_VALUE"""),168)</f>
        <v>168</v>
      </c>
      <c r="H203" s="1">
        <f ca="1">IFERROR(__xludf.DUMMYFUNCTION("""COMPUTED_VALUE"""),104.6)</f>
        <v>104.6</v>
      </c>
      <c r="I203" s="1">
        <f ca="1">IFERROR(__xludf.DUMMYFUNCTION("""COMPUTED_VALUE"""),216)</f>
        <v>216</v>
      </c>
      <c r="J203" s="1">
        <f ca="1">IFERROR(__xludf.DUMMYFUNCTION("""COMPUTED_VALUE"""),67.1)</f>
        <v>67.099999999999994</v>
      </c>
      <c r="K203" s="1">
        <f ca="1">IFERROR(__xludf.DUMMYFUNCTION("""COMPUTED_VALUE"""),109)</f>
        <v>109</v>
      </c>
      <c r="L203" s="1" t="str">
        <f ca="1">IFERROR(__xludf.DUMMYFUNCTION("""COMPUTED_VALUE"""),"+.074")</f>
        <v>+.074</v>
      </c>
      <c r="M203" s="1">
        <f ca="1">IFERROR(__xludf.DUMMYFUNCTION("""COMPUTED_VALUE"""),29)</f>
        <v>29</v>
      </c>
      <c r="N203" s="1" t="str">
        <f ca="1">IFERROR(__xludf.DUMMYFUNCTION("""COMPUTED_VALUE"""),"+0.11")</f>
        <v>+0.11</v>
      </c>
      <c r="O203" s="1">
        <f ca="1">IFERROR(__xludf.DUMMYFUNCTION("""COMPUTED_VALUE"""),159)</f>
        <v>159</v>
      </c>
      <c r="P203" s="1">
        <f ca="1">IFERROR(__xludf.DUMMYFUNCTION("""COMPUTED_VALUE"""),101.5)</f>
        <v>101.5</v>
      </c>
      <c r="Q203" s="1">
        <f ca="1">IFERROR(__xludf.DUMMYFUNCTION("""COMPUTED_VALUE"""),208)</f>
        <v>208</v>
      </c>
      <c r="R203" s="1">
        <f ca="1">IFERROR(__xludf.DUMMYFUNCTION("""COMPUTED_VALUE"""),101.4)</f>
        <v>101.4</v>
      </c>
      <c r="S203" s="1">
        <f ca="1">IFERROR(__xludf.DUMMYFUNCTION("""COMPUTED_VALUE"""),109)</f>
        <v>109</v>
      </c>
      <c r="T203" s="1">
        <f ca="1">IFERROR(__xludf.DUMMYFUNCTION("""COMPUTED_VALUE"""),-0.16)</f>
        <v>-0.16</v>
      </c>
      <c r="U203" s="1">
        <f ca="1">IFERROR(__xludf.DUMMYFUNCTION("""COMPUTED_VALUE"""),152)</f>
        <v>152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IFERROR(__xludf.DUMMYFUNCTION("""COMPUTED_VALUE"""),"Indiana")</f>
        <v>Indiana</v>
      </c>
      <c r="C204" s="1" t="str">
        <f ca="1">IFERROR(__xludf.DUMMYFUNCTION("""COMPUTED_VALUE"""),"B10")</f>
        <v>B10</v>
      </c>
      <c r="D204" s="2">
        <f ca="1">IFERROR(__xludf.DUMMYFUNCTION("""COMPUTED_VALUE"""),44855)</f>
        <v>44855</v>
      </c>
      <c r="E204" s="1">
        <f ca="1">IFERROR(__xludf.DUMMYFUNCTION("""COMPUTED_VALUE"""),-1.64)</f>
        <v>-1.64</v>
      </c>
      <c r="F204" s="1">
        <f ca="1">IFERROR(__xludf.DUMMYFUNCTION("""COMPUTED_VALUE"""),101.4)</f>
        <v>101.4</v>
      </c>
      <c r="G204" s="1">
        <f ca="1">IFERROR(__xludf.DUMMYFUNCTION("""COMPUTED_VALUE"""),190)</f>
        <v>190</v>
      </c>
      <c r="H204" s="1">
        <f ca="1">IFERROR(__xludf.DUMMYFUNCTION("""COMPUTED_VALUE"""),103)</f>
        <v>103</v>
      </c>
      <c r="I204" s="1">
        <f ca="1">IFERROR(__xludf.DUMMYFUNCTION("""COMPUTED_VALUE"""),176)</f>
        <v>176</v>
      </c>
      <c r="J204" s="1">
        <f ca="1">IFERROR(__xludf.DUMMYFUNCTION("""COMPUTED_VALUE"""),67.3)</f>
        <v>67.3</v>
      </c>
      <c r="K204" s="1">
        <f ca="1">IFERROR(__xludf.DUMMYFUNCTION("""COMPUTED_VALUE"""),101)</f>
        <v>101</v>
      </c>
      <c r="L204" s="1">
        <f ca="1">IFERROR(__xludf.DUMMYFUNCTION("""COMPUTED_VALUE"""),-0.046)</f>
        <v>-4.5999999999999999E-2</v>
      </c>
      <c r="M204" s="1">
        <f ca="1">IFERROR(__xludf.DUMMYFUNCTION("""COMPUTED_VALUE"""),290)</f>
        <v>290</v>
      </c>
      <c r="N204" s="1" t="str">
        <f ca="1">IFERROR(__xludf.DUMMYFUNCTION("""COMPUTED_VALUE"""),"+8.25")</f>
        <v>+8.25</v>
      </c>
      <c r="O204" s="1">
        <f ca="1">IFERROR(__xludf.DUMMYFUNCTION("""COMPUTED_VALUE"""),42)</f>
        <v>42</v>
      </c>
      <c r="P204" s="1">
        <f ca="1">IFERROR(__xludf.DUMMYFUNCTION("""COMPUTED_VALUE"""),106.8)</f>
        <v>106.8</v>
      </c>
      <c r="Q204" s="1">
        <f ca="1">IFERROR(__xludf.DUMMYFUNCTION("""COMPUTED_VALUE"""),41)</f>
        <v>41</v>
      </c>
      <c r="R204" s="1">
        <f ca="1">IFERROR(__xludf.DUMMYFUNCTION("""COMPUTED_VALUE"""),98.6)</f>
        <v>98.6</v>
      </c>
      <c r="S204" s="1">
        <f ca="1">IFERROR(__xludf.DUMMYFUNCTION("""COMPUTED_VALUE"""),31)</f>
        <v>31</v>
      </c>
      <c r="T204" s="1">
        <f ca="1">IFERROR(__xludf.DUMMYFUNCTION("""COMPUTED_VALUE"""),-5.79)</f>
        <v>-5.79</v>
      </c>
      <c r="U204" s="1">
        <f ca="1">IFERROR(__xludf.DUMMYFUNCTION("""COMPUTED_VALUE"""),300)</f>
        <v>300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IFERROR(__xludf.DUMMYFUNCTION("""COMPUTED_VALUE"""),"Montana St.")</f>
        <v>Montana St.</v>
      </c>
      <c r="C205" s="1" t="str">
        <f ca="1">IFERROR(__xludf.DUMMYFUNCTION("""COMPUTED_VALUE"""),"BSky")</f>
        <v>BSky</v>
      </c>
      <c r="D205" s="1" t="str">
        <f ca="1">IFERROR(__xludf.DUMMYFUNCTION("""COMPUTED_VALUE"""),"15-14")</f>
        <v>15-14</v>
      </c>
      <c r="E205" s="1">
        <f ca="1">IFERROR(__xludf.DUMMYFUNCTION("""COMPUTED_VALUE"""),-1.78)</f>
        <v>-1.78</v>
      </c>
      <c r="F205" s="1">
        <f ca="1">IFERROR(__xludf.DUMMYFUNCTION("""COMPUTED_VALUE"""),103.4)</f>
        <v>103.4</v>
      </c>
      <c r="G205" s="1">
        <f ca="1">IFERROR(__xludf.DUMMYFUNCTION("""COMPUTED_VALUE"""),161)</f>
        <v>161</v>
      </c>
      <c r="H205" s="1">
        <f ca="1">IFERROR(__xludf.DUMMYFUNCTION("""COMPUTED_VALUE"""),105.2)</f>
        <v>105.2</v>
      </c>
      <c r="I205" s="1">
        <f ca="1">IFERROR(__xludf.DUMMYFUNCTION("""COMPUTED_VALUE"""),227)</f>
        <v>227</v>
      </c>
      <c r="J205" s="1">
        <f ca="1">IFERROR(__xludf.DUMMYFUNCTION("""COMPUTED_VALUE"""),63.4)</f>
        <v>63.4</v>
      </c>
      <c r="K205" s="1">
        <f ca="1">IFERROR(__xludf.DUMMYFUNCTION("""COMPUTED_VALUE"""),277)</f>
        <v>277</v>
      </c>
      <c r="L205" s="1" t="str">
        <f ca="1">IFERROR(__xludf.DUMMYFUNCTION("""COMPUTED_VALUE"""),"+.018")</f>
        <v>+.018</v>
      </c>
      <c r="M205" s="1">
        <f ca="1">IFERROR(__xludf.DUMMYFUNCTION("""COMPUTED_VALUE"""),117)</f>
        <v>117</v>
      </c>
      <c r="N205" s="1">
        <f ca="1">IFERROR(__xludf.DUMMYFUNCTION("""COMPUTED_VALUE"""),-1.33)</f>
        <v>-1.33</v>
      </c>
      <c r="O205" s="1">
        <f ca="1">IFERROR(__xludf.DUMMYFUNCTION("""COMPUTED_VALUE"""),188)</f>
        <v>188</v>
      </c>
      <c r="P205" s="1">
        <f ca="1">IFERROR(__xludf.DUMMYFUNCTION("""COMPUTED_VALUE"""),104.2)</f>
        <v>104.2</v>
      </c>
      <c r="Q205" s="1">
        <f ca="1">IFERROR(__xludf.DUMMYFUNCTION("""COMPUTED_VALUE"""),127)</f>
        <v>127</v>
      </c>
      <c r="R205" s="1">
        <f ca="1">IFERROR(__xludf.DUMMYFUNCTION("""COMPUTED_VALUE"""),105.5)</f>
        <v>105.5</v>
      </c>
      <c r="S205" s="1">
        <f ca="1">IFERROR(__xludf.DUMMYFUNCTION("""COMPUTED_VALUE"""),284)</f>
        <v>284</v>
      </c>
      <c r="T205" s="1" t="str">
        <f ca="1">IFERROR(__xludf.DUMMYFUNCTION("""COMPUTED_VALUE"""),"+2.86")</f>
        <v>+2.86</v>
      </c>
      <c r="U205" s="1">
        <f ca="1">IFERROR(__xludf.DUMMYFUNCTION("""COMPUTED_VALUE"""),86)</f>
        <v>86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IFERROR(__xludf.DUMMYFUNCTION("""COMPUTED_VALUE"""),"Central Michigan")</f>
        <v>Central Michigan</v>
      </c>
      <c r="C206" s="1" t="str">
        <f ca="1">IFERROR(__xludf.DUMMYFUNCTION("""COMPUTED_VALUE"""),"MAC")</f>
        <v>MAC</v>
      </c>
      <c r="D206" s="1" t="str">
        <f ca="1">IFERROR(__xludf.DUMMYFUNCTION("""COMPUTED_VALUE"""),"15-15")</f>
        <v>15-15</v>
      </c>
      <c r="E206" s="1">
        <f ca="1">IFERROR(__xludf.DUMMYFUNCTION("""COMPUTED_VALUE"""),-1.85)</f>
        <v>-1.85</v>
      </c>
      <c r="F206" s="1">
        <f ca="1">IFERROR(__xludf.DUMMYFUNCTION("""COMPUTED_VALUE"""),101.6)</f>
        <v>101.6</v>
      </c>
      <c r="G206" s="1">
        <f ca="1">IFERROR(__xludf.DUMMYFUNCTION("""COMPUTED_VALUE"""),187)</f>
        <v>187</v>
      </c>
      <c r="H206" s="1">
        <f ca="1">IFERROR(__xludf.DUMMYFUNCTION("""COMPUTED_VALUE"""),103.4)</f>
        <v>103.4</v>
      </c>
      <c r="I206" s="1">
        <f ca="1">IFERROR(__xludf.DUMMYFUNCTION("""COMPUTED_VALUE"""),184)</f>
        <v>184</v>
      </c>
      <c r="J206" s="1">
        <f ca="1">IFERROR(__xludf.DUMMYFUNCTION("""COMPUTED_VALUE"""),63.5)</f>
        <v>63.5</v>
      </c>
      <c r="K206" s="1">
        <f ca="1">IFERROR(__xludf.DUMMYFUNCTION("""COMPUTED_VALUE"""),272)</f>
        <v>272</v>
      </c>
      <c r="L206" s="1">
        <f ca="1">IFERROR(__xludf.DUMMYFUNCTION("""COMPUTED_VALUE"""),-0.016)</f>
        <v>-1.6E-2</v>
      </c>
      <c r="M206" s="1">
        <f ca="1">IFERROR(__xludf.DUMMYFUNCTION("""COMPUTED_VALUE"""),222)</f>
        <v>222</v>
      </c>
      <c r="N206" s="1">
        <f ca="1">IFERROR(__xludf.DUMMYFUNCTION("""COMPUTED_VALUE"""),-2.24)</f>
        <v>-2.2400000000000002</v>
      </c>
      <c r="O206" s="1">
        <f ca="1">IFERROR(__xludf.DUMMYFUNCTION("""COMPUTED_VALUE"""),206)</f>
        <v>206</v>
      </c>
      <c r="P206" s="1">
        <f ca="1">IFERROR(__xludf.DUMMYFUNCTION("""COMPUTED_VALUE"""),100.4)</f>
        <v>100.4</v>
      </c>
      <c r="Q206" s="1">
        <f ca="1">IFERROR(__xludf.DUMMYFUNCTION("""COMPUTED_VALUE"""),245)</f>
        <v>245</v>
      </c>
      <c r="R206" s="1">
        <f ca="1">IFERROR(__xludf.DUMMYFUNCTION("""COMPUTED_VALUE"""),102.6)</f>
        <v>102.6</v>
      </c>
      <c r="S206" s="1">
        <f ca="1">IFERROR(__xludf.DUMMYFUNCTION("""COMPUTED_VALUE"""),162)</f>
        <v>162</v>
      </c>
      <c r="T206" s="1">
        <f ca="1">IFERROR(__xludf.DUMMYFUNCTION("""COMPUTED_VALUE"""),-1.74)</f>
        <v>-1.74</v>
      </c>
      <c r="U206" s="1">
        <f ca="1">IFERROR(__xludf.DUMMYFUNCTION("""COMPUTED_VALUE"""),208)</f>
        <v>208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IFERROR(__xludf.DUMMYFUNCTION("""COMPUTED_VALUE"""),"The Citadel")</f>
        <v>The Citadel</v>
      </c>
      <c r="C207" s="1" t="str">
        <f ca="1">IFERROR(__xludf.DUMMYFUNCTION("""COMPUTED_VALUE"""),"SC")</f>
        <v>SC</v>
      </c>
      <c r="D207" s="1" t="str">
        <f ca="1">IFERROR(__xludf.DUMMYFUNCTION("""COMPUTED_VALUE"""),"16-16")</f>
        <v>16-16</v>
      </c>
      <c r="E207" s="1">
        <f ca="1">IFERROR(__xludf.DUMMYFUNCTION("""COMPUTED_VALUE"""),-1.96)</f>
        <v>-1.96</v>
      </c>
      <c r="F207" s="1">
        <f ca="1">IFERROR(__xludf.DUMMYFUNCTION("""COMPUTED_VALUE"""),100.3)</f>
        <v>100.3</v>
      </c>
      <c r="G207" s="1">
        <f ca="1">IFERROR(__xludf.DUMMYFUNCTION("""COMPUTED_VALUE"""),206)</f>
        <v>206</v>
      </c>
      <c r="H207" s="1">
        <f ca="1">IFERROR(__xludf.DUMMYFUNCTION("""COMPUTED_VALUE"""),102.3)</f>
        <v>102.3</v>
      </c>
      <c r="I207" s="1">
        <f ca="1">IFERROR(__xludf.DUMMYFUNCTION("""COMPUTED_VALUE"""),165)</f>
        <v>165</v>
      </c>
      <c r="J207" s="1">
        <f ca="1">IFERROR(__xludf.DUMMYFUNCTION("""COMPUTED_VALUE"""),59.4)</f>
        <v>59.4</v>
      </c>
      <c r="K207" s="1">
        <f ca="1">IFERROR(__xludf.DUMMYFUNCTION("""COMPUTED_VALUE"""),338)</f>
        <v>338</v>
      </c>
      <c r="L207" s="1">
        <f ca="1">IFERROR(__xludf.DUMMYFUNCTION("""COMPUTED_VALUE"""),-0.02)</f>
        <v>-0.02</v>
      </c>
      <c r="M207" s="1">
        <f ca="1">IFERROR(__xludf.DUMMYFUNCTION("""COMPUTED_VALUE"""),233)</f>
        <v>233</v>
      </c>
      <c r="N207" s="1">
        <f ca="1">IFERROR(__xludf.DUMMYFUNCTION("""COMPUTED_VALUE"""),-2.33)</f>
        <v>-2.33</v>
      </c>
      <c r="O207" s="1">
        <f ca="1">IFERROR(__xludf.DUMMYFUNCTION("""COMPUTED_VALUE"""),208)</f>
        <v>208</v>
      </c>
      <c r="P207" s="1">
        <f ca="1">IFERROR(__xludf.DUMMYFUNCTION("""COMPUTED_VALUE"""),102.1)</f>
        <v>102.1</v>
      </c>
      <c r="Q207" s="1">
        <f ca="1">IFERROR(__xludf.DUMMYFUNCTION("""COMPUTED_VALUE"""),186)</f>
        <v>186</v>
      </c>
      <c r="R207" s="1">
        <f ca="1">IFERROR(__xludf.DUMMYFUNCTION("""COMPUTED_VALUE"""),104.4)</f>
        <v>104.4</v>
      </c>
      <c r="S207" s="1">
        <f ca="1">IFERROR(__xludf.DUMMYFUNCTION("""COMPUTED_VALUE"""),236)</f>
        <v>236</v>
      </c>
      <c r="T207" s="1" t="str">
        <f ca="1">IFERROR(__xludf.DUMMYFUNCTION("""COMPUTED_VALUE"""),"+2.94")</f>
        <v>+2.94</v>
      </c>
      <c r="U207" s="1">
        <f ca="1">IFERROR(__xludf.DUMMYFUNCTION("""COMPUTED_VALUE"""),85)</f>
        <v>85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IFERROR(__xludf.DUMMYFUNCTION("""COMPUTED_VALUE"""),"UTSA")</f>
        <v>UTSA</v>
      </c>
      <c r="C208" s="1" t="str">
        <f ca="1">IFERROR(__xludf.DUMMYFUNCTION("""COMPUTED_VALUE"""),"Slnd")</f>
        <v>Slnd</v>
      </c>
      <c r="D208" s="1" t="str">
        <f ca="1">IFERROR(__xludf.DUMMYFUNCTION("""COMPUTED_VALUE"""),"19-11")</f>
        <v>19-11</v>
      </c>
      <c r="E208" s="1">
        <f ca="1">IFERROR(__xludf.DUMMYFUNCTION("""COMPUTED_VALUE"""),-2.1)</f>
        <v>-2.1</v>
      </c>
      <c r="F208" s="1">
        <f ca="1">IFERROR(__xludf.DUMMYFUNCTION("""COMPUTED_VALUE"""),103.9)</f>
        <v>103.9</v>
      </c>
      <c r="G208" s="1">
        <f ca="1">IFERROR(__xludf.DUMMYFUNCTION("""COMPUTED_VALUE"""),153)</f>
        <v>153</v>
      </c>
      <c r="H208" s="1">
        <f ca="1">IFERROR(__xludf.DUMMYFUNCTION("""COMPUTED_VALUE"""),106)</f>
        <v>106</v>
      </c>
      <c r="I208" s="1">
        <f ca="1">IFERROR(__xludf.DUMMYFUNCTION("""COMPUTED_VALUE"""),240)</f>
        <v>240</v>
      </c>
      <c r="J208" s="1">
        <f ca="1">IFERROR(__xludf.DUMMYFUNCTION("""COMPUTED_VALUE"""),62.9)</f>
        <v>62.9</v>
      </c>
      <c r="K208" s="1">
        <f ca="1">IFERROR(__xludf.DUMMYFUNCTION("""COMPUTED_VALUE"""),290)</f>
        <v>290</v>
      </c>
      <c r="L208" s="1" t="str">
        <f ca="1">IFERROR(__xludf.DUMMYFUNCTION("""COMPUTED_VALUE"""),"+.020")</f>
        <v>+.020</v>
      </c>
      <c r="M208" s="1">
        <f ca="1">IFERROR(__xludf.DUMMYFUNCTION("""COMPUTED_VALUE"""),112)</f>
        <v>112</v>
      </c>
      <c r="N208" s="1">
        <f ca="1">IFERROR(__xludf.DUMMYFUNCTION("""COMPUTED_VALUE"""),-5.66)</f>
        <v>-5.66</v>
      </c>
      <c r="O208" s="1">
        <f ca="1">IFERROR(__xludf.DUMMYFUNCTION("""COMPUTED_VALUE"""),269)</f>
        <v>269</v>
      </c>
      <c r="P208" s="1">
        <f ca="1">IFERROR(__xludf.DUMMYFUNCTION("""COMPUTED_VALUE"""),99.6)</f>
        <v>99.6</v>
      </c>
      <c r="Q208" s="1">
        <f ca="1">IFERROR(__xludf.DUMMYFUNCTION("""COMPUTED_VALUE"""),265)</f>
        <v>265</v>
      </c>
      <c r="R208" s="1">
        <f ca="1">IFERROR(__xludf.DUMMYFUNCTION("""COMPUTED_VALUE"""),105.3)</f>
        <v>105.3</v>
      </c>
      <c r="S208" s="1">
        <f ca="1">IFERROR(__xludf.DUMMYFUNCTION("""COMPUTED_VALUE"""),273)</f>
        <v>273</v>
      </c>
      <c r="T208" s="1">
        <f ca="1">IFERROR(__xludf.DUMMYFUNCTION("""COMPUTED_VALUE"""),-4.29)</f>
        <v>-4.29</v>
      </c>
      <c r="U208" s="1">
        <f ca="1">IFERROR(__xludf.DUMMYFUNCTION("""COMPUTED_VALUE"""),271)</f>
        <v>271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IFERROR(__xludf.DUMMYFUNCTION("""COMPUTED_VALUE"""),"Manhattan")</f>
        <v>Manhattan</v>
      </c>
      <c r="C209" s="1" t="str">
        <f ca="1">IFERROR(__xludf.DUMMYFUNCTION("""COMPUTED_VALUE"""),"MAAC")</f>
        <v>MAAC</v>
      </c>
      <c r="D209" s="2">
        <f ca="1">IFERROR(__xludf.DUMMYFUNCTION("""COMPUTED_VALUE"""),44885)</f>
        <v>44885</v>
      </c>
      <c r="E209" s="1">
        <f ca="1">IFERROR(__xludf.DUMMYFUNCTION("""COMPUTED_VALUE"""),-2.38)</f>
        <v>-2.38</v>
      </c>
      <c r="F209" s="1">
        <f ca="1">IFERROR(__xludf.DUMMYFUNCTION("""COMPUTED_VALUE"""),99.3)</f>
        <v>99.3</v>
      </c>
      <c r="G209" s="1">
        <f ca="1">IFERROR(__xludf.DUMMYFUNCTION("""COMPUTED_VALUE"""),227)</f>
        <v>227</v>
      </c>
      <c r="H209" s="1">
        <f ca="1">IFERROR(__xludf.DUMMYFUNCTION("""COMPUTED_VALUE"""),101.7)</f>
        <v>101.7</v>
      </c>
      <c r="I209" s="1">
        <f ca="1">IFERROR(__xludf.DUMMYFUNCTION("""COMPUTED_VALUE"""),154)</f>
        <v>154</v>
      </c>
      <c r="J209" s="1">
        <f ca="1">IFERROR(__xludf.DUMMYFUNCTION("""COMPUTED_VALUE"""),66.1)</f>
        <v>66.099999999999994</v>
      </c>
      <c r="K209" s="1">
        <f ca="1">IFERROR(__xludf.DUMMYFUNCTION("""COMPUTED_VALUE"""),164)</f>
        <v>164</v>
      </c>
      <c r="L209" s="1">
        <f ca="1">IFERROR(__xludf.DUMMYFUNCTION("""COMPUTED_VALUE"""),-0.11)</f>
        <v>-0.11</v>
      </c>
      <c r="M209" s="1">
        <f ca="1">IFERROR(__xludf.DUMMYFUNCTION("""COMPUTED_VALUE"""),343)</f>
        <v>343</v>
      </c>
      <c r="N209" s="1">
        <f ca="1">IFERROR(__xludf.DUMMYFUNCTION("""COMPUTED_VALUE"""),-1.18)</f>
        <v>-1.18</v>
      </c>
      <c r="O209" s="1">
        <f ca="1">IFERROR(__xludf.DUMMYFUNCTION("""COMPUTED_VALUE"""),184)</f>
        <v>184</v>
      </c>
      <c r="P209" s="1">
        <f ca="1">IFERROR(__xludf.DUMMYFUNCTION("""COMPUTED_VALUE"""),101)</f>
        <v>101</v>
      </c>
      <c r="Q209" s="1">
        <f ca="1">IFERROR(__xludf.DUMMYFUNCTION("""COMPUTED_VALUE"""),224)</f>
        <v>224</v>
      </c>
      <c r="R209" s="1">
        <f ca="1">IFERROR(__xludf.DUMMYFUNCTION("""COMPUTED_VALUE"""),102.2)</f>
        <v>102.2</v>
      </c>
      <c r="S209" s="1">
        <f ca="1">IFERROR(__xludf.DUMMYFUNCTION("""COMPUTED_VALUE"""),143)</f>
        <v>143</v>
      </c>
      <c r="T209" s="1">
        <f ca="1">IFERROR(__xludf.DUMMYFUNCTION("""COMPUTED_VALUE"""),-3.9)</f>
        <v>-3.9</v>
      </c>
      <c r="U209" s="1">
        <f ca="1">IFERROR(__xludf.DUMMYFUNCTION("""COMPUTED_VALUE"""),264)</f>
        <v>264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IFERROR(__xludf.DUMMYFUNCTION("""COMPUTED_VALUE"""),"Bowling Green")</f>
        <v>Bowling Green</v>
      </c>
      <c r="C210" s="1" t="str">
        <f ca="1">IFERROR(__xludf.DUMMYFUNCTION("""COMPUTED_VALUE"""),"MAC")</f>
        <v>MAC</v>
      </c>
      <c r="D210" s="1" t="str">
        <f ca="1">IFERROR(__xludf.DUMMYFUNCTION("""COMPUTED_VALUE"""),"14-16")</f>
        <v>14-16</v>
      </c>
      <c r="E210" s="1">
        <f ca="1">IFERROR(__xludf.DUMMYFUNCTION("""COMPUTED_VALUE"""),-2.9)</f>
        <v>-2.9</v>
      </c>
      <c r="F210" s="1">
        <f ca="1">IFERROR(__xludf.DUMMYFUNCTION("""COMPUTED_VALUE"""),101.3)</f>
        <v>101.3</v>
      </c>
      <c r="G210" s="1">
        <f ca="1">IFERROR(__xludf.DUMMYFUNCTION("""COMPUTED_VALUE"""),191)</f>
        <v>191</v>
      </c>
      <c r="H210" s="1">
        <f ca="1">IFERROR(__xludf.DUMMYFUNCTION("""COMPUTED_VALUE"""),104.2)</f>
        <v>104.2</v>
      </c>
      <c r="I210" s="1">
        <f ca="1">IFERROR(__xludf.DUMMYFUNCTION("""COMPUTED_VALUE"""),206)</f>
        <v>206</v>
      </c>
      <c r="J210" s="1">
        <f ca="1">IFERROR(__xludf.DUMMYFUNCTION("""COMPUTED_VALUE"""),63.1)</f>
        <v>63.1</v>
      </c>
      <c r="K210" s="1">
        <f ca="1">IFERROR(__xludf.DUMMYFUNCTION("""COMPUTED_VALUE"""),282)</f>
        <v>282</v>
      </c>
      <c r="L210" s="1" t="str">
        <f ca="1">IFERROR(__xludf.DUMMYFUNCTION("""COMPUTED_VALUE"""),"+.052")</f>
        <v>+.052</v>
      </c>
      <c r="M210" s="1">
        <f ca="1">IFERROR(__xludf.DUMMYFUNCTION("""COMPUTED_VALUE"""),52)</f>
        <v>52</v>
      </c>
      <c r="N210" s="1" t="str">
        <f ca="1">IFERROR(__xludf.DUMMYFUNCTION("""COMPUTED_VALUE"""),"+0.77")</f>
        <v>+0.77</v>
      </c>
      <c r="O210" s="1">
        <f ca="1">IFERROR(__xludf.DUMMYFUNCTION("""COMPUTED_VALUE"""),154)</f>
        <v>154</v>
      </c>
      <c r="P210" s="1">
        <f ca="1">IFERROR(__xludf.DUMMYFUNCTION("""COMPUTED_VALUE"""),102.9)</f>
        <v>102.9</v>
      </c>
      <c r="Q210" s="1">
        <f ca="1">IFERROR(__xludf.DUMMYFUNCTION("""COMPUTED_VALUE"""),167)</f>
        <v>167</v>
      </c>
      <c r="R210" s="1">
        <f ca="1">IFERROR(__xludf.DUMMYFUNCTION("""COMPUTED_VALUE"""),102.2)</f>
        <v>102.2</v>
      </c>
      <c r="S210" s="1">
        <f ca="1">IFERROR(__xludf.DUMMYFUNCTION("""COMPUTED_VALUE"""),140)</f>
        <v>140</v>
      </c>
      <c r="T210" s="1">
        <f ca="1">IFERROR(__xludf.DUMMYFUNCTION("""COMPUTED_VALUE"""),-0.33)</f>
        <v>-0.33</v>
      </c>
      <c r="U210" s="1">
        <f ca="1">IFERROR(__xludf.DUMMYFUNCTION("""COMPUTED_VALUE"""),154)</f>
        <v>154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IFERROR(__xludf.DUMMYFUNCTION("""COMPUTED_VALUE"""),"Canisius")</f>
        <v>Canisius</v>
      </c>
      <c r="C213" s="1" t="str">
        <f ca="1">IFERROR(__xludf.DUMMYFUNCTION("""COMPUTED_VALUE"""),"MAAC")</f>
        <v>MAAC</v>
      </c>
      <c r="D213" s="1" t="str">
        <f ca="1">IFERROR(__xludf.DUMMYFUNCTION("""COMPUTED_VALUE"""),"15-17")</f>
        <v>15-17</v>
      </c>
      <c r="E213" s="1">
        <f ca="1">IFERROR(__xludf.DUMMYFUNCTION("""COMPUTED_VALUE"""),-2.93)</f>
        <v>-2.93</v>
      </c>
      <c r="F213" s="1">
        <f ca="1">IFERROR(__xludf.DUMMYFUNCTION("""COMPUTED_VALUE"""),100.1)</f>
        <v>100.1</v>
      </c>
      <c r="G213" s="1">
        <f ca="1">IFERROR(__xludf.DUMMYFUNCTION("""COMPUTED_VALUE"""),208)</f>
        <v>208</v>
      </c>
      <c r="H213" s="1">
        <f ca="1">IFERROR(__xludf.DUMMYFUNCTION("""COMPUTED_VALUE"""),103.1)</f>
        <v>103.1</v>
      </c>
      <c r="I213" s="1">
        <f ca="1">IFERROR(__xludf.DUMMYFUNCTION("""COMPUTED_VALUE"""),178)</f>
        <v>178</v>
      </c>
      <c r="J213" s="1">
        <f ca="1">IFERROR(__xludf.DUMMYFUNCTION("""COMPUTED_VALUE"""),65.6)</f>
        <v>65.599999999999994</v>
      </c>
      <c r="K213" s="1">
        <f ca="1">IFERROR(__xludf.DUMMYFUNCTION("""COMPUTED_VALUE"""),193)</f>
        <v>193</v>
      </c>
      <c r="L213" s="1">
        <f ca="1">IFERROR(__xludf.DUMMYFUNCTION("""COMPUTED_VALUE"""),-0.002)</f>
        <v>-2E-3</v>
      </c>
      <c r="M213" s="1">
        <f ca="1">IFERROR(__xludf.DUMMYFUNCTION("""COMPUTED_VALUE"""),176)</f>
        <v>176</v>
      </c>
      <c r="N213" s="1">
        <f ca="1">IFERROR(__xludf.DUMMYFUNCTION("""COMPUTED_VALUE"""),-2.12)</f>
        <v>-2.12</v>
      </c>
      <c r="O213" s="1">
        <f ca="1">IFERROR(__xludf.DUMMYFUNCTION("""COMPUTED_VALUE"""),204)</f>
        <v>204</v>
      </c>
      <c r="P213" s="1">
        <f ca="1">IFERROR(__xludf.DUMMYFUNCTION("""COMPUTED_VALUE"""),100.1)</f>
        <v>100.1</v>
      </c>
      <c r="Q213" s="1">
        <f ca="1">IFERROR(__xludf.DUMMYFUNCTION("""COMPUTED_VALUE"""),256)</f>
        <v>256</v>
      </c>
      <c r="R213" s="1">
        <f ca="1">IFERROR(__xludf.DUMMYFUNCTION("""COMPUTED_VALUE"""),102.2)</f>
        <v>102.2</v>
      </c>
      <c r="S213" s="1">
        <f ca="1">IFERROR(__xludf.DUMMYFUNCTION("""COMPUTED_VALUE"""),145)</f>
        <v>145</v>
      </c>
      <c r="T213" s="1">
        <f ca="1">IFERROR(__xludf.DUMMYFUNCTION("""COMPUTED_VALUE"""),-3.67)</f>
        <v>-3.67</v>
      </c>
      <c r="U213" s="1">
        <f ca="1">IFERROR(__xludf.DUMMYFUNCTION("""COMPUTED_VALUE"""),259)</f>
        <v>259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IFERROR(__xludf.DUMMYFUNCTION("""COMPUTED_VALUE"""),"Arkansas St.")</f>
        <v>Arkansas St.</v>
      </c>
      <c r="C214" s="1" t="str">
        <f ca="1">IFERROR(__xludf.DUMMYFUNCTION("""COMPUTED_VALUE"""),"SB")</f>
        <v>SB</v>
      </c>
      <c r="D214" s="1" t="str">
        <f ca="1">IFERROR(__xludf.DUMMYFUNCTION("""COMPUTED_VALUE"""),"17-14")</f>
        <v>17-14</v>
      </c>
      <c r="E214" s="1">
        <f ca="1">IFERROR(__xludf.DUMMYFUNCTION("""COMPUTED_VALUE"""),-2.95)</f>
        <v>-2.95</v>
      </c>
      <c r="F214" s="1">
        <f ca="1">IFERROR(__xludf.DUMMYFUNCTION("""COMPUTED_VALUE"""),99.1)</f>
        <v>99.1</v>
      </c>
      <c r="G214" s="1">
        <f ca="1">IFERROR(__xludf.DUMMYFUNCTION("""COMPUTED_VALUE"""),229)</f>
        <v>229</v>
      </c>
      <c r="H214" s="1">
        <f ca="1">IFERROR(__xludf.DUMMYFUNCTION("""COMPUTED_VALUE"""),102)</f>
        <v>102</v>
      </c>
      <c r="I214" s="1">
        <f ca="1">IFERROR(__xludf.DUMMYFUNCTION("""COMPUTED_VALUE"""),157)</f>
        <v>157</v>
      </c>
      <c r="J214" s="1">
        <f ca="1">IFERROR(__xludf.DUMMYFUNCTION("""COMPUTED_VALUE"""),66.5)</f>
        <v>66.5</v>
      </c>
      <c r="K214" s="1">
        <f ca="1">IFERROR(__xludf.DUMMYFUNCTION("""COMPUTED_VALUE"""),144)</f>
        <v>144</v>
      </c>
      <c r="L214" s="1" t="str">
        <f ca="1">IFERROR(__xludf.DUMMYFUNCTION("""COMPUTED_VALUE"""),"+.002")</f>
        <v>+.002</v>
      </c>
      <c r="M214" s="1">
        <f ca="1">IFERROR(__xludf.DUMMYFUNCTION("""COMPUTED_VALUE"""),166)</f>
        <v>166</v>
      </c>
      <c r="N214" s="1">
        <f ca="1">IFERROR(__xludf.DUMMYFUNCTION("""COMPUTED_VALUE"""),-5)</f>
        <v>-5</v>
      </c>
      <c r="O214" s="1">
        <f ca="1">IFERROR(__xludf.DUMMYFUNCTION("""COMPUTED_VALUE"""),257)</f>
        <v>257</v>
      </c>
      <c r="P214" s="1">
        <f ca="1">IFERROR(__xludf.DUMMYFUNCTION("""COMPUTED_VALUE"""),100.8)</f>
        <v>100.8</v>
      </c>
      <c r="Q214" s="1">
        <f ca="1">IFERROR(__xludf.DUMMYFUNCTION("""COMPUTED_VALUE"""),230)</f>
        <v>230</v>
      </c>
      <c r="R214" s="1">
        <f ca="1">IFERROR(__xludf.DUMMYFUNCTION("""COMPUTED_VALUE"""),105.8)</f>
        <v>105.8</v>
      </c>
      <c r="S214" s="1">
        <f ca="1">IFERROR(__xludf.DUMMYFUNCTION("""COMPUTED_VALUE"""),299)</f>
        <v>299</v>
      </c>
      <c r="T214" s="1">
        <f ca="1">IFERROR(__xludf.DUMMYFUNCTION("""COMPUTED_VALUE"""),-1.6)</f>
        <v>-1.6</v>
      </c>
      <c r="U214" s="1">
        <f ca="1">IFERROR(__xludf.DUMMYFUNCTION("""COMPUTED_VALUE"""),201)</f>
        <v>201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IFERROR(__xludf.DUMMYFUNCTION("""COMPUTED_VALUE"""),"Southeastern Louisiana")</f>
        <v>Southeastern Louisiana</v>
      </c>
      <c r="C215" s="1" t="str">
        <f ca="1">IFERROR(__xludf.DUMMYFUNCTION("""COMPUTED_VALUE"""),"Slnd")</f>
        <v>Slnd</v>
      </c>
      <c r="D215" s="1" t="str">
        <f ca="1">IFERROR(__xludf.DUMMYFUNCTION("""COMPUTED_VALUE"""),"19-12")</f>
        <v>19-12</v>
      </c>
      <c r="E215" s="1">
        <f ca="1">IFERROR(__xludf.DUMMYFUNCTION("""COMPUTED_VALUE"""),-3.09)</f>
        <v>-3.09</v>
      </c>
      <c r="F215" s="1">
        <f ca="1">IFERROR(__xludf.DUMMYFUNCTION("""COMPUTED_VALUE"""),100.9)</f>
        <v>100.9</v>
      </c>
      <c r="G215" s="1">
        <f ca="1">IFERROR(__xludf.DUMMYFUNCTION("""COMPUTED_VALUE"""),198)</f>
        <v>198</v>
      </c>
      <c r="H215" s="1">
        <f ca="1">IFERROR(__xludf.DUMMYFUNCTION("""COMPUTED_VALUE"""),104)</f>
        <v>104</v>
      </c>
      <c r="I215" s="1">
        <f ca="1">IFERROR(__xludf.DUMMYFUNCTION("""COMPUTED_VALUE"""),204)</f>
        <v>204</v>
      </c>
      <c r="J215" s="1">
        <f ca="1">IFERROR(__xludf.DUMMYFUNCTION("""COMPUTED_VALUE"""),66.5)</f>
        <v>66.5</v>
      </c>
      <c r="K215" s="1">
        <f ca="1">IFERROR(__xludf.DUMMYFUNCTION("""COMPUTED_VALUE"""),140)</f>
        <v>140</v>
      </c>
      <c r="L215" s="1">
        <f ca="1">IFERROR(__xludf.DUMMYFUNCTION("""COMPUTED_VALUE"""),-0.006)</f>
        <v>-6.0000000000000001E-3</v>
      </c>
      <c r="M215" s="1">
        <f ca="1">IFERROR(__xludf.DUMMYFUNCTION("""COMPUTED_VALUE"""),186)</f>
        <v>186</v>
      </c>
      <c r="N215" s="1">
        <f ca="1">IFERROR(__xludf.DUMMYFUNCTION("""COMPUTED_VALUE"""),-6.53)</f>
        <v>-6.53</v>
      </c>
      <c r="O215" s="1">
        <f ca="1">IFERROR(__xludf.DUMMYFUNCTION("""COMPUTED_VALUE"""),285)</f>
        <v>285</v>
      </c>
      <c r="P215" s="1">
        <f ca="1">IFERROR(__xludf.DUMMYFUNCTION("""COMPUTED_VALUE"""),99.2)</f>
        <v>99.2</v>
      </c>
      <c r="Q215" s="1">
        <f ca="1">IFERROR(__xludf.DUMMYFUNCTION("""COMPUTED_VALUE"""),278)</f>
        <v>278</v>
      </c>
      <c r="R215" s="1">
        <f ca="1">IFERROR(__xludf.DUMMYFUNCTION("""COMPUTED_VALUE"""),105.7)</f>
        <v>105.7</v>
      </c>
      <c r="S215" s="1">
        <f ca="1">IFERROR(__xludf.DUMMYFUNCTION("""COMPUTED_VALUE"""),295)</f>
        <v>295</v>
      </c>
      <c r="T215" s="1">
        <f ca="1">IFERROR(__xludf.DUMMYFUNCTION("""COMPUTED_VALUE"""),-3.88)</f>
        <v>-3.88</v>
      </c>
      <c r="U215" s="1">
        <f ca="1">IFERROR(__xludf.DUMMYFUNCTION("""COMPUTED_VALUE"""),263)</f>
        <v>263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IFERROR(__xludf.DUMMYFUNCTION("""COMPUTED_VALUE"""),"San Francisco")</f>
        <v>San Francisco</v>
      </c>
      <c r="C216" s="1" t="str">
        <f ca="1">IFERROR(__xludf.DUMMYFUNCTION("""COMPUTED_VALUE"""),"WCC")</f>
        <v>WCC</v>
      </c>
      <c r="D216" s="2">
        <f ca="1">IFERROR(__xludf.DUMMYFUNCTION("""COMPUTED_VALUE"""),44913)</f>
        <v>44913</v>
      </c>
      <c r="E216" s="1">
        <f ca="1">IFERROR(__xludf.DUMMYFUNCTION("""COMPUTED_VALUE"""),-3.14)</f>
        <v>-3.14</v>
      </c>
      <c r="F216" s="1">
        <f ca="1">IFERROR(__xludf.DUMMYFUNCTION("""COMPUTED_VALUE"""),100.5)</f>
        <v>100.5</v>
      </c>
      <c r="G216" s="1">
        <f ca="1">IFERROR(__xludf.DUMMYFUNCTION("""COMPUTED_VALUE"""),204)</f>
        <v>204</v>
      </c>
      <c r="H216" s="1">
        <f ca="1">IFERROR(__xludf.DUMMYFUNCTION("""COMPUTED_VALUE"""),103.6)</f>
        <v>103.6</v>
      </c>
      <c r="I216" s="1">
        <f ca="1">IFERROR(__xludf.DUMMYFUNCTION("""COMPUTED_VALUE"""),192)</f>
        <v>192</v>
      </c>
      <c r="J216" s="1">
        <f ca="1">IFERROR(__xludf.DUMMYFUNCTION("""COMPUTED_VALUE"""),66.1)</f>
        <v>66.099999999999994</v>
      </c>
      <c r="K216" s="1">
        <f ca="1">IFERROR(__xludf.DUMMYFUNCTION("""COMPUTED_VALUE"""),166)</f>
        <v>166</v>
      </c>
      <c r="L216" s="1" t="str">
        <f ca="1">IFERROR(__xludf.DUMMYFUNCTION("""COMPUTED_VALUE"""),"+.007")</f>
        <v>+.007</v>
      </c>
      <c r="M216" s="1">
        <f ca="1">IFERROR(__xludf.DUMMYFUNCTION("""COMPUTED_VALUE"""),154)</f>
        <v>154</v>
      </c>
      <c r="N216" s="1" t="str">
        <f ca="1">IFERROR(__xludf.DUMMYFUNCTION("""COMPUTED_VALUE"""),"+3.35")</f>
        <v>+3.35</v>
      </c>
      <c r="O216" s="1">
        <f ca="1">IFERROR(__xludf.DUMMYFUNCTION("""COMPUTED_VALUE"""),105)</f>
        <v>105</v>
      </c>
      <c r="P216" s="1">
        <f ca="1">IFERROR(__xludf.DUMMYFUNCTION("""COMPUTED_VALUE"""),106)</f>
        <v>106</v>
      </c>
      <c r="Q216" s="1">
        <f ca="1">IFERROR(__xludf.DUMMYFUNCTION("""COMPUTED_VALUE"""),66)</f>
        <v>66</v>
      </c>
      <c r="R216" s="1">
        <f ca="1">IFERROR(__xludf.DUMMYFUNCTION("""COMPUTED_VALUE"""),102.7)</f>
        <v>102.7</v>
      </c>
      <c r="S216" s="1">
        <f ca="1">IFERROR(__xludf.DUMMYFUNCTION("""COMPUTED_VALUE"""),163)</f>
        <v>163</v>
      </c>
      <c r="T216" s="1" t="str">
        <f ca="1">IFERROR(__xludf.DUMMYFUNCTION("""COMPUTED_VALUE"""),"+5.11")</f>
        <v>+5.11</v>
      </c>
      <c r="U216" s="1">
        <f ca="1">IFERROR(__xludf.DUMMYFUNCTION("""COMPUTED_VALUE"""),54)</f>
        <v>54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IFERROR(__xludf.DUMMYFUNCTION("""COMPUTED_VALUE"""),"Mercer")</f>
        <v>Mercer</v>
      </c>
      <c r="C217" s="1" t="str">
        <f ca="1">IFERROR(__xludf.DUMMYFUNCTION("""COMPUTED_VALUE"""),"ASun")</f>
        <v>ASun</v>
      </c>
      <c r="D217" s="1" t="str">
        <f ca="1">IFERROR(__xludf.DUMMYFUNCTION("""COMPUTED_VALUE"""),"16-17")</f>
        <v>16-17</v>
      </c>
      <c r="E217" s="1">
        <f ca="1">IFERROR(__xludf.DUMMYFUNCTION("""COMPUTED_VALUE"""),-3.33)</f>
        <v>-3.33</v>
      </c>
      <c r="F217" s="1">
        <f ca="1">IFERROR(__xludf.DUMMYFUNCTION("""COMPUTED_VALUE"""),107.8)</f>
        <v>107.8</v>
      </c>
      <c r="G217" s="1">
        <f ca="1">IFERROR(__xludf.DUMMYFUNCTION("""COMPUTED_VALUE"""),91)</f>
        <v>91</v>
      </c>
      <c r="H217" s="1">
        <f ca="1">IFERROR(__xludf.DUMMYFUNCTION("""COMPUTED_VALUE"""),111.2)</f>
        <v>111.2</v>
      </c>
      <c r="I217" s="1">
        <f ca="1">IFERROR(__xludf.DUMMYFUNCTION("""COMPUTED_VALUE"""),317)</f>
        <v>317</v>
      </c>
      <c r="J217" s="1">
        <f ca="1">IFERROR(__xludf.DUMMYFUNCTION("""COMPUTED_VALUE"""),68.1)</f>
        <v>68.099999999999994</v>
      </c>
      <c r="K217" s="1">
        <f ca="1">IFERROR(__xludf.DUMMYFUNCTION("""COMPUTED_VALUE"""),70)</f>
        <v>70</v>
      </c>
      <c r="L217" s="1">
        <f ca="1">IFERROR(__xludf.DUMMYFUNCTION("""COMPUTED_VALUE"""),-0.014)</f>
        <v>-1.4E-2</v>
      </c>
      <c r="M217" s="1">
        <f ca="1">IFERROR(__xludf.DUMMYFUNCTION("""COMPUTED_VALUE"""),210)</f>
        <v>210</v>
      </c>
      <c r="N217" s="1">
        <f ca="1">IFERROR(__xludf.DUMMYFUNCTION("""COMPUTED_VALUE"""),-2.54)</f>
        <v>-2.54</v>
      </c>
      <c r="O217" s="1">
        <f ca="1">IFERROR(__xludf.DUMMYFUNCTION("""COMPUTED_VALUE"""),215)</f>
        <v>215</v>
      </c>
      <c r="P217" s="1">
        <f ca="1">IFERROR(__xludf.DUMMYFUNCTION("""COMPUTED_VALUE"""),100.2)</f>
        <v>100.2</v>
      </c>
      <c r="Q217" s="1">
        <f ca="1">IFERROR(__xludf.DUMMYFUNCTION("""COMPUTED_VALUE"""),254)</f>
        <v>254</v>
      </c>
      <c r="R217" s="1">
        <f ca="1">IFERROR(__xludf.DUMMYFUNCTION("""COMPUTED_VALUE"""),102.7)</f>
        <v>102.7</v>
      </c>
      <c r="S217" s="1">
        <f ca="1">IFERROR(__xludf.DUMMYFUNCTION("""COMPUTED_VALUE"""),164)</f>
        <v>164</v>
      </c>
      <c r="T217" s="1" t="str">
        <f ca="1">IFERROR(__xludf.DUMMYFUNCTION("""COMPUTED_VALUE"""),"+10.38")</f>
        <v>+10.38</v>
      </c>
      <c r="U217" s="1">
        <f ca="1">IFERROR(__xludf.DUMMYFUNCTION("""COMPUTED_VALUE"""),6)</f>
        <v>6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IFERROR(__xludf.DUMMYFUNCTION("""COMPUTED_VALUE"""),"Florida Atlantic")</f>
        <v>Florida Atlantic</v>
      </c>
      <c r="C218" s="1" t="str">
        <f ca="1">IFERROR(__xludf.DUMMYFUNCTION("""COMPUTED_VALUE"""),"SB")</f>
        <v>SB</v>
      </c>
      <c r="D218" s="1" t="str">
        <f ca="1">IFERROR(__xludf.DUMMYFUNCTION("""COMPUTED_VALUE"""),"14-16")</f>
        <v>14-16</v>
      </c>
      <c r="E218" s="1">
        <f ca="1">IFERROR(__xludf.DUMMYFUNCTION("""COMPUTED_VALUE"""),-3.36)</f>
        <v>-3.36</v>
      </c>
      <c r="F218" s="1">
        <f ca="1">IFERROR(__xludf.DUMMYFUNCTION("""COMPUTED_VALUE"""),103.8)</f>
        <v>103.8</v>
      </c>
      <c r="G218" s="1">
        <f ca="1">IFERROR(__xludf.DUMMYFUNCTION("""COMPUTED_VALUE"""),154)</f>
        <v>154</v>
      </c>
      <c r="H218" s="1">
        <f ca="1">IFERROR(__xludf.DUMMYFUNCTION("""COMPUTED_VALUE"""),107.2)</f>
        <v>107.2</v>
      </c>
      <c r="I218" s="1">
        <f ca="1">IFERROR(__xludf.DUMMYFUNCTION("""COMPUTED_VALUE"""),260)</f>
        <v>260</v>
      </c>
      <c r="J218" s="1">
        <f ca="1">IFERROR(__xludf.DUMMYFUNCTION("""COMPUTED_VALUE"""),67.7)</f>
        <v>67.7</v>
      </c>
      <c r="K218" s="1">
        <f ca="1">IFERROR(__xludf.DUMMYFUNCTION("""COMPUTED_VALUE"""),84)</f>
        <v>84</v>
      </c>
      <c r="L218" s="1">
        <f ca="1">IFERROR(__xludf.DUMMYFUNCTION("""COMPUTED_VALUE"""),-0.038)</f>
        <v>-3.7999999999999999E-2</v>
      </c>
      <c r="M218" s="1">
        <f ca="1">IFERROR(__xludf.DUMMYFUNCTION("""COMPUTED_VALUE"""),272)</f>
        <v>272</v>
      </c>
      <c r="N218" s="1">
        <f ca="1">IFERROR(__xludf.DUMMYFUNCTION("""COMPUTED_VALUE"""),-2.84)</f>
        <v>-2.84</v>
      </c>
      <c r="O218" s="1">
        <f ca="1">IFERROR(__xludf.DUMMYFUNCTION("""COMPUTED_VALUE"""),226)</f>
        <v>226</v>
      </c>
      <c r="P218" s="1">
        <f ca="1">IFERROR(__xludf.DUMMYFUNCTION("""COMPUTED_VALUE"""),101.5)</f>
        <v>101.5</v>
      </c>
      <c r="Q218" s="1">
        <f ca="1">IFERROR(__xludf.DUMMYFUNCTION("""COMPUTED_VALUE"""),207)</f>
        <v>207</v>
      </c>
      <c r="R218" s="1">
        <f ca="1">IFERROR(__xludf.DUMMYFUNCTION("""COMPUTED_VALUE"""),104.4)</f>
        <v>104.4</v>
      </c>
      <c r="S218" s="1">
        <f ca="1">IFERROR(__xludf.DUMMYFUNCTION("""COMPUTED_VALUE"""),233)</f>
        <v>233</v>
      </c>
      <c r="T218" s="1" t="str">
        <f ca="1">IFERROR(__xludf.DUMMYFUNCTION("""COMPUTED_VALUE"""),"+5.41")</f>
        <v>+5.41</v>
      </c>
      <c r="U218" s="1">
        <f ca="1">IFERROR(__xludf.DUMMYFUNCTION("""COMPUTED_VALUE"""),51)</f>
        <v>51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IFERROR(__xludf.DUMMYFUNCTION("""COMPUTED_VALUE"""),"Austin Peay")</f>
        <v>Austin Peay</v>
      </c>
      <c r="C219" s="1" t="str">
        <f ca="1">IFERROR(__xludf.DUMMYFUNCTION("""COMPUTED_VALUE"""),"OVC")</f>
        <v>OVC</v>
      </c>
      <c r="D219" s="1" t="str">
        <f ca="1">IFERROR(__xludf.DUMMYFUNCTION("""COMPUTED_VALUE"""),"17-15")</f>
        <v>17-15</v>
      </c>
      <c r="E219" s="1">
        <f ca="1">IFERROR(__xludf.DUMMYFUNCTION("""COMPUTED_VALUE"""),-3.52)</f>
        <v>-3.52</v>
      </c>
      <c r="F219" s="1">
        <f ca="1">IFERROR(__xludf.DUMMYFUNCTION("""COMPUTED_VALUE"""),103.7)</f>
        <v>103.7</v>
      </c>
      <c r="G219" s="1">
        <f ca="1">IFERROR(__xludf.DUMMYFUNCTION("""COMPUTED_VALUE"""),157)</f>
        <v>157</v>
      </c>
      <c r="H219" s="1">
        <f ca="1">IFERROR(__xludf.DUMMYFUNCTION("""COMPUTED_VALUE"""),107.2)</f>
        <v>107.2</v>
      </c>
      <c r="I219" s="1">
        <f ca="1">IFERROR(__xludf.DUMMYFUNCTION("""COMPUTED_VALUE"""),261)</f>
        <v>261</v>
      </c>
      <c r="J219" s="1">
        <f ca="1">IFERROR(__xludf.DUMMYFUNCTION("""COMPUTED_VALUE"""),66)</f>
        <v>66</v>
      </c>
      <c r="K219" s="1">
        <f ca="1">IFERROR(__xludf.DUMMYFUNCTION("""COMPUTED_VALUE"""),173)</f>
        <v>173</v>
      </c>
      <c r="L219" s="1" t="str">
        <f ca="1">IFERROR(__xludf.DUMMYFUNCTION("""COMPUTED_VALUE"""),"+.082")</f>
        <v>+.082</v>
      </c>
      <c r="M219" s="1">
        <f ca="1">IFERROR(__xludf.DUMMYFUNCTION("""COMPUTED_VALUE"""),19)</f>
        <v>19</v>
      </c>
      <c r="N219" s="1">
        <f ca="1">IFERROR(__xludf.DUMMYFUNCTION("""COMPUTED_VALUE"""),-1.53)</f>
        <v>-1.53</v>
      </c>
      <c r="O219" s="1">
        <f ca="1">IFERROR(__xludf.DUMMYFUNCTION("""COMPUTED_VALUE"""),191)</f>
        <v>191</v>
      </c>
      <c r="P219" s="1">
        <f ca="1">IFERROR(__xludf.DUMMYFUNCTION("""COMPUTED_VALUE"""),102.5)</f>
        <v>102.5</v>
      </c>
      <c r="Q219" s="1">
        <f ca="1">IFERROR(__xludf.DUMMYFUNCTION("""COMPUTED_VALUE"""),176)</f>
        <v>176</v>
      </c>
      <c r="R219" s="1">
        <f ca="1">IFERROR(__xludf.DUMMYFUNCTION("""COMPUTED_VALUE"""),104)</f>
        <v>104</v>
      </c>
      <c r="S219" s="1">
        <f ca="1">IFERROR(__xludf.DUMMYFUNCTION("""COMPUTED_VALUE"""),212)</f>
        <v>212</v>
      </c>
      <c r="T219" s="1" t="str">
        <f ca="1">IFERROR(__xludf.DUMMYFUNCTION("""COMPUTED_VALUE"""),"+9.04")</f>
        <v>+9.04</v>
      </c>
      <c r="U219" s="1">
        <f ca="1">IFERROR(__xludf.DUMMYFUNCTION("""COMPUTED_VALUE"""),11)</f>
        <v>11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IFERROR(__xludf.DUMMYFUNCTION("""COMPUTED_VALUE"""),"San Diego")</f>
        <v>San Diego</v>
      </c>
      <c r="C220" s="1" t="str">
        <f ca="1">IFERROR(__xludf.DUMMYFUNCTION("""COMPUTED_VALUE"""),"WCC")</f>
        <v>WCC</v>
      </c>
      <c r="D220" s="2">
        <f ca="1">IFERROR(__xludf.DUMMYFUNCTION("""COMPUTED_VALUE"""),44886)</f>
        <v>44886</v>
      </c>
      <c r="E220" s="1">
        <f ca="1">IFERROR(__xludf.DUMMYFUNCTION("""COMPUTED_VALUE"""),-3.68)</f>
        <v>-3.68</v>
      </c>
      <c r="F220" s="1">
        <f ca="1">IFERROR(__xludf.DUMMYFUNCTION("""COMPUTED_VALUE"""),98.4)</f>
        <v>98.4</v>
      </c>
      <c r="G220" s="1">
        <f ca="1">IFERROR(__xludf.DUMMYFUNCTION("""COMPUTED_VALUE"""),239)</f>
        <v>239</v>
      </c>
      <c r="H220" s="1">
        <f ca="1">IFERROR(__xludf.DUMMYFUNCTION("""COMPUTED_VALUE"""),102.1)</f>
        <v>102.1</v>
      </c>
      <c r="I220" s="1">
        <f ca="1">IFERROR(__xludf.DUMMYFUNCTION("""COMPUTED_VALUE"""),160)</f>
        <v>160</v>
      </c>
      <c r="J220" s="1">
        <f ca="1">IFERROR(__xludf.DUMMYFUNCTION("""COMPUTED_VALUE"""),62)</f>
        <v>62</v>
      </c>
      <c r="K220" s="1">
        <f ca="1">IFERROR(__xludf.DUMMYFUNCTION("""COMPUTED_VALUE"""),311)</f>
        <v>311</v>
      </c>
      <c r="L220" s="1">
        <f ca="1">IFERROR(__xludf.DUMMYFUNCTION("""COMPUTED_VALUE"""),-0.045)</f>
        <v>-4.4999999999999998E-2</v>
      </c>
      <c r="M220" s="1">
        <f ca="1">IFERROR(__xludf.DUMMYFUNCTION("""COMPUTED_VALUE"""),287)</f>
        <v>287</v>
      </c>
      <c r="N220" s="1" t="str">
        <f ca="1">IFERROR(__xludf.DUMMYFUNCTION("""COMPUTED_VALUE"""),"+2.72")</f>
        <v>+2.72</v>
      </c>
      <c r="O220" s="1">
        <f ca="1">IFERROR(__xludf.DUMMYFUNCTION("""COMPUTED_VALUE"""),114)</f>
        <v>114</v>
      </c>
      <c r="P220" s="1">
        <f ca="1">IFERROR(__xludf.DUMMYFUNCTION("""COMPUTED_VALUE"""),105.1)</f>
        <v>105.1</v>
      </c>
      <c r="Q220" s="1">
        <f ca="1">IFERROR(__xludf.DUMMYFUNCTION("""COMPUTED_VALUE"""),87)</f>
        <v>87</v>
      </c>
      <c r="R220" s="1">
        <f ca="1">IFERROR(__xludf.DUMMYFUNCTION("""COMPUTED_VALUE"""),102.3)</f>
        <v>102.3</v>
      </c>
      <c r="S220" s="1">
        <f ca="1">IFERROR(__xludf.DUMMYFUNCTION("""COMPUTED_VALUE"""),151)</f>
        <v>151</v>
      </c>
      <c r="T220" s="1" t="str">
        <f ca="1">IFERROR(__xludf.DUMMYFUNCTION("""COMPUTED_VALUE"""),"+3.46")</f>
        <v>+3.46</v>
      </c>
      <c r="U220" s="1">
        <f ca="1">IFERROR(__xludf.DUMMYFUNCTION("""COMPUTED_VALUE"""),76)</f>
        <v>76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IFERROR(__xludf.DUMMYFUNCTION("""COMPUTED_VALUE"""),"Georgia St.")</f>
        <v>Georgia St.</v>
      </c>
      <c r="C221" s="1" t="str">
        <f ca="1">IFERROR(__xludf.DUMMYFUNCTION("""COMPUTED_VALUE"""),"CAA")</f>
        <v>CAA</v>
      </c>
      <c r="D221" s="2">
        <f ca="1">IFERROR(__xludf.DUMMYFUNCTION("""COMPUTED_VALUE"""),44915)</f>
        <v>44915</v>
      </c>
      <c r="E221" s="1">
        <f ca="1">IFERROR(__xludf.DUMMYFUNCTION("""COMPUTED_VALUE"""),-3.71)</f>
        <v>-3.71</v>
      </c>
      <c r="F221" s="1">
        <f ca="1">IFERROR(__xludf.DUMMYFUNCTION("""COMPUTED_VALUE"""),99.8)</f>
        <v>99.8</v>
      </c>
      <c r="G221" s="1">
        <f ca="1">IFERROR(__xludf.DUMMYFUNCTION("""COMPUTED_VALUE"""),218)</f>
        <v>218</v>
      </c>
      <c r="H221" s="1">
        <f ca="1">IFERROR(__xludf.DUMMYFUNCTION("""COMPUTED_VALUE"""),103.5)</f>
        <v>103.5</v>
      </c>
      <c r="I221" s="1">
        <f ca="1">IFERROR(__xludf.DUMMYFUNCTION("""COMPUTED_VALUE"""),186)</f>
        <v>186</v>
      </c>
      <c r="J221" s="1">
        <f ca="1">IFERROR(__xludf.DUMMYFUNCTION("""COMPUTED_VALUE"""),61.6)</f>
        <v>61.6</v>
      </c>
      <c r="K221" s="1">
        <f ca="1">IFERROR(__xludf.DUMMYFUNCTION("""COMPUTED_VALUE"""),317)</f>
        <v>317</v>
      </c>
      <c r="L221" s="1">
        <f ca="1">IFERROR(__xludf.DUMMYFUNCTION("""COMPUTED_VALUE"""),-0.057)</f>
        <v>-5.7000000000000002E-2</v>
      </c>
      <c r="M221" s="1">
        <f ca="1">IFERROR(__xludf.DUMMYFUNCTION("""COMPUTED_VALUE"""),305)</f>
        <v>305</v>
      </c>
      <c r="N221" s="1">
        <f ca="1">IFERROR(__xludf.DUMMYFUNCTION("""COMPUTED_VALUE"""),-0.88)</f>
        <v>-0.88</v>
      </c>
      <c r="O221" s="1">
        <f ca="1">IFERROR(__xludf.DUMMYFUNCTION("""COMPUTED_VALUE"""),179)</f>
        <v>179</v>
      </c>
      <c r="P221" s="1">
        <f ca="1">IFERROR(__xludf.DUMMYFUNCTION("""COMPUTED_VALUE"""),101.7)</f>
        <v>101.7</v>
      </c>
      <c r="Q221" s="1">
        <f ca="1">IFERROR(__xludf.DUMMYFUNCTION("""COMPUTED_VALUE"""),196)</f>
        <v>196</v>
      </c>
      <c r="R221" s="1">
        <f ca="1">IFERROR(__xludf.DUMMYFUNCTION("""COMPUTED_VALUE"""),102.6)</f>
        <v>102.6</v>
      </c>
      <c r="S221" s="1">
        <f ca="1">IFERROR(__xludf.DUMMYFUNCTION("""COMPUTED_VALUE"""),159)</f>
        <v>159</v>
      </c>
      <c r="T221" s="1">
        <f ca="1">IFERROR(__xludf.DUMMYFUNCTION("""COMPUTED_VALUE"""),-6.38)</f>
        <v>-6.38</v>
      </c>
      <c r="U221" s="1">
        <f ca="1">IFERROR(__xludf.DUMMYFUNCTION("""COMPUTED_VALUE"""),309)</f>
        <v>309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IFERROR(__xludf.DUMMYFUNCTION("""COMPUTED_VALUE"""),"Cal St. Fullerton")</f>
        <v>Cal St. Fullerton</v>
      </c>
      <c r="C222" s="1" t="str">
        <f ca="1">IFERROR(__xludf.DUMMYFUNCTION("""COMPUTED_VALUE"""),"BW")</f>
        <v>BW</v>
      </c>
      <c r="D222" s="1" t="str">
        <f ca="1">IFERROR(__xludf.DUMMYFUNCTION("""COMPUTED_VALUE"""),"16-15")</f>
        <v>16-15</v>
      </c>
      <c r="E222" s="1">
        <f ca="1">IFERROR(__xludf.DUMMYFUNCTION("""COMPUTED_VALUE"""),-3.79)</f>
        <v>-3.79</v>
      </c>
      <c r="F222" s="1">
        <f ca="1">IFERROR(__xludf.DUMMYFUNCTION("""COMPUTED_VALUE"""),102.5)</f>
        <v>102.5</v>
      </c>
      <c r="G222" s="1">
        <f ca="1">IFERROR(__xludf.DUMMYFUNCTION("""COMPUTED_VALUE"""),177)</f>
        <v>177</v>
      </c>
      <c r="H222" s="1">
        <f ca="1">IFERROR(__xludf.DUMMYFUNCTION("""COMPUTED_VALUE"""),106.2)</f>
        <v>106.2</v>
      </c>
      <c r="I222" s="1">
        <f ca="1">IFERROR(__xludf.DUMMYFUNCTION("""COMPUTED_VALUE"""),244)</f>
        <v>244</v>
      </c>
      <c r="J222" s="1">
        <f ca="1">IFERROR(__xludf.DUMMYFUNCTION("""COMPUTED_VALUE"""),67.9)</f>
        <v>67.900000000000006</v>
      </c>
      <c r="K222" s="1">
        <f ca="1">IFERROR(__xludf.DUMMYFUNCTION("""COMPUTED_VALUE"""),77)</f>
        <v>77</v>
      </c>
      <c r="L222" s="1" t="str">
        <f ca="1">IFERROR(__xludf.DUMMYFUNCTION("""COMPUTED_VALUE"""),"+.040")</f>
        <v>+.040</v>
      </c>
      <c r="M222" s="1">
        <f ca="1">IFERROR(__xludf.DUMMYFUNCTION("""COMPUTED_VALUE"""),79)</f>
        <v>79</v>
      </c>
      <c r="N222" s="1">
        <f ca="1">IFERROR(__xludf.DUMMYFUNCTION("""COMPUTED_VALUE"""),-2.55)</f>
        <v>-2.5499999999999998</v>
      </c>
      <c r="O222" s="1">
        <f ca="1">IFERROR(__xludf.DUMMYFUNCTION("""COMPUTED_VALUE"""),216)</f>
        <v>216</v>
      </c>
      <c r="P222" s="1">
        <f ca="1">IFERROR(__xludf.DUMMYFUNCTION("""COMPUTED_VALUE"""),101.4)</f>
        <v>101.4</v>
      </c>
      <c r="Q222" s="1">
        <f ca="1">IFERROR(__xludf.DUMMYFUNCTION("""COMPUTED_VALUE"""),210)</f>
        <v>210</v>
      </c>
      <c r="R222" s="1">
        <f ca="1">IFERROR(__xludf.DUMMYFUNCTION("""COMPUTED_VALUE"""),104)</f>
        <v>104</v>
      </c>
      <c r="S222" s="1">
        <f ca="1">IFERROR(__xludf.DUMMYFUNCTION("""COMPUTED_VALUE"""),211)</f>
        <v>211</v>
      </c>
      <c r="T222" s="1" t="str">
        <f ca="1">IFERROR(__xludf.DUMMYFUNCTION("""COMPUTED_VALUE"""),"+0.78")</f>
        <v>+0.78</v>
      </c>
      <c r="U222" s="1">
        <f ca="1">IFERROR(__xludf.DUMMYFUNCTION("""COMPUTED_VALUE"""),132)</f>
        <v>132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IFERROR(__xludf.DUMMYFUNCTION("""COMPUTED_VALUE"""),"Eastern Illinois")</f>
        <v>Eastern Illinois</v>
      </c>
      <c r="C223" s="1" t="str">
        <f ca="1">IFERROR(__xludf.DUMMYFUNCTION("""COMPUTED_VALUE"""),"OVC")</f>
        <v>OVC</v>
      </c>
      <c r="D223" s="1" t="str">
        <f ca="1">IFERROR(__xludf.DUMMYFUNCTION("""COMPUTED_VALUE"""),"19-12")</f>
        <v>19-12</v>
      </c>
      <c r="E223" s="1">
        <f ca="1">IFERROR(__xludf.DUMMYFUNCTION("""COMPUTED_VALUE"""),-3.9)</f>
        <v>-3.9</v>
      </c>
      <c r="F223" s="1">
        <f ca="1">IFERROR(__xludf.DUMMYFUNCTION("""COMPUTED_VALUE"""),100)</f>
        <v>100</v>
      </c>
      <c r="G223" s="1">
        <f ca="1">IFERROR(__xludf.DUMMYFUNCTION("""COMPUTED_VALUE"""),214)</f>
        <v>214</v>
      </c>
      <c r="H223" s="1">
        <f ca="1">IFERROR(__xludf.DUMMYFUNCTION("""COMPUTED_VALUE"""),103.9)</f>
        <v>103.9</v>
      </c>
      <c r="I223" s="1">
        <f ca="1">IFERROR(__xludf.DUMMYFUNCTION("""COMPUTED_VALUE"""),201)</f>
        <v>201</v>
      </c>
      <c r="J223" s="1">
        <f ca="1">IFERROR(__xludf.DUMMYFUNCTION("""COMPUTED_VALUE"""),63.3)</f>
        <v>63.3</v>
      </c>
      <c r="K223" s="1">
        <f ca="1">IFERROR(__xludf.DUMMYFUNCTION("""COMPUTED_VALUE"""),280)</f>
        <v>280</v>
      </c>
      <c r="L223" s="1" t="str">
        <f ca="1">IFERROR(__xludf.DUMMYFUNCTION("""COMPUTED_VALUE"""),"+.089")</f>
        <v>+.089</v>
      </c>
      <c r="M223" s="1">
        <f ca="1">IFERROR(__xludf.DUMMYFUNCTION("""COMPUTED_VALUE"""),15)</f>
        <v>15</v>
      </c>
      <c r="N223" s="1">
        <f ca="1">IFERROR(__xludf.DUMMYFUNCTION("""COMPUTED_VALUE"""),-5.26)</f>
        <v>-5.26</v>
      </c>
      <c r="O223" s="1">
        <f ca="1">IFERROR(__xludf.DUMMYFUNCTION("""COMPUTED_VALUE"""),263)</f>
        <v>263</v>
      </c>
      <c r="P223" s="1">
        <f ca="1">IFERROR(__xludf.DUMMYFUNCTION("""COMPUTED_VALUE"""),100.3)</f>
        <v>100.3</v>
      </c>
      <c r="Q223" s="1">
        <f ca="1">IFERROR(__xludf.DUMMYFUNCTION("""COMPUTED_VALUE"""),247)</f>
        <v>247</v>
      </c>
      <c r="R223" s="1">
        <f ca="1">IFERROR(__xludf.DUMMYFUNCTION("""COMPUTED_VALUE"""),105.6)</f>
        <v>105.6</v>
      </c>
      <c r="S223" s="1">
        <f ca="1">IFERROR(__xludf.DUMMYFUNCTION("""COMPUTED_VALUE"""),290)</f>
        <v>290</v>
      </c>
      <c r="T223" s="1">
        <f ca="1">IFERROR(__xludf.DUMMYFUNCTION("""COMPUTED_VALUE"""),-4.34)</f>
        <v>-4.34</v>
      </c>
      <c r="U223" s="1">
        <f ca="1">IFERROR(__xludf.DUMMYFUNCTION("""COMPUTED_VALUE"""),275)</f>
        <v>275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IFERROR(__xludf.DUMMYFUNCTION("""COMPUTED_VALUE"""),"UNC Wilmington")</f>
        <v>UNC Wilmington</v>
      </c>
      <c r="C224" s="1" t="str">
        <f ca="1">IFERROR(__xludf.DUMMYFUNCTION("""COMPUTED_VALUE"""),"CAA")</f>
        <v>CAA</v>
      </c>
      <c r="D224" s="2">
        <f ca="1">IFERROR(__xludf.DUMMYFUNCTION("""COMPUTED_VALUE"""),44826)</f>
        <v>44826</v>
      </c>
      <c r="E224" s="1">
        <f ca="1">IFERROR(__xludf.DUMMYFUNCTION("""COMPUTED_VALUE"""),-4.02)</f>
        <v>-4.0199999999999996</v>
      </c>
      <c r="F224" s="1">
        <f ca="1">IFERROR(__xludf.DUMMYFUNCTION("""COMPUTED_VALUE"""),98.6)</f>
        <v>98.6</v>
      </c>
      <c r="G224" s="1">
        <f ca="1">IFERROR(__xludf.DUMMYFUNCTION("""COMPUTED_VALUE"""),237)</f>
        <v>237</v>
      </c>
      <c r="H224" s="1">
        <f ca="1">IFERROR(__xludf.DUMMYFUNCTION("""COMPUTED_VALUE"""),102.6)</f>
        <v>102.6</v>
      </c>
      <c r="I224" s="1">
        <f ca="1">IFERROR(__xludf.DUMMYFUNCTION("""COMPUTED_VALUE"""),170)</f>
        <v>170</v>
      </c>
      <c r="J224" s="1">
        <f ca="1">IFERROR(__xludf.DUMMYFUNCTION("""COMPUTED_VALUE"""),67.8)</f>
        <v>67.8</v>
      </c>
      <c r="K224" s="1">
        <f ca="1">IFERROR(__xludf.DUMMYFUNCTION("""COMPUTED_VALUE"""),79)</f>
        <v>79</v>
      </c>
      <c r="L224" s="1">
        <f ca="1">IFERROR(__xludf.DUMMYFUNCTION("""COMPUTED_VALUE"""),-0.06)</f>
        <v>-0.06</v>
      </c>
      <c r="M224" s="1">
        <f ca="1">IFERROR(__xludf.DUMMYFUNCTION("""COMPUTED_VALUE"""),308)</f>
        <v>308</v>
      </c>
      <c r="N224" s="1" t="str">
        <f ca="1">IFERROR(__xludf.DUMMYFUNCTION("""COMPUTED_VALUE"""),"+2.65")</f>
        <v>+2.65</v>
      </c>
      <c r="O224" s="1">
        <f ca="1">IFERROR(__xludf.DUMMYFUNCTION("""COMPUTED_VALUE"""),118)</f>
        <v>118</v>
      </c>
      <c r="P224" s="1">
        <f ca="1">IFERROR(__xludf.DUMMYFUNCTION("""COMPUTED_VALUE"""),104.4)</f>
        <v>104.4</v>
      </c>
      <c r="Q224" s="1">
        <f ca="1">IFERROR(__xludf.DUMMYFUNCTION("""COMPUTED_VALUE"""),119)</f>
        <v>119</v>
      </c>
      <c r="R224" s="1">
        <f ca="1">IFERROR(__xludf.DUMMYFUNCTION("""COMPUTED_VALUE"""),101.7)</f>
        <v>101.7</v>
      </c>
      <c r="S224" s="1">
        <f ca="1">IFERROR(__xludf.DUMMYFUNCTION("""COMPUTED_VALUE"""),119)</f>
        <v>119</v>
      </c>
      <c r="T224" s="1" t="str">
        <f ca="1">IFERROR(__xludf.DUMMYFUNCTION("""COMPUTED_VALUE"""),"+4.35")</f>
        <v>+4.35</v>
      </c>
      <c r="U224" s="1">
        <f ca="1">IFERROR(__xludf.DUMMYFUNCTION("""COMPUTED_VALUE"""),62)</f>
        <v>62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IFERROR(__xludf.DUMMYFUNCTION("""COMPUTED_VALUE"""),"Maine")</f>
        <v>Maine</v>
      </c>
      <c r="C225" s="1" t="str">
        <f ca="1">IFERROR(__xludf.DUMMYFUNCTION("""COMPUTED_VALUE"""),"AE")</f>
        <v>AE</v>
      </c>
      <c r="D225" s="1" t="str">
        <f ca="1">IFERROR(__xludf.DUMMYFUNCTION("""COMPUTED_VALUE"""),"19-11")</f>
        <v>19-11</v>
      </c>
      <c r="E225" s="1">
        <f ca="1">IFERROR(__xludf.DUMMYFUNCTION("""COMPUTED_VALUE"""),-4.07)</f>
        <v>-4.07</v>
      </c>
      <c r="F225" s="1">
        <f ca="1">IFERROR(__xludf.DUMMYFUNCTION("""COMPUTED_VALUE"""),94.2)</f>
        <v>94.2</v>
      </c>
      <c r="G225" s="1">
        <f ca="1">IFERROR(__xludf.DUMMYFUNCTION("""COMPUTED_VALUE"""),292)</f>
        <v>292</v>
      </c>
      <c r="H225" s="1">
        <f ca="1">IFERROR(__xludf.DUMMYFUNCTION("""COMPUTED_VALUE"""),98.3)</f>
        <v>98.3</v>
      </c>
      <c r="I225" s="1">
        <f ca="1">IFERROR(__xludf.DUMMYFUNCTION("""COMPUTED_VALUE"""),90)</f>
        <v>90</v>
      </c>
      <c r="J225" s="1">
        <f ca="1">IFERROR(__xludf.DUMMYFUNCTION("""COMPUTED_VALUE"""),64.5)</f>
        <v>64.5</v>
      </c>
      <c r="K225" s="1">
        <f ca="1">IFERROR(__xludf.DUMMYFUNCTION("""COMPUTED_VALUE"""),236)</f>
        <v>236</v>
      </c>
      <c r="L225" s="1" t="str">
        <f ca="1">IFERROR(__xludf.DUMMYFUNCTION("""COMPUTED_VALUE"""),"+.122")</f>
        <v>+.122</v>
      </c>
      <c r="M225" s="1">
        <f ca="1">IFERROR(__xludf.DUMMYFUNCTION("""COMPUTED_VALUE"""),4)</f>
        <v>4</v>
      </c>
      <c r="N225" s="1">
        <f ca="1">IFERROR(__xludf.DUMMYFUNCTION("""COMPUTED_VALUE"""),-6.05)</f>
        <v>-6.05</v>
      </c>
      <c r="O225" s="1">
        <f ca="1">IFERROR(__xludf.DUMMYFUNCTION("""COMPUTED_VALUE"""),277)</f>
        <v>277</v>
      </c>
      <c r="P225" s="1">
        <f ca="1">IFERROR(__xludf.DUMMYFUNCTION("""COMPUTED_VALUE"""),99.2)</f>
        <v>99.2</v>
      </c>
      <c r="Q225" s="1">
        <f ca="1">IFERROR(__xludf.DUMMYFUNCTION("""COMPUTED_VALUE"""),280)</f>
        <v>280</v>
      </c>
      <c r="R225" s="1">
        <f ca="1">IFERROR(__xludf.DUMMYFUNCTION("""COMPUTED_VALUE"""),105.2)</f>
        <v>105.2</v>
      </c>
      <c r="S225" s="1">
        <f ca="1">IFERROR(__xludf.DUMMYFUNCTION("""COMPUTED_VALUE"""),271)</f>
        <v>271</v>
      </c>
      <c r="T225" s="1">
        <f ca="1">IFERROR(__xludf.DUMMYFUNCTION("""COMPUTED_VALUE"""),-1.76)</f>
        <v>-1.76</v>
      </c>
      <c r="U225" s="1">
        <f ca="1">IFERROR(__xludf.DUMMYFUNCTION("""COMPUTED_VALUE"""),209)</f>
        <v>209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IFERROR(__xludf.DUMMYFUNCTION("""COMPUTED_VALUE"""),"Loyola MD")</f>
        <v>Loyola MD</v>
      </c>
      <c r="C226" s="1" t="str">
        <f ca="1">IFERROR(__xludf.DUMMYFUNCTION("""COMPUTED_VALUE"""),"MAAC")</f>
        <v>MAAC</v>
      </c>
      <c r="D226" s="1" t="str">
        <f ca="1">IFERROR(__xludf.DUMMYFUNCTION("""COMPUTED_VALUE"""),"13-17")</f>
        <v>13-17</v>
      </c>
      <c r="E226" s="1">
        <f ca="1">IFERROR(__xludf.DUMMYFUNCTION("""COMPUTED_VALUE"""),-4.12)</f>
        <v>-4.12</v>
      </c>
      <c r="F226" s="1">
        <f ca="1">IFERROR(__xludf.DUMMYFUNCTION("""COMPUTED_VALUE"""),99.5)</f>
        <v>99.5</v>
      </c>
      <c r="G226" s="1">
        <f ca="1">IFERROR(__xludf.DUMMYFUNCTION("""COMPUTED_VALUE"""),223)</f>
        <v>223</v>
      </c>
      <c r="H226" s="1">
        <f ca="1">IFERROR(__xludf.DUMMYFUNCTION("""COMPUTED_VALUE"""),103.6)</f>
        <v>103.6</v>
      </c>
      <c r="I226" s="1">
        <f ca="1">IFERROR(__xludf.DUMMYFUNCTION("""COMPUTED_VALUE"""),189)</f>
        <v>189</v>
      </c>
      <c r="J226" s="1">
        <f ca="1">IFERROR(__xludf.DUMMYFUNCTION("""COMPUTED_VALUE"""),65.2)</f>
        <v>65.2</v>
      </c>
      <c r="K226" s="1">
        <f ca="1">IFERROR(__xludf.DUMMYFUNCTION("""COMPUTED_VALUE"""),213)</f>
        <v>213</v>
      </c>
      <c r="L226" s="1">
        <f ca="1">IFERROR(__xludf.DUMMYFUNCTION("""COMPUTED_VALUE"""),-0.033)</f>
        <v>-3.3000000000000002E-2</v>
      </c>
      <c r="M226" s="1">
        <f ca="1">IFERROR(__xludf.DUMMYFUNCTION("""COMPUTED_VALUE"""),259)</f>
        <v>259</v>
      </c>
      <c r="N226" s="1">
        <f ca="1">IFERROR(__xludf.DUMMYFUNCTION("""COMPUTED_VALUE"""),-2.77)</f>
        <v>-2.77</v>
      </c>
      <c r="O226" s="1">
        <f ca="1">IFERROR(__xludf.DUMMYFUNCTION("""COMPUTED_VALUE"""),223)</f>
        <v>223</v>
      </c>
      <c r="P226" s="1">
        <f ca="1">IFERROR(__xludf.DUMMYFUNCTION("""COMPUTED_VALUE"""),99.5)</f>
        <v>99.5</v>
      </c>
      <c r="Q226" s="1">
        <f ca="1">IFERROR(__xludf.DUMMYFUNCTION("""COMPUTED_VALUE"""),273)</f>
        <v>273</v>
      </c>
      <c r="R226" s="1">
        <f ca="1">IFERROR(__xludf.DUMMYFUNCTION("""COMPUTED_VALUE"""),102.2)</f>
        <v>102.2</v>
      </c>
      <c r="S226" s="1">
        <f ca="1">IFERROR(__xludf.DUMMYFUNCTION("""COMPUTED_VALUE"""),146)</f>
        <v>146</v>
      </c>
      <c r="T226" s="1">
        <f ca="1">IFERROR(__xludf.DUMMYFUNCTION("""COMPUTED_VALUE"""),-7.06)</f>
        <v>-7.06</v>
      </c>
      <c r="U226" s="1">
        <f ca="1">IFERROR(__xludf.DUMMYFUNCTION("""COMPUTED_VALUE"""),314)</f>
        <v>314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IFERROR(__xludf.DUMMYFUNCTION("""COMPUTED_VALUE"""),"James Madison")</f>
        <v>James Madison</v>
      </c>
      <c r="C227" s="1" t="str">
        <f ca="1">IFERROR(__xludf.DUMMYFUNCTION("""COMPUTED_VALUE"""),"CAA")</f>
        <v>CAA</v>
      </c>
      <c r="D227" s="1" t="str">
        <f ca="1">IFERROR(__xludf.DUMMYFUNCTION("""COMPUTED_VALUE"""),"13-20")</f>
        <v>13-20</v>
      </c>
      <c r="E227" s="1">
        <f ca="1">IFERROR(__xludf.DUMMYFUNCTION("""COMPUTED_VALUE"""),-4.25)</f>
        <v>-4.25</v>
      </c>
      <c r="F227" s="1">
        <f ca="1">IFERROR(__xludf.DUMMYFUNCTION("""COMPUTED_VALUE"""),101.1)</f>
        <v>101.1</v>
      </c>
      <c r="G227" s="1">
        <f ca="1">IFERROR(__xludf.DUMMYFUNCTION("""COMPUTED_VALUE"""),193)</f>
        <v>193</v>
      </c>
      <c r="H227" s="1">
        <f ca="1">IFERROR(__xludf.DUMMYFUNCTION("""COMPUTED_VALUE"""),105.4)</f>
        <v>105.4</v>
      </c>
      <c r="I227" s="1">
        <f ca="1">IFERROR(__xludf.DUMMYFUNCTION("""COMPUTED_VALUE"""),228)</f>
        <v>228</v>
      </c>
      <c r="J227" s="1">
        <f ca="1">IFERROR(__xludf.DUMMYFUNCTION("""COMPUTED_VALUE"""),66.8)</f>
        <v>66.8</v>
      </c>
      <c r="K227" s="1">
        <f ca="1">IFERROR(__xludf.DUMMYFUNCTION("""COMPUTED_VALUE"""),126)</f>
        <v>126</v>
      </c>
      <c r="L227" s="1" t="str">
        <f ca="1">IFERROR(__xludf.DUMMYFUNCTION("""COMPUTED_VALUE"""),"+.001")</f>
        <v>+.001</v>
      </c>
      <c r="M227" s="1">
        <f ca="1">IFERROR(__xludf.DUMMYFUNCTION("""COMPUTED_VALUE"""),171)</f>
        <v>171</v>
      </c>
      <c r="N227" s="1">
        <f ca="1">IFERROR(__xludf.DUMMYFUNCTION("""COMPUTED_VALUE"""),-1.14)</f>
        <v>-1.1399999999999999</v>
      </c>
      <c r="O227" s="1">
        <f ca="1">IFERROR(__xludf.DUMMYFUNCTION("""COMPUTED_VALUE"""),183)</f>
        <v>183</v>
      </c>
      <c r="P227" s="1">
        <f ca="1">IFERROR(__xludf.DUMMYFUNCTION("""COMPUTED_VALUE"""),101.9)</f>
        <v>101.9</v>
      </c>
      <c r="Q227" s="1">
        <f ca="1">IFERROR(__xludf.DUMMYFUNCTION("""COMPUTED_VALUE"""),192)</f>
        <v>192</v>
      </c>
      <c r="R227" s="1">
        <f ca="1">IFERROR(__xludf.DUMMYFUNCTION("""COMPUTED_VALUE"""),103)</f>
        <v>103</v>
      </c>
      <c r="S227" s="1">
        <f ca="1">IFERROR(__xludf.DUMMYFUNCTION("""COMPUTED_VALUE"""),175)</f>
        <v>175</v>
      </c>
      <c r="T227" s="1">
        <f ca="1">IFERROR(__xludf.DUMMYFUNCTION("""COMPUTED_VALUE"""),-8.22)</f>
        <v>-8.2200000000000006</v>
      </c>
      <c r="U227" s="1">
        <f ca="1">IFERROR(__xludf.DUMMYFUNCTION("""COMPUTED_VALUE"""),334)</f>
        <v>334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IFERROR(__xludf.DUMMYFUNCTION("""COMPUTED_VALUE"""),"Loyola Chicago")</f>
        <v>Loyola Chicago</v>
      </c>
      <c r="C228" s="1" t="str">
        <f ca="1">IFERROR(__xludf.DUMMYFUNCTION("""COMPUTED_VALUE"""),"Horz")</f>
        <v>Horz</v>
      </c>
      <c r="D228" s="1" t="str">
        <f ca="1">IFERROR(__xludf.DUMMYFUNCTION("""COMPUTED_VALUE"""),"14-16")</f>
        <v>14-16</v>
      </c>
      <c r="E228" s="1">
        <f ca="1">IFERROR(__xludf.DUMMYFUNCTION("""COMPUTED_VALUE"""),-4.29)</f>
        <v>-4.29</v>
      </c>
      <c r="F228" s="1">
        <f ca="1">IFERROR(__xludf.DUMMYFUNCTION("""COMPUTED_VALUE"""),101.8)</f>
        <v>101.8</v>
      </c>
      <c r="G228" s="1">
        <f ca="1">IFERROR(__xludf.DUMMYFUNCTION("""COMPUTED_VALUE"""),186)</f>
        <v>186</v>
      </c>
      <c r="H228" s="1">
        <f ca="1">IFERROR(__xludf.DUMMYFUNCTION("""COMPUTED_VALUE"""),106.1)</f>
        <v>106.1</v>
      </c>
      <c r="I228" s="1">
        <f ca="1">IFERROR(__xludf.DUMMYFUNCTION("""COMPUTED_VALUE"""),241)</f>
        <v>241</v>
      </c>
      <c r="J228" s="1">
        <f ca="1">IFERROR(__xludf.DUMMYFUNCTION("""COMPUTED_VALUE"""),62.9)</f>
        <v>62.9</v>
      </c>
      <c r="K228" s="1">
        <f ca="1">IFERROR(__xludf.DUMMYFUNCTION("""COMPUTED_VALUE"""),289)</f>
        <v>289</v>
      </c>
      <c r="L228" s="1" t="str">
        <f ca="1">IFERROR(__xludf.DUMMYFUNCTION("""COMPUTED_VALUE"""),"+.060")</f>
        <v>+.060</v>
      </c>
      <c r="M228" s="1">
        <f ca="1">IFERROR(__xludf.DUMMYFUNCTION("""COMPUTED_VALUE"""),44)</f>
        <v>44</v>
      </c>
      <c r="N228" s="1" t="str">
        <f ca="1">IFERROR(__xludf.DUMMYFUNCTION("""COMPUTED_VALUE"""),"+1.26")</f>
        <v>+1.26</v>
      </c>
      <c r="O228" s="1">
        <f ca="1">IFERROR(__xludf.DUMMYFUNCTION("""COMPUTED_VALUE"""),142)</f>
        <v>142</v>
      </c>
      <c r="P228" s="1">
        <f ca="1">IFERROR(__xludf.DUMMYFUNCTION("""COMPUTED_VALUE"""),104)</f>
        <v>104</v>
      </c>
      <c r="Q228" s="1">
        <f ca="1">IFERROR(__xludf.DUMMYFUNCTION("""COMPUTED_VALUE"""),133)</f>
        <v>133</v>
      </c>
      <c r="R228" s="1">
        <f ca="1">IFERROR(__xludf.DUMMYFUNCTION("""COMPUTED_VALUE"""),102.7)</f>
        <v>102.7</v>
      </c>
      <c r="S228" s="1">
        <f ca="1">IFERROR(__xludf.DUMMYFUNCTION("""COMPUTED_VALUE"""),165)</f>
        <v>165</v>
      </c>
      <c r="T228" s="1">
        <f ca="1">IFERROR(__xludf.DUMMYFUNCTION("""COMPUTED_VALUE"""),-2.32)</f>
        <v>-2.3199999999999998</v>
      </c>
      <c r="U228" s="1">
        <f ca="1">IFERROR(__xludf.DUMMYFUNCTION("""COMPUTED_VALUE"""),225)</f>
        <v>225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IFERROR(__xludf.DUMMYFUNCTION("""COMPUTED_VALUE"""),"Louisiana Lafayette")</f>
        <v>Louisiana Lafayette</v>
      </c>
      <c r="C229" s="1" t="str">
        <f ca="1">IFERROR(__xludf.DUMMYFUNCTION("""COMPUTED_VALUE"""),"SB")</f>
        <v>SB</v>
      </c>
      <c r="D229" s="1" t="str">
        <f ca="1">IFERROR(__xludf.DUMMYFUNCTION("""COMPUTED_VALUE"""),"13-17")</f>
        <v>13-17</v>
      </c>
      <c r="E229" s="1">
        <f ca="1">IFERROR(__xludf.DUMMYFUNCTION("""COMPUTED_VALUE"""),-4.31)</f>
        <v>-4.3099999999999996</v>
      </c>
      <c r="F229" s="1">
        <f ca="1">IFERROR(__xludf.DUMMYFUNCTION("""COMPUTED_VALUE"""),99.4)</f>
        <v>99.4</v>
      </c>
      <c r="G229" s="1">
        <f ca="1">IFERROR(__xludf.DUMMYFUNCTION("""COMPUTED_VALUE"""),225)</f>
        <v>225</v>
      </c>
      <c r="H229" s="1">
        <f ca="1">IFERROR(__xludf.DUMMYFUNCTION("""COMPUTED_VALUE"""),103.7)</f>
        <v>103.7</v>
      </c>
      <c r="I229" s="1">
        <f ca="1">IFERROR(__xludf.DUMMYFUNCTION("""COMPUTED_VALUE"""),198)</f>
        <v>198</v>
      </c>
      <c r="J229" s="1">
        <f ca="1">IFERROR(__xludf.DUMMYFUNCTION("""COMPUTED_VALUE"""),65.8)</f>
        <v>65.8</v>
      </c>
      <c r="K229" s="1">
        <f ca="1">IFERROR(__xludf.DUMMYFUNCTION("""COMPUTED_VALUE"""),181)</f>
        <v>181</v>
      </c>
      <c r="L229" s="1">
        <f ca="1">IFERROR(__xludf.DUMMYFUNCTION("""COMPUTED_VALUE"""),-0.065)</f>
        <v>-6.5000000000000002E-2</v>
      </c>
      <c r="M229" s="1">
        <f ca="1">IFERROR(__xludf.DUMMYFUNCTION("""COMPUTED_VALUE"""),314)</f>
        <v>314</v>
      </c>
      <c r="N229" s="1">
        <f ca="1">IFERROR(__xludf.DUMMYFUNCTION("""COMPUTED_VALUE"""),-4.79)</f>
        <v>-4.79</v>
      </c>
      <c r="O229" s="1">
        <f ca="1">IFERROR(__xludf.DUMMYFUNCTION("""COMPUTED_VALUE"""),253)</f>
        <v>253</v>
      </c>
      <c r="P229" s="1">
        <f ca="1">IFERROR(__xludf.DUMMYFUNCTION("""COMPUTED_VALUE"""),101)</f>
        <v>101</v>
      </c>
      <c r="Q229" s="1">
        <f ca="1">IFERROR(__xludf.DUMMYFUNCTION("""COMPUTED_VALUE"""),225)</f>
        <v>225</v>
      </c>
      <c r="R229" s="1">
        <f ca="1">IFERROR(__xludf.DUMMYFUNCTION("""COMPUTED_VALUE"""),105.8)</f>
        <v>105.8</v>
      </c>
      <c r="S229" s="1">
        <f ca="1">IFERROR(__xludf.DUMMYFUNCTION("""COMPUTED_VALUE"""),297)</f>
        <v>297</v>
      </c>
      <c r="T229" s="1">
        <f ca="1">IFERROR(__xludf.DUMMYFUNCTION("""COMPUTED_VALUE"""),-0.02)</f>
        <v>-0.02</v>
      </c>
      <c r="U229" s="1">
        <f ca="1">IFERROR(__xludf.DUMMYFUNCTION("""COMPUTED_VALUE"""),147)</f>
        <v>147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IFERROR(__xludf.DUMMYFUNCTION("""COMPUTED_VALUE"""),"Radford")</f>
        <v>Radford</v>
      </c>
      <c r="C230" s="1" t="str">
        <f ca="1">IFERROR(__xludf.DUMMYFUNCTION("""COMPUTED_VALUE"""),"BSth")</f>
        <v>BSth</v>
      </c>
      <c r="D230" s="1" t="str">
        <f ca="1">IFERROR(__xludf.DUMMYFUNCTION("""COMPUTED_VALUE"""),"19-12")</f>
        <v>19-12</v>
      </c>
      <c r="E230" s="1">
        <f ca="1">IFERROR(__xludf.DUMMYFUNCTION("""COMPUTED_VALUE"""),-5.01)</f>
        <v>-5.01</v>
      </c>
      <c r="F230" s="1">
        <f ca="1">IFERROR(__xludf.DUMMYFUNCTION("""COMPUTED_VALUE"""),95.5)</f>
        <v>95.5</v>
      </c>
      <c r="G230" s="1">
        <f ca="1">IFERROR(__xludf.DUMMYFUNCTION("""COMPUTED_VALUE"""),284)</f>
        <v>284</v>
      </c>
      <c r="H230" s="1">
        <f ca="1">IFERROR(__xludf.DUMMYFUNCTION("""COMPUTED_VALUE"""),100.5)</f>
        <v>100.5</v>
      </c>
      <c r="I230" s="1">
        <f ca="1">IFERROR(__xludf.DUMMYFUNCTION("""COMPUTED_VALUE"""),123)</f>
        <v>123</v>
      </c>
      <c r="J230" s="1">
        <f ca="1">IFERROR(__xludf.DUMMYFUNCTION("""COMPUTED_VALUE"""),67.9)</f>
        <v>67.900000000000006</v>
      </c>
      <c r="K230" s="1">
        <f ca="1">IFERROR(__xludf.DUMMYFUNCTION("""COMPUTED_VALUE"""),75)</f>
        <v>75</v>
      </c>
      <c r="L230" s="1" t="str">
        <f ca="1">IFERROR(__xludf.DUMMYFUNCTION("""COMPUTED_VALUE"""),"+.066")</f>
        <v>+.066</v>
      </c>
      <c r="M230" s="1">
        <f ca="1">IFERROR(__xludf.DUMMYFUNCTION("""COMPUTED_VALUE"""),40)</f>
        <v>40</v>
      </c>
      <c r="N230" s="1">
        <f ca="1">IFERROR(__xludf.DUMMYFUNCTION("""COMPUTED_VALUE"""),-8.9)</f>
        <v>-8.9</v>
      </c>
      <c r="O230" s="1">
        <f ca="1">IFERROR(__xludf.DUMMYFUNCTION("""COMPUTED_VALUE"""),315)</f>
        <v>315</v>
      </c>
      <c r="P230" s="1">
        <f ca="1">IFERROR(__xludf.DUMMYFUNCTION("""COMPUTED_VALUE"""),97.7)</f>
        <v>97.7</v>
      </c>
      <c r="Q230" s="1">
        <f ca="1">IFERROR(__xludf.DUMMYFUNCTION("""COMPUTED_VALUE"""),309)</f>
        <v>309</v>
      </c>
      <c r="R230" s="1">
        <f ca="1">IFERROR(__xludf.DUMMYFUNCTION("""COMPUTED_VALUE"""),106.6)</f>
        <v>106.6</v>
      </c>
      <c r="S230" s="1">
        <f ca="1">IFERROR(__xludf.DUMMYFUNCTION("""COMPUTED_VALUE"""),326)</f>
        <v>326</v>
      </c>
      <c r="T230" s="1" t="str">
        <f ca="1">IFERROR(__xludf.DUMMYFUNCTION("""COMPUTED_VALUE"""),"+5.83")</f>
        <v>+5.83</v>
      </c>
      <c r="U230" s="1">
        <f ca="1">IFERROR(__xludf.DUMMYFUNCTION("""COMPUTED_VALUE"""),47)</f>
        <v>47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IFERROR(__xludf.DUMMYFUNCTION("""COMPUTED_VALUE"""),"South Dakota St.")</f>
        <v>South Dakota St.</v>
      </c>
      <c r="C231" s="1" t="str">
        <f ca="1">IFERROR(__xludf.DUMMYFUNCTION("""COMPUTED_VALUE"""),"Sum")</f>
        <v>Sum</v>
      </c>
      <c r="D231" s="1" t="str">
        <f ca="1">IFERROR(__xludf.DUMMYFUNCTION("""COMPUTED_VALUE"""),"14-16")</f>
        <v>14-16</v>
      </c>
      <c r="E231" s="1">
        <f ca="1">IFERROR(__xludf.DUMMYFUNCTION("""COMPUTED_VALUE"""),-5.15)</f>
        <v>-5.15</v>
      </c>
      <c r="F231" s="1">
        <f ca="1">IFERROR(__xludf.DUMMYFUNCTION("""COMPUTED_VALUE"""),105.5)</f>
        <v>105.5</v>
      </c>
      <c r="G231" s="1">
        <f ca="1">IFERROR(__xludf.DUMMYFUNCTION("""COMPUTED_VALUE"""),137)</f>
        <v>137</v>
      </c>
      <c r="H231" s="1">
        <f ca="1">IFERROR(__xludf.DUMMYFUNCTION("""COMPUTED_VALUE"""),110.6)</f>
        <v>110.6</v>
      </c>
      <c r="I231" s="1">
        <f ca="1">IFERROR(__xludf.DUMMYFUNCTION("""COMPUTED_VALUE"""),309)</f>
        <v>309</v>
      </c>
      <c r="J231" s="1">
        <f ca="1">IFERROR(__xludf.DUMMYFUNCTION("""COMPUTED_VALUE"""),66.9)</f>
        <v>66.900000000000006</v>
      </c>
      <c r="K231" s="1">
        <f ca="1">IFERROR(__xludf.DUMMYFUNCTION("""COMPUTED_VALUE"""),124)</f>
        <v>124</v>
      </c>
      <c r="L231" s="1">
        <f ca="1">IFERROR(__xludf.DUMMYFUNCTION("""COMPUTED_VALUE"""),-0.048)</f>
        <v>-4.8000000000000001E-2</v>
      </c>
      <c r="M231" s="1">
        <f ca="1">IFERROR(__xludf.DUMMYFUNCTION("""COMPUTED_VALUE"""),295)</f>
        <v>295</v>
      </c>
      <c r="N231" s="1">
        <f ca="1">IFERROR(__xludf.DUMMYFUNCTION("""COMPUTED_VALUE"""),-4.98)</f>
        <v>-4.9800000000000004</v>
      </c>
      <c r="O231" s="1">
        <f ca="1">IFERROR(__xludf.DUMMYFUNCTION("""COMPUTED_VALUE"""),256)</f>
        <v>256</v>
      </c>
      <c r="P231" s="1">
        <f ca="1">IFERROR(__xludf.DUMMYFUNCTION("""COMPUTED_VALUE"""),100.3)</f>
        <v>100.3</v>
      </c>
      <c r="Q231" s="1">
        <f ca="1">IFERROR(__xludf.DUMMYFUNCTION("""COMPUTED_VALUE"""),251)</f>
        <v>251</v>
      </c>
      <c r="R231" s="1">
        <f ca="1">IFERROR(__xludf.DUMMYFUNCTION("""COMPUTED_VALUE"""),105.2)</f>
        <v>105.2</v>
      </c>
      <c r="S231" s="1">
        <f ca="1">IFERROR(__xludf.DUMMYFUNCTION("""COMPUTED_VALUE"""),268)</f>
        <v>268</v>
      </c>
      <c r="T231" s="1" t="str">
        <f ca="1">IFERROR(__xludf.DUMMYFUNCTION("""COMPUTED_VALUE"""),"+2.69")</f>
        <v>+2.69</v>
      </c>
      <c r="U231" s="1">
        <f ca="1">IFERROR(__xludf.DUMMYFUNCTION("""COMPUTED_VALUE"""),89)</f>
        <v>89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IFERROR(__xludf.DUMMYFUNCTION("""COMPUTED_VALUE"""),"Evansville")</f>
        <v>Evansville</v>
      </c>
      <c r="C232" s="1" t="str">
        <f ca="1">IFERROR(__xludf.DUMMYFUNCTION("""COMPUTED_VALUE"""),"MVC")</f>
        <v>MVC</v>
      </c>
      <c r="D232" s="2">
        <f ca="1">IFERROR(__xludf.DUMMYFUNCTION("""COMPUTED_VALUE"""),44825)</f>
        <v>44825</v>
      </c>
      <c r="E232" s="1">
        <f ca="1">IFERROR(__xludf.DUMMYFUNCTION("""COMPUTED_VALUE"""),-5.31)</f>
        <v>-5.31</v>
      </c>
      <c r="F232" s="1">
        <f ca="1">IFERROR(__xludf.DUMMYFUNCTION("""COMPUTED_VALUE"""),97.8)</f>
        <v>97.8</v>
      </c>
      <c r="G232" s="1">
        <f ca="1">IFERROR(__xludf.DUMMYFUNCTION("""COMPUTED_VALUE"""),253)</f>
        <v>253</v>
      </c>
      <c r="H232" s="1">
        <f ca="1">IFERROR(__xludf.DUMMYFUNCTION("""COMPUTED_VALUE"""),103.1)</f>
        <v>103.1</v>
      </c>
      <c r="I232" s="1">
        <f ca="1">IFERROR(__xludf.DUMMYFUNCTION("""COMPUTED_VALUE"""),177)</f>
        <v>177</v>
      </c>
      <c r="J232" s="1">
        <f ca="1">IFERROR(__xludf.DUMMYFUNCTION("""COMPUTED_VALUE"""),65.4)</f>
        <v>65.400000000000006</v>
      </c>
      <c r="K232" s="1">
        <f ca="1">IFERROR(__xludf.DUMMYFUNCTION("""COMPUTED_VALUE"""),200)</f>
        <v>200</v>
      </c>
      <c r="L232" s="1">
        <f ca="1">IFERROR(__xludf.DUMMYFUNCTION("""COMPUTED_VALUE"""),-0.057)</f>
        <v>-5.7000000000000002E-2</v>
      </c>
      <c r="M232" s="1">
        <f ca="1">IFERROR(__xludf.DUMMYFUNCTION("""COMPUTED_VALUE"""),303)</f>
        <v>303</v>
      </c>
      <c r="N232" s="1" t="str">
        <f ca="1">IFERROR(__xludf.DUMMYFUNCTION("""COMPUTED_VALUE"""),"+2.54")</f>
        <v>+2.54</v>
      </c>
      <c r="O232" s="1">
        <f ca="1">IFERROR(__xludf.DUMMYFUNCTION("""COMPUTED_VALUE"""),122)</f>
        <v>122</v>
      </c>
      <c r="P232" s="1">
        <f ca="1">IFERROR(__xludf.DUMMYFUNCTION("""COMPUTED_VALUE"""),104.8)</f>
        <v>104.8</v>
      </c>
      <c r="Q232" s="1">
        <f ca="1">IFERROR(__xludf.DUMMYFUNCTION("""COMPUTED_VALUE"""),99)</f>
        <v>99</v>
      </c>
      <c r="R232" s="1">
        <f ca="1">IFERROR(__xludf.DUMMYFUNCTION("""COMPUTED_VALUE"""),102.3)</f>
        <v>102.3</v>
      </c>
      <c r="S232" s="1">
        <f ca="1">IFERROR(__xludf.DUMMYFUNCTION("""COMPUTED_VALUE"""),150)</f>
        <v>150</v>
      </c>
      <c r="T232" s="1">
        <f ca="1">IFERROR(__xludf.DUMMYFUNCTION("""COMPUTED_VALUE"""),-8.66)</f>
        <v>-8.66</v>
      </c>
      <c r="U232" s="1">
        <f ca="1">IFERROR(__xludf.DUMMYFUNCTION("""COMPUTED_VALUE"""),338)</f>
        <v>338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IFERROR(__xludf.DUMMYFUNCTION("""COMPUTED_VALUE"""),"Northern Arizona")</f>
        <v>Northern Arizona</v>
      </c>
      <c r="C233" s="1" t="str">
        <f ca="1">IFERROR(__xludf.DUMMYFUNCTION("""COMPUTED_VALUE"""),"BSky")</f>
        <v>BSky</v>
      </c>
      <c r="D233" s="1" t="str">
        <f ca="1">IFERROR(__xludf.DUMMYFUNCTION("""COMPUTED_VALUE"""),"14-14")</f>
        <v>14-14</v>
      </c>
      <c r="E233" s="1">
        <f ca="1">IFERROR(__xludf.DUMMYFUNCTION("""COMPUTED_VALUE"""),-5.42)</f>
        <v>-5.42</v>
      </c>
      <c r="F233" s="1">
        <f ca="1">IFERROR(__xludf.DUMMYFUNCTION("""COMPUTED_VALUE"""),99.1)</f>
        <v>99.1</v>
      </c>
      <c r="G233" s="1">
        <f ca="1">IFERROR(__xludf.DUMMYFUNCTION("""COMPUTED_VALUE"""),228)</f>
        <v>228</v>
      </c>
      <c r="H233" s="1">
        <f ca="1">IFERROR(__xludf.DUMMYFUNCTION("""COMPUTED_VALUE"""),104.5)</f>
        <v>104.5</v>
      </c>
      <c r="I233" s="1">
        <f ca="1">IFERROR(__xludf.DUMMYFUNCTION("""COMPUTED_VALUE"""),214)</f>
        <v>214</v>
      </c>
      <c r="J233" s="1">
        <f ca="1">IFERROR(__xludf.DUMMYFUNCTION("""COMPUTED_VALUE"""),66.2)</f>
        <v>66.2</v>
      </c>
      <c r="K233" s="1">
        <f ca="1">IFERROR(__xludf.DUMMYFUNCTION("""COMPUTED_VALUE"""),163)</f>
        <v>163</v>
      </c>
      <c r="L233" s="1" t="str">
        <f ca="1">IFERROR(__xludf.DUMMYFUNCTION("""COMPUTED_VALUE"""),"+.087")</f>
        <v>+.087</v>
      </c>
      <c r="M233" s="1">
        <f ca="1">IFERROR(__xludf.DUMMYFUNCTION("""COMPUTED_VALUE"""),17)</f>
        <v>17</v>
      </c>
      <c r="N233" s="1">
        <f ca="1">IFERROR(__xludf.DUMMYFUNCTION("""COMPUTED_VALUE"""),-0.57)</f>
        <v>-0.56999999999999995</v>
      </c>
      <c r="O233" s="1">
        <f ca="1">IFERROR(__xludf.DUMMYFUNCTION("""COMPUTED_VALUE"""),172)</f>
        <v>172</v>
      </c>
      <c r="P233" s="1">
        <f ca="1">IFERROR(__xludf.DUMMYFUNCTION("""COMPUTED_VALUE"""),103.5)</f>
        <v>103.5</v>
      </c>
      <c r="Q233" s="1">
        <f ca="1">IFERROR(__xludf.DUMMYFUNCTION("""COMPUTED_VALUE"""),148)</f>
        <v>148</v>
      </c>
      <c r="R233" s="1">
        <f ca="1">IFERROR(__xludf.DUMMYFUNCTION("""COMPUTED_VALUE"""),104)</f>
        <v>104</v>
      </c>
      <c r="S233" s="1">
        <f ca="1">IFERROR(__xludf.DUMMYFUNCTION("""COMPUTED_VALUE"""),216)</f>
        <v>216</v>
      </c>
      <c r="T233" s="1" t="str">
        <f ca="1">IFERROR(__xludf.DUMMYFUNCTION("""COMPUTED_VALUE"""),"+2.70")</f>
        <v>+2.70</v>
      </c>
      <c r="U233" s="1">
        <f ca="1">IFERROR(__xludf.DUMMYFUNCTION("""COMPUTED_VALUE"""),88)</f>
        <v>88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IFERROR(__xludf.DUMMYFUNCTION("""COMPUTED_VALUE"""),"Ball St.")</f>
        <v>Ball St.</v>
      </c>
      <c r="C234" s="1" t="str">
        <f ca="1">IFERROR(__xludf.DUMMYFUNCTION("""COMPUTED_VALUE"""),"MAC")</f>
        <v>MAC</v>
      </c>
      <c r="D234" s="1" t="str">
        <f ca="1">IFERROR(__xludf.DUMMYFUNCTION("""COMPUTED_VALUE"""),"15-15")</f>
        <v>15-15</v>
      </c>
      <c r="E234" s="1">
        <f ca="1">IFERROR(__xludf.DUMMYFUNCTION("""COMPUTED_VALUE"""),-5.45)</f>
        <v>-5.45</v>
      </c>
      <c r="F234" s="1">
        <f ca="1">IFERROR(__xludf.DUMMYFUNCTION("""COMPUTED_VALUE"""),94.6)</f>
        <v>94.6</v>
      </c>
      <c r="G234" s="1">
        <f ca="1">IFERROR(__xludf.DUMMYFUNCTION("""COMPUTED_VALUE"""),291)</f>
        <v>291</v>
      </c>
      <c r="H234" s="1">
        <f ca="1">IFERROR(__xludf.DUMMYFUNCTION("""COMPUTED_VALUE"""),100.1)</f>
        <v>100.1</v>
      </c>
      <c r="I234" s="1">
        <f ca="1">IFERROR(__xludf.DUMMYFUNCTION("""COMPUTED_VALUE"""),117)</f>
        <v>117</v>
      </c>
      <c r="J234" s="1">
        <f ca="1">IFERROR(__xludf.DUMMYFUNCTION("""COMPUTED_VALUE"""),62)</f>
        <v>62</v>
      </c>
      <c r="K234" s="1">
        <f ca="1">IFERROR(__xludf.DUMMYFUNCTION("""COMPUTED_VALUE"""),309)</f>
        <v>309</v>
      </c>
      <c r="L234" s="1" t="str">
        <f ca="1">IFERROR(__xludf.DUMMYFUNCTION("""COMPUTED_VALUE"""),"+.052")</f>
        <v>+.052</v>
      </c>
      <c r="M234" s="1">
        <f ca="1">IFERROR(__xludf.DUMMYFUNCTION("""COMPUTED_VALUE"""),53)</f>
        <v>53</v>
      </c>
      <c r="N234" s="1">
        <f ca="1">IFERROR(__xludf.DUMMYFUNCTION("""COMPUTED_VALUE"""),-2.85)</f>
        <v>-2.85</v>
      </c>
      <c r="O234" s="1">
        <f ca="1">IFERROR(__xludf.DUMMYFUNCTION("""COMPUTED_VALUE"""),227)</f>
        <v>227</v>
      </c>
      <c r="P234" s="1">
        <f ca="1">IFERROR(__xludf.DUMMYFUNCTION("""COMPUTED_VALUE"""),100.8)</f>
        <v>100.8</v>
      </c>
      <c r="Q234" s="1">
        <f ca="1">IFERROR(__xludf.DUMMYFUNCTION("""COMPUTED_VALUE"""),232)</f>
        <v>232</v>
      </c>
      <c r="R234" s="1">
        <f ca="1">IFERROR(__xludf.DUMMYFUNCTION("""COMPUTED_VALUE"""),103.6)</f>
        <v>103.6</v>
      </c>
      <c r="S234" s="1">
        <f ca="1">IFERROR(__xludf.DUMMYFUNCTION("""COMPUTED_VALUE"""),194)</f>
        <v>194</v>
      </c>
      <c r="T234" s="1">
        <f ca="1">IFERROR(__xludf.DUMMYFUNCTION("""COMPUTED_VALUE"""),-4.22)</f>
        <v>-4.22</v>
      </c>
      <c r="U234" s="1">
        <f ca="1">IFERROR(__xludf.DUMMYFUNCTION("""COMPUTED_VALUE"""),269)</f>
        <v>269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IFERROR(__xludf.DUMMYFUNCTION("""COMPUTED_VALUE"""),"Cal St. Northridge")</f>
        <v>Cal St. Northridge</v>
      </c>
      <c r="C235" s="1" t="str">
        <f ca="1">IFERROR(__xludf.DUMMYFUNCTION("""COMPUTED_VALUE"""),"BW")</f>
        <v>BW</v>
      </c>
      <c r="D235" s="2">
        <f ca="1">IFERROR(__xludf.DUMMYFUNCTION("""COMPUTED_VALUE"""),44886)</f>
        <v>44886</v>
      </c>
      <c r="E235" s="1">
        <f ca="1">IFERROR(__xludf.DUMMYFUNCTION("""COMPUTED_VALUE"""),-5.57)</f>
        <v>-5.57</v>
      </c>
      <c r="F235" s="1">
        <f ca="1">IFERROR(__xludf.DUMMYFUNCTION("""COMPUTED_VALUE"""),97.8)</f>
        <v>97.8</v>
      </c>
      <c r="G235" s="1">
        <f ca="1">IFERROR(__xludf.DUMMYFUNCTION("""COMPUTED_VALUE"""),251)</f>
        <v>251</v>
      </c>
      <c r="H235" s="1">
        <f ca="1">IFERROR(__xludf.DUMMYFUNCTION("""COMPUTED_VALUE"""),103.4)</f>
        <v>103.4</v>
      </c>
      <c r="I235" s="1">
        <f ca="1">IFERROR(__xludf.DUMMYFUNCTION("""COMPUTED_VALUE"""),182)</f>
        <v>182</v>
      </c>
      <c r="J235" s="1">
        <f ca="1">IFERROR(__xludf.DUMMYFUNCTION("""COMPUTED_VALUE"""),70.7)</f>
        <v>70.7</v>
      </c>
      <c r="K235" s="1">
        <f ca="1">IFERROR(__xludf.DUMMYFUNCTION("""COMPUTED_VALUE"""),18)</f>
        <v>18</v>
      </c>
      <c r="L235" s="1">
        <f ca="1">IFERROR(__xludf.DUMMYFUNCTION("""COMPUTED_VALUE"""),-0.017)</f>
        <v>-1.7000000000000001E-2</v>
      </c>
      <c r="M235" s="1">
        <f ca="1">IFERROR(__xludf.DUMMYFUNCTION("""COMPUTED_VALUE"""),224)</f>
        <v>224</v>
      </c>
      <c r="N235" s="1">
        <f ca="1">IFERROR(__xludf.DUMMYFUNCTION("""COMPUTED_VALUE"""),-1.54)</f>
        <v>-1.54</v>
      </c>
      <c r="O235" s="1">
        <f ca="1">IFERROR(__xludf.DUMMYFUNCTION("""COMPUTED_VALUE"""),192)</f>
        <v>192</v>
      </c>
      <c r="P235" s="1">
        <f ca="1">IFERROR(__xludf.DUMMYFUNCTION("""COMPUTED_VALUE"""),102.3)</f>
        <v>102.3</v>
      </c>
      <c r="Q235" s="1">
        <f ca="1">IFERROR(__xludf.DUMMYFUNCTION("""COMPUTED_VALUE"""),180)</f>
        <v>180</v>
      </c>
      <c r="R235" s="1">
        <f ca="1">IFERROR(__xludf.DUMMYFUNCTION("""COMPUTED_VALUE"""),103.8)</f>
        <v>103.8</v>
      </c>
      <c r="S235" s="1">
        <f ca="1">IFERROR(__xludf.DUMMYFUNCTION("""COMPUTED_VALUE"""),205)</f>
        <v>205</v>
      </c>
      <c r="T235" s="1" t="str">
        <f ca="1">IFERROR(__xludf.DUMMYFUNCTION("""COMPUTED_VALUE"""),"+0.97")</f>
        <v>+0.97</v>
      </c>
      <c r="U235" s="1">
        <f ca="1">IFERROR(__xludf.DUMMYFUNCTION("""COMPUTED_VALUE"""),130)</f>
        <v>130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IFERROR(__xludf.DUMMYFUNCTION("""COMPUTED_VALUE"""),"Tulane")</f>
        <v>Tulane</v>
      </c>
      <c r="C236" s="1" t="str">
        <f ca="1">IFERROR(__xludf.DUMMYFUNCTION("""COMPUTED_VALUE"""),"CUSA")</f>
        <v>CUSA</v>
      </c>
      <c r="D236" s="2">
        <f ca="1">IFERROR(__xludf.DUMMYFUNCTION("""COMPUTED_VALUE"""),44795)</f>
        <v>44795</v>
      </c>
      <c r="E236" s="1">
        <f ca="1">IFERROR(__xludf.DUMMYFUNCTION("""COMPUTED_VALUE"""),-5.58)</f>
        <v>-5.58</v>
      </c>
      <c r="F236" s="1">
        <f ca="1">IFERROR(__xludf.DUMMYFUNCTION("""COMPUTED_VALUE"""),95.1)</f>
        <v>95.1</v>
      </c>
      <c r="G236" s="1">
        <f ca="1">IFERROR(__xludf.DUMMYFUNCTION("""COMPUTED_VALUE"""),287)</f>
        <v>287</v>
      </c>
      <c r="H236" s="1">
        <f ca="1">IFERROR(__xludf.DUMMYFUNCTION("""COMPUTED_VALUE"""),100.7)</f>
        <v>100.7</v>
      </c>
      <c r="I236" s="1">
        <f ca="1">IFERROR(__xludf.DUMMYFUNCTION("""COMPUTED_VALUE"""),126)</f>
        <v>126</v>
      </c>
      <c r="J236" s="1">
        <f ca="1">IFERROR(__xludf.DUMMYFUNCTION("""COMPUTED_VALUE"""),65.4)</f>
        <v>65.400000000000006</v>
      </c>
      <c r="K236" s="1">
        <f ca="1">IFERROR(__xludf.DUMMYFUNCTION("""COMPUTED_VALUE"""),201)</f>
        <v>201</v>
      </c>
      <c r="L236" s="1">
        <f ca="1">IFERROR(__xludf.DUMMYFUNCTION("""COMPUTED_VALUE"""),-0.07)</f>
        <v>-7.0000000000000007E-2</v>
      </c>
      <c r="M236" s="1">
        <f ca="1">IFERROR(__xludf.DUMMYFUNCTION("""COMPUTED_VALUE"""),322)</f>
        <v>322</v>
      </c>
      <c r="N236" s="1" t="str">
        <f ca="1">IFERROR(__xludf.DUMMYFUNCTION("""COMPUTED_VALUE"""),"+1.61")</f>
        <v>+1.61</v>
      </c>
      <c r="O236" s="1">
        <f ca="1">IFERROR(__xludf.DUMMYFUNCTION("""COMPUTED_VALUE"""),140)</f>
        <v>140</v>
      </c>
      <c r="P236" s="1">
        <f ca="1">IFERROR(__xludf.DUMMYFUNCTION("""COMPUTED_VALUE"""),103.5)</f>
        <v>103.5</v>
      </c>
      <c r="Q236" s="1">
        <f ca="1">IFERROR(__xludf.DUMMYFUNCTION("""COMPUTED_VALUE"""),145)</f>
        <v>145</v>
      </c>
      <c r="R236" s="1">
        <f ca="1">IFERROR(__xludf.DUMMYFUNCTION("""COMPUTED_VALUE"""),101.9)</f>
        <v>101.9</v>
      </c>
      <c r="S236" s="1">
        <f ca="1">IFERROR(__xludf.DUMMYFUNCTION("""COMPUTED_VALUE"""),132)</f>
        <v>132</v>
      </c>
      <c r="T236" s="1">
        <f ca="1">IFERROR(__xludf.DUMMYFUNCTION("""COMPUTED_VALUE"""),-2.88)</f>
        <v>-2.88</v>
      </c>
      <c r="U236" s="1">
        <f ca="1">IFERROR(__xludf.DUMMYFUNCTION("""COMPUTED_VALUE"""),242)</f>
        <v>242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IFERROR(__xludf.DUMMYFUNCTION("""COMPUTED_VALUE"""),"Winthrop16")</f>
        <v>Winthrop16</v>
      </c>
      <c r="C237" s="1" t="str">
        <f ca="1">IFERROR(__xludf.DUMMYFUNCTION("""COMPUTED_VALUE"""),"BSth")</f>
        <v>BSth</v>
      </c>
      <c r="D237" s="1" t="str">
        <f ca="1">IFERROR(__xludf.DUMMYFUNCTION("""COMPUTED_VALUE"""),"19-14")</f>
        <v>19-14</v>
      </c>
      <c r="E237" s="1">
        <f ca="1">IFERROR(__xludf.DUMMYFUNCTION("""COMPUTED_VALUE"""),-5.63)</f>
        <v>-5.63</v>
      </c>
      <c r="F237" s="1">
        <f ca="1">IFERROR(__xludf.DUMMYFUNCTION("""COMPUTED_VALUE"""),90.7)</f>
        <v>90.7</v>
      </c>
      <c r="G237" s="1">
        <f ca="1">IFERROR(__xludf.DUMMYFUNCTION("""COMPUTED_VALUE"""),320)</f>
        <v>320</v>
      </c>
      <c r="H237" s="1">
        <f ca="1">IFERROR(__xludf.DUMMYFUNCTION("""COMPUTED_VALUE"""),96.3)</f>
        <v>96.3</v>
      </c>
      <c r="I237" s="1">
        <f ca="1">IFERROR(__xludf.DUMMYFUNCTION("""COMPUTED_VALUE"""),65)</f>
        <v>65</v>
      </c>
      <c r="J237" s="1">
        <f ca="1">IFERROR(__xludf.DUMMYFUNCTION("""COMPUTED_VALUE"""),64)</f>
        <v>64</v>
      </c>
      <c r="K237" s="1">
        <f ca="1">IFERROR(__xludf.DUMMYFUNCTION("""COMPUTED_VALUE"""),259)</f>
        <v>259</v>
      </c>
      <c r="L237" s="1" t="str">
        <f ca="1">IFERROR(__xludf.DUMMYFUNCTION("""COMPUTED_VALUE"""),"+.049")</f>
        <v>+.049</v>
      </c>
      <c r="M237" s="1">
        <f ca="1">IFERROR(__xludf.DUMMYFUNCTION("""COMPUTED_VALUE"""),59)</f>
        <v>59</v>
      </c>
      <c r="N237" s="1">
        <f ca="1">IFERROR(__xludf.DUMMYFUNCTION("""COMPUTED_VALUE"""),-7.35)</f>
        <v>-7.35</v>
      </c>
      <c r="O237" s="1">
        <f ca="1">IFERROR(__xludf.DUMMYFUNCTION("""COMPUTED_VALUE"""),297)</f>
        <v>297</v>
      </c>
      <c r="P237" s="1">
        <f ca="1">IFERROR(__xludf.DUMMYFUNCTION("""COMPUTED_VALUE"""),98.6)</f>
        <v>98.6</v>
      </c>
      <c r="Q237" s="1">
        <f ca="1">IFERROR(__xludf.DUMMYFUNCTION("""COMPUTED_VALUE"""),290)</f>
        <v>290</v>
      </c>
      <c r="R237" s="1">
        <f ca="1">IFERROR(__xludf.DUMMYFUNCTION("""COMPUTED_VALUE"""),106)</f>
        <v>106</v>
      </c>
      <c r="S237" s="1">
        <f ca="1">IFERROR(__xludf.DUMMYFUNCTION("""COMPUTED_VALUE"""),309)</f>
        <v>309</v>
      </c>
      <c r="T237" s="1" t="str">
        <f ca="1">IFERROR(__xludf.DUMMYFUNCTION("""COMPUTED_VALUE"""),"+6.90")</f>
        <v>+6.90</v>
      </c>
      <c r="U237" s="1">
        <f ca="1">IFERROR(__xludf.DUMMYFUNCTION("""COMPUTED_VALUE"""),33)</f>
        <v>33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IFERROR(__xludf.DUMMYFUNCTION("""COMPUTED_VALUE"""),"UC Davis")</f>
        <v>UC Davis</v>
      </c>
      <c r="C238" s="1" t="str">
        <f ca="1">IFERROR(__xludf.DUMMYFUNCTION("""COMPUTED_VALUE"""),"BW")</f>
        <v>BW</v>
      </c>
      <c r="D238" s="1" t="str">
        <f ca="1">IFERROR(__xludf.DUMMYFUNCTION("""COMPUTED_VALUE"""),"14-18")</f>
        <v>14-18</v>
      </c>
      <c r="E238" s="1">
        <f ca="1">IFERROR(__xludf.DUMMYFUNCTION("""COMPUTED_VALUE"""),-5.77)</f>
        <v>-5.77</v>
      </c>
      <c r="F238" s="1">
        <f ca="1">IFERROR(__xludf.DUMMYFUNCTION("""COMPUTED_VALUE"""),101)</f>
        <v>101</v>
      </c>
      <c r="G238" s="1">
        <f ca="1">IFERROR(__xludf.DUMMYFUNCTION("""COMPUTED_VALUE"""),197)</f>
        <v>197</v>
      </c>
      <c r="H238" s="1">
        <f ca="1">IFERROR(__xludf.DUMMYFUNCTION("""COMPUTED_VALUE"""),106.7)</f>
        <v>106.7</v>
      </c>
      <c r="I238" s="1">
        <f ca="1">IFERROR(__xludf.DUMMYFUNCTION("""COMPUTED_VALUE"""),251)</f>
        <v>251</v>
      </c>
      <c r="J238" s="1">
        <f ca="1">IFERROR(__xludf.DUMMYFUNCTION("""COMPUTED_VALUE"""),66.4)</f>
        <v>66.400000000000006</v>
      </c>
      <c r="K238" s="1">
        <f ca="1">IFERROR(__xludf.DUMMYFUNCTION("""COMPUTED_VALUE"""),148)</f>
        <v>148</v>
      </c>
      <c r="L238" s="1">
        <f ca="1">IFERROR(__xludf.DUMMYFUNCTION("""COMPUTED_VALUE"""),-0.004)</f>
        <v>-4.0000000000000001E-3</v>
      </c>
      <c r="M238" s="1">
        <f ca="1">IFERROR(__xludf.DUMMYFUNCTION("""COMPUTED_VALUE"""),180)</f>
        <v>180</v>
      </c>
      <c r="N238" s="1">
        <f ca="1">IFERROR(__xludf.DUMMYFUNCTION("""COMPUTED_VALUE"""),-2.74)</f>
        <v>-2.74</v>
      </c>
      <c r="O238" s="1">
        <f ca="1">IFERROR(__xludf.DUMMYFUNCTION("""COMPUTED_VALUE"""),220)</f>
        <v>220</v>
      </c>
      <c r="P238" s="1">
        <f ca="1">IFERROR(__xludf.DUMMYFUNCTION("""COMPUTED_VALUE"""),100.3)</f>
        <v>100.3</v>
      </c>
      <c r="Q238" s="1">
        <f ca="1">IFERROR(__xludf.DUMMYFUNCTION("""COMPUTED_VALUE"""),248)</f>
        <v>248</v>
      </c>
      <c r="R238" s="1">
        <f ca="1">IFERROR(__xludf.DUMMYFUNCTION("""COMPUTED_VALUE"""),103)</f>
        <v>103</v>
      </c>
      <c r="S238" s="1">
        <f ca="1">IFERROR(__xludf.DUMMYFUNCTION("""COMPUTED_VALUE"""),176)</f>
        <v>176</v>
      </c>
      <c r="T238" s="1">
        <f ca="1">IFERROR(__xludf.DUMMYFUNCTION("""COMPUTED_VALUE"""),-1.89)</f>
        <v>-1.89</v>
      </c>
      <c r="U238" s="1">
        <f ca="1">IFERROR(__xludf.DUMMYFUNCTION("""COMPUTED_VALUE"""),212)</f>
        <v>212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IFERROR(__xludf.DUMMYFUNCTION("""COMPUTED_VALUE"""),"Youngstown St.")</f>
        <v>Youngstown St.</v>
      </c>
      <c r="C239" s="1" t="str">
        <f ca="1">IFERROR(__xludf.DUMMYFUNCTION("""COMPUTED_VALUE"""),"Horz")</f>
        <v>Horz</v>
      </c>
      <c r="D239" s="2">
        <f ca="1">IFERROR(__xludf.DUMMYFUNCTION("""COMPUTED_VALUE"""),44795)</f>
        <v>44795</v>
      </c>
      <c r="E239" s="1">
        <f ca="1">IFERROR(__xludf.DUMMYFUNCTION("""COMPUTED_VALUE"""),-6.2)</f>
        <v>-6.2</v>
      </c>
      <c r="F239" s="1">
        <f ca="1">IFERROR(__xludf.DUMMYFUNCTION("""COMPUTED_VALUE"""),99.4)</f>
        <v>99.4</v>
      </c>
      <c r="G239" s="1">
        <f ca="1">IFERROR(__xludf.DUMMYFUNCTION("""COMPUTED_VALUE"""),224)</f>
        <v>224</v>
      </c>
      <c r="H239" s="1">
        <f ca="1">IFERROR(__xludf.DUMMYFUNCTION("""COMPUTED_VALUE"""),105.6)</f>
        <v>105.6</v>
      </c>
      <c r="I239" s="1">
        <f ca="1">IFERROR(__xludf.DUMMYFUNCTION("""COMPUTED_VALUE"""),232)</f>
        <v>232</v>
      </c>
      <c r="J239" s="1">
        <f ca="1">IFERROR(__xludf.DUMMYFUNCTION("""COMPUTED_VALUE"""),67.1)</f>
        <v>67.099999999999994</v>
      </c>
      <c r="K239" s="1">
        <f ca="1">IFERROR(__xludf.DUMMYFUNCTION("""COMPUTED_VALUE"""),114)</f>
        <v>114</v>
      </c>
      <c r="L239" s="1">
        <f ca="1">IFERROR(__xludf.DUMMYFUNCTION("""COMPUTED_VALUE"""),-0.078)</f>
        <v>-7.8E-2</v>
      </c>
      <c r="M239" s="1">
        <f ca="1">IFERROR(__xludf.DUMMYFUNCTION("""COMPUTED_VALUE"""),330)</f>
        <v>330</v>
      </c>
      <c r="N239" s="1" t="str">
        <f ca="1">IFERROR(__xludf.DUMMYFUNCTION("""COMPUTED_VALUE"""),"+1.68")</f>
        <v>+1.68</v>
      </c>
      <c r="O239" s="1">
        <f ca="1">IFERROR(__xludf.DUMMYFUNCTION("""COMPUTED_VALUE"""),138)</f>
        <v>138</v>
      </c>
      <c r="P239" s="1">
        <f ca="1">IFERROR(__xludf.DUMMYFUNCTION("""COMPUTED_VALUE"""),103.5)</f>
        <v>103.5</v>
      </c>
      <c r="Q239" s="1">
        <f ca="1">IFERROR(__xludf.DUMMYFUNCTION("""COMPUTED_VALUE"""),146)</f>
        <v>146</v>
      </c>
      <c r="R239" s="1">
        <f ca="1">IFERROR(__xludf.DUMMYFUNCTION("""COMPUTED_VALUE"""),101.9)</f>
        <v>101.9</v>
      </c>
      <c r="S239" s="1">
        <f ca="1">IFERROR(__xludf.DUMMYFUNCTION("""COMPUTED_VALUE"""),128)</f>
        <v>128</v>
      </c>
      <c r="T239" s="1">
        <f ca="1">IFERROR(__xludf.DUMMYFUNCTION("""COMPUTED_VALUE"""),-1.88)</f>
        <v>-1.88</v>
      </c>
      <c r="U239" s="1">
        <f ca="1">IFERROR(__xludf.DUMMYFUNCTION("""COMPUTED_VALUE"""),211)</f>
        <v>211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IFERROR(__xludf.DUMMYFUNCTION("""COMPUTED_VALUE"""),"Hampton")</f>
        <v>Hampton</v>
      </c>
      <c r="C240" s="1" t="str">
        <f ca="1">IFERROR(__xludf.DUMMYFUNCTION("""COMPUTED_VALUE"""),"MEAC")</f>
        <v>MEAC</v>
      </c>
      <c r="D240" s="1" t="str">
        <f ca="1">IFERROR(__xludf.DUMMYFUNCTION("""COMPUTED_VALUE"""),"14-18")</f>
        <v>14-18</v>
      </c>
      <c r="E240" s="1">
        <f ca="1">IFERROR(__xludf.DUMMYFUNCTION("""COMPUTED_VALUE"""),-6.21)</f>
        <v>-6.21</v>
      </c>
      <c r="F240" s="1">
        <f ca="1">IFERROR(__xludf.DUMMYFUNCTION("""COMPUTED_VALUE"""),94.1)</f>
        <v>94.1</v>
      </c>
      <c r="G240" s="1">
        <f ca="1">IFERROR(__xludf.DUMMYFUNCTION("""COMPUTED_VALUE"""),293)</f>
        <v>293</v>
      </c>
      <c r="H240" s="1">
        <f ca="1">IFERROR(__xludf.DUMMYFUNCTION("""COMPUTED_VALUE"""),100.4)</f>
        <v>100.4</v>
      </c>
      <c r="I240" s="1">
        <f ca="1">IFERROR(__xludf.DUMMYFUNCTION("""COMPUTED_VALUE"""),121)</f>
        <v>121</v>
      </c>
      <c r="J240" s="1">
        <f ca="1">IFERROR(__xludf.DUMMYFUNCTION("""COMPUTED_VALUE"""),66.7)</f>
        <v>66.7</v>
      </c>
      <c r="K240" s="1">
        <f ca="1">IFERROR(__xludf.DUMMYFUNCTION("""COMPUTED_VALUE"""),130)</f>
        <v>130</v>
      </c>
      <c r="L240" s="1">
        <f ca="1">IFERROR(__xludf.DUMMYFUNCTION("""COMPUTED_VALUE"""),-0.11)</f>
        <v>-0.11</v>
      </c>
      <c r="M240" s="1">
        <f ca="1">IFERROR(__xludf.DUMMYFUNCTION("""COMPUTED_VALUE"""),344)</f>
        <v>344</v>
      </c>
      <c r="N240" s="1">
        <f ca="1">IFERROR(__xludf.DUMMYFUNCTION("""COMPUTED_VALUE"""),-9.65)</f>
        <v>-9.65</v>
      </c>
      <c r="O240" s="1">
        <f ca="1">IFERROR(__xludf.DUMMYFUNCTION("""COMPUTED_VALUE"""),322)</f>
        <v>322</v>
      </c>
      <c r="P240" s="1">
        <f ca="1">IFERROR(__xludf.DUMMYFUNCTION("""COMPUTED_VALUE"""),97.3)</f>
        <v>97.3</v>
      </c>
      <c r="Q240" s="1">
        <f ca="1">IFERROR(__xludf.DUMMYFUNCTION("""COMPUTED_VALUE"""),312)</f>
        <v>312</v>
      </c>
      <c r="R240" s="1">
        <f ca="1">IFERROR(__xludf.DUMMYFUNCTION("""COMPUTED_VALUE"""),106.9)</f>
        <v>106.9</v>
      </c>
      <c r="S240" s="1">
        <f ca="1">IFERROR(__xludf.DUMMYFUNCTION("""COMPUTED_VALUE"""),334)</f>
        <v>334</v>
      </c>
      <c r="T240" s="1">
        <f ca="1">IFERROR(__xludf.DUMMYFUNCTION("""COMPUTED_VALUE"""),-3.02)</f>
        <v>-3.02</v>
      </c>
      <c r="U240" s="1">
        <f ca="1">IFERROR(__xludf.DUMMYFUNCTION("""COMPUTED_VALUE"""),249)</f>
        <v>249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IFERROR(__xludf.DUMMYFUNCTION("""COMPUTED_VALUE"""),"Texas St.")</f>
        <v>Texas St.</v>
      </c>
      <c r="C241" s="1" t="str">
        <f ca="1">IFERROR(__xludf.DUMMYFUNCTION("""COMPUTED_VALUE"""),"Slnd")</f>
        <v>Slnd</v>
      </c>
      <c r="D241" s="1" t="str">
        <f ca="1">IFERROR(__xludf.DUMMYFUNCTION("""COMPUTED_VALUE"""),"15-16")</f>
        <v>15-16</v>
      </c>
      <c r="E241" s="1">
        <f ca="1">IFERROR(__xludf.DUMMYFUNCTION("""COMPUTED_VALUE"""),-6.32)</f>
        <v>-6.32</v>
      </c>
      <c r="F241" s="1">
        <f ca="1">IFERROR(__xludf.DUMMYFUNCTION("""COMPUTED_VALUE"""),98.5)</f>
        <v>98.5</v>
      </c>
      <c r="G241" s="1">
        <f ca="1">IFERROR(__xludf.DUMMYFUNCTION("""COMPUTED_VALUE"""),238)</f>
        <v>238</v>
      </c>
      <c r="H241" s="1">
        <f ca="1">IFERROR(__xludf.DUMMYFUNCTION("""COMPUTED_VALUE"""),104.8)</f>
        <v>104.8</v>
      </c>
      <c r="I241" s="1">
        <f ca="1">IFERROR(__xludf.DUMMYFUNCTION("""COMPUTED_VALUE"""),218)</f>
        <v>218</v>
      </c>
      <c r="J241" s="1">
        <f ca="1">IFERROR(__xludf.DUMMYFUNCTION("""COMPUTED_VALUE"""),74.9)</f>
        <v>74.900000000000006</v>
      </c>
      <c r="K241" s="1">
        <f ca="1">IFERROR(__xludf.DUMMYFUNCTION("""COMPUTED_VALUE"""),3)</f>
        <v>3</v>
      </c>
      <c r="L241" s="1" t="str">
        <f ca="1">IFERROR(__xludf.DUMMYFUNCTION("""COMPUTED_VALUE"""),"+.027")</f>
        <v>+.027</v>
      </c>
      <c r="M241" s="1">
        <f ca="1">IFERROR(__xludf.DUMMYFUNCTION("""COMPUTED_VALUE"""),97)</f>
        <v>97</v>
      </c>
      <c r="N241" s="1">
        <f ca="1">IFERROR(__xludf.DUMMYFUNCTION("""COMPUTED_VALUE"""),-3.53)</f>
        <v>-3.53</v>
      </c>
      <c r="O241" s="1">
        <f ca="1">IFERROR(__xludf.DUMMYFUNCTION("""COMPUTED_VALUE"""),236)</f>
        <v>236</v>
      </c>
      <c r="P241" s="1">
        <f ca="1">IFERROR(__xludf.DUMMYFUNCTION("""COMPUTED_VALUE"""),100.8)</f>
        <v>100.8</v>
      </c>
      <c r="Q241" s="1">
        <f ca="1">IFERROR(__xludf.DUMMYFUNCTION("""COMPUTED_VALUE"""),231)</f>
        <v>231</v>
      </c>
      <c r="R241" s="1">
        <f ca="1">IFERROR(__xludf.DUMMYFUNCTION("""COMPUTED_VALUE"""),104.3)</f>
        <v>104.3</v>
      </c>
      <c r="S241" s="1">
        <f ca="1">IFERROR(__xludf.DUMMYFUNCTION("""COMPUTED_VALUE"""),231)</f>
        <v>231</v>
      </c>
      <c r="T241" s="1" t="str">
        <f ca="1">IFERROR(__xludf.DUMMYFUNCTION("""COMPUTED_VALUE"""),"+1.54")</f>
        <v>+1.54</v>
      </c>
      <c r="U241" s="1">
        <f ca="1">IFERROR(__xludf.DUMMYFUNCTION("""COMPUTED_VALUE"""),114)</f>
        <v>114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IFERROR(__xludf.DUMMYFUNCTION("""COMPUTED_VALUE"""),"UC Riverside")</f>
        <v>UC Riverside</v>
      </c>
      <c r="C242" s="1" t="str">
        <f ca="1">IFERROR(__xludf.DUMMYFUNCTION("""COMPUTED_VALUE"""),"BW")</f>
        <v>BW</v>
      </c>
      <c r="D242" s="2">
        <f ca="1">IFERROR(__xludf.DUMMYFUNCTION("""COMPUTED_VALUE"""),44912)</f>
        <v>44912</v>
      </c>
      <c r="E242" s="1">
        <f ca="1">IFERROR(__xludf.DUMMYFUNCTION("""COMPUTED_VALUE"""),-6.38)</f>
        <v>-6.38</v>
      </c>
      <c r="F242" s="1">
        <f ca="1">IFERROR(__xludf.DUMMYFUNCTION("""COMPUTED_VALUE"""),98.2)</f>
        <v>98.2</v>
      </c>
      <c r="G242" s="1">
        <f ca="1">IFERROR(__xludf.DUMMYFUNCTION("""COMPUTED_VALUE"""),242)</f>
        <v>242</v>
      </c>
      <c r="H242" s="1">
        <f ca="1">IFERROR(__xludf.DUMMYFUNCTION("""COMPUTED_VALUE"""),104.5)</f>
        <v>104.5</v>
      </c>
      <c r="I242" s="1">
        <f ca="1">IFERROR(__xludf.DUMMYFUNCTION("""COMPUTED_VALUE"""),213)</f>
        <v>213</v>
      </c>
      <c r="J242" s="1">
        <f ca="1">IFERROR(__xludf.DUMMYFUNCTION("""COMPUTED_VALUE"""),60.9)</f>
        <v>60.9</v>
      </c>
      <c r="K242" s="1">
        <f ca="1">IFERROR(__xludf.DUMMYFUNCTION("""COMPUTED_VALUE"""),328)</f>
        <v>328</v>
      </c>
      <c r="L242" s="1">
        <f ca="1">IFERROR(__xludf.DUMMYFUNCTION("""COMPUTED_VALUE"""),-0.039)</f>
        <v>-3.9E-2</v>
      </c>
      <c r="M242" s="1">
        <f ca="1">IFERROR(__xludf.DUMMYFUNCTION("""COMPUTED_VALUE"""),276)</f>
        <v>276</v>
      </c>
      <c r="N242" s="1">
        <f ca="1">IFERROR(__xludf.DUMMYFUNCTION("""COMPUTED_VALUE"""),-2.46)</f>
        <v>-2.46</v>
      </c>
      <c r="O242" s="1">
        <f ca="1">IFERROR(__xludf.DUMMYFUNCTION("""COMPUTED_VALUE"""),213)</f>
        <v>213</v>
      </c>
      <c r="P242" s="1">
        <f ca="1">IFERROR(__xludf.DUMMYFUNCTION("""COMPUTED_VALUE"""),101.1)</f>
        <v>101.1</v>
      </c>
      <c r="Q242" s="1">
        <f ca="1">IFERROR(__xludf.DUMMYFUNCTION("""COMPUTED_VALUE"""),221)</f>
        <v>221</v>
      </c>
      <c r="R242" s="1">
        <f ca="1">IFERROR(__xludf.DUMMYFUNCTION("""COMPUTED_VALUE"""),103.6)</f>
        <v>103.6</v>
      </c>
      <c r="S242" s="1">
        <f ca="1">IFERROR(__xludf.DUMMYFUNCTION("""COMPUTED_VALUE"""),192)</f>
        <v>192</v>
      </c>
      <c r="T242" s="1">
        <f ca="1">IFERROR(__xludf.DUMMYFUNCTION("""COMPUTED_VALUE"""),-0.71)</f>
        <v>-0.71</v>
      </c>
      <c r="U242" s="1">
        <f ca="1">IFERROR(__xludf.DUMMYFUNCTION("""COMPUTED_VALUE"""),163)</f>
        <v>163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IFERROR(__xludf.DUMMYFUNCTION("""COMPUTED_VALUE"""),"Arkansas Pine Bluff16")</f>
        <v>Arkansas Pine Bluff16</v>
      </c>
      <c r="C243" s="1" t="str">
        <f ca="1">IFERROR(__xludf.DUMMYFUNCTION("""COMPUTED_VALUE"""),"SWAC")</f>
        <v>SWAC</v>
      </c>
      <c r="D243" s="1" t="str">
        <f ca="1">IFERROR(__xludf.DUMMYFUNCTION("""COMPUTED_VALUE"""),"18-16")</f>
        <v>18-16</v>
      </c>
      <c r="E243" s="1">
        <f ca="1">IFERROR(__xludf.DUMMYFUNCTION("""COMPUTED_VALUE"""),-6.44)</f>
        <v>-6.44</v>
      </c>
      <c r="F243" s="1">
        <f ca="1">IFERROR(__xludf.DUMMYFUNCTION("""COMPUTED_VALUE"""),93.1)</f>
        <v>93.1</v>
      </c>
      <c r="G243" s="1">
        <f ca="1">IFERROR(__xludf.DUMMYFUNCTION("""COMPUTED_VALUE"""),303)</f>
        <v>303</v>
      </c>
      <c r="H243" s="1">
        <f ca="1">IFERROR(__xludf.DUMMYFUNCTION("""COMPUTED_VALUE"""),99.5)</f>
        <v>99.5</v>
      </c>
      <c r="I243" s="1">
        <f ca="1">IFERROR(__xludf.DUMMYFUNCTION("""COMPUTED_VALUE"""),107)</f>
        <v>107</v>
      </c>
      <c r="J243" s="1">
        <f ca="1">IFERROR(__xludf.DUMMYFUNCTION("""COMPUTED_VALUE"""),65.1)</f>
        <v>65.099999999999994</v>
      </c>
      <c r="K243" s="1">
        <f ca="1">IFERROR(__xludf.DUMMYFUNCTION("""COMPUTED_VALUE"""),215)</f>
        <v>215</v>
      </c>
      <c r="L243" s="1" t="str">
        <f ca="1">IFERROR(__xludf.DUMMYFUNCTION("""COMPUTED_VALUE"""),"+.053")</f>
        <v>+.053</v>
      </c>
      <c r="M243" s="1">
        <f ca="1">IFERROR(__xludf.DUMMYFUNCTION("""COMPUTED_VALUE"""),50)</f>
        <v>50</v>
      </c>
      <c r="N243" s="1">
        <f ca="1">IFERROR(__xludf.DUMMYFUNCTION("""COMPUTED_VALUE"""),-7.62)</f>
        <v>-7.62</v>
      </c>
      <c r="O243" s="1">
        <f ca="1">IFERROR(__xludf.DUMMYFUNCTION("""COMPUTED_VALUE"""),300)</f>
        <v>300</v>
      </c>
      <c r="P243" s="1">
        <f ca="1">IFERROR(__xludf.DUMMYFUNCTION("""COMPUTED_VALUE"""),96.4)</f>
        <v>96.4</v>
      </c>
      <c r="Q243" s="1">
        <f ca="1">IFERROR(__xludf.DUMMYFUNCTION("""COMPUTED_VALUE"""),324)</f>
        <v>324</v>
      </c>
      <c r="R243" s="1">
        <f ca="1">IFERROR(__xludf.DUMMYFUNCTION("""COMPUTED_VALUE"""),104)</f>
        <v>104</v>
      </c>
      <c r="S243" s="1">
        <f ca="1">IFERROR(__xludf.DUMMYFUNCTION("""COMPUTED_VALUE"""),213)</f>
        <v>213</v>
      </c>
      <c r="T243" s="1" t="str">
        <f ca="1">IFERROR(__xludf.DUMMYFUNCTION("""COMPUTED_VALUE"""),"+17.98")</f>
        <v>+17.98</v>
      </c>
      <c r="U243" s="1">
        <f ca="1">IFERROR(__xludf.DUMMYFUNCTION("""COMPUTED_VALUE"""),1)</f>
        <v>1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IFERROR(__xludf.DUMMYFUNCTION("""COMPUTED_VALUE"""),"East Carolina")</f>
        <v>East Carolina</v>
      </c>
      <c r="C244" s="1" t="str">
        <f ca="1">IFERROR(__xludf.DUMMYFUNCTION("""COMPUTED_VALUE"""),"CUSA")</f>
        <v>CUSA</v>
      </c>
      <c r="D244" s="2">
        <f ca="1">IFERROR(__xludf.DUMMYFUNCTION("""COMPUTED_VALUE"""),44855)</f>
        <v>44855</v>
      </c>
      <c r="E244" s="1">
        <f ca="1">IFERROR(__xludf.DUMMYFUNCTION("""COMPUTED_VALUE"""),-6.53)</f>
        <v>-6.53</v>
      </c>
      <c r="F244" s="1">
        <f ca="1">IFERROR(__xludf.DUMMYFUNCTION("""COMPUTED_VALUE"""),101.9)</f>
        <v>101.9</v>
      </c>
      <c r="G244" s="1">
        <f ca="1">IFERROR(__xludf.DUMMYFUNCTION("""COMPUTED_VALUE"""),184)</f>
        <v>184</v>
      </c>
      <c r="H244" s="1">
        <f ca="1">IFERROR(__xludf.DUMMYFUNCTION("""COMPUTED_VALUE"""),108.4)</f>
        <v>108.4</v>
      </c>
      <c r="I244" s="1">
        <f ca="1">IFERROR(__xludf.DUMMYFUNCTION("""COMPUTED_VALUE"""),280)</f>
        <v>280</v>
      </c>
      <c r="J244" s="1">
        <f ca="1">IFERROR(__xludf.DUMMYFUNCTION("""COMPUTED_VALUE"""),66.9)</f>
        <v>66.900000000000006</v>
      </c>
      <c r="K244" s="1">
        <f ca="1">IFERROR(__xludf.DUMMYFUNCTION("""COMPUTED_VALUE"""),123)</f>
        <v>123</v>
      </c>
      <c r="L244" s="1">
        <f ca="1">IFERROR(__xludf.DUMMYFUNCTION("""COMPUTED_VALUE"""),-0.016)</f>
        <v>-1.6E-2</v>
      </c>
      <c r="M244" s="1">
        <f ca="1">IFERROR(__xludf.DUMMYFUNCTION("""COMPUTED_VALUE"""),223)</f>
        <v>223</v>
      </c>
      <c r="N244" s="1" t="str">
        <f ca="1">IFERROR(__xludf.DUMMYFUNCTION("""COMPUTED_VALUE"""),"+5.04")</f>
        <v>+5.04</v>
      </c>
      <c r="O244" s="1">
        <f ca="1">IFERROR(__xludf.DUMMYFUNCTION("""COMPUTED_VALUE"""),79)</f>
        <v>79</v>
      </c>
      <c r="P244" s="1">
        <f ca="1">IFERROR(__xludf.DUMMYFUNCTION("""COMPUTED_VALUE"""),104.6)</f>
        <v>104.6</v>
      </c>
      <c r="Q244" s="1">
        <f ca="1">IFERROR(__xludf.DUMMYFUNCTION("""COMPUTED_VALUE"""),112)</f>
        <v>112</v>
      </c>
      <c r="R244" s="1">
        <f ca="1">IFERROR(__xludf.DUMMYFUNCTION("""COMPUTED_VALUE"""),99.6)</f>
        <v>99.6</v>
      </c>
      <c r="S244" s="1">
        <f ca="1">IFERROR(__xludf.DUMMYFUNCTION("""COMPUTED_VALUE"""),58)</f>
        <v>58</v>
      </c>
      <c r="T244" s="1" t="str">
        <f ca="1">IFERROR(__xludf.DUMMYFUNCTION("""COMPUTED_VALUE"""),"+6.66")</f>
        <v>+6.66</v>
      </c>
      <c r="U244" s="1">
        <f ca="1">IFERROR(__xludf.DUMMYFUNCTION("""COMPUTED_VALUE"""),37)</f>
        <v>37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IFERROR(__xludf.DUMMYFUNCTION("""COMPUTED_VALUE"""),"Hawaii")</f>
        <v>Hawaii</v>
      </c>
      <c r="C245" s="1" t="str">
        <f ca="1">IFERROR(__xludf.DUMMYFUNCTION("""COMPUTED_VALUE"""),"WAC")</f>
        <v>WAC</v>
      </c>
      <c r="D245" s="2">
        <f ca="1">IFERROR(__xludf.DUMMYFUNCTION("""COMPUTED_VALUE"""),44854)</f>
        <v>44854</v>
      </c>
      <c r="E245" s="1">
        <f ca="1">IFERROR(__xludf.DUMMYFUNCTION("""COMPUTED_VALUE"""),-6.78)</f>
        <v>-6.78</v>
      </c>
      <c r="F245" s="1">
        <f ca="1">IFERROR(__xludf.DUMMYFUNCTION("""COMPUTED_VALUE"""),101.3)</f>
        <v>101.3</v>
      </c>
      <c r="G245" s="1">
        <f ca="1">IFERROR(__xludf.DUMMYFUNCTION("""COMPUTED_VALUE"""),192)</f>
        <v>192</v>
      </c>
      <c r="H245" s="1">
        <f ca="1">IFERROR(__xludf.DUMMYFUNCTION("""COMPUTED_VALUE"""),108)</f>
        <v>108</v>
      </c>
      <c r="I245" s="1">
        <f ca="1">IFERROR(__xludf.DUMMYFUNCTION("""COMPUTED_VALUE"""),275)</f>
        <v>275</v>
      </c>
      <c r="J245" s="1">
        <f ca="1">IFERROR(__xludf.DUMMYFUNCTION("""COMPUTED_VALUE"""),64)</f>
        <v>64</v>
      </c>
      <c r="K245" s="1">
        <f ca="1">IFERROR(__xludf.DUMMYFUNCTION("""COMPUTED_VALUE"""),260)</f>
        <v>260</v>
      </c>
      <c r="L245" s="1">
        <f ca="1">IFERROR(__xludf.DUMMYFUNCTION("""COMPUTED_VALUE"""),-0.053)</f>
        <v>-5.2999999999999999E-2</v>
      </c>
      <c r="M245" s="1">
        <f ca="1">IFERROR(__xludf.DUMMYFUNCTION("""COMPUTED_VALUE"""),301)</f>
        <v>301</v>
      </c>
      <c r="N245" s="1" t="str">
        <f ca="1">IFERROR(__xludf.DUMMYFUNCTION("""COMPUTED_VALUE"""),"+0.03")</f>
        <v>+0.03</v>
      </c>
      <c r="O245" s="1">
        <f ca="1">IFERROR(__xludf.DUMMYFUNCTION("""COMPUTED_VALUE"""),160)</f>
        <v>160</v>
      </c>
      <c r="P245" s="1">
        <f ca="1">IFERROR(__xludf.DUMMYFUNCTION("""COMPUTED_VALUE"""),104.7)</f>
        <v>104.7</v>
      </c>
      <c r="Q245" s="1">
        <f ca="1">IFERROR(__xludf.DUMMYFUNCTION("""COMPUTED_VALUE"""),109)</f>
        <v>109</v>
      </c>
      <c r="R245" s="1">
        <f ca="1">IFERROR(__xludf.DUMMYFUNCTION("""COMPUTED_VALUE"""),104.7)</f>
        <v>104.7</v>
      </c>
      <c r="S245" s="1">
        <f ca="1">IFERROR(__xludf.DUMMYFUNCTION("""COMPUTED_VALUE"""),248)</f>
        <v>248</v>
      </c>
      <c r="T245" s="1">
        <f ca="1">IFERROR(__xludf.DUMMYFUNCTION("""COMPUTED_VALUE"""),-7.14)</f>
        <v>-7.14</v>
      </c>
      <c r="U245" s="1">
        <f ca="1">IFERROR(__xludf.DUMMYFUNCTION("""COMPUTED_VALUE"""),318)</f>
        <v>318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IFERROR(__xludf.DUMMYFUNCTION("""COMPUTED_VALUE"""),"Furman")</f>
        <v>Furman</v>
      </c>
      <c r="C246" s="1" t="str">
        <f ca="1">IFERROR(__xludf.DUMMYFUNCTION("""COMPUTED_VALUE"""),"SC")</f>
        <v>SC</v>
      </c>
      <c r="D246" s="1" t="str">
        <f ca="1">IFERROR(__xludf.DUMMYFUNCTION("""COMPUTED_VALUE"""),"13-17")</f>
        <v>13-17</v>
      </c>
      <c r="E246" s="1">
        <f ca="1">IFERROR(__xludf.DUMMYFUNCTION("""COMPUTED_VALUE"""),-6.86)</f>
        <v>-6.86</v>
      </c>
      <c r="F246" s="1">
        <f ca="1">IFERROR(__xludf.DUMMYFUNCTION("""COMPUTED_VALUE"""),98)</f>
        <v>98</v>
      </c>
      <c r="G246" s="1">
        <f ca="1">IFERROR(__xludf.DUMMYFUNCTION("""COMPUTED_VALUE"""),248)</f>
        <v>248</v>
      </c>
      <c r="H246" s="1">
        <f ca="1">IFERROR(__xludf.DUMMYFUNCTION("""COMPUTED_VALUE"""),104.8)</f>
        <v>104.8</v>
      </c>
      <c r="I246" s="1">
        <f ca="1">IFERROR(__xludf.DUMMYFUNCTION("""COMPUTED_VALUE"""),220)</f>
        <v>220</v>
      </c>
      <c r="J246" s="1">
        <f ca="1">IFERROR(__xludf.DUMMYFUNCTION("""COMPUTED_VALUE"""),67.5)</f>
        <v>67.5</v>
      </c>
      <c r="K246" s="1">
        <f ca="1">IFERROR(__xludf.DUMMYFUNCTION("""COMPUTED_VALUE"""),90)</f>
        <v>90</v>
      </c>
      <c r="L246" s="1">
        <f ca="1">IFERROR(__xludf.DUMMYFUNCTION("""COMPUTED_VALUE"""),-0.046)</f>
        <v>-4.5999999999999999E-2</v>
      </c>
      <c r="M246" s="1">
        <f ca="1">IFERROR(__xludf.DUMMYFUNCTION("""COMPUTED_VALUE"""),291)</f>
        <v>291</v>
      </c>
      <c r="N246" s="1">
        <f ca="1">IFERROR(__xludf.DUMMYFUNCTION("""COMPUTED_VALUE"""),-5.36)</f>
        <v>-5.36</v>
      </c>
      <c r="O246" s="1">
        <f ca="1">IFERROR(__xludf.DUMMYFUNCTION("""COMPUTED_VALUE"""),266)</f>
        <v>266</v>
      </c>
      <c r="P246" s="1">
        <f ca="1">IFERROR(__xludf.DUMMYFUNCTION("""COMPUTED_VALUE"""),99.5)</f>
        <v>99.5</v>
      </c>
      <c r="Q246" s="1">
        <f ca="1">IFERROR(__xludf.DUMMYFUNCTION("""COMPUTED_VALUE"""),270)</f>
        <v>270</v>
      </c>
      <c r="R246" s="1">
        <f ca="1">IFERROR(__xludf.DUMMYFUNCTION("""COMPUTED_VALUE"""),104.9)</f>
        <v>104.9</v>
      </c>
      <c r="S246" s="1">
        <f ca="1">IFERROR(__xludf.DUMMYFUNCTION("""COMPUTED_VALUE"""),253)</f>
        <v>253</v>
      </c>
      <c r="T246" s="1">
        <f ca="1">IFERROR(__xludf.DUMMYFUNCTION("""COMPUTED_VALUE"""),-7.87)</f>
        <v>-7.87</v>
      </c>
      <c r="U246" s="1">
        <f ca="1">IFERROR(__xludf.DUMMYFUNCTION("""COMPUTED_VALUE"""),328)</f>
        <v>328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IFERROR(__xludf.DUMMYFUNCTION("""COMPUTED_VALUE"""),"Holy Cross")</f>
        <v>Holy Cross</v>
      </c>
      <c r="C247" s="1" t="str">
        <f ca="1">IFERROR(__xludf.DUMMYFUNCTION("""COMPUTED_VALUE"""),"Pat")</f>
        <v>Pat</v>
      </c>
      <c r="D247" s="2">
        <f ca="1">IFERROR(__xludf.DUMMYFUNCTION("""COMPUTED_VALUE"""),44826)</f>
        <v>44826</v>
      </c>
      <c r="E247" s="1">
        <f ca="1">IFERROR(__xludf.DUMMYFUNCTION("""COMPUTED_VALUE"""),-7.21)</f>
        <v>-7.21</v>
      </c>
      <c r="F247" s="1">
        <f ca="1">IFERROR(__xludf.DUMMYFUNCTION("""COMPUTED_VALUE"""),102.2)</f>
        <v>102.2</v>
      </c>
      <c r="G247" s="1">
        <f ca="1">IFERROR(__xludf.DUMMYFUNCTION("""COMPUTED_VALUE"""),181)</f>
        <v>181</v>
      </c>
      <c r="H247" s="1">
        <f ca="1">IFERROR(__xludf.DUMMYFUNCTION("""COMPUTED_VALUE"""),109.4)</f>
        <v>109.4</v>
      </c>
      <c r="I247" s="1">
        <f ca="1">IFERROR(__xludf.DUMMYFUNCTION("""COMPUTED_VALUE"""),294)</f>
        <v>294</v>
      </c>
      <c r="J247" s="1">
        <f ca="1">IFERROR(__xludf.DUMMYFUNCTION("""COMPUTED_VALUE"""),65)</f>
        <v>65</v>
      </c>
      <c r="K247" s="1">
        <f ca="1">IFERROR(__xludf.DUMMYFUNCTION("""COMPUTED_VALUE"""),219)</f>
        <v>219</v>
      </c>
      <c r="L247" s="1">
        <f ca="1">IFERROR(__xludf.DUMMYFUNCTION("""COMPUTED_VALUE"""),-0.143)</f>
        <v>-0.14299999999999999</v>
      </c>
      <c r="M247" s="1">
        <f ca="1">IFERROR(__xludf.DUMMYFUNCTION("""COMPUTED_VALUE"""),347)</f>
        <v>347</v>
      </c>
      <c r="N247" s="1">
        <f ca="1">IFERROR(__xludf.DUMMYFUNCTION("""COMPUTED_VALUE"""),-5.09)</f>
        <v>-5.09</v>
      </c>
      <c r="O247" s="1">
        <f ca="1">IFERROR(__xludf.DUMMYFUNCTION("""COMPUTED_VALUE"""),258)</f>
        <v>258</v>
      </c>
      <c r="P247" s="1">
        <f ca="1">IFERROR(__xludf.DUMMYFUNCTION("""COMPUTED_VALUE"""),100.5)</f>
        <v>100.5</v>
      </c>
      <c r="Q247" s="1">
        <f ca="1">IFERROR(__xludf.DUMMYFUNCTION("""COMPUTED_VALUE"""),243)</f>
        <v>243</v>
      </c>
      <c r="R247" s="1">
        <f ca="1">IFERROR(__xludf.DUMMYFUNCTION("""COMPUTED_VALUE"""),105.6)</f>
        <v>105.6</v>
      </c>
      <c r="S247" s="1">
        <f ca="1">IFERROR(__xludf.DUMMYFUNCTION("""COMPUTED_VALUE"""),287)</f>
        <v>287</v>
      </c>
      <c r="T247" s="1" t="str">
        <f ca="1">IFERROR(__xludf.DUMMYFUNCTION("""COMPUTED_VALUE"""),"+0.12")</f>
        <v>+0.12</v>
      </c>
      <c r="U247" s="1">
        <f ca="1">IFERROR(__xludf.DUMMYFUNCTION("""COMPUTED_VALUE"""),144)</f>
        <v>144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IFERROR(__xludf.DUMMYFUNCTION("""COMPUTED_VALUE"""),"IPFW")</f>
        <v>IPFW</v>
      </c>
      <c r="C248" s="1" t="str">
        <f ca="1">IFERROR(__xludf.DUMMYFUNCTION("""COMPUTED_VALUE"""),"Sum")</f>
        <v>Sum</v>
      </c>
      <c r="D248" s="1" t="str">
        <f ca="1">IFERROR(__xludf.DUMMYFUNCTION("""COMPUTED_VALUE"""),"16-15")</f>
        <v>16-15</v>
      </c>
      <c r="E248" s="1">
        <f ca="1">IFERROR(__xludf.DUMMYFUNCTION("""COMPUTED_VALUE"""),-7.33)</f>
        <v>-7.33</v>
      </c>
      <c r="F248" s="1">
        <f ca="1">IFERROR(__xludf.DUMMYFUNCTION("""COMPUTED_VALUE"""),96.9)</f>
        <v>96.9</v>
      </c>
      <c r="G248" s="1">
        <f ca="1">IFERROR(__xludf.DUMMYFUNCTION("""COMPUTED_VALUE"""),263)</f>
        <v>263</v>
      </c>
      <c r="H248" s="1">
        <f ca="1">IFERROR(__xludf.DUMMYFUNCTION("""COMPUTED_VALUE"""),104.2)</f>
        <v>104.2</v>
      </c>
      <c r="I248" s="1">
        <f ca="1">IFERROR(__xludf.DUMMYFUNCTION("""COMPUTED_VALUE"""),205)</f>
        <v>205</v>
      </c>
      <c r="J248" s="1">
        <f ca="1">IFERROR(__xludf.DUMMYFUNCTION("""COMPUTED_VALUE"""),65.8)</f>
        <v>65.8</v>
      </c>
      <c r="K248" s="1">
        <f ca="1">IFERROR(__xludf.DUMMYFUNCTION("""COMPUTED_VALUE"""),183)</f>
        <v>183</v>
      </c>
      <c r="L248" s="1" t="str">
        <f ca="1">IFERROR(__xludf.DUMMYFUNCTION("""COMPUTED_VALUE"""),"+.040")</f>
        <v>+.040</v>
      </c>
      <c r="M248" s="1">
        <f ca="1">IFERROR(__xludf.DUMMYFUNCTION("""COMPUTED_VALUE"""),78)</f>
        <v>78</v>
      </c>
      <c r="N248" s="1">
        <f ca="1">IFERROR(__xludf.DUMMYFUNCTION("""COMPUTED_VALUE"""),-6.15)</f>
        <v>-6.15</v>
      </c>
      <c r="O248" s="1">
        <f ca="1">IFERROR(__xludf.DUMMYFUNCTION("""COMPUTED_VALUE"""),279)</f>
        <v>279</v>
      </c>
      <c r="P248" s="1">
        <f ca="1">IFERROR(__xludf.DUMMYFUNCTION("""COMPUTED_VALUE"""),100.3)</f>
        <v>100.3</v>
      </c>
      <c r="Q248" s="1">
        <f ca="1">IFERROR(__xludf.DUMMYFUNCTION("""COMPUTED_VALUE"""),249)</f>
        <v>249</v>
      </c>
      <c r="R248" s="1">
        <f ca="1">IFERROR(__xludf.DUMMYFUNCTION("""COMPUTED_VALUE"""),106.5)</f>
        <v>106.5</v>
      </c>
      <c r="S248" s="1">
        <f ca="1">IFERROR(__xludf.DUMMYFUNCTION("""COMPUTED_VALUE"""),322)</f>
        <v>322</v>
      </c>
      <c r="T248" s="1">
        <f ca="1">IFERROR(__xludf.DUMMYFUNCTION("""COMPUTED_VALUE"""),-2.34)</f>
        <v>-2.34</v>
      </c>
      <c r="U248" s="1">
        <f ca="1">IFERROR(__xludf.DUMMYFUNCTION("""COMPUTED_VALUE"""),226)</f>
        <v>226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IFERROR(__xludf.DUMMYFUNCTION("""COMPUTED_VALUE"""),"Northern Illinois")</f>
        <v>Northern Illinois</v>
      </c>
      <c r="C249" s="1" t="str">
        <f ca="1">IFERROR(__xludf.DUMMYFUNCTION("""COMPUTED_VALUE"""),"MAC")</f>
        <v>MAC</v>
      </c>
      <c r="D249" s="2">
        <f ca="1">IFERROR(__xludf.DUMMYFUNCTION("""COMPUTED_VALUE"""),44854)</f>
        <v>44854</v>
      </c>
      <c r="E249" s="1">
        <f ca="1">IFERROR(__xludf.DUMMYFUNCTION("""COMPUTED_VALUE"""),-7.38)</f>
        <v>-7.38</v>
      </c>
      <c r="F249" s="1">
        <f ca="1">IFERROR(__xludf.DUMMYFUNCTION("""COMPUTED_VALUE"""),99)</f>
        <v>99</v>
      </c>
      <c r="G249" s="1">
        <f ca="1">IFERROR(__xludf.DUMMYFUNCTION("""COMPUTED_VALUE"""),231)</f>
        <v>231</v>
      </c>
      <c r="H249" s="1">
        <f ca="1">IFERROR(__xludf.DUMMYFUNCTION("""COMPUTED_VALUE"""),106.4)</f>
        <v>106.4</v>
      </c>
      <c r="I249" s="1">
        <f ca="1">IFERROR(__xludf.DUMMYFUNCTION("""COMPUTED_VALUE"""),247)</f>
        <v>247</v>
      </c>
      <c r="J249" s="1">
        <f ca="1">IFERROR(__xludf.DUMMYFUNCTION("""COMPUTED_VALUE"""),69.2)</f>
        <v>69.2</v>
      </c>
      <c r="K249" s="1">
        <f ca="1">IFERROR(__xludf.DUMMYFUNCTION("""COMPUTED_VALUE"""),40)</f>
        <v>40</v>
      </c>
      <c r="L249" s="1">
        <f ca="1">IFERROR(__xludf.DUMMYFUNCTION("""COMPUTED_VALUE"""),-0.042)</f>
        <v>-4.2000000000000003E-2</v>
      </c>
      <c r="M249" s="1">
        <f ca="1">IFERROR(__xludf.DUMMYFUNCTION("""COMPUTED_VALUE"""),280)</f>
        <v>280</v>
      </c>
      <c r="N249" s="1">
        <f ca="1">IFERROR(__xludf.DUMMYFUNCTION("""COMPUTED_VALUE"""),-1.78)</f>
        <v>-1.78</v>
      </c>
      <c r="O249" s="1">
        <f ca="1">IFERROR(__xludf.DUMMYFUNCTION("""COMPUTED_VALUE"""),197)</f>
        <v>197</v>
      </c>
      <c r="P249" s="1">
        <f ca="1">IFERROR(__xludf.DUMMYFUNCTION("""COMPUTED_VALUE"""),100.9)</f>
        <v>100.9</v>
      </c>
      <c r="Q249" s="1">
        <f ca="1">IFERROR(__xludf.DUMMYFUNCTION("""COMPUTED_VALUE"""),229)</f>
        <v>229</v>
      </c>
      <c r="R249" s="1">
        <f ca="1">IFERROR(__xludf.DUMMYFUNCTION("""COMPUTED_VALUE"""),102.6)</f>
        <v>102.6</v>
      </c>
      <c r="S249" s="1">
        <f ca="1">IFERROR(__xludf.DUMMYFUNCTION("""COMPUTED_VALUE"""),161)</f>
        <v>161</v>
      </c>
      <c r="T249" s="1">
        <f ca="1">IFERROR(__xludf.DUMMYFUNCTION("""COMPUTED_VALUE"""),-1.91)</f>
        <v>-1.91</v>
      </c>
      <c r="U249" s="1">
        <f ca="1">IFERROR(__xludf.DUMMYFUNCTION("""COMPUTED_VALUE"""),213)</f>
        <v>213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IFERROR(__xludf.DUMMYFUNCTION("""COMPUTED_VALUE"""),"Santa Clara")</f>
        <v>Santa Clara</v>
      </c>
      <c r="C250" s="1" t="str">
        <f ca="1">IFERROR(__xludf.DUMMYFUNCTION("""COMPUTED_VALUE"""),"WCC")</f>
        <v>WCC</v>
      </c>
      <c r="D250" s="2">
        <f ca="1">IFERROR(__xludf.DUMMYFUNCTION("""COMPUTED_VALUE"""),44886)</f>
        <v>44886</v>
      </c>
      <c r="E250" s="1">
        <f ca="1">IFERROR(__xludf.DUMMYFUNCTION("""COMPUTED_VALUE"""),-7.41)</f>
        <v>-7.41</v>
      </c>
      <c r="F250" s="1">
        <f ca="1">IFERROR(__xludf.DUMMYFUNCTION("""COMPUTED_VALUE"""),96.2)</f>
        <v>96.2</v>
      </c>
      <c r="G250" s="1">
        <f ca="1">IFERROR(__xludf.DUMMYFUNCTION("""COMPUTED_VALUE"""),275)</f>
        <v>275</v>
      </c>
      <c r="H250" s="1">
        <f ca="1">IFERROR(__xludf.DUMMYFUNCTION("""COMPUTED_VALUE"""),103.6)</f>
        <v>103.6</v>
      </c>
      <c r="I250" s="1">
        <f ca="1">IFERROR(__xludf.DUMMYFUNCTION("""COMPUTED_VALUE"""),191)</f>
        <v>191</v>
      </c>
      <c r="J250" s="1">
        <f ca="1">IFERROR(__xludf.DUMMYFUNCTION("""COMPUTED_VALUE"""),65.9)</f>
        <v>65.900000000000006</v>
      </c>
      <c r="K250" s="1">
        <f ca="1">IFERROR(__xludf.DUMMYFUNCTION("""COMPUTED_VALUE"""),180)</f>
        <v>180</v>
      </c>
      <c r="L250" s="1" t="str">
        <f ca="1">IFERROR(__xludf.DUMMYFUNCTION("""COMPUTED_VALUE"""),"+.015")</f>
        <v>+.015</v>
      </c>
      <c r="M250" s="1">
        <f ca="1">IFERROR(__xludf.DUMMYFUNCTION("""COMPUTED_VALUE"""),124)</f>
        <v>124</v>
      </c>
      <c r="N250" s="1" t="str">
        <f ca="1">IFERROR(__xludf.DUMMYFUNCTION("""COMPUTED_VALUE"""),"+0.63")</f>
        <v>+0.63</v>
      </c>
      <c r="O250" s="1">
        <f ca="1">IFERROR(__xludf.DUMMYFUNCTION("""COMPUTED_VALUE"""),157)</f>
        <v>157</v>
      </c>
      <c r="P250" s="1">
        <f ca="1">IFERROR(__xludf.DUMMYFUNCTION("""COMPUTED_VALUE"""),103.4)</f>
        <v>103.4</v>
      </c>
      <c r="Q250" s="1">
        <f ca="1">IFERROR(__xludf.DUMMYFUNCTION("""COMPUTED_VALUE"""),152)</f>
        <v>152</v>
      </c>
      <c r="R250" s="1">
        <f ca="1">IFERROR(__xludf.DUMMYFUNCTION("""COMPUTED_VALUE"""),102.8)</f>
        <v>102.8</v>
      </c>
      <c r="S250" s="1">
        <f ca="1">IFERROR(__xludf.DUMMYFUNCTION("""COMPUTED_VALUE"""),169)</f>
        <v>169</v>
      </c>
      <c r="T250" s="1">
        <f ca="1">IFERROR(__xludf.DUMMYFUNCTION("""COMPUTED_VALUE"""),-0.94)</f>
        <v>-0.94</v>
      </c>
      <c r="U250" s="1">
        <f ca="1">IFERROR(__xludf.DUMMYFUNCTION("""COMPUTED_VALUE"""),174)</f>
        <v>174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IFERROR(__xludf.DUMMYFUNCTION("""COMPUTED_VALUE"""),"Wyoming")</f>
        <v>Wyoming</v>
      </c>
      <c r="C251" s="1" t="str">
        <f ca="1">IFERROR(__xludf.DUMMYFUNCTION("""COMPUTED_VALUE"""),"MWC")</f>
        <v>MWC</v>
      </c>
      <c r="D251" s="2">
        <f ca="1">IFERROR(__xludf.DUMMYFUNCTION("""COMPUTED_VALUE"""),44855)</f>
        <v>44855</v>
      </c>
      <c r="E251" s="1">
        <f ca="1">IFERROR(__xludf.DUMMYFUNCTION("""COMPUTED_VALUE"""),-7.5)</f>
        <v>-7.5</v>
      </c>
      <c r="F251" s="1">
        <f ca="1">IFERROR(__xludf.DUMMYFUNCTION("""COMPUTED_VALUE"""),97.4)</f>
        <v>97.4</v>
      </c>
      <c r="G251" s="1">
        <f ca="1">IFERROR(__xludf.DUMMYFUNCTION("""COMPUTED_VALUE"""),255)</f>
        <v>255</v>
      </c>
      <c r="H251" s="1">
        <f ca="1">IFERROR(__xludf.DUMMYFUNCTION("""COMPUTED_VALUE"""),104.9)</f>
        <v>104.9</v>
      </c>
      <c r="I251" s="1">
        <f ca="1">IFERROR(__xludf.DUMMYFUNCTION("""COMPUTED_VALUE"""),222)</f>
        <v>222</v>
      </c>
      <c r="J251" s="1">
        <f ca="1">IFERROR(__xludf.DUMMYFUNCTION("""COMPUTED_VALUE"""),70.1)</f>
        <v>70.099999999999994</v>
      </c>
      <c r="K251" s="1">
        <f ca="1">IFERROR(__xludf.DUMMYFUNCTION("""COMPUTED_VALUE"""),26)</f>
        <v>26</v>
      </c>
      <c r="L251" s="1" t="str">
        <f ca="1">IFERROR(__xludf.DUMMYFUNCTION("""COMPUTED_VALUE"""),"+.004")</f>
        <v>+.004</v>
      </c>
      <c r="M251" s="1">
        <f ca="1">IFERROR(__xludf.DUMMYFUNCTION("""COMPUTED_VALUE"""),157)</f>
        <v>157</v>
      </c>
      <c r="N251" s="1" t="str">
        <f ca="1">IFERROR(__xludf.DUMMYFUNCTION("""COMPUTED_VALUE"""),"+2.66")</f>
        <v>+2.66</v>
      </c>
      <c r="O251" s="1">
        <f ca="1">IFERROR(__xludf.DUMMYFUNCTION("""COMPUTED_VALUE"""),116)</f>
        <v>116</v>
      </c>
      <c r="P251" s="1">
        <f ca="1">IFERROR(__xludf.DUMMYFUNCTION("""COMPUTED_VALUE"""),104.2)</f>
        <v>104.2</v>
      </c>
      <c r="Q251" s="1">
        <f ca="1">IFERROR(__xludf.DUMMYFUNCTION("""COMPUTED_VALUE"""),124)</f>
        <v>124</v>
      </c>
      <c r="R251" s="1">
        <f ca="1">IFERROR(__xludf.DUMMYFUNCTION("""COMPUTED_VALUE"""),101.6)</f>
        <v>101.6</v>
      </c>
      <c r="S251" s="1">
        <f ca="1">IFERROR(__xludf.DUMMYFUNCTION("""COMPUTED_VALUE"""),113)</f>
        <v>113</v>
      </c>
      <c r="T251" s="1">
        <f ca="1">IFERROR(__xludf.DUMMYFUNCTION("""COMPUTED_VALUE"""),-4.43)</f>
        <v>-4.43</v>
      </c>
      <c r="U251" s="1">
        <f ca="1">IFERROR(__xludf.DUMMYFUNCTION("""COMPUTED_VALUE"""),278)</f>
        <v>278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IFERROR(__xludf.DUMMYFUNCTION("""COMPUTED_VALUE"""),"Lafayette")</f>
        <v>Lafayette</v>
      </c>
      <c r="C252" s="1" t="str">
        <f ca="1">IFERROR(__xludf.DUMMYFUNCTION("""COMPUTED_VALUE"""),"Pat")</f>
        <v>Pat</v>
      </c>
      <c r="D252" s="1" t="str">
        <f ca="1">IFERROR(__xludf.DUMMYFUNCTION("""COMPUTED_VALUE"""),"19-13")</f>
        <v>19-13</v>
      </c>
      <c r="E252" s="1">
        <f ca="1">IFERROR(__xludf.DUMMYFUNCTION("""COMPUTED_VALUE"""),-7.69)</f>
        <v>-7.69</v>
      </c>
      <c r="F252" s="1">
        <f ca="1">IFERROR(__xludf.DUMMYFUNCTION("""COMPUTED_VALUE"""),104.1)</f>
        <v>104.1</v>
      </c>
      <c r="G252" s="1">
        <f ca="1">IFERROR(__xludf.DUMMYFUNCTION("""COMPUTED_VALUE"""),150)</f>
        <v>150</v>
      </c>
      <c r="H252" s="1">
        <f ca="1">IFERROR(__xludf.DUMMYFUNCTION("""COMPUTED_VALUE"""),111.8)</f>
        <v>111.8</v>
      </c>
      <c r="I252" s="1">
        <f ca="1">IFERROR(__xludf.DUMMYFUNCTION("""COMPUTED_VALUE"""),328)</f>
        <v>328</v>
      </c>
      <c r="J252" s="1">
        <f ca="1">IFERROR(__xludf.DUMMYFUNCTION("""COMPUTED_VALUE"""),66.6)</f>
        <v>66.599999999999994</v>
      </c>
      <c r="K252" s="1">
        <f ca="1">IFERROR(__xludf.DUMMYFUNCTION("""COMPUTED_VALUE"""),133)</f>
        <v>133</v>
      </c>
      <c r="L252" s="1" t="str">
        <f ca="1">IFERROR(__xludf.DUMMYFUNCTION("""COMPUTED_VALUE"""),"+.073")</f>
        <v>+.073</v>
      </c>
      <c r="M252" s="1">
        <f ca="1">IFERROR(__xludf.DUMMYFUNCTION("""COMPUTED_VALUE"""),30)</f>
        <v>30</v>
      </c>
      <c r="N252" s="1">
        <f ca="1">IFERROR(__xludf.DUMMYFUNCTION("""COMPUTED_VALUE"""),-10.55)</f>
        <v>-10.55</v>
      </c>
      <c r="O252" s="1">
        <f ca="1">IFERROR(__xludf.DUMMYFUNCTION("""COMPUTED_VALUE"""),330)</f>
        <v>330</v>
      </c>
      <c r="P252" s="1">
        <f ca="1">IFERROR(__xludf.DUMMYFUNCTION("""COMPUTED_VALUE"""),96.9)</f>
        <v>96.9</v>
      </c>
      <c r="Q252" s="1">
        <f ca="1">IFERROR(__xludf.DUMMYFUNCTION("""COMPUTED_VALUE"""),320)</f>
        <v>320</v>
      </c>
      <c r="R252" s="1">
        <f ca="1">IFERROR(__xludf.DUMMYFUNCTION("""COMPUTED_VALUE"""),107.4)</f>
        <v>107.4</v>
      </c>
      <c r="S252" s="1">
        <f ca="1">IFERROR(__xludf.DUMMYFUNCTION("""COMPUTED_VALUE"""),342)</f>
        <v>342</v>
      </c>
      <c r="T252" s="1">
        <f ca="1">IFERROR(__xludf.DUMMYFUNCTION("""COMPUTED_VALUE"""),-11.24)</f>
        <v>-11.24</v>
      </c>
      <c r="U252" s="1">
        <f ca="1">IFERROR(__xludf.DUMMYFUNCTION("""COMPUTED_VALUE"""),345)</f>
        <v>345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IFERROR(__xludf.DUMMYFUNCTION("""COMPUTED_VALUE"""),"UT Arlington")</f>
        <v>UT Arlington</v>
      </c>
      <c r="C255" s="1" t="str">
        <f ca="1">IFERROR(__xludf.DUMMYFUNCTION("""COMPUTED_VALUE"""),"Slnd")</f>
        <v>Slnd</v>
      </c>
      <c r="D255" s="1" t="str">
        <f ca="1">IFERROR(__xludf.DUMMYFUNCTION("""COMPUTED_VALUE"""),"16-14")</f>
        <v>16-14</v>
      </c>
      <c r="E255" s="1">
        <f ca="1">IFERROR(__xludf.DUMMYFUNCTION("""COMPUTED_VALUE"""),-7.73)</f>
        <v>-7.73</v>
      </c>
      <c r="F255" s="1">
        <f ca="1">IFERROR(__xludf.DUMMYFUNCTION("""COMPUTED_VALUE"""),95.9)</f>
        <v>95.9</v>
      </c>
      <c r="G255" s="1">
        <f ca="1">IFERROR(__xludf.DUMMYFUNCTION("""COMPUTED_VALUE"""),282)</f>
        <v>282</v>
      </c>
      <c r="H255" s="1">
        <f ca="1">IFERROR(__xludf.DUMMYFUNCTION("""COMPUTED_VALUE"""),103.6)</f>
        <v>103.6</v>
      </c>
      <c r="I255" s="1">
        <f ca="1">IFERROR(__xludf.DUMMYFUNCTION("""COMPUTED_VALUE"""),193)</f>
        <v>193</v>
      </c>
      <c r="J255" s="1">
        <f ca="1">IFERROR(__xludf.DUMMYFUNCTION("""COMPUTED_VALUE"""),70.9)</f>
        <v>70.900000000000006</v>
      </c>
      <c r="K255" s="1">
        <f ca="1">IFERROR(__xludf.DUMMYFUNCTION("""COMPUTED_VALUE"""),16)</f>
        <v>16</v>
      </c>
      <c r="L255" s="1" t="str">
        <f ca="1">IFERROR(__xludf.DUMMYFUNCTION("""COMPUTED_VALUE"""),"+.011")</f>
        <v>+.011</v>
      </c>
      <c r="M255" s="1">
        <f ca="1">IFERROR(__xludf.DUMMYFUNCTION("""COMPUTED_VALUE"""),135)</f>
        <v>135</v>
      </c>
      <c r="N255" s="1">
        <f ca="1">IFERROR(__xludf.DUMMYFUNCTION("""COMPUTED_VALUE"""),-7.88)</f>
        <v>-7.88</v>
      </c>
      <c r="O255" s="1">
        <f ca="1">IFERROR(__xludf.DUMMYFUNCTION("""COMPUTED_VALUE"""),309)</f>
        <v>309</v>
      </c>
      <c r="P255" s="1">
        <f ca="1">IFERROR(__xludf.DUMMYFUNCTION("""COMPUTED_VALUE"""),99)</f>
        <v>99</v>
      </c>
      <c r="Q255" s="1">
        <f ca="1">IFERROR(__xludf.DUMMYFUNCTION("""COMPUTED_VALUE"""),282)</f>
        <v>282</v>
      </c>
      <c r="R255" s="1">
        <f ca="1">IFERROR(__xludf.DUMMYFUNCTION("""COMPUTED_VALUE"""),106.9)</f>
        <v>106.9</v>
      </c>
      <c r="S255" s="1">
        <f ca="1">IFERROR(__xludf.DUMMYFUNCTION("""COMPUTED_VALUE"""),333)</f>
        <v>333</v>
      </c>
      <c r="T255" s="1">
        <f ca="1">IFERROR(__xludf.DUMMYFUNCTION("""COMPUTED_VALUE"""),-13.85)</f>
        <v>-13.85</v>
      </c>
      <c r="U255" s="1">
        <f ca="1">IFERROR(__xludf.DUMMYFUNCTION("""COMPUTED_VALUE"""),347)</f>
        <v>347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IFERROR(__xludf.DUMMYFUNCTION("""COMPUTED_VALUE"""),"North Dakota St.")</f>
        <v>North Dakota St.</v>
      </c>
      <c r="C256" s="1" t="str">
        <f ca="1">IFERROR(__xludf.DUMMYFUNCTION("""COMPUTED_VALUE"""),"Sum")</f>
        <v>Sum</v>
      </c>
      <c r="D256" s="2">
        <f ca="1">IFERROR(__xludf.DUMMYFUNCTION("""COMPUTED_VALUE"""),44883)</f>
        <v>44883</v>
      </c>
      <c r="E256" s="1">
        <f ca="1">IFERROR(__xludf.DUMMYFUNCTION("""COMPUTED_VALUE"""),-7.74)</f>
        <v>-7.74</v>
      </c>
      <c r="F256" s="1">
        <f ca="1">IFERROR(__xludf.DUMMYFUNCTION("""COMPUTED_VALUE"""),96.6)</f>
        <v>96.6</v>
      </c>
      <c r="G256" s="1">
        <f ca="1">IFERROR(__xludf.DUMMYFUNCTION("""COMPUTED_VALUE"""),269)</f>
        <v>269</v>
      </c>
      <c r="H256" s="1">
        <f ca="1">IFERROR(__xludf.DUMMYFUNCTION("""COMPUTED_VALUE"""),104.3)</f>
        <v>104.3</v>
      </c>
      <c r="I256" s="1">
        <f ca="1">IFERROR(__xludf.DUMMYFUNCTION("""COMPUTED_VALUE"""),207)</f>
        <v>207</v>
      </c>
      <c r="J256" s="1">
        <f ca="1">IFERROR(__xludf.DUMMYFUNCTION("""COMPUTED_VALUE"""),67.3)</f>
        <v>67.3</v>
      </c>
      <c r="K256" s="1">
        <f ca="1">IFERROR(__xludf.DUMMYFUNCTION("""COMPUTED_VALUE"""),103)</f>
        <v>103</v>
      </c>
      <c r="L256" s="1">
        <f ca="1">IFERROR(__xludf.DUMMYFUNCTION("""COMPUTED_VALUE"""),-0.051)</f>
        <v>-5.0999999999999997E-2</v>
      </c>
      <c r="M256" s="1">
        <f ca="1">IFERROR(__xludf.DUMMYFUNCTION("""COMPUTED_VALUE"""),299)</f>
        <v>299</v>
      </c>
      <c r="N256" s="1">
        <f ca="1">IFERROR(__xludf.DUMMYFUNCTION("""COMPUTED_VALUE"""),-4.63)</f>
        <v>-4.63</v>
      </c>
      <c r="O256" s="1">
        <f ca="1">IFERROR(__xludf.DUMMYFUNCTION("""COMPUTED_VALUE"""),251)</f>
        <v>251</v>
      </c>
      <c r="P256" s="1">
        <f ca="1">IFERROR(__xludf.DUMMYFUNCTION("""COMPUTED_VALUE"""),100.5)</f>
        <v>100.5</v>
      </c>
      <c r="Q256" s="1">
        <f ca="1">IFERROR(__xludf.DUMMYFUNCTION("""COMPUTED_VALUE"""),244)</f>
        <v>244</v>
      </c>
      <c r="R256" s="1">
        <f ca="1">IFERROR(__xludf.DUMMYFUNCTION("""COMPUTED_VALUE"""),105.1)</f>
        <v>105.1</v>
      </c>
      <c r="S256" s="1">
        <f ca="1">IFERROR(__xludf.DUMMYFUNCTION("""COMPUTED_VALUE"""),260)</f>
        <v>260</v>
      </c>
      <c r="T256" s="1" t="str">
        <f ca="1">IFERROR(__xludf.DUMMYFUNCTION("""COMPUTED_VALUE"""),"+1.53")</f>
        <v>+1.53</v>
      </c>
      <c r="U256" s="1">
        <f ca="1">IFERROR(__xludf.DUMMYFUNCTION("""COMPUTED_VALUE"""),115)</f>
        <v>115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IFERROR(__xludf.DUMMYFUNCTION("""COMPUTED_VALUE"""),"Cal Poly")</f>
        <v>Cal Poly</v>
      </c>
      <c r="C257" s="1" t="str">
        <f ca="1">IFERROR(__xludf.DUMMYFUNCTION("""COMPUTED_VALUE"""),"BW")</f>
        <v>BW</v>
      </c>
      <c r="D257" s="2">
        <f ca="1">IFERROR(__xludf.DUMMYFUNCTION("""COMPUTED_VALUE"""),44914)</f>
        <v>44914</v>
      </c>
      <c r="E257" s="1">
        <f ca="1">IFERROR(__xludf.DUMMYFUNCTION("""COMPUTED_VALUE"""),-7.76)</f>
        <v>-7.76</v>
      </c>
      <c r="F257" s="1">
        <f ca="1">IFERROR(__xludf.DUMMYFUNCTION("""COMPUTED_VALUE"""),103.2)</f>
        <v>103.2</v>
      </c>
      <c r="G257" s="1">
        <f ca="1">IFERROR(__xludf.DUMMYFUNCTION("""COMPUTED_VALUE"""),167)</f>
        <v>167</v>
      </c>
      <c r="H257" s="1">
        <f ca="1">IFERROR(__xludf.DUMMYFUNCTION("""COMPUTED_VALUE"""),111)</f>
        <v>111</v>
      </c>
      <c r="I257" s="1">
        <f ca="1">IFERROR(__xludf.DUMMYFUNCTION("""COMPUTED_VALUE"""),315)</f>
        <v>315</v>
      </c>
      <c r="J257" s="1">
        <f ca="1">IFERROR(__xludf.DUMMYFUNCTION("""COMPUTED_VALUE"""),66.4)</f>
        <v>66.400000000000006</v>
      </c>
      <c r="K257" s="1">
        <f ca="1">IFERROR(__xludf.DUMMYFUNCTION("""COMPUTED_VALUE"""),145)</f>
        <v>145</v>
      </c>
      <c r="L257" s="1" t="str">
        <f ca="1">IFERROR(__xludf.DUMMYFUNCTION("""COMPUTED_VALUE"""),"+.048")</f>
        <v>+.048</v>
      </c>
      <c r="M257" s="1">
        <f ca="1">IFERROR(__xludf.DUMMYFUNCTION("""COMPUTED_VALUE"""),63)</f>
        <v>63</v>
      </c>
      <c r="N257" s="1">
        <f ca="1">IFERROR(__xludf.DUMMYFUNCTION("""COMPUTED_VALUE"""),-2.41)</f>
        <v>-2.41</v>
      </c>
      <c r="O257" s="1">
        <f ca="1">IFERROR(__xludf.DUMMYFUNCTION("""COMPUTED_VALUE"""),211)</f>
        <v>211</v>
      </c>
      <c r="P257" s="1">
        <f ca="1">IFERROR(__xludf.DUMMYFUNCTION("""COMPUTED_VALUE"""),102)</f>
        <v>102</v>
      </c>
      <c r="Q257" s="1">
        <f ca="1">IFERROR(__xludf.DUMMYFUNCTION("""COMPUTED_VALUE"""),188)</f>
        <v>188</v>
      </c>
      <c r="R257" s="1">
        <f ca="1">IFERROR(__xludf.DUMMYFUNCTION("""COMPUTED_VALUE"""),104.4)</f>
        <v>104.4</v>
      </c>
      <c r="S257" s="1">
        <f ca="1">IFERROR(__xludf.DUMMYFUNCTION("""COMPUTED_VALUE"""),238)</f>
        <v>238</v>
      </c>
      <c r="T257" s="1">
        <f ca="1">IFERROR(__xludf.DUMMYFUNCTION("""COMPUTED_VALUE"""),-1)</f>
        <v>-1</v>
      </c>
      <c r="U257" s="1">
        <f ca="1">IFERROR(__xludf.DUMMYFUNCTION("""COMPUTED_VALUE"""),180)</f>
        <v>180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IFERROR(__xludf.DUMMYFUNCTION("""COMPUTED_VALUE"""),"Towson")</f>
        <v>Towson</v>
      </c>
      <c r="C258" s="1" t="str">
        <f ca="1">IFERROR(__xludf.DUMMYFUNCTION("""COMPUTED_VALUE"""),"CAA")</f>
        <v>CAA</v>
      </c>
      <c r="D258" s="2">
        <f ca="1">IFERROR(__xludf.DUMMYFUNCTION("""COMPUTED_VALUE"""),44855)</f>
        <v>44855</v>
      </c>
      <c r="E258" s="1">
        <f ca="1">IFERROR(__xludf.DUMMYFUNCTION("""COMPUTED_VALUE"""),-7.91)</f>
        <v>-7.91</v>
      </c>
      <c r="F258" s="1">
        <f ca="1">IFERROR(__xludf.DUMMYFUNCTION("""COMPUTED_VALUE"""),102.5)</f>
        <v>102.5</v>
      </c>
      <c r="G258" s="1">
        <f ca="1">IFERROR(__xludf.DUMMYFUNCTION("""COMPUTED_VALUE"""),175)</f>
        <v>175</v>
      </c>
      <c r="H258" s="1">
        <f ca="1">IFERROR(__xludf.DUMMYFUNCTION("""COMPUTED_VALUE"""),110.5)</f>
        <v>110.5</v>
      </c>
      <c r="I258" s="1">
        <f ca="1">IFERROR(__xludf.DUMMYFUNCTION("""COMPUTED_VALUE"""),304)</f>
        <v>304</v>
      </c>
      <c r="J258" s="1">
        <f ca="1">IFERROR(__xludf.DUMMYFUNCTION("""COMPUTED_VALUE"""),67.8)</f>
        <v>67.8</v>
      </c>
      <c r="K258" s="1">
        <f ca="1">IFERROR(__xludf.DUMMYFUNCTION("""COMPUTED_VALUE"""),78)</f>
        <v>78</v>
      </c>
      <c r="L258" s="1" t="str">
        <f ca="1">IFERROR(__xludf.DUMMYFUNCTION("""COMPUTED_VALUE"""),"+.010")</f>
        <v>+.010</v>
      </c>
      <c r="M258" s="1">
        <f ca="1">IFERROR(__xludf.DUMMYFUNCTION("""COMPUTED_VALUE"""),140)</f>
        <v>140</v>
      </c>
      <c r="N258" s="1">
        <f ca="1">IFERROR(__xludf.DUMMYFUNCTION("""COMPUTED_VALUE"""),-0.11)</f>
        <v>-0.11</v>
      </c>
      <c r="O258" s="1">
        <f ca="1">IFERROR(__xludf.DUMMYFUNCTION("""COMPUTED_VALUE"""),163)</f>
        <v>163</v>
      </c>
      <c r="P258" s="1">
        <f ca="1">IFERROR(__xludf.DUMMYFUNCTION("""COMPUTED_VALUE"""),101.7)</f>
        <v>101.7</v>
      </c>
      <c r="Q258" s="1">
        <f ca="1">IFERROR(__xludf.DUMMYFUNCTION("""COMPUTED_VALUE"""),198)</f>
        <v>198</v>
      </c>
      <c r="R258" s="1">
        <f ca="1">IFERROR(__xludf.DUMMYFUNCTION("""COMPUTED_VALUE"""),101.8)</f>
        <v>101.8</v>
      </c>
      <c r="S258" s="1">
        <f ca="1">IFERROR(__xludf.DUMMYFUNCTION("""COMPUTED_VALUE"""),123)</f>
        <v>123</v>
      </c>
      <c r="T258" s="1">
        <f ca="1">IFERROR(__xludf.DUMMYFUNCTION("""COMPUTED_VALUE"""),-2.93)</f>
        <v>-2.93</v>
      </c>
      <c r="U258" s="1">
        <f ca="1">IFERROR(__xludf.DUMMYFUNCTION("""COMPUTED_VALUE"""),244)</f>
        <v>244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IFERROR(__xludf.DUMMYFUNCTION("""COMPUTED_VALUE"""),"Illinois Chicago")</f>
        <v>Illinois Chicago</v>
      </c>
      <c r="C259" s="1" t="str">
        <f ca="1">IFERROR(__xludf.DUMMYFUNCTION("""COMPUTED_VALUE"""),"Horz")</f>
        <v>Horz</v>
      </c>
      <c r="D259" s="2">
        <f ca="1">IFERROR(__xludf.DUMMYFUNCTION("""COMPUTED_VALUE"""),44795)</f>
        <v>44795</v>
      </c>
      <c r="E259" s="1">
        <f ca="1">IFERROR(__xludf.DUMMYFUNCTION("""COMPUTED_VALUE"""),-7.94)</f>
        <v>-7.94</v>
      </c>
      <c r="F259" s="1">
        <f ca="1">IFERROR(__xludf.DUMMYFUNCTION("""COMPUTED_VALUE"""),96.6)</f>
        <v>96.6</v>
      </c>
      <c r="G259" s="1">
        <f ca="1">IFERROR(__xludf.DUMMYFUNCTION("""COMPUTED_VALUE"""),268)</f>
        <v>268</v>
      </c>
      <c r="H259" s="1">
        <f ca="1">IFERROR(__xludf.DUMMYFUNCTION("""COMPUTED_VALUE"""),104.5)</f>
        <v>104.5</v>
      </c>
      <c r="I259" s="1">
        <f ca="1">IFERROR(__xludf.DUMMYFUNCTION("""COMPUTED_VALUE"""),215)</f>
        <v>215</v>
      </c>
      <c r="J259" s="1">
        <f ca="1">IFERROR(__xludf.DUMMYFUNCTION("""COMPUTED_VALUE"""),67.3)</f>
        <v>67.3</v>
      </c>
      <c r="K259" s="1">
        <f ca="1">IFERROR(__xludf.DUMMYFUNCTION("""COMPUTED_VALUE"""),104)</f>
        <v>104</v>
      </c>
      <c r="L259" s="1">
        <f ca="1">IFERROR(__xludf.DUMMYFUNCTION("""COMPUTED_VALUE"""),-0.029)</f>
        <v>-2.9000000000000001E-2</v>
      </c>
      <c r="M259" s="1">
        <f ca="1">IFERROR(__xludf.DUMMYFUNCTION("""COMPUTED_VALUE"""),250)</f>
        <v>250</v>
      </c>
      <c r="N259" s="1" t="str">
        <f ca="1">IFERROR(__xludf.DUMMYFUNCTION("""COMPUTED_VALUE"""),"+2.66")</f>
        <v>+2.66</v>
      </c>
      <c r="O259" s="1">
        <f ca="1">IFERROR(__xludf.DUMMYFUNCTION("""COMPUTED_VALUE"""),117)</f>
        <v>117</v>
      </c>
      <c r="P259" s="1">
        <f ca="1">IFERROR(__xludf.DUMMYFUNCTION("""COMPUTED_VALUE"""),104.2)</f>
        <v>104.2</v>
      </c>
      <c r="Q259" s="1">
        <f ca="1">IFERROR(__xludf.DUMMYFUNCTION("""COMPUTED_VALUE"""),125)</f>
        <v>125</v>
      </c>
      <c r="R259" s="1">
        <f ca="1">IFERROR(__xludf.DUMMYFUNCTION("""COMPUTED_VALUE"""),101.6)</f>
        <v>101.6</v>
      </c>
      <c r="S259" s="1">
        <f ca="1">IFERROR(__xludf.DUMMYFUNCTION("""COMPUTED_VALUE"""),114)</f>
        <v>114</v>
      </c>
      <c r="T259" s="1" t="str">
        <f ca="1">IFERROR(__xludf.DUMMYFUNCTION("""COMPUTED_VALUE"""),"+1.52")</f>
        <v>+1.52</v>
      </c>
      <c r="U259" s="1">
        <f ca="1">IFERROR(__xludf.DUMMYFUNCTION("""COMPUTED_VALUE"""),116)</f>
        <v>116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IFERROR(__xludf.DUMMYFUNCTION("""COMPUTED_VALUE"""),"Bucknell")</f>
        <v>Bucknell</v>
      </c>
      <c r="C260" s="1" t="str">
        <f ca="1">IFERROR(__xludf.DUMMYFUNCTION("""COMPUTED_VALUE"""),"Pat")</f>
        <v>Pat</v>
      </c>
      <c r="D260" s="1" t="str">
        <f ca="1">IFERROR(__xludf.DUMMYFUNCTION("""COMPUTED_VALUE"""),"14-17")</f>
        <v>14-17</v>
      </c>
      <c r="E260" s="1">
        <f ca="1">IFERROR(__xludf.DUMMYFUNCTION("""COMPUTED_VALUE"""),-7.96)</f>
        <v>-7.96</v>
      </c>
      <c r="F260" s="1">
        <f ca="1">IFERROR(__xludf.DUMMYFUNCTION("""COMPUTED_VALUE"""),98)</f>
        <v>98</v>
      </c>
      <c r="G260" s="1">
        <f ca="1">IFERROR(__xludf.DUMMYFUNCTION("""COMPUTED_VALUE"""),249)</f>
        <v>249</v>
      </c>
      <c r="H260" s="1">
        <f ca="1">IFERROR(__xludf.DUMMYFUNCTION("""COMPUTED_VALUE"""),105.9)</f>
        <v>105.9</v>
      </c>
      <c r="I260" s="1">
        <f ca="1">IFERROR(__xludf.DUMMYFUNCTION("""COMPUTED_VALUE"""),239)</f>
        <v>239</v>
      </c>
      <c r="J260" s="1">
        <f ca="1">IFERROR(__xludf.DUMMYFUNCTION("""COMPUTED_VALUE"""),63.8)</f>
        <v>63.8</v>
      </c>
      <c r="K260" s="1">
        <f ca="1">IFERROR(__xludf.DUMMYFUNCTION("""COMPUTED_VALUE"""),265)</f>
        <v>265</v>
      </c>
      <c r="L260" s="1">
        <f ca="1">IFERROR(__xludf.DUMMYFUNCTION("""COMPUTED_VALUE"""),-0.018)</f>
        <v>-1.7999999999999999E-2</v>
      </c>
      <c r="M260" s="1">
        <f ca="1">IFERROR(__xludf.DUMMYFUNCTION("""COMPUTED_VALUE"""),230)</f>
        <v>230</v>
      </c>
      <c r="N260" s="1">
        <f ca="1">IFERROR(__xludf.DUMMYFUNCTION("""COMPUTED_VALUE"""),-7.86)</f>
        <v>-7.86</v>
      </c>
      <c r="O260" s="1">
        <f ca="1">IFERROR(__xludf.DUMMYFUNCTION("""COMPUTED_VALUE"""),308)</f>
        <v>308</v>
      </c>
      <c r="P260" s="1">
        <f ca="1">IFERROR(__xludf.DUMMYFUNCTION("""COMPUTED_VALUE"""),99.4)</f>
        <v>99.4</v>
      </c>
      <c r="Q260" s="1">
        <f ca="1">IFERROR(__xludf.DUMMYFUNCTION("""COMPUTED_VALUE"""),274)</f>
        <v>274</v>
      </c>
      <c r="R260" s="1">
        <f ca="1">IFERROR(__xludf.DUMMYFUNCTION("""COMPUTED_VALUE"""),107.3)</f>
        <v>107.3</v>
      </c>
      <c r="S260" s="1">
        <f ca="1">IFERROR(__xludf.DUMMYFUNCTION("""COMPUTED_VALUE"""),341)</f>
        <v>341</v>
      </c>
      <c r="T260" s="1">
        <f ca="1">IFERROR(__xludf.DUMMYFUNCTION("""COMPUTED_VALUE"""),-4.96)</f>
        <v>-4.96</v>
      </c>
      <c r="U260" s="1">
        <f ca="1">IFERROR(__xludf.DUMMYFUNCTION("""COMPUTED_VALUE"""),284)</f>
        <v>284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IFERROR(__xludf.DUMMYFUNCTION("""COMPUTED_VALUE"""),"South Dakota")</f>
        <v>South Dakota</v>
      </c>
      <c r="C261" s="1" t="str">
        <f ca="1">IFERROR(__xludf.DUMMYFUNCTION("""COMPUTED_VALUE"""),"GWC")</f>
        <v>GWC</v>
      </c>
      <c r="D261" s="1" t="str">
        <f ca="1">IFERROR(__xludf.DUMMYFUNCTION("""COMPUTED_VALUE"""),"22-10")</f>
        <v>22-10</v>
      </c>
      <c r="E261" s="1">
        <f ca="1">IFERROR(__xludf.DUMMYFUNCTION("""COMPUTED_VALUE"""),-8.11)</f>
        <v>-8.11</v>
      </c>
      <c r="F261" s="1">
        <f ca="1">IFERROR(__xludf.DUMMYFUNCTION("""COMPUTED_VALUE"""),98.6)</f>
        <v>98.6</v>
      </c>
      <c r="G261" s="1">
        <f ca="1">IFERROR(__xludf.DUMMYFUNCTION("""COMPUTED_VALUE"""),235)</f>
        <v>235</v>
      </c>
      <c r="H261" s="1">
        <f ca="1">IFERROR(__xludf.DUMMYFUNCTION("""COMPUTED_VALUE"""),106.8)</f>
        <v>106.8</v>
      </c>
      <c r="I261" s="1">
        <f ca="1">IFERROR(__xludf.DUMMYFUNCTION("""COMPUTED_VALUE"""),252)</f>
        <v>252</v>
      </c>
      <c r="J261" s="1">
        <f ca="1">IFERROR(__xludf.DUMMYFUNCTION("""COMPUTED_VALUE"""),72.9)</f>
        <v>72.900000000000006</v>
      </c>
      <c r="K261" s="1">
        <f ca="1">IFERROR(__xludf.DUMMYFUNCTION("""COMPUTED_VALUE"""),6)</f>
        <v>6</v>
      </c>
      <c r="L261" s="1" t="str">
        <f ca="1">IFERROR(__xludf.DUMMYFUNCTION("""COMPUTED_VALUE"""),"+.109")</f>
        <v>+.109</v>
      </c>
      <c r="M261" s="1">
        <f ca="1">IFERROR(__xludf.DUMMYFUNCTION("""COMPUTED_VALUE"""),10)</f>
        <v>10</v>
      </c>
      <c r="N261" s="1">
        <f ca="1">IFERROR(__xludf.DUMMYFUNCTION("""COMPUTED_VALUE"""),-12.57)</f>
        <v>-12.57</v>
      </c>
      <c r="O261" s="1">
        <f ca="1">IFERROR(__xludf.DUMMYFUNCTION("""COMPUTED_VALUE"""),342)</f>
        <v>342</v>
      </c>
      <c r="P261" s="1">
        <f ca="1">IFERROR(__xludf.DUMMYFUNCTION("""COMPUTED_VALUE"""),95.3)</f>
        <v>95.3</v>
      </c>
      <c r="Q261" s="1">
        <f ca="1">IFERROR(__xludf.DUMMYFUNCTION("""COMPUTED_VALUE"""),336)</f>
        <v>336</v>
      </c>
      <c r="R261" s="1">
        <f ca="1">IFERROR(__xludf.DUMMYFUNCTION("""COMPUTED_VALUE"""),107.9)</f>
        <v>107.9</v>
      </c>
      <c r="S261" s="1">
        <f ca="1">IFERROR(__xludf.DUMMYFUNCTION("""COMPUTED_VALUE"""),344)</f>
        <v>344</v>
      </c>
      <c r="T261" s="1" t="str">
        <f ca="1">IFERROR(__xludf.DUMMYFUNCTION("""COMPUTED_VALUE"""),"+0.00")</f>
        <v>+0.00</v>
      </c>
      <c r="U261" s="1">
        <f ca="1">IFERROR(__xludf.DUMMYFUNCTION("""COMPUTED_VALUE"""),146)</f>
        <v>146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IFERROR(__xludf.DUMMYFUNCTION("""COMPUTED_VALUE"""),"Chattanooga")</f>
        <v>Chattanooga</v>
      </c>
      <c r="C262" s="1" t="str">
        <f ca="1">IFERROR(__xludf.DUMMYFUNCTION("""COMPUTED_VALUE"""),"SC")</f>
        <v>SC</v>
      </c>
      <c r="D262" s="1" t="str">
        <f ca="1">IFERROR(__xludf.DUMMYFUNCTION("""COMPUTED_VALUE"""),"15-18")</f>
        <v>15-18</v>
      </c>
      <c r="E262" s="1">
        <f ca="1">IFERROR(__xludf.DUMMYFUNCTION("""COMPUTED_VALUE"""),-8.19)</f>
        <v>-8.19</v>
      </c>
      <c r="F262" s="1">
        <f ca="1">IFERROR(__xludf.DUMMYFUNCTION("""COMPUTED_VALUE"""),96.9)</f>
        <v>96.9</v>
      </c>
      <c r="G262" s="1">
        <f ca="1">IFERROR(__xludf.DUMMYFUNCTION("""COMPUTED_VALUE"""),261)</f>
        <v>261</v>
      </c>
      <c r="H262" s="1">
        <f ca="1">IFERROR(__xludf.DUMMYFUNCTION("""COMPUTED_VALUE"""),105.1)</f>
        <v>105.1</v>
      </c>
      <c r="I262" s="1">
        <f ca="1">IFERROR(__xludf.DUMMYFUNCTION("""COMPUTED_VALUE"""),225)</f>
        <v>225</v>
      </c>
      <c r="J262" s="1">
        <f ca="1">IFERROR(__xludf.DUMMYFUNCTION("""COMPUTED_VALUE"""),68.9)</f>
        <v>68.900000000000006</v>
      </c>
      <c r="K262" s="1">
        <f ca="1">IFERROR(__xludf.DUMMYFUNCTION("""COMPUTED_VALUE"""),49)</f>
        <v>49</v>
      </c>
      <c r="L262" s="1" t="str">
        <f ca="1">IFERROR(__xludf.DUMMYFUNCTION("""COMPUTED_VALUE"""),"+.033")</f>
        <v>+.033</v>
      </c>
      <c r="M262" s="1">
        <f ca="1">IFERROR(__xludf.DUMMYFUNCTION("""COMPUTED_VALUE"""),89)</f>
        <v>89</v>
      </c>
      <c r="N262" s="1">
        <f ca="1">IFERROR(__xludf.DUMMYFUNCTION("""COMPUTED_VALUE"""),-3.67)</f>
        <v>-3.67</v>
      </c>
      <c r="O262" s="1">
        <f ca="1">IFERROR(__xludf.DUMMYFUNCTION("""COMPUTED_VALUE"""),238)</f>
        <v>238</v>
      </c>
      <c r="P262" s="1">
        <f ca="1">IFERROR(__xludf.DUMMYFUNCTION("""COMPUTED_VALUE"""),101.7)</f>
        <v>101.7</v>
      </c>
      <c r="Q262" s="1">
        <f ca="1">IFERROR(__xludf.DUMMYFUNCTION("""COMPUTED_VALUE"""),202)</f>
        <v>202</v>
      </c>
      <c r="R262" s="1">
        <f ca="1">IFERROR(__xludf.DUMMYFUNCTION("""COMPUTED_VALUE"""),105.3)</f>
        <v>105.3</v>
      </c>
      <c r="S262" s="1">
        <f ca="1">IFERROR(__xludf.DUMMYFUNCTION("""COMPUTED_VALUE"""),276)</f>
        <v>276</v>
      </c>
      <c r="T262" s="1">
        <f ca="1">IFERROR(__xludf.DUMMYFUNCTION("""COMPUTED_VALUE"""),-2.66)</f>
        <v>-2.66</v>
      </c>
      <c r="U262" s="1">
        <f ca="1">IFERROR(__xludf.DUMMYFUNCTION("""COMPUTED_VALUE"""),231)</f>
        <v>231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IFERROR(__xludf.DUMMYFUNCTION("""COMPUTED_VALUE"""),"Rice")</f>
        <v>Rice</v>
      </c>
      <c r="C263" s="1" t="str">
        <f ca="1">IFERROR(__xludf.DUMMYFUNCTION("""COMPUTED_VALUE"""),"CUSA")</f>
        <v>CUSA</v>
      </c>
      <c r="D263" s="2">
        <f ca="1">IFERROR(__xludf.DUMMYFUNCTION("""COMPUTED_VALUE"""),44796)</f>
        <v>44796</v>
      </c>
      <c r="E263" s="1">
        <f ca="1">IFERROR(__xludf.DUMMYFUNCTION("""COMPUTED_VALUE"""),-8.48)</f>
        <v>-8.48</v>
      </c>
      <c r="F263" s="1">
        <f ca="1">IFERROR(__xludf.DUMMYFUNCTION("""COMPUTED_VALUE"""),95.9)</f>
        <v>95.9</v>
      </c>
      <c r="G263" s="1">
        <f ca="1">IFERROR(__xludf.DUMMYFUNCTION("""COMPUTED_VALUE"""),281)</f>
        <v>281</v>
      </c>
      <c r="H263" s="1">
        <f ca="1">IFERROR(__xludf.DUMMYFUNCTION("""COMPUTED_VALUE"""),104.4)</f>
        <v>104.4</v>
      </c>
      <c r="I263" s="1">
        <f ca="1">IFERROR(__xludf.DUMMYFUNCTION("""COMPUTED_VALUE"""),210)</f>
        <v>210</v>
      </c>
      <c r="J263" s="1">
        <f ca="1">IFERROR(__xludf.DUMMYFUNCTION("""COMPUTED_VALUE"""),65.7)</f>
        <v>65.7</v>
      </c>
      <c r="K263" s="1">
        <f ca="1">IFERROR(__xludf.DUMMYFUNCTION("""COMPUTED_VALUE"""),184)</f>
        <v>184</v>
      </c>
      <c r="L263" s="1">
        <f ca="1">IFERROR(__xludf.DUMMYFUNCTION("""COMPUTED_VALUE"""),-0.081)</f>
        <v>-8.1000000000000003E-2</v>
      </c>
      <c r="M263" s="1">
        <f ca="1">IFERROR(__xludf.DUMMYFUNCTION("""COMPUTED_VALUE"""),334)</f>
        <v>334</v>
      </c>
      <c r="N263" s="1" t="str">
        <f ca="1">IFERROR(__xludf.DUMMYFUNCTION("""COMPUTED_VALUE"""),"+0.15")</f>
        <v>+0.15</v>
      </c>
      <c r="O263" s="1">
        <f ca="1">IFERROR(__xludf.DUMMYFUNCTION("""COMPUTED_VALUE"""),158)</f>
        <v>158</v>
      </c>
      <c r="P263" s="1">
        <f ca="1">IFERROR(__xludf.DUMMYFUNCTION("""COMPUTED_VALUE"""),103)</f>
        <v>103</v>
      </c>
      <c r="Q263" s="1">
        <f ca="1">IFERROR(__xludf.DUMMYFUNCTION("""COMPUTED_VALUE"""),166)</f>
        <v>166</v>
      </c>
      <c r="R263" s="1">
        <f ca="1">IFERROR(__xludf.DUMMYFUNCTION("""COMPUTED_VALUE"""),102.8)</f>
        <v>102.8</v>
      </c>
      <c r="S263" s="1">
        <f ca="1">IFERROR(__xludf.DUMMYFUNCTION("""COMPUTED_VALUE"""),170)</f>
        <v>170</v>
      </c>
      <c r="T263" s="1">
        <f ca="1">IFERROR(__xludf.DUMMYFUNCTION("""COMPUTED_VALUE"""),-5.99)</f>
        <v>-5.99</v>
      </c>
      <c r="U263" s="1">
        <f ca="1">IFERROR(__xludf.DUMMYFUNCTION("""COMPUTED_VALUE"""),304)</f>
        <v>304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IFERROR(__xludf.DUMMYFUNCTION("""COMPUTED_VALUE"""),"Samford")</f>
        <v>Samford</v>
      </c>
      <c r="C264" s="1" t="str">
        <f ca="1">IFERROR(__xludf.DUMMYFUNCTION("""COMPUTED_VALUE"""),"SC")</f>
        <v>SC</v>
      </c>
      <c r="D264" s="2">
        <f ca="1">IFERROR(__xludf.DUMMYFUNCTION("""COMPUTED_VALUE"""),44885)</f>
        <v>44885</v>
      </c>
      <c r="E264" s="1">
        <f ca="1">IFERROR(__xludf.DUMMYFUNCTION("""COMPUTED_VALUE"""),-8.5)</f>
        <v>-8.5</v>
      </c>
      <c r="F264" s="1">
        <f ca="1">IFERROR(__xludf.DUMMYFUNCTION("""COMPUTED_VALUE"""),100.5)</f>
        <v>100.5</v>
      </c>
      <c r="G264" s="1">
        <f ca="1">IFERROR(__xludf.DUMMYFUNCTION("""COMPUTED_VALUE"""),203)</f>
        <v>203</v>
      </c>
      <c r="H264" s="1">
        <f ca="1">IFERROR(__xludf.DUMMYFUNCTION("""COMPUTED_VALUE"""),109)</f>
        <v>109</v>
      </c>
      <c r="I264" s="1">
        <f ca="1">IFERROR(__xludf.DUMMYFUNCTION("""COMPUTED_VALUE"""),288)</f>
        <v>288</v>
      </c>
      <c r="J264" s="1">
        <f ca="1">IFERROR(__xludf.DUMMYFUNCTION("""COMPUTED_VALUE"""),56.2)</f>
        <v>56.2</v>
      </c>
      <c r="K264" s="1">
        <f ca="1">IFERROR(__xludf.DUMMYFUNCTION("""COMPUTED_VALUE"""),347)</f>
        <v>347</v>
      </c>
      <c r="L264" s="1">
        <f ca="1">IFERROR(__xludf.DUMMYFUNCTION("""COMPUTED_VALUE"""),-0.077)</f>
        <v>-7.6999999999999999E-2</v>
      </c>
      <c r="M264" s="1">
        <f ca="1">IFERROR(__xludf.DUMMYFUNCTION("""COMPUTED_VALUE"""),328)</f>
        <v>328</v>
      </c>
      <c r="N264" s="1">
        <f ca="1">IFERROR(__xludf.DUMMYFUNCTION("""COMPUTED_VALUE"""),-0.73)</f>
        <v>-0.73</v>
      </c>
      <c r="O264" s="1">
        <f ca="1">IFERROR(__xludf.DUMMYFUNCTION("""COMPUTED_VALUE"""),177)</f>
        <v>177</v>
      </c>
      <c r="P264" s="1">
        <f ca="1">IFERROR(__xludf.DUMMYFUNCTION("""COMPUTED_VALUE"""),102.4)</f>
        <v>102.4</v>
      </c>
      <c r="Q264" s="1">
        <f ca="1">IFERROR(__xludf.DUMMYFUNCTION("""COMPUTED_VALUE"""),179)</f>
        <v>179</v>
      </c>
      <c r="R264" s="1">
        <f ca="1">IFERROR(__xludf.DUMMYFUNCTION("""COMPUTED_VALUE"""),103.1)</f>
        <v>103.1</v>
      </c>
      <c r="S264" s="1">
        <f ca="1">IFERROR(__xludf.DUMMYFUNCTION("""COMPUTED_VALUE"""),178)</f>
        <v>178</v>
      </c>
      <c r="T264" s="1" t="str">
        <f ca="1">IFERROR(__xludf.DUMMYFUNCTION("""COMPUTED_VALUE"""),"+6.84")</f>
        <v>+6.84</v>
      </c>
      <c r="U264" s="1">
        <f ca="1">IFERROR(__xludf.DUMMYFUNCTION("""COMPUTED_VALUE"""),35)</f>
        <v>35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IFERROR(__xludf.DUMMYFUNCTION("""COMPUTED_VALUE"""),"South Alabama")</f>
        <v>South Alabama</v>
      </c>
      <c r="C265" s="1" t="str">
        <f ca="1">IFERROR(__xludf.DUMMYFUNCTION("""COMPUTED_VALUE"""),"SB")</f>
        <v>SB</v>
      </c>
      <c r="D265" s="1" t="str">
        <f ca="1">IFERROR(__xludf.DUMMYFUNCTION("""COMPUTED_VALUE"""),"17-15")</f>
        <v>17-15</v>
      </c>
      <c r="E265" s="1">
        <f ca="1">IFERROR(__xludf.DUMMYFUNCTION("""COMPUTED_VALUE"""),-8.52)</f>
        <v>-8.52</v>
      </c>
      <c r="F265" s="1">
        <f ca="1">IFERROR(__xludf.DUMMYFUNCTION("""COMPUTED_VALUE"""),96.2)</f>
        <v>96.2</v>
      </c>
      <c r="G265" s="1">
        <f ca="1">IFERROR(__xludf.DUMMYFUNCTION("""COMPUTED_VALUE"""),276)</f>
        <v>276</v>
      </c>
      <c r="H265" s="1">
        <f ca="1">IFERROR(__xludf.DUMMYFUNCTION("""COMPUTED_VALUE"""),104.7)</f>
        <v>104.7</v>
      </c>
      <c r="I265" s="1">
        <f ca="1">IFERROR(__xludf.DUMMYFUNCTION("""COMPUTED_VALUE"""),217)</f>
        <v>217</v>
      </c>
      <c r="J265" s="1">
        <f ca="1">IFERROR(__xludf.DUMMYFUNCTION("""COMPUTED_VALUE"""),64.7)</f>
        <v>64.7</v>
      </c>
      <c r="K265" s="1">
        <f ca="1">IFERROR(__xludf.DUMMYFUNCTION("""COMPUTED_VALUE"""),226)</f>
        <v>226</v>
      </c>
      <c r="L265" s="1" t="str">
        <f ca="1">IFERROR(__xludf.DUMMYFUNCTION("""COMPUTED_VALUE"""),"+.117")</f>
        <v>+.117</v>
      </c>
      <c r="M265" s="1">
        <f ca="1">IFERROR(__xludf.DUMMYFUNCTION("""COMPUTED_VALUE"""),6)</f>
        <v>6</v>
      </c>
      <c r="N265" s="1">
        <f ca="1">IFERROR(__xludf.DUMMYFUNCTION("""COMPUTED_VALUE"""),-4.19)</f>
        <v>-4.1900000000000004</v>
      </c>
      <c r="O265" s="1">
        <f ca="1">IFERROR(__xludf.DUMMYFUNCTION("""COMPUTED_VALUE"""),244)</f>
        <v>244</v>
      </c>
      <c r="P265" s="1">
        <f ca="1">IFERROR(__xludf.DUMMYFUNCTION("""COMPUTED_VALUE"""),101.1)</f>
        <v>101.1</v>
      </c>
      <c r="Q265" s="1">
        <f ca="1">IFERROR(__xludf.DUMMYFUNCTION("""COMPUTED_VALUE"""),223)</f>
        <v>223</v>
      </c>
      <c r="R265" s="1">
        <f ca="1">IFERROR(__xludf.DUMMYFUNCTION("""COMPUTED_VALUE"""),105.2)</f>
        <v>105.2</v>
      </c>
      <c r="S265" s="1">
        <f ca="1">IFERROR(__xludf.DUMMYFUNCTION("""COMPUTED_VALUE"""),270)</f>
        <v>270</v>
      </c>
      <c r="T265" s="1">
        <f ca="1">IFERROR(__xludf.DUMMYFUNCTION("""COMPUTED_VALUE"""),-2.15)</f>
        <v>-2.15</v>
      </c>
      <c r="U265" s="1">
        <f ca="1">IFERROR(__xludf.DUMMYFUNCTION("""COMPUTED_VALUE"""),222)</f>
        <v>222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IFERROR(__xludf.DUMMYFUNCTION("""COMPUTED_VALUE"""),"UC Irvine")</f>
        <v>UC Irvine</v>
      </c>
      <c r="C266" s="1" t="str">
        <f ca="1">IFERROR(__xludf.DUMMYFUNCTION("""COMPUTED_VALUE"""),"BW")</f>
        <v>BW</v>
      </c>
      <c r="D266" s="1" t="str">
        <f ca="1">IFERROR(__xludf.DUMMYFUNCTION("""COMPUTED_VALUE"""),"14-18")</f>
        <v>14-18</v>
      </c>
      <c r="E266" s="1">
        <f ca="1">IFERROR(__xludf.DUMMYFUNCTION("""COMPUTED_VALUE"""),-8.52)</f>
        <v>-8.52</v>
      </c>
      <c r="F266" s="1">
        <f ca="1">IFERROR(__xludf.DUMMYFUNCTION("""COMPUTED_VALUE"""),101.1)</f>
        <v>101.1</v>
      </c>
      <c r="G266" s="1">
        <f ca="1">IFERROR(__xludf.DUMMYFUNCTION("""COMPUTED_VALUE"""),195)</f>
        <v>195</v>
      </c>
      <c r="H266" s="1">
        <f ca="1">IFERROR(__xludf.DUMMYFUNCTION("""COMPUTED_VALUE"""),109.6)</f>
        <v>109.6</v>
      </c>
      <c r="I266" s="1">
        <f ca="1">IFERROR(__xludf.DUMMYFUNCTION("""COMPUTED_VALUE"""),297)</f>
        <v>297</v>
      </c>
      <c r="J266" s="1">
        <f ca="1">IFERROR(__xludf.DUMMYFUNCTION("""COMPUTED_VALUE"""),63.4)</f>
        <v>63.4</v>
      </c>
      <c r="K266" s="1">
        <f ca="1">IFERROR(__xludf.DUMMYFUNCTION("""COMPUTED_VALUE"""),275)</f>
        <v>275</v>
      </c>
      <c r="L266" s="1" t="str">
        <f ca="1">IFERROR(__xludf.DUMMYFUNCTION("""COMPUTED_VALUE"""),"+.016")</f>
        <v>+.016</v>
      </c>
      <c r="M266" s="1">
        <f ca="1">IFERROR(__xludf.DUMMYFUNCTION("""COMPUTED_VALUE"""),123)</f>
        <v>123</v>
      </c>
      <c r="N266" s="1">
        <f ca="1">IFERROR(__xludf.DUMMYFUNCTION("""COMPUTED_VALUE"""),-4.43)</f>
        <v>-4.43</v>
      </c>
      <c r="O266" s="1">
        <f ca="1">IFERROR(__xludf.DUMMYFUNCTION("""COMPUTED_VALUE"""),249)</f>
        <v>249</v>
      </c>
      <c r="P266" s="1">
        <f ca="1">IFERROR(__xludf.DUMMYFUNCTION("""COMPUTED_VALUE"""),101.4)</f>
        <v>101.4</v>
      </c>
      <c r="Q266" s="1">
        <f ca="1">IFERROR(__xludf.DUMMYFUNCTION("""COMPUTED_VALUE"""),209)</f>
        <v>209</v>
      </c>
      <c r="R266" s="1">
        <f ca="1">IFERROR(__xludf.DUMMYFUNCTION("""COMPUTED_VALUE"""),105.9)</f>
        <v>105.9</v>
      </c>
      <c r="S266" s="1">
        <f ca="1">IFERROR(__xludf.DUMMYFUNCTION("""COMPUTED_VALUE"""),304)</f>
        <v>304</v>
      </c>
      <c r="T266" s="1">
        <f ca="1">IFERROR(__xludf.DUMMYFUNCTION("""COMPUTED_VALUE"""),-5.84)</f>
        <v>-5.84</v>
      </c>
      <c r="U266" s="1">
        <f ca="1">IFERROR(__xludf.DUMMYFUNCTION("""COMPUTED_VALUE"""),301)</f>
        <v>301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IFERROR(__xludf.DUMMYFUNCTION("""COMPUTED_VALUE"""),"UNC Greensboro")</f>
        <v>UNC Greensboro</v>
      </c>
      <c r="C267" s="1" t="str">
        <f ca="1">IFERROR(__xludf.DUMMYFUNCTION("""COMPUTED_VALUE"""),"SC")</f>
        <v>SC</v>
      </c>
      <c r="D267" s="2">
        <f ca="1">IFERROR(__xludf.DUMMYFUNCTION("""COMPUTED_VALUE"""),44796)</f>
        <v>44796</v>
      </c>
      <c r="E267" s="1">
        <f ca="1">IFERROR(__xludf.DUMMYFUNCTION("""COMPUTED_VALUE"""),-8.61)</f>
        <v>-8.61</v>
      </c>
      <c r="F267" s="1">
        <f ca="1">IFERROR(__xludf.DUMMYFUNCTION("""COMPUTED_VALUE"""),96.2)</f>
        <v>96.2</v>
      </c>
      <c r="G267" s="1">
        <f ca="1">IFERROR(__xludf.DUMMYFUNCTION("""COMPUTED_VALUE"""),277)</f>
        <v>277</v>
      </c>
      <c r="H267" s="1">
        <f ca="1">IFERROR(__xludf.DUMMYFUNCTION("""COMPUTED_VALUE"""),104.8)</f>
        <v>104.8</v>
      </c>
      <c r="I267" s="1">
        <f ca="1">IFERROR(__xludf.DUMMYFUNCTION("""COMPUTED_VALUE"""),219)</f>
        <v>219</v>
      </c>
      <c r="J267" s="1">
        <f ca="1">IFERROR(__xludf.DUMMYFUNCTION("""COMPUTED_VALUE"""),66.6)</f>
        <v>66.599999999999994</v>
      </c>
      <c r="K267" s="1">
        <f ca="1">IFERROR(__xludf.DUMMYFUNCTION("""COMPUTED_VALUE"""),132)</f>
        <v>132</v>
      </c>
      <c r="L267" s="1">
        <f ca="1">IFERROR(__xludf.DUMMYFUNCTION("""COMPUTED_VALUE"""),-0.03)</f>
        <v>-0.03</v>
      </c>
      <c r="M267" s="1">
        <f ca="1">IFERROR(__xludf.DUMMYFUNCTION("""COMPUTED_VALUE"""),252)</f>
        <v>252</v>
      </c>
      <c r="N267" s="1" t="str">
        <f ca="1">IFERROR(__xludf.DUMMYFUNCTION("""COMPUTED_VALUE"""),"+1.18")</f>
        <v>+1.18</v>
      </c>
      <c r="O267" s="1">
        <f ca="1">IFERROR(__xludf.DUMMYFUNCTION("""COMPUTED_VALUE"""),144)</f>
        <v>144</v>
      </c>
      <c r="P267" s="1">
        <f ca="1">IFERROR(__xludf.DUMMYFUNCTION("""COMPUTED_VALUE"""),103.1)</f>
        <v>103.1</v>
      </c>
      <c r="Q267" s="1">
        <f ca="1">IFERROR(__xludf.DUMMYFUNCTION("""COMPUTED_VALUE"""),164)</f>
        <v>164</v>
      </c>
      <c r="R267" s="1">
        <f ca="1">IFERROR(__xludf.DUMMYFUNCTION("""COMPUTED_VALUE"""),101.9)</f>
        <v>101.9</v>
      </c>
      <c r="S267" s="1">
        <f ca="1">IFERROR(__xludf.DUMMYFUNCTION("""COMPUTED_VALUE"""),129)</f>
        <v>129</v>
      </c>
      <c r="T267" s="1" t="str">
        <f ca="1">IFERROR(__xludf.DUMMYFUNCTION("""COMPUTED_VALUE"""),"+9.81")</f>
        <v>+9.81</v>
      </c>
      <c r="U267" s="1">
        <f ca="1">IFERROR(__xludf.DUMMYFUNCTION("""COMPUTED_VALUE"""),8)</f>
        <v>8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IFERROR(__xludf.DUMMYFUNCTION("""COMPUTED_VALUE"""),"Air Force")</f>
        <v>Air Force</v>
      </c>
      <c r="C268" s="1" t="str">
        <f ca="1">IFERROR(__xludf.DUMMYFUNCTION("""COMPUTED_VALUE"""),"MWC")</f>
        <v>MWC</v>
      </c>
      <c r="D268" s="2">
        <f ca="1">IFERROR(__xludf.DUMMYFUNCTION("""COMPUTED_VALUE"""),44855)</f>
        <v>44855</v>
      </c>
      <c r="E268" s="1">
        <f ca="1">IFERROR(__xludf.DUMMYFUNCTION("""COMPUTED_VALUE"""),-8.64)</f>
        <v>-8.64</v>
      </c>
      <c r="F268" s="1">
        <f ca="1">IFERROR(__xludf.DUMMYFUNCTION("""COMPUTED_VALUE"""),96.8)</f>
        <v>96.8</v>
      </c>
      <c r="G268" s="1">
        <f ca="1">IFERROR(__xludf.DUMMYFUNCTION("""COMPUTED_VALUE"""),265)</f>
        <v>265</v>
      </c>
      <c r="H268" s="1">
        <f ca="1">IFERROR(__xludf.DUMMYFUNCTION("""COMPUTED_VALUE"""),105.5)</f>
        <v>105.5</v>
      </c>
      <c r="I268" s="1">
        <f ca="1">IFERROR(__xludf.DUMMYFUNCTION("""COMPUTED_VALUE"""),229)</f>
        <v>229</v>
      </c>
      <c r="J268" s="1">
        <f ca="1">IFERROR(__xludf.DUMMYFUNCTION("""COMPUTED_VALUE"""),57.3)</f>
        <v>57.3</v>
      </c>
      <c r="K268" s="1">
        <f ca="1">IFERROR(__xludf.DUMMYFUNCTION("""COMPUTED_VALUE"""),346)</f>
        <v>346</v>
      </c>
      <c r="L268" s="1">
        <f ca="1">IFERROR(__xludf.DUMMYFUNCTION("""COMPUTED_VALUE"""),-0.046)</f>
        <v>-4.5999999999999999E-2</v>
      </c>
      <c r="M268" s="1">
        <f ca="1">IFERROR(__xludf.DUMMYFUNCTION("""COMPUTED_VALUE"""),292)</f>
        <v>292</v>
      </c>
      <c r="N268" s="1" t="str">
        <f ca="1">IFERROR(__xludf.DUMMYFUNCTION("""COMPUTED_VALUE"""),"+2.52")</f>
        <v>+2.52</v>
      </c>
      <c r="O268" s="1">
        <f ca="1">IFERROR(__xludf.DUMMYFUNCTION("""COMPUTED_VALUE"""),124)</f>
        <v>124</v>
      </c>
      <c r="P268" s="1">
        <f ca="1">IFERROR(__xludf.DUMMYFUNCTION("""COMPUTED_VALUE"""),103.7)</f>
        <v>103.7</v>
      </c>
      <c r="Q268" s="1">
        <f ca="1">IFERROR(__xludf.DUMMYFUNCTION("""COMPUTED_VALUE"""),143)</f>
        <v>143</v>
      </c>
      <c r="R268" s="1">
        <f ca="1">IFERROR(__xludf.DUMMYFUNCTION("""COMPUTED_VALUE"""),101.1)</f>
        <v>101.1</v>
      </c>
      <c r="S268" s="1">
        <f ca="1">IFERROR(__xludf.DUMMYFUNCTION("""COMPUTED_VALUE"""),102)</f>
        <v>102</v>
      </c>
      <c r="T268" s="1">
        <f ca="1">IFERROR(__xludf.DUMMYFUNCTION("""COMPUTED_VALUE"""),-7.67)</f>
        <v>-7.67</v>
      </c>
      <c r="U268" s="1">
        <f ca="1">IFERROR(__xludf.DUMMYFUNCTION("""COMPUTED_VALUE"""),324)</f>
        <v>324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IFERROR(__xludf.DUMMYFUNCTION("""COMPUTED_VALUE"""),"South Carolina St.")</f>
        <v>South Carolina St.</v>
      </c>
      <c r="C269" s="1" t="str">
        <f ca="1">IFERROR(__xludf.DUMMYFUNCTION("""COMPUTED_VALUE"""),"MEAC")</f>
        <v>MEAC</v>
      </c>
      <c r="D269" s="1" t="str">
        <f ca="1">IFERROR(__xludf.DUMMYFUNCTION("""COMPUTED_VALUE"""),"18-14")</f>
        <v>18-14</v>
      </c>
      <c r="E269" s="1">
        <f ca="1">IFERROR(__xludf.DUMMYFUNCTION("""COMPUTED_VALUE"""),-8.88)</f>
        <v>-8.8800000000000008</v>
      </c>
      <c r="F269" s="1">
        <f ca="1">IFERROR(__xludf.DUMMYFUNCTION("""COMPUTED_VALUE"""),97.4)</f>
        <v>97.4</v>
      </c>
      <c r="G269" s="1">
        <f ca="1">IFERROR(__xludf.DUMMYFUNCTION("""COMPUTED_VALUE"""),256)</f>
        <v>256</v>
      </c>
      <c r="H269" s="1">
        <f ca="1">IFERROR(__xludf.DUMMYFUNCTION("""COMPUTED_VALUE"""),106.2)</f>
        <v>106.2</v>
      </c>
      <c r="I269" s="1">
        <f ca="1">IFERROR(__xludf.DUMMYFUNCTION("""COMPUTED_VALUE"""),243)</f>
        <v>243</v>
      </c>
      <c r="J269" s="1">
        <f ca="1">IFERROR(__xludf.DUMMYFUNCTION("""COMPUTED_VALUE"""),68)</f>
        <v>68</v>
      </c>
      <c r="K269" s="1">
        <f ca="1">IFERROR(__xludf.DUMMYFUNCTION("""COMPUTED_VALUE"""),72)</f>
        <v>72</v>
      </c>
      <c r="L269" s="1" t="str">
        <f ca="1">IFERROR(__xludf.DUMMYFUNCTION("""COMPUTED_VALUE"""),"+.029")</f>
        <v>+.029</v>
      </c>
      <c r="M269" s="1">
        <f ca="1">IFERROR(__xludf.DUMMYFUNCTION("""COMPUTED_VALUE"""),93)</f>
        <v>93</v>
      </c>
      <c r="N269" s="1">
        <f ca="1">IFERROR(__xludf.DUMMYFUNCTION("""COMPUTED_VALUE"""),-9.71)</f>
        <v>-9.7100000000000009</v>
      </c>
      <c r="O269" s="1">
        <f ca="1">IFERROR(__xludf.DUMMYFUNCTION("""COMPUTED_VALUE"""),324)</f>
        <v>324</v>
      </c>
      <c r="P269" s="1">
        <f ca="1">IFERROR(__xludf.DUMMYFUNCTION("""COMPUTED_VALUE"""),96.9)</f>
        <v>96.9</v>
      </c>
      <c r="Q269" s="1">
        <f ca="1">IFERROR(__xludf.DUMMYFUNCTION("""COMPUTED_VALUE"""),319)</f>
        <v>319</v>
      </c>
      <c r="R269" s="1">
        <f ca="1">IFERROR(__xludf.DUMMYFUNCTION("""COMPUTED_VALUE"""),106.6)</f>
        <v>106.6</v>
      </c>
      <c r="S269" s="1">
        <f ca="1">IFERROR(__xludf.DUMMYFUNCTION("""COMPUTED_VALUE"""),325)</f>
        <v>325</v>
      </c>
      <c r="T269" s="1">
        <f ca="1">IFERROR(__xludf.DUMMYFUNCTION("""COMPUTED_VALUE"""),-1.77)</f>
        <v>-1.77</v>
      </c>
      <c r="U269" s="1">
        <f ca="1">IFERROR(__xludf.DUMMYFUNCTION("""COMPUTED_VALUE"""),210)</f>
        <v>210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IFERROR(__xludf.DUMMYFUNCTION("""COMPUTED_VALUE"""),"Tennessee Tech")</f>
        <v>Tennessee Tech</v>
      </c>
      <c r="C270" s="1" t="str">
        <f ca="1">IFERROR(__xludf.DUMMYFUNCTION("""COMPUTED_VALUE"""),"OVC")</f>
        <v>OVC</v>
      </c>
      <c r="D270" s="1" t="str">
        <f ca="1">IFERROR(__xludf.DUMMYFUNCTION("""COMPUTED_VALUE"""),"15-17")</f>
        <v>15-17</v>
      </c>
      <c r="E270" s="1">
        <f ca="1">IFERROR(__xludf.DUMMYFUNCTION("""COMPUTED_VALUE"""),-9.08)</f>
        <v>-9.08</v>
      </c>
      <c r="F270" s="1">
        <f ca="1">IFERROR(__xludf.DUMMYFUNCTION("""COMPUTED_VALUE"""),104.7)</f>
        <v>104.7</v>
      </c>
      <c r="G270" s="1">
        <f ca="1">IFERROR(__xludf.DUMMYFUNCTION("""COMPUTED_VALUE"""),146)</f>
        <v>146</v>
      </c>
      <c r="H270" s="1">
        <f ca="1">IFERROR(__xludf.DUMMYFUNCTION("""COMPUTED_VALUE"""),113.8)</f>
        <v>113.8</v>
      </c>
      <c r="I270" s="1">
        <f ca="1">IFERROR(__xludf.DUMMYFUNCTION("""COMPUTED_VALUE"""),340)</f>
        <v>340</v>
      </c>
      <c r="J270" s="1">
        <f ca="1">IFERROR(__xludf.DUMMYFUNCTION("""COMPUTED_VALUE"""),66.6)</f>
        <v>66.599999999999994</v>
      </c>
      <c r="K270" s="1">
        <f ca="1">IFERROR(__xludf.DUMMYFUNCTION("""COMPUTED_VALUE"""),137)</f>
        <v>137</v>
      </c>
      <c r="L270" s="1" t="str">
        <f ca="1">IFERROR(__xludf.DUMMYFUNCTION("""COMPUTED_VALUE"""),"+.098")</f>
        <v>+.098</v>
      </c>
      <c r="M270" s="1">
        <f ca="1">IFERROR(__xludf.DUMMYFUNCTION("""COMPUTED_VALUE"""),12)</f>
        <v>12</v>
      </c>
      <c r="N270" s="1">
        <f ca="1">IFERROR(__xludf.DUMMYFUNCTION("""COMPUTED_VALUE"""),-2.48)</f>
        <v>-2.48</v>
      </c>
      <c r="O270" s="1">
        <f ca="1">IFERROR(__xludf.DUMMYFUNCTION("""COMPUTED_VALUE"""),214)</f>
        <v>214</v>
      </c>
      <c r="P270" s="1">
        <f ca="1">IFERROR(__xludf.DUMMYFUNCTION("""COMPUTED_VALUE"""),101.9)</f>
        <v>101.9</v>
      </c>
      <c r="Q270" s="1">
        <f ca="1">IFERROR(__xludf.DUMMYFUNCTION("""COMPUTED_VALUE"""),191)</f>
        <v>191</v>
      </c>
      <c r="R270" s="1">
        <f ca="1">IFERROR(__xludf.DUMMYFUNCTION("""COMPUTED_VALUE"""),104.4)</f>
        <v>104.4</v>
      </c>
      <c r="S270" s="1">
        <f ca="1">IFERROR(__xludf.DUMMYFUNCTION("""COMPUTED_VALUE"""),234)</f>
        <v>234</v>
      </c>
      <c r="T270" s="1" t="str">
        <f ca="1">IFERROR(__xludf.DUMMYFUNCTION("""COMPUTED_VALUE"""),"+3.21")</f>
        <v>+3.21</v>
      </c>
      <c r="U270" s="1">
        <f ca="1">IFERROR(__xludf.DUMMYFUNCTION("""COMPUTED_VALUE"""),81)</f>
        <v>81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IFERROR(__xludf.DUMMYFUNCTION("""COMPUTED_VALUE"""),"Delaware")</f>
        <v>Delaware</v>
      </c>
      <c r="C271" s="1" t="str">
        <f ca="1">IFERROR(__xludf.DUMMYFUNCTION("""COMPUTED_VALUE"""),"CAA")</f>
        <v>CAA</v>
      </c>
      <c r="D271" s="2">
        <f ca="1">IFERROR(__xludf.DUMMYFUNCTION("""COMPUTED_VALUE"""),44766)</f>
        <v>44766</v>
      </c>
      <c r="E271" s="1">
        <f ca="1">IFERROR(__xludf.DUMMYFUNCTION("""COMPUTED_VALUE"""),-9.3)</f>
        <v>-9.3000000000000007</v>
      </c>
      <c r="F271" s="1">
        <f ca="1">IFERROR(__xludf.DUMMYFUNCTION("""COMPUTED_VALUE"""),99.5)</f>
        <v>99.5</v>
      </c>
      <c r="G271" s="1">
        <f ca="1">IFERROR(__xludf.DUMMYFUNCTION("""COMPUTED_VALUE"""),222)</f>
        <v>222</v>
      </c>
      <c r="H271" s="1">
        <f ca="1">IFERROR(__xludf.DUMMYFUNCTION("""COMPUTED_VALUE"""),108.8)</f>
        <v>108.8</v>
      </c>
      <c r="I271" s="1">
        <f ca="1">IFERROR(__xludf.DUMMYFUNCTION("""COMPUTED_VALUE"""),287)</f>
        <v>287</v>
      </c>
      <c r="J271" s="1">
        <f ca="1">IFERROR(__xludf.DUMMYFUNCTION("""COMPUTED_VALUE"""),63.9)</f>
        <v>63.9</v>
      </c>
      <c r="K271" s="1">
        <f ca="1">IFERROR(__xludf.DUMMYFUNCTION("""COMPUTED_VALUE"""),264)</f>
        <v>264</v>
      </c>
      <c r="L271" s="1" t="str">
        <f ca="1">IFERROR(__xludf.DUMMYFUNCTION("""COMPUTED_VALUE"""),"+.035")</f>
        <v>+.035</v>
      </c>
      <c r="M271" s="1">
        <f ca="1">IFERROR(__xludf.DUMMYFUNCTION("""COMPUTED_VALUE"""),84)</f>
        <v>84</v>
      </c>
      <c r="N271" s="1" t="str">
        <f ca="1">IFERROR(__xludf.DUMMYFUNCTION("""COMPUTED_VALUE"""),"+2.99")</f>
        <v>+2.99</v>
      </c>
      <c r="O271" s="1">
        <f ca="1">IFERROR(__xludf.DUMMYFUNCTION("""COMPUTED_VALUE"""),112)</f>
        <v>112</v>
      </c>
      <c r="P271" s="1">
        <f ca="1">IFERROR(__xludf.DUMMYFUNCTION("""COMPUTED_VALUE"""),103.9)</f>
        <v>103.9</v>
      </c>
      <c r="Q271" s="1">
        <f ca="1">IFERROR(__xludf.DUMMYFUNCTION("""COMPUTED_VALUE"""),138)</f>
        <v>138</v>
      </c>
      <c r="R271" s="1">
        <f ca="1">IFERROR(__xludf.DUMMYFUNCTION("""COMPUTED_VALUE"""),100.9)</f>
        <v>100.9</v>
      </c>
      <c r="S271" s="1">
        <f ca="1">IFERROR(__xludf.DUMMYFUNCTION("""COMPUTED_VALUE"""),97)</f>
        <v>97</v>
      </c>
      <c r="T271" s="1" t="str">
        <f ca="1">IFERROR(__xludf.DUMMYFUNCTION("""COMPUTED_VALUE"""),"+1.77")</f>
        <v>+1.77</v>
      </c>
      <c r="U271" s="1">
        <f ca="1">IFERROR(__xludf.DUMMYFUNCTION("""COMPUTED_VALUE"""),111)</f>
        <v>111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IFERROR(__xludf.DUMMYFUNCTION("""COMPUTED_VALUE"""),"Tennessee St.")</f>
        <v>Tennessee St.</v>
      </c>
      <c r="C272" s="1" t="str">
        <f ca="1">IFERROR(__xludf.DUMMYFUNCTION("""COMPUTED_VALUE"""),"OVC")</f>
        <v>OVC</v>
      </c>
      <c r="D272" s="2">
        <f ca="1">IFERROR(__xludf.DUMMYFUNCTION("""COMPUTED_VALUE"""),44827)</f>
        <v>44827</v>
      </c>
      <c r="E272" s="1">
        <f ca="1">IFERROR(__xludf.DUMMYFUNCTION("""COMPUTED_VALUE"""),-9.44)</f>
        <v>-9.44</v>
      </c>
      <c r="F272" s="1">
        <f ca="1">IFERROR(__xludf.DUMMYFUNCTION("""COMPUTED_VALUE"""),97.8)</f>
        <v>97.8</v>
      </c>
      <c r="G272" s="1">
        <f ca="1">IFERROR(__xludf.DUMMYFUNCTION("""COMPUTED_VALUE"""),252)</f>
        <v>252</v>
      </c>
      <c r="H272" s="1">
        <f ca="1">IFERROR(__xludf.DUMMYFUNCTION("""COMPUTED_VALUE"""),107.2)</f>
        <v>107.2</v>
      </c>
      <c r="I272" s="1">
        <f ca="1">IFERROR(__xludf.DUMMYFUNCTION("""COMPUTED_VALUE"""),263)</f>
        <v>263</v>
      </c>
      <c r="J272" s="1">
        <f ca="1">IFERROR(__xludf.DUMMYFUNCTION("""COMPUTED_VALUE"""),67.1)</f>
        <v>67.099999999999994</v>
      </c>
      <c r="K272" s="1">
        <f ca="1">IFERROR(__xludf.DUMMYFUNCTION("""COMPUTED_VALUE"""),108)</f>
        <v>108</v>
      </c>
      <c r="L272" s="1">
        <f ca="1">IFERROR(__xludf.DUMMYFUNCTION("""COMPUTED_VALUE"""),-0.009)</f>
        <v>-8.9999999999999993E-3</v>
      </c>
      <c r="M272" s="1">
        <f ca="1">IFERROR(__xludf.DUMMYFUNCTION("""COMPUTED_VALUE"""),196)</f>
        <v>196</v>
      </c>
      <c r="N272" s="1">
        <f ca="1">IFERROR(__xludf.DUMMYFUNCTION("""COMPUTED_VALUE"""),-0.91)</f>
        <v>-0.91</v>
      </c>
      <c r="O272" s="1">
        <f ca="1">IFERROR(__xludf.DUMMYFUNCTION("""COMPUTED_VALUE"""),180)</f>
        <v>180</v>
      </c>
      <c r="P272" s="1">
        <f ca="1">IFERROR(__xludf.DUMMYFUNCTION("""COMPUTED_VALUE"""),102.7)</f>
        <v>102.7</v>
      </c>
      <c r="Q272" s="1">
        <f ca="1">IFERROR(__xludf.DUMMYFUNCTION("""COMPUTED_VALUE"""),171)</f>
        <v>171</v>
      </c>
      <c r="R272" s="1">
        <f ca="1">IFERROR(__xludf.DUMMYFUNCTION("""COMPUTED_VALUE"""),103.6)</f>
        <v>103.6</v>
      </c>
      <c r="S272" s="1">
        <f ca="1">IFERROR(__xludf.DUMMYFUNCTION("""COMPUTED_VALUE"""),190)</f>
        <v>190</v>
      </c>
      <c r="T272" s="1" t="str">
        <f ca="1">IFERROR(__xludf.DUMMYFUNCTION("""COMPUTED_VALUE"""),"+4.70")</f>
        <v>+4.70</v>
      </c>
      <c r="U272" s="1">
        <f ca="1">IFERROR(__xludf.DUMMYFUNCTION("""COMPUTED_VALUE"""),55)</f>
        <v>55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IFERROR(__xludf.DUMMYFUNCTION("""COMPUTED_VALUE"""),"Army")</f>
        <v>Army</v>
      </c>
      <c r="C273" s="1" t="str">
        <f ca="1">IFERROR(__xludf.DUMMYFUNCTION("""COMPUTED_VALUE"""),"Pat")</f>
        <v>Pat</v>
      </c>
      <c r="D273" s="1" t="str">
        <f ca="1">IFERROR(__xludf.DUMMYFUNCTION("""COMPUTED_VALUE"""),"14-15")</f>
        <v>14-15</v>
      </c>
      <c r="E273" s="1">
        <f ca="1">IFERROR(__xludf.DUMMYFUNCTION("""COMPUTED_VALUE"""),-9.68)</f>
        <v>-9.68</v>
      </c>
      <c r="F273" s="1">
        <f ca="1">IFERROR(__xludf.DUMMYFUNCTION("""COMPUTED_VALUE"""),89.3)</f>
        <v>89.3</v>
      </c>
      <c r="G273" s="1">
        <f ca="1">IFERROR(__xludf.DUMMYFUNCTION("""COMPUTED_VALUE"""),330)</f>
        <v>330</v>
      </c>
      <c r="H273" s="1">
        <f ca="1">IFERROR(__xludf.DUMMYFUNCTION("""COMPUTED_VALUE"""),99)</f>
        <v>99</v>
      </c>
      <c r="I273" s="1">
        <f ca="1">IFERROR(__xludf.DUMMYFUNCTION("""COMPUTED_VALUE"""),99)</f>
        <v>99</v>
      </c>
      <c r="J273" s="1">
        <f ca="1">IFERROR(__xludf.DUMMYFUNCTION("""COMPUTED_VALUE"""),62.8)</f>
        <v>62.8</v>
      </c>
      <c r="K273" s="1">
        <f ca="1">IFERROR(__xludf.DUMMYFUNCTION("""COMPUTED_VALUE"""),291)</f>
        <v>291</v>
      </c>
      <c r="L273" s="1">
        <f ca="1">IFERROR(__xludf.DUMMYFUNCTION("""COMPUTED_VALUE"""),-0.018)</f>
        <v>-1.7999999999999999E-2</v>
      </c>
      <c r="M273" s="1">
        <f ca="1">IFERROR(__xludf.DUMMYFUNCTION("""COMPUTED_VALUE"""),231)</f>
        <v>231</v>
      </c>
      <c r="N273" s="1">
        <f ca="1">IFERROR(__xludf.DUMMYFUNCTION("""COMPUTED_VALUE"""),-9.01)</f>
        <v>-9.01</v>
      </c>
      <c r="O273" s="1">
        <f ca="1">IFERROR(__xludf.DUMMYFUNCTION("""COMPUTED_VALUE"""),316)</f>
        <v>316</v>
      </c>
      <c r="P273" s="1">
        <f ca="1">IFERROR(__xludf.DUMMYFUNCTION("""COMPUTED_VALUE"""),98.9)</f>
        <v>98.9</v>
      </c>
      <c r="Q273" s="1">
        <f ca="1">IFERROR(__xludf.DUMMYFUNCTION("""COMPUTED_VALUE"""),286)</f>
        <v>286</v>
      </c>
      <c r="R273" s="1">
        <f ca="1">IFERROR(__xludf.DUMMYFUNCTION("""COMPUTED_VALUE"""),107.9)</f>
        <v>107.9</v>
      </c>
      <c r="S273" s="1">
        <f ca="1">IFERROR(__xludf.DUMMYFUNCTION("""COMPUTED_VALUE"""),343)</f>
        <v>343</v>
      </c>
      <c r="T273" s="1">
        <f ca="1">IFERROR(__xludf.DUMMYFUNCTION("""COMPUTED_VALUE"""),-9.28)</f>
        <v>-9.2799999999999994</v>
      </c>
      <c r="U273" s="1">
        <f ca="1">IFERROR(__xludf.DUMMYFUNCTION("""COMPUTED_VALUE"""),343)</f>
        <v>343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IFERROR(__xludf.DUMMYFUNCTION("""COMPUTED_VALUE"""),"New Hampshire")</f>
        <v>New Hampshire</v>
      </c>
      <c r="C274" s="1" t="str">
        <f ca="1">IFERROR(__xludf.DUMMYFUNCTION("""COMPUTED_VALUE"""),"AE")</f>
        <v>AE</v>
      </c>
      <c r="D274" s="1" t="str">
        <f ca="1">IFERROR(__xludf.DUMMYFUNCTION("""COMPUTED_VALUE"""),"13-17")</f>
        <v>13-17</v>
      </c>
      <c r="E274" s="1">
        <f ca="1">IFERROR(__xludf.DUMMYFUNCTION("""COMPUTED_VALUE"""),-9.76)</f>
        <v>-9.76</v>
      </c>
      <c r="F274" s="1">
        <f ca="1">IFERROR(__xludf.DUMMYFUNCTION("""COMPUTED_VALUE"""),91.5)</f>
        <v>91.5</v>
      </c>
      <c r="G274" s="1">
        <f ca="1">IFERROR(__xludf.DUMMYFUNCTION("""COMPUTED_VALUE"""),316)</f>
        <v>316</v>
      </c>
      <c r="H274" s="1">
        <f ca="1">IFERROR(__xludf.DUMMYFUNCTION("""COMPUTED_VALUE"""),101.3)</f>
        <v>101.3</v>
      </c>
      <c r="I274" s="1">
        <f ca="1">IFERROR(__xludf.DUMMYFUNCTION("""COMPUTED_VALUE"""),143)</f>
        <v>143</v>
      </c>
      <c r="J274" s="1">
        <f ca="1">IFERROR(__xludf.DUMMYFUNCTION("""COMPUTED_VALUE"""),64.5)</f>
        <v>64.5</v>
      </c>
      <c r="K274" s="1">
        <f ca="1">IFERROR(__xludf.DUMMYFUNCTION("""COMPUTED_VALUE"""),239)</f>
        <v>239</v>
      </c>
      <c r="L274" s="1" t="str">
        <f ca="1">IFERROR(__xludf.DUMMYFUNCTION("""COMPUTED_VALUE"""),"+.004")</f>
        <v>+.004</v>
      </c>
      <c r="M274" s="1">
        <f ca="1">IFERROR(__xludf.DUMMYFUNCTION("""COMPUTED_VALUE"""),160)</f>
        <v>160</v>
      </c>
      <c r="N274" s="1">
        <f ca="1">IFERROR(__xludf.DUMMYFUNCTION("""COMPUTED_VALUE"""),-5.94)</f>
        <v>-5.94</v>
      </c>
      <c r="O274" s="1">
        <f ca="1">IFERROR(__xludf.DUMMYFUNCTION("""COMPUTED_VALUE"""),276)</f>
        <v>276</v>
      </c>
      <c r="P274" s="1">
        <f ca="1">IFERROR(__xludf.DUMMYFUNCTION("""COMPUTED_VALUE"""),98.7)</f>
        <v>98.7</v>
      </c>
      <c r="Q274" s="1">
        <f ca="1">IFERROR(__xludf.DUMMYFUNCTION("""COMPUTED_VALUE"""),289)</f>
        <v>289</v>
      </c>
      <c r="R274" s="1">
        <f ca="1">IFERROR(__xludf.DUMMYFUNCTION("""COMPUTED_VALUE"""),104.6)</f>
        <v>104.6</v>
      </c>
      <c r="S274" s="1">
        <f ca="1">IFERROR(__xludf.DUMMYFUNCTION("""COMPUTED_VALUE"""),247)</f>
        <v>247</v>
      </c>
      <c r="T274" s="1">
        <f ca="1">IFERROR(__xludf.DUMMYFUNCTION("""COMPUTED_VALUE"""),-3.25)</f>
        <v>-3.25</v>
      </c>
      <c r="U274" s="1">
        <f ca="1">IFERROR(__xludf.DUMMYFUNCTION("""COMPUTED_VALUE"""),253)</f>
        <v>253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IFERROR(__xludf.DUMMYFUNCTION("""COMPUTED_VALUE"""),"Elon")</f>
        <v>Elon</v>
      </c>
      <c r="C275" s="1" t="str">
        <f ca="1">IFERROR(__xludf.DUMMYFUNCTION("""COMPUTED_VALUE"""),"SC")</f>
        <v>SC</v>
      </c>
      <c r="D275" s="2">
        <f ca="1">IFERROR(__xludf.DUMMYFUNCTION("""COMPUTED_VALUE"""),44827)</f>
        <v>44827</v>
      </c>
      <c r="E275" s="1">
        <f ca="1">IFERROR(__xludf.DUMMYFUNCTION("""COMPUTED_VALUE"""),-10.06)</f>
        <v>-10.06</v>
      </c>
      <c r="F275" s="1">
        <f ca="1">IFERROR(__xludf.DUMMYFUNCTION("""COMPUTED_VALUE"""),96.2)</f>
        <v>96.2</v>
      </c>
      <c r="G275" s="1">
        <f ca="1">IFERROR(__xludf.DUMMYFUNCTION("""COMPUTED_VALUE"""),274)</f>
        <v>274</v>
      </c>
      <c r="H275" s="1">
        <f ca="1">IFERROR(__xludf.DUMMYFUNCTION("""COMPUTED_VALUE"""),106.3)</f>
        <v>106.3</v>
      </c>
      <c r="I275" s="1">
        <f ca="1">IFERROR(__xludf.DUMMYFUNCTION("""COMPUTED_VALUE"""),245)</f>
        <v>245</v>
      </c>
      <c r="J275" s="1">
        <f ca="1">IFERROR(__xludf.DUMMYFUNCTION("""COMPUTED_VALUE"""),66.9)</f>
        <v>66.900000000000006</v>
      </c>
      <c r="K275" s="1">
        <f ca="1">IFERROR(__xludf.DUMMYFUNCTION("""COMPUTED_VALUE"""),122)</f>
        <v>122</v>
      </c>
      <c r="L275" s="1">
        <f ca="1">IFERROR(__xludf.DUMMYFUNCTION("""COMPUTED_VALUE"""),-0.022)</f>
        <v>-2.1999999999999999E-2</v>
      </c>
      <c r="M275" s="1">
        <f ca="1">IFERROR(__xludf.DUMMYFUNCTION("""COMPUTED_VALUE"""),237)</f>
        <v>237</v>
      </c>
      <c r="N275" s="1">
        <f ca="1">IFERROR(__xludf.DUMMYFUNCTION("""COMPUTED_VALUE"""),-1.23)</f>
        <v>-1.23</v>
      </c>
      <c r="O275" s="1">
        <f ca="1">IFERROR(__xludf.DUMMYFUNCTION("""COMPUTED_VALUE"""),185)</f>
        <v>185</v>
      </c>
      <c r="P275" s="1">
        <f ca="1">IFERROR(__xludf.DUMMYFUNCTION("""COMPUTED_VALUE"""),102.3)</f>
        <v>102.3</v>
      </c>
      <c r="Q275" s="1">
        <f ca="1">IFERROR(__xludf.DUMMYFUNCTION("""COMPUTED_VALUE"""),181)</f>
        <v>181</v>
      </c>
      <c r="R275" s="1">
        <f ca="1">IFERROR(__xludf.DUMMYFUNCTION("""COMPUTED_VALUE"""),103.5)</f>
        <v>103.5</v>
      </c>
      <c r="S275" s="1">
        <f ca="1">IFERROR(__xludf.DUMMYFUNCTION("""COMPUTED_VALUE"""),188)</f>
        <v>188</v>
      </c>
      <c r="T275" s="1" t="str">
        <f ca="1">IFERROR(__xludf.DUMMYFUNCTION("""COMPUTED_VALUE"""),"+2.18")</f>
        <v>+2.18</v>
      </c>
      <c r="U275" s="1">
        <f ca="1">IFERROR(__xludf.DUMMYFUNCTION("""COMPUTED_VALUE"""),101)</f>
        <v>101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IFERROR(__xludf.DUMMYFUNCTION("""COMPUTED_VALUE"""),"Delaware St.")</f>
        <v>Delaware St.</v>
      </c>
      <c r="C276" s="1" t="str">
        <f ca="1">IFERROR(__xludf.DUMMYFUNCTION("""COMPUTED_VALUE"""),"MEAC")</f>
        <v>MEAC</v>
      </c>
      <c r="D276" s="1" t="str">
        <f ca="1">IFERROR(__xludf.DUMMYFUNCTION("""COMPUTED_VALUE"""),"17-12")</f>
        <v>17-12</v>
      </c>
      <c r="E276" s="1">
        <f ca="1">IFERROR(__xludf.DUMMYFUNCTION("""COMPUTED_VALUE"""),-10.2)</f>
        <v>-10.199999999999999</v>
      </c>
      <c r="F276" s="1">
        <f ca="1">IFERROR(__xludf.DUMMYFUNCTION("""COMPUTED_VALUE"""),96.9)</f>
        <v>96.9</v>
      </c>
      <c r="G276" s="1">
        <f ca="1">IFERROR(__xludf.DUMMYFUNCTION("""COMPUTED_VALUE"""),264)</f>
        <v>264</v>
      </c>
      <c r="H276" s="1">
        <f ca="1">IFERROR(__xludf.DUMMYFUNCTION("""COMPUTED_VALUE"""),107.1)</f>
        <v>107.1</v>
      </c>
      <c r="I276" s="1">
        <f ca="1">IFERROR(__xludf.DUMMYFUNCTION("""COMPUTED_VALUE"""),258)</f>
        <v>258</v>
      </c>
      <c r="J276" s="1">
        <f ca="1">IFERROR(__xludf.DUMMYFUNCTION("""COMPUTED_VALUE"""),58.2)</f>
        <v>58.2</v>
      </c>
      <c r="K276" s="1">
        <f ca="1">IFERROR(__xludf.DUMMYFUNCTION("""COMPUTED_VALUE"""),345)</f>
        <v>345</v>
      </c>
      <c r="L276" s="1" t="str">
        <f ca="1">IFERROR(__xludf.DUMMYFUNCTION("""COMPUTED_VALUE"""),"+.080")</f>
        <v>+.080</v>
      </c>
      <c r="M276" s="1">
        <f ca="1">IFERROR(__xludf.DUMMYFUNCTION("""COMPUTED_VALUE"""),22)</f>
        <v>22</v>
      </c>
      <c r="N276" s="1">
        <f ca="1">IFERROR(__xludf.DUMMYFUNCTION("""COMPUTED_VALUE"""),-10.3)</f>
        <v>-10.3</v>
      </c>
      <c r="O276" s="1">
        <f ca="1">IFERROR(__xludf.DUMMYFUNCTION("""COMPUTED_VALUE"""),328)</f>
        <v>328</v>
      </c>
      <c r="P276" s="1">
        <f ca="1">IFERROR(__xludf.DUMMYFUNCTION("""COMPUTED_VALUE"""),96.2)</f>
        <v>96.2</v>
      </c>
      <c r="Q276" s="1">
        <f ca="1">IFERROR(__xludf.DUMMYFUNCTION("""COMPUTED_VALUE"""),327)</f>
        <v>327</v>
      </c>
      <c r="R276" s="1">
        <f ca="1">IFERROR(__xludf.DUMMYFUNCTION("""COMPUTED_VALUE"""),106.5)</f>
        <v>106.5</v>
      </c>
      <c r="S276" s="1">
        <f ca="1">IFERROR(__xludf.DUMMYFUNCTION("""COMPUTED_VALUE"""),323)</f>
        <v>323</v>
      </c>
      <c r="T276" s="1" t="str">
        <f ca="1">IFERROR(__xludf.DUMMYFUNCTION("""COMPUTED_VALUE"""),"+0.91")</f>
        <v>+0.91</v>
      </c>
      <c r="U276" s="1">
        <f ca="1">IFERROR(__xludf.DUMMYFUNCTION("""COMPUTED_VALUE"""),131)</f>
        <v>131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IFERROR(__xludf.DUMMYFUNCTION("""COMPUTED_VALUE"""),"Yale")</f>
        <v>Yale</v>
      </c>
      <c r="C277" s="1" t="str">
        <f ca="1">IFERROR(__xludf.DUMMYFUNCTION("""COMPUTED_VALUE"""),"Ivy")</f>
        <v>Ivy</v>
      </c>
      <c r="D277" s="2">
        <f ca="1">IFERROR(__xludf.DUMMYFUNCTION("""COMPUTED_VALUE"""),44914)</f>
        <v>44914</v>
      </c>
      <c r="E277" s="1">
        <f ca="1">IFERROR(__xludf.DUMMYFUNCTION("""COMPUTED_VALUE"""),-10.34)</f>
        <v>-10.34</v>
      </c>
      <c r="F277" s="1">
        <f ca="1">IFERROR(__xludf.DUMMYFUNCTION("""COMPUTED_VALUE"""),96.1)</f>
        <v>96.1</v>
      </c>
      <c r="G277" s="1">
        <f ca="1">IFERROR(__xludf.DUMMYFUNCTION("""COMPUTED_VALUE"""),279)</f>
        <v>279</v>
      </c>
      <c r="H277" s="1">
        <f ca="1">IFERROR(__xludf.DUMMYFUNCTION("""COMPUTED_VALUE"""),106.5)</f>
        <v>106.5</v>
      </c>
      <c r="I277" s="1">
        <f ca="1">IFERROR(__xludf.DUMMYFUNCTION("""COMPUTED_VALUE"""),248)</f>
        <v>248</v>
      </c>
      <c r="J277" s="1">
        <f ca="1">IFERROR(__xludf.DUMMYFUNCTION("""COMPUTED_VALUE"""),66.4)</f>
        <v>66.400000000000006</v>
      </c>
      <c r="K277" s="1">
        <f ca="1">IFERROR(__xludf.DUMMYFUNCTION("""COMPUTED_VALUE"""),149)</f>
        <v>149</v>
      </c>
      <c r="L277" s="1">
        <f ca="1">IFERROR(__xludf.DUMMYFUNCTION("""COMPUTED_VALUE"""),-0.036)</f>
        <v>-3.5999999999999997E-2</v>
      </c>
      <c r="M277" s="1">
        <f ca="1">IFERROR(__xludf.DUMMYFUNCTION("""COMPUTED_VALUE"""),267)</f>
        <v>267</v>
      </c>
      <c r="N277" s="1">
        <f ca="1">IFERROR(__xludf.DUMMYFUNCTION("""COMPUTED_VALUE"""),-5.55)</f>
        <v>-5.55</v>
      </c>
      <c r="O277" s="1">
        <f ca="1">IFERROR(__xludf.DUMMYFUNCTION("""COMPUTED_VALUE"""),268)</f>
        <v>268</v>
      </c>
      <c r="P277" s="1">
        <f ca="1">IFERROR(__xludf.DUMMYFUNCTION("""COMPUTED_VALUE"""),99.5)</f>
        <v>99.5</v>
      </c>
      <c r="Q277" s="1">
        <f ca="1">IFERROR(__xludf.DUMMYFUNCTION("""COMPUTED_VALUE"""),268)</f>
        <v>268</v>
      </c>
      <c r="R277" s="1">
        <f ca="1">IFERROR(__xludf.DUMMYFUNCTION("""COMPUTED_VALUE"""),105.1)</f>
        <v>105.1</v>
      </c>
      <c r="S277" s="1">
        <f ca="1">IFERROR(__xludf.DUMMYFUNCTION("""COMPUTED_VALUE"""),258)</f>
        <v>258</v>
      </c>
      <c r="T277" s="1">
        <f ca="1">IFERROR(__xludf.DUMMYFUNCTION("""COMPUTED_VALUE"""),-4.76)</f>
        <v>-4.76</v>
      </c>
      <c r="U277" s="1">
        <f ca="1">IFERROR(__xludf.DUMMYFUNCTION("""COMPUTED_VALUE"""),282)</f>
        <v>282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IFERROR(__xludf.DUMMYFUNCTION("""COMPUTED_VALUE"""),"Jacksonville St.")</f>
        <v>Jacksonville St.</v>
      </c>
      <c r="C278" s="1" t="str">
        <f ca="1">IFERROR(__xludf.DUMMYFUNCTION("""COMPUTED_VALUE"""),"OVC")</f>
        <v>OVC</v>
      </c>
      <c r="D278" s="2">
        <f ca="1">IFERROR(__xludf.DUMMYFUNCTION("""COMPUTED_VALUE"""),44884)</f>
        <v>44884</v>
      </c>
      <c r="E278" s="1">
        <f ca="1">IFERROR(__xludf.DUMMYFUNCTION("""COMPUTED_VALUE"""),-10.35)</f>
        <v>-10.35</v>
      </c>
      <c r="F278" s="1">
        <f ca="1">IFERROR(__xludf.DUMMYFUNCTION("""COMPUTED_VALUE"""),97.5)</f>
        <v>97.5</v>
      </c>
      <c r="G278" s="1">
        <f ca="1">IFERROR(__xludf.DUMMYFUNCTION("""COMPUTED_VALUE"""),254)</f>
        <v>254</v>
      </c>
      <c r="H278" s="1">
        <f ca="1">IFERROR(__xludf.DUMMYFUNCTION("""COMPUTED_VALUE"""),107.9)</f>
        <v>107.9</v>
      </c>
      <c r="I278" s="1">
        <f ca="1">IFERROR(__xludf.DUMMYFUNCTION("""COMPUTED_VALUE"""),273)</f>
        <v>273</v>
      </c>
      <c r="J278" s="1">
        <f ca="1">IFERROR(__xludf.DUMMYFUNCTION("""COMPUTED_VALUE"""),66.7)</f>
        <v>66.7</v>
      </c>
      <c r="K278" s="1">
        <f ca="1">IFERROR(__xludf.DUMMYFUNCTION("""COMPUTED_VALUE"""),129)</f>
        <v>129</v>
      </c>
      <c r="L278" s="1">
        <f ca="1">IFERROR(__xludf.DUMMYFUNCTION("""COMPUTED_VALUE"""),-0.06)</f>
        <v>-0.06</v>
      </c>
      <c r="M278" s="1">
        <f ca="1">IFERROR(__xludf.DUMMYFUNCTION("""COMPUTED_VALUE"""),307)</f>
        <v>307</v>
      </c>
      <c r="N278" s="1">
        <f ca="1">IFERROR(__xludf.DUMMYFUNCTION("""COMPUTED_VALUE"""),-5.52)</f>
        <v>-5.52</v>
      </c>
      <c r="O278" s="1">
        <f ca="1">IFERROR(__xludf.DUMMYFUNCTION("""COMPUTED_VALUE"""),267)</f>
        <v>267</v>
      </c>
      <c r="P278" s="1">
        <f ca="1">IFERROR(__xludf.DUMMYFUNCTION("""COMPUTED_VALUE"""),100.6)</f>
        <v>100.6</v>
      </c>
      <c r="Q278" s="1">
        <f ca="1">IFERROR(__xludf.DUMMYFUNCTION("""COMPUTED_VALUE"""),236)</f>
        <v>236</v>
      </c>
      <c r="R278" s="1">
        <f ca="1">IFERROR(__xludf.DUMMYFUNCTION("""COMPUTED_VALUE"""),106.1)</f>
        <v>106.1</v>
      </c>
      <c r="S278" s="1">
        <f ca="1">IFERROR(__xludf.DUMMYFUNCTION("""COMPUTED_VALUE"""),313)</f>
        <v>313</v>
      </c>
      <c r="T278" s="1">
        <f ca="1">IFERROR(__xludf.DUMMYFUNCTION("""COMPUTED_VALUE"""),-7.09)</f>
        <v>-7.09</v>
      </c>
      <c r="U278" s="1">
        <f ca="1">IFERROR(__xludf.DUMMYFUNCTION("""COMPUTED_VALUE"""),316)</f>
        <v>316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IFERROR(__xludf.DUMMYFUNCTION("""COMPUTED_VALUE"""),"Eastern Washington")</f>
        <v>Eastern Washington</v>
      </c>
      <c r="C279" s="1" t="str">
        <f ca="1">IFERROR(__xludf.DUMMYFUNCTION("""COMPUTED_VALUE"""),"BSky")</f>
        <v>BSky</v>
      </c>
      <c r="D279" s="2">
        <f ca="1">IFERROR(__xludf.DUMMYFUNCTION("""COMPUTED_VALUE"""),44825)</f>
        <v>44825</v>
      </c>
      <c r="E279" s="1">
        <f ca="1">IFERROR(__xludf.DUMMYFUNCTION("""COMPUTED_VALUE"""),-10.36)</f>
        <v>-10.36</v>
      </c>
      <c r="F279" s="1">
        <f ca="1">IFERROR(__xludf.DUMMYFUNCTION("""COMPUTED_VALUE"""),96.4)</f>
        <v>96.4</v>
      </c>
      <c r="G279" s="1">
        <f ca="1">IFERROR(__xludf.DUMMYFUNCTION("""COMPUTED_VALUE"""),270)</f>
        <v>270</v>
      </c>
      <c r="H279" s="1">
        <f ca="1">IFERROR(__xludf.DUMMYFUNCTION("""COMPUTED_VALUE"""),106.8)</f>
        <v>106.8</v>
      </c>
      <c r="I279" s="1">
        <f ca="1">IFERROR(__xludf.DUMMYFUNCTION("""COMPUTED_VALUE"""),253)</f>
        <v>253</v>
      </c>
      <c r="J279" s="1">
        <f ca="1">IFERROR(__xludf.DUMMYFUNCTION("""COMPUTED_VALUE"""),67.9)</f>
        <v>67.900000000000006</v>
      </c>
      <c r="K279" s="1">
        <f ca="1">IFERROR(__xludf.DUMMYFUNCTION("""COMPUTED_VALUE"""),74)</f>
        <v>74</v>
      </c>
      <c r="L279" s="1">
        <f ca="1">IFERROR(__xludf.DUMMYFUNCTION("""COMPUTED_VALUE"""),-0.01)</f>
        <v>-0.01</v>
      </c>
      <c r="M279" s="1">
        <f ca="1">IFERROR(__xludf.DUMMYFUNCTION("""COMPUTED_VALUE"""),199)</f>
        <v>199</v>
      </c>
      <c r="N279" s="1">
        <f ca="1">IFERROR(__xludf.DUMMYFUNCTION("""COMPUTED_VALUE"""),-0.21)</f>
        <v>-0.21</v>
      </c>
      <c r="O279" s="1">
        <f ca="1">IFERROR(__xludf.DUMMYFUNCTION("""COMPUTED_VALUE"""),165)</f>
        <v>165</v>
      </c>
      <c r="P279" s="1">
        <f ca="1">IFERROR(__xludf.DUMMYFUNCTION("""COMPUTED_VALUE"""),104)</f>
        <v>104</v>
      </c>
      <c r="Q279" s="1">
        <f ca="1">IFERROR(__xludf.DUMMYFUNCTION("""COMPUTED_VALUE"""),132)</f>
        <v>132</v>
      </c>
      <c r="R279" s="1">
        <f ca="1">IFERROR(__xludf.DUMMYFUNCTION("""COMPUTED_VALUE"""),104.2)</f>
        <v>104.2</v>
      </c>
      <c r="S279" s="1">
        <f ca="1">IFERROR(__xludf.DUMMYFUNCTION("""COMPUTED_VALUE"""),225)</f>
        <v>225</v>
      </c>
      <c r="T279" s="1" t="str">
        <f ca="1">IFERROR(__xludf.DUMMYFUNCTION("""COMPUTED_VALUE"""),"+2.98")</f>
        <v>+2.98</v>
      </c>
      <c r="U279" s="1">
        <f ca="1">IFERROR(__xludf.DUMMYFUNCTION("""COMPUTED_VALUE"""),83)</f>
        <v>83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IFERROR(__xludf.DUMMYFUNCTION("""COMPUTED_VALUE"""),"North Florida")</f>
        <v>North Florida</v>
      </c>
      <c r="C280" s="1" t="str">
        <f ca="1">IFERROR(__xludf.DUMMYFUNCTION("""COMPUTED_VALUE"""),"ASun")</f>
        <v>ASun</v>
      </c>
      <c r="D280" s="1" t="str">
        <f ca="1">IFERROR(__xludf.DUMMYFUNCTION("""COMPUTED_VALUE"""),"13-18")</f>
        <v>13-18</v>
      </c>
      <c r="E280" s="1">
        <f ca="1">IFERROR(__xludf.DUMMYFUNCTION("""COMPUTED_VALUE"""),-10.47)</f>
        <v>-10.47</v>
      </c>
      <c r="F280" s="1">
        <f ca="1">IFERROR(__xludf.DUMMYFUNCTION("""COMPUTED_VALUE"""),91.8)</f>
        <v>91.8</v>
      </c>
      <c r="G280" s="1">
        <f ca="1">IFERROR(__xludf.DUMMYFUNCTION("""COMPUTED_VALUE"""),313)</f>
        <v>313</v>
      </c>
      <c r="H280" s="1">
        <f ca="1">IFERROR(__xludf.DUMMYFUNCTION("""COMPUTED_VALUE"""),102.3)</f>
        <v>102.3</v>
      </c>
      <c r="I280" s="1">
        <f ca="1">IFERROR(__xludf.DUMMYFUNCTION("""COMPUTED_VALUE"""),166)</f>
        <v>166</v>
      </c>
      <c r="J280" s="1">
        <f ca="1">IFERROR(__xludf.DUMMYFUNCTION("""COMPUTED_VALUE"""),62.9)</f>
        <v>62.9</v>
      </c>
      <c r="K280" s="1">
        <f ca="1">IFERROR(__xludf.DUMMYFUNCTION("""COMPUTED_VALUE"""),288)</f>
        <v>288</v>
      </c>
      <c r="L280" s="1" t="str">
        <f ca="1">IFERROR(__xludf.DUMMYFUNCTION("""COMPUTED_VALUE"""),"+.095")</f>
        <v>+.095</v>
      </c>
      <c r="M280" s="1">
        <f ca="1">IFERROR(__xludf.DUMMYFUNCTION("""COMPUTED_VALUE"""),14)</f>
        <v>14</v>
      </c>
      <c r="N280" s="1">
        <f ca="1">IFERROR(__xludf.DUMMYFUNCTION("""COMPUTED_VALUE"""),-1.87)</f>
        <v>-1.87</v>
      </c>
      <c r="O280" s="1">
        <f ca="1">IFERROR(__xludf.DUMMYFUNCTION("""COMPUTED_VALUE"""),200)</f>
        <v>200</v>
      </c>
      <c r="P280" s="1">
        <f ca="1">IFERROR(__xludf.DUMMYFUNCTION("""COMPUTED_VALUE"""),101.6)</f>
        <v>101.6</v>
      </c>
      <c r="Q280" s="1">
        <f ca="1">IFERROR(__xludf.DUMMYFUNCTION("""COMPUTED_VALUE"""),206)</f>
        <v>206</v>
      </c>
      <c r="R280" s="1">
        <f ca="1">IFERROR(__xludf.DUMMYFUNCTION("""COMPUTED_VALUE"""),103.5)</f>
        <v>103.5</v>
      </c>
      <c r="S280" s="1">
        <f ca="1">IFERROR(__xludf.DUMMYFUNCTION("""COMPUTED_VALUE"""),187)</f>
        <v>187</v>
      </c>
      <c r="T280" s="1" t="str">
        <f ca="1">IFERROR(__xludf.DUMMYFUNCTION("""COMPUTED_VALUE"""),"+8.44")</f>
        <v>+8.44</v>
      </c>
      <c r="U280" s="1">
        <f ca="1">IFERROR(__xludf.DUMMYFUNCTION("""COMPUTED_VALUE"""),18)</f>
        <v>18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IFERROR(__xludf.DUMMYFUNCTION("""COMPUTED_VALUE"""),"Texas Southern")</f>
        <v>Texas Southern</v>
      </c>
      <c r="C281" s="1" t="str">
        <f ca="1">IFERROR(__xludf.DUMMYFUNCTION("""COMPUTED_VALUE"""),"SWAC")</f>
        <v>SWAC</v>
      </c>
      <c r="D281" s="1" t="str">
        <f ca="1">IFERROR(__xludf.DUMMYFUNCTION("""COMPUTED_VALUE"""),"17-16")</f>
        <v>17-16</v>
      </c>
      <c r="E281" s="1">
        <f ca="1">IFERROR(__xludf.DUMMYFUNCTION("""COMPUTED_VALUE"""),-10.52)</f>
        <v>-10.52</v>
      </c>
      <c r="F281" s="1">
        <f ca="1">IFERROR(__xludf.DUMMYFUNCTION("""COMPUTED_VALUE"""),93.4)</f>
        <v>93.4</v>
      </c>
      <c r="G281" s="1">
        <f ca="1">IFERROR(__xludf.DUMMYFUNCTION("""COMPUTED_VALUE"""),300)</f>
        <v>300</v>
      </c>
      <c r="H281" s="1">
        <f ca="1">IFERROR(__xludf.DUMMYFUNCTION("""COMPUTED_VALUE"""),103.9)</f>
        <v>103.9</v>
      </c>
      <c r="I281" s="1">
        <f ca="1">IFERROR(__xludf.DUMMYFUNCTION("""COMPUTED_VALUE"""),200)</f>
        <v>200</v>
      </c>
      <c r="J281" s="1">
        <f ca="1">IFERROR(__xludf.DUMMYFUNCTION("""COMPUTED_VALUE"""),66.4)</f>
        <v>66.400000000000006</v>
      </c>
      <c r="K281" s="1">
        <f ca="1">IFERROR(__xludf.DUMMYFUNCTION("""COMPUTED_VALUE"""),147)</f>
        <v>147</v>
      </c>
      <c r="L281" s="1">
        <f ca="1">IFERROR(__xludf.DUMMYFUNCTION("""COMPUTED_VALUE"""),-0.007)</f>
        <v>-7.0000000000000001E-3</v>
      </c>
      <c r="M281" s="1">
        <f ca="1">IFERROR(__xludf.DUMMYFUNCTION("""COMPUTED_VALUE"""),189)</f>
        <v>189</v>
      </c>
      <c r="N281" s="1">
        <f ca="1">IFERROR(__xludf.DUMMYFUNCTION("""COMPUTED_VALUE"""),-11.25)</f>
        <v>-11.25</v>
      </c>
      <c r="O281" s="1">
        <f ca="1">IFERROR(__xludf.DUMMYFUNCTION("""COMPUTED_VALUE"""),333)</f>
        <v>333</v>
      </c>
      <c r="P281" s="1">
        <f ca="1">IFERROR(__xludf.DUMMYFUNCTION("""COMPUTED_VALUE"""),94.4)</f>
        <v>94.4</v>
      </c>
      <c r="Q281" s="1">
        <f ca="1">IFERROR(__xludf.DUMMYFUNCTION("""COMPUTED_VALUE"""),342)</f>
        <v>342</v>
      </c>
      <c r="R281" s="1">
        <f ca="1">IFERROR(__xludf.DUMMYFUNCTION("""COMPUTED_VALUE"""),105.6)</f>
        <v>105.6</v>
      </c>
      <c r="S281" s="1">
        <f ca="1">IFERROR(__xludf.DUMMYFUNCTION("""COMPUTED_VALUE"""),288)</f>
        <v>288</v>
      </c>
      <c r="T281" s="1" t="str">
        <f ca="1">IFERROR(__xludf.DUMMYFUNCTION("""COMPUTED_VALUE"""),"+8.28")</f>
        <v>+8.28</v>
      </c>
      <c r="U281" s="1">
        <f ca="1">IFERROR(__xludf.DUMMYFUNCTION("""COMPUTED_VALUE"""),19)</f>
        <v>19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IFERROR(__xludf.DUMMYFUNCTION("""COMPUTED_VALUE"""),"Kennesaw St.")</f>
        <v>Kennesaw St.</v>
      </c>
      <c r="C282" s="1" t="str">
        <f ca="1">IFERROR(__xludf.DUMMYFUNCTION("""COMPUTED_VALUE"""),"ASun")</f>
        <v>ASun</v>
      </c>
      <c r="D282" s="1" t="str">
        <f ca="1">IFERROR(__xludf.DUMMYFUNCTION("""COMPUTED_VALUE"""),"13-20")</f>
        <v>13-20</v>
      </c>
      <c r="E282" s="1">
        <f ca="1">IFERROR(__xludf.DUMMYFUNCTION("""COMPUTED_VALUE"""),-10.59)</f>
        <v>-10.59</v>
      </c>
      <c r="F282" s="1">
        <f ca="1">IFERROR(__xludf.DUMMYFUNCTION("""COMPUTED_VALUE"""),98.1)</f>
        <v>98.1</v>
      </c>
      <c r="G282" s="1">
        <f ca="1">IFERROR(__xludf.DUMMYFUNCTION("""COMPUTED_VALUE"""),245)</f>
        <v>245</v>
      </c>
      <c r="H282" s="1">
        <f ca="1">IFERROR(__xludf.DUMMYFUNCTION("""COMPUTED_VALUE"""),108.7)</f>
        <v>108.7</v>
      </c>
      <c r="I282" s="1">
        <f ca="1">IFERROR(__xludf.DUMMYFUNCTION("""COMPUTED_VALUE"""),284)</f>
        <v>284</v>
      </c>
      <c r="J282" s="1">
        <f ca="1">IFERROR(__xludf.DUMMYFUNCTION("""COMPUTED_VALUE"""),64.2)</f>
        <v>64.2</v>
      </c>
      <c r="K282" s="1">
        <f ca="1">IFERROR(__xludf.DUMMYFUNCTION("""COMPUTED_VALUE"""),248)</f>
        <v>248</v>
      </c>
      <c r="L282" s="1" t="str">
        <f ca="1">IFERROR(__xludf.DUMMYFUNCTION("""COMPUTED_VALUE"""),"+.012")</f>
        <v>+.012</v>
      </c>
      <c r="M282" s="1">
        <f ca="1">IFERROR(__xludf.DUMMYFUNCTION("""COMPUTED_VALUE"""),128)</f>
        <v>128</v>
      </c>
      <c r="N282" s="1">
        <f ca="1">IFERROR(__xludf.DUMMYFUNCTION("""COMPUTED_VALUE"""),-4.29)</f>
        <v>-4.29</v>
      </c>
      <c r="O282" s="1">
        <f ca="1">IFERROR(__xludf.DUMMYFUNCTION("""COMPUTED_VALUE"""),246)</f>
        <v>246</v>
      </c>
      <c r="P282" s="1">
        <f ca="1">IFERROR(__xludf.DUMMYFUNCTION("""COMPUTED_VALUE"""),99.8)</f>
        <v>99.8</v>
      </c>
      <c r="Q282" s="1">
        <f ca="1">IFERROR(__xludf.DUMMYFUNCTION("""COMPUTED_VALUE"""),263)</f>
        <v>263</v>
      </c>
      <c r="R282" s="1">
        <f ca="1">IFERROR(__xludf.DUMMYFUNCTION("""COMPUTED_VALUE"""),104.1)</f>
        <v>104.1</v>
      </c>
      <c r="S282" s="1">
        <f ca="1">IFERROR(__xludf.DUMMYFUNCTION("""COMPUTED_VALUE"""),217)</f>
        <v>217</v>
      </c>
      <c r="T282" s="1">
        <f ca="1">IFERROR(__xludf.DUMMYFUNCTION("""COMPUTED_VALUE"""),-1.64)</f>
        <v>-1.64</v>
      </c>
      <c r="U282" s="1">
        <f ca="1">IFERROR(__xludf.DUMMYFUNCTION("""COMPUTED_VALUE"""),205)</f>
        <v>205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IFERROR(__xludf.DUMMYFUNCTION("""COMPUTED_VALUE"""),"Western Illinois")</f>
        <v>Western Illinois</v>
      </c>
      <c r="C283" s="1" t="str">
        <f ca="1">IFERROR(__xludf.DUMMYFUNCTION("""COMPUTED_VALUE"""),"Sum")</f>
        <v>Sum</v>
      </c>
      <c r="D283" s="1" t="str">
        <f ca="1">IFERROR(__xludf.DUMMYFUNCTION("""COMPUTED_VALUE"""),"13-17")</f>
        <v>13-17</v>
      </c>
      <c r="E283" s="1">
        <f ca="1">IFERROR(__xludf.DUMMYFUNCTION("""COMPUTED_VALUE"""),-10.65)</f>
        <v>-10.65</v>
      </c>
      <c r="F283" s="1">
        <f ca="1">IFERROR(__xludf.DUMMYFUNCTION("""COMPUTED_VALUE"""),91.4)</f>
        <v>91.4</v>
      </c>
      <c r="G283" s="1">
        <f ca="1">IFERROR(__xludf.DUMMYFUNCTION("""COMPUTED_VALUE"""),317)</f>
        <v>317</v>
      </c>
      <c r="H283" s="1">
        <f ca="1">IFERROR(__xludf.DUMMYFUNCTION("""COMPUTED_VALUE"""),102)</f>
        <v>102</v>
      </c>
      <c r="I283" s="1">
        <f ca="1">IFERROR(__xludf.DUMMYFUNCTION("""COMPUTED_VALUE"""),159)</f>
        <v>159</v>
      </c>
      <c r="J283" s="1">
        <f ca="1">IFERROR(__xludf.DUMMYFUNCTION("""COMPUTED_VALUE"""),60.7)</f>
        <v>60.7</v>
      </c>
      <c r="K283" s="1">
        <f ca="1">IFERROR(__xludf.DUMMYFUNCTION("""COMPUTED_VALUE"""),330)</f>
        <v>330</v>
      </c>
      <c r="L283" s="1">
        <f ca="1">IFERROR(__xludf.DUMMYFUNCTION("""COMPUTED_VALUE"""),-0.017)</f>
        <v>-1.7000000000000001E-2</v>
      </c>
      <c r="M283" s="1">
        <f ca="1">IFERROR(__xludf.DUMMYFUNCTION("""COMPUTED_VALUE"""),225)</f>
        <v>225</v>
      </c>
      <c r="N283" s="1">
        <f ca="1">IFERROR(__xludf.DUMMYFUNCTION("""COMPUTED_VALUE"""),-6.89)</f>
        <v>-6.89</v>
      </c>
      <c r="O283" s="1">
        <f ca="1">IFERROR(__xludf.DUMMYFUNCTION("""COMPUTED_VALUE"""),291)</f>
        <v>291</v>
      </c>
      <c r="P283" s="1">
        <f ca="1">IFERROR(__xludf.DUMMYFUNCTION("""COMPUTED_VALUE"""),98.9)</f>
        <v>98.9</v>
      </c>
      <c r="Q283" s="1">
        <f ca="1">IFERROR(__xludf.DUMMYFUNCTION("""COMPUTED_VALUE"""),284)</f>
        <v>284</v>
      </c>
      <c r="R283" s="1">
        <f ca="1">IFERROR(__xludf.DUMMYFUNCTION("""COMPUTED_VALUE"""),105.8)</f>
        <v>105.8</v>
      </c>
      <c r="S283" s="1">
        <f ca="1">IFERROR(__xludf.DUMMYFUNCTION("""COMPUTED_VALUE"""),298)</f>
        <v>298</v>
      </c>
      <c r="T283" s="1">
        <f ca="1">IFERROR(__xludf.DUMMYFUNCTION("""COMPUTED_VALUE"""),-7.2)</f>
        <v>-7.2</v>
      </c>
      <c r="U283" s="1">
        <f ca="1">IFERROR(__xludf.DUMMYFUNCTION("""COMPUTED_VALUE"""),320)</f>
        <v>320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IFERROR(__xludf.DUMMYFUNCTION("""COMPUTED_VALUE"""),"LIU Brooklyn")</f>
        <v>LIU Brooklyn</v>
      </c>
      <c r="C284" s="1" t="str">
        <f ca="1">IFERROR(__xludf.DUMMYFUNCTION("""COMPUTED_VALUE"""),"NEC")</f>
        <v>NEC</v>
      </c>
      <c r="D284" s="1" t="str">
        <f ca="1">IFERROR(__xludf.DUMMYFUNCTION("""COMPUTED_VALUE"""),"14-17")</f>
        <v>14-17</v>
      </c>
      <c r="E284" s="1">
        <f ca="1">IFERROR(__xludf.DUMMYFUNCTION("""COMPUTED_VALUE"""),-10.97)</f>
        <v>-10.97</v>
      </c>
      <c r="F284" s="1">
        <f ca="1">IFERROR(__xludf.DUMMYFUNCTION("""COMPUTED_VALUE"""),99.8)</f>
        <v>99.8</v>
      </c>
      <c r="G284" s="1">
        <f ca="1">IFERROR(__xludf.DUMMYFUNCTION("""COMPUTED_VALUE"""),217)</f>
        <v>217</v>
      </c>
      <c r="H284" s="1">
        <f ca="1">IFERROR(__xludf.DUMMYFUNCTION("""COMPUTED_VALUE"""),110.8)</f>
        <v>110.8</v>
      </c>
      <c r="I284" s="1">
        <f ca="1">IFERROR(__xludf.DUMMYFUNCTION("""COMPUTED_VALUE"""),311)</f>
        <v>311</v>
      </c>
      <c r="J284" s="1">
        <f ca="1">IFERROR(__xludf.DUMMYFUNCTION("""COMPUTED_VALUE"""),67.1)</f>
        <v>67.099999999999994</v>
      </c>
      <c r="K284" s="1">
        <f ca="1">IFERROR(__xludf.DUMMYFUNCTION("""COMPUTED_VALUE"""),111)</f>
        <v>111</v>
      </c>
      <c r="L284" s="1" t="str">
        <f ca="1">IFERROR(__xludf.DUMMYFUNCTION("""COMPUTED_VALUE"""),"+.009")</f>
        <v>+.009</v>
      </c>
      <c r="M284" s="1">
        <f ca="1">IFERROR(__xludf.DUMMYFUNCTION("""COMPUTED_VALUE"""),143)</f>
        <v>143</v>
      </c>
      <c r="N284" s="1">
        <f ca="1">IFERROR(__xludf.DUMMYFUNCTION("""COMPUTED_VALUE"""),-9.49)</f>
        <v>-9.49</v>
      </c>
      <c r="O284" s="1">
        <f ca="1">IFERROR(__xludf.DUMMYFUNCTION("""COMPUTED_VALUE"""),321)</f>
        <v>321</v>
      </c>
      <c r="P284" s="1">
        <f ca="1">IFERROR(__xludf.DUMMYFUNCTION("""COMPUTED_VALUE"""),95.7)</f>
        <v>95.7</v>
      </c>
      <c r="Q284" s="1">
        <f ca="1">IFERROR(__xludf.DUMMYFUNCTION("""COMPUTED_VALUE"""),333)</f>
        <v>333</v>
      </c>
      <c r="R284" s="1">
        <f ca="1">IFERROR(__xludf.DUMMYFUNCTION("""COMPUTED_VALUE"""),105.2)</f>
        <v>105.2</v>
      </c>
      <c r="S284" s="1">
        <f ca="1">IFERROR(__xludf.DUMMYFUNCTION("""COMPUTED_VALUE"""),265)</f>
        <v>265</v>
      </c>
      <c r="T284" s="1">
        <f ca="1">IFERROR(__xludf.DUMMYFUNCTION("""COMPUTED_VALUE"""),-1.06)</f>
        <v>-1.06</v>
      </c>
      <c r="U284" s="1">
        <f ca="1">IFERROR(__xludf.DUMMYFUNCTION("""COMPUTED_VALUE"""),182)</f>
        <v>182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IFERROR(__xludf.DUMMYFUNCTION("""COMPUTED_VALUE"""),"Norfolk St.")</f>
        <v>Norfolk St.</v>
      </c>
      <c r="C285" s="1" t="str">
        <f ca="1">IFERROR(__xludf.DUMMYFUNCTION("""COMPUTED_VALUE"""),"MEAC")</f>
        <v>MEAC</v>
      </c>
      <c r="D285" s="2">
        <f ca="1">IFERROR(__xludf.DUMMYFUNCTION("""COMPUTED_VALUE"""),44884)</f>
        <v>44884</v>
      </c>
      <c r="E285" s="1">
        <f ca="1">IFERROR(__xludf.DUMMYFUNCTION("""COMPUTED_VALUE"""),-11.06)</f>
        <v>-11.06</v>
      </c>
      <c r="F285" s="1">
        <f ca="1">IFERROR(__xludf.DUMMYFUNCTION("""COMPUTED_VALUE"""),96.2)</f>
        <v>96.2</v>
      </c>
      <c r="G285" s="1">
        <f ca="1">IFERROR(__xludf.DUMMYFUNCTION("""COMPUTED_VALUE"""),278)</f>
        <v>278</v>
      </c>
      <c r="H285" s="1">
        <f ca="1">IFERROR(__xludf.DUMMYFUNCTION("""COMPUTED_VALUE"""),107.2)</f>
        <v>107.2</v>
      </c>
      <c r="I285" s="1">
        <f ca="1">IFERROR(__xludf.DUMMYFUNCTION("""COMPUTED_VALUE"""),262)</f>
        <v>262</v>
      </c>
      <c r="J285" s="1">
        <f ca="1">IFERROR(__xludf.DUMMYFUNCTION("""COMPUTED_VALUE"""),71.2)</f>
        <v>71.2</v>
      </c>
      <c r="K285" s="1">
        <f ca="1">IFERROR(__xludf.DUMMYFUNCTION("""COMPUTED_VALUE"""),13)</f>
        <v>13</v>
      </c>
      <c r="L285" s="1">
        <f ca="1">IFERROR(__xludf.DUMMYFUNCTION("""COMPUTED_VALUE"""),-0.026)</f>
        <v>-2.5999999999999999E-2</v>
      </c>
      <c r="M285" s="1">
        <f ca="1">IFERROR(__xludf.DUMMYFUNCTION("""COMPUTED_VALUE"""),245)</f>
        <v>245</v>
      </c>
      <c r="N285" s="1">
        <f ca="1">IFERROR(__xludf.DUMMYFUNCTION("""COMPUTED_VALUE"""),-7.61)</f>
        <v>-7.61</v>
      </c>
      <c r="O285" s="1">
        <f ca="1">IFERROR(__xludf.DUMMYFUNCTION("""COMPUTED_VALUE"""),299)</f>
        <v>299</v>
      </c>
      <c r="P285" s="1">
        <f ca="1">IFERROR(__xludf.DUMMYFUNCTION("""COMPUTED_VALUE"""),97)</f>
        <v>97</v>
      </c>
      <c r="Q285" s="1">
        <f ca="1">IFERROR(__xludf.DUMMYFUNCTION("""COMPUTED_VALUE"""),315)</f>
        <v>315</v>
      </c>
      <c r="R285" s="1">
        <f ca="1">IFERROR(__xludf.DUMMYFUNCTION("""COMPUTED_VALUE"""),104.6)</f>
        <v>104.6</v>
      </c>
      <c r="S285" s="1">
        <f ca="1">IFERROR(__xludf.DUMMYFUNCTION("""COMPUTED_VALUE"""),243)</f>
        <v>243</v>
      </c>
      <c r="T285" s="1" t="str">
        <f ca="1">IFERROR(__xludf.DUMMYFUNCTION("""COMPUTED_VALUE"""),"+1.41")</f>
        <v>+1.41</v>
      </c>
      <c r="U285" s="1">
        <f ca="1">IFERROR(__xludf.DUMMYFUNCTION("""COMPUTED_VALUE"""),120)</f>
        <v>120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IFERROR(__xludf.DUMMYFUNCTION("""COMPUTED_VALUE"""),"Binghamton")</f>
        <v>Binghamton</v>
      </c>
      <c r="C286" s="1" t="str">
        <f ca="1">IFERROR(__xludf.DUMMYFUNCTION("""COMPUTED_VALUE"""),"AE")</f>
        <v>AE</v>
      </c>
      <c r="D286" s="1" t="str">
        <f ca="1">IFERROR(__xludf.DUMMYFUNCTION("""COMPUTED_VALUE"""),"13-18")</f>
        <v>13-18</v>
      </c>
      <c r="E286" s="1">
        <f ca="1">IFERROR(__xludf.DUMMYFUNCTION("""COMPUTED_VALUE"""),-11.07)</f>
        <v>-11.07</v>
      </c>
      <c r="F286" s="1">
        <f ca="1">IFERROR(__xludf.DUMMYFUNCTION("""COMPUTED_VALUE"""),98.1)</f>
        <v>98.1</v>
      </c>
      <c r="G286" s="1">
        <f ca="1">IFERROR(__xludf.DUMMYFUNCTION("""COMPUTED_VALUE"""),244)</f>
        <v>244</v>
      </c>
      <c r="H286" s="1">
        <f ca="1">IFERROR(__xludf.DUMMYFUNCTION("""COMPUTED_VALUE"""),109.2)</f>
        <v>109.2</v>
      </c>
      <c r="I286" s="1">
        <f ca="1">IFERROR(__xludf.DUMMYFUNCTION("""COMPUTED_VALUE"""),290)</f>
        <v>290</v>
      </c>
      <c r="J286" s="1">
        <f ca="1">IFERROR(__xludf.DUMMYFUNCTION("""COMPUTED_VALUE"""),62.5)</f>
        <v>62.5</v>
      </c>
      <c r="K286" s="1">
        <f ca="1">IFERROR(__xludf.DUMMYFUNCTION("""COMPUTED_VALUE"""),300)</f>
        <v>300</v>
      </c>
      <c r="L286" s="1" t="str">
        <f ca="1">IFERROR(__xludf.DUMMYFUNCTION("""COMPUTED_VALUE"""),"+.045")</f>
        <v>+.045</v>
      </c>
      <c r="M286" s="1">
        <f ca="1">IFERROR(__xludf.DUMMYFUNCTION("""COMPUTED_VALUE"""),69)</f>
        <v>69</v>
      </c>
      <c r="N286" s="1">
        <f ca="1">IFERROR(__xludf.DUMMYFUNCTION("""COMPUTED_VALUE"""),-3.36)</f>
        <v>-3.36</v>
      </c>
      <c r="O286" s="1">
        <f ca="1">IFERROR(__xludf.DUMMYFUNCTION("""COMPUTED_VALUE"""),231)</f>
        <v>231</v>
      </c>
      <c r="P286" s="1">
        <f ca="1">IFERROR(__xludf.DUMMYFUNCTION("""COMPUTED_VALUE"""),100.9)</f>
        <v>100.9</v>
      </c>
      <c r="Q286" s="1">
        <f ca="1">IFERROR(__xludf.DUMMYFUNCTION("""COMPUTED_VALUE"""),227)</f>
        <v>227</v>
      </c>
      <c r="R286" s="1">
        <f ca="1">IFERROR(__xludf.DUMMYFUNCTION("""COMPUTED_VALUE"""),104.3)</f>
        <v>104.3</v>
      </c>
      <c r="S286" s="1">
        <f ca="1">IFERROR(__xludf.DUMMYFUNCTION("""COMPUTED_VALUE"""),229)</f>
        <v>229</v>
      </c>
      <c r="T286" s="1" t="str">
        <f ca="1">IFERROR(__xludf.DUMMYFUNCTION("""COMPUTED_VALUE"""),"+2.22")</f>
        <v>+2.22</v>
      </c>
      <c r="U286" s="1">
        <f ca="1">IFERROR(__xludf.DUMMYFUNCTION("""COMPUTED_VALUE"""),100)</f>
        <v>100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IFERROR(__xludf.DUMMYFUNCTION("""COMPUTED_VALUE"""),"Nicholls St.")</f>
        <v>Nicholls St.</v>
      </c>
      <c r="C287" s="1" t="str">
        <f ca="1">IFERROR(__xludf.DUMMYFUNCTION("""COMPUTED_VALUE"""),"Slnd")</f>
        <v>Slnd</v>
      </c>
      <c r="D287" s="2">
        <f ca="1">IFERROR(__xludf.DUMMYFUNCTION("""COMPUTED_VALUE"""),44884)</f>
        <v>44884</v>
      </c>
      <c r="E287" s="1">
        <f ca="1">IFERROR(__xludf.DUMMYFUNCTION("""COMPUTED_VALUE"""),-11.17)</f>
        <v>-11.17</v>
      </c>
      <c r="F287" s="1">
        <f ca="1">IFERROR(__xludf.DUMMYFUNCTION("""COMPUTED_VALUE"""),99.6)</f>
        <v>99.6</v>
      </c>
      <c r="G287" s="1">
        <f ca="1">IFERROR(__xludf.DUMMYFUNCTION("""COMPUTED_VALUE"""),221)</f>
        <v>221</v>
      </c>
      <c r="H287" s="1">
        <f ca="1">IFERROR(__xludf.DUMMYFUNCTION("""COMPUTED_VALUE"""),110.7)</f>
        <v>110.7</v>
      </c>
      <c r="I287" s="1">
        <f ca="1">IFERROR(__xludf.DUMMYFUNCTION("""COMPUTED_VALUE"""),310)</f>
        <v>310</v>
      </c>
      <c r="J287" s="1">
        <f ca="1">IFERROR(__xludf.DUMMYFUNCTION("""COMPUTED_VALUE"""),61.4)</f>
        <v>61.4</v>
      </c>
      <c r="K287" s="1">
        <f ca="1">IFERROR(__xludf.DUMMYFUNCTION("""COMPUTED_VALUE"""),318)</f>
        <v>318</v>
      </c>
      <c r="L287" s="1" t="str">
        <f ca="1">IFERROR(__xludf.DUMMYFUNCTION("""COMPUTED_VALUE"""),"+.013")</f>
        <v>+.013</v>
      </c>
      <c r="M287" s="1">
        <f ca="1">IFERROR(__xludf.DUMMYFUNCTION("""COMPUTED_VALUE"""),127)</f>
        <v>127</v>
      </c>
      <c r="N287" s="1">
        <f ca="1">IFERROR(__xludf.DUMMYFUNCTION("""COMPUTED_VALUE"""),-1.95)</f>
        <v>-1.95</v>
      </c>
      <c r="O287" s="1">
        <f ca="1">IFERROR(__xludf.DUMMYFUNCTION("""COMPUTED_VALUE"""),201)</f>
        <v>201</v>
      </c>
      <c r="P287" s="1">
        <f ca="1">IFERROR(__xludf.DUMMYFUNCTION("""COMPUTED_VALUE"""),102.2)</f>
        <v>102.2</v>
      </c>
      <c r="Q287" s="1">
        <f ca="1">IFERROR(__xludf.DUMMYFUNCTION("""COMPUTED_VALUE"""),184)</f>
        <v>184</v>
      </c>
      <c r="R287" s="1">
        <f ca="1">IFERROR(__xludf.DUMMYFUNCTION("""COMPUTED_VALUE"""),104.1)</f>
        <v>104.1</v>
      </c>
      <c r="S287" s="1">
        <f ca="1">IFERROR(__xludf.DUMMYFUNCTION("""COMPUTED_VALUE"""),222)</f>
        <v>222</v>
      </c>
      <c r="T287" s="1" t="str">
        <f ca="1">IFERROR(__xludf.DUMMYFUNCTION("""COMPUTED_VALUE"""),"+6.71")</f>
        <v>+6.71</v>
      </c>
      <c r="U287" s="1">
        <f ca="1">IFERROR(__xludf.DUMMYFUNCTION("""COMPUTED_VALUE"""),36)</f>
        <v>36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IFERROR(__xludf.DUMMYFUNCTION("""COMPUTED_VALUE"""),"Jackson St.8")</f>
        <v>Jackson St.8</v>
      </c>
      <c r="C288" s="1" t="str">
        <f ca="1">IFERROR(__xludf.DUMMYFUNCTION("""COMPUTED_VALUE"""),"SWAC")</f>
        <v>SWAC</v>
      </c>
      <c r="D288" s="1" t="str">
        <f ca="1">IFERROR(__xludf.DUMMYFUNCTION("""COMPUTED_VALUE"""),"19-13")</f>
        <v>19-13</v>
      </c>
      <c r="E288" s="1">
        <f ca="1">IFERROR(__xludf.DUMMYFUNCTION("""COMPUTED_VALUE"""),-11.38)</f>
        <v>-11.38</v>
      </c>
      <c r="F288" s="1">
        <f ca="1">IFERROR(__xludf.DUMMYFUNCTION("""COMPUTED_VALUE"""),93.5)</f>
        <v>93.5</v>
      </c>
      <c r="G288" s="1">
        <f ca="1">IFERROR(__xludf.DUMMYFUNCTION("""COMPUTED_VALUE"""),299)</f>
        <v>299</v>
      </c>
      <c r="H288" s="1">
        <f ca="1">IFERROR(__xludf.DUMMYFUNCTION("""COMPUTED_VALUE"""),104.9)</f>
        <v>104.9</v>
      </c>
      <c r="I288" s="1">
        <f ca="1">IFERROR(__xludf.DUMMYFUNCTION("""COMPUTED_VALUE"""),223)</f>
        <v>223</v>
      </c>
      <c r="J288" s="1">
        <f ca="1">IFERROR(__xludf.DUMMYFUNCTION("""COMPUTED_VALUE"""),64.1)</f>
        <v>64.099999999999994</v>
      </c>
      <c r="K288" s="1">
        <f ca="1">IFERROR(__xludf.DUMMYFUNCTION("""COMPUTED_VALUE"""),253)</f>
        <v>253</v>
      </c>
      <c r="L288" s="1" t="str">
        <f ca="1">IFERROR(__xludf.DUMMYFUNCTION("""COMPUTED_VALUE"""),"+.143")</f>
        <v>+.143</v>
      </c>
      <c r="M288" s="1">
        <f ca="1">IFERROR(__xludf.DUMMYFUNCTION("""COMPUTED_VALUE"""),2)</f>
        <v>2</v>
      </c>
      <c r="N288" s="1">
        <f ca="1">IFERROR(__xludf.DUMMYFUNCTION("""COMPUTED_VALUE"""),-11.44)</f>
        <v>-11.44</v>
      </c>
      <c r="O288" s="1">
        <f ca="1">IFERROR(__xludf.DUMMYFUNCTION("""COMPUTED_VALUE"""),336)</f>
        <v>336</v>
      </c>
      <c r="P288" s="1">
        <f ca="1">IFERROR(__xludf.DUMMYFUNCTION("""COMPUTED_VALUE"""),94.5)</f>
        <v>94.5</v>
      </c>
      <c r="Q288" s="1">
        <f ca="1">IFERROR(__xludf.DUMMYFUNCTION("""COMPUTED_VALUE"""),341)</f>
        <v>341</v>
      </c>
      <c r="R288" s="1">
        <f ca="1">IFERROR(__xludf.DUMMYFUNCTION("""COMPUTED_VALUE"""),105.9)</f>
        <v>105.9</v>
      </c>
      <c r="S288" s="1">
        <f ca="1">IFERROR(__xludf.DUMMYFUNCTION("""COMPUTED_VALUE"""),306)</f>
        <v>306</v>
      </c>
      <c r="T288" s="1" t="str">
        <f ca="1">IFERROR(__xludf.DUMMYFUNCTION("""COMPUTED_VALUE"""),"+5.70")</f>
        <v>+5.70</v>
      </c>
      <c r="U288" s="1">
        <f ca="1">IFERROR(__xludf.DUMMYFUNCTION("""COMPUTED_VALUE"""),48)</f>
        <v>48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IFERROR(__xludf.DUMMYFUNCTION("""COMPUTED_VALUE"""),"Sacred Heart")</f>
        <v>Sacred Heart</v>
      </c>
      <c r="C289" s="1" t="str">
        <f ca="1">IFERROR(__xludf.DUMMYFUNCTION("""COMPUTED_VALUE"""),"NEC")</f>
        <v>NEC</v>
      </c>
      <c r="D289" s="1" t="str">
        <f ca="1">IFERROR(__xludf.DUMMYFUNCTION("""COMPUTED_VALUE"""),"14-15")</f>
        <v>14-15</v>
      </c>
      <c r="E289" s="1">
        <f ca="1">IFERROR(__xludf.DUMMYFUNCTION("""COMPUTED_VALUE"""),-11.41)</f>
        <v>-11.41</v>
      </c>
      <c r="F289" s="1">
        <f ca="1">IFERROR(__xludf.DUMMYFUNCTION("""COMPUTED_VALUE"""),99.1)</f>
        <v>99.1</v>
      </c>
      <c r="G289" s="1">
        <f ca="1">IFERROR(__xludf.DUMMYFUNCTION("""COMPUTED_VALUE"""),230)</f>
        <v>230</v>
      </c>
      <c r="H289" s="1">
        <f ca="1">IFERROR(__xludf.DUMMYFUNCTION("""COMPUTED_VALUE"""),110.5)</f>
        <v>110.5</v>
      </c>
      <c r="I289" s="1">
        <f ca="1">IFERROR(__xludf.DUMMYFUNCTION("""COMPUTED_VALUE"""),305)</f>
        <v>305</v>
      </c>
      <c r="J289" s="1">
        <f ca="1">IFERROR(__xludf.DUMMYFUNCTION("""COMPUTED_VALUE"""),69.1)</f>
        <v>69.099999999999994</v>
      </c>
      <c r="K289" s="1">
        <f ca="1">IFERROR(__xludf.DUMMYFUNCTION("""COMPUTED_VALUE"""),44)</f>
        <v>44</v>
      </c>
      <c r="L289" s="1" t="str">
        <f ca="1">IFERROR(__xludf.DUMMYFUNCTION("""COMPUTED_VALUE"""),"+.011")</f>
        <v>+.011</v>
      </c>
      <c r="M289" s="1">
        <f ca="1">IFERROR(__xludf.DUMMYFUNCTION("""COMPUTED_VALUE"""),133)</f>
        <v>133</v>
      </c>
      <c r="N289" s="1">
        <f ca="1">IFERROR(__xludf.DUMMYFUNCTION("""COMPUTED_VALUE"""),-11.26)</f>
        <v>-11.26</v>
      </c>
      <c r="O289" s="1">
        <f ca="1">IFERROR(__xludf.DUMMYFUNCTION("""COMPUTED_VALUE"""),334)</f>
        <v>334</v>
      </c>
      <c r="P289" s="1">
        <f ca="1">IFERROR(__xludf.DUMMYFUNCTION("""COMPUTED_VALUE"""),95.9)</f>
        <v>95.9</v>
      </c>
      <c r="Q289" s="1">
        <f ca="1">IFERROR(__xludf.DUMMYFUNCTION("""COMPUTED_VALUE"""),330)</f>
        <v>330</v>
      </c>
      <c r="R289" s="1">
        <f ca="1">IFERROR(__xludf.DUMMYFUNCTION("""COMPUTED_VALUE"""),107.1)</f>
        <v>107.1</v>
      </c>
      <c r="S289" s="1">
        <f ca="1">IFERROR(__xludf.DUMMYFUNCTION("""COMPUTED_VALUE"""),338)</f>
        <v>338</v>
      </c>
      <c r="T289" s="1">
        <f ca="1">IFERROR(__xludf.DUMMYFUNCTION("""COMPUTED_VALUE"""),-5.57)</f>
        <v>-5.57</v>
      </c>
      <c r="U289" s="1">
        <f ca="1">IFERROR(__xludf.DUMMYFUNCTION("""COMPUTED_VALUE"""),296)</f>
        <v>296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IFERROR(__xludf.DUMMYFUNCTION("""COMPUTED_VALUE"""),"UNC Asheville")</f>
        <v>UNC Asheville</v>
      </c>
      <c r="C290" s="1" t="str">
        <f ca="1">IFERROR(__xludf.DUMMYFUNCTION("""COMPUTED_VALUE"""),"BSth")</f>
        <v>BSth</v>
      </c>
      <c r="D290" s="1" t="str">
        <f ca="1">IFERROR(__xludf.DUMMYFUNCTION("""COMPUTED_VALUE"""),"15-16")</f>
        <v>15-16</v>
      </c>
      <c r="E290" s="1">
        <f ca="1">IFERROR(__xludf.DUMMYFUNCTION("""COMPUTED_VALUE"""),-11.43)</f>
        <v>-11.43</v>
      </c>
      <c r="F290" s="1">
        <f ca="1">IFERROR(__xludf.DUMMYFUNCTION("""COMPUTED_VALUE"""),97.2)</f>
        <v>97.2</v>
      </c>
      <c r="G290" s="1">
        <f ca="1">IFERROR(__xludf.DUMMYFUNCTION("""COMPUTED_VALUE"""),258)</f>
        <v>258</v>
      </c>
      <c r="H290" s="1">
        <f ca="1">IFERROR(__xludf.DUMMYFUNCTION("""COMPUTED_VALUE"""),108.7)</f>
        <v>108.7</v>
      </c>
      <c r="I290" s="1">
        <f ca="1">IFERROR(__xludf.DUMMYFUNCTION("""COMPUTED_VALUE"""),285)</f>
        <v>285</v>
      </c>
      <c r="J290" s="1">
        <f ca="1">IFERROR(__xludf.DUMMYFUNCTION("""COMPUTED_VALUE"""),70.8)</f>
        <v>70.8</v>
      </c>
      <c r="K290" s="1">
        <f ca="1">IFERROR(__xludf.DUMMYFUNCTION("""COMPUTED_VALUE"""),17)</f>
        <v>17</v>
      </c>
      <c r="L290" s="1" t="str">
        <f ca="1">IFERROR(__xludf.DUMMYFUNCTION("""COMPUTED_VALUE"""),"+.068")</f>
        <v>+.068</v>
      </c>
      <c r="M290" s="1">
        <f ca="1">IFERROR(__xludf.DUMMYFUNCTION("""COMPUTED_VALUE"""),37)</f>
        <v>37</v>
      </c>
      <c r="N290" s="1">
        <f ca="1">IFERROR(__xludf.DUMMYFUNCTION("""COMPUTED_VALUE"""),-7.14)</f>
        <v>-7.14</v>
      </c>
      <c r="O290" s="1">
        <f ca="1">IFERROR(__xludf.DUMMYFUNCTION("""COMPUTED_VALUE"""),292)</f>
        <v>292</v>
      </c>
      <c r="P290" s="1">
        <f ca="1">IFERROR(__xludf.DUMMYFUNCTION("""COMPUTED_VALUE"""),98.1)</f>
        <v>98.1</v>
      </c>
      <c r="Q290" s="1">
        <f ca="1">IFERROR(__xludf.DUMMYFUNCTION("""COMPUTED_VALUE"""),303)</f>
        <v>303</v>
      </c>
      <c r="R290" s="1">
        <f ca="1">IFERROR(__xludf.DUMMYFUNCTION("""COMPUTED_VALUE"""),105.2)</f>
        <v>105.2</v>
      </c>
      <c r="S290" s="1">
        <f ca="1">IFERROR(__xludf.DUMMYFUNCTION("""COMPUTED_VALUE"""),269)</f>
        <v>269</v>
      </c>
      <c r="T290" s="1" t="str">
        <f ca="1">IFERROR(__xludf.DUMMYFUNCTION("""COMPUTED_VALUE"""),"+8.72")</f>
        <v>+8.72</v>
      </c>
      <c r="U290" s="1">
        <f ca="1">IFERROR(__xludf.DUMMYFUNCTION("""COMPUTED_VALUE"""),14)</f>
        <v>14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IFERROR(__xludf.DUMMYFUNCTION("""COMPUTED_VALUE"""),"USC Upstate")</f>
        <v>USC Upstate</v>
      </c>
      <c r="C291" s="1" t="str">
        <f ca="1">IFERROR(__xludf.DUMMYFUNCTION("""COMPUTED_VALUE"""),"ASun")</f>
        <v>ASun</v>
      </c>
      <c r="D291" s="2">
        <f ca="1">IFERROR(__xludf.DUMMYFUNCTION("""COMPUTED_VALUE"""),44735)</f>
        <v>44735</v>
      </c>
      <c r="E291" s="1">
        <f ca="1">IFERROR(__xludf.DUMMYFUNCTION("""COMPUTED_VALUE"""),-11.63)</f>
        <v>-11.63</v>
      </c>
      <c r="F291" s="1">
        <f ca="1">IFERROR(__xludf.DUMMYFUNCTION("""COMPUTED_VALUE"""),92)</f>
        <v>92</v>
      </c>
      <c r="G291" s="1">
        <f ca="1">IFERROR(__xludf.DUMMYFUNCTION("""COMPUTED_VALUE"""),312)</f>
        <v>312</v>
      </c>
      <c r="H291" s="1">
        <f ca="1">IFERROR(__xludf.DUMMYFUNCTION("""COMPUTED_VALUE"""),103.6)</f>
        <v>103.6</v>
      </c>
      <c r="I291" s="1">
        <f ca="1">IFERROR(__xludf.DUMMYFUNCTION("""COMPUTED_VALUE"""),188)</f>
        <v>188</v>
      </c>
      <c r="J291" s="1">
        <f ca="1">IFERROR(__xludf.DUMMYFUNCTION("""COMPUTED_VALUE"""),65.1)</f>
        <v>65.099999999999994</v>
      </c>
      <c r="K291" s="1">
        <f ca="1">IFERROR(__xludf.DUMMYFUNCTION("""COMPUTED_VALUE"""),218)</f>
        <v>218</v>
      </c>
      <c r="L291" s="1">
        <f ca="1">IFERROR(__xludf.DUMMYFUNCTION("""COMPUTED_VALUE"""),-0.066)</f>
        <v>-6.6000000000000003E-2</v>
      </c>
      <c r="M291" s="1">
        <f ca="1">IFERROR(__xludf.DUMMYFUNCTION("""COMPUTED_VALUE"""),316)</f>
        <v>316</v>
      </c>
      <c r="N291" s="1">
        <f ca="1">IFERROR(__xludf.DUMMYFUNCTION("""COMPUTED_VALUE"""),-1.83)</f>
        <v>-1.83</v>
      </c>
      <c r="O291" s="1">
        <f ca="1">IFERROR(__xludf.DUMMYFUNCTION("""COMPUTED_VALUE"""),199)</f>
        <v>199</v>
      </c>
      <c r="P291" s="1">
        <f ca="1">IFERROR(__xludf.DUMMYFUNCTION("""COMPUTED_VALUE"""),100.9)</f>
        <v>100.9</v>
      </c>
      <c r="Q291" s="1">
        <f ca="1">IFERROR(__xludf.DUMMYFUNCTION("""COMPUTED_VALUE"""),226)</f>
        <v>226</v>
      </c>
      <c r="R291" s="1">
        <f ca="1">IFERROR(__xludf.DUMMYFUNCTION("""COMPUTED_VALUE"""),102.8)</f>
        <v>102.8</v>
      </c>
      <c r="S291" s="1">
        <f ca="1">IFERROR(__xludf.DUMMYFUNCTION("""COMPUTED_VALUE"""),168)</f>
        <v>168</v>
      </c>
      <c r="T291" s="1" t="str">
        <f ca="1">IFERROR(__xludf.DUMMYFUNCTION("""COMPUTED_VALUE"""),"+8.14")</f>
        <v>+8.14</v>
      </c>
      <c r="U291" s="1">
        <f ca="1">IFERROR(__xludf.DUMMYFUNCTION("""COMPUTED_VALUE"""),22)</f>
        <v>22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IFERROR(__xludf.DUMMYFUNCTION("""COMPUTED_VALUE"""),"Idaho St.")</f>
        <v>Idaho St.</v>
      </c>
      <c r="C292" s="1" t="str">
        <f ca="1">IFERROR(__xludf.DUMMYFUNCTION("""COMPUTED_VALUE"""),"BSky")</f>
        <v>BSky</v>
      </c>
      <c r="D292" s="2">
        <f ca="1">IFERROR(__xludf.DUMMYFUNCTION("""COMPUTED_VALUE"""),44764)</f>
        <v>44764</v>
      </c>
      <c r="E292" s="1">
        <f ca="1">IFERROR(__xludf.DUMMYFUNCTION("""COMPUTED_VALUE"""),-11.85)</f>
        <v>-11.85</v>
      </c>
      <c r="F292" s="1">
        <f ca="1">IFERROR(__xludf.DUMMYFUNCTION("""COMPUTED_VALUE"""),103.8)</f>
        <v>103.8</v>
      </c>
      <c r="G292" s="1">
        <f ca="1">IFERROR(__xludf.DUMMYFUNCTION("""COMPUTED_VALUE"""),156)</f>
        <v>156</v>
      </c>
      <c r="H292" s="1">
        <f ca="1">IFERROR(__xludf.DUMMYFUNCTION("""COMPUTED_VALUE"""),115.6)</f>
        <v>115.6</v>
      </c>
      <c r="I292" s="1">
        <f ca="1">IFERROR(__xludf.DUMMYFUNCTION("""COMPUTED_VALUE"""),345)</f>
        <v>345</v>
      </c>
      <c r="J292" s="1">
        <f ca="1">IFERROR(__xludf.DUMMYFUNCTION("""COMPUTED_VALUE"""),62.5)</f>
        <v>62.5</v>
      </c>
      <c r="K292" s="1">
        <f ca="1">IFERROR(__xludf.DUMMYFUNCTION("""COMPUTED_VALUE"""),299)</f>
        <v>299</v>
      </c>
      <c r="L292" s="1">
        <f ca="1">IFERROR(__xludf.DUMMYFUNCTION("""COMPUTED_VALUE"""),-0.009)</f>
        <v>-8.9999999999999993E-3</v>
      </c>
      <c r="M292" s="1">
        <f ca="1">IFERROR(__xludf.DUMMYFUNCTION("""COMPUTED_VALUE"""),194)</f>
        <v>194</v>
      </c>
      <c r="N292" s="1" t="str">
        <f ca="1">IFERROR(__xludf.DUMMYFUNCTION("""COMPUTED_VALUE"""),"+2.33")</f>
        <v>+2.33</v>
      </c>
      <c r="O292" s="1">
        <f ca="1">IFERROR(__xludf.DUMMYFUNCTION("""COMPUTED_VALUE"""),127)</f>
        <v>127</v>
      </c>
      <c r="P292" s="1">
        <f ca="1">IFERROR(__xludf.DUMMYFUNCTION("""COMPUTED_VALUE"""),104.8)</f>
        <v>104.8</v>
      </c>
      <c r="Q292" s="1">
        <f ca="1">IFERROR(__xludf.DUMMYFUNCTION("""COMPUTED_VALUE"""),103)</f>
        <v>103</v>
      </c>
      <c r="R292" s="1">
        <f ca="1">IFERROR(__xludf.DUMMYFUNCTION("""COMPUTED_VALUE"""),102.5)</f>
        <v>102.5</v>
      </c>
      <c r="S292" s="1">
        <f ca="1">IFERROR(__xludf.DUMMYFUNCTION("""COMPUTED_VALUE"""),155)</f>
        <v>155</v>
      </c>
      <c r="T292" s="1" t="str">
        <f ca="1">IFERROR(__xludf.DUMMYFUNCTION("""COMPUTED_VALUE"""),"+10.32")</f>
        <v>+10.32</v>
      </c>
      <c r="U292" s="1">
        <f ca="1">IFERROR(__xludf.DUMMYFUNCTION("""COMPUTED_VALUE"""),7)</f>
        <v>7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IFERROR(__xludf.DUMMYFUNCTION("""COMPUTED_VALUE"""),"McNeese St.")</f>
        <v>McNeese St.</v>
      </c>
      <c r="C293" s="1" t="str">
        <f ca="1">IFERROR(__xludf.DUMMYFUNCTION("""COMPUTED_VALUE"""),"Slnd")</f>
        <v>Slnd</v>
      </c>
      <c r="D293" s="2">
        <f ca="1">IFERROR(__xludf.DUMMYFUNCTION("""COMPUTED_VALUE"""),44854)</f>
        <v>44854</v>
      </c>
      <c r="E293" s="1">
        <f ca="1">IFERROR(__xludf.DUMMYFUNCTION("""COMPUTED_VALUE"""),-11.86)</f>
        <v>-11.86</v>
      </c>
      <c r="F293" s="1">
        <f ca="1">IFERROR(__xludf.DUMMYFUNCTION("""COMPUTED_VALUE"""),99)</f>
        <v>99</v>
      </c>
      <c r="G293" s="1">
        <f ca="1">IFERROR(__xludf.DUMMYFUNCTION("""COMPUTED_VALUE"""),232)</f>
        <v>232</v>
      </c>
      <c r="H293" s="1">
        <f ca="1">IFERROR(__xludf.DUMMYFUNCTION("""COMPUTED_VALUE"""),110.9)</f>
        <v>110.9</v>
      </c>
      <c r="I293" s="1">
        <f ca="1">IFERROR(__xludf.DUMMYFUNCTION("""COMPUTED_VALUE"""),313)</f>
        <v>313</v>
      </c>
      <c r="J293" s="1">
        <f ca="1">IFERROR(__xludf.DUMMYFUNCTION("""COMPUTED_VALUE"""),65.4)</f>
        <v>65.400000000000006</v>
      </c>
      <c r="K293" s="1">
        <f ca="1">IFERROR(__xludf.DUMMYFUNCTION("""COMPUTED_VALUE"""),202)</f>
        <v>202</v>
      </c>
      <c r="L293" s="1">
        <f ca="1">IFERROR(__xludf.DUMMYFUNCTION("""COMPUTED_VALUE"""),-0.022)</f>
        <v>-2.1999999999999999E-2</v>
      </c>
      <c r="M293" s="1">
        <f ca="1">IFERROR(__xludf.DUMMYFUNCTION("""COMPUTED_VALUE"""),238)</f>
        <v>238</v>
      </c>
      <c r="N293" s="1">
        <f ca="1">IFERROR(__xludf.DUMMYFUNCTION("""COMPUTED_VALUE"""),-4.06)</f>
        <v>-4.0599999999999996</v>
      </c>
      <c r="O293" s="1">
        <f ca="1">IFERROR(__xludf.DUMMYFUNCTION("""COMPUTED_VALUE"""),242)</f>
        <v>242</v>
      </c>
      <c r="P293" s="1">
        <f ca="1">IFERROR(__xludf.DUMMYFUNCTION("""COMPUTED_VALUE"""),100.4)</f>
        <v>100.4</v>
      </c>
      <c r="Q293" s="1">
        <f ca="1">IFERROR(__xludf.DUMMYFUNCTION("""COMPUTED_VALUE"""),246)</f>
        <v>246</v>
      </c>
      <c r="R293" s="1">
        <f ca="1">IFERROR(__xludf.DUMMYFUNCTION("""COMPUTED_VALUE"""),104.4)</f>
        <v>104.4</v>
      </c>
      <c r="S293" s="1">
        <f ca="1">IFERROR(__xludf.DUMMYFUNCTION("""COMPUTED_VALUE"""),235)</f>
        <v>235</v>
      </c>
      <c r="T293" s="1" t="str">
        <f ca="1">IFERROR(__xludf.DUMMYFUNCTION("""COMPUTED_VALUE"""),"+1.61")</f>
        <v>+1.61</v>
      </c>
      <c r="U293" s="1">
        <f ca="1">IFERROR(__xludf.DUMMYFUNCTION("""COMPUTED_VALUE"""),112)</f>
        <v>112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IFERROR(__xludf.DUMMYFUNCTION("""COMPUTED_VALUE"""),"Louisiana Monroe")</f>
        <v>Louisiana Monroe</v>
      </c>
      <c r="C294" s="1" t="str">
        <f ca="1">IFERROR(__xludf.DUMMYFUNCTION("""COMPUTED_VALUE"""),"SB")</f>
        <v>SB</v>
      </c>
      <c r="D294" s="2">
        <f ca="1">IFERROR(__xludf.DUMMYFUNCTION("""COMPUTED_VALUE"""),44914)</f>
        <v>44914</v>
      </c>
      <c r="E294" s="1">
        <f ca="1">IFERROR(__xludf.DUMMYFUNCTION("""COMPUTED_VALUE"""),-11.87)</f>
        <v>-11.87</v>
      </c>
      <c r="F294" s="1">
        <f ca="1">IFERROR(__xludf.DUMMYFUNCTION("""COMPUTED_VALUE"""),98.4)</f>
        <v>98.4</v>
      </c>
      <c r="G294" s="1">
        <f ca="1">IFERROR(__xludf.DUMMYFUNCTION("""COMPUTED_VALUE"""),240)</f>
        <v>240</v>
      </c>
      <c r="H294" s="1">
        <f ca="1">IFERROR(__xludf.DUMMYFUNCTION("""COMPUTED_VALUE"""),110.3)</f>
        <v>110.3</v>
      </c>
      <c r="I294" s="1">
        <f ca="1">IFERROR(__xludf.DUMMYFUNCTION("""COMPUTED_VALUE"""),301)</f>
        <v>301</v>
      </c>
      <c r="J294" s="1">
        <f ca="1">IFERROR(__xludf.DUMMYFUNCTION("""COMPUTED_VALUE"""),66.1)</f>
        <v>66.099999999999994</v>
      </c>
      <c r="K294" s="1">
        <f ca="1">IFERROR(__xludf.DUMMYFUNCTION("""COMPUTED_VALUE"""),168)</f>
        <v>168</v>
      </c>
      <c r="L294" s="1" t="str">
        <f ca="1">IFERROR(__xludf.DUMMYFUNCTION("""COMPUTED_VALUE"""),"+.049")</f>
        <v>+.049</v>
      </c>
      <c r="M294" s="1">
        <f ca="1">IFERROR(__xludf.DUMMYFUNCTION("""COMPUTED_VALUE"""),62)</f>
        <v>62</v>
      </c>
      <c r="N294" s="1">
        <f ca="1">IFERROR(__xludf.DUMMYFUNCTION("""COMPUTED_VALUE"""),-4.61)</f>
        <v>-4.6100000000000003</v>
      </c>
      <c r="O294" s="1">
        <f ca="1">IFERROR(__xludf.DUMMYFUNCTION("""COMPUTED_VALUE"""),250)</f>
        <v>250</v>
      </c>
      <c r="P294" s="1">
        <f ca="1">IFERROR(__xludf.DUMMYFUNCTION("""COMPUTED_VALUE"""),100.6)</f>
        <v>100.6</v>
      </c>
      <c r="Q294" s="1">
        <f ca="1">IFERROR(__xludf.DUMMYFUNCTION("""COMPUTED_VALUE"""),237)</f>
        <v>237</v>
      </c>
      <c r="R294" s="1">
        <f ca="1">IFERROR(__xludf.DUMMYFUNCTION("""COMPUTED_VALUE"""),105.2)</f>
        <v>105.2</v>
      </c>
      <c r="S294" s="1">
        <f ca="1">IFERROR(__xludf.DUMMYFUNCTION("""COMPUTED_VALUE"""),266)</f>
        <v>266</v>
      </c>
      <c r="T294" s="1">
        <f ca="1">IFERROR(__xludf.DUMMYFUNCTION("""COMPUTED_VALUE"""),-0.88)</f>
        <v>-0.88</v>
      </c>
      <c r="U294" s="1">
        <f ca="1">IFERROR(__xludf.DUMMYFUNCTION("""COMPUTED_VALUE"""),169)</f>
        <v>169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IFERROR(__xludf.DUMMYFUNCTION("""COMPUTED_VALUE"""),"Arkansas Little Rock")</f>
        <v>Arkansas Little Rock</v>
      </c>
      <c r="C297" s="1" t="str">
        <f ca="1">IFERROR(__xludf.DUMMYFUNCTION("""COMPUTED_VALUE"""),"SB")</f>
        <v>SB</v>
      </c>
      <c r="D297" s="2">
        <f ca="1">IFERROR(__xludf.DUMMYFUNCTION("""COMPUTED_VALUE"""),44795)</f>
        <v>44795</v>
      </c>
      <c r="E297" s="1">
        <f ca="1">IFERROR(__xludf.DUMMYFUNCTION("""COMPUTED_VALUE"""),-11.99)</f>
        <v>-11.99</v>
      </c>
      <c r="F297" s="1">
        <f ca="1">IFERROR(__xludf.DUMMYFUNCTION("""COMPUTED_VALUE"""),99.6)</f>
        <v>99.6</v>
      </c>
      <c r="G297" s="1">
        <f ca="1">IFERROR(__xludf.DUMMYFUNCTION("""COMPUTED_VALUE"""),220)</f>
        <v>220</v>
      </c>
      <c r="H297" s="1">
        <f ca="1">IFERROR(__xludf.DUMMYFUNCTION("""COMPUTED_VALUE"""),111.6)</f>
        <v>111.6</v>
      </c>
      <c r="I297" s="1">
        <f ca="1">IFERROR(__xludf.DUMMYFUNCTION("""COMPUTED_VALUE"""),324)</f>
        <v>324</v>
      </c>
      <c r="J297" s="1">
        <f ca="1">IFERROR(__xludf.DUMMYFUNCTION("""COMPUTED_VALUE"""),65.5)</f>
        <v>65.5</v>
      </c>
      <c r="K297" s="1">
        <f ca="1">IFERROR(__xludf.DUMMYFUNCTION("""COMPUTED_VALUE"""),196)</f>
        <v>196</v>
      </c>
      <c r="L297" s="1">
        <f ca="1">IFERROR(__xludf.DUMMYFUNCTION("""COMPUTED_VALUE"""),-0.022)</f>
        <v>-2.1999999999999999E-2</v>
      </c>
      <c r="M297" s="1">
        <f ca="1">IFERROR(__xludf.DUMMYFUNCTION("""COMPUTED_VALUE"""),239)</f>
        <v>239</v>
      </c>
      <c r="N297" s="1">
        <f ca="1">IFERROR(__xludf.DUMMYFUNCTION("""COMPUTED_VALUE"""),-1.79)</f>
        <v>-1.79</v>
      </c>
      <c r="O297" s="1">
        <f ca="1">IFERROR(__xludf.DUMMYFUNCTION("""COMPUTED_VALUE"""),198)</f>
        <v>198</v>
      </c>
      <c r="P297" s="1">
        <f ca="1">IFERROR(__xludf.DUMMYFUNCTION("""COMPUTED_VALUE"""),102.4)</f>
        <v>102.4</v>
      </c>
      <c r="Q297" s="1">
        <f ca="1">IFERROR(__xludf.DUMMYFUNCTION("""COMPUTED_VALUE"""),178)</f>
        <v>178</v>
      </c>
      <c r="R297" s="1">
        <f ca="1">IFERROR(__xludf.DUMMYFUNCTION("""COMPUTED_VALUE"""),104.2)</f>
        <v>104.2</v>
      </c>
      <c r="S297" s="1">
        <f ca="1">IFERROR(__xludf.DUMMYFUNCTION("""COMPUTED_VALUE"""),224)</f>
        <v>224</v>
      </c>
      <c r="T297" s="1" t="str">
        <f ca="1">IFERROR(__xludf.DUMMYFUNCTION("""COMPUTED_VALUE"""),"+8.46")</f>
        <v>+8.46</v>
      </c>
      <c r="U297" s="1">
        <f ca="1">IFERROR(__xludf.DUMMYFUNCTION("""COMPUTED_VALUE"""),17)</f>
        <v>17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IFERROR(__xludf.DUMMYFUNCTION("""COMPUTED_VALUE"""),"Liberty")</f>
        <v>Liberty</v>
      </c>
      <c r="C298" s="1" t="str">
        <f ca="1">IFERROR(__xludf.DUMMYFUNCTION("""COMPUTED_VALUE"""),"BSth")</f>
        <v>BSth</v>
      </c>
      <c r="D298" s="1" t="str">
        <f ca="1">IFERROR(__xludf.DUMMYFUNCTION("""COMPUTED_VALUE"""),"15-16")</f>
        <v>15-16</v>
      </c>
      <c r="E298" s="1">
        <f ca="1">IFERROR(__xludf.DUMMYFUNCTION("""COMPUTED_VALUE"""),-12.03)</f>
        <v>-12.03</v>
      </c>
      <c r="F298" s="1">
        <f ca="1">IFERROR(__xludf.DUMMYFUNCTION("""COMPUTED_VALUE"""),96.3)</f>
        <v>96.3</v>
      </c>
      <c r="G298" s="1">
        <f ca="1">IFERROR(__xludf.DUMMYFUNCTION("""COMPUTED_VALUE"""),273)</f>
        <v>273</v>
      </c>
      <c r="H298" s="1">
        <f ca="1">IFERROR(__xludf.DUMMYFUNCTION("""COMPUTED_VALUE"""),108.4)</f>
        <v>108.4</v>
      </c>
      <c r="I298" s="1">
        <f ca="1">IFERROR(__xludf.DUMMYFUNCTION("""COMPUTED_VALUE"""),278)</f>
        <v>278</v>
      </c>
      <c r="J298" s="1">
        <f ca="1">IFERROR(__xludf.DUMMYFUNCTION("""COMPUTED_VALUE"""),65.7)</f>
        <v>65.7</v>
      </c>
      <c r="K298" s="1">
        <f ca="1">IFERROR(__xludf.DUMMYFUNCTION("""COMPUTED_VALUE"""),186)</f>
        <v>186</v>
      </c>
      <c r="L298" s="1" t="str">
        <f ca="1">IFERROR(__xludf.DUMMYFUNCTION("""COMPUTED_VALUE"""),"+.049")</f>
        <v>+.049</v>
      </c>
      <c r="M298" s="1">
        <f ca="1">IFERROR(__xludf.DUMMYFUNCTION("""COMPUTED_VALUE"""),61)</f>
        <v>61</v>
      </c>
      <c r="N298" s="1">
        <f ca="1">IFERROR(__xludf.DUMMYFUNCTION("""COMPUTED_VALUE"""),-7.23)</f>
        <v>-7.23</v>
      </c>
      <c r="O298" s="1">
        <f ca="1">IFERROR(__xludf.DUMMYFUNCTION("""COMPUTED_VALUE"""),295)</f>
        <v>295</v>
      </c>
      <c r="P298" s="1">
        <f ca="1">IFERROR(__xludf.DUMMYFUNCTION("""COMPUTED_VALUE"""),98.3)</f>
        <v>98.3</v>
      </c>
      <c r="Q298" s="1">
        <f ca="1">IFERROR(__xludf.DUMMYFUNCTION("""COMPUTED_VALUE"""),297)</f>
        <v>297</v>
      </c>
      <c r="R298" s="1">
        <f ca="1">IFERROR(__xludf.DUMMYFUNCTION("""COMPUTED_VALUE"""),105.6)</f>
        <v>105.6</v>
      </c>
      <c r="S298" s="1">
        <f ca="1">IFERROR(__xludf.DUMMYFUNCTION("""COMPUTED_VALUE"""),285)</f>
        <v>285</v>
      </c>
      <c r="T298" s="1" t="str">
        <f ca="1">IFERROR(__xludf.DUMMYFUNCTION("""COMPUTED_VALUE"""),"+5.12")</f>
        <v>+5.12</v>
      </c>
      <c r="U298" s="1">
        <f ca="1">IFERROR(__xludf.DUMMYFUNCTION("""COMPUTED_VALUE"""),53)</f>
        <v>53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IFERROR(__xludf.DUMMYFUNCTION("""COMPUTED_VALUE"""),"Lamar")</f>
        <v>Lamar</v>
      </c>
      <c r="C299" s="1" t="str">
        <f ca="1">IFERROR(__xludf.DUMMYFUNCTION("""COMPUTED_VALUE"""),"Slnd")</f>
        <v>Slnd</v>
      </c>
      <c r="D299" s="1" t="str">
        <f ca="1">IFERROR(__xludf.DUMMYFUNCTION("""COMPUTED_VALUE"""),"14-18")</f>
        <v>14-18</v>
      </c>
      <c r="E299" s="1">
        <f ca="1">IFERROR(__xludf.DUMMYFUNCTION("""COMPUTED_VALUE"""),-12.07)</f>
        <v>-12.07</v>
      </c>
      <c r="F299" s="1">
        <f ca="1">IFERROR(__xludf.DUMMYFUNCTION("""COMPUTED_VALUE"""),96.4)</f>
        <v>96.4</v>
      </c>
      <c r="G299" s="1">
        <f ca="1">IFERROR(__xludf.DUMMYFUNCTION("""COMPUTED_VALUE"""),271)</f>
        <v>271</v>
      </c>
      <c r="H299" s="1">
        <f ca="1">IFERROR(__xludf.DUMMYFUNCTION("""COMPUTED_VALUE"""),108.5)</f>
        <v>108.5</v>
      </c>
      <c r="I299" s="1">
        <f ca="1">IFERROR(__xludf.DUMMYFUNCTION("""COMPUTED_VALUE"""),282)</f>
        <v>282</v>
      </c>
      <c r="J299" s="1">
        <f ca="1">IFERROR(__xludf.DUMMYFUNCTION("""COMPUTED_VALUE"""),67.7)</f>
        <v>67.7</v>
      </c>
      <c r="K299" s="1">
        <f ca="1">IFERROR(__xludf.DUMMYFUNCTION("""COMPUTED_VALUE"""),83)</f>
        <v>83</v>
      </c>
      <c r="L299" s="1" t="str">
        <f ca="1">IFERROR(__xludf.DUMMYFUNCTION("""COMPUTED_VALUE"""),"+.053")</f>
        <v>+.053</v>
      </c>
      <c r="M299" s="1">
        <f ca="1">IFERROR(__xludf.DUMMYFUNCTION("""COMPUTED_VALUE"""),51)</f>
        <v>51</v>
      </c>
      <c r="N299" s="1">
        <f ca="1">IFERROR(__xludf.DUMMYFUNCTION("""COMPUTED_VALUE"""),-4.68)</f>
        <v>-4.68</v>
      </c>
      <c r="O299" s="1">
        <f ca="1">IFERROR(__xludf.DUMMYFUNCTION("""COMPUTED_VALUE"""),252)</f>
        <v>252</v>
      </c>
      <c r="P299" s="1">
        <f ca="1">IFERROR(__xludf.DUMMYFUNCTION("""COMPUTED_VALUE"""),100.1)</f>
        <v>100.1</v>
      </c>
      <c r="Q299" s="1">
        <f ca="1">IFERROR(__xludf.DUMMYFUNCTION("""COMPUTED_VALUE"""),257)</f>
        <v>257</v>
      </c>
      <c r="R299" s="1">
        <f ca="1">IFERROR(__xludf.DUMMYFUNCTION("""COMPUTED_VALUE"""),104.7)</f>
        <v>104.7</v>
      </c>
      <c r="S299" s="1">
        <f ca="1">IFERROR(__xludf.DUMMYFUNCTION("""COMPUTED_VALUE"""),250)</f>
        <v>250</v>
      </c>
      <c r="T299" s="1">
        <f ca="1">IFERROR(__xludf.DUMMYFUNCTION("""COMPUTED_VALUE"""),-3.54)</f>
        <v>-3.54</v>
      </c>
      <c r="U299" s="1">
        <f ca="1">IFERROR(__xludf.DUMMYFUNCTION("""COMPUTED_VALUE"""),257)</f>
        <v>257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IFERROR(__xludf.DUMMYFUNCTION("""COMPUTED_VALUE"""),"Brown")</f>
        <v>Brown</v>
      </c>
      <c r="C300" s="1" t="str">
        <f ca="1">IFERROR(__xludf.DUMMYFUNCTION("""COMPUTED_VALUE"""),"Ivy")</f>
        <v>Ivy</v>
      </c>
      <c r="D300" s="2">
        <f ca="1">IFERROR(__xludf.DUMMYFUNCTION("""COMPUTED_VALUE"""),44885)</f>
        <v>44885</v>
      </c>
      <c r="E300" s="1">
        <f ca="1">IFERROR(__xludf.DUMMYFUNCTION("""COMPUTED_VALUE"""),-12.16)</f>
        <v>-12.16</v>
      </c>
      <c r="F300" s="1">
        <f ca="1">IFERROR(__xludf.DUMMYFUNCTION("""COMPUTED_VALUE"""),100)</f>
        <v>100</v>
      </c>
      <c r="G300" s="1">
        <f ca="1">IFERROR(__xludf.DUMMYFUNCTION("""COMPUTED_VALUE"""),215)</f>
        <v>215</v>
      </c>
      <c r="H300" s="1">
        <f ca="1">IFERROR(__xludf.DUMMYFUNCTION("""COMPUTED_VALUE"""),112.1)</f>
        <v>112.1</v>
      </c>
      <c r="I300" s="1">
        <f ca="1">IFERROR(__xludf.DUMMYFUNCTION("""COMPUTED_VALUE"""),334)</f>
        <v>334</v>
      </c>
      <c r="J300" s="1">
        <f ca="1">IFERROR(__xludf.DUMMYFUNCTION("""COMPUTED_VALUE"""),66.1)</f>
        <v>66.099999999999994</v>
      </c>
      <c r="K300" s="1">
        <f ca="1">IFERROR(__xludf.DUMMYFUNCTION("""COMPUTED_VALUE"""),169)</f>
        <v>169</v>
      </c>
      <c r="L300" s="1" t="str">
        <f ca="1">IFERROR(__xludf.DUMMYFUNCTION("""COMPUTED_VALUE"""),"+.004")</f>
        <v>+.004</v>
      </c>
      <c r="M300" s="1">
        <f ca="1">IFERROR(__xludf.DUMMYFUNCTION("""COMPUTED_VALUE"""),161)</f>
        <v>161</v>
      </c>
      <c r="N300" s="1">
        <f ca="1">IFERROR(__xludf.DUMMYFUNCTION("""COMPUTED_VALUE"""),-3.71)</f>
        <v>-3.71</v>
      </c>
      <c r="O300" s="1">
        <f ca="1">IFERROR(__xludf.DUMMYFUNCTION("""COMPUTED_VALUE"""),239)</f>
        <v>239</v>
      </c>
      <c r="P300" s="1">
        <f ca="1">IFERROR(__xludf.DUMMYFUNCTION("""COMPUTED_VALUE"""),99.6)</f>
        <v>99.6</v>
      </c>
      <c r="Q300" s="1">
        <f ca="1">IFERROR(__xludf.DUMMYFUNCTION("""COMPUTED_VALUE"""),266)</f>
        <v>266</v>
      </c>
      <c r="R300" s="1">
        <f ca="1">IFERROR(__xludf.DUMMYFUNCTION("""COMPUTED_VALUE"""),103.3)</f>
        <v>103.3</v>
      </c>
      <c r="S300" s="1">
        <f ca="1">IFERROR(__xludf.DUMMYFUNCTION("""COMPUTED_VALUE"""),186)</f>
        <v>186</v>
      </c>
      <c r="T300" s="1">
        <f ca="1">IFERROR(__xludf.DUMMYFUNCTION("""COMPUTED_VALUE"""),-1.2)</f>
        <v>-1.2</v>
      </c>
      <c r="U300" s="1">
        <f ca="1">IFERROR(__xludf.DUMMYFUNCTION("""COMPUTED_VALUE"""),190)</f>
        <v>190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IFERROR(__xludf.DUMMYFUNCTION("""COMPUTED_VALUE"""),"Cal St. Bakersfield")</f>
        <v>Cal St. Bakersfield</v>
      </c>
      <c r="C301" s="1" t="str">
        <f ca="1">IFERROR(__xludf.DUMMYFUNCTION("""COMPUTED_VALUE"""),"ind")</f>
        <v>ind</v>
      </c>
      <c r="D301" s="2">
        <f ca="1">IFERROR(__xludf.DUMMYFUNCTION("""COMPUTED_VALUE"""),44764)</f>
        <v>44764</v>
      </c>
      <c r="E301" s="1">
        <f ca="1">IFERROR(__xludf.DUMMYFUNCTION("""COMPUTED_VALUE"""),-12.17)</f>
        <v>-12.17</v>
      </c>
      <c r="F301" s="1">
        <f ca="1">IFERROR(__xludf.DUMMYFUNCTION("""COMPUTED_VALUE"""),96.1)</f>
        <v>96.1</v>
      </c>
      <c r="G301" s="1">
        <f ca="1">IFERROR(__xludf.DUMMYFUNCTION("""COMPUTED_VALUE"""),280)</f>
        <v>280</v>
      </c>
      <c r="H301" s="1">
        <f ca="1">IFERROR(__xludf.DUMMYFUNCTION("""COMPUTED_VALUE"""),108.2)</f>
        <v>108.2</v>
      </c>
      <c r="I301" s="1">
        <f ca="1">IFERROR(__xludf.DUMMYFUNCTION("""COMPUTED_VALUE"""),276)</f>
        <v>276</v>
      </c>
      <c r="J301" s="1">
        <f ca="1">IFERROR(__xludf.DUMMYFUNCTION("""COMPUTED_VALUE"""),67)</f>
        <v>67</v>
      </c>
      <c r="K301" s="1">
        <f ca="1">IFERROR(__xludf.DUMMYFUNCTION("""COMPUTED_VALUE"""),120)</f>
        <v>120</v>
      </c>
      <c r="L301" s="1">
        <f ca="1">IFERROR(__xludf.DUMMYFUNCTION("""COMPUTED_VALUE"""),-0.015)</f>
        <v>-1.4999999999999999E-2</v>
      </c>
      <c r="M301" s="1">
        <f ca="1">IFERROR(__xludf.DUMMYFUNCTION("""COMPUTED_VALUE"""),216)</f>
        <v>216</v>
      </c>
      <c r="N301" s="1">
        <f ca="1">IFERROR(__xludf.DUMMYFUNCTION("""COMPUTED_VALUE"""),-1.66)</f>
        <v>-1.66</v>
      </c>
      <c r="O301" s="1">
        <f ca="1">IFERROR(__xludf.DUMMYFUNCTION("""COMPUTED_VALUE"""),196)</f>
        <v>196</v>
      </c>
      <c r="P301" s="1">
        <f ca="1">IFERROR(__xludf.DUMMYFUNCTION("""COMPUTED_VALUE"""),102.7)</f>
        <v>102.7</v>
      </c>
      <c r="Q301" s="1">
        <f ca="1">IFERROR(__xludf.DUMMYFUNCTION("""COMPUTED_VALUE"""),172)</f>
        <v>172</v>
      </c>
      <c r="R301" s="1">
        <f ca="1">IFERROR(__xludf.DUMMYFUNCTION("""COMPUTED_VALUE"""),104.3)</f>
        <v>104.3</v>
      </c>
      <c r="S301" s="1">
        <f ca="1">IFERROR(__xludf.DUMMYFUNCTION("""COMPUTED_VALUE"""),230)</f>
        <v>230</v>
      </c>
      <c r="T301" s="1">
        <f ca="1">IFERROR(__xludf.DUMMYFUNCTION("""COMPUTED_VALUE"""),-1.2)</f>
        <v>-1.2</v>
      </c>
      <c r="U301" s="1">
        <f ca="1">IFERROR(__xludf.DUMMYFUNCTION("""COMPUTED_VALUE"""),191)</f>
        <v>191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IFERROR(__xludf.DUMMYFUNCTION("""COMPUTED_VALUE"""),"Pepperdine")</f>
        <v>Pepperdine</v>
      </c>
      <c r="C302" s="1" t="str">
        <f ca="1">IFERROR(__xludf.DUMMYFUNCTION("""COMPUTED_VALUE"""),"WCC")</f>
        <v>WCC</v>
      </c>
      <c r="D302" s="2">
        <f ca="1">IFERROR(__xludf.DUMMYFUNCTION("""COMPUTED_VALUE"""),44766)</f>
        <v>44766</v>
      </c>
      <c r="E302" s="1">
        <f ca="1">IFERROR(__xludf.DUMMYFUNCTION("""COMPUTED_VALUE"""),-12.2)</f>
        <v>-12.2</v>
      </c>
      <c r="F302" s="1">
        <f ca="1">IFERROR(__xludf.DUMMYFUNCTION("""COMPUTED_VALUE"""),98)</f>
        <v>98</v>
      </c>
      <c r="G302" s="1">
        <f ca="1">IFERROR(__xludf.DUMMYFUNCTION("""COMPUTED_VALUE"""),247)</f>
        <v>247</v>
      </c>
      <c r="H302" s="1">
        <f ca="1">IFERROR(__xludf.DUMMYFUNCTION("""COMPUTED_VALUE"""),110.2)</f>
        <v>110.2</v>
      </c>
      <c r="I302" s="1">
        <f ca="1">IFERROR(__xludf.DUMMYFUNCTION("""COMPUTED_VALUE"""),300)</f>
        <v>300</v>
      </c>
      <c r="J302" s="1">
        <f ca="1">IFERROR(__xludf.DUMMYFUNCTION("""COMPUTED_VALUE"""),65.5)</f>
        <v>65.5</v>
      </c>
      <c r="K302" s="1">
        <f ca="1">IFERROR(__xludf.DUMMYFUNCTION("""COMPUTED_VALUE"""),197)</f>
        <v>197</v>
      </c>
      <c r="L302" s="1">
        <f ca="1">IFERROR(__xludf.DUMMYFUNCTION("""COMPUTED_VALUE"""),-0.001)</f>
        <v>-1E-3</v>
      </c>
      <c r="M302" s="1">
        <f ca="1">IFERROR(__xludf.DUMMYFUNCTION("""COMPUTED_VALUE"""),174)</f>
        <v>174</v>
      </c>
      <c r="N302" s="1" t="str">
        <f ca="1">IFERROR(__xludf.DUMMYFUNCTION("""COMPUTED_VALUE"""),"+0.77")</f>
        <v>+0.77</v>
      </c>
      <c r="O302" s="1">
        <f ca="1">IFERROR(__xludf.DUMMYFUNCTION("""COMPUTED_VALUE"""),153)</f>
        <v>153</v>
      </c>
      <c r="P302" s="1">
        <f ca="1">IFERROR(__xludf.DUMMYFUNCTION("""COMPUTED_VALUE"""),104.3)</f>
        <v>104.3</v>
      </c>
      <c r="Q302" s="1">
        <f ca="1">IFERROR(__xludf.DUMMYFUNCTION("""COMPUTED_VALUE"""),121)</f>
        <v>121</v>
      </c>
      <c r="R302" s="1">
        <f ca="1">IFERROR(__xludf.DUMMYFUNCTION("""COMPUTED_VALUE"""),103.5)</f>
        <v>103.5</v>
      </c>
      <c r="S302" s="1">
        <f ca="1">IFERROR(__xludf.DUMMYFUNCTION("""COMPUTED_VALUE"""),189)</f>
        <v>189</v>
      </c>
      <c r="T302" s="1">
        <f ca="1">IFERROR(__xludf.DUMMYFUNCTION("""COMPUTED_VALUE"""),-1.46)</f>
        <v>-1.46</v>
      </c>
      <c r="U302" s="1">
        <f ca="1">IFERROR(__xludf.DUMMYFUNCTION("""COMPUTED_VALUE"""),198)</f>
        <v>198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IFERROR(__xludf.DUMMYFUNCTION("""COMPUTED_VALUE"""),"High Point")</f>
        <v>High Point</v>
      </c>
      <c r="C303" s="1" t="str">
        <f ca="1">IFERROR(__xludf.DUMMYFUNCTION("""COMPUTED_VALUE"""),"BSth")</f>
        <v>BSth</v>
      </c>
      <c r="D303" s="1" t="str">
        <f ca="1">IFERROR(__xludf.DUMMYFUNCTION("""COMPUTED_VALUE"""),"15-15")</f>
        <v>15-15</v>
      </c>
      <c r="E303" s="1">
        <f ca="1">IFERROR(__xludf.DUMMYFUNCTION("""COMPUTED_VALUE"""),-12.43)</f>
        <v>-12.43</v>
      </c>
      <c r="F303" s="1">
        <f ca="1">IFERROR(__xludf.DUMMYFUNCTION("""COMPUTED_VALUE"""),97.1)</f>
        <v>97.1</v>
      </c>
      <c r="G303" s="1">
        <f ca="1">IFERROR(__xludf.DUMMYFUNCTION("""COMPUTED_VALUE"""),260)</f>
        <v>260</v>
      </c>
      <c r="H303" s="1">
        <f ca="1">IFERROR(__xludf.DUMMYFUNCTION("""COMPUTED_VALUE"""),109.6)</f>
        <v>109.6</v>
      </c>
      <c r="I303" s="1">
        <f ca="1">IFERROR(__xludf.DUMMYFUNCTION("""COMPUTED_VALUE"""),295)</f>
        <v>295</v>
      </c>
      <c r="J303" s="1">
        <f ca="1">IFERROR(__xludf.DUMMYFUNCTION("""COMPUTED_VALUE"""),67.4)</f>
        <v>67.400000000000006</v>
      </c>
      <c r="K303" s="1">
        <f ca="1">IFERROR(__xludf.DUMMYFUNCTION("""COMPUTED_VALUE"""),97)</f>
        <v>97</v>
      </c>
      <c r="L303" s="1" t="str">
        <f ca="1">IFERROR(__xludf.DUMMYFUNCTION("""COMPUTED_VALUE"""),"+.050")</f>
        <v>+.050</v>
      </c>
      <c r="M303" s="1">
        <f ca="1">IFERROR(__xludf.DUMMYFUNCTION("""COMPUTED_VALUE"""),57)</f>
        <v>57</v>
      </c>
      <c r="N303" s="1">
        <f ca="1">IFERROR(__xludf.DUMMYFUNCTION("""COMPUTED_VALUE"""),-10)</f>
        <v>-10</v>
      </c>
      <c r="O303" s="1">
        <f ca="1">IFERROR(__xludf.DUMMYFUNCTION("""COMPUTED_VALUE"""),325)</f>
        <v>325</v>
      </c>
      <c r="P303" s="1">
        <f ca="1">IFERROR(__xludf.DUMMYFUNCTION("""COMPUTED_VALUE"""),96.6)</f>
        <v>96.6</v>
      </c>
      <c r="Q303" s="1">
        <f ca="1">IFERROR(__xludf.DUMMYFUNCTION("""COMPUTED_VALUE"""),323)</f>
        <v>323</v>
      </c>
      <c r="R303" s="1">
        <f ca="1">IFERROR(__xludf.DUMMYFUNCTION("""COMPUTED_VALUE"""),106.6)</f>
        <v>106.6</v>
      </c>
      <c r="S303" s="1">
        <f ca="1">IFERROR(__xludf.DUMMYFUNCTION("""COMPUTED_VALUE"""),327)</f>
        <v>327</v>
      </c>
      <c r="T303" s="1">
        <f ca="1">IFERROR(__xludf.DUMMYFUNCTION("""COMPUTED_VALUE"""),-3.63)</f>
        <v>-3.63</v>
      </c>
      <c r="U303" s="1">
        <f ca="1">IFERROR(__xludf.DUMMYFUNCTION("""COMPUTED_VALUE"""),258)</f>
        <v>258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IFERROR(__xludf.DUMMYFUNCTION("""COMPUTED_VALUE"""),"Sacramento St.")</f>
        <v>Sacramento St.</v>
      </c>
      <c r="C304" s="1" t="str">
        <f ca="1">IFERROR(__xludf.DUMMYFUNCTION("""COMPUTED_VALUE"""),"BSky")</f>
        <v>BSky</v>
      </c>
      <c r="D304" s="2">
        <f ca="1">IFERROR(__xludf.DUMMYFUNCTION("""COMPUTED_VALUE"""),44825)</f>
        <v>44825</v>
      </c>
      <c r="E304" s="1">
        <f ca="1">IFERROR(__xludf.DUMMYFUNCTION("""COMPUTED_VALUE"""),-12.53)</f>
        <v>-12.53</v>
      </c>
      <c r="F304" s="1">
        <f ca="1">IFERROR(__xludf.DUMMYFUNCTION("""COMPUTED_VALUE"""),93.3)</f>
        <v>93.3</v>
      </c>
      <c r="G304" s="1">
        <f ca="1">IFERROR(__xludf.DUMMYFUNCTION("""COMPUTED_VALUE"""),302)</f>
        <v>302</v>
      </c>
      <c r="H304" s="1">
        <f ca="1">IFERROR(__xludf.DUMMYFUNCTION("""COMPUTED_VALUE"""),105.8)</f>
        <v>105.8</v>
      </c>
      <c r="I304" s="1">
        <f ca="1">IFERROR(__xludf.DUMMYFUNCTION("""COMPUTED_VALUE"""),235)</f>
        <v>235</v>
      </c>
      <c r="J304" s="1">
        <f ca="1">IFERROR(__xludf.DUMMYFUNCTION("""COMPUTED_VALUE"""),66.5)</f>
        <v>66.5</v>
      </c>
      <c r="K304" s="1">
        <f ca="1">IFERROR(__xludf.DUMMYFUNCTION("""COMPUTED_VALUE"""),143)</f>
        <v>143</v>
      </c>
      <c r="L304" s="1">
        <f ca="1">IFERROR(__xludf.DUMMYFUNCTION("""COMPUTED_VALUE"""),-0.003)</f>
        <v>-3.0000000000000001E-3</v>
      </c>
      <c r="M304" s="1">
        <f ca="1">IFERROR(__xludf.DUMMYFUNCTION("""COMPUTED_VALUE"""),178)</f>
        <v>178</v>
      </c>
      <c r="N304" s="1">
        <f ca="1">IFERROR(__xludf.DUMMYFUNCTION("""COMPUTED_VALUE"""),-1.64)</f>
        <v>-1.64</v>
      </c>
      <c r="O304" s="1">
        <f ca="1">IFERROR(__xludf.DUMMYFUNCTION("""COMPUTED_VALUE"""),195)</f>
        <v>195</v>
      </c>
      <c r="P304" s="1">
        <f ca="1">IFERROR(__xludf.DUMMYFUNCTION("""COMPUTED_VALUE"""),102.8)</f>
        <v>102.8</v>
      </c>
      <c r="Q304" s="1">
        <f ca="1">IFERROR(__xludf.DUMMYFUNCTION("""COMPUTED_VALUE"""),169)</f>
        <v>169</v>
      </c>
      <c r="R304" s="1">
        <f ca="1">IFERROR(__xludf.DUMMYFUNCTION("""COMPUTED_VALUE"""),104.4)</f>
        <v>104.4</v>
      </c>
      <c r="S304" s="1">
        <f ca="1">IFERROR(__xludf.DUMMYFUNCTION("""COMPUTED_VALUE"""),237)</f>
        <v>237</v>
      </c>
      <c r="T304" s="1">
        <f ca="1">IFERROR(__xludf.DUMMYFUNCTION("""COMPUTED_VALUE"""),-0.96)</f>
        <v>-0.96</v>
      </c>
      <c r="U304" s="1">
        <f ca="1">IFERROR(__xludf.DUMMYFUNCTION("""COMPUTED_VALUE"""),176)</f>
        <v>176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IFERROR(__xludf.DUMMYFUNCTION("""COMPUTED_VALUE"""),"Alabama St.")</f>
        <v>Alabama St.</v>
      </c>
      <c r="C305" s="1" t="str">
        <f ca="1">IFERROR(__xludf.DUMMYFUNCTION("""COMPUTED_VALUE"""),"SWAC")</f>
        <v>SWAC</v>
      </c>
      <c r="D305" s="1" t="str">
        <f ca="1">IFERROR(__xludf.DUMMYFUNCTION("""COMPUTED_VALUE"""),"16-15")</f>
        <v>16-15</v>
      </c>
      <c r="E305" s="1">
        <f ca="1">IFERROR(__xludf.DUMMYFUNCTION("""COMPUTED_VALUE"""),-12.63)</f>
        <v>-12.63</v>
      </c>
      <c r="F305" s="1">
        <f ca="1">IFERROR(__xludf.DUMMYFUNCTION("""COMPUTED_VALUE"""),93.5)</f>
        <v>93.5</v>
      </c>
      <c r="G305" s="1">
        <f ca="1">IFERROR(__xludf.DUMMYFUNCTION("""COMPUTED_VALUE"""),298)</f>
        <v>298</v>
      </c>
      <c r="H305" s="1">
        <f ca="1">IFERROR(__xludf.DUMMYFUNCTION("""COMPUTED_VALUE"""),106.2)</f>
        <v>106.2</v>
      </c>
      <c r="I305" s="1">
        <f ca="1">IFERROR(__xludf.DUMMYFUNCTION("""COMPUTED_VALUE"""),242)</f>
        <v>242</v>
      </c>
      <c r="J305" s="1">
        <f ca="1">IFERROR(__xludf.DUMMYFUNCTION("""COMPUTED_VALUE"""),65.2)</f>
        <v>65.2</v>
      </c>
      <c r="K305" s="1">
        <f ca="1">IFERROR(__xludf.DUMMYFUNCTION("""COMPUTED_VALUE"""),212)</f>
        <v>212</v>
      </c>
      <c r="L305" s="1" t="str">
        <f ca="1">IFERROR(__xludf.DUMMYFUNCTION("""COMPUTED_VALUE"""),"+.022")</f>
        <v>+.022</v>
      </c>
      <c r="M305" s="1">
        <f ca="1">IFERROR(__xludf.DUMMYFUNCTION("""COMPUTED_VALUE"""),110)</f>
        <v>110</v>
      </c>
      <c r="N305" s="1">
        <f ca="1">IFERROR(__xludf.DUMMYFUNCTION("""COMPUTED_VALUE"""),-11.86)</f>
        <v>-11.86</v>
      </c>
      <c r="O305" s="1">
        <f ca="1">IFERROR(__xludf.DUMMYFUNCTION("""COMPUTED_VALUE"""),339)</f>
        <v>339</v>
      </c>
      <c r="P305" s="1">
        <f ca="1">IFERROR(__xludf.DUMMYFUNCTION("""COMPUTED_VALUE"""),93.3)</f>
        <v>93.3</v>
      </c>
      <c r="Q305" s="1">
        <f ca="1">IFERROR(__xludf.DUMMYFUNCTION("""COMPUTED_VALUE"""),345)</f>
        <v>345</v>
      </c>
      <c r="R305" s="1">
        <f ca="1">IFERROR(__xludf.DUMMYFUNCTION("""COMPUTED_VALUE"""),105.2)</f>
        <v>105.2</v>
      </c>
      <c r="S305" s="1">
        <f ca="1">IFERROR(__xludf.DUMMYFUNCTION("""COMPUTED_VALUE"""),264)</f>
        <v>264</v>
      </c>
      <c r="T305" s="1" t="str">
        <f ca="1">IFERROR(__xludf.DUMMYFUNCTION("""COMPUTED_VALUE"""),"+8.16")</f>
        <v>+8.16</v>
      </c>
      <c r="U305" s="1">
        <f ca="1">IFERROR(__xludf.DUMMYFUNCTION("""COMPUTED_VALUE"""),21)</f>
        <v>21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IFERROR(__xludf.DUMMYFUNCTION("""COMPUTED_VALUE"""),"Colgate")</f>
        <v>Colgate</v>
      </c>
      <c r="C306" s="1" t="str">
        <f ca="1">IFERROR(__xludf.DUMMYFUNCTION("""COMPUTED_VALUE"""),"Pat")</f>
        <v>Pat</v>
      </c>
      <c r="D306" s="2">
        <f ca="1">IFERROR(__xludf.DUMMYFUNCTION("""COMPUTED_VALUE"""),44853)</f>
        <v>44853</v>
      </c>
      <c r="E306" s="1">
        <f ca="1">IFERROR(__xludf.DUMMYFUNCTION("""COMPUTED_VALUE"""),-12.67)</f>
        <v>-12.67</v>
      </c>
      <c r="F306" s="1">
        <f ca="1">IFERROR(__xludf.DUMMYFUNCTION("""COMPUTED_VALUE"""),97.8)</f>
        <v>97.8</v>
      </c>
      <c r="G306" s="1">
        <f ca="1">IFERROR(__xludf.DUMMYFUNCTION("""COMPUTED_VALUE"""),250)</f>
        <v>250</v>
      </c>
      <c r="H306" s="1">
        <f ca="1">IFERROR(__xludf.DUMMYFUNCTION("""COMPUTED_VALUE"""),110.5)</f>
        <v>110.5</v>
      </c>
      <c r="I306" s="1">
        <f ca="1">IFERROR(__xludf.DUMMYFUNCTION("""COMPUTED_VALUE"""),306)</f>
        <v>306</v>
      </c>
      <c r="J306" s="1">
        <f ca="1">IFERROR(__xludf.DUMMYFUNCTION("""COMPUTED_VALUE"""),65.6)</f>
        <v>65.599999999999994</v>
      </c>
      <c r="K306" s="1">
        <f ca="1">IFERROR(__xludf.DUMMYFUNCTION("""COMPUTED_VALUE"""),191)</f>
        <v>191</v>
      </c>
      <c r="L306" s="1">
        <f ca="1">IFERROR(__xludf.DUMMYFUNCTION("""COMPUTED_VALUE"""),-0.031)</f>
        <v>-3.1E-2</v>
      </c>
      <c r="M306" s="1">
        <f ca="1">IFERROR(__xludf.DUMMYFUNCTION("""COMPUTED_VALUE"""),255)</f>
        <v>255</v>
      </c>
      <c r="N306" s="1">
        <f ca="1">IFERROR(__xludf.DUMMYFUNCTION("""COMPUTED_VALUE"""),-8.15)</f>
        <v>-8.15</v>
      </c>
      <c r="O306" s="1">
        <f ca="1">IFERROR(__xludf.DUMMYFUNCTION("""COMPUTED_VALUE"""),310)</f>
        <v>310</v>
      </c>
      <c r="P306" s="1">
        <f ca="1">IFERROR(__xludf.DUMMYFUNCTION("""COMPUTED_VALUE"""),97.8)</f>
        <v>97.8</v>
      </c>
      <c r="Q306" s="1">
        <f ca="1">IFERROR(__xludf.DUMMYFUNCTION("""COMPUTED_VALUE"""),307)</f>
        <v>307</v>
      </c>
      <c r="R306" s="1">
        <f ca="1">IFERROR(__xludf.DUMMYFUNCTION("""COMPUTED_VALUE"""),106)</f>
        <v>106</v>
      </c>
      <c r="S306" s="1">
        <f ca="1">IFERROR(__xludf.DUMMYFUNCTION("""COMPUTED_VALUE"""),310)</f>
        <v>310</v>
      </c>
      <c r="T306" s="1">
        <f ca="1">IFERROR(__xludf.DUMMYFUNCTION("""COMPUTED_VALUE"""),-7.17)</f>
        <v>-7.17</v>
      </c>
      <c r="U306" s="1">
        <f ca="1">IFERROR(__xludf.DUMMYFUNCTION("""COMPUTED_VALUE"""),319)</f>
        <v>319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IFERROR(__xludf.DUMMYFUNCTION("""COMPUTED_VALUE"""),"Navy")</f>
        <v>Navy</v>
      </c>
      <c r="C307" s="1" t="str">
        <f ca="1">IFERROR(__xludf.DUMMYFUNCTION("""COMPUTED_VALUE"""),"Pat")</f>
        <v>Pat</v>
      </c>
      <c r="D307" s="1" t="str">
        <f ca="1">IFERROR(__xludf.DUMMYFUNCTION("""COMPUTED_VALUE"""),"13-17")</f>
        <v>13-17</v>
      </c>
      <c r="E307" s="1">
        <f ca="1">IFERROR(__xludf.DUMMYFUNCTION("""COMPUTED_VALUE"""),-12.7)</f>
        <v>-12.7</v>
      </c>
      <c r="F307" s="1">
        <f ca="1">IFERROR(__xludf.DUMMYFUNCTION("""COMPUTED_VALUE"""),96.3)</f>
        <v>96.3</v>
      </c>
      <c r="G307" s="1">
        <f ca="1">IFERROR(__xludf.DUMMYFUNCTION("""COMPUTED_VALUE"""),272)</f>
        <v>272</v>
      </c>
      <c r="H307" s="1">
        <f ca="1">IFERROR(__xludf.DUMMYFUNCTION("""COMPUTED_VALUE"""),109)</f>
        <v>109</v>
      </c>
      <c r="I307" s="1">
        <f ca="1">IFERROR(__xludf.DUMMYFUNCTION("""COMPUTED_VALUE"""),289)</f>
        <v>289</v>
      </c>
      <c r="J307" s="1">
        <f ca="1">IFERROR(__xludf.DUMMYFUNCTION("""COMPUTED_VALUE"""),70.7)</f>
        <v>70.7</v>
      </c>
      <c r="K307" s="1">
        <f ca="1">IFERROR(__xludf.DUMMYFUNCTION("""COMPUTED_VALUE"""),20)</f>
        <v>20</v>
      </c>
      <c r="L307" s="1" t="str">
        <f ca="1">IFERROR(__xludf.DUMMYFUNCTION("""COMPUTED_VALUE"""),"+.077")</f>
        <v>+.077</v>
      </c>
      <c r="M307" s="1">
        <f ca="1">IFERROR(__xludf.DUMMYFUNCTION("""COMPUTED_VALUE"""),25)</f>
        <v>25</v>
      </c>
      <c r="N307" s="1">
        <f ca="1">IFERROR(__xludf.DUMMYFUNCTION("""COMPUTED_VALUE"""),-8.5)</f>
        <v>-8.5</v>
      </c>
      <c r="O307" s="1">
        <f ca="1">IFERROR(__xludf.DUMMYFUNCTION("""COMPUTED_VALUE"""),311)</f>
        <v>311</v>
      </c>
      <c r="P307" s="1">
        <f ca="1">IFERROR(__xludf.DUMMYFUNCTION("""COMPUTED_VALUE"""),98.3)</f>
        <v>98.3</v>
      </c>
      <c r="Q307" s="1">
        <f ca="1">IFERROR(__xludf.DUMMYFUNCTION("""COMPUTED_VALUE"""),299)</f>
        <v>299</v>
      </c>
      <c r="R307" s="1">
        <f ca="1">IFERROR(__xludf.DUMMYFUNCTION("""COMPUTED_VALUE"""),106.8)</f>
        <v>106.8</v>
      </c>
      <c r="S307" s="1">
        <f ca="1">IFERROR(__xludf.DUMMYFUNCTION("""COMPUTED_VALUE"""),332)</f>
        <v>332</v>
      </c>
      <c r="T307" s="1">
        <f ca="1">IFERROR(__xludf.DUMMYFUNCTION("""COMPUTED_VALUE"""),-7.71)</f>
        <v>-7.71</v>
      </c>
      <c r="U307" s="1">
        <f ca="1">IFERROR(__xludf.DUMMYFUNCTION("""COMPUTED_VALUE"""),326)</f>
        <v>326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IFERROR(__xludf.DUMMYFUNCTION("""COMPUTED_VALUE"""),"Bethune Cookman")</f>
        <v>Bethune Cookman</v>
      </c>
      <c r="C308" s="1" t="str">
        <f ca="1">IFERROR(__xludf.DUMMYFUNCTION("""COMPUTED_VALUE"""),"MEAC")</f>
        <v>MEAC</v>
      </c>
      <c r="D308" s="1" t="str">
        <f ca="1">IFERROR(__xludf.DUMMYFUNCTION("""COMPUTED_VALUE"""),"17-16")</f>
        <v>17-16</v>
      </c>
      <c r="E308" s="1">
        <f ca="1">IFERROR(__xludf.DUMMYFUNCTION("""COMPUTED_VALUE"""),-12.98)</f>
        <v>-12.98</v>
      </c>
      <c r="F308" s="1">
        <f ca="1">IFERROR(__xludf.DUMMYFUNCTION("""COMPUTED_VALUE"""),93.9)</f>
        <v>93.9</v>
      </c>
      <c r="G308" s="1">
        <f ca="1">IFERROR(__xludf.DUMMYFUNCTION("""COMPUTED_VALUE"""),295)</f>
        <v>295</v>
      </c>
      <c r="H308" s="1">
        <f ca="1">IFERROR(__xludf.DUMMYFUNCTION("""COMPUTED_VALUE"""),106.9)</f>
        <v>106.9</v>
      </c>
      <c r="I308" s="1">
        <f ca="1">IFERROR(__xludf.DUMMYFUNCTION("""COMPUTED_VALUE"""),256)</f>
        <v>256</v>
      </c>
      <c r="J308" s="1">
        <f ca="1">IFERROR(__xludf.DUMMYFUNCTION("""COMPUTED_VALUE"""),58.9)</f>
        <v>58.9</v>
      </c>
      <c r="K308" s="1">
        <f ca="1">IFERROR(__xludf.DUMMYFUNCTION("""COMPUTED_VALUE"""),341)</f>
        <v>341</v>
      </c>
      <c r="L308" s="1" t="str">
        <f ca="1">IFERROR(__xludf.DUMMYFUNCTION("""COMPUTED_VALUE"""),"+.043")</f>
        <v>+.043</v>
      </c>
      <c r="M308" s="1">
        <f ca="1">IFERROR(__xludf.DUMMYFUNCTION("""COMPUTED_VALUE"""),72)</f>
        <v>72</v>
      </c>
      <c r="N308" s="1">
        <f ca="1">IFERROR(__xludf.DUMMYFUNCTION("""COMPUTED_VALUE"""),-10.52)</f>
        <v>-10.52</v>
      </c>
      <c r="O308" s="1">
        <f ca="1">IFERROR(__xludf.DUMMYFUNCTION("""COMPUTED_VALUE"""),329)</f>
        <v>329</v>
      </c>
      <c r="P308" s="1">
        <f ca="1">IFERROR(__xludf.DUMMYFUNCTION("""COMPUTED_VALUE"""),96.1)</f>
        <v>96.1</v>
      </c>
      <c r="Q308" s="1">
        <f ca="1">IFERROR(__xludf.DUMMYFUNCTION("""COMPUTED_VALUE"""),329)</f>
        <v>329</v>
      </c>
      <c r="R308" s="1">
        <f ca="1">IFERROR(__xludf.DUMMYFUNCTION("""COMPUTED_VALUE"""),106.6)</f>
        <v>106.6</v>
      </c>
      <c r="S308" s="1">
        <f ca="1">IFERROR(__xludf.DUMMYFUNCTION("""COMPUTED_VALUE"""),328)</f>
        <v>328</v>
      </c>
      <c r="T308" s="1">
        <f ca="1">IFERROR(__xludf.DUMMYFUNCTION("""COMPUTED_VALUE"""),-2.25)</f>
        <v>-2.25</v>
      </c>
      <c r="U308" s="1">
        <f ca="1">IFERROR(__xludf.DUMMYFUNCTION("""COMPUTED_VALUE"""),224)</f>
        <v>224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IFERROR(__xludf.DUMMYFUNCTION("""COMPUTED_VALUE"""),"Charleston Southern")</f>
        <v>Charleston Southern</v>
      </c>
      <c r="C309" s="1" t="str">
        <f ca="1">IFERROR(__xludf.DUMMYFUNCTION("""COMPUTED_VALUE"""),"BSth")</f>
        <v>BSth</v>
      </c>
      <c r="D309" s="1" t="str">
        <f ca="1">IFERROR(__xludf.DUMMYFUNCTION("""COMPUTED_VALUE"""),"13-17")</f>
        <v>13-17</v>
      </c>
      <c r="E309" s="1">
        <f ca="1">IFERROR(__xludf.DUMMYFUNCTION("""COMPUTED_VALUE"""),-13.06)</f>
        <v>-13.06</v>
      </c>
      <c r="F309" s="1">
        <f ca="1">IFERROR(__xludf.DUMMYFUNCTION("""COMPUTED_VALUE"""),94.7)</f>
        <v>94.7</v>
      </c>
      <c r="G309" s="1">
        <f ca="1">IFERROR(__xludf.DUMMYFUNCTION("""COMPUTED_VALUE"""),290)</f>
        <v>290</v>
      </c>
      <c r="H309" s="1">
        <f ca="1">IFERROR(__xludf.DUMMYFUNCTION("""COMPUTED_VALUE"""),107.8)</f>
        <v>107.8</v>
      </c>
      <c r="I309" s="1">
        <f ca="1">IFERROR(__xludf.DUMMYFUNCTION("""COMPUTED_VALUE"""),271)</f>
        <v>271</v>
      </c>
      <c r="J309" s="1">
        <f ca="1">IFERROR(__xludf.DUMMYFUNCTION("""COMPUTED_VALUE"""),62.6)</f>
        <v>62.6</v>
      </c>
      <c r="K309" s="1">
        <f ca="1">IFERROR(__xludf.DUMMYFUNCTION("""COMPUTED_VALUE"""),297)</f>
        <v>297</v>
      </c>
      <c r="L309" s="1" t="str">
        <f ca="1">IFERROR(__xludf.DUMMYFUNCTION("""COMPUTED_VALUE"""),"+.006")</f>
        <v>+.006</v>
      </c>
      <c r="M309" s="1">
        <f ca="1">IFERROR(__xludf.DUMMYFUNCTION("""COMPUTED_VALUE"""),156)</f>
        <v>156</v>
      </c>
      <c r="N309" s="1">
        <f ca="1">IFERROR(__xludf.DUMMYFUNCTION("""COMPUTED_VALUE"""),-7.86)</f>
        <v>-7.86</v>
      </c>
      <c r="O309" s="1">
        <f ca="1">IFERROR(__xludf.DUMMYFUNCTION("""COMPUTED_VALUE"""),307)</f>
        <v>307</v>
      </c>
      <c r="P309" s="1">
        <f ca="1">IFERROR(__xludf.DUMMYFUNCTION("""COMPUTED_VALUE"""),98.1)</f>
        <v>98.1</v>
      </c>
      <c r="Q309" s="1">
        <f ca="1">IFERROR(__xludf.DUMMYFUNCTION("""COMPUTED_VALUE"""),304)</f>
        <v>304</v>
      </c>
      <c r="R309" s="1">
        <f ca="1">IFERROR(__xludf.DUMMYFUNCTION("""COMPUTED_VALUE"""),106)</f>
        <v>106</v>
      </c>
      <c r="S309" s="1">
        <f ca="1">IFERROR(__xludf.DUMMYFUNCTION("""COMPUTED_VALUE"""),308)</f>
        <v>308</v>
      </c>
      <c r="T309" s="1" t="str">
        <f ca="1">IFERROR(__xludf.DUMMYFUNCTION("""COMPUTED_VALUE"""),"+7.65")</f>
        <v>+7.65</v>
      </c>
      <c r="U309" s="1">
        <f ca="1">IFERROR(__xludf.DUMMYFUNCTION("""COMPUTED_VALUE"""),24)</f>
        <v>24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IFERROR(__xludf.DUMMYFUNCTION("""COMPUTED_VALUE"""),"American")</f>
        <v>American</v>
      </c>
      <c r="C310" s="1" t="str">
        <f ca="1">IFERROR(__xludf.DUMMYFUNCTION("""COMPUTED_VALUE"""),"Pat")</f>
        <v>Pat</v>
      </c>
      <c r="D310" s="2">
        <f ca="1">IFERROR(__xludf.DUMMYFUNCTION("""COMPUTED_VALUE"""),44885)</f>
        <v>44885</v>
      </c>
      <c r="E310" s="1">
        <f ca="1">IFERROR(__xludf.DUMMYFUNCTION("""COMPUTED_VALUE"""),-13.09)</f>
        <v>-13.09</v>
      </c>
      <c r="F310" s="1">
        <f ca="1">IFERROR(__xludf.DUMMYFUNCTION("""COMPUTED_VALUE"""),94.1)</f>
        <v>94.1</v>
      </c>
      <c r="G310" s="1">
        <f ca="1">IFERROR(__xludf.DUMMYFUNCTION("""COMPUTED_VALUE"""),294)</f>
        <v>294</v>
      </c>
      <c r="H310" s="1">
        <f ca="1">IFERROR(__xludf.DUMMYFUNCTION("""COMPUTED_VALUE"""),107.2)</f>
        <v>107.2</v>
      </c>
      <c r="I310" s="1">
        <f ca="1">IFERROR(__xludf.DUMMYFUNCTION("""COMPUTED_VALUE"""),259)</f>
        <v>259</v>
      </c>
      <c r="J310" s="1">
        <f ca="1">IFERROR(__xludf.DUMMYFUNCTION("""COMPUTED_VALUE"""),62.4)</f>
        <v>62.4</v>
      </c>
      <c r="K310" s="1">
        <f ca="1">IFERROR(__xludf.DUMMYFUNCTION("""COMPUTED_VALUE"""),303)</f>
        <v>303</v>
      </c>
      <c r="L310" s="1" t="str">
        <f ca="1">IFERROR(__xludf.DUMMYFUNCTION("""COMPUTED_VALUE"""),"+.016")</f>
        <v>+.016</v>
      </c>
      <c r="M310" s="1">
        <f ca="1">IFERROR(__xludf.DUMMYFUNCTION("""COMPUTED_VALUE"""),120)</f>
        <v>120</v>
      </c>
      <c r="N310" s="1">
        <f ca="1">IFERROR(__xludf.DUMMYFUNCTION("""COMPUTED_VALUE"""),-7.81)</f>
        <v>-7.81</v>
      </c>
      <c r="O310" s="1">
        <f ca="1">IFERROR(__xludf.DUMMYFUNCTION("""COMPUTED_VALUE"""),305)</f>
        <v>305</v>
      </c>
      <c r="P310" s="1">
        <f ca="1">IFERROR(__xludf.DUMMYFUNCTION("""COMPUTED_VALUE"""),99.2)</f>
        <v>99.2</v>
      </c>
      <c r="Q310" s="1">
        <f ca="1">IFERROR(__xludf.DUMMYFUNCTION("""COMPUTED_VALUE"""),279)</f>
        <v>279</v>
      </c>
      <c r="R310" s="1">
        <f ca="1">IFERROR(__xludf.DUMMYFUNCTION("""COMPUTED_VALUE"""),107)</f>
        <v>107</v>
      </c>
      <c r="S310" s="1">
        <f ca="1">IFERROR(__xludf.DUMMYFUNCTION("""COMPUTED_VALUE"""),336)</f>
        <v>336</v>
      </c>
      <c r="T310" s="1">
        <f ca="1">IFERROR(__xludf.DUMMYFUNCTION("""COMPUTED_VALUE"""),-6.12)</f>
        <v>-6.12</v>
      </c>
      <c r="U310" s="1">
        <f ca="1">IFERROR(__xludf.DUMMYFUNCTION("""COMPUTED_VALUE"""),307)</f>
        <v>307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IFERROR(__xludf.DUMMYFUNCTION("""COMPUTED_VALUE"""),"Albany")</f>
        <v>Albany</v>
      </c>
      <c r="C311" s="1" t="str">
        <f ca="1">IFERROR(__xludf.DUMMYFUNCTION("""COMPUTED_VALUE"""),"AE")</f>
        <v>AE</v>
      </c>
      <c r="D311" s="2">
        <f ca="1">IFERROR(__xludf.DUMMYFUNCTION("""COMPUTED_VALUE"""),44767)</f>
        <v>44767</v>
      </c>
      <c r="E311" s="1">
        <f ca="1">IFERROR(__xludf.DUMMYFUNCTION("""COMPUTED_VALUE"""),-13.16)</f>
        <v>-13.16</v>
      </c>
      <c r="F311" s="1">
        <f ca="1">IFERROR(__xludf.DUMMYFUNCTION("""COMPUTED_VALUE"""),97.2)</f>
        <v>97.2</v>
      </c>
      <c r="G311" s="1">
        <f ca="1">IFERROR(__xludf.DUMMYFUNCTION("""COMPUTED_VALUE"""),259)</f>
        <v>259</v>
      </c>
      <c r="H311" s="1">
        <f ca="1">IFERROR(__xludf.DUMMYFUNCTION("""COMPUTED_VALUE"""),110.3)</f>
        <v>110.3</v>
      </c>
      <c r="I311" s="1">
        <f ca="1">IFERROR(__xludf.DUMMYFUNCTION("""COMPUTED_VALUE"""),302)</f>
        <v>302</v>
      </c>
      <c r="J311" s="1">
        <f ca="1">IFERROR(__xludf.DUMMYFUNCTION("""COMPUTED_VALUE"""),63.6)</f>
        <v>63.6</v>
      </c>
      <c r="K311" s="1">
        <f ca="1">IFERROR(__xludf.DUMMYFUNCTION("""COMPUTED_VALUE"""),271)</f>
        <v>271</v>
      </c>
      <c r="L311" s="1">
        <f ca="1">IFERROR(__xludf.DUMMYFUNCTION("""COMPUTED_VALUE"""),-0.073)</f>
        <v>-7.2999999999999995E-2</v>
      </c>
      <c r="M311" s="1">
        <f ca="1">IFERROR(__xludf.DUMMYFUNCTION("""COMPUTED_VALUE"""),324)</f>
        <v>324</v>
      </c>
      <c r="N311" s="1">
        <f ca="1">IFERROR(__xludf.DUMMYFUNCTION("""COMPUTED_VALUE"""),-4.25)</f>
        <v>-4.25</v>
      </c>
      <c r="O311" s="1">
        <f ca="1">IFERROR(__xludf.DUMMYFUNCTION("""COMPUTED_VALUE"""),245)</f>
        <v>245</v>
      </c>
      <c r="P311" s="1">
        <f ca="1">IFERROR(__xludf.DUMMYFUNCTION("""COMPUTED_VALUE"""),99.6)</f>
        <v>99.6</v>
      </c>
      <c r="Q311" s="1">
        <f ca="1">IFERROR(__xludf.DUMMYFUNCTION("""COMPUTED_VALUE"""),267)</f>
        <v>267</v>
      </c>
      <c r="R311" s="1">
        <f ca="1">IFERROR(__xludf.DUMMYFUNCTION("""COMPUTED_VALUE"""),103.8)</f>
        <v>103.8</v>
      </c>
      <c r="S311" s="1">
        <f ca="1">IFERROR(__xludf.DUMMYFUNCTION("""COMPUTED_VALUE"""),208)</f>
        <v>208</v>
      </c>
      <c r="T311" s="1">
        <f ca="1">IFERROR(__xludf.DUMMYFUNCTION("""COMPUTED_VALUE"""),-0.45)</f>
        <v>-0.45</v>
      </c>
      <c r="U311" s="1">
        <f ca="1">IFERROR(__xludf.DUMMYFUNCTION("""COMPUTED_VALUE"""),159)</f>
        <v>159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IFERROR(__xludf.DUMMYFUNCTION("""COMPUTED_VALUE"""),"Monmouth")</f>
        <v>Monmouth</v>
      </c>
      <c r="C312" s="1" t="str">
        <f ca="1">IFERROR(__xludf.DUMMYFUNCTION("""COMPUTED_VALUE"""),"NEC")</f>
        <v>NEC</v>
      </c>
      <c r="D312" s="2">
        <f ca="1">IFERROR(__xludf.DUMMYFUNCTION("""COMPUTED_VALUE"""),44914)</f>
        <v>44914</v>
      </c>
      <c r="E312" s="1">
        <f ca="1">IFERROR(__xludf.DUMMYFUNCTION("""COMPUTED_VALUE"""),-13.46)</f>
        <v>-13.46</v>
      </c>
      <c r="F312" s="1">
        <f ca="1">IFERROR(__xludf.DUMMYFUNCTION("""COMPUTED_VALUE"""),92.5)</f>
        <v>92.5</v>
      </c>
      <c r="G312" s="1">
        <f ca="1">IFERROR(__xludf.DUMMYFUNCTION("""COMPUTED_VALUE"""),307)</f>
        <v>307</v>
      </c>
      <c r="H312" s="1">
        <f ca="1">IFERROR(__xludf.DUMMYFUNCTION("""COMPUTED_VALUE"""),105.9)</f>
        <v>105.9</v>
      </c>
      <c r="I312" s="1">
        <f ca="1">IFERROR(__xludf.DUMMYFUNCTION("""COMPUTED_VALUE"""),238)</f>
        <v>238</v>
      </c>
      <c r="J312" s="1">
        <f ca="1">IFERROR(__xludf.DUMMYFUNCTION("""COMPUTED_VALUE"""),65.6)</f>
        <v>65.599999999999994</v>
      </c>
      <c r="K312" s="1">
        <f ca="1">IFERROR(__xludf.DUMMYFUNCTION("""COMPUTED_VALUE"""),189)</f>
        <v>189</v>
      </c>
      <c r="L312" s="1">
        <f ca="1">IFERROR(__xludf.DUMMYFUNCTION("""COMPUTED_VALUE"""),-0.031)</f>
        <v>-3.1E-2</v>
      </c>
      <c r="M312" s="1">
        <f ca="1">IFERROR(__xludf.DUMMYFUNCTION("""COMPUTED_VALUE"""),256)</f>
        <v>256</v>
      </c>
      <c r="N312" s="1">
        <f ca="1">IFERROR(__xludf.DUMMYFUNCTION("""COMPUTED_VALUE"""),-9.33)</f>
        <v>-9.33</v>
      </c>
      <c r="O312" s="1">
        <f ca="1">IFERROR(__xludf.DUMMYFUNCTION("""COMPUTED_VALUE"""),319)</f>
        <v>319</v>
      </c>
      <c r="P312" s="1">
        <f ca="1">IFERROR(__xludf.DUMMYFUNCTION("""COMPUTED_VALUE"""),96.8)</f>
        <v>96.8</v>
      </c>
      <c r="Q312" s="1">
        <f ca="1">IFERROR(__xludf.DUMMYFUNCTION("""COMPUTED_VALUE"""),321)</f>
        <v>321</v>
      </c>
      <c r="R312" s="1">
        <f ca="1">IFERROR(__xludf.DUMMYFUNCTION("""COMPUTED_VALUE"""),106.1)</f>
        <v>106.1</v>
      </c>
      <c r="S312" s="1">
        <f ca="1">IFERROR(__xludf.DUMMYFUNCTION("""COMPUTED_VALUE"""),314)</f>
        <v>314</v>
      </c>
      <c r="T312" s="1">
        <f ca="1">IFERROR(__xludf.DUMMYFUNCTION("""COMPUTED_VALUE"""),-3.94)</f>
        <v>-3.94</v>
      </c>
      <c r="U312" s="1">
        <f ca="1">IFERROR(__xludf.DUMMYFUNCTION("""COMPUTED_VALUE"""),266)</f>
        <v>266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IFERROR(__xludf.DUMMYFUNCTION("""COMPUTED_VALUE"""),"Columbia")</f>
        <v>Columbia</v>
      </c>
      <c r="C313" s="1" t="str">
        <f ca="1">IFERROR(__xludf.DUMMYFUNCTION("""COMPUTED_VALUE"""),"Ivy")</f>
        <v>Ivy</v>
      </c>
      <c r="D313" s="2">
        <f ca="1">IFERROR(__xludf.DUMMYFUNCTION("""COMPUTED_VALUE"""),44882)</f>
        <v>44882</v>
      </c>
      <c r="E313" s="1">
        <f ca="1">IFERROR(__xludf.DUMMYFUNCTION("""COMPUTED_VALUE"""),-13.5)</f>
        <v>-13.5</v>
      </c>
      <c r="F313" s="1">
        <f ca="1">IFERROR(__xludf.DUMMYFUNCTION("""COMPUTED_VALUE"""),92.2)</f>
        <v>92.2</v>
      </c>
      <c r="G313" s="1">
        <f ca="1">IFERROR(__xludf.DUMMYFUNCTION("""COMPUTED_VALUE"""),309)</f>
        <v>309</v>
      </c>
      <c r="H313" s="1">
        <f ca="1">IFERROR(__xludf.DUMMYFUNCTION("""COMPUTED_VALUE"""),105.7)</f>
        <v>105.7</v>
      </c>
      <c r="I313" s="1">
        <f ca="1">IFERROR(__xludf.DUMMYFUNCTION("""COMPUTED_VALUE"""),234)</f>
        <v>234</v>
      </c>
      <c r="J313" s="1">
        <f ca="1">IFERROR(__xludf.DUMMYFUNCTION("""COMPUTED_VALUE"""),63.9)</f>
        <v>63.9</v>
      </c>
      <c r="K313" s="1">
        <f ca="1">IFERROR(__xludf.DUMMYFUNCTION("""COMPUTED_VALUE"""),263)</f>
        <v>263</v>
      </c>
      <c r="L313" s="1" t="str">
        <f ca="1">IFERROR(__xludf.DUMMYFUNCTION("""COMPUTED_VALUE"""),"+.039")</f>
        <v>+.039</v>
      </c>
      <c r="M313" s="1">
        <f ca="1">IFERROR(__xludf.DUMMYFUNCTION("""COMPUTED_VALUE"""),80)</f>
        <v>80</v>
      </c>
      <c r="N313" s="1">
        <f ca="1">IFERROR(__xludf.DUMMYFUNCTION("""COMPUTED_VALUE"""),-7.33)</f>
        <v>-7.33</v>
      </c>
      <c r="O313" s="1">
        <f ca="1">IFERROR(__xludf.DUMMYFUNCTION("""COMPUTED_VALUE"""),296)</f>
        <v>296</v>
      </c>
      <c r="P313" s="1">
        <f ca="1">IFERROR(__xludf.DUMMYFUNCTION("""COMPUTED_VALUE"""),98.5)</f>
        <v>98.5</v>
      </c>
      <c r="Q313" s="1">
        <f ca="1">IFERROR(__xludf.DUMMYFUNCTION("""COMPUTED_VALUE"""),293)</f>
        <v>293</v>
      </c>
      <c r="R313" s="1">
        <f ca="1">IFERROR(__xludf.DUMMYFUNCTION("""COMPUTED_VALUE"""),105.9)</f>
        <v>105.9</v>
      </c>
      <c r="S313" s="1">
        <f ca="1">IFERROR(__xludf.DUMMYFUNCTION("""COMPUTED_VALUE"""),303)</f>
        <v>303</v>
      </c>
      <c r="T313" s="1">
        <f ca="1">IFERROR(__xludf.DUMMYFUNCTION("""COMPUTED_VALUE"""),-8.55)</f>
        <v>-8.5500000000000007</v>
      </c>
      <c r="U313" s="1">
        <f ca="1">IFERROR(__xludf.DUMMYFUNCTION("""COMPUTED_VALUE"""),337)</f>
        <v>337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IFERROR(__xludf.DUMMYFUNCTION("""COMPUTED_VALUE"""),"Longwood")</f>
        <v>Longwood</v>
      </c>
      <c r="C314" s="1" t="str">
        <f ca="1">IFERROR(__xludf.DUMMYFUNCTION("""COMPUTED_VALUE"""),"ind")</f>
        <v>ind</v>
      </c>
      <c r="D314" s="2">
        <f ca="1">IFERROR(__xludf.DUMMYFUNCTION("""COMPUTED_VALUE"""),44914)</f>
        <v>44914</v>
      </c>
      <c r="E314" s="1">
        <f ca="1">IFERROR(__xludf.DUMMYFUNCTION("""COMPUTED_VALUE"""),-13.56)</f>
        <v>-13.56</v>
      </c>
      <c r="F314" s="1">
        <f ca="1">IFERROR(__xludf.DUMMYFUNCTION("""COMPUTED_VALUE"""),98)</f>
        <v>98</v>
      </c>
      <c r="G314" s="1">
        <f ca="1">IFERROR(__xludf.DUMMYFUNCTION("""COMPUTED_VALUE"""),246)</f>
        <v>246</v>
      </c>
      <c r="H314" s="1">
        <f ca="1">IFERROR(__xludf.DUMMYFUNCTION("""COMPUTED_VALUE"""),111.6)</f>
        <v>111.6</v>
      </c>
      <c r="I314" s="1">
        <f ca="1">IFERROR(__xludf.DUMMYFUNCTION("""COMPUTED_VALUE"""),325)</f>
        <v>325</v>
      </c>
      <c r="J314" s="1">
        <f ca="1">IFERROR(__xludf.DUMMYFUNCTION("""COMPUTED_VALUE"""),72.4)</f>
        <v>72.400000000000006</v>
      </c>
      <c r="K314" s="1">
        <f ca="1">IFERROR(__xludf.DUMMYFUNCTION("""COMPUTED_VALUE"""),7)</f>
        <v>7</v>
      </c>
      <c r="L314" s="1" t="str">
        <f ca="1">IFERROR(__xludf.DUMMYFUNCTION("""COMPUTED_VALUE"""),"+.011")</f>
        <v>+.011</v>
      </c>
      <c r="M314" s="1">
        <f ca="1">IFERROR(__xludf.DUMMYFUNCTION("""COMPUTED_VALUE"""),134)</f>
        <v>134</v>
      </c>
      <c r="N314" s="1">
        <f ca="1">IFERROR(__xludf.DUMMYFUNCTION("""COMPUTED_VALUE"""),-5.26)</f>
        <v>-5.26</v>
      </c>
      <c r="O314" s="1">
        <f ca="1">IFERROR(__xludf.DUMMYFUNCTION("""COMPUTED_VALUE"""),262)</f>
        <v>262</v>
      </c>
      <c r="P314" s="1">
        <f ca="1">IFERROR(__xludf.DUMMYFUNCTION("""COMPUTED_VALUE"""),98.5)</f>
        <v>98.5</v>
      </c>
      <c r="Q314" s="1">
        <f ca="1">IFERROR(__xludf.DUMMYFUNCTION("""COMPUTED_VALUE"""),294)</f>
        <v>294</v>
      </c>
      <c r="R314" s="1">
        <f ca="1">IFERROR(__xludf.DUMMYFUNCTION("""COMPUTED_VALUE"""),103.8)</f>
        <v>103.8</v>
      </c>
      <c r="S314" s="1">
        <f ca="1">IFERROR(__xludf.DUMMYFUNCTION("""COMPUTED_VALUE"""),207)</f>
        <v>207</v>
      </c>
      <c r="T314" s="1">
        <f ca="1">IFERROR(__xludf.DUMMYFUNCTION("""COMPUTED_VALUE"""),-2.17)</f>
        <v>-2.17</v>
      </c>
      <c r="U314" s="1">
        <f ca="1">IFERROR(__xludf.DUMMYFUNCTION("""COMPUTED_VALUE"""),223)</f>
        <v>223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IFERROR(__xludf.DUMMYFUNCTION("""COMPUTED_VALUE"""),"UMKC")</f>
        <v>UMKC</v>
      </c>
      <c r="C315" s="1" t="str">
        <f ca="1">IFERROR(__xludf.DUMMYFUNCTION("""COMPUTED_VALUE"""),"Sum")</f>
        <v>Sum</v>
      </c>
      <c r="D315" s="2">
        <f ca="1">IFERROR(__xludf.DUMMYFUNCTION("""COMPUTED_VALUE"""),44913)</f>
        <v>44913</v>
      </c>
      <c r="E315" s="1">
        <f ca="1">IFERROR(__xludf.DUMMYFUNCTION("""COMPUTED_VALUE"""),-13.67)</f>
        <v>-13.67</v>
      </c>
      <c r="F315" s="1">
        <f ca="1">IFERROR(__xludf.DUMMYFUNCTION("""COMPUTED_VALUE"""),98.2)</f>
        <v>98.2</v>
      </c>
      <c r="G315" s="1">
        <f ca="1">IFERROR(__xludf.DUMMYFUNCTION("""COMPUTED_VALUE"""),241)</f>
        <v>241</v>
      </c>
      <c r="H315" s="1">
        <f ca="1">IFERROR(__xludf.DUMMYFUNCTION("""COMPUTED_VALUE"""),111.9)</f>
        <v>111.9</v>
      </c>
      <c r="I315" s="1">
        <f ca="1">IFERROR(__xludf.DUMMYFUNCTION("""COMPUTED_VALUE"""),330)</f>
        <v>330</v>
      </c>
      <c r="J315" s="1">
        <f ca="1">IFERROR(__xludf.DUMMYFUNCTION("""COMPUTED_VALUE"""),64.9)</f>
        <v>64.900000000000006</v>
      </c>
      <c r="K315" s="1">
        <f ca="1">IFERROR(__xludf.DUMMYFUNCTION("""COMPUTED_VALUE"""),223)</f>
        <v>223</v>
      </c>
      <c r="L315" s="1" t="str">
        <f ca="1">IFERROR(__xludf.DUMMYFUNCTION("""COMPUTED_VALUE"""),"+.042")</f>
        <v>+.042</v>
      </c>
      <c r="M315" s="1">
        <f ca="1">IFERROR(__xludf.DUMMYFUNCTION("""COMPUTED_VALUE"""),74)</f>
        <v>74</v>
      </c>
      <c r="N315" s="1">
        <f ca="1">IFERROR(__xludf.DUMMYFUNCTION("""COMPUTED_VALUE"""),-6.2)</f>
        <v>-6.2</v>
      </c>
      <c r="O315" s="1">
        <f ca="1">IFERROR(__xludf.DUMMYFUNCTION("""COMPUTED_VALUE"""),280)</f>
        <v>280</v>
      </c>
      <c r="P315" s="1">
        <f ca="1">IFERROR(__xludf.DUMMYFUNCTION("""COMPUTED_VALUE"""),99.4)</f>
        <v>99.4</v>
      </c>
      <c r="Q315" s="1">
        <f ca="1">IFERROR(__xludf.DUMMYFUNCTION("""COMPUTED_VALUE"""),275)</f>
        <v>275</v>
      </c>
      <c r="R315" s="1">
        <f ca="1">IFERROR(__xludf.DUMMYFUNCTION("""COMPUTED_VALUE"""),105.6)</f>
        <v>105.6</v>
      </c>
      <c r="S315" s="1">
        <f ca="1">IFERROR(__xludf.DUMMYFUNCTION("""COMPUTED_VALUE"""),293)</f>
        <v>293</v>
      </c>
      <c r="T315" s="1">
        <f ca="1">IFERROR(__xludf.DUMMYFUNCTION("""COMPUTED_VALUE"""),-5.3)</f>
        <v>-5.3</v>
      </c>
      <c r="U315" s="1">
        <f ca="1">IFERROR(__xludf.DUMMYFUNCTION("""COMPUTED_VALUE"""),291)</f>
        <v>291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IFERROR(__xludf.DUMMYFUNCTION("""COMPUTED_VALUE"""),"Georgia Southern")</f>
        <v>Georgia Southern</v>
      </c>
      <c r="C316" s="1" t="str">
        <f ca="1">IFERROR(__xludf.DUMMYFUNCTION("""COMPUTED_VALUE"""),"SC")</f>
        <v>SC</v>
      </c>
      <c r="D316" s="2">
        <f ca="1">IFERROR(__xludf.DUMMYFUNCTION("""COMPUTED_VALUE"""),44827)</f>
        <v>44827</v>
      </c>
      <c r="E316" s="1">
        <f ca="1">IFERROR(__xludf.DUMMYFUNCTION("""COMPUTED_VALUE"""),-13.77)</f>
        <v>-13.77</v>
      </c>
      <c r="F316" s="1">
        <f ca="1">IFERROR(__xludf.DUMMYFUNCTION("""COMPUTED_VALUE"""),98.1)</f>
        <v>98.1</v>
      </c>
      <c r="G316" s="1">
        <f ca="1">IFERROR(__xludf.DUMMYFUNCTION("""COMPUTED_VALUE"""),243)</f>
        <v>243</v>
      </c>
      <c r="H316" s="1">
        <f ca="1">IFERROR(__xludf.DUMMYFUNCTION("""COMPUTED_VALUE"""),111.9)</f>
        <v>111.9</v>
      </c>
      <c r="I316" s="1">
        <f ca="1">IFERROR(__xludf.DUMMYFUNCTION("""COMPUTED_VALUE"""),331)</f>
        <v>331</v>
      </c>
      <c r="J316" s="1">
        <f ca="1">IFERROR(__xludf.DUMMYFUNCTION("""COMPUTED_VALUE"""),70.5)</f>
        <v>70.5</v>
      </c>
      <c r="K316" s="1">
        <f ca="1">IFERROR(__xludf.DUMMYFUNCTION("""COMPUTED_VALUE"""),21)</f>
        <v>21</v>
      </c>
      <c r="L316" s="1" t="str">
        <f ca="1">IFERROR(__xludf.DUMMYFUNCTION("""COMPUTED_VALUE"""),"+.080")</f>
        <v>+.080</v>
      </c>
      <c r="M316" s="1">
        <f ca="1">IFERROR(__xludf.DUMMYFUNCTION("""COMPUTED_VALUE"""),21)</f>
        <v>21</v>
      </c>
      <c r="N316" s="1" t="str">
        <f ca="1">IFERROR(__xludf.DUMMYFUNCTION("""COMPUTED_VALUE"""),"+0.01")</f>
        <v>+0.01</v>
      </c>
      <c r="O316" s="1">
        <f ca="1">IFERROR(__xludf.DUMMYFUNCTION("""COMPUTED_VALUE"""),161)</f>
        <v>161</v>
      </c>
      <c r="P316" s="1">
        <f ca="1">IFERROR(__xludf.DUMMYFUNCTION("""COMPUTED_VALUE"""),103.3)</f>
        <v>103.3</v>
      </c>
      <c r="Q316" s="1">
        <f ca="1">IFERROR(__xludf.DUMMYFUNCTION("""COMPUTED_VALUE"""),157)</f>
        <v>157</v>
      </c>
      <c r="R316" s="1">
        <f ca="1">IFERROR(__xludf.DUMMYFUNCTION("""COMPUTED_VALUE"""),103.3)</f>
        <v>103.3</v>
      </c>
      <c r="S316" s="1">
        <f ca="1">IFERROR(__xludf.DUMMYFUNCTION("""COMPUTED_VALUE"""),182)</f>
        <v>182</v>
      </c>
      <c r="T316" s="1" t="str">
        <f ca="1">IFERROR(__xludf.DUMMYFUNCTION("""COMPUTED_VALUE"""),"+3.89")</f>
        <v>+3.89</v>
      </c>
      <c r="U316" s="1">
        <f ca="1">IFERROR(__xludf.DUMMYFUNCTION("""COMPUTED_VALUE"""),68)</f>
        <v>68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IFERROR(__xludf.DUMMYFUNCTION("""COMPUTED_VALUE"""),"Florida Gulf Coast")</f>
        <v>Florida Gulf Coast</v>
      </c>
      <c r="C317" s="1" t="str">
        <f ca="1">IFERROR(__xludf.DUMMYFUNCTION("""COMPUTED_VALUE"""),"ASun")</f>
        <v>ASun</v>
      </c>
      <c r="D317" s="2">
        <f ca="1">IFERROR(__xludf.DUMMYFUNCTION("""COMPUTED_VALUE"""),44794)</f>
        <v>44794</v>
      </c>
      <c r="E317" s="1">
        <f ca="1">IFERROR(__xludf.DUMMYFUNCTION("""COMPUTED_VALUE"""),-13.84)</f>
        <v>-13.84</v>
      </c>
      <c r="F317" s="1">
        <f ca="1">IFERROR(__xludf.DUMMYFUNCTION("""COMPUTED_VALUE"""),94.8)</f>
        <v>94.8</v>
      </c>
      <c r="G317" s="1">
        <f ca="1">IFERROR(__xludf.DUMMYFUNCTION("""COMPUTED_VALUE"""),289)</f>
        <v>289</v>
      </c>
      <c r="H317" s="1">
        <f ca="1">IFERROR(__xludf.DUMMYFUNCTION("""COMPUTED_VALUE"""),108.6)</f>
        <v>108.6</v>
      </c>
      <c r="I317" s="1">
        <f ca="1">IFERROR(__xludf.DUMMYFUNCTION("""COMPUTED_VALUE"""),283)</f>
        <v>283</v>
      </c>
      <c r="J317" s="1">
        <f ca="1">IFERROR(__xludf.DUMMYFUNCTION("""COMPUTED_VALUE"""),66.6)</f>
        <v>66.599999999999994</v>
      </c>
      <c r="K317" s="1">
        <f ca="1">IFERROR(__xludf.DUMMYFUNCTION("""COMPUTED_VALUE"""),134)</f>
        <v>134</v>
      </c>
      <c r="L317" s="1" t="str">
        <f ca="1">IFERROR(__xludf.DUMMYFUNCTION("""COMPUTED_VALUE"""),"+.008")</f>
        <v>+.008</v>
      </c>
      <c r="M317" s="1">
        <f ca="1">IFERROR(__xludf.DUMMYFUNCTION("""COMPUTED_VALUE"""),148)</f>
        <v>148</v>
      </c>
      <c r="N317" s="1">
        <f ca="1">IFERROR(__xludf.DUMMYFUNCTION("""COMPUTED_VALUE"""),-5.31)</f>
        <v>-5.31</v>
      </c>
      <c r="O317" s="1">
        <f ca="1">IFERROR(__xludf.DUMMYFUNCTION("""COMPUTED_VALUE"""),264)</f>
        <v>264</v>
      </c>
      <c r="P317" s="1">
        <f ca="1">IFERROR(__xludf.DUMMYFUNCTION("""COMPUTED_VALUE"""),99.3)</f>
        <v>99.3</v>
      </c>
      <c r="Q317" s="1">
        <f ca="1">IFERROR(__xludf.DUMMYFUNCTION("""COMPUTED_VALUE"""),277)</f>
        <v>277</v>
      </c>
      <c r="R317" s="1">
        <f ca="1">IFERROR(__xludf.DUMMYFUNCTION("""COMPUTED_VALUE"""),104.6)</f>
        <v>104.6</v>
      </c>
      <c r="S317" s="1">
        <f ca="1">IFERROR(__xludf.DUMMYFUNCTION("""COMPUTED_VALUE"""),242)</f>
        <v>242</v>
      </c>
      <c r="T317" s="1">
        <f ca="1">IFERROR(__xludf.DUMMYFUNCTION("""COMPUTED_VALUE"""),-5.34)</f>
        <v>-5.34</v>
      </c>
      <c r="U317" s="1">
        <f ca="1">IFERROR(__xludf.DUMMYFUNCTION("""COMPUTED_VALUE"""),294)</f>
        <v>294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IFERROR(__xludf.DUMMYFUNCTION("""COMPUTED_VALUE"""),"North Carolina A&amp;T")</f>
        <v>North Carolina A&amp;T</v>
      </c>
      <c r="C318" s="1" t="str">
        <f ca="1">IFERROR(__xludf.DUMMYFUNCTION("""COMPUTED_VALUE"""),"MEAC")</f>
        <v>MEAC</v>
      </c>
      <c r="D318" s="2">
        <f ca="1">IFERROR(__xludf.DUMMYFUNCTION("""COMPUTED_VALUE"""),44887)</f>
        <v>44887</v>
      </c>
      <c r="E318" s="1">
        <f ca="1">IFERROR(__xludf.DUMMYFUNCTION("""COMPUTED_VALUE"""),-13.86)</f>
        <v>-13.86</v>
      </c>
      <c r="F318" s="1">
        <f ca="1">IFERROR(__xludf.DUMMYFUNCTION("""COMPUTED_VALUE"""),93.8)</f>
        <v>93.8</v>
      </c>
      <c r="G318" s="1">
        <f ca="1">IFERROR(__xludf.DUMMYFUNCTION("""COMPUTED_VALUE"""),296)</f>
        <v>296</v>
      </c>
      <c r="H318" s="1">
        <f ca="1">IFERROR(__xludf.DUMMYFUNCTION("""COMPUTED_VALUE"""),107.6)</f>
        <v>107.6</v>
      </c>
      <c r="I318" s="1">
        <f ca="1">IFERROR(__xludf.DUMMYFUNCTION("""COMPUTED_VALUE"""),268)</f>
        <v>268</v>
      </c>
      <c r="J318" s="1">
        <f ca="1">IFERROR(__xludf.DUMMYFUNCTION("""COMPUTED_VALUE"""),67.7)</f>
        <v>67.7</v>
      </c>
      <c r="K318" s="1">
        <f ca="1">IFERROR(__xludf.DUMMYFUNCTION("""COMPUTED_VALUE"""),82)</f>
        <v>82</v>
      </c>
      <c r="L318" s="1">
        <f ca="1">IFERROR(__xludf.DUMMYFUNCTION("""COMPUTED_VALUE"""),-0.043)</f>
        <v>-4.2999999999999997E-2</v>
      </c>
      <c r="M318" s="1">
        <f ca="1">IFERROR(__xludf.DUMMYFUNCTION("""COMPUTED_VALUE"""),281)</f>
        <v>281</v>
      </c>
      <c r="N318" s="1">
        <f ca="1">IFERROR(__xludf.DUMMYFUNCTION("""COMPUTED_VALUE"""),-6.3)</f>
        <v>-6.3</v>
      </c>
      <c r="O318" s="1">
        <f ca="1">IFERROR(__xludf.DUMMYFUNCTION("""COMPUTED_VALUE"""),282)</f>
        <v>282</v>
      </c>
      <c r="P318" s="1">
        <f ca="1">IFERROR(__xludf.DUMMYFUNCTION("""COMPUTED_VALUE"""),98.3)</f>
        <v>98.3</v>
      </c>
      <c r="Q318" s="1">
        <f ca="1">IFERROR(__xludf.DUMMYFUNCTION("""COMPUTED_VALUE"""),298)</f>
        <v>298</v>
      </c>
      <c r="R318" s="1">
        <f ca="1">IFERROR(__xludf.DUMMYFUNCTION("""COMPUTED_VALUE"""),104.6)</f>
        <v>104.6</v>
      </c>
      <c r="S318" s="1">
        <f ca="1">IFERROR(__xludf.DUMMYFUNCTION("""COMPUTED_VALUE"""),245)</f>
        <v>245</v>
      </c>
      <c r="T318" s="1" t="str">
        <f ca="1">IFERROR(__xludf.DUMMYFUNCTION("""COMPUTED_VALUE"""),"+6.22")</f>
        <v>+6.22</v>
      </c>
      <c r="U318" s="1">
        <f ca="1">IFERROR(__xludf.DUMMYFUNCTION("""COMPUTED_VALUE"""),43)</f>
        <v>43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IFERROR(__xludf.DUMMYFUNCTION("""COMPUTED_VALUE"""),"Northwestern St.")</f>
        <v>Northwestern St.</v>
      </c>
      <c r="C319" s="1" t="str">
        <f ca="1">IFERROR(__xludf.DUMMYFUNCTION("""COMPUTED_VALUE"""),"Slnd")</f>
        <v>Slnd</v>
      </c>
      <c r="D319" s="2">
        <f ca="1">IFERROR(__xludf.DUMMYFUNCTION("""COMPUTED_VALUE"""),44853)</f>
        <v>44853</v>
      </c>
      <c r="E319" s="1">
        <f ca="1">IFERROR(__xludf.DUMMYFUNCTION("""COMPUTED_VALUE"""),-13.96)</f>
        <v>-13.96</v>
      </c>
      <c r="F319" s="1">
        <f ca="1">IFERROR(__xludf.DUMMYFUNCTION("""COMPUTED_VALUE"""),96.9)</f>
        <v>96.9</v>
      </c>
      <c r="G319" s="1">
        <f ca="1">IFERROR(__xludf.DUMMYFUNCTION("""COMPUTED_VALUE"""),262)</f>
        <v>262</v>
      </c>
      <c r="H319" s="1">
        <f ca="1">IFERROR(__xludf.DUMMYFUNCTION("""COMPUTED_VALUE"""),110.9)</f>
        <v>110.9</v>
      </c>
      <c r="I319" s="1">
        <f ca="1">IFERROR(__xludf.DUMMYFUNCTION("""COMPUTED_VALUE"""),312)</f>
        <v>312</v>
      </c>
      <c r="J319" s="1">
        <f ca="1">IFERROR(__xludf.DUMMYFUNCTION("""COMPUTED_VALUE"""),74.1)</f>
        <v>74.099999999999994</v>
      </c>
      <c r="K319" s="1">
        <f ca="1">IFERROR(__xludf.DUMMYFUNCTION("""COMPUTED_VALUE"""),4)</f>
        <v>4</v>
      </c>
      <c r="L319" s="1">
        <f ca="1">IFERROR(__xludf.DUMMYFUNCTION("""COMPUTED_VALUE"""),-0.007)</f>
        <v>-7.0000000000000001E-3</v>
      </c>
      <c r="M319" s="1">
        <f ca="1">IFERROR(__xludf.DUMMYFUNCTION("""COMPUTED_VALUE"""),187)</f>
        <v>187</v>
      </c>
      <c r="N319" s="1">
        <f ca="1">IFERROR(__xludf.DUMMYFUNCTION("""COMPUTED_VALUE"""),-5.34)</f>
        <v>-5.34</v>
      </c>
      <c r="O319" s="1">
        <f ca="1">IFERROR(__xludf.DUMMYFUNCTION("""COMPUTED_VALUE"""),265)</f>
        <v>265</v>
      </c>
      <c r="P319" s="1">
        <f ca="1">IFERROR(__xludf.DUMMYFUNCTION("""COMPUTED_VALUE"""),100)</f>
        <v>100</v>
      </c>
      <c r="Q319" s="1">
        <f ca="1">IFERROR(__xludf.DUMMYFUNCTION("""COMPUTED_VALUE"""),258)</f>
        <v>258</v>
      </c>
      <c r="R319" s="1">
        <f ca="1">IFERROR(__xludf.DUMMYFUNCTION("""COMPUTED_VALUE"""),105.4)</f>
        <v>105.4</v>
      </c>
      <c r="S319" s="1">
        <f ca="1">IFERROR(__xludf.DUMMYFUNCTION("""COMPUTED_VALUE"""),279)</f>
        <v>279</v>
      </c>
      <c r="T319" s="1">
        <f ca="1">IFERROR(__xludf.DUMMYFUNCTION("""COMPUTED_VALUE"""),-0.98)</f>
        <v>-0.98</v>
      </c>
      <c r="U319" s="1">
        <f ca="1">IFERROR(__xludf.DUMMYFUNCTION("""COMPUTED_VALUE"""),178)</f>
        <v>178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IFERROR(__xludf.DUMMYFUNCTION("""COMPUTED_VALUE"""),"Central Arkansas")</f>
        <v>Central Arkansas</v>
      </c>
      <c r="C320" s="1" t="str">
        <f ca="1">IFERROR(__xludf.DUMMYFUNCTION("""COMPUTED_VALUE"""),"Slnd")</f>
        <v>Slnd</v>
      </c>
      <c r="D320" s="2">
        <f ca="1">IFERROR(__xludf.DUMMYFUNCTION("""COMPUTED_VALUE"""),44825)</f>
        <v>44825</v>
      </c>
      <c r="E320" s="1">
        <f ca="1">IFERROR(__xludf.DUMMYFUNCTION("""COMPUTED_VALUE"""),-14.29)</f>
        <v>-14.29</v>
      </c>
      <c r="F320" s="1">
        <f ca="1">IFERROR(__xludf.DUMMYFUNCTION("""COMPUTED_VALUE"""),92)</f>
        <v>92</v>
      </c>
      <c r="G320" s="1">
        <f ca="1">IFERROR(__xludf.DUMMYFUNCTION("""COMPUTED_VALUE"""),311)</f>
        <v>311</v>
      </c>
      <c r="H320" s="1">
        <f ca="1">IFERROR(__xludf.DUMMYFUNCTION("""COMPUTED_VALUE"""),106.3)</f>
        <v>106.3</v>
      </c>
      <c r="I320" s="1">
        <f ca="1">IFERROR(__xludf.DUMMYFUNCTION("""COMPUTED_VALUE"""),246)</f>
        <v>246</v>
      </c>
      <c r="J320" s="1">
        <f ca="1">IFERROR(__xludf.DUMMYFUNCTION("""COMPUTED_VALUE"""),64.1)</f>
        <v>64.099999999999994</v>
      </c>
      <c r="K320" s="1">
        <f ca="1">IFERROR(__xludf.DUMMYFUNCTION("""COMPUTED_VALUE"""),255)</f>
        <v>255</v>
      </c>
      <c r="L320" s="1">
        <f ca="1">IFERROR(__xludf.DUMMYFUNCTION("""COMPUTED_VALUE"""),-0.091)</f>
        <v>-9.0999999999999998E-2</v>
      </c>
      <c r="M320" s="1">
        <f ca="1">IFERROR(__xludf.DUMMYFUNCTION("""COMPUTED_VALUE"""),339)</f>
        <v>339</v>
      </c>
      <c r="N320" s="1">
        <f ca="1">IFERROR(__xludf.DUMMYFUNCTION("""COMPUTED_VALUE"""),-6.64)</f>
        <v>-6.64</v>
      </c>
      <c r="O320" s="1">
        <f ca="1">IFERROR(__xludf.DUMMYFUNCTION("""COMPUTED_VALUE"""),287)</f>
        <v>287</v>
      </c>
      <c r="P320" s="1">
        <f ca="1">IFERROR(__xludf.DUMMYFUNCTION("""COMPUTED_VALUE"""),99.8)</f>
        <v>99.8</v>
      </c>
      <c r="Q320" s="1">
        <f ca="1">IFERROR(__xludf.DUMMYFUNCTION("""COMPUTED_VALUE"""),262)</f>
        <v>262</v>
      </c>
      <c r="R320" s="1">
        <f ca="1">IFERROR(__xludf.DUMMYFUNCTION("""COMPUTED_VALUE"""),106.4)</f>
        <v>106.4</v>
      </c>
      <c r="S320" s="1">
        <f ca="1">IFERROR(__xludf.DUMMYFUNCTION("""COMPUTED_VALUE"""),321)</f>
        <v>321</v>
      </c>
      <c r="T320" s="1">
        <f ca="1">IFERROR(__xludf.DUMMYFUNCTION("""COMPUTED_VALUE"""),-5.22)</f>
        <v>-5.22</v>
      </c>
      <c r="U320" s="1">
        <f ca="1">IFERROR(__xludf.DUMMYFUNCTION("""COMPUTED_VALUE"""),287)</f>
        <v>287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IFERROR(__xludf.DUMMYFUNCTION("""COMPUTED_VALUE"""),"Fordham")</f>
        <v>Fordham</v>
      </c>
      <c r="C321" s="1" t="str">
        <f ca="1">IFERROR(__xludf.DUMMYFUNCTION("""COMPUTED_VALUE"""),"A10")</f>
        <v>A10</v>
      </c>
      <c r="D321" s="2">
        <f ca="1">IFERROR(__xludf.DUMMYFUNCTION("""COMPUTED_VALUE"""),44618)</f>
        <v>44618</v>
      </c>
      <c r="E321" s="1">
        <f ca="1">IFERROR(__xludf.DUMMYFUNCTION("""COMPUTED_VALUE"""),-14.41)</f>
        <v>-14.41</v>
      </c>
      <c r="F321" s="1">
        <f ca="1">IFERROR(__xludf.DUMMYFUNCTION("""COMPUTED_VALUE"""),93.3)</f>
        <v>93.3</v>
      </c>
      <c r="G321" s="1">
        <f ca="1">IFERROR(__xludf.DUMMYFUNCTION("""COMPUTED_VALUE"""),301)</f>
        <v>301</v>
      </c>
      <c r="H321" s="1">
        <f ca="1">IFERROR(__xludf.DUMMYFUNCTION("""COMPUTED_VALUE"""),107.7)</f>
        <v>107.7</v>
      </c>
      <c r="I321" s="1">
        <f ca="1">IFERROR(__xludf.DUMMYFUNCTION("""COMPUTED_VALUE"""),270)</f>
        <v>270</v>
      </c>
      <c r="J321" s="1">
        <f ca="1">IFERROR(__xludf.DUMMYFUNCTION("""COMPUTED_VALUE"""),70.5)</f>
        <v>70.5</v>
      </c>
      <c r="K321" s="1">
        <f ca="1">IFERROR(__xludf.DUMMYFUNCTION("""COMPUTED_VALUE"""),22)</f>
        <v>22</v>
      </c>
      <c r="L321" s="1">
        <f ca="1">IFERROR(__xludf.DUMMYFUNCTION("""COMPUTED_VALUE"""),-0.046)</f>
        <v>-4.5999999999999999E-2</v>
      </c>
      <c r="M321" s="1">
        <f ca="1">IFERROR(__xludf.DUMMYFUNCTION("""COMPUTED_VALUE"""),289)</f>
        <v>289</v>
      </c>
      <c r="N321" s="1" t="str">
        <f ca="1">IFERROR(__xludf.DUMMYFUNCTION("""COMPUTED_VALUE"""),"+4.55")</f>
        <v>+4.55</v>
      </c>
      <c r="O321" s="1">
        <f ca="1">IFERROR(__xludf.DUMMYFUNCTION("""COMPUTED_VALUE"""),83)</f>
        <v>83</v>
      </c>
      <c r="P321" s="1">
        <f ca="1">IFERROR(__xludf.DUMMYFUNCTION("""COMPUTED_VALUE"""),104.7)</f>
        <v>104.7</v>
      </c>
      <c r="Q321" s="1">
        <f ca="1">IFERROR(__xludf.DUMMYFUNCTION("""COMPUTED_VALUE"""),107)</f>
        <v>107</v>
      </c>
      <c r="R321" s="1">
        <f ca="1">IFERROR(__xludf.DUMMYFUNCTION("""COMPUTED_VALUE"""),100.2)</f>
        <v>100.2</v>
      </c>
      <c r="S321" s="1">
        <f ca="1">IFERROR(__xludf.DUMMYFUNCTION("""COMPUTED_VALUE"""),82)</f>
        <v>82</v>
      </c>
      <c r="T321" s="1">
        <f ca="1">IFERROR(__xludf.DUMMYFUNCTION("""COMPUTED_VALUE"""),-1.64)</f>
        <v>-1.64</v>
      </c>
      <c r="U321" s="1">
        <f ca="1">IFERROR(__xludf.DUMMYFUNCTION("""COMPUTED_VALUE"""),204)</f>
        <v>204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IFERROR(__xludf.DUMMYFUNCTION("""COMPUTED_VALUE"""),"FIU")</f>
        <v>FIU</v>
      </c>
      <c r="C322" s="1" t="str">
        <f ca="1">IFERROR(__xludf.DUMMYFUNCTION("""COMPUTED_VALUE"""),"SB")</f>
        <v>SB</v>
      </c>
      <c r="D322" s="2">
        <f ca="1">IFERROR(__xludf.DUMMYFUNCTION("""COMPUTED_VALUE"""),44767)</f>
        <v>44767</v>
      </c>
      <c r="E322" s="1">
        <f ca="1">IFERROR(__xludf.DUMMYFUNCTION("""COMPUTED_VALUE"""),-14.45)</f>
        <v>-14.45</v>
      </c>
      <c r="F322" s="1">
        <f ca="1">IFERROR(__xludf.DUMMYFUNCTION("""COMPUTED_VALUE"""),98.7)</f>
        <v>98.7</v>
      </c>
      <c r="G322" s="1">
        <f ca="1">IFERROR(__xludf.DUMMYFUNCTION("""COMPUTED_VALUE"""),234)</f>
        <v>234</v>
      </c>
      <c r="H322" s="1">
        <f ca="1">IFERROR(__xludf.DUMMYFUNCTION("""COMPUTED_VALUE"""),113.1)</f>
        <v>113.1</v>
      </c>
      <c r="I322" s="1">
        <f ca="1">IFERROR(__xludf.DUMMYFUNCTION("""COMPUTED_VALUE"""),337)</f>
        <v>337</v>
      </c>
      <c r="J322" s="1">
        <f ca="1">IFERROR(__xludf.DUMMYFUNCTION("""COMPUTED_VALUE"""),67.1)</f>
        <v>67.099999999999994</v>
      </c>
      <c r="K322" s="1">
        <f ca="1">IFERROR(__xludf.DUMMYFUNCTION("""COMPUTED_VALUE"""),113)</f>
        <v>113</v>
      </c>
      <c r="L322" s="1">
        <f ca="1">IFERROR(__xludf.DUMMYFUNCTION("""COMPUTED_VALUE"""),-0.018)</f>
        <v>-1.7999999999999999E-2</v>
      </c>
      <c r="M322" s="1">
        <f ca="1">IFERROR(__xludf.DUMMYFUNCTION("""COMPUTED_VALUE"""),229)</f>
        <v>229</v>
      </c>
      <c r="N322" s="1">
        <f ca="1">IFERROR(__xludf.DUMMYFUNCTION("""COMPUTED_VALUE"""),-2.44)</f>
        <v>-2.44</v>
      </c>
      <c r="O322" s="1">
        <f ca="1">IFERROR(__xludf.DUMMYFUNCTION("""COMPUTED_VALUE"""),212)</f>
        <v>212</v>
      </c>
      <c r="P322" s="1">
        <f ca="1">IFERROR(__xludf.DUMMYFUNCTION("""COMPUTED_VALUE"""),101.7)</f>
        <v>101.7</v>
      </c>
      <c r="Q322" s="1">
        <f ca="1">IFERROR(__xludf.DUMMYFUNCTION("""COMPUTED_VALUE"""),200)</f>
        <v>200</v>
      </c>
      <c r="R322" s="1">
        <f ca="1">IFERROR(__xludf.DUMMYFUNCTION("""COMPUTED_VALUE"""),104.1)</f>
        <v>104.1</v>
      </c>
      <c r="S322" s="1">
        <f ca="1">IFERROR(__xludf.DUMMYFUNCTION("""COMPUTED_VALUE"""),221)</f>
        <v>221</v>
      </c>
      <c r="T322" s="1" t="str">
        <f ca="1">IFERROR(__xludf.DUMMYFUNCTION("""COMPUTED_VALUE"""),"+1.29")</f>
        <v>+1.29</v>
      </c>
      <c r="U322" s="1">
        <f ca="1">IFERROR(__xludf.DUMMYFUNCTION("""COMPUTED_VALUE"""),121)</f>
        <v>121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IFERROR(__xludf.DUMMYFUNCTION("""COMPUTED_VALUE"""),"Savannah St.")</f>
        <v>Savannah St.</v>
      </c>
      <c r="C323" s="1" t="str">
        <f ca="1">IFERROR(__xludf.DUMMYFUNCTION("""COMPUTED_VALUE"""),"ind")</f>
        <v>ind</v>
      </c>
      <c r="D323" s="2">
        <f ca="1">IFERROR(__xludf.DUMMYFUNCTION("""COMPUTED_VALUE"""),44880)</f>
        <v>44880</v>
      </c>
      <c r="E323" s="1">
        <f ca="1">IFERROR(__xludf.DUMMYFUNCTION("""COMPUTED_VALUE"""),-14.47)</f>
        <v>-14.47</v>
      </c>
      <c r="F323" s="1">
        <f ca="1">IFERROR(__xludf.DUMMYFUNCTION("""COMPUTED_VALUE"""),89.8)</f>
        <v>89.8</v>
      </c>
      <c r="G323" s="1">
        <f ca="1">IFERROR(__xludf.DUMMYFUNCTION("""COMPUTED_VALUE"""),325)</f>
        <v>325</v>
      </c>
      <c r="H323" s="1">
        <f ca="1">IFERROR(__xludf.DUMMYFUNCTION("""COMPUTED_VALUE"""),104.3)</f>
        <v>104.3</v>
      </c>
      <c r="I323" s="1">
        <f ca="1">IFERROR(__xludf.DUMMYFUNCTION("""COMPUTED_VALUE"""),208)</f>
        <v>208</v>
      </c>
      <c r="J323" s="1">
        <f ca="1">IFERROR(__xludf.DUMMYFUNCTION("""COMPUTED_VALUE"""),61.2)</f>
        <v>61.2</v>
      </c>
      <c r="K323" s="1">
        <f ca="1">IFERROR(__xludf.DUMMYFUNCTION("""COMPUTED_VALUE"""),321)</f>
        <v>321</v>
      </c>
      <c r="L323" s="1" t="str">
        <f ca="1">IFERROR(__xludf.DUMMYFUNCTION("""COMPUTED_VALUE"""),"+.021")</f>
        <v>+.021</v>
      </c>
      <c r="M323" s="1">
        <f ca="1">IFERROR(__xludf.DUMMYFUNCTION("""COMPUTED_VALUE"""),111)</f>
        <v>111</v>
      </c>
      <c r="N323" s="1">
        <f ca="1">IFERROR(__xludf.DUMMYFUNCTION("""COMPUTED_VALUE"""),-6.15)</f>
        <v>-6.15</v>
      </c>
      <c r="O323" s="1">
        <f ca="1">IFERROR(__xludf.DUMMYFUNCTION("""COMPUTED_VALUE"""),278)</f>
        <v>278</v>
      </c>
      <c r="P323" s="1">
        <f ca="1">IFERROR(__xludf.DUMMYFUNCTION("""COMPUTED_VALUE"""),97.9)</f>
        <v>97.9</v>
      </c>
      <c r="Q323" s="1">
        <f ca="1">IFERROR(__xludf.DUMMYFUNCTION("""COMPUTED_VALUE"""),306)</f>
        <v>306</v>
      </c>
      <c r="R323" s="1">
        <f ca="1">IFERROR(__xludf.DUMMYFUNCTION("""COMPUTED_VALUE"""),104)</f>
        <v>104</v>
      </c>
      <c r="S323" s="1">
        <f ca="1">IFERROR(__xludf.DUMMYFUNCTION("""COMPUTED_VALUE"""),214)</f>
        <v>214</v>
      </c>
      <c r="T323" s="1">
        <f ca="1">IFERROR(__xludf.DUMMYFUNCTION("""COMPUTED_VALUE"""),-2.82)</f>
        <v>-2.82</v>
      </c>
      <c r="U323" s="1">
        <f ca="1">IFERROR(__xludf.DUMMYFUNCTION("""COMPUTED_VALUE"""),238)</f>
        <v>238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IFERROR(__xludf.DUMMYFUNCTION("""COMPUTED_VALUE"""),"Penn")</f>
        <v>Penn</v>
      </c>
      <c r="C324" s="1" t="str">
        <f ca="1">IFERROR(__xludf.DUMMYFUNCTION("""COMPUTED_VALUE"""),"Ivy")</f>
        <v>Ivy</v>
      </c>
      <c r="D324" s="2">
        <f ca="1">IFERROR(__xludf.DUMMYFUNCTION("""COMPUTED_VALUE"""),44734)</f>
        <v>44734</v>
      </c>
      <c r="E324" s="1">
        <f ca="1">IFERROR(__xludf.DUMMYFUNCTION("""COMPUTED_VALUE"""),-14.61)</f>
        <v>-14.61</v>
      </c>
      <c r="F324" s="1">
        <f ca="1">IFERROR(__xludf.DUMMYFUNCTION("""COMPUTED_VALUE"""),97.3)</f>
        <v>97.3</v>
      </c>
      <c r="G324" s="1">
        <f ca="1">IFERROR(__xludf.DUMMYFUNCTION("""COMPUTED_VALUE"""),257)</f>
        <v>257</v>
      </c>
      <c r="H324" s="1">
        <f ca="1">IFERROR(__xludf.DUMMYFUNCTION("""COMPUTED_VALUE"""),111.9)</f>
        <v>111.9</v>
      </c>
      <c r="I324" s="1">
        <f ca="1">IFERROR(__xludf.DUMMYFUNCTION("""COMPUTED_VALUE"""),332)</f>
        <v>332</v>
      </c>
      <c r="J324" s="1">
        <f ca="1">IFERROR(__xludf.DUMMYFUNCTION("""COMPUTED_VALUE"""),64)</f>
        <v>64</v>
      </c>
      <c r="K324" s="1">
        <f ca="1">IFERROR(__xludf.DUMMYFUNCTION("""COMPUTED_VALUE"""),258)</f>
        <v>258</v>
      </c>
      <c r="L324" s="1">
        <f ca="1">IFERROR(__xludf.DUMMYFUNCTION("""COMPUTED_VALUE"""),-0.042)</f>
        <v>-4.2000000000000003E-2</v>
      </c>
      <c r="M324" s="1">
        <f ca="1">IFERROR(__xludf.DUMMYFUNCTION("""COMPUTED_VALUE"""),279)</f>
        <v>279</v>
      </c>
      <c r="N324" s="1">
        <f ca="1">IFERROR(__xludf.DUMMYFUNCTION("""COMPUTED_VALUE"""),-3.49)</f>
        <v>-3.49</v>
      </c>
      <c r="O324" s="1">
        <f ca="1">IFERROR(__xludf.DUMMYFUNCTION("""COMPUTED_VALUE"""),234)</f>
        <v>234</v>
      </c>
      <c r="P324" s="1">
        <f ca="1">IFERROR(__xludf.DUMMYFUNCTION("""COMPUTED_VALUE"""),100.8)</f>
        <v>100.8</v>
      </c>
      <c r="Q324" s="1">
        <f ca="1">IFERROR(__xludf.DUMMYFUNCTION("""COMPUTED_VALUE"""),234)</f>
        <v>234</v>
      </c>
      <c r="R324" s="1">
        <f ca="1">IFERROR(__xludf.DUMMYFUNCTION("""COMPUTED_VALUE"""),104.3)</f>
        <v>104.3</v>
      </c>
      <c r="S324" s="1">
        <f ca="1">IFERROR(__xludf.DUMMYFUNCTION("""COMPUTED_VALUE"""),227)</f>
        <v>227</v>
      </c>
      <c r="T324" s="1">
        <f ca="1">IFERROR(__xludf.DUMMYFUNCTION("""COMPUTED_VALUE"""),-1.18)</f>
        <v>-1.18</v>
      </c>
      <c r="U324" s="1">
        <f ca="1">IFERROR(__xludf.DUMMYFUNCTION("""COMPUTED_VALUE"""),187)</f>
        <v>187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IFERROR(__xludf.DUMMYFUNCTION("""COMPUTED_VALUE"""),"Central Connecticut")</f>
        <v>Central Connecticut</v>
      </c>
      <c r="C325" s="1" t="str">
        <f ca="1">IFERROR(__xludf.DUMMYFUNCTION("""COMPUTED_VALUE"""),"NEC")</f>
        <v>NEC</v>
      </c>
      <c r="D325" s="2">
        <f ca="1">IFERROR(__xludf.DUMMYFUNCTION("""COMPUTED_VALUE"""),44913)</f>
        <v>44913</v>
      </c>
      <c r="E325" s="1">
        <f ca="1">IFERROR(__xludf.DUMMYFUNCTION("""COMPUTED_VALUE"""),-15.5)</f>
        <v>-15.5</v>
      </c>
      <c r="F325" s="1">
        <f ca="1">IFERROR(__xludf.DUMMYFUNCTION("""COMPUTED_VALUE"""),92.3)</f>
        <v>92.3</v>
      </c>
      <c r="G325" s="1">
        <f ca="1">IFERROR(__xludf.DUMMYFUNCTION("""COMPUTED_VALUE"""),308)</f>
        <v>308</v>
      </c>
      <c r="H325" s="1">
        <f ca="1">IFERROR(__xludf.DUMMYFUNCTION("""COMPUTED_VALUE"""),107.8)</f>
        <v>107.8</v>
      </c>
      <c r="I325" s="1">
        <f ca="1">IFERROR(__xludf.DUMMYFUNCTION("""COMPUTED_VALUE"""),272)</f>
        <v>272</v>
      </c>
      <c r="J325" s="1">
        <f ca="1">IFERROR(__xludf.DUMMYFUNCTION("""COMPUTED_VALUE"""),63.4)</f>
        <v>63.4</v>
      </c>
      <c r="K325" s="1">
        <f ca="1">IFERROR(__xludf.DUMMYFUNCTION("""COMPUTED_VALUE"""),276)</f>
        <v>276</v>
      </c>
      <c r="L325" s="1">
        <f ca="1">IFERROR(__xludf.DUMMYFUNCTION("""COMPUTED_VALUE"""),-0.007)</f>
        <v>-7.0000000000000001E-3</v>
      </c>
      <c r="M325" s="1">
        <f ca="1">IFERROR(__xludf.DUMMYFUNCTION("""COMPUTED_VALUE"""),190)</f>
        <v>190</v>
      </c>
      <c r="N325" s="1">
        <f ca="1">IFERROR(__xludf.DUMMYFUNCTION("""COMPUTED_VALUE"""),-11.39)</f>
        <v>-11.39</v>
      </c>
      <c r="O325" s="1">
        <f ca="1">IFERROR(__xludf.DUMMYFUNCTION("""COMPUTED_VALUE"""),335)</f>
        <v>335</v>
      </c>
      <c r="P325" s="1">
        <f ca="1">IFERROR(__xludf.DUMMYFUNCTION("""COMPUTED_VALUE"""),95.6)</f>
        <v>95.6</v>
      </c>
      <c r="Q325" s="1">
        <f ca="1">IFERROR(__xludf.DUMMYFUNCTION("""COMPUTED_VALUE"""),334)</f>
        <v>334</v>
      </c>
      <c r="R325" s="1">
        <f ca="1">IFERROR(__xludf.DUMMYFUNCTION("""COMPUTED_VALUE"""),107)</f>
        <v>107</v>
      </c>
      <c r="S325" s="1">
        <f ca="1">IFERROR(__xludf.DUMMYFUNCTION("""COMPUTED_VALUE"""),335)</f>
        <v>335</v>
      </c>
      <c r="T325" s="1">
        <f ca="1">IFERROR(__xludf.DUMMYFUNCTION("""COMPUTED_VALUE"""),-7.87)</f>
        <v>-7.87</v>
      </c>
      <c r="U325" s="1">
        <f ca="1">IFERROR(__xludf.DUMMYFUNCTION("""COMPUTED_VALUE"""),329)</f>
        <v>329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IFERROR(__xludf.DUMMYFUNCTION("""COMPUTED_VALUE"""),"Prairie View A&amp;M")</f>
        <v>Prairie View A&amp;M</v>
      </c>
      <c r="C326" s="1" t="str">
        <f ca="1">IFERROR(__xludf.DUMMYFUNCTION("""COMPUTED_VALUE"""),"SWAC")</f>
        <v>SWAC</v>
      </c>
      <c r="D326" s="1" t="str">
        <f ca="1">IFERROR(__xludf.DUMMYFUNCTION("""COMPUTED_VALUE"""),"16-14")</f>
        <v>16-14</v>
      </c>
      <c r="E326" s="1">
        <f ca="1">IFERROR(__xludf.DUMMYFUNCTION("""COMPUTED_VALUE"""),-15.63)</f>
        <v>-15.63</v>
      </c>
      <c r="F326" s="1">
        <f ca="1">IFERROR(__xludf.DUMMYFUNCTION("""COMPUTED_VALUE"""),85.6)</f>
        <v>85.6</v>
      </c>
      <c r="G326" s="1">
        <f ca="1">IFERROR(__xludf.DUMMYFUNCTION("""COMPUTED_VALUE"""),341)</f>
        <v>341</v>
      </c>
      <c r="H326" s="1">
        <f ca="1">IFERROR(__xludf.DUMMYFUNCTION("""COMPUTED_VALUE"""),101.2)</f>
        <v>101.2</v>
      </c>
      <c r="I326" s="1">
        <f ca="1">IFERROR(__xludf.DUMMYFUNCTION("""COMPUTED_VALUE"""),140)</f>
        <v>140</v>
      </c>
      <c r="J326" s="1">
        <f ca="1">IFERROR(__xludf.DUMMYFUNCTION("""COMPUTED_VALUE"""),66.3)</f>
        <v>66.3</v>
      </c>
      <c r="K326" s="1">
        <f ca="1">IFERROR(__xludf.DUMMYFUNCTION("""COMPUTED_VALUE"""),155)</f>
        <v>155</v>
      </c>
      <c r="L326" s="1" t="str">
        <f ca="1">IFERROR(__xludf.DUMMYFUNCTION("""COMPUTED_VALUE"""),"+.047")</f>
        <v>+.047</v>
      </c>
      <c r="M326" s="1">
        <f ca="1">IFERROR(__xludf.DUMMYFUNCTION("""COMPUTED_VALUE"""),66)</f>
        <v>66</v>
      </c>
      <c r="N326" s="1">
        <f ca="1">IFERROR(__xludf.DUMMYFUNCTION("""COMPUTED_VALUE"""),-13.14)</f>
        <v>-13.14</v>
      </c>
      <c r="O326" s="1">
        <f ca="1">IFERROR(__xludf.DUMMYFUNCTION("""COMPUTED_VALUE"""),345)</f>
        <v>345</v>
      </c>
      <c r="P326" s="1">
        <f ca="1">IFERROR(__xludf.DUMMYFUNCTION("""COMPUTED_VALUE"""),93.4)</f>
        <v>93.4</v>
      </c>
      <c r="Q326" s="1">
        <f ca="1">IFERROR(__xludf.DUMMYFUNCTION("""COMPUTED_VALUE"""),343)</f>
        <v>343</v>
      </c>
      <c r="R326" s="1">
        <f ca="1">IFERROR(__xludf.DUMMYFUNCTION("""COMPUTED_VALUE"""),106.6)</f>
        <v>106.6</v>
      </c>
      <c r="S326" s="1">
        <f ca="1">IFERROR(__xludf.DUMMYFUNCTION("""COMPUTED_VALUE"""),324)</f>
        <v>324</v>
      </c>
      <c r="T326" s="1" t="str">
        <f ca="1">IFERROR(__xludf.DUMMYFUNCTION("""COMPUTED_VALUE"""),"+9.39")</f>
        <v>+9.39</v>
      </c>
      <c r="U326" s="1">
        <f ca="1">IFERROR(__xludf.DUMMYFUNCTION("""COMPUTED_VALUE"""),9)</f>
        <v>9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IFERROR(__xludf.DUMMYFUNCTION("""COMPUTED_VALUE"""),"St. Francis NY")</f>
        <v>St. Francis NY</v>
      </c>
      <c r="C327" s="1" t="str">
        <f ca="1">IFERROR(__xludf.DUMMYFUNCTION("""COMPUTED_VALUE"""),"NEC")</f>
        <v>NEC</v>
      </c>
      <c r="D327" s="2">
        <f ca="1">IFERROR(__xludf.DUMMYFUNCTION("""COMPUTED_VALUE"""),44883)</f>
        <v>44883</v>
      </c>
      <c r="E327" s="1">
        <f ca="1">IFERROR(__xludf.DUMMYFUNCTION("""COMPUTED_VALUE"""),-15.76)</f>
        <v>-15.76</v>
      </c>
      <c r="F327" s="1">
        <f ca="1">IFERROR(__xludf.DUMMYFUNCTION("""COMPUTED_VALUE"""),89.8)</f>
        <v>89.8</v>
      </c>
      <c r="G327" s="1">
        <f ca="1">IFERROR(__xludf.DUMMYFUNCTION("""COMPUTED_VALUE"""),328)</f>
        <v>328</v>
      </c>
      <c r="H327" s="1">
        <f ca="1">IFERROR(__xludf.DUMMYFUNCTION("""COMPUTED_VALUE"""),105.5)</f>
        <v>105.5</v>
      </c>
      <c r="I327" s="1">
        <f ca="1">IFERROR(__xludf.DUMMYFUNCTION("""COMPUTED_VALUE"""),230)</f>
        <v>230</v>
      </c>
      <c r="J327" s="1">
        <f ca="1">IFERROR(__xludf.DUMMYFUNCTION("""COMPUTED_VALUE"""),63.7)</f>
        <v>63.7</v>
      </c>
      <c r="K327" s="1">
        <f ca="1">IFERROR(__xludf.DUMMYFUNCTION("""COMPUTED_VALUE"""),267)</f>
        <v>267</v>
      </c>
      <c r="L327" s="1" t="str">
        <f ca="1">IFERROR(__xludf.DUMMYFUNCTION("""COMPUTED_VALUE"""),"+.046")</f>
        <v>+.046</v>
      </c>
      <c r="M327" s="1">
        <f ca="1">IFERROR(__xludf.DUMMYFUNCTION("""COMPUTED_VALUE"""),67)</f>
        <v>67</v>
      </c>
      <c r="N327" s="1">
        <f ca="1">IFERROR(__xludf.DUMMYFUNCTION("""COMPUTED_VALUE"""),-10.78)</f>
        <v>-10.78</v>
      </c>
      <c r="O327" s="1">
        <f ca="1">IFERROR(__xludf.DUMMYFUNCTION("""COMPUTED_VALUE"""),332)</f>
        <v>332</v>
      </c>
      <c r="P327" s="1">
        <f ca="1">IFERROR(__xludf.DUMMYFUNCTION("""COMPUTED_VALUE"""),96.3)</f>
        <v>96.3</v>
      </c>
      <c r="Q327" s="1">
        <f ca="1">IFERROR(__xludf.DUMMYFUNCTION("""COMPUTED_VALUE"""),326)</f>
        <v>326</v>
      </c>
      <c r="R327" s="1">
        <f ca="1">IFERROR(__xludf.DUMMYFUNCTION("""COMPUTED_VALUE"""),107.1)</f>
        <v>107.1</v>
      </c>
      <c r="S327" s="1">
        <f ca="1">IFERROR(__xludf.DUMMYFUNCTION("""COMPUTED_VALUE"""),337)</f>
        <v>337</v>
      </c>
      <c r="T327" s="1">
        <f ca="1">IFERROR(__xludf.DUMMYFUNCTION("""COMPUTED_VALUE"""),-4.71)</f>
        <v>-4.71</v>
      </c>
      <c r="U327" s="1">
        <f ca="1">IFERROR(__xludf.DUMMYFUNCTION("""COMPUTED_VALUE"""),281)</f>
        <v>281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IFERROR(__xludf.DUMMYFUNCTION("""COMPUTED_VALUE"""),"Hartford")</f>
        <v>Hartford</v>
      </c>
      <c r="C328" s="1" t="str">
        <f ca="1">IFERROR(__xludf.DUMMYFUNCTION("""COMPUTED_VALUE"""),"AE")</f>
        <v>AE</v>
      </c>
      <c r="D328" s="2">
        <f ca="1">IFERROR(__xludf.DUMMYFUNCTION("""COMPUTED_VALUE"""),44795)</f>
        <v>44795</v>
      </c>
      <c r="E328" s="1">
        <f ca="1">IFERROR(__xludf.DUMMYFUNCTION("""COMPUTED_VALUE"""),-15.81)</f>
        <v>-15.81</v>
      </c>
      <c r="F328" s="1">
        <f ca="1">IFERROR(__xludf.DUMMYFUNCTION("""COMPUTED_VALUE"""),95.6)</f>
        <v>95.6</v>
      </c>
      <c r="G328" s="1">
        <f ca="1">IFERROR(__xludf.DUMMYFUNCTION("""COMPUTED_VALUE"""),283)</f>
        <v>283</v>
      </c>
      <c r="H328" s="1">
        <f ca="1">IFERROR(__xludf.DUMMYFUNCTION("""COMPUTED_VALUE"""),111.4)</f>
        <v>111.4</v>
      </c>
      <c r="I328" s="1">
        <f ca="1">IFERROR(__xludf.DUMMYFUNCTION("""COMPUTED_VALUE"""),322)</f>
        <v>322</v>
      </c>
      <c r="J328" s="1">
        <f ca="1">IFERROR(__xludf.DUMMYFUNCTION("""COMPUTED_VALUE"""),62.8)</f>
        <v>62.8</v>
      </c>
      <c r="K328" s="1">
        <f ca="1">IFERROR(__xludf.DUMMYFUNCTION("""COMPUTED_VALUE"""),292)</f>
        <v>292</v>
      </c>
      <c r="L328" s="1">
        <f ca="1">IFERROR(__xludf.DUMMYFUNCTION("""COMPUTED_VALUE"""),-0.038)</f>
        <v>-3.7999999999999999E-2</v>
      </c>
      <c r="M328" s="1">
        <f ca="1">IFERROR(__xludf.DUMMYFUNCTION("""COMPUTED_VALUE"""),274)</f>
        <v>274</v>
      </c>
      <c r="N328" s="1">
        <f ca="1">IFERROR(__xludf.DUMMYFUNCTION("""COMPUTED_VALUE"""),-6.31)</f>
        <v>-6.31</v>
      </c>
      <c r="O328" s="1">
        <f ca="1">IFERROR(__xludf.DUMMYFUNCTION("""COMPUTED_VALUE"""),283)</f>
        <v>283</v>
      </c>
      <c r="P328" s="1">
        <f ca="1">IFERROR(__xludf.DUMMYFUNCTION("""COMPUTED_VALUE"""),99)</f>
        <v>99</v>
      </c>
      <c r="Q328" s="1">
        <f ca="1">IFERROR(__xludf.DUMMYFUNCTION("""COMPUTED_VALUE"""),281)</f>
        <v>281</v>
      </c>
      <c r="R328" s="1">
        <f ca="1">IFERROR(__xludf.DUMMYFUNCTION("""COMPUTED_VALUE"""),105.3)</f>
        <v>105.3</v>
      </c>
      <c r="S328" s="1">
        <f ca="1">IFERROR(__xludf.DUMMYFUNCTION("""COMPUTED_VALUE"""),277)</f>
        <v>277</v>
      </c>
      <c r="T328" s="1">
        <f ca="1">IFERROR(__xludf.DUMMYFUNCTION("""COMPUTED_VALUE"""),-5.33)</f>
        <v>-5.33</v>
      </c>
      <c r="U328" s="1">
        <f ca="1">IFERROR(__xludf.DUMMYFUNCTION("""COMPUTED_VALUE"""),293)</f>
        <v>293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IFERROR(__xludf.DUMMYFUNCTION("""COMPUTED_VALUE"""),"Southeast Missouri St.")</f>
        <v>Southeast Missouri St.</v>
      </c>
      <c r="C329" s="1" t="str">
        <f ca="1">IFERROR(__xludf.DUMMYFUNCTION("""COMPUTED_VALUE"""),"OVC")</f>
        <v>OVC</v>
      </c>
      <c r="D329" s="2">
        <f ca="1">IFERROR(__xludf.DUMMYFUNCTION("""COMPUTED_VALUE"""),44765)</f>
        <v>44765</v>
      </c>
      <c r="E329" s="1">
        <f ca="1">IFERROR(__xludf.DUMMYFUNCTION("""COMPUTED_VALUE"""),-16.14)</f>
        <v>-16.14</v>
      </c>
      <c r="F329" s="1">
        <f ca="1">IFERROR(__xludf.DUMMYFUNCTION("""COMPUTED_VALUE"""),90.7)</f>
        <v>90.7</v>
      </c>
      <c r="G329" s="1">
        <f ca="1">IFERROR(__xludf.DUMMYFUNCTION("""COMPUTED_VALUE"""),321)</f>
        <v>321</v>
      </c>
      <c r="H329" s="1">
        <f ca="1">IFERROR(__xludf.DUMMYFUNCTION("""COMPUTED_VALUE"""),106.8)</f>
        <v>106.8</v>
      </c>
      <c r="I329" s="1">
        <f ca="1">IFERROR(__xludf.DUMMYFUNCTION("""COMPUTED_VALUE"""),255)</f>
        <v>255</v>
      </c>
      <c r="J329" s="1">
        <f ca="1">IFERROR(__xludf.DUMMYFUNCTION("""COMPUTED_VALUE"""),66.6)</f>
        <v>66.599999999999994</v>
      </c>
      <c r="K329" s="1">
        <f ca="1">IFERROR(__xludf.DUMMYFUNCTION("""COMPUTED_VALUE"""),139)</f>
        <v>139</v>
      </c>
      <c r="L329" s="1">
        <f ca="1">IFERROR(__xludf.DUMMYFUNCTION("""COMPUTED_VALUE"""),-0.044)</f>
        <v>-4.3999999999999997E-2</v>
      </c>
      <c r="M329" s="1">
        <f ca="1">IFERROR(__xludf.DUMMYFUNCTION("""COMPUTED_VALUE"""),285)</f>
        <v>285</v>
      </c>
      <c r="N329" s="1">
        <f ca="1">IFERROR(__xludf.DUMMYFUNCTION("""COMPUTED_VALUE"""),-3.4)</f>
        <v>-3.4</v>
      </c>
      <c r="O329" s="1">
        <f ca="1">IFERROR(__xludf.DUMMYFUNCTION("""COMPUTED_VALUE"""),233)</f>
        <v>233</v>
      </c>
      <c r="P329" s="1">
        <f ca="1">IFERROR(__xludf.DUMMYFUNCTION("""COMPUTED_VALUE"""),101.7)</f>
        <v>101.7</v>
      </c>
      <c r="Q329" s="1">
        <f ca="1">IFERROR(__xludf.DUMMYFUNCTION("""COMPUTED_VALUE"""),201)</f>
        <v>201</v>
      </c>
      <c r="R329" s="1">
        <f ca="1">IFERROR(__xludf.DUMMYFUNCTION("""COMPUTED_VALUE"""),105.1)</f>
        <v>105.1</v>
      </c>
      <c r="S329" s="1">
        <f ca="1">IFERROR(__xludf.DUMMYFUNCTION("""COMPUTED_VALUE"""),257)</f>
        <v>257</v>
      </c>
      <c r="T329" s="1">
        <f ca="1">IFERROR(__xludf.DUMMYFUNCTION("""COMPUTED_VALUE"""),-0.33)</f>
        <v>-0.33</v>
      </c>
      <c r="U329" s="1">
        <f ca="1">IFERROR(__xludf.DUMMYFUNCTION("""COMPUTED_VALUE"""),155)</f>
        <v>155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IFERROR(__xludf.DUMMYFUNCTION("""COMPUTED_VALUE"""),"St. Francis PA")</f>
        <v>St. Francis PA</v>
      </c>
      <c r="C330" s="1" t="str">
        <f ca="1">IFERROR(__xludf.DUMMYFUNCTION("""COMPUTED_VALUE"""),"NEC")</f>
        <v>NEC</v>
      </c>
      <c r="D330" s="2">
        <f ca="1">IFERROR(__xludf.DUMMYFUNCTION("""COMPUTED_VALUE"""),44884)</f>
        <v>44884</v>
      </c>
      <c r="E330" s="1">
        <f ca="1">IFERROR(__xludf.DUMMYFUNCTION("""COMPUTED_VALUE"""),-16.39)</f>
        <v>-16.39</v>
      </c>
      <c r="F330" s="1">
        <f ca="1">IFERROR(__xludf.DUMMYFUNCTION("""COMPUTED_VALUE"""),95.5)</f>
        <v>95.5</v>
      </c>
      <c r="G330" s="1">
        <f ca="1">IFERROR(__xludf.DUMMYFUNCTION("""COMPUTED_VALUE"""),286)</f>
        <v>286</v>
      </c>
      <c r="H330" s="1">
        <f ca="1">IFERROR(__xludf.DUMMYFUNCTION("""COMPUTED_VALUE"""),111.9)</f>
        <v>111.9</v>
      </c>
      <c r="I330" s="1">
        <f ca="1">IFERROR(__xludf.DUMMYFUNCTION("""COMPUTED_VALUE"""),329)</f>
        <v>329</v>
      </c>
      <c r="J330" s="1">
        <f ca="1">IFERROR(__xludf.DUMMYFUNCTION("""COMPUTED_VALUE"""),63.8)</f>
        <v>63.8</v>
      </c>
      <c r="K330" s="1">
        <f ca="1">IFERROR(__xludf.DUMMYFUNCTION("""COMPUTED_VALUE"""),266)</f>
        <v>266</v>
      </c>
      <c r="L330" s="1" t="str">
        <f ca="1">IFERROR(__xludf.DUMMYFUNCTION("""COMPUTED_VALUE"""),"+.028")</f>
        <v>+.028</v>
      </c>
      <c r="M330" s="1">
        <f ca="1">IFERROR(__xludf.DUMMYFUNCTION("""COMPUTED_VALUE"""),95)</f>
        <v>95</v>
      </c>
      <c r="N330" s="1">
        <f ca="1">IFERROR(__xludf.DUMMYFUNCTION("""COMPUTED_VALUE"""),-8.66)</f>
        <v>-8.66</v>
      </c>
      <c r="O330" s="1">
        <f ca="1">IFERROR(__xludf.DUMMYFUNCTION("""COMPUTED_VALUE"""),313)</f>
        <v>313</v>
      </c>
      <c r="P330" s="1">
        <f ca="1">IFERROR(__xludf.DUMMYFUNCTION("""COMPUTED_VALUE"""),97.2)</f>
        <v>97.2</v>
      </c>
      <c r="Q330" s="1">
        <f ca="1">IFERROR(__xludf.DUMMYFUNCTION("""COMPUTED_VALUE"""),314)</f>
        <v>314</v>
      </c>
      <c r="R330" s="1">
        <f ca="1">IFERROR(__xludf.DUMMYFUNCTION("""COMPUTED_VALUE"""),105.8)</f>
        <v>105.8</v>
      </c>
      <c r="S330" s="1">
        <f ca="1">IFERROR(__xludf.DUMMYFUNCTION("""COMPUTED_VALUE"""),300)</f>
        <v>300</v>
      </c>
      <c r="T330" s="1">
        <f ca="1">IFERROR(__xludf.DUMMYFUNCTION("""COMPUTED_VALUE"""),-0.83)</f>
        <v>-0.83</v>
      </c>
      <c r="U330" s="1">
        <f ca="1">IFERROR(__xludf.DUMMYFUNCTION("""COMPUTED_VALUE"""),166)</f>
        <v>166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IFERROR(__xludf.DUMMYFUNCTION("""COMPUTED_VALUE"""),"New Orleans")</f>
        <v>New Orleans</v>
      </c>
      <c r="C331" s="1" t="str">
        <f ca="1">IFERROR(__xludf.DUMMYFUNCTION("""COMPUTED_VALUE"""),"SB")</f>
        <v>SB</v>
      </c>
      <c r="D331" s="2">
        <f ca="1">IFERROR(__xludf.DUMMYFUNCTION("""COMPUTED_VALUE"""),44795)</f>
        <v>44795</v>
      </c>
      <c r="E331" s="1">
        <f ca="1">IFERROR(__xludf.DUMMYFUNCTION("""COMPUTED_VALUE"""),-16.68)</f>
        <v>-16.68</v>
      </c>
      <c r="F331" s="1">
        <f ca="1">IFERROR(__xludf.DUMMYFUNCTION("""COMPUTED_VALUE"""),89)</f>
        <v>89</v>
      </c>
      <c r="G331" s="1">
        <f ca="1">IFERROR(__xludf.DUMMYFUNCTION("""COMPUTED_VALUE"""),334)</f>
        <v>334</v>
      </c>
      <c r="H331" s="1">
        <f ca="1">IFERROR(__xludf.DUMMYFUNCTION("""COMPUTED_VALUE"""),105.7)</f>
        <v>105.7</v>
      </c>
      <c r="I331" s="1">
        <f ca="1">IFERROR(__xludf.DUMMYFUNCTION("""COMPUTED_VALUE"""),233)</f>
        <v>233</v>
      </c>
      <c r="J331" s="1">
        <f ca="1">IFERROR(__xludf.DUMMYFUNCTION("""COMPUTED_VALUE"""),63.7)</f>
        <v>63.7</v>
      </c>
      <c r="K331" s="1">
        <f ca="1">IFERROR(__xludf.DUMMYFUNCTION("""COMPUTED_VALUE"""),268)</f>
        <v>268</v>
      </c>
      <c r="L331" s="1" t="str">
        <f ca="1">IFERROR(__xludf.DUMMYFUNCTION("""COMPUTED_VALUE"""),"+.001")</f>
        <v>+.001</v>
      </c>
      <c r="M331" s="1">
        <f ca="1">IFERROR(__xludf.DUMMYFUNCTION("""COMPUTED_VALUE"""),168)</f>
        <v>168</v>
      </c>
      <c r="N331" s="1">
        <f ca="1">IFERROR(__xludf.DUMMYFUNCTION("""COMPUTED_VALUE"""),-5.16)</f>
        <v>-5.16</v>
      </c>
      <c r="O331" s="1">
        <f ca="1">IFERROR(__xludf.DUMMYFUNCTION("""COMPUTED_VALUE"""),259)</f>
        <v>259</v>
      </c>
      <c r="P331" s="1">
        <f ca="1">IFERROR(__xludf.DUMMYFUNCTION("""COMPUTED_VALUE"""),100.1)</f>
        <v>100.1</v>
      </c>
      <c r="Q331" s="1">
        <f ca="1">IFERROR(__xludf.DUMMYFUNCTION("""COMPUTED_VALUE"""),255)</f>
        <v>255</v>
      </c>
      <c r="R331" s="1">
        <f ca="1">IFERROR(__xludf.DUMMYFUNCTION("""COMPUTED_VALUE"""),105.3)</f>
        <v>105.3</v>
      </c>
      <c r="S331" s="1">
        <f ca="1">IFERROR(__xludf.DUMMYFUNCTION("""COMPUTED_VALUE"""),274)</f>
        <v>274</v>
      </c>
      <c r="T331" s="1">
        <f ca="1">IFERROR(__xludf.DUMMYFUNCTION("""COMPUTED_VALUE"""),-5.6)</f>
        <v>-5.6</v>
      </c>
      <c r="U331" s="1">
        <f ca="1">IFERROR(__xludf.DUMMYFUNCTION("""COMPUTED_VALUE"""),297)</f>
        <v>297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IFERROR(__xludf.DUMMYFUNCTION("""COMPUTED_VALUE"""),"Fairleigh Dickinson")</f>
        <v>Fairleigh Dickinson</v>
      </c>
      <c r="C332" s="1" t="str">
        <f ca="1">IFERROR(__xludf.DUMMYFUNCTION("""COMPUTED_VALUE"""),"NEC")</f>
        <v>NEC</v>
      </c>
      <c r="D332" s="2">
        <f ca="1">IFERROR(__xludf.DUMMYFUNCTION("""COMPUTED_VALUE"""),44886)</f>
        <v>44886</v>
      </c>
      <c r="E332" s="1">
        <f ca="1">IFERROR(__xludf.DUMMYFUNCTION("""COMPUTED_VALUE"""),-17.42)</f>
        <v>-17.420000000000002</v>
      </c>
      <c r="F332" s="1">
        <f ca="1">IFERROR(__xludf.DUMMYFUNCTION("""COMPUTED_VALUE"""),92.2)</f>
        <v>92.2</v>
      </c>
      <c r="G332" s="1">
        <f ca="1">IFERROR(__xludf.DUMMYFUNCTION("""COMPUTED_VALUE"""),310)</f>
        <v>310</v>
      </c>
      <c r="H332" s="1">
        <f ca="1">IFERROR(__xludf.DUMMYFUNCTION("""COMPUTED_VALUE"""),109.6)</f>
        <v>109.6</v>
      </c>
      <c r="I332" s="1">
        <f ca="1">IFERROR(__xludf.DUMMYFUNCTION("""COMPUTED_VALUE"""),296)</f>
        <v>296</v>
      </c>
      <c r="J332" s="1">
        <f ca="1">IFERROR(__xludf.DUMMYFUNCTION("""COMPUTED_VALUE"""),67)</f>
        <v>67</v>
      </c>
      <c r="K332" s="1">
        <f ca="1">IFERROR(__xludf.DUMMYFUNCTION("""COMPUTED_VALUE"""),117)</f>
        <v>117</v>
      </c>
      <c r="L332" s="1" t="str">
        <f ca="1">IFERROR(__xludf.DUMMYFUNCTION("""COMPUTED_VALUE"""),"+.054")</f>
        <v>+.054</v>
      </c>
      <c r="M332" s="1">
        <f ca="1">IFERROR(__xludf.DUMMYFUNCTION("""COMPUTED_VALUE"""),49)</f>
        <v>49</v>
      </c>
      <c r="N332" s="1">
        <f ca="1">IFERROR(__xludf.DUMMYFUNCTION("""COMPUTED_VALUE"""),-8.75)</f>
        <v>-8.75</v>
      </c>
      <c r="O332" s="1">
        <f ca="1">IFERROR(__xludf.DUMMYFUNCTION("""COMPUTED_VALUE"""),314)</f>
        <v>314</v>
      </c>
      <c r="P332" s="1">
        <f ca="1">IFERROR(__xludf.DUMMYFUNCTION("""COMPUTED_VALUE"""),97.4)</f>
        <v>97.4</v>
      </c>
      <c r="Q332" s="1">
        <f ca="1">IFERROR(__xludf.DUMMYFUNCTION("""COMPUTED_VALUE"""),310)</f>
        <v>310</v>
      </c>
      <c r="R332" s="1">
        <f ca="1">IFERROR(__xludf.DUMMYFUNCTION("""COMPUTED_VALUE"""),106.2)</f>
        <v>106.2</v>
      </c>
      <c r="S332" s="1">
        <f ca="1">IFERROR(__xludf.DUMMYFUNCTION("""COMPUTED_VALUE"""),315)</f>
        <v>315</v>
      </c>
      <c r="T332" s="1">
        <f ca="1">IFERROR(__xludf.DUMMYFUNCTION("""COMPUTED_VALUE"""),-1.97)</f>
        <v>-1.97</v>
      </c>
      <c r="U332" s="1">
        <f ca="1">IFERROR(__xludf.DUMMYFUNCTION("""COMPUTED_VALUE"""),218)</f>
        <v>218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IFERROR(__xludf.DUMMYFUNCTION("""COMPUTED_VALUE"""),"VMI")</f>
        <v>VMI</v>
      </c>
      <c r="C333" s="1" t="str">
        <f ca="1">IFERROR(__xludf.DUMMYFUNCTION("""COMPUTED_VALUE"""),"BSth")</f>
        <v>BSth</v>
      </c>
      <c r="D333" s="2">
        <f ca="1">IFERROR(__xludf.DUMMYFUNCTION("""COMPUTED_VALUE"""),44853)</f>
        <v>44853</v>
      </c>
      <c r="E333" s="1">
        <f ca="1">IFERROR(__xludf.DUMMYFUNCTION("""COMPUTED_VALUE"""),-18.1)</f>
        <v>-18.100000000000001</v>
      </c>
      <c r="F333" s="1">
        <f ca="1">IFERROR(__xludf.DUMMYFUNCTION("""COMPUTED_VALUE"""),102.4)</f>
        <v>102.4</v>
      </c>
      <c r="G333" s="1">
        <f ca="1">IFERROR(__xludf.DUMMYFUNCTION("""COMPUTED_VALUE"""),178)</f>
        <v>178</v>
      </c>
      <c r="H333" s="1">
        <f ca="1">IFERROR(__xludf.DUMMYFUNCTION("""COMPUTED_VALUE"""),120.5)</f>
        <v>120.5</v>
      </c>
      <c r="I333" s="1">
        <f ca="1">IFERROR(__xludf.DUMMYFUNCTION("""COMPUTED_VALUE"""),347)</f>
        <v>347</v>
      </c>
      <c r="J333" s="1">
        <f ca="1">IFERROR(__xludf.DUMMYFUNCTION("""COMPUTED_VALUE"""),83.4)</f>
        <v>83.4</v>
      </c>
      <c r="K333" s="1">
        <f ca="1">IFERROR(__xludf.DUMMYFUNCTION("""COMPUTED_VALUE"""),1)</f>
        <v>1</v>
      </c>
      <c r="L333" s="1" t="str">
        <f ca="1">IFERROR(__xludf.DUMMYFUNCTION("""COMPUTED_VALUE"""),"+.003")</f>
        <v>+.003</v>
      </c>
      <c r="M333" s="1">
        <f ca="1">IFERROR(__xludf.DUMMYFUNCTION("""COMPUTED_VALUE"""),163)</f>
        <v>163</v>
      </c>
      <c r="N333" s="1">
        <f ca="1">IFERROR(__xludf.DUMMYFUNCTION("""COMPUTED_VALUE"""),-7.36)</f>
        <v>-7.36</v>
      </c>
      <c r="O333" s="1">
        <f ca="1">IFERROR(__xludf.DUMMYFUNCTION("""COMPUTED_VALUE"""),298)</f>
        <v>298</v>
      </c>
      <c r="P333" s="1">
        <f ca="1">IFERROR(__xludf.DUMMYFUNCTION("""COMPUTED_VALUE"""),96.9)</f>
        <v>96.9</v>
      </c>
      <c r="Q333" s="1">
        <f ca="1">IFERROR(__xludf.DUMMYFUNCTION("""COMPUTED_VALUE"""),318)</f>
        <v>318</v>
      </c>
      <c r="R333" s="1">
        <f ca="1">IFERROR(__xludf.DUMMYFUNCTION("""COMPUTED_VALUE"""),104.3)</f>
        <v>104.3</v>
      </c>
      <c r="S333" s="1">
        <f ca="1">IFERROR(__xludf.DUMMYFUNCTION("""COMPUTED_VALUE"""),228)</f>
        <v>228</v>
      </c>
      <c r="T333" s="1" t="str">
        <f ca="1">IFERROR(__xludf.DUMMYFUNCTION("""COMPUTED_VALUE"""),"+8.16")</f>
        <v>+8.16</v>
      </c>
      <c r="U333" s="1">
        <f ca="1">IFERROR(__xludf.DUMMYFUNCTION("""COMPUTED_VALUE"""),20)</f>
        <v>20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IFERROR(__xludf.DUMMYFUNCTION("""COMPUTED_VALUE"""),"Centenary")</f>
        <v>Centenary</v>
      </c>
      <c r="C334" s="1" t="str">
        <f ca="1">IFERROR(__xludf.DUMMYFUNCTION("""COMPUTED_VALUE"""),"Sum")</f>
        <v>Sum</v>
      </c>
      <c r="D334" s="2">
        <f ca="1">IFERROR(__xludf.DUMMYFUNCTION("""COMPUTED_VALUE"""),44794)</f>
        <v>44794</v>
      </c>
      <c r="E334" s="1">
        <f ca="1">IFERROR(__xludf.DUMMYFUNCTION("""COMPUTED_VALUE"""),-18.48)</f>
        <v>-18.48</v>
      </c>
      <c r="F334" s="1">
        <f ca="1">IFERROR(__xludf.DUMMYFUNCTION("""COMPUTED_VALUE"""),95)</f>
        <v>95</v>
      </c>
      <c r="G334" s="1">
        <f ca="1">IFERROR(__xludf.DUMMYFUNCTION("""COMPUTED_VALUE"""),288)</f>
        <v>288</v>
      </c>
      <c r="H334" s="1">
        <f ca="1">IFERROR(__xludf.DUMMYFUNCTION("""COMPUTED_VALUE"""),113.5)</f>
        <v>113.5</v>
      </c>
      <c r="I334" s="1">
        <f ca="1">IFERROR(__xludf.DUMMYFUNCTION("""COMPUTED_VALUE"""),338)</f>
        <v>338</v>
      </c>
      <c r="J334" s="1">
        <f ca="1">IFERROR(__xludf.DUMMYFUNCTION("""COMPUTED_VALUE"""),69.7)</f>
        <v>69.7</v>
      </c>
      <c r="K334" s="1">
        <f ca="1">IFERROR(__xludf.DUMMYFUNCTION("""COMPUTED_VALUE"""),30)</f>
        <v>30</v>
      </c>
      <c r="L334" s="1" t="str">
        <f ca="1">IFERROR(__xludf.DUMMYFUNCTION("""COMPUTED_VALUE"""),"+.009")</f>
        <v>+.009</v>
      </c>
      <c r="M334" s="1">
        <f ca="1">IFERROR(__xludf.DUMMYFUNCTION("""COMPUTED_VALUE"""),144)</f>
        <v>144</v>
      </c>
      <c r="N334" s="1">
        <f ca="1">IFERROR(__xludf.DUMMYFUNCTION("""COMPUTED_VALUE"""),-4.29)</f>
        <v>-4.29</v>
      </c>
      <c r="O334" s="1">
        <f ca="1">IFERROR(__xludf.DUMMYFUNCTION("""COMPUTED_VALUE"""),247)</f>
        <v>247</v>
      </c>
      <c r="P334" s="1">
        <f ca="1">IFERROR(__xludf.DUMMYFUNCTION("""COMPUTED_VALUE"""),100.8)</f>
        <v>100.8</v>
      </c>
      <c r="Q334" s="1">
        <f ca="1">IFERROR(__xludf.DUMMYFUNCTION("""COMPUTED_VALUE"""),233)</f>
        <v>233</v>
      </c>
      <c r="R334" s="1">
        <f ca="1">IFERROR(__xludf.DUMMYFUNCTION("""COMPUTED_VALUE"""),105.1)</f>
        <v>105.1</v>
      </c>
      <c r="S334" s="1">
        <f ca="1">IFERROR(__xludf.DUMMYFUNCTION("""COMPUTED_VALUE"""),256)</f>
        <v>256</v>
      </c>
      <c r="T334" s="1" t="str">
        <f ca="1">IFERROR(__xludf.DUMMYFUNCTION("""COMPUTED_VALUE"""),"+1.99")</f>
        <v>+1.99</v>
      </c>
      <c r="U334" s="1">
        <f ca="1">IFERROR(__xludf.DUMMYFUNCTION("""COMPUTED_VALUE"""),104)</f>
        <v>104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IFERROR(__xludf.DUMMYFUNCTION("""COMPUTED_VALUE"""),"Maryland Eastern Shore")</f>
        <v>Maryland Eastern Shore</v>
      </c>
      <c r="C335" s="1" t="str">
        <f ca="1">IFERROR(__xludf.DUMMYFUNCTION("""COMPUTED_VALUE"""),"MEAC")</f>
        <v>MEAC</v>
      </c>
      <c r="D335" s="2">
        <f ca="1">IFERROR(__xludf.DUMMYFUNCTION("""COMPUTED_VALUE"""),44886)</f>
        <v>44886</v>
      </c>
      <c r="E335" s="1">
        <f ca="1">IFERROR(__xludf.DUMMYFUNCTION("""COMPUTED_VALUE"""),-18.54)</f>
        <v>-18.54</v>
      </c>
      <c r="F335" s="1">
        <f ca="1">IFERROR(__xludf.DUMMYFUNCTION("""COMPUTED_VALUE"""),91.6)</f>
        <v>91.6</v>
      </c>
      <c r="G335" s="1">
        <f ca="1">IFERROR(__xludf.DUMMYFUNCTION("""COMPUTED_VALUE"""),315)</f>
        <v>315</v>
      </c>
      <c r="H335" s="1">
        <f ca="1">IFERROR(__xludf.DUMMYFUNCTION("""COMPUTED_VALUE"""),110.1)</f>
        <v>110.1</v>
      </c>
      <c r="I335" s="1">
        <f ca="1">IFERROR(__xludf.DUMMYFUNCTION("""COMPUTED_VALUE"""),299)</f>
        <v>299</v>
      </c>
      <c r="J335" s="1">
        <f ca="1">IFERROR(__xludf.DUMMYFUNCTION("""COMPUTED_VALUE"""),65.1)</f>
        <v>65.099999999999994</v>
      </c>
      <c r="K335" s="1">
        <f ca="1">IFERROR(__xludf.DUMMYFUNCTION("""COMPUTED_VALUE"""),216)</f>
        <v>216</v>
      </c>
      <c r="L335" s="1" t="str">
        <f ca="1">IFERROR(__xludf.DUMMYFUNCTION("""COMPUTED_VALUE"""),"+.056")</f>
        <v>+.056</v>
      </c>
      <c r="M335" s="1">
        <f ca="1">IFERROR(__xludf.DUMMYFUNCTION("""COMPUTED_VALUE"""),46)</f>
        <v>46</v>
      </c>
      <c r="N335" s="1">
        <f ca="1">IFERROR(__xludf.DUMMYFUNCTION("""COMPUTED_VALUE"""),-9.17)</f>
        <v>-9.17</v>
      </c>
      <c r="O335" s="1">
        <f ca="1">IFERROR(__xludf.DUMMYFUNCTION("""COMPUTED_VALUE"""),317)</f>
        <v>317</v>
      </c>
      <c r="P335" s="1">
        <f ca="1">IFERROR(__xludf.DUMMYFUNCTION("""COMPUTED_VALUE"""),96.9)</f>
        <v>96.9</v>
      </c>
      <c r="Q335" s="1">
        <f ca="1">IFERROR(__xludf.DUMMYFUNCTION("""COMPUTED_VALUE"""),317)</f>
        <v>317</v>
      </c>
      <c r="R335" s="1">
        <f ca="1">IFERROR(__xludf.DUMMYFUNCTION("""COMPUTED_VALUE"""),106.1)</f>
        <v>106.1</v>
      </c>
      <c r="S335" s="1">
        <f ca="1">IFERROR(__xludf.DUMMYFUNCTION("""COMPUTED_VALUE"""),312)</f>
        <v>312</v>
      </c>
      <c r="T335" s="1">
        <f ca="1">IFERROR(__xludf.DUMMYFUNCTION("""COMPUTED_VALUE"""),-1.34)</f>
        <v>-1.34</v>
      </c>
      <c r="U335" s="1">
        <f ca="1">IFERROR(__xludf.DUMMYFUNCTION("""COMPUTED_VALUE"""),196)</f>
        <v>196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IFERROR(__xludf.DUMMYFUNCTION("""COMPUTED_VALUE"""),"Texas Pan American")</f>
        <v>Texas Pan American</v>
      </c>
      <c r="C336" s="1" t="str">
        <f ca="1">IFERROR(__xludf.DUMMYFUNCTION("""COMPUTED_VALUE"""),"GWC")</f>
        <v>GWC</v>
      </c>
      <c r="D336" s="2">
        <f ca="1">IFERROR(__xludf.DUMMYFUNCTION("""COMPUTED_VALUE"""),44739)</f>
        <v>44739</v>
      </c>
      <c r="E336" s="1">
        <f ca="1">IFERROR(__xludf.DUMMYFUNCTION("""COMPUTED_VALUE"""),-18.56)</f>
        <v>-18.559999999999999</v>
      </c>
      <c r="F336" s="1">
        <f ca="1">IFERROR(__xludf.DUMMYFUNCTION("""COMPUTED_VALUE"""),89.5)</f>
        <v>89.5</v>
      </c>
      <c r="G336" s="1">
        <f ca="1">IFERROR(__xludf.DUMMYFUNCTION("""COMPUTED_VALUE"""),329)</f>
        <v>329</v>
      </c>
      <c r="H336" s="1">
        <f ca="1">IFERROR(__xludf.DUMMYFUNCTION("""COMPUTED_VALUE"""),108)</f>
        <v>108</v>
      </c>
      <c r="I336" s="1">
        <f ca="1">IFERROR(__xludf.DUMMYFUNCTION("""COMPUTED_VALUE"""),274)</f>
        <v>274</v>
      </c>
      <c r="J336" s="1">
        <f ca="1">IFERROR(__xludf.DUMMYFUNCTION("""COMPUTED_VALUE"""),66.3)</f>
        <v>66.3</v>
      </c>
      <c r="K336" s="1">
        <f ca="1">IFERROR(__xludf.DUMMYFUNCTION("""COMPUTED_VALUE"""),153)</f>
        <v>153</v>
      </c>
      <c r="L336" s="1">
        <f ca="1">IFERROR(__xludf.DUMMYFUNCTION("""COMPUTED_VALUE"""),-0.081)</f>
        <v>-8.1000000000000003E-2</v>
      </c>
      <c r="M336" s="1">
        <f ca="1">IFERROR(__xludf.DUMMYFUNCTION("""COMPUTED_VALUE"""),332)</f>
        <v>332</v>
      </c>
      <c r="N336" s="1">
        <f ca="1">IFERROR(__xludf.DUMMYFUNCTION("""COMPUTED_VALUE"""),-6.64)</f>
        <v>-6.64</v>
      </c>
      <c r="O336" s="1">
        <f ca="1">IFERROR(__xludf.DUMMYFUNCTION("""COMPUTED_VALUE"""),286)</f>
        <v>286</v>
      </c>
      <c r="P336" s="1">
        <f ca="1">IFERROR(__xludf.DUMMYFUNCTION("""COMPUTED_VALUE"""),98.5)</f>
        <v>98.5</v>
      </c>
      <c r="Q336" s="1">
        <f ca="1">IFERROR(__xludf.DUMMYFUNCTION("""COMPUTED_VALUE"""),296)</f>
        <v>296</v>
      </c>
      <c r="R336" s="1">
        <f ca="1">IFERROR(__xludf.DUMMYFUNCTION("""COMPUTED_VALUE"""),105.1)</f>
        <v>105.1</v>
      </c>
      <c r="S336" s="1">
        <f ca="1">IFERROR(__xludf.DUMMYFUNCTION("""COMPUTED_VALUE"""),262)</f>
        <v>262</v>
      </c>
      <c r="T336" s="1" t="str">
        <f ca="1">IFERROR(__xludf.DUMMYFUNCTION("""COMPUTED_VALUE"""),"+3.65")</f>
        <v>+3.65</v>
      </c>
      <c r="U336" s="1">
        <f ca="1">IFERROR(__xludf.DUMMYFUNCTION("""COMPUTED_VALUE"""),72)</f>
        <v>72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IFERROR(__xludf.DUMMYFUNCTION("""COMPUTED_VALUE"""),"Houston Baptist")</f>
        <v>Houston Baptist</v>
      </c>
      <c r="C339" s="1" t="str">
        <f ca="1">IFERROR(__xludf.DUMMYFUNCTION("""COMPUTED_VALUE"""),"GWC")</f>
        <v>GWC</v>
      </c>
      <c r="D339" s="2">
        <f ca="1">IFERROR(__xludf.DUMMYFUNCTION("""COMPUTED_VALUE"""),44916)</f>
        <v>44916</v>
      </c>
      <c r="E339" s="1">
        <f ca="1">IFERROR(__xludf.DUMMYFUNCTION("""COMPUTED_VALUE"""),-19.24)</f>
        <v>-19.239999999999998</v>
      </c>
      <c r="F339" s="1">
        <f ca="1">IFERROR(__xludf.DUMMYFUNCTION("""COMPUTED_VALUE"""),93.8)</f>
        <v>93.8</v>
      </c>
      <c r="G339" s="1">
        <f ca="1">IFERROR(__xludf.DUMMYFUNCTION("""COMPUTED_VALUE"""),297)</f>
        <v>297</v>
      </c>
      <c r="H339" s="1">
        <f ca="1">IFERROR(__xludf.DUMMYFUNCTION("""COMPUTED_VALUE"""),113)</f>
        <v>113</v>
      </c>
      <c r="I339" s="1">
        <f ca="1">IFERROR(__xludf.DUMMYFUNCTION("""COMPUTED_VALUE"""),336)</f>
        <v>336</v>
      </c>
      <c r="J339" s="1">
        <f ca="1">IFERROR(__xludf.DUMMYFUNCTION("""COMPUTED_VALUE"""),72.2)</f>
        <v>72.2</v>
      </c>
      <c r="K339" s="1">
        <f ca="1">IFERROR(__xludf.DUMMYFUNCTION("""COMPUTED_VALUE"""),8)</f>
        <v>8</v>
      </c>
      <c r="L339" s="1" t="str">
        <f ca="1">IFERROR(__xludf.DUMMYFUNCTION("""COMPUTED_VALUE"""),"+.050")</f>
        <v>+.050</v>
      </c>
      <c r="M339" s="1">
        <f ca="1">IFERROR(__xludf.DUMMYFUNCTION("""COMPUTED_VALUE"""),58)</f>
        <v>58</v>
      </c>
      <c r="N339" s="1">
        <f ca="1">IFERROR(__xludf.DUMMYFUNCTION("""COMPUTED_VALUE"""),-12.38)</f>
        <v>-12.38</v>
      </c>
      <c r="O339" s="1">
        <f ca="1">IFERROR(__xludf.DUMMYFUNCTION("""COMPUTED_VALUE"""),341)</f>
        <v>341</v>
      </c>
      <c r="P339" s="1">
        <f ca="1">IFERROR(__xludf.DUMMYFUNCTION("""COMPUTED_VALUE"""),94.9)</f>
        <v>94.9</v>
      </c>
      <c r="Q339" s="1">
        <f ca="1">IFERROR(__xludf.DUMMYFUNCTION("""COMPUTED_VALUE"""),339)</f>
        <v>339</v>
      </c>
      <c r="R339" s="1">
        <f ca="1">IFERROR(__xludf.DUMMYFUNCTION("""COMPUTED_VALUE"""),107.2)</f>
        <v>107.2</v>
      </c>
      <c r="S339" s="1">
        <f ca="1">IFERROR(__xludf.DUMMYFUNCTION("""COMPUTED_VALUE"""),340)</f>
        <v>340</v>
      </c>
      <c r="T339" s="1">
        <f ca="1">IFERROR(__xludf.DUMMYFUNCTION("""COMPUTED_VALUE"""),-5.03)</f>
        <v>-5.03</v>
      </c>
      <c r="U339" s="1">
        <f ca="1">IFERROR(__xludf.DUMMYFUNCTION("""COMPUTED_VALUE"""),285)</f>
        <v>285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IFERROR(__xludf.DUMMYFUNCTION("""COMPUTED_VALUE"""),"UMBC")</f>
        <v>UMBC</v>
      </c>
      <c r="C340" s="1" t="str">
        <f ca="1">IFERROR(__xludf.DUMMYFUNCTION("""COMPUTED_VALUE"""),"AE")</f>
        <v>AE</v>
      </c>
      <c r="D340" s="2">
        <f ca="1">IFERROR(__xludf.DUMMYFUNCTION("""COMPUTED_VALUE"""),44677)</f>
        <v>44677</v>
      </c>
      <c r="E340" s="1">
        <f ca="1">IFERROR(__xludf.DUMMYFUNCTION("""COMPUTED_VALUE"""),-19.27)</f>
        <v>-19.27</v>
      </c>
      <c r="F340" s="1">
        <f ca="1">IFERROR(__xludf.DUMMYFUNCTION("""COMPUTED_VALUE"""),95.5)</f>
        <v>95.5</v>
      </c>
      <c r="G340" s="1">
        <f ca="1">IFERROR(__xludf.DUMMYFUNCTION("""COMPUTED_VALUE"""),285)</f>
        <v>285</v>
      </c>
      <c r="H340" s="1">
        <f ca="1">IFERROR(__xludf.DUMMYFUNCTION("""COMPUTED_VALUE"""),114.7)</f>
        <v>114.7</v>
      </c>
      <c r="I340" s="1">
        <f ca="1">IFERROR(__xludf.DUMMYFUNCTION("""COMPUTED_VALUE"""),344)</f>
        <v>344</v>
      </c>
      <c r="J340" s="1">
        <f ca="1">IFERROR(__xludf.DUMMYFUNCTION("""COMPUTED_VALUE"""),66.2)</f>
        <v>66.2</v>
      </c>
      <c r="K340" s="1">
        <f ca="1">IFERROR(__xludf.DUMMYFUNCTION("""COMPUTED_VALUE"""),162)</f>
        <v>162</v>
      </c>
      <c r="L340" s="1">
        <f ca="1">IFERROR(__xludf.DUMMYFUNCTION("""COMPUTED_VALUE"""),-0.071)</f>
        <v>-7.0999999999999994E-2</v>
      </c>
      <c r="M340" s="1">
        <f ca="1">IFERROR(__xludf.DUMMYFUNCTION("""COMPUTED_VALUE"""),323)</f>
        <v>323</v>
      </c>
      <c r="N340" s="1">
        <f ca="1">IFERROR(__xludf.DUMMYFUNCTION("""COMPUTED_VALUE"""),-5.75)</f>
        <v>-5.75</v>
      </c>
      <c r="O340" s="1">
        <f ca="1">IFERROR(__xludf.DUMMYFUNCTION("""COMPUTED_VALUE"""),271)</f>
        <v>271</v>
      </c>
      <c r="P340" s="1">
        <f ca="1">IFERROR(__xludf.DUMMYFUNCTION("""COMPUTED_VALUE"""),98.9)</f>
        <v>98.9</v>
      </c>
      <c r="Q340" s="1">
        <f ca="1">IFERROR(__xludf.DUMMYFUNCTION("""COMPUTED_VALUE"""),285)</f>
        <v>285</v>
      </c>
      <c r="R340" s="1">
        <f ca="1">IFERROR(__xludf.DUMMYFUNCTION("""COMPUTED_VALUE"""),104.7)</f>
        <v>104.7</v>
      </c>
      <c r="S340" s="1">
        <f ca="1">IFERROR(__xludf.DUMMYFUNCTION("""COMPUTED_VALUE"""),249)</f>
        <v>249</v>
      </c>
      <c r="T340" s="1">
        <f ca="1">IFERROR(__xludf.DUMMYFUNCTION("""COMPUTED_VALUE"""),-5.15)</f>
        <v>-5.15</v>
      </c>
      <c r="U340" s="1">
        <f ca="1">IFERROR(__xludf.DUMMYFUNCTION("""COMPUTED_VALUE"""),286)</f>
        <v>286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IFERROR(__xludf.DUMMYFUNCTION("""COMPUTED_VALUE"""),"Coppin St.")</f>
        <v>Coppin St.</v>
      </c>
      <c r="C341" s="1" t="str">
        <f ca="1">IFERROR(__xludf.DUMMYFUNCTION("""COMPUTED_VALUE"""),"MEAC")</f>
        <v>MEAC</v>
      </c>
      <c r="D341" s="2">
        <f ca="1">IFERROR(__xludf.DUMMYFUNCTION("""COMPUTED_VALUE"""),44795)</f>
        <v>44795</v>
      </c>
      <c r="E341" s="1">
        <f ca="1">IFERROR(__xludf.DUMMYFUNCTION("""COMPUTED_VALUE"""),-19.43)</f>
        <v>-19.43</v>
      </c>
      <c r="F341" s="1">
        <f ca="1">IFERROR(__xludf.DUMMYFUNCTION("""COMPUTED_VALUE"""),89.3)</f>
        <v>89.3</v>
      </c>
      <c r="G341" s="1">
        <f ca="1">IFERROR(__xludf.DUMMYFUNCTION("""COMPUTED_VALUE"""),331)</f>
        <v>331</v>
      </c>
      <c r="H341" s="1">
        <f ca="1">IFERROR(__xludf.DUMMYFUNCTION("""COMPUTED_VALUE"""),108.7)</f>
        <v>108.7</v>
      </c>
      <c r="I341" s="1">
        <f ca="1">IFERROR(__xludf.DUMMYFUNCTION("""COMPUTED_VALUE"""),286)</f>
        <v>286</v>
      </c>
      <c r="J341" s="1">
        <f ca="1">IFERROR(__xludf.DUMMYFUNCTION("""COMPUTED_VALUE"""),65)</f>
        <v>65</v>
      </c>
      <c r="K341" s="1">
        <f ca="1">IFERROR(__xludf.DUMMYFUNCTION("""COMPUTED_VALUE"""),220)</f>
        <v>220</v>
      </c>
      <c r="L341" s="1">
        <f ca="1">IFERROR(__xludf.DUMMYFUNCTION("""COMPUTED_VALUE"""),-0.088)</f>
        <v>-8.7999999999999995E-2</v>
      </c>
      <c r="M341" s="1">
        <f ca="1">IFERROR(__xludf.DUMMYFUNCTION("""COMPUTED_VALUE"""),338)</f>
        <v>338</v>
      </c>
      <c r="N341" s="1">
        <f ca="1">IFERROR(__xludf.DUMMYFUNCTION("""COMPUTED_VALUE"""),-8.58)</f>
        <v>-8.58</v>
      </c>
      <c r="O341" s="1">
        <f ca="1">IFERROR(__xludf.DUMMYFUNCTION("""COMPUTED_VALUE"""),312)</f>
        <v>312</v>
      </c>
      <c r="P341" s="1">
        <f ca="1">IFERROR(__xludf.DUMMYFUNCTION("""COMPUTED_VALUE"""),97.2)</f>
        <v>97.2</v>
      </c>
      <c r="Q341" s="1">
        <f ca="1">IFERROR(__xludf.DUMMYFUNCTION("""COMPUTED_VALUE"""),313)</f>
        <v>313</v>
      </c>
      <c r="R341" s="1">
        <f ca="1">IFERROR(__xludf.DUMMYFUNCTION("""COMPUTED_VALUE"""),105.8)</f>
        <v>105.8</v>
      </c>
      <c r="S341" s="1">
        <f ca="1">IFERROR(__xludf.DUMMYFUNCTION("""COMPUTED_VALUE"""),296)</f>
        <v>296</v>
      </c>
      <c r="T341" s="1" t="str">
        <f ca="1">IFERROR(__xludf.DUMMYFUNCTION("""COMPUTED_VALUE"""),"+1.93")</f>
        <v>+1.93</v>
      </c>
      <c r="U341" s="1">
        <f ca="1">IFERROR(__xludf.DUMMYFUNCTION("""COMPUTED_VALUE"""),106)</f>
        <v>106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IFERROR(__xludf.DUMMYFUNCTION("""COMPUTED_VALUE"""),"Southern Utah")</f>
        <v>Southern Utah</v>
      </c>
      <c r="C342" s="1" t="str">
        <f ca="1">IFERROR(__xludf.DUMMYFUNCTION("""COMPUTED_VALUE"""),"Sum")</f>
        <v>Sum</v>
      </c>
      <c r="D342" s="2">
        <f ca="1">IFERROR(__xludf.DUMMYFUNCTION("""COMPUTED_VALUE"""),44764)</f>
        <v>44764</v>
      </c>
      <c r="E342" s="1">
        <f ca="1">IFERROR(__xludf.DUMMYFUNCTION("""COMPUTED_VALUE"""),-19.47)</f>
        <v>-19.47</v>
      </c>
      <c r="F342" s="1">
        <f ca="1">IFERROR(__xludf.DUMMYFUNCTION("""COMPUTED_VALUE"""),89.8)</f>
        <v>89.8</v>
      </c>
      <c r="G342" s="1">
        <f ca="1">IFERROR(__xludf.DUMMYFUNCTION("""COMPUTED_VALUE"""),327)</f>
        <v>327</v>
      </c>
      <c r="H342" s="1">
        <f ca="1">IFERROR(__xludf.DUMMYFUNCTION("""COMPUTED_VALUE"""),109.3)</f>
        <v>109.3</v>
      </c>
      <c r="I342" s="1">
        <f ca="1">IFERROR(__xludf.DUMMYFUNCTION("""COMPUTED_VALUE"""),291)</f>
        <v>291</v>
      </c>
      <c r="J342" s="1">
        <f ca="1">IFERROR(__xludf.DUMMYFUNCTION("""COMPUTED_VALUE"""),66.2)</f>
        <v>66.2</v>
      </c>
      <c r="K342" s="1">
        <f ca="1">IFERROR(__xludf.DUMMYFUNCTION("""COMPUTED_VALUE"""),157)</f>
        <v>157</v>
      </c>
      <c r="L342" s="1">
        <f ca="1">IFERROR(__xludf.DUMMYFUNCTION("""COMPUTED_VALUE"""),-0.003)</f>
        <v>-3.0000000000000001E-3</v>
      </c>
      <c r="M342" s="1">
        <f ca="1">IFERROR(__xludf.DUMMYFUNCTION("""COMPUTED_VALUE"""),177)</f>
        <v>177</v>
      </c>
      <c r="N342" s="1">
        <f ca="1">IFERROR(__xludf.DUMMYFUNCTION("""COMPUTED_VALUE"""),-3.85)</f>
        <v>-3.85</v>
      </c>
      <c r="O342" s="1">
        <f ca="1">IFERROR(__xludf.DUMMYFUNCTION("""COMPUTED_VALUE"""),240)</f>
        <v>240</v>
      </c>
      <c r="P342" s="1">
        <f ca="1">IFERROR(__xludf.DUMMYFUNCTION("""COMPUTED_VALUE"""),101.6)</f>
        <v>101.6</v>
      </c>
      <c r="Q342" s="1">
        <f ca="1">IFERROR(__xludf.DUMMYFUNCTION("""COMPUTED_VALUE"""),204)</f>
        <v>204</v>
      </c>
      <c r="R342" s="1">
        <f ca="1">IFERROR(__xludf.DUMMYFUNCTION("""COMPUTED_VALUE"""),105.5)</f>
        <v>105.5</v>
      </c>
      <c r="S342" s="1">
        <f ca="1">IFERROR(__xludf.DUMMYFUNCTION("""COMPUTED_VALUE"""),283)</f>
        <v>283</v>
      </c>
      <c r="T342" s="1" t="str">
        <f ca="1">IFERROR(__xludf.DUMMYFUNCTION("""COMPUTED_VALUE"""),"+2.25")</f>
        <v>+2.25</v>
      </c>
      <c r="U342" s="1">
        <f ca="1">IFERROR(__xludf.DUMMYFUNCTION("""COMPUTED_VALUE"""),98)</f>
        <v>98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IFERROR(__xludf.DUMMYFUNCTION("""COMPUTED_VALUE"""),"Toledo")</f>
        <v>Toledo</v>
      </c>
      <c r="C343" s="1" t="str">
        <f ca="1">IFERROR(__xludf.DUMMYFUNCTION("""COMPUTED_VALUE"""),"MAC")</f>
        <v>MAC</v>
      </c>
      <c r="D343" s="2">
        <f ca="1">IFERROR(__xludf.DUMMYFUNCTION("""COMPUTED_VALUE"""),44679)</f>
        <v>44679</v>
      </c>
      <c r="E343" s="1">
        <f ca="1">IFERROR(__xludf.DUMMYFUNCTION("""COMPUTED_VALUE"""),-19.54)</f>
        <v>-19.54</v>
      </c>
      <c r="F343" s="1">
        <f ca="1">IFERROR(__xludf.DUMMYFUNCTION("""COMPUTED_VALUE"""),88.8)</f>
        <v>88.8</v>
      </c>
      <c r="G343" s="1">
        <f ca="1">IFERROR(__xludf.DUMMYFUNCTION("""COMPUTED_VALUE"""),335)</f>
        <v>335</v>
      </c>
      <c r="H343" s="1">
        <f ca="1">IFERROR(__xludf.DUMMYFUNCTION("""COMPUTED_VALUE"""),108.3)</f>
        <v>108.3</v>
      </c>
      <c r="I343" s="1">
        <f ca="1">IFERROR(__xludf.DUMMYFUNCTION("""COMPUTED_VALUE"""),277)</f>
        <v>277</v>
      </c>
      <c r="J343" s="1">
        <f ca="1">IFERROR(__xludf.DUMMYFUNCTION("""COMPUTED_VALUE"""),60.6)</f>
        <v>60.6</v>
      </c>
      <c r="K343" s="1">
        <f ca="1">IFERROR(__xludf.DUMMYFUNCTION("""COMPUTED_VALUE"""),331)</f>
        <v>331</v>
      </c>
      <c r="L343" s="1" t="str">
        <f ca="1">IFERROR(__xludf.DUMMYFUNCTION("""COMPUTED_VALUE"""),"+.008")</f>
        <v>+.008</v>
      </c>
      <c r="M343" s="1">
        <f ca="1">IFERROR(__xludf.DUMMYFUNCTION("""COMPUTED_VALUE"""),151)</f>
        <v>151</v>
      </c>
      <c r="N343" s="1" t="str">
        <f ca="1">IFERROR(__xludf.DUMMYFUNCTION("""COMPUTED_VALUE"""),"+0.81")</f>
        <v>+0.81</v>
      </c>
      <c r="O343" s="1">
        <f ca="1">IFERROR(__xludf.DUMMYFUNCTION("""COMPUTED_VALUE"""),152)</f>
        <v>152</v>
      </c>
      <c r="P343" s="1">
        <f ca="1">IFERROR(__xludf.DUMMYFUNCTION("""COMPUTED_VALUE"""),103.3)</f>
        <v>103.3</v>
      </c>
      <c r="Q343" s="1">
        <f ca="1">IFERROR(__xludf.DUMMYFUNCTION("""COMPUTED_VALUE"""),158)</f>
        <v>158</v>
      </c>
      <c r="R343" s="1">
        <f ca="1">IFERROR(__xludf.DUMMYFUNCTION("""COMPUTED_VALUE"""),102.5)</f>
        <v>102.5</v>
      </c>
      <c r="S343" s="1">
        <f ca="1">IFERROR(__xludf.DUMMYFUNCTION("""COMPUTED_VALUE"""),157)</f>
        <v>157</v>
      </c>
      <c r="T343" s="1" t="str">
        <f ca="1">IFERROR(__xludf.DUMMYFUNCTION("""COMPUTED_VALUE"""),"+2.54")</f>
        <v>+2.54</v>
      </c>
      <c r="U343" s="1">
        <f ca="1">IFERROR(__xludf.DUMMYFUNCTION("""COMPUTED_VALUE"""),93)</f>
        <v>93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IFERROR(__xludf.DUMMYFUNCTION("""COMPUTED_VALUE"""),"Utah Valley")</f>
        <v>Utah Valley</v>
      </c>
      <c r="C344" s="1" t="str">
        <f ca="1">IFERROR(__xludf.DUMMYFUNCTION("""COMPUTED_VALUE"""),"GWC")</f>
        <v>GWC</v>
      </c>
      <c r="D344" s="2">
        <f ca="1">IFERROR(__xludf.DUMMYFUNCTION("""COMPUTED_VALUE"""),44913)</f>
        <v>44913</v>
      </c>
      <c r="E344" s="1">
        <f ca="1">IFERROR(__xludf.DUMMYFUNCTION("""COMPUTED_VALUE"""),-19.59)</f>
        <v>-19.59</v>
      </c>
      <c r="F344" s="1">
        <f ca="1">IFERROR(__xludf.DUMMYFUNCTION("""COMPUTED_VALUE"""),89.8)</f>
        <v>89.8</v>
      </c>
      <c r="G344" s="1">
        <f ca="1">IFERROR(__xludf.DUMMYFUNCTION("""COMPUTED_VALUE"""),326)</f>
        <v>326</v>
      </c>
      <c r="H344" s="1">
        <f ca="1">IFERROR(__xludf.DUMMYFUNCTION("""COMPUTED_VALUE"""),109.4)</f>
        <v>109.4</v>
      </c>
      <c r="I344" s="1">
        <f ca="1">IFERROR(__xludf.DUMMYFUNCTION("""COMPUTED_VALUE"""),293)</f>
        <v>293</v>
      </c>
      <c r="J344" s="1">
        <f ca="1">IFERROR(__xludf.DUMMYFUNCTION("""COMPUTED_VALUE"""),61.1)</f>
        <v>61.1</v>
      </c>
      <c r="K344" s="1">
        <f ca="1">IFERROR(__xludf.DUMMYFUNCTION("""COMPUTED_VALUE"""),325)</f>
        <v>325</v>
      </c>
      <c r="L344" s="1">
        <f ca="1">IFERROR(__xludf.DUMMYFUNCTION("""COMPUTED_VALUE"""),-0.027)</f>
        <v>-2.7E-2</v>
      </c>
      <c r="M344" s="1">
        <f ca="1">IFERROR(__xludf.DUMMYFUNCTION("""COMPUTED_VALUE"""),246)</f>
        <v>246</v>
      </c>
      <c r="N344" s="1">
        <f ca="1">IFERROR(__xludf.DUMMYFUNCTION("""COMPUTED_VALUE"""),-12.71)</f>
        <v>-12.71</v>
      </c>
      <c r="O344" s="1">
        <f ca="1">IFERROR(__xludf.DUMMYFUNCTION("""COMPUTED_VALUE"""),344)</f>
        <v>344</v>
      </c>
      <c r="P344" s="1">
        <f ca="1">IFERROR(__xludf.DUMMYFUNCTION("""COMPUTED_VALUE"""),95.2)</f>
        <v>95.2</v>
      </c>
      <c r="Q344" s="1">
        <f ca="1">IFERROR(__xludf.DUMMYFUNCTION("""COMPUTED_VALUE"""),337)</f>
        <v>337</v>
      </c>
      <c r="R344" s="1">
        <f ca="1">IFERROR(__xludf.DUMMYFUNCTION("""COMPUTED_VALUE"""),108)</f>
        <v>108</v>
      </c>
      <c r="S344" s="1">
        <f ca="1">IFERROR(__xludf.DUMMYFUNCTION("""COMPUTED_VALUE"""),345)</f>
        <v>345</v>
      </c>
      <c r="T344" s="1">
        <f ca="1">IFERROR(__xludf.DUMMYFUNCTION("""COMPUTED_VALUE"""),-2.87)</f>
        <v>-2.87</v>
      </c>
      <c r="U344" s="1">
        <f ca="1">IFERROR(__xludf.DUMMYFUNCTION("""COMPUTED_VALUE"""),240)</f>
        <v>240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IFERROR(__xludf.DUMMYFUNCTION("""COMPUTED_VALUE"""),"Alabama A&amp;M")</f>
        <v>Alabama A&amp;M</v>
      </c>
      <c r="C345" s="1" t="str">
        <f ca="1">IFERROR(__xludf.DUMMYFUNCTION("""COMPUTED_VALUE"""),"SWAC")</f>
        <v>SWAC</v>
      </c>
      <c r="D345" s="2">
        <f ca="1">IFERROR(__xludf.DUMMYFUNCTION("""COMPUTED_VALUE"""),44881)</f>
        <v>44881</v>
      </c>
      <c r="E345" s="1">
        <f ca="1">IFERROR(__xludf.DUMMYFUNCTION("""COMPUTED_VALUE"""),-19.7)</f>
        <v>-19.7</v>
      </c>
      <c r="F345" s="1">
        <f ca="1">IFERROR(__xludf.DUMMYFUNCTION("""COMPUTED_VALUE"""),87.5)</f>
        <v>87.5</v>
      </c>
      <c r="G345" s="1">
        <f ca="1">IFERROR(__xludf.DUMMYFUNCTION("""COMPUTED_VALUE"""),338)</f>
        <v>338</v>
      </c>
      <c r="H345" s="1">
        <f ca="1">IFERROR(__xludf.DUMMYFUNCTION("""COMPUTED_VALUE"""),107.2)</f>
        <v>107.2</v>
      </c>
      <c r="I345" s="1">
        <f ca="1">IFERROR(__xludf.DUMMYFUNCTION("""COMPUTED_VALUE"""),264)</f>
        <v>264</v>
      </c>
      <c r="J345" s="1">
        <f ca="1">IFERROR(__xludf.DUMMYFUNCTION("""COMPUTED_VALUE"""),70.2)</f>
        <v>70.2</v>
      </c>
      <c r="K345" s="1">
        <f ca="1">IFERROR(__xludf.DUMMYFUNCTION("""COMPUTED_VALUE"""),25)</f>
        <v>25</v>
      </c>
      <c r="L345" s="1">
        <f ca="1">IFERROR(__xludf.DUMMYFUNCTION("""COMPUTED_VALUE"""),-0.016)</f>
        <v>-1.6E-2</v>
      </c>
      <c r="M345" s="1">
        <f ca="1">IFERROR(__xludf.DUMMYFUNCTION("""COMPUTED_VALUE"""),219)</f>
        <v>219</v>
      </c>
      <c r="N345" s="1">
        <f ca="1">IFERROR(__xludf.DUMMYFUNCTION("""COMPUTED_VALUE"""),-14.66)</f>
        <v>-14.66</v>
      </c>
      <c r="O345" s="1">
        <f ca="1">IFERROR(__xludf.DUMMYFUNCTION("""COMPUTED_VALUE"""),347)</f>
        <v>347</v>
      </c>
      <c r="P345" s="1">
        <f ca="1">IFERROR(__xludf.DUMMYFUNCTION("""COMPUTED_VALUE"""),91.7)</f>
        <v>91.7</v>
      </c>
      <c r="Q345" s="1">
        <f ca="1">IFERROR(__xludf.DUMMYFUNCTION("""COMPUTED_VALUE"""),347)</f>
        <v>347</v>
      </c>
      <c r="R345" s="1">
        <f ca="1">IFERROR(__xludf.DUMMYFUNCTION("""COMPUTED_VALUE"""),106.4)</f>
        <v>106.4</v>
      </c>
      <c r="S345" s="1">
        <f ca="1">IFERROR(__xludf.DUMMYFUNCTION("""COMPUTED_VALUE"""),319)</f>
        <v>319</v>
      </c>
      <c r="T345" s="1" t="str">
        <f ca="1">IFERROR(__xludf.DUMMYFUNCTION("""COMPUTED_VALUE"""),"+8.50")</f>
        <v>+8.50</v>
      </c>
      <c r="U345" s="1">
        <f ca="1">IFERROR(__xludf.DUMMYFUNCTION("""COMPUTED_VALUE"""),15)</f>
        <v>15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IFERROR(__xludf.DUMMYFUNCTION("""COMPUTED_VALUE"""),"Mississippi Valley St.")</f>
        <v>Mississippi Valley St.</v>
      </c>
      <c r="C346" s="1" t="str">
        <f ca="1">IFERROR(__xludf.DUMMYFUNCTION("""COMPUTED_VALUE"""),"SWAC")</f>
        <v>SWAC</v>
      </c>
      <c r="D346" s="2">
        <f ca="1">IFERROR(__xludf.DUMMYFUNCTION("""COMPUTED_VALUE"""),44827)</f>
        <v>44827</v>
      </c>
      <c r="E346" s="1">
        <f ca="1">IFERROR(__xludf.DUMMYFUNCTION("""COMPUTED_VALUE"""),-20.4)</f>
        <v>-20.399999999999999</v>
      </c>
      <c r="F346" s="1">
        <f ca="1">IFERROR(__xludf.DUMMYFUNCTION("""COMPUTED_VALUE"""),91.6)</f>
        <v>91.6</v>
      </c>
      <c r="G346" s="1">
        <f ca="1">IFERROR(__xludf.DUMMYFUNCTION("""COMPUTED_VALUE"""),314)</f>
        <v>314</v>
      </c>
      <c r="H346" s="1">
        <f ca="1">IFERROR(__xludf.DUMMYFUNCTION("""COMPUTED_VALUE"""),112)</f>
        <v>112</v>
      </c>
      <c r="I346" s="1">
        <f ca="1">IFERROR(__xludf.DUMMYFUNCTION("""COMPUTED_VALUE"""),333)</f>
        <v>333</v>
      </c>
      <c r="J346" s="1">
        <f ca="1">IFERROR(__xludf.DUMMYFUNCTION("""COMPUTED_VALUE"""),67.2)</f>
        <v>67.2</v>
      </c>
      <c r="K346" s="1">
        <f ca="1">IFERROR(__xludf.DUMMYFUNCTION("""COMPUTED_VALUE"""),106)</f>
        <v>106</v>
      </c>
      <c r="L346" s="1">
        <f ca="1">IFERROR(__xludf.DUMMYFUNCTION("""COMPUTED_VALUE"""),-0.005)</f>
        <v>-5.0000000000000001E-3</v>
      </c>
      <c r="M346" s="1">
        <f ca="1">IFERROR(__xludf.DUMMYFUNCTION("""COMPUTED_VALUE"""),183)</f>
        <v>183</v>
      </c>
      <c r="N346" s="1">
        <f ca="1">IFERROR(__xludf.DUMMYFUNCTION("""COMPUTED_VALUE"""),-9.29)</f>
        <v>-9.2899999999999991</v>
      </c>
      <c r="O346" s="1">
        <f ca="1">IFERROR(__xludf.DUMMYFUNCTION("""COMPUTED_VALUE"""),318)</f>
        <v>318</v>
      </c>
      <c r="P346" s="1">
        <f ca="1">IFERROR(__xludf.DUMMYFUNCTION("""COMPUTED_VALUE"""),94.7)</f>
        <v>94.7</v>
      </c>
      <c r="Q346" s="1">
        <f ca="1">IFERROR(__xludf.DUMMYFUNCTION("""COMPUTED_VALUE"""),340)</f>
        <v>340</v>
      </c>
      <c r="R346" s="1">
        <f ca="1">IFERROR(__xludf.DUMMYFUNCTION("""COMPUTED_VALUE"""),104)</f>
        <v>104</v>
      </c>
      <c r="S346" s="1">
        <f ca="1">IFERROR(__xludf.DUMMYFUNCTION("""COMPUTED_VALUE"""),215)</f>
        <v>215</v>
      </c>
      <c r="T346" s="1" t="str">
        <f ca="1">IFERROR(__xludf.DUMMYFUNCTION("""COMPUTED_VALUE"""),"+6.36")</f>
        <v>+6.36</v>
      </c>
      <c r="U346" s="1">
        <f ca="1">IFERROR(__xludf.DUMMYFUNCTION("""COMPUTED_VALUE"""),40)</f>
        <v>40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IFERROR(__xludf.DUMMYFUNCTION("""COMPUTED_VALUE"""),"Presbyterian")</f>
        <v>Presbyterian</v>
      </c>
      <c r="C347" s="1" t="str">
        <f ca="1">IFERROR(__xludf.DUMMYFUNCTION("""COMPUTED_VALUE"""),"BSth")</f>
        <v>BSth</v>
      </c>
      <c r="D347" s="2">
        <f ca="1">IFERROR(__xludf.DUMMYFUNCTION("""COMPUTED_VALUE"""),44707)</f>
        <v>44707</v>
      </c>
      <c r="E347" s="1">
        <f ca="1">IFERROR(__xludf.DUMMYFUNCTION("""COMPUTED_VALUE"""),-20.64)</f>
        <v>-20.64</v>
      </c>
      <c r="F347" s="1">
        <f ca="1">IFERROR(__xludf.DUMMYFUNCTION("""COMPUTED_VALUE"""),90.9)</f>
        <v>90.9</v>
      </c>
      <c r="G347" s="1">
        <f ca="1">IFERROR(__xludf.DUMMYFUNCTION("""COMPUTED_VALUE"""),318)</f>
        <v>318</v>
      </c>
      <c r="H347" s="1">
        <f ca="1">IFERROR(__xludf.DUMMYFUNCTION("""COMPUTED_VALUE"""),111.6)</f>
        <v>111.6</v>
      </c>
      <c r="I347" s="1">
        <f ca="1">IFERROR(__xludf.DUMMYFUNCTION("""COMPUTED_VALUE"""),323)</f>
        <v>323</v>
      </c>
      <c r="J347" s="1">
        <f ca="1">IFERROR(__xludf.DUMMYFUNCTION("""COMPUTED_VALUE"""),62)</f>
        <v>62</v>
      </c>
      <c r="K347" s="1">
        <f ca="1">IFERROR(__xludf.DUMMYFUNCTION("""COMPUTED_VALUE"""),310)</f>
        <v>310</v>
      </c>
      <c r="L347" s="1">
        <f ca="1">IFERROR(__xludf.DUMMYFUNCTION("""COMPUTED_VALUE"""),-0.049)</f>
        <v>-4.9000000000000002E-2</v>
      </c>
      <c r="M347" s="1">
        <f ca="1">IFERROR(__xludf.DUMMYFUNCTION("""COMPUTED_VALUE"""),296)</f>
        <v>296</v>
      </c>
      <c r="N347" s="1">
        <f ca="1">IFERROR(__xludf.DUMMYFUNCTION("""COMPUTED_VALUE"""),-3.64)</f>
        <v>-3.64</v>
      </c>
      <c r="O347" s="1">
        <f ca="1">IFERROR(__xludf.DUMMYFUNCTION("""COMPUTED_VALUE"""),237)</f>
        <v>237</v>
      </c>
      <c r="P347" s="1">
        <f ca="1">IFERROR(__xludf.DUMMYFUNCTION("""COMPUTED_VALUE"""),100)</f>
        <v>100</v>
      </c>
      <c r="Q347" s="1">
        <f ca="1">IFERROR(__xludf.DUMMYFUNCTION("""COMPUTED_VALUE"""),259)</f>
        <v>259</v>
      </c>
      <c r="R347" s="1">
        <f ca="1">IFERROR(__xludf.DUMMYFUNCTION("""COMPUTED_VALUE"""),103.6)</f>
        <v>103.6</v>
      </c>
      <c r="S347" s="1">
        <f ca="1">IFERROR(__xludf.DUMMYFUNCTION("""COMPUTED_VALUE"""),191)</f>
        <v>191</v>
      </c>
      <c r="T347" s="1" t="str">
        <f ca="1">IFERROR(__xludf.DUMMYFUNCTION("""COMPUTED_VALUE"""),"+12.77")</f>
        <v>+12.77</v>
      </c>
      <c r="U347" s="1">
        <f ca="1">IFERROR(__xludf.DUMMYFUNCTION("""COMPUTED_VALUE"""),3)</f>
        <v>3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IFERROR(__xludf.DUMMYFUNCTION("""COMPUTED_VALUE"""),"Winston Salem St.")</f>
        <v>Winston Salem St.</v>
      </c>
      <c r="C348" s="1" t="str">
        <f ca="1">IFERROR(__xludf.DUMMYFUNCTION("""COMPUTED_VALUE"""),"ind")</f>
        <v>ind</v>
      </c>
      <c r="D348" s="2">
        <f ca="1">IFERROR(__xludf.DUMMYFUNCTION("""COMPUTED_VALUE"""),44912)</f>
        <v>44912</v>
      </c>
      <c r="E348" s="1">
        <f ca="1">IFERROR(__xludf.DUMMYFUNCTION("""COMPUTED_VALUE"""),-20.66)</f>
        <v>-20.66</v>
      </c>
      <c r="F348" s="1">
        <f ca="1">IFERROR(__xludf.DUMMYFUNCTION("""COMPUTED_VALUE"""),86.9)</f>
        <v>86.9</v>
      </c>
      <c r="G348" s="1">
        <f ca="1">IFERROR(__xludf.DUMMYFUNCTION("""COMPUTED_VALUE"""),339)</f>
        <v>339</v>
      </c>
      <c r="H348" s="1">
        <f ca="1">IFERROR(__xludf.DUMMYFUNCTION("""COMPUTED_VALUE"""),107.6)</f>
        <v>107.6</v>
      </c>
      <c r="I348" s="1">
        <f ca="1">IFERROR(__xludf.DUMMYFUNCTION("""COMPUTED_VALUE"""),267)</f>
        <v>267</v>
      </c>
      <c r="J348" s="1">
        <f ca="1">IFERROR(__xludf.DUMMYFUNCTION("""COMPUTED_VALUE"""),66.4)</f>
        <v>66.400000000000006</v>
      </c>
      <c r="K348" s="1">
        <f ca="1">IFERROR(__xludf.DUMMYFUNCTION("""COMPUTED_VALUE"""),146)</f>
        <v>146</v>
      </c>
      <c r="L348" s="1" t="str">
        <f ca="1">IFERROR(__xludf.DUMMYFUNCTION("""COMPUTED_VALUE"""),"+.074")</f>
        <v>+.074</v>
      </c>
      <c r="M348" s="1">
        <f ca="1">IFERROR(__xludf.DUMMYFUNCTION("""COMPUTED_VALUE"""),28)</f>
        <v>28</v>
      </c>
      <c r="N348" s="1">
        <f ca="1">IFERROR(__xludf.DUMMYFUNCTION("""COMPUTED_VALUE"""),-7.22)</f>
        <v>-7.22</v>
      </c>
      <c r="O348" s="1">
        <f ca="1">IFERROR(__xludf.DUMMYFUNCTION("""COMPUTED_VALUE"""),294)</f>
        <v>294</v>
      </c>
      <c r="P348" s="1">
        <f ca="1">IFERROR(__xludf.DUMMYFUNCTION("""COMPUTED_VALUE"""),98.1)</f>
        <v>98.1</v>
      </c>
      <c r="Q348" s="1">
        <f ca="1">IFERROR(__xludf.DUMMYFUNCTION("""COMPUTED_VALUE"""),301)</f>
        <v>301</v>
      </c>
      <c r="R348" s="1">
        <f ca="1">IFERROR(__xludf.DUMMYFUNCTION("""COMPUTED_VALUE"""),105.4)</f>
        <v>105.4</v>
      </c>
      <c r="S348" s="1">
        <f ca="1">IFERROR(__xludf.DUMMYFUNCTION("""COMPUTED_VALUE"""),278)</f>
        <v>278</v>
      </c>
      <c r="T348" s="1">
        <f ca="1">IFERROR(__xludf.DUMMYFUNCTION("""COMPUTED_VALUE"""),-7.22)</f>
        <v>-7.22</v>
      </c>
      <c r="U348" s="1">
        <f ca="1">IFERROR(__xludf.DUMMYFUNCTION("""COMPUTED_VALUE"""),321)</f>
        <v>321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IFERROR(__xludf.DUMMYFUNCTION("""COMPUTED_VALUE"""),"Gardner Webb")</f>
        <v>Gardner Webb</v>
      </c>
      <c r="C349" s="1" t="str">
        <f ca="1">IFERROR(__xludf.DUMMYFUNCTION("""COMPUTED_VALUE"""),"BSth")</f>
        <v>BSth</v>
      </c>
      <c r="D349" s="2">
        <f ca="1">IFERROR(__xludf.DUMMYFUNCTION("""COMPUTED_VALUE"""),44794)</f>
        <v>44794</v>
      </c>
      <c r="E349" s="1">
        <f ca="1">IFERROR(__xludf.DUMMYFUNCTION("""COMPUTED_VALUE"""),-20.81)</f>
        <v>-20.81</v>
      </c>
      <c r="F349" s="1">
        <f ca="1">IFERROR(__xludf.DUMMYFUNCTION("""COMPUTED_VALUE"""),90.1)</f>
        <v>90.1</v>
      </c>
      <c r="G349" s="1">
        <f ca="1">IFERROR(__xludf.DUMMYFUNCTION("""COMPUTED_VALUE"""),324)</f>
        <v>324</v>
      </c>
      <c r="H349" s="1">
        <f ca="1">IFERROR(__xludf.DUMMYFUNCTION("""COMPUTED_VALUE"""),111)</f>
        <v>111</v>
      </c>
      <c r="I349" s="1">
        <f ca="1">IFERROR(__xludf.DUMMYFUNCTION("""COMPUTED_VALUE"""),314)</f>
        <v>314</v>
      </c>
      <c r="J349" s="1">
        <f ca="1">IFERROR(__xludf.DUMMYFUNCTION("""COMPUTED_VALUE"""),69.7)</f>
        <v>69.7</v>
      </c>
      <c r="K349" s="1">
        <f ca="1">IFERROR(__xludf.DUMMYFUNCTION("""COMPUTED_VALUE"""),29)</f>
        <v>29</v>
      </c>
      <c r="L349" s="1">
        <f ca="1">IFERROR(__xludf.DUMMYFUNCTION("""COMPUTED_VALUE"""),-0.004)</f>
        <v>-4.0000000000000001E-3</v>
      </c>
      <c r="M349" s="1">
        <f ca="1">IFERROR(__xludf.DUMMYFUNCTION("""COMPUTED_VALUE"""),181)</f>
        <v>181</v>
      </c>
      <c r="N349" s="1">
        <f ca="1">IFERROR(__xludf.DUMMYFUNCTION("""COMPUTED_VALUE"""),-6.88)</f>
        <v>-6.88</v>
      </c>
      <c r="O349" s="1">
        <f ca="1">IFERROR(__xludf.DUMMYFUNCTION("""COMPUTED_VALUE"""),290)</f>
        <v>290</v>
      </c>
      <c r="P349" s="1">
        <f ca="1">IFERROR(__xludf.DUMMYFUNCTION("""COMPUTED_VALUE"""),98.8)</f>
        <v>98.8</v>
      </c>
      <c r="Q349" s="1">
        <f ca="1">IFERROR(__xludf.DUMMYFUNCTION("""COMPUTED_VALUE"""),288)</f>
        <v>288</v>
      </c>
      <c r="R349" s="1">
        <f ca="1">IFERROR(__xludf.DUMMYFUNCTION("""COMPUTED_VALUE"""),105.6)</f>
        <v>105.6</v>
      </c>
      <c r="S349" s="1">
        <f ca="1">IFERROR(__xludf.DUMMYFUNCTION("""COMPUTED_VALUE"""),292)</f>
        <v>292</v>
      </c>
      <c r="T349" s="1" t="str">
        <f ca="1">IFERROR(__xludf.DUMMYFUNCTION("""COMPUTED_VALUE"""),"+9.36")</f>
        <v>+9.36</v>
      </c>
      <c r="U349" s="1">
        <f ca="1">IFERROR(__xludf.DUMMYFUNCTION("""COMPUTED_VALUE"""),10)</f>
        <v>10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IFERROR(__xludf.DUMMYFUNCTION("""COMPUTED_VALUE"""),"Stetson")</f>
        <v>Stetson</v>
      </c>
      <c r="C350" s="1" t="str">
        <f ca="1">IFERROR(__xludf.DUMMYFUNCTION("""COMPUTED_VALUE"""),"ASun")</f>
        <v>ASun</v>
      </c>
      <c r="D350" s="2">
        <f ca="1">IFERROR(__xludf.DUMMYFUNCTION("""COMPUTED_VALUE"""),44764)</f>
        <v>44764</v>
      </c>
      <c r="E350" s="1">
        <f ca="1">IFERROR(__xludf.DUMMYFUNCTION("""COMPUTED_VALUE"""),-20.85)</f>
        <v>-20.85</v>
      </c>
      <c r="F350" s="1">
        <f ca="1">IFERROR(__xludf.DUMMYFUNCTION("""COMPUTED_VALUE"""),90.5)</f>
        <v>90.5</v>
      </c>
      <c r="G350" s="1">
        <f ca="1">IFERROR(__xludf.DUMMYFUNCTION("""COMPUTED_VALUE"""),322)</f>
        <v>322</v>
      </c>
      <c r="H350" s="1">
        <f ca="1">IFERROR(__xludf.DUMMYFUNCTION("""COMPUTED_VALUE"""),111.3)</f>
        <v>111.3</v>
      </c>
      <c r="I350" s="1">
        <f ca="1">IFERROR(__xludf.DUMMYFUNCTION("""COMPUTED_VALUE"""),320)</f>
        <v>320</v>
      </c>
      <c r="J350" s="1">
        <f ca="1">IFERROR(__xludf.DUMMYFUNCTION("""COMPUTED_VALUE"""),66)</f>
        <v>66</v>
      </c>
      <c r="K350" s="1">
        <f ca="1">IFERROR(__xludf.DUMMYFUNCTION("""COMPUTED_VALUE"""),176)</f>
        <v>176</v>
      </c>
      <c r="L350" s="1" t="str">
        <f ca="1">IFERROR(__xludf.DUMMYFUNCTION("""COMPUTED_VALUE"""),"+.044")</f>
        <v>+.044</v>
      </c>
      <c r="M350" s="1">
        <f ca="1">IFERROR(__xludf.DUMMYFUNCTION("""COMPUTED_VALUE"""),70)</f>
        <v>70</v>
      </c>
      <c r="N350" s="1">
        <f ca="1">IFERROR(__xludf.DUMMYFUNCTION("""COMPUTED_VALUE"""),-2.62)</f>
        <v>-2.62</v>
      </c>
      <c r="O350" s="1">
        <f ca="1">IFERROR(__xludf.DUMMYFUNCTION("""COMPUTED_VALUE"""),218)</f>
        <v>218</v>
      </c>
      <c r="P350" s="1">
        <f ca="1">IFERROR(__xludf.DUMMYFUNCTION("""COMPUTED_VALUE"""),100.6)</f>
        <v>100.6</v>
      </c>
      <c r="Q350" s="1">
        <f ca="1">IFERROR(__xludf.DUMMYFUNCTION("""COMPUTED_VALUE"""),240)</f>
        <v>240</v>
      </c>
      <c r="R350" s="1">
        <f ca="1">IFERROR(__xludf.DUMMYFUNCTION("""COMPUTED_VALUE"""),103.2)</f>
        <v>103.2</v>
      </c>
      <c r="S350" s="1">
        <f ca="1">IFERROR(__xludf.DUMMYFUNCTION("""COMPUTED_VALUE"""),180)</f>
        <v>180</v>
      </c>
      <c r="T350" s="1" t="str">
        <f ca="1">IFERROR(__xludf.DUMMYFUNCTION("""COMPUTED_VALUE"""),"+5.94")</f>
        <v>+5.94</v>
      </c>
      <c r="U350" s="1">
        <f ca="1">IFERROR(__xludf.DUMMYFUNCTION("""COMPUTED_VALUE"""),46)</f>
        <v>46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IFERROR(__xludf.DUMMYFUNCTION("""COMPUTED_VALUE"""),"Florida A&amp;M")</f>
        <v>Florida A&amp;M</v>
      </c>
      <c r="C351" s="1" t="str">
        <f ca="1">IFERROR(__xludf.DUMMYFUNCTION("""COMPUTED_VALUE"""),"MEAC")</f>
        <v>MEAC</v>
      </c>
      <c r="D351" s="2">
        <f ca="1">IFERROR(__xludf.DUMMYFUNCTION("""COMPUTED_VALUE"""),44826)</f>
        <v>44826</v>
      </c>
      <c r="E351" s="1">
        <f ca="1">IFERROR(__xludf.DUMMYFUNCTION("""COMPUTED_VALUE"""),-20.95)</f>
        <v>-20.95</v>
      </c>
      <c r="F351" s="1">
        <f ca="1">IFERROR(__xludf.DUMMYFUNCTION("""COMPUTED_VALUE"""),92.8)</f>
        <v>92.8</v>
      </c>
      <c r="G351" s="1">
        <f ca="1">IFERROR(__xludf.DUMMYFUNCTION("""COMPUTED_VALUE"""),305)</f>
        <v>305</v>
      </c>
      <c r="H351" s="1">
        <f ca="1">IFERROR(__xludf.DUMMYFUNCTION("""COMPUTED_VALUE"""),113.7)</f>
        <v>113.7</v>
      </c>
      <c r="I351" s="1">
        <f ca="1">IFERROR(__xludf.DUMMYFUNCTION("""COMPUTED_VALUE"""),339)</f>
        <v>339</v>
      </c>
      <c r="J351" s="1">
        <f ca="1">IFERROR(__xludf.DUMMYFUNCTION("""COMPUTED_VALUE"""),67)</f>
        <v>67</v>
      </c>
      <c r="K351" s="1">
        <f ca="1">IFERROR(__xludf.DUMMYFUNCTION("""COMPUTED_VALUE"""),121)</f>
        <v>121</v>
      </c>
      <c r="L351" s="1" t="str">
        <f ca="1">IFERROR(__xludf.DUMMYFUNCTION("""COMPUTED_VALUE"""),"+.054")</f>
        <v>+.054</v>
      </c>
      <c r="M351" s="1">
        <f ca="1">IFERROR(__xludf.DUMMYFUNCTION("""COMPUTED_VALUE"""),48)</f>
        <v>48</v>
      </c>
      <c r="N351" s="1">
        <f ca="1">IFERROR(__xludf.DUMMYFUNCTION("""COMPUTED_VALUE"""),-7.74)</f>
        <v>-7.74</v>
      </c>
      <c r="O351" s="1">
        <f ca="1">IFERROR(__xludf.DUMMYFUNCTION("""COMPUTED_VALUE"""),303)</f>
        <v>303</v>
      </c>
      <c r="P351" s="1">
        <f ca="1">IFERROR(__xludf.DUMMYFUNCTION("""COMPUTED_VALUE"""),97.3)</f>
        <v>97.3</v>
      </c>
      <c r="Q351" s="1">
        <f ca="1">IFERROR(__xludf.DUMMYFUNCTION("""COMPUTED_VALUE"""),311)</f>
        <v>311</v>
      </c>
      <c r="R351" s="1">
        <f ca="1">IFERROR(__xludf.DUMMYFUNCTION("""COMPUTED_VALUE"""),105)</f>
        <v>105</v>
      </c>
      <c r="S351" s="1">
        <f ca="1">IFERROR(__xludf.DUMMYFUNCTION("""COMPUTED_VALUE"""),255)</f>
        <v>255</v>
      </c>
      <c r="T351" s="1" t="str">
        <f ca="1">IFERROR(__xludf.DUMMYFUNCTION("""COMPUTED_VALUE"""),"+1.93")</f>
        <v>+1.93</v>
      </c>
      <c r="U351" s="1">
        <f ca="1">IFERROR(__xludf.DUMMYFUNCTION("""COMPUTED_VALUE"""),107)</f>
        <v>107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IFERROR(__xludf.DUMMYFUNCTION("""COMPUTED_VALUE"""),"Tennessee Martin")</f>
        <v>Tennessee Martin</v>
      </c>
      <c r="C352" s="1" t="str">
        <f ca="1">IFERROR(__xludf.DUMMYFUNCTION("""COMPUTED_VALUE"""),"OVC")</f>
        <v>OVC</v>
      </c>
      <c r="D352" s="2">
        <f ca="1">IFERROR(__xludf.DUMMYFUNCTION("""COMPUTED_VALUE"""),44676)</f>
        <v>44676</v>
      </c>
      <c r="E352" s="1">
        <f ca="1">IFERROR(__xludf.DUMMYFUNCTION("""COMPUTED_VALUE"""),-21.2)</f>
        <v>-21.2</v>
      </c>
      <c r="F352" s="1">
        <f ca="1">IFERROR(__xludf.DUMMYFUNCTION("""COMPUTED_VALUE"""),90.2)</f>
        <v>90.2</v>
      </c>
      <c r="G352" s="1">
        <f ca="1">IFERROR(__xludf.DUMMYFUNCTION("""COMPUTED_VALUE"""),323)</f>
        <v>323</v>
      </c>
      <c r="H352" s="1">
        <f ca="1">IFERROR(__xludf.DUMMYFUNCTION("""COMPUTED_VALUE"""),111.4)</f>
        <v>111.4</v>
      </c>
      <c r="I352" s="1">
        <f ca="1">IFERROR(__xludf.DUMMYFUNCTION("""COMPUTED_VALUE"""),321)</f>
        <v>321</v>
      </c>
      <c r="J352" s="1">
        <f ca="1">IFERROR(__xludf.DUMMYFUNCTION("""COMPUTED_VALUE"""),69.8)</f>
        <v>69.8</v>
      </c>
      <c r="K352" s="1">
        <f ca="1">IFERROR(__xludf.DUMMYFUNCTION("""COMPUTED_VALUE"""),27)</f>
        <v>27</v>
      </c>
      <c r="L352" s="1">
        <f ca="1">IFERROR(__xludf.DUMMYFUNCTION("""COMPUTED_VALUE"""),-0.015)</f>
        <v>-1.4999999999999999E-2</v>
      </c>
      <c r="M352" s="1">
        <f ca="1">IFERROR(__xludf.DUMMYFUNCTION("""COMPUTED_VALUE"""),217)</f>
        <v>217</v>
      </c>
      <c r="N352" s="1">
        <f ca="1">IFERROR(__xludf.DUMMYFUNCTION("""COMPUTED_VALUE"""),-2.3)</f>
        <v>-2.2999999999999998</v>
      </c>
      <c r="O352" s="1">
        <f ca="1">IFERROR(__xludf.DUMMYFUNCTION("""COMPUTED_VALUE"""),207)</f>
        <v>207</v>
      </c>
      <c r="P352" s="1">
        <f ca="1">IFERROR(__xludf.DUMMYFUNCTION("""COMPUTED_VALUE"""),101.6)</f>
        <v>101.6</v>
      </c>
      <c r="Q352" s="1">
        <f ca="1">IFERROR(__xludf.DUMMYFUNCTION("""COMPUTED_VALUE"""),203)</f>
        <v>203</v>
      </c>
      <c r="R352" s="1">
        <f ca="1">IFERROR(__xludf.DUMMYFUNCTION("""COMPUTED_VALUE"""),103.9)</f>
        <v>103.9</v>
      </c>
      <c r="S352" s="1">
        <f ca="1">IFERROR(__xludf.DUMMYFUNCTION("""COMPUTED_VALUE"""),209)</f>
        <v>209</v>
      </c>
      <c r="T352" s="1" t="str">
        <f ca="1">IFERROR(__xludf.DUMMYFUNCTION("""COMPUTED_VALUE"""),"+3.87")</f>
        <v>+3.87</v>
      </c>
      <c r="U352" s="1">
        <f ca="1">IFERROR(__xludf.DUMMYFUNCTION("""COMPUTED_VALUE"""),69)</f>
        <v>69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IFERROR(__xludf.DUMMYFUNCTION("""COMPUTED_VALUE"""),"Wagner")</f>
        <v>Wagner</v>
      </c>
      <c r="C353" s="1" t="str">
        <f ca="1">IFERROR(__xludf.DUMMYFUNCTION("""COMPUTED_VALUE"""),"NEC")</f>
        <v>NEC</v>
      </c>
      <c r="D353" s="2">
        <f ca="1">IFERROR(__xludf.DUMMYFUNCTION("""COMPUTED_VALUE"""),44707)</f>
        <v>44707</v>
      </c>
      <c r="E353" s="1">
        <f ca="1">IFERROR(__xludf.DUMMYFUNCTION("""COMPUTED_VALUE"""),-22)</f>
        <v>-22</v>
      </c>
      <c r="F353" s="1">
        <f ca="1">IFERROR(__xludf.DUMMYFUNCTION("""COMPUTED_VALUE"""),89.1)</f>
        <v>89.1</v>
      </c>
      <c r="G353" s="1">
        <f ca="1">IFERROR(__xludf.DUMMYFUNCTION("""COMPUTED_VALUE"""),332)</f>
        <v>332</v>
      </c>
      <c r="H353" s="1">
        <f ca="1">IFERROR(__xludf.DUMMYFUNCTION("""COMPUTED_VALUE"""),111.1)</f>
        <v>111.1</v>
      </c>
      <c r="I353" s="1">
        <f ca="1">IFERROR(__xludf.DUMMYFUNCTION("""COMPUTED_VALUE"""),316)</f>
        <v>316</v>
      </c>
      <c r="J353" s="1">
        <f ca="1">IFERROR(__xludf.DUMMYFUNCTION("""COMPUTED_VALUE"""),65.7)</f>
        <v>65.7</v>
      </c>
      <c r="K353" s="1">
        <f ca="1">IFERROR(__xludf.DUMMYFUNCTION("""COMPUTED_VALUE"""),185)</f>
        <v>185</v>
      </c>
      <c r="L353" s="1">
        <f ca="1">IFERROR(__xludf.DUMMYFUNCTION("""COMPUTED_VALUE"""),-0.014)</f>
        <v>-1.4E-2</v>
      </c>
      <c r="M353" s="1">
        <f ca="1">IFERROR(__xludf.DUMMYFUNCTION("""COMPUTED_VALUE"""),211)</f>
        <v>211</v>
      </c>
      <c r="N353" s="1">
        <f ca="1">IFERROR(__xludf.DUMMYFUNCTION("""COMPUTED_VALUE"""),-9.69)</f>
        <v>-9.69</v>
      </c>
      <c r="O353" s="1">
        <f ca="1">IFERROR(__xludf.DUMMYFUNCTION("""COMPUTED_VALUE"""),323)</f>
        <v>323</v>
      </c>
      <c r="P353" s="1">
        <f ca="1">IFERROR(__xludf.DUMMYFUNCTION("""COMPUTED_VALUE"""),96.2)</f>
        <v>96.2</v>
      </c>
      <c r="Q353" s="1">
        <f ca="1">IFERROR(__xludf.DUMMYFUNCTION("""COMPUTED_VALUE"""),328)</f>
        <v>328</v>
      </c>
      <c r="R353" s="1">
        <f ca="1">IFERROR(__xludf.DUMMYFUNCTION("""COMPUTED_VALUE"""),105.9)</f>
        <v>105.9</v>
      </c>
      <c r="S353" s="1">
        <f ca="1">IFERROR(__xludf.DUMMYFUNCTION("""COMPUTED_VALUE"""),302)</f>
        <v>302</v>
      </c>
      <c r="T353" s="1">
        <f ca="1">IFERROR(__xludf.DUMMYFUNCTION("""COMPUTED_VALUE"""),-7.14)</f>
        <v>-7.14</v>
      </c>
      <c r="U353" s="1">
        <f ca="1">IFERROR(__xludf.DUMMYFUNCTION("""COMPUTED_VALUE"""),317)</f>
        <v>317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IFERROR(__xludf.DUMMYFUNCTION("""COMPUTED_VALUE"""),"Marist")</f>
        <v>Marist</v>
      </c>
      <c r="C354" s="1" t="str">
        <f ca="1">IFERROR(__xludf.DUMMYFUNCTION("""COMPUTED_VALUE"""),"MAAC")</f>
        <v>MAAC</v>
      </c>
      <c r="D354" s="2">
        <f ca="1">IFERROR(__xludf.DUMMYFUNCTION("""COMPUTED_VALUE"""),44590)</f>
        <v>44590</v>
      </c>
      <c r="E354" s="1">
        <f ca="1">IFERROR(__xludf.DUMMYFUNCTION("""COMPUTED_VALUE"""),-22.01)</f>
        <v>-22.01</v>
      </c>
      <c r="F354" s="1">
        <f ca="1">IFERROR(__xludf.DUMMYFUNCTION("""COMPUTED_VALUE"""),90.8)</f>
        <v>90.8</v>
      </c>
      <c r="G354" s="1">
        <f ca="1">IFERROR(__xludf.DUMMYFUNCTION("""COMPUTED_VALUE"""),319)</f>
        <v>319</v>
      </c>
      <c r="H354" s="1">
        <f ca="1">IFERROR(__xludf.DUMMYFUNCTION("""COMPUTED_VALUE"""),112.8)</f>
        <v>112.8</v>
      </c>
      <c r="I354" s="1">
        <f ca="1">IFERROR(__xludf.DUMMYFUNCTION("""COMPUTED_VALUE"""),335)</f>
        <v>335</v>
      </c>
      <c r="J354" s="1">
        <f ca="1">IFERROR(__xludf.DUMMYFUNCTION("""COMPUTED_VALUE"""),62.6)</f>
        <v>62.6</v>
      </c>
      <c r="K354" s="1">
        <f ca="1">IFERROR(__xludf.DUMMYFUNCTION("""COMPUTED_VALUE"""),298)</f>
        <v>298</v>
      </c>
      <c r="L354" s="1">
        <f ca="1">IFERROR(__xludf.DUMMYFUNCTION("""COMPUTED_VALUE"""),-0.014)</f>
        <v>-1.4E-2</v>
      </c>
      <c r="M354" s="1">
        <f ca="1">IFERROR(__xludf.DUMMYFUNCTION("""COMPUTED_VALUE"""),214)</f>
        <v>214</v>
      </c>
      <c r="N354" s="1">
        <f ca="1">IFERROR(__xludf.DUMMYFUNCTION("""COMPUTED_VALUE"""),-0.73)</f>
        <v>-0.73</v>
      </c>
      <c r="O354" s="1">
        <f ca="1">IFERROR(__xludf.DUMMYFUNCTION("""COMPUTED_VALUE"""),176)</f>
        <v>176</v>
      </c>
      <c r="P354" s="1">
        <f ca="1">IFERROR(__xludf.DUMMYFUNCTION("""COMPUTED_VALUE"""),101.1)</f>
        <v>101.1</v>
      </c>
      <c r="Q354" s="1">
        <f ca="1">IFERROR(__xludf.DUMMYFUNCTION("""COMPUTED_VALUE"""),222)</f>
        <v>222</v>
      </c>
      <c r="R354" s="1">
        <f ca="1">IFERROR(__xludf.DUMMYFUNCTION("""COMPUTED_VALUE"""),101.9)</f>
        <v>101.9</v>
      </c>
      <c r="S354" s="1">
        <f ca="1">IFERROR(__xludf.DUMMYFUNCTION("""COMPUTED_VALUE"""),126)</f>
        <v>126</v>
      </c>
      <c r="T354" s="1">
        <f ca="1">IFERROR(__xludf.DUMMYFUNCTION("""COMPUTED_VALUE"""),-3.4)</f>
        <v>-3.4</v>
      </c>
      <c r="U354" s="1">
        <f ca="1">IFERROR(__xludf.DUMMYFUNCTION("""COMPUTED_VALUE"""),255)</f>
        <v>255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IFERROR(__xludf.DUMMYFUNCTION("""COMPUTED_VALUE"""),"Howard")</f>
        <v>Howard</v>
      </c>
      <c r="C355" s="1" t="str">
        <f ca="1">IFERROR(__xludf.DUMMYFUNCTION("""COMPUTED_VALUE"""),"MEAC")</f>
        <v>MEAC</v>
      </c>
      <c r="D355" s="2">
        <f ca="1">IFERROR(__xludf.DUMMYFUNCTION("""COMPUTED_VALUE"""),44767)</f>
        <v>44767</v>
      </c>
      <c r="E355" s="1">
        <f ca="1">IFERROR(__xludf.DUMMYFUNCTION("""COMPUTED_VALUE"""),-22.04)</f>
        <v>-22.04</v>
      </c>
      <c r="F355" s="1">
        <f ca="1">IFERROR(__xludf.DUMMYFUNCTION("""COMPUTED_VALUE"""),88.4)</f>
        <v>88.4</v>
      </c>
      <c r="G355" s="1">
        <f ca="1">IFERROR(__xludf.DUMMYFUNCTION("""COMPUTED_VALUE"""),336)</f>
        <v>336</v>
      </c>
      <c r="H355" s="1">
        <f ca="1">IFERROR(__xludf.DUMMYFUNCTION("""COMPUTED_VALUE"""),110.4)</f>
        <v>110.4</v>
      </c>
      <c r="I355" s="1">
        <f ca="1">IFERROR(__xludf.DUMMYFUNCTION("""COMPUTED_VALUE"""),303)</f>
        <v>303</v>
      </c>
      <c r="J355" s="1">
        <f ca="1">IFERROR(__xludf.DUMMYFUNCTION("""COMPUTED_VALUE"""),64.3)</f>
        <v>64.3</v>
      </c>
      <c r="K355" s="1">
        <f ca="1">IFERROR(__xludf.DUMMYFUNCTION("""COMPUTED_VALUE"""),244)</f>
        <v>244</v>
      </c>
      <c r="L355" s="1" t="str">
        <f ca="1">IFERROR(__xludf.DUMMYFUNCTION("""COMPUTED_VALUE"""),"+.011")</f>
        <v>+.011</v>
      </c>
      <c r="M355" s="1">
        <f ca="1">IFERROR(__xludf.DUMMYFUNCTION("""COMPUTED_VALUE"""),138)</f>
        <v>138</v>
      </c>
      <c r="N355" s="1">
        <f ca="1">IFERROR(__xludf.DUMMYFUNCTION("""COMPUTED_VALUE"""),-6.85)</f>
        <v>-6.85</v>
      </c>
      <c r="O355" s="1">
        <f ca="1">IFERROR(__xludf.DUMMYFUNCTION("""COMPUTED_VALUE"""),289)</f>
        <v>289</v>
      </c>
      <c r="P355" s="1">
        <f ca="1">IFERROR(__xludf.DUMMYFUNCTION("""COMPUTED_VALUE"""),98.1)</f>
        <v>98.1</v>
      </c>
      <c r="Q355" s="1">
        <f ca="1">IFERROR(__xludf.DUMMYFUNCTION("""COMPUTED_VALUE"""),302)</f>
        <v>302</v>
      </c>
      <c r="R355" s="1">
        <f ca="1">IFERROR(__xludf.DUMMYFUNCTION("""COMPUTED_VALUE"""),105)</f>
        <v>105</v>
      </c>
      <c r="S355" s="1">
        <f ca="1">IFERROR(__xludf.DUMMYFUNCTION("""COMPUTED_VALUE"""),254)</f>
        <v>254</v>
      </c>
      <c r="T355" s="1" t="str">
        <f ca="1">IFERROR(__xludf.DUMMYFUNCTION("""COMPUTED_VALUE"""),"+0.75")</f>
        <v>+0.75</v>
      </c>
      <c r="U355" s="1">
        <f ca="1">IFERROR(__xludf.DUMMYFUNCTION("""COMPUTED_VALUE"""),133)</f>
        <v>133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IFERROR(__xludf.DUMMYFUNCTION("""COMPUTED_VALUE"""),"NJIT")</f>
        <v>NJIT</v>
      </c>
      <c r="C356" s="1" t="str">
        <f ca="1">IFERROR(__xludf.DUMMYFUNCTION("""COMPUTED_VALUE"""),"GWC")</f>
        <v>GWC</v>
      </c>
      <c r="D356" s="2">
        <f ca="1">IFERROR(__xludf.DUMMYFUNCTION("""COMPUTED_VALUE"""),44855)</f>
        <v>44855</v>
      </c>
      <c r="E356" s="1">
        <f ca="1">IFERROR(__xludf.DUMMYFUNCTION("""COMPUTED_VALUE"""),-22.16)</f>
        <v>-22.16</v>
      </c>
      <c r="F356" s="1">
        <f ca="1">IFERROR(__xludf.DUMMYFUNCTION("""COMPUTED_VALUE"""),84.7)</f>
        <v>84.7</v>
      </c>
      <c r="G356" s="1">
        <f ca="1">IFERROR(__xludf.DUMMYFUNCTION("""COMPUTED_VALUE"""),343)</f>
        <v>343</v>
      </c>
      <c r="H356" s="1">
        <f ca="1">IFERROR(__xludf.DUMMYFUNCTION("""COMPUTED_VALUE"""),106.8)</f>
        <v>106.8</v>
      </c>
      <c r="I356" s="1">
        <f ca="1">IFERROR(__xludf.DUMMYFUNCTION("""COMPUTED_VALUE"""),254)</f>
        <v>254</v>
      </c>
      <c r="J356" s="1">
        <f ca="1">IFERROR(__xludf.DUMMYFUNCTION("""COMPUTED_VALUE"""),66.6)</f>
        <v>66.599999999999994</v>
      </c>
      <c r="K356" s="1">
        <f ca="1">IFERROR(__xludf.DUMMYFUNCTION("""COMPUTED_VALUE"""),131)</f>
        <v>131</v>
      </c>
      <c r="L356" s="1">
        <f ca="1">IFERROR(__xludf.DUMMYFUNCTION("""COMPUTED_VALUE"""),-0.059)</f>
        <v>-5.8999999999999997E-2</v>
      </c>
      <c r="M356" s="1">
        <f ca="1">IFERROR(__xludf.DUMMYFUNCTION("""COMPUTED_VALUE"""),306)</f>
        <v>306</v>
      </c>
      <c r="N356" s="1">
        <f ca="1">IFERROR(__xludf.DUMMYFUNCTION("""COMPUTED_VALUE"""),-11.71)</f>
        <v>-11.71</v>
      </c>
      <c r="O356" s="1">
        <f ca="1">IFERROR(__xludf.DUMMYFUNCTION("""COMPUTED_VALUE"""),337)</f>
        <v>337</v>
      </c>
      <c r="P356" s="1">
        <f ca="1">IFERROR(__xludf.DUMMYFUNCTION("""COMPUTED_VALUE"""),96.3)</f>
        <v>96.3</v>
      </c>
      <c r="Q356" s="1">
        <f ca="1">IFERROR(__xludf.DUMMYFUNCTION("""COMPUTED_VALUE"""),325)</f>
        <v>325</v>
      </c>
      <c r="R356" s="1">
        <f ca="1">IFERROR(__xludf.DUMMYFUNCTION("""COMPUTED_VALUE"""),108)</f>
        <v>108</v>
      </c>
      <c r="S356" s="1">
        <f ca="1">IFERROR(__xludf.DUMMYFUNCTION("""COMPUTED_VALUE"""),347)</f>
        <v>347</v>
      </c>
      <c r="T356" s="1">
        <f ca="1">IFERROR(__xludf.DUMMYFUNCTION("""COMPUTED_VALUE"""),-1)</f>
        <v>-1</v>
      </c>
      <c r="U356" s="1">
        <f ca="1">IFERROR(__xludf.DUMMYFUNCTION("""COMPUTED_VALUE"""),179)</f>
        <v>179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IFERROR(__xludf.DUMMYFUNCTION("""COMPUTED_VALUE"""),"North Carolina Central")</f>
        <v>North Carolina Central</v>
      </c>
      <c r="C357" s="1" t="str">
        <f ca="1">IFERROR(__xludf.DUMMYFUNCTION("""COMPUTED_VALUE"""),"ind")</f>
        <v>ind</v>
      </c>
      <c r="D357" s="2">
        <f ca="1">IFERROR(__xludf.DUMMYFUNCTION("""COMPUTED_VALUE"""),44764)</f>
        <v>44764</v>
      </c>
      <c r="E357" s="1">
        <f ca="1">IFERROR(__xludf.DUMMYFUNCTION("""COMPUTED_VALUE"""),-22.46)</f>
        <v>-22.46</v>
      </c>
      <c r="F357" s="1">
        <f ca="1">IFERROR(__xludf.DUMMYFUNCTION("""COMPUTED_VALUE"""),85.9)</f>
        <v>85.9</v>
      </c>
      <c r="G357" s="1">
        <f ca="1">IFERROR(__xludf.DUMMYFUNCTION("""COMPUTED_VALUE"""),340)</f>
        <v>340</v>
      </c>
      <c r="H357" s="1">
        <f ca="1">IFERROR(__xludf.DUMMYFUNCTION("""COMPUTED_VALUE"""),108.4)</f>
        <v>108.4</v>
      </c>
      <c r="I357" s="1">
        <f ca="1">IFERROR(__xludf.DUMMYFUNCTION("""COMPUTED_VALUE"""),279)</f>
        <v>279</v>
      </c>
      <c r="J357" s="1">
        <f ca="1">IFERROR(__xludf.DUMMYFUNCTION("""COMPUTED_VALUE"""),66.6)</f>
        <v>66.599999999999994</v>
      </c>
      <c r="K357" s="1">
        <f ca="1">IFERROR(__xludf.DUMMYFUNCTION("""COMPUTED_VALUE"""),138)</f>
        <v>138</v>
      </c>
      <c r="L357" s="1">
        <f ca="1">IFERROR(__xludf.DUMMYFUNCTION("""COMPUTED_VALUE"""),-0.014)</f>
        <v>-1.4E-2</v>
      </c>
      <c r="M357" s="1">
        <f ca="1">IFERROR(__xludf.DUMMYFUNCTION("""COMPUTED_VALUE"""),212)</f>
        <v>212</v>
      </c>
      <c r="N357" s="1">
        <f ca="1">IFERROR(__xludf.DUMMYFUNCTION("""COMPUTED_VALUE"""),-3.51)</f>
        <v>-3.51</v>
      </c>
      <c r="O357" s="1">
        <f ca="1">IFERROR(__xludf.DUMMYFUNCTION("""COMPUTED_VALUE"""),235)</f>
        <v>235</v>
      </c>
      <c r="P357" s="1">
        <f ca="1">IFERROR(__xludf.DUMMYFUNCTION("""COMPUTED_VALUE"""),100.2)</f>
        <v>100.2</v>
      </c>
      <c r="Q357" s="1">
        <f ca="1">IFERROR(__xludf.DUMMYFUNCTION("""COMPUTED_VALUE"""),253)</f>
        <v>253</v>
      </c>
      <c r="R357" s="1">
        <f ca="1">IFERROR(__xludf.DUMMYFUNCTION("""COMPUTED_VALUE"""),103.7)</f>
        <v>103.7</v>
      </c>
      <c r="S357" s="1">
        <f ca="1">IFERROR(__xludf.DUMMYFUNCTION("""COMPUTED_VALUE"""),198)</f>
        <v>198</v>
      </c>
      <c r="T357" s="1">
        <f ca="1">IFERROR(__xludf.DUMMYFUNCTION("""COMPUTED_VALUE"""),-0.95)</f>
        <v>-0.95</v>
      </c>
      <c r="U357" s="1">
        <f ca="1">IFERROR(__xludf.DUMMYFUNCTION("""COMPUTED_VALUE"""),175)</f>
        <v>175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IFERROR(__xludf.DUMMYFUNCTION("""COMPUTED_VALUE"""),"SIU Edwardsville")</f>
        <v>SIU Edwardsville</v>
      </c>
      <c r="C358" s="1" t="str">
        <f ca="1">IFERROR(__xludf.DUMMYFUNCTION("""COMPUTED_VALUE"""),"ind")</f>
        <v>ind</v>
      </c>
      <c r="D358" s="2">
        <f ca="1">IFERROR(__xludf.DUMMYFUNCTION("""COMPUTED_VALUE"""),44704)</f>
        <v>44704</v>
      </c>
      <c r="E358" s="1">
        <f ca="1">IFERROR(__xludf.DUMMYFUNCTION("""COMPUTED_VALUE"""),-23.22)</f>
        <v>-23.22</v>
      </c>
      <c r="F358" s="1">
        <f ca="1">IFERROR(__xludf.DUMMYFUNCTION("""COMPUTED_VALUE"""),88.1)</f>
        <v>88.1</v>
      </c>
      <c r="G358" s="1">
        <f ca="1">IFERROR(__xludf.DUMMYFUNCTION("""COMPUTED_VALUE"""),337)</f>
        <v>337</v>
      </c>
      <c r="H358" s="1">
        <f ca="1">IFERROR(__xludf.DUMMYFUNCTION("""COMPUTED_VALUE"""),111.3)</f>
        <v>111.3</v>
      </c>
      <c r="I358" s="1">
        <f ca="1">IFERROR(__xludf.DUMMYFUNCTION("""COMPUTED_VALUE"""),319)</f>
        <v>319</v>
      </c>
      <c r="J358" s="1">
        <f ca="1">IFERROR(__xludf.DUMMYFUNCTION("""COMPUTED_VALUE"""),66.5)</f>
        <v>66.5</v>
      </c>
      <c r="K358" s="1">
        <f ca="1">IFERROR(__xludf.DUMMYFUNCTION("""COMPUTED_VALUE"""),142)</f>
        <v>142</v>
      </c>
      <c r="L358" s="1" t="str">
        <f ca="1">IFERROR(__xludf.DUMMYFUNCTION("""COMPUTED_VALUE"""),"+.007")</f>
        <v>+.007</v>
      </c>
      <c r="M358" s="1">
        <f ca="1">IFERROR(__xludf.DUMMYFUNCTION("""COMPUTED_VALUE"""),153)</f>
        <v>153</v>
      </c>
      <c r="N358" s="1">
        <f ca="1">IFERROR(__xludf.DUMMYFUNCTION("""COMPUTED_VALUE"""),-2.77)</f>
        <v>-2.77</v>
      </c>
      <c r="O358" s="1">
        <f ca="1">IFERROR(__xludf.DUMMYFUNCTION("""COMPUTED_VALUE"""),222)</f>
        <v>222</v>
      </c>
      <c r="P358" s="1">
        <f ca="1">IFERROR(__xludf.DUMMYFUNCTION("""COMPUTED_VALUE"""),101.3)</f>
        <v>101.3</v>
      </c>
      <c r="Q358" s="1">
        <f ca="1">IFERROR(__xludf.DUMMYFUNCTION("""COMPUTED_VALUE"""),213)</f>
        <v>213</v>
      </c>
      <c r="R358" s="1">
        <f ca="1">IFERROR(__xludf.DUMMYFUNCTION("""COMPUTED_VALUE"""),104.1)</f>
        <v>104.1</v>
      </c>
      <c r="S358" s="1">
        <f ca="1">IFERROR(__xludf.DUMMYFUNCTION("""COMPUTED_VALUE"""),220)</f>
        <v>220</v>
      </c>
      <c r="T358" s="1">
        <f ca="1">IFERROR(__xludf.DUMMYFUNCTION("""COMPUTED_VALUE"""),-2.77)</f>
        <v>-2.77</v>
      </c>
      <c r="U358" s="1">
        <f ca="1">IFERROR(__xludf.DUMMYFUNCTION("""COMPUTED_VALUE"""),235)</f>
        <v>235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IFERROR(__xludf.DUMMYFUNCTION("""COMPUTED_VALUE"""),"Dartmouth")</f>
        <v>Dartmouth</v>
      </c>
      <c r="C359" s="1" t="str">
        <f ca="1">IFERROR(__xludf.DUMMYFUNCTION("""COMPUTED_VALUE"""),"Ivy")</f>
        <v>Ivy</v>
      </c>
      <c r="D359" s="2">
        <f ca="1">IFERROR(__xludf.DUMMYFUNCTION("""COMPUTED_VALUE"""),44704)</f>
        <v>44704</v>
      </c>
      <c r="E359" s="1">
        <f ca="1">IFERROR(__xludf.DUMMYFUNCTION("""COMPUTED_VALUE"""),-24.24)</f>
        <v>-24.24</v>
      </c>
      <c r="F359" s="1">
        <f ca="1">IFERROR(__xludf.DUMMYFUNCTION("""COMPUTED_VALUE"""),82.4)</f>
        <v>82.4</v>
      </c>
      <c r="G359" s="1">
        <f ca="1">IFERROR(__xludf.DUMMYFUNCTION("""COMPUTED_VALUE"""),345)</f>
        <v>345</v>
      </c>
      <c r="H359" s="1">
        <f ca="1">IFERROR(__xludf.DUMMYFUNCTION("""COMPUTED_VALUE"""),106.7)</f>
        <v>106.7</v>
      </c>
      <c r="I359" s="1">
        <f ca="1">IFERROR(__xludf.DUMMYFUNCTION("""COMPUTED_VALUE"""),250)</f>
        <v>250</v>
      </c>
      <c r="J359" s="1">
        <f ca="1">IFERROR(__xludf.DUMMYFUNCTION("""COMPUTED_VALUE"""),63.4)</f>
        <v>63.4</v>
      </c>
      <c r="K359" s="1">
        <f ca="1">IFERROR(__xludf.DUMMYFUNCTION("""COMPUTED_VALUE"""),274)</f>
        <v>274</v>
      </c>
      <c r="L359" s="1" t="str">
        <f ca="1">IFERROR(__xludf.DUMMYFUNCTION("""COMPUTED_VALUE"""),"+.022")</f>
        <v>+.022</v>
      </c>
      <c r="M359" s="1">
        <f ca="1">IFERROR(__xludf.DUMMYFUNCTION("""COMPUTED_VALUE"""),107)</f>
        <v>107</v>
      </c>
      <c r="N359" s="1">
        <f ca="1">IFERROR(__xludf.DUMMYFUNCTION("""COMPUTED_VALUE"""),-5.69)</f>
        <v>-5.69</v>
      </c>
      <c r="O359" s="1">
        <f ca="1">IFERROR(__xludf.DUMMYFUNCTION("""COMPUTED_VALUE"""),270)</f>
        <v>270</v>
      </c>
      <c r="P359" s="1">
        <f ca="1">IFERROR(__xludf.DUMMYFUNCTION("""COMPUTED_VALUE"""),99.5)</f>
        <v>99.5</v>
      </c>
      <c r="Q359" s="1">
        <f ca="1">IFERROR(__xludf.DUMMYFUNCTION("""COMPUTED_VALUE"""),271)</f>
        <v>271</v>
      </c>
      <c r="R359" s="1">
        <f ca="1">IFERROR(__xludf.DUMMYFUNCTION("""COMPUTED_VALUE"""),105.2)</f>
        <v>105.2</v>
      </c>
      <c r="S359" s="1">
        <f ca="1">IFERROR(__xludf.DUMMYFUNCTION("""COMPUTED_VALUE"""),267)</f>
        <v>267</v>
      </c>
      <c r="T359" s="1">
        <f ca="1">IFERROR(__xludf.DUMMYFUNCTION("""COMPUTED_VALUE"""),-6.77)</f>
        <v>-6.77</v>
      </c>
      <c r="U359" s="1">
        <f ca="1">IFERROR(__xludf.DUMMYFUNCTION("""COMPUTED_VALUE"""),312)</f>
        <v>312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IFERROR(__xludf.DUMMYFUNCTION("""COMPUTED_VALUE"""),"Chicago St.")</f>
        <v>Chicago St.</v>
      </c>
      <c r="C360" s="1" t="str">
        <f ca="1">IFERROR(__xludf.DUMMYFUNCTION("""COMPUTED_VALUE"""),"GWC")</f>
        <v>GWC</v>
      </c>
      <c r="D360" s="2">
        <f ca="1">IFERROR(__xludf.DUMMYFUNCTION("""COMPUTED_VALUE"""),44827)</f>
        <v>44827</v>
      </c>
      <c r="E360" s="1">
        <f ca="1">IFERROR(__xludf.DUMMYFUNCTION("""COMPUTED_VALUE"""),-24.62)</f>
        <v>-24.62</v>
      </c>
      <c r="F360" s="1">
        <f ca="1">IFERROR(__xludf.DUMMYFUNCTION("""COMPUTED_VALUE"""),85.3)</f>
        <v>85.3</v>
      </c>
      <c r="G360" s="1">
        <f ca="1">IFERROR(__xludf.DUMMYFUNCTION("""COMPUTED_VALUE"""),342)</f>
        <v>342</v>
      </c>
      <c r="H360" s="1">
        <f ca="1">IFERROR(__xludf.DUMMYFUNCTION("""COMPUTED_VALUE"""),109.9)</f>
        <v>109.9</v>
      </c>
      <c r="I360" s="1">
        <f ca="1">IFERROR(__xludf.DUMMYFUNCTION("""COMPUTED_VALUE"""),298)</f>
        <v>298</v>
      </c>
      <c r="J360" s="1">
        <f ca="1">IFERROR(__xludf.DUMMYFUNCTION("""COMPUTED_VALUE"""),67.1)</f>
        <v>67.099999999999994</v>
      </c>
      <c r="K360" s="1">
        <f ca="1">IFERROR(__xludf.DUMMYFUNCTION("""COMPUTED_VALUE"""),112)</f>
        <v>112</v>
      </c>
      <c r="L360" s="1" t="str">
        <f ca="1">IFERROR(__xludf.DUMMYFUNCTION("""COMPUTED_VALUE"""),"+.001")</f>
        <v>+.001</v>
      </c>
      <c r="M360" s="1">
        <f ca="1">IFERROR(__xludf.DUMMYFUNCTION("""COMPUTED_VALUE"""),170)</f>
        <v>170</v>
      </c>
      <c r="N360" s="1">
        <f ca="1">IFERROR(__xludf.DUMMYFUNCTION("""COMPUTED_VALUE"""),-10.16)</f>
        <v>-10.16</v>
      </c>
      <c r="O360" s="1">
        <f ca="1">IFERROR(__xludf.DUMMYFUNCTION("""COMPUTED_VALUE"""),327)</f>
        <v>327</v>
      </c>
      <c r="P360" s="1">
        <f ca="1">IFERROR(__xludf.DUMMYFUNCTION("""COMPUTED_VALUE"""),97)</f>
        <v>97</v>
      </c>
      <c r="Q360" s="1">
        <f ca="1">IFERROR(__xludf.DUMMYFUNCTION("""COMPUTED_VALUE"""),316)</f>
        <v>316</v>
      </c>
      <c r="R360" s="1">
        <f ca="1">IFERROR(__xludf.DUMMYFUNCTION("""COMPUTED_VALUE"""),107.1)</f>
        <v>107.1</v>
      </c>
      <c r="S360" s="1">
        <f ca="1">IFERROR(__xludf.DUMMYFUNCTION("""COMPUTED_VALUE"""),339)</f>
        <v>339</v>
      </c>
      <c r="T360" s="1">
        <f ca="1">IFERROR(__xludf.DUMMYFUNCTION("""COMPUTED_VALUE"""),-0.1)</f>
        <v>-0.1</v>
      </c>
      <c r="U360" s="1">
        <f ca="1">IFERROR(__xludf.DUMMYFUNCTION("""COMPUTED_VALUE"""),150)</f>
        <v>150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IFERROR(__xludf.DUMMYFUNCTION("""COMPUTED_VALUE"""),"North Dakota")</f>
        <v>North Dakota</v>
      </c>
      <c r="C361" s="1" t="str">
        <f ca="1">IFERROR(__xludf.DUMMYFUNCTION("""COMPUTED_VALUE"""),"GWC")</f>
        <v>GWC</v>
      </c>
      <c r="D361" s="2">
        <f ca="1">IFERROR(__xludf.DUMMYFUNCTION("""COMPUTED_VALUE"""),44796)</f>
        <v>44796</v>
      </c>
      <c r="E361" s="1">
        <f ca="1">IFERROR(__xludf.DUMMYFUNCTION("""COMPUTED_VALUE"""),-24.81)</f>
        <v>-24.81</v>
      </c>
      <c r="F361" s="1">
        <f ca="1">IFERROR(__xludf.DUMMYFUNCTION("""COMPUTED_VALUE"""),92.8)</f>
        <v>92.8</v>
      </c>
      <c r="G361" s="1">
        <f ca="1">IFERROR(__xludf.DUMMYFUNCTION("""COMPUTED_VALUE"""),306)</f>
        <v>306</v>
      </c>
      <c r="H361" s="1">
        <f ca="1">IFERROR(__xludf.DUMMYFUNCTION("""COMPUTED_VALUE"""),117.6)</f>
        <v>117.6</v>
      </c>
      <c r="I361" s="1">
        <f ca="1">IFERROR(__xludf.DUMMYFUNCTION("""COMPUTED_VALUE"""),346)</f>
        <v>346</v>
      </c>
      <c r="J361" s="1">
        <f ca="1">IFERROR(__xludf.DUMMYFUNCTION("""COMPUTED_VALUE"""),64.3)</f>
        <v>64.3</v>
      </c>
      <c r="K361" s="1">
        <f ca="1">IFERROR(__xludf.DUMMYFUNCTION("""COMPUTED_VALUE"""),245)</f>
        <v>245</v>
      </c>
      <c r="L361" s="1">
        <f ca="1">IFERROR(__xludf.DUMMYFUNCTION("""COMPUTED_VALUE"""),-0.005)</f>
        <v>-5.0000000000000001E-3</v>
      </c>
      <c r="M361" s="1">
        <f ca="1">IFERROR(__xludf.DUMMYFUNCTION("""COMPUTED_VALUE"""),184)</f>
        <v>184</v>
      </c>
      <c r="N361" s="1">
        <f ca="1">IFERROR(__xludf.DUMMYFUNCTION("""COMPUTED_VALUE"""),-10.6)</f>
        <v>-10.6</v>
      </c>
      <c r="O361" s="1">
        <f ca="1">IFERROR(__xludf.DUMMYFUNCTION("""COMPUTED_VALUE"""),331)</f>
        <v>331</v>
      </c>
      <c r="P361" s="1">
        <f ca="1">IFERROR(__xludf.DUMMYFUNCTION("""COMPUTED_VALUE"""),95.8)</f>
        <v>95.8</v>
      </c>
      <c r="Q361" s="1">
        <f ca="1">IFERROR(__xludf.DUMMYFUNCTION("""COMPUTED_VALUE"""),331)</f>
        <v>331</v>
      </c>
      <c r="R361" s="1">
        <f ca="1">IFERROR(__xludf.DUMMYFUNCTION("""COMPUTED_VALUE"""),106.4)</f>
        <v>106.4</v>
      </c>
      <c r="S361" s="1">
        <f ca="1">IFERROR(__xludf.DUMMYFUNCTION("""COMPUTED_VALUE"""),320)</f>
        <v>320</v>
      </c>
      <c r="T361" s="1">
        <f ca="1">IFERROR(__xludf.DUMMYFUNCTION("""COMPUTED_VALUE"""),-1.12)</f>
        <v>-1.1200000000000001</v>
      </c>
      <c r="U361" s="1">
        <f ca="1">IFERROR(__xludf.DUMMYFUNCTION("""COMPUTED_VALUE"""),184)</f>
        <v>184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IFERROR(__xludf.DUMMYFUNCTION("""COMPUTED_VALUE"""),"Grambling St.")</f>
        <v>Grambling St.</v>
      </c>
      <c r="C362" s="1" t="str">
        <f ca="1">IFERROR(__xludf.DUMMYFUNCTION("""COMPUTED_VALUE"""),"SWAC")</f>
        <v>SWAC</v>
      </c>
      <c r="D362" s="2">
        <f ca="1">IFERROR(__xludf.DUMMYFUNCTION("""COMPUTED_VALUE"""),44763)</f>
        <v>44763</v>
      </c>
      <c r="E362" s="1">
        <f ca="1">IFERROR(__xludf.DUMMYFUNCTION("""COMPUTED_VALUE"""),-24.99)</f>
        <v>-24.99</v>
      </c>
      <c r="F362" s="1">
        <f ca="1">IFERROR(__xludf.DUMMYFUNCTION("""COMPUTED_VALUE"""),89)</f>
        <v>89</v>
      </c>
      <c r="G362" s="1">
        <f ca="1">IFERROR(__xludf.DUMMYFUNCTION("""COMPUTED_VALUE"""),333)</f>
        <v>333</v>
      </c>
      <c r="H362" s="1">
        <f ca="1">IFERROR(__xludf.DUMMYFUNCTION("""COMPUTED_VALUE"""),114)</f>
        <v>114</v>
      </c>
      <c r="I362" s="1">
        <f ca="1">IFERROR(__xludf.DUMMYFUNCTION("""COMPUTED_VALUE"""),342)</f>
        <v>342</v>
      </c>
      <c r="J362" s="1">
        <f ca="1">IFERROR(__xludf.DUMMYFUNCTION("""COMPUTED_VALUE"""),67.4)</f>
        <v>67.400000000000006</v>
      </c>
      <c r="K362" s="1">
        <f ca="1">IFERROR(__xludf.DUMMYFUNCTION("""COMPUTED_VALUE"""),100)</f>
        <v>100</v>
      </c>
      <c r="L362" s="1">
        <f ca="1">IFERROR(__xludf.DUMMYFUNCTION("""COMPUTED_VALUE"""),-0.001)</f>
        <v>-1E-3</v>
      </c>
      <c r="M362" s="1">
        <f ca="1">IFERROR(__xludf.DUMMYFUNCTION("""COMPUTED_VALUE"""),172)</f>
        <v>172</v>
      </c>
      <c r="N362" s="1">
        <f ca="1">IFERROR(__xludf.DUMMYFUNCTION("""COMPUTED_VALUE"""),-13.35)</f>
        <v>-13.35</v>
      </c>
      <c r="O362" s="1">
        <f ca="1">IFERROR(__xludf.DUMMYFUNCTION("""COMPUTED_VALUE"""),346)</f>
        <v>346</v>
      </c>
      <c r="P362" s="1">
        <f ca="1">IFERROR(__xludf.DUMMYFUNCTION("""COMPUTED_VALUE"""),92.9)</f>
        <v>92.9</v>
      </c>
      <c r="Q362" s="1">
        <f ca="1">IFERROR(__xludf.DUMMYFUNCTION("""COMPUTED_VALUE"""),346)</f>
        <v>346</v>
      </c>
      <c r="R362" s="1">
        <f ca="1">IFERROR(__xludf.DUMMYFUNCTION("""COMPUTED_VALUE"""),106.3)</f>
        <v>106.3</v>
      </c>
      <c r="S362" s="1">
        <f ca="1">IFERROR(__xludf.DUMMYFUNCTION("""COMPUTED_VALUE"""),317)</f>
        <v>317</v>
      </c>
      <c r="T362" s="1" t="str">
        <f ca="1">IFERROR(__xludf.DUMMYFUNCTION("""COMPUTED_VALUE"""),"+3.84")</f>
        <v>+3.84</v>
      </c>
      <c r="U362" s="1">
        <f ca="1">IFERROR(__xludf.DUMMYFUNCTION("""COMPUTED_VALUE"""),70)</f>
        <v>70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IFERROR(__xludf.DUMMYFUNCTION("""COMPUTED_VALUE"""),"Southern")</f>
        <v>Southern</v>
      </c>
      <c r="C363" s="1" t="str">
        <f ca="1">IFERROR(__xludf.DUMMYFUNCTION("""COMPUTED_VALUE"""),"SWAC")</f>
        <v>SWAC</v>
      </c>
      <c r="D363" s="2">
        <f ca="1">IFERROR(__xludf.DUMMYFUNCTION("""COMPUTED_VALUE"""),44706)</f>
        <v>44706</v>
      </c>
      <c r="E363" s="1">
        <f ca="1">IFERROR(__xludf.DUMMYFUNCTION("""COMPUTED_VALUE"""),-26.71)</f>
        <v>-26.71</v>
      </c>
      <c r="F363" s="1">
        <f ca="1">IFERROR(__xludf.DUMMYFUNCTION("""COMPUTED_VALUE"""),83.9)</f>
        <v>83.9</v>
      </c>
      <c r="G363" s="1">
        <f ca="1">IFERROR(__xludf.DUMMYFUNCTION("""COMPUTED_VALUE"""),344)</f>
        <v>344</v>
      </c>
      <c r="H363" s="1">
        <f ca="1">IFERROR(__xludf.DUMMYFUNCTION("""COMPUTED_VALUE"""),110.6)</f>
        <v>110.6</v>
      </c>
      <c r="I363" s="1">
        <f ca="1">IFERROR(__xludf.DUMMYFUNCTION("""COMPUTED_VALUE"""),308)</f>
        <v>308</v>
      </c>
      <c r="J363" s="1">
        <f ca="1">IFERROR(__xludf.DUMMYFUNCTION("""COMPUTED_VALUE"""),68.5)</f>
        <v>68.5</v>
      </c>
      <c r="K363" s="1">
        <f ca="1">IFERROR(__xludf.DUMMYFUNCTION("""COMPUTED_VALUE"""),64)</f>
        <v>64</v>
      </c>
      <c r="L363" s="1">
        <f ca="1">IFERROR(__xludf.DUMMYFUNCTION("""COMPUTED_VALUE"""),-0.025)</f>
        <v>-2.5000000000000001E-2</v>
      </c>
      <c r="M363" s="1">
        <f ca="1">IFERROR(__xludf.DUMMYFUNCTION("""COMPUTED_VALUE"""),243)</f>
        <v>243</v>
      </c>
      <c r="N363" s="1">
        <f ca="1">IFERROR(__xludf.DUMMYFUNCTION("""COMPUTED_VALUE"""),-12.58)</f>
        <v>-12.58</v>
      </c>
      <c r="O363" s="1">
        <f ca="1">IFERROR(__xludf.DUMMYFUNCTION("""COMPUTED_VALUE"""),343)</f>
        <v>343</v>
      </c>
      <c r="P363" s="1">
        <f ca="1">IFERROR(__xludf.DUMMYFUNCTION("""COMPUTED_VALUE"""),93.3)</f>
        <v>93.3</v>
      </c>
      <c r="Q363" s="1">
        <f ca="1">IFERROR(__xludf.DUMMYFUNCTION("""COMPUTED_VALUE"""),344)</f>
        <v>344</v>
      </c>
      <c r="R363" s="1">
        <f ca="1">IFERROR(__xludf.DUMMYFUNCTION("""COMPUTED_VALUE"""),105.9)</f>
        <v>105.9</v>
      </c>
      <c r="S363" s="1">
        <f ca="1">IFERROR(__xludf.DUMMYFUNCTION("""COMPUTED_VALUE"""),305)</f>
        <v>305</v>
      </c>
      <c r="T363" s="1" t="str">
        <f ca="1">IFERROR(__xludf.DUMMYFUNCTION("""COMPUTED_VALUE"""),"+2.34")</f>
        <v>+2.34</v>
      </c>
      <c r="U363" s="1">
        <f ca="1">IFERROR(__xludf.DUMMYFUNCTION("""COMPUTED_VALUE"""),97)</f>
        <v>97</v>
      </c>
    </row>
    <row r="364" spans="1:21" ht="13" x14ac:dyDescent="0.15">
      <c r="A364" s="1">
        <f ca="1">IFERROR(__xludf.DUMMYFUNCTION("""COMPUTED_VALUE"""),346)</f>
        <v>346</v>
      </c>
      <c r="B364" s="1" t="str">
        <f ca="1">IFERROR(__xludf.DUMMYFUNCTION("""COMPUTED_VALUE"""),"Bryant")</f>
        <v>Bryant</v>
      </c>
      <c r="C364" s="1" t="str">
        <f ca="1">IFERROR(__xludf.DUMMYFUNCTION("""COMPUTED_VALUE"""),"NEC")</f>
        <v>NEC</v>
      </c>
      <c r="D364" s="2">
        <f ca="1">IFERROR(__xludf.DUMMYFUNCTION("""COMPUTED_VALUE"""),44590)</f>
        <v>44590</v>
      </c>
      <c r="E364" s="1">
        <f ca="1">IFERROR(__xludf.DUMMYFUNCTION("""COMPUTED_VALUE"""),-32.2)</f>
        <v>-32.200000000000003</v>
      </c>
      <c r="F364" s="1">
        <f ca="1">IFERROR(__xludf.DUMMYFUNCTION("""COMPUTED_VALUE"""),79.5)</f>
        <v>79.5</v>
      </c>
      <c r="G364" s="1">
        <f ca="1">IFERROR(__xludf.DUMMYFUNCTION("""COMPUTED_VALUE"""),347)</f>
        <v>347</v>
      </c>
      <c r="H364" s="1">
        <f ca="1">IFERROR(__xludf.DUMMYFUNCTION("""COMPUTED_VALUE"""),111.7)</f>
        <v>111.7</v>
      </c>
      <c r="I364" s="1">
        <f ca="1">IFERROR(__xludf.DUMMYFUNCTION("""COMPUTED_VALUE"""),327)</f>
        <v>327</v>
      </c>
      <c r="J364" s="1">
        <f ca="1">IFERROR(__xludf.DUMMYFUNCTION("""COMPUTED_VALUE"""),62.1)</f>
        <v>62.1</v>
      </c>
      <c r="K364" s="1">
        <f ca="1">IFERROR(__xludf.DUMMYFUNCTION("""COMPUTED_VALUE"""),308)</f>
        <v>308</v>
      </c>
      <c r="L364" s="1">
        <f ca="1">IFERROR(__xludf.DUMMYFUNCTION("""COMPUTED_VALUE"""),-0.029)</f>
        <v>-2.9000000000000001E-2</v>
      </c>
      <c r="M364" s="1">
        <f ca="1">IFERROR(__xludf.DUMMYFUNCTION("""COMPUTED_VALUE"""),248)</f>
        <v>248</v>
      </c>
      <c r="N364" s="1">
        <f ca="1">IFERROR(__xludf.DUMMYFUNCTION("""COMPUTED_VALUE"""),-7.63)</f>
        <v>-7.63</v>
      </c>
      <c r="O364" s="1">
        <f ca="1">IFERROR(__xludf.DUMMYFUNCTION("""COMPUTED_VALUE"""),301)</f>
        <v>301</v>
      </c>
      <c r="P364" s="1">
        <f ca="1">IFERROR(__xludf.DUMMYFUNCTION("""COMPUTED_VALUE"""),98.6)</f>
        <v>98.6</v>
      </c>
      <c r="Q364" s="1">
        <f ca="1">IFERROR(__xludf.DUMMYFUNCTION("""COMPUTED_VALUE"""),292)</f>
        <v>292</v>
      </c>
      <c r="R364" s="1">
        <f ca="1">IFERROR(__xludf.DUMMYFUNCTION("""COMPUTED_VALUE"""),106.2)</f>
        <v>106.2</v>
      </c>
      <c r="S364" s="1">
        <f ca="1">IFERROR(__xludf.DUMMYFUNCTION("""COMPUTED_VALUE"""),316)</f>
        <v>316</v>
      </c>
      <c r="T364" s="1" t="str">
        <f ca="1">IFERROR(__xludf.DUMMYFUNCTION("""COMPUTED_VALUE"""),"+1.46")</f>
        <v>+1.46</v>
      </c>
      <c r="U364" s="1">
        <f ca="1">IFERROR(__xludf.DUMMYFUNCTION("""COMPUTED_VALUE"""),119)</f>
        <v>119</v>
      </c>
    </row>
    <row r="365" spans="1:21" ht="13" x14ac:dyDescent="0.15">
      <c r="A365" s="1">
        <f ca="1">IFERROR(__xludf.DUMMYFUNCTION("""COMPUTED_VALUE"""),347)</f>
        <v>347</v>
      </c>
      <c r="B365" s="1" t="str">
        <f ca="1">IFERROR(__xludf.DUMMYFUNCTION("""COMPUTED_VALUE"""),"Alcorn St.")</f>
        <v>Alcorn St.</v>
      </c>
      <c r="C365" s="1" t="str">
        <f ca="1">IFERROR(__xludf.DUMMYFUNCTION("""COMPUTED_VALUE"""),"SWAC")</f>
        <v>SWAC</v>
      </c>
      <c r="D365" s="1" t="str">
        <f ca="1">IFERROR(__xludf.DUMMYFUNCTION("""COMPUTED_VALUE"""),"2-29")</f>
        <v>2-29</v>
      </c>
      <c r="E365" s="1">
        <f ca="1">IFERROR(__xludf.DUMMYFUNCTION("""COMPUTED_VALUE"""),-32.65)</f>
        <v>-32.65</v>
      </c>
      <c r="F365" s="1">
        <f ca="1">IFERROR(__xludf.DUMMYFUNCTION("""COMPUTED_VALUE"""),81.3)</f>
        <v>81.3</v>
      </c>
      <c r="G365" s="1">
        <f ca="1">IFERROR(__xludf.DUMMYFUNCTION("""COMPUTED_VALUE"""),346)</f>
        <v>346</v>
      </c>
      <c r="H365" s="1">
        <f ca="1">IFERROR(__xludf.DUMMYFUNCTION("""COMPUTED_VALUE"""),113.9)</f>
        <v>113.9</v>
      </c>
      <c r="I365" s="1">
        <f ca="1">IFERROR(__xludf.DUMMYFUNCTION("""COMPUTED_VALUE"""),341)</f>
        <v>341</v>
      </c>
      <c r="J365" s="1">
        <f ca="1">IFERROR(__xludf.DUMMYFUNCTION("""COMPUTED_VALUE"""),72.1)</f>
        <v>72.099999999999994</v>
      </c>
      <c r="K365" s="1">
        <f ca="1">IFERROR(__xludf.DUMMYFUNCTION("""COMPUTED_VALUE"""),9)</f>
        <v>9</v>
      </c>
      <c r="L365" s="1">
        <f ca="1">IFERROR(__xludf.DUMMYFUNCTION("""COMPUTED_VALUE"""),-0.03)</f>
        <v>-0.03</v>
      </c>
      <c r="M365" s="1">
        <f ca="1">IFERROR(__xludf.DUMMYFUNCTION("""COMPUTED_VALUE"""),254)</f>
        <v>254</v>
      </c>
      <c r="N365" s="1">
        <f ca="1">IFERROR(__xludf.DUMMYFUNCTION("""COMPUTED_VALUE"""),-9.37)</f>
        <v>-9.3699999999999992</v>
      </c>
      <c r="O365" s="1">
        <f ca="1">IFERROR(__xludf.DUMMYFUNCTION("""COMPUTED_VALUE"""),320)</f>
        <v>320</v>
      </c>
      <c r="P365" s="1">
        <f ca="1">IFERROR(__xludf.DUMMYFUNCTION("""COMPUTED_VALUE"""),95.5)</f>
        <v>95.5</v>
      </c>
      <c r="Q365" s="1">
        <f ca="1">IFERROR(__xludf.DUMMYFUNCTION("""COMPUTED_VALUE"""),335)</f>
        <v>335</v>
      </c>
      <c r="R365" s="1">
        <f ca="1">IFERROR(__xludf.DUMMYFUNCTION("""COMPUTED_VALUE"""),104.8)</f>
        <v>104.8</v>
      </c>
      <c r="S365" s="1">
        <f ca="1">IFERROR(__xludf.DUMMYFUNCTION("""COMPUTED_VALUE"""),252)</f>
        <v>252</v>
      </c>
      <c r="T365" s="1" t="str">
        <f ca="1">IFERROR(__xludf.DUMMYFUNCTION("""COMPUTED_VALUE"""),"+5.19")</f>
        <v>+5.19</v>
      </c>
      <c r="U365" s="1">
        <f ca="1">IFERROR(__xludf.DUMMYFUNCTION("""COMPUTED_VALUE"""),52)</f>
        <v>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U363"/>
  <sheetViews>
    <sheetView workbookViewId="0">
      <selection activeCell="L2" sqref="A2:XFD2"/>
    </sheetView>
  </sheetViews>
  <sheetFormatPr baseColWidth="10" defaultColWidth="12.6640625" defaultRowHeight="15.75" customHeight="1" x14ac:dyDescent="0.15"/>
  <sheetData>
    <row r="1" spans="1:21" ht="13" x14ac:dyDescent="0.15">
      <c r="A1" s="3" t="str">
        <f ca="1">IFERROR(__xludf.DUMMYFUNCTION("IMPORThtML(""https://kenpom.com/index.php?y=2011"",""table"",1)"),"")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2</v>
      </c>
      <c r="H2" s="1" t="str">
        <f ca="1">IFERROR(__xludf.DUMMYFUNCTION("""COMPUTED_VALUE"""),"AdjD")</f>
        <v>AdjD</v>
      </c>
      <c r="I2" s="1" t="s">
        <v>3</v>
      </c>
      <c r="J2" s="1" t="str">
        <f ca="1">IFERROR(__xludf.DUMMYFUNCTION("""COMPUTED_VALUE"""),"AdjT")</f>
        <v>AdjT</v>
      </c>
      <c r="K2" s="1" t="s">
        <v>4</v>
      </c>
      <c r="L2" s="1" t="str">
        <f ca="1">IFERROR(__xludf.DUMMYFUNCTION("""COMPUTED_VALUE"""),"Luck")</f>
        <v>Luck</v>
      </c>
      <c r="M2" s="1" t="s">
        <v>5</v>
      </c>
      <c r="N2" s="1" t="s">
        <v>0</v>
      </c>
      <c r="O2" s="1" t="s">
        <v>6</v>
      </c>
      <c r="P2" s="1" t="str">
        <f ca="1">IFERROR(__xludf.DUMMYFUNCTION("""COMPUTED_VALUE"""),"OppO")</f>
        <v>OppO</v>
      </c>
      <c r="Q2" s="1" t="s">
        <v>7</v>
      </c>
      <c r="R2" s="1" t="str">
        <f ca="1">IFERROR(__xludf.DUMMYFUNCTION("""COMPUTED_VALUE"""),"OppD")</f>
        <v>OppD</v>
      </c>
      <c r="S2" s="1" t="s">
        <v>8</v>
      </c>
      <c r="T2" s="1" t="s">
        <v>1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IFERROR(__xludf.DUMMYFUNCTION("""COMPUTED_VALUE"""),"Ohio St.1")</f>
        <v>Ohio St.1</v>
      </c>
      <c r="C3" s="1" t="str">
        <f ca="1">IFERROR(__xludf.DUMMYFUNCTION("""COMPUTED_VALUE"""),"B10")</f>
        <v>B10</v>
      </c>
      <c r="D3" s="1" t="str">
        <f ca="1">IFERROR(__xludf.DUMMYFUNCTION("""COMPUTED_VALUE"""),"34-3")</f>
        <v>34-3</v>
      </c>
      <c r="E3" s="1" t="str">
        <f ca="1">IFERROR(__xludf.DUMMYFUNCTION("""COMPUTED_VALUE"""),"+33.47")</f>
        <v>+33.47</v>
      </c>
      <c r="F3" s="1">
        <f ca="1">IFERROR(__xludf.DUMMYFUNCTION("""COMPUTED_VALUE"""),125)</f>
        <v>125</v>
      </c>
      <c r="G3" s="1">
        <f ca="1">IFERROR(__xludf.DUMMYFUNCTION("""COMPUTED_VALUE"""),1)</f>
        <v>1</v>
      </c>
      <c r="H3" s="1">
        <f ca="1">IFERROR(__xludf.DUMMYFUNCTION("""COMPUTED_VALUE"""),91.5)</f>
        <v>91.5</v>
      </c>
      <c r="I3" s="1">
        <f ca="1">IFERROR(__xludf.DUMMYFUNCTION("""COMPUTED_VALUE"""),12)</f>
        <v>12</v>
      </c>
      <c r="J3" s="1">
        <f ca="1">IFERROR(__xludf.DUMMYFUNCTION("""COMPUTED_VALUE"""),63.8)</f>
        <v>63.8</v>
      </c>
      <c r="K3" s="1">
        <f ca="1">IFERROR(__xludf.DUMMYFUNCTION("""COMPUTED_VALUE"""),250)</f>
        <v>250</v>
      </c>
      <c r="L3" s="1" t="str">
        <f ca="1">IFERROR(__xludf.DUMMYFUNCTION("""COMPUTED_VALUE"""),"+.031")</f>
        <v>+.031</v>
      </c>
      <c r="M3" s="1">
        <f ca="1">IFERROR(__xludf.DUMMYFUNCTION("""COMPUTED_VALUE"""),103)</f>
        <v>103</v>
      </c>
      <c r="N3" s="1" t="str">
        <f ca="1">IFERROR(__xludf.DUMMYFUNCTION("""COMPUTED_VALUE"""),"+8.82")</f>
        <v>+8.82</v>
      </c>
      <c r="O3" s="1">
        <f ca="1">IFERROR(__xludf.DUMMYFUNCTION("""COMPUTED_VALUE"""),26)</f>
        <v>26</v>
      </c>
      <c r="P3" s="1">
        <f ca="1">IFERROR(__xludf.DUMMYFUNCTION("""COMPUTED_VALUE"""),108.9)</f>
        <v>108.9</v>
      </c>
      <c r="Q3" s="1">
        <f ca="1">IFERROR(__xludf.DUMMYFUNCTION("""COMPUTED_VALUE"""),17)</f>
        <v>17</v>
      </c>
      <c r="R3" s="1">
        <f ca="1">IFERROR(__xludf.DUMMYFUNCTION("""COMPUTED_VALUE"""),100)</f>
        <v>100</v>
      </c>
      <c r="S3" s="1">
        <f ca="1">IFERROR(__xludf.DUMMYFUNCTION("""COMPUTED_VALUE"""),45)</f>
        <v>45</v>
      </c>
      <c r="T3" s="1">
        <f ca="1">IFERROR(__xludf.DUMMYFUNCTION("""COMPUTED_VALUE"""),-4.08)</f>
        <v>-4.08</v>
      </c>
      <c r="U3" s="1">
        <f ca="1">IFERROR(__xludf.DUMMYFUNCTION("""COMPUTED_VALUE"""),266)</f>
        <v>266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IFERROR(__xludf.DUMMYFUNCTION("""COMPUTED_VALUE"""),"Duke1")</f>
        <v>Duke1</v>
      </c>
      <c r="C4" s="1" t="str">
        <f ca="1">IFERROR(__xludf.DUMMYFUNCTION("""COMPUTED_VALUE"""),"ACC")</f>
        <v>ACC</v>
      </c>
      <c r="D4" s="1" t="str">
        <f ca="1">IFERROR(__xludf.DUMMYFUNCTION("""COMPUTED_VALUE"""),"32-5")</f>
        <v>32-5</v>
      </c>
      <c r="E4" s="1" t="str">
        <f ca="1">IFERROR(__xludf.DUMMYFUNCTION("""COMPUTED_VALUE"""),"+28.42")</f>
        <v>+28.42</v>
      </c>
      <c r="F4" s="1">
        <f ca="1">IFERROR(__xludf.DUMMYFUNCTION("""COMPUTED_VALUE"""),119.7)</f>
        <v>119.7</v>
      </c>
      <c r="G4" s="1">
        <f ca="1">IFERROR(__xludf.DUMMYFUNCTION("""COMPUTED_VALUE"""),5)</f>
        <v>5</v>
      </c>
      <c r="H4" s="1">
        <f ca="1">IFERROR(__xludf.DUMMYFUNCTION("""COMPUTED_VALUE"""),91.3)</f>
        <v>91.3</v>
      </c>
      <c r="I4" s="1">
        <f ca="1">IFERROR(__xludf.DUMMYFUNCTION("""COMPUTED_VALUE"""),9)</f>
        <v>9</v>
      </c>
      <c r="J4" s="1">
        <f ca="1">IFERROR(__xludf.DUMMYFUNCTION("""COMPUTED_VALUE"""),68.6)</f>
        <v>68.599999999999994</v>
      </c>
      <c r="K4" s="1">
        <f ca="1">IFERROR(__xludf.DUMMYFUNCTION("""COMPUTED_VALUE"""),40)</f>
        <v>40</v>
      </c>
      <c r="L4" s="1" t="str">
        <f ca="1">IFERROR(__xludf.DUMMYFUNCTION("""COMPUTED_VALUE"""),"+.017")</f>
        <v>+.017</v>
      </c>
      <c r="M4" s="1">
        <f ca="1">IFERROR(__xludf.DUMMYFUNCTION("""COMPUTED_VALUE"""),140)</f>
        <v>140</v>
      </c>
      <c r="N4" s="1" t="str">
        <f ca="1">IFERROR(__xludf.DUMMYFUNCTION("""COMPUTED_VALUE"""),"+8.43")</f>
        <v>+8.43</v>
      </c>
      <c r="O4" s="1">
        <f ca="1">IFERROR(__xludf.DUMMYFUNCTION("""COMPUTED_VALUE"""),30)</f>
        <v>30</v>
      </c>
      <c r="P4" s="1">
        <f ca="1">IFERROR(__xludf.DUMMYFUNCTION("""COMPUTED_VALUE"""),107.3)</f>
        <v>107.3</v>
      </c>
      <c r="Q4" s="1">
        <f ca="1">IFERROR(__xludf.DUMMYFUNCTION("""COMPUTED_VALUE"""),36)</f>
        <v>36</v>
      </c>
      <c r="R4" s="1">
        <f ca="1">IFERROR(__xludf.DUMMYFUNCTION("""COMPUTED_VALUE"""),98.9)</f>
        <v>98.9</v>
      </c>
      <c r="S4" s="1">
        <f ca="1">IFERROR(__xludf.DUMMYFUNCTION("""COMPUTED_VALUE"""),15)</f>
        <v>15</v>
      </c>
      <c r="T4" s="1" t="str">
        <f ca="1">IFERROR(__xludf.DUMMYFUNCTION("""COMPUTED_VALUE"""),"+3.48")</f>
        <v>+3.48</v>
      </c>
      <c r="U4" s="1">
        <f ca="1">IFERROR(__xludf.DUMMYFUNCTION("""COMPUTED_VALUE"""),64)</f>
        <v>64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IFERROR(__xludf.DUMMYFUNCTION("""COMPUTED_VALUE"""),"Kansas1")</f>
        <v>Kansas1</v>
      </c>
      <c r="C5" s="1" t="str">
        <f ca="1">IFERROR(__xludf.DUMMYFUNCTION("""COMPUTED_VALUE"""),"B12")</f>
        <v>B12</v>
      </c>
      <c r="D5" s="1" t="str">
        <f ca="1">IFERROR(__xludf.DUMMYFUNCTION("""COMPUTED_VALUE"""),"35-3")</f>
        <v>35-3</v>
      </c>
      <c r="E5" s="1" t="str">
        <f ca="1">IFERROR(__xludf.DUMMYFUNCTION("""COMPUTED_VALUE"""),"+28.38")</f>
        <v>+28.38</v>
      </c>
      <c r="F5" s="1">
        <f ca="1">IFERROR(__xludf.DUMMYFUNCTION("""COMPUTED_VALUE"""),118.9)</f>
        <v>118.9</v>
      </c>
      <c r="G5" s="1">
        <f ca="1">IFERROR(__xludf.DUMMYFUNCTION("""COMPUTED_VALUE"""),6)</f>
        <v>6</v>
      </c>
      <c r="H5" s="1">
        <f ca="1">IFERROR(__xludf.DUMMYFUNCTION("""COMPUTED_VALUE"""),90.6)</f>
        <v>90.6</v>
      </c>
      <c r="I5" s="1">
        <f ca="1">IFERROR(__xludf.DUMMYFUNCTION("""COMPUTED_VALUE"""),6)</f>
        <v>6</v>
      </c>
      <c r="J5" s="1">
        <f ca="1">IFERROR(__xludf.DUMMYFUNCTION("""COMPUTED_VALUE"""),68.4)</f>
        <v>68.400000000000006</v>
      </c>
      <c r="K5" s="1">
        <f ca="1">IFERROR(__xludf.DUMMYFUNCTION("""COMPUTED_VALUE"""),42)</f>
        <v>42</v>
      </c>
      <c r="L5" s="1" t="str">
        <f ca="1">IFERROR(__xludf.DUMMYFUNCTION("""COMPUTED_VALUE"""),"+.060")</f>
        <v>+.060</v>
      </c>
      <c r="M5" s="1">
        <f ca="1">IFERROR(__xludf.DUMMYFUNCTION("""COMPUTED_VALUE"""),38)</f>
        <v>38</v>
      </c>
      <c r="N5" s="1" t="str">
        <f ca="1">IFERROR(__xludf.DUMMYFUNCTION("""COMPUTED_VALUE"""),"+7.75")</f>
        <v>+7.75</v>
      </c>
      <c r="O5" s="1">
        <f ca="1">IFERROR(__xludf.DUMMYFUNCTION("""COMPUTED_VALUE"""),32)</f>
        <v>32</v>
      </c>
      <c r="P5" s="1">
        <f ca="1">IFERROR(__xludf.DUMMYFUNCTION("""COMPUTED_VALUE"""),108.2)</f>
        <v>108.2</v>
      </c>
      <c r="Q5" s="1">
        <f ca="1">IFERROR(__xludf.DUMMYFUNCTION("""COMPUTED_VALUE"""),28)</f>
        <v>28</v>
      </c>
      <c r="R5" s="1">
        <f ca="1">IFERROR(__xludf.DUMMYFUNCTION("""COMPUTED_VALUE"""),100.5)</f>
        <v>100.5</v>
      </c>
      <c r="S5" s="1">
        <f ca="1">IFERROR(__xludf.DUMMYFUNCTION("""COMPUTED_VALUE"""),61)</f>
        <v>61</v>
      </c>
      <c r="T5" s="1">
        <f ca="1">IFERROR(__xludf.DUMMYFUNCTION("""COMPUTED_VALUE"""),-0.29)</f>
        <v>-0.28999999999999998</v>
      </c>
      <c r="U5" s="1">
        <f ca="1">IFERROR(__xludf.DUMMYFUNCTION("""COMPUTED_VALUE"""),164)</f>
        <v>164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IFERROR(__xludf.DUMMYFUNCTION("""COMPUTED_VALUE"""),"Pittsburgh1")</f>
        <v>Pittsburgh1</v>
      </c>
      <c r="C6" s="1" t="str">
        <f ca="1">IFERROR(__xludf.DUMMYFUNCTION("""COMPUTED_VALUE"""),"BE")</f>
        <v>BE</v>
      </c>
      <c r="D6" s="1" t="str">
        <f ca="1">IFERROR(__xludf.DUMMYFUNCTION("""COMPUTED_VALUE"""),"28-6")</f>
        <v>28-6</v>
      </c>
      <c r="E6" s="1" t="str">
        <f ca="1">IFERROR(__xludf.DUMMYFUNCTION("""COMPUTED_VALUE"""),"+27.08")</f>
        <v>+27.08</v>
      </c>
      <c r="F6" s="1">
        <f ca="1">IFERROR(__xludf.DUMMYFUNCTION("""COMPUTED_VALUE"""),120.6)</f>
        <v>120.6</v>
      </c>
      <c r="G6" s="1">
        <f ca="1">IFERROR(__xludf.DUMMYFUNCTION("""COMPUTED_VALUE"""),4)</f>
        <v>4</v>
      </c>
      <c r="H6" s="1">
        <f ca="1">IFERROR(__xludf.DUMMYFUNCTION("""COMPUTED_VALUE"""),93.5)</f>
        <v>93.5</v>
      </c>
      <c r="I6" s="1">
        <f ca="1">IFERROR(__xludf.DUMMYFUNCTION("""COMPUTED_VALUE"""),24)</f>
        <v>24</v>
      </c>
      <c r="J6" s="1">
        <f ca="1">IFERROR(__xludf.DUMMYFUNCTION("""COMPUTED_VALUE"""),61.8)</f>
        <v>61.8</v>
      </c>
      <c r="K6" s="1">
        <f ca="1">IFERROR(__xludf.DUMMYFUNCTION("""COMPUTED_VALUE"""),315)</f>
        <v>315</v>
      </c>
      <c r="L6" s="1">
        <f ca="1">IFERROR(__xludf.DUMMYFUNCTION("""COMPUTED_VALUE"""),-0.023)</f>
        <v>-2.3E-2</v>
      </c>
      <c r="M6" s="1">
        <f ca="1">IFERROR(__xludf.DUMMYFUNCTION("""COMPUTED_VALUE"""),236)</f>
        <v>236</v>
      </c>
      <c r="N6" s="1" t="str">
        <f ca="1">IFERROR(__xludf.DUMMYFUNCTION("""COMPUTED_VALUE"""),"+8.17")</f>
        <v>+8.17</v>
      </c>
      <c r="O6" s="1">
        <f ca="1">IFERROR(__xludf.DUMMYFUNCTION("""COMPUTED_VALUE"""),31)</f>
        <v>31</v>
      </c>
      <c r="P6" s="1">
        <f ca="1">IFERROR(__xludf.DUMMYFUNCTION("""COMPUTED_VALUE"""),107.6)</f>
        <v>107.6</v>
      </c>
      <c r="Q6" s="1">
        <f ca="1">IFERROR(__xludf.DUMMYFUNCTION("""COMPUTED_VALUE"""),32)</f>
        <v>32</v>
      </c>
      <c r="R6" s="1">
        <f ca="1">IFERROR(__xludf.DUMMYFUNCTION("""COMPUTED_VALUE"""),99.4)</f>
        <v>99.4</v>
      </c>
      <c r="S6" s="1">
        <f ca="1">IFERROR(__xludf.DUMMYFUNCTION("""COMPUTED_VALUE"""),24)</f>
        <v>24</v>
      </c>
      <c r="T6" s="1">
        <f ca="1">IFERROR(__xludf.DUMMYFUNCTION("""COMPUTED_VALUE"""),-3.68)</f>
        <v>-3.68</v>
      </c>
      <c r="U6" s="1">
        <f ca="1">IFERROR(__xludf.DUMMYFUNCTION("""COMPUTED_VALUE"""),254)</f>
        <v>254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IFERROR(__xludf.DUMMYFUNCTION("""COMPUTED_VALUE"""),"Texas4")</f>
        <v>Texas4</v>
      </c>
      <c r="C7" s="1" t="str">
        <f ca="1">IFERROR(__xludf.DUMMYFUNCTION("""COMPUTED_VALUE"""),"B12")</f>
        <v>B12</v>
      </c>
      <c r="D7" s="1" t="str">
        <f ca="1">IFERROR(__xludf.DUMMYFUNCTION("""COMPUTED_VALUE"""),"28-8")</f>
        <v>28-8</v>
      </c>
      <c r="E7" s="1" t="str">
        <f ca="1">IFERROR(__xludf.DUMMYFUNCTION("""COMPUTED_VALUE"""),"+25.93")</f>
        <v>+25.93</v>
      </c>
      <c r="F7" s="1">
        <f ca="1">IFERROR(__xludf.DUMMYFUNCTION("""COMPUTED_VALUE"""),115.5)</f>
        <v>115.5</v>
      </c>
      <c r="G7" s="1">
        <f ca="1">IFERROR(__xludf.DUMMYFUNCTION("""COMPUTED_VALUE"""),21)</f>
        <v>21</v>
      </c>
      <c r="H7" s="1">
        <f ca="1">IFERROR(__xludf.DUMMYFUNCTION("""COMPUTED_VALUE"""),89.6)</f>
        <v>89.6</v>
      </c>
      <c r="I7" s="1">
        <f ca="1">IFERROR(__xludf.DUMMYFUNCTION("""COMPUTED_VALUE"""),4)</f>
        <v>4</v>
      </c>
      <c r="J7" s="1">
        <f ca="1">IFERROR(__xludf.DUMMYFUNCTION("""COMPUTED_VALUE"""),65.5)</f>
        <v>65.5</v>
      </c>
      <c r="K7" s="1">
        <f ca="1">IFERROR(__xludf.DUMMYFUNCTION("""COMPUTED_VALUE"""),161)</f>
        <v>161</v>
      </c>
      <c r="L7" s="1">
        <f ca="1">IFERROR(__xludf.DUMMYFUNCTION("""COMPUTED_VALUE"""),-0.058)</f>
        <v>-5.8000000000000003E-2</v>
      </c>
      <c r="M7" s="1">
        <f ca="1">IFERROR(__xludf.DUMMYFUNCTION("""COMPUTED_VALUE"""),307)</f>
        <v>307</v>
      </c>
      <c r="N7" s="1" t="str">
        <f ca="1">IFERROR(__xludf.DUMMYFUNCTION("""COMPUTED_VALUE"""),"+7.61")</f>
        <v>+7.61</v>
      </c>
      <c r="O7" s="1">
        <f ca="1">IFERROR(__xludf.DUMMYFUNCTION("""COMPUTED_VALUE"""),35)</f>
        <v>35</v>
      </c>
      <c r="P7" s="1">
        <f ca="1">IFERROR(__xludf.DUMMYFUNCTION("""COMPUTED_VALUE"""),107.5)</f>
        <v>107.5</v>
      </c>
      <c r="Q7" s="1">
        <f ca="1">IFERROR(__xludf.DUMMYFUNCTION("""COMPUTED_VALUE"""),34)</f>
        <v>34</v>
      </c>
      <c r="R7" s="1">
        <f ca="1">IFERROR(__xludf.DUMMYFUNCTION("""COMPUTED_VALUE"""),99.9)</f>
        <v>99.9</v>
      </c>
      <c r="S7" s="1">
        <f ca="1">IFERROR(__xludf.DUMMYFUNCTION("""COMPUTED_VALUE"""),37)</f>
        <v>37</v>
      </c>
      <c r="T7" s="1" t="str">
        <f ca="1">IFERROR(__xludf.DUMMYFUNCTION("""COMPUTED_VALUE"""),"+0.60")</f>
        <v>+0.60</v>
      </c>
      <c r="U7" s="1">
        <f ca="1">IFERROR(__xludf.DUMMYFUNCTION("""COMPUTED_VALUE"""),143)</f>
        <v>143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IFERROR(__xludf.DUMMYFUNCTION("""COMPUTED_VALUE"""),"Wisconsin4")</f>
        <v>Wisconsin4</v>
      </c>
      <c r="C8" s="1" t="str">
        <f ca="1">IFERROR(__xludf.DUMMYFUNCTION("""COMPUTED_VALUE"""),"B10")</f>
        <v>B10</v>
      </c>
      <c r="D8" s="1" t="str">
        <f ca="1">IFERROR(__xludf.DUMMYFUNCTION("""COMPUTED_VALUE"""),"25-9")</f>
        <v>25-9</v>
      </c>
      <c r="E8" s="1" t="str">
        <f ca="1">IFERROR(__xludf.DUMMYFUNCTION("""COMPUTED_VALUE"""),"+25.84")</f>
        <v>+25.84</v>
      </c>
      <c r="F8" s="1">
        <f ca="1">IFERROR(__xludf.DUMMYFUNCTION("""COMPUTED_VALUE"""),122.3)</f>
        <v>122.3</v>
      </c>
      <c r="G8" s="1">
        <f ca="1">IFERROR(__xludf.DUMMYFUNCTION("""COMPUTED_VALUE"""),2)</f>
        <v>2</v>
      </c>
      <c r="H8" s="1">
        <f ca="1">IFERROR(__xludf.DUMMYFUNCTION("""COMPUTED_VALUE"""),96.5)</f>
        <v>96.5</v>
      </c>
      <c r="I8" s="1">
        <f ca="1">IFERROR(__xludf.DUMMYFUNCTION("""COMPUTED_VALUE"""),52)</f>
        <v>52</v>
      </c>
      <c r="J8" s="1">
        <f ca="1">IFERROR(__xludf.DUMMYFUNCTION("""COMPUTED_VALUE"""),56.9)</f>
        <v>56.9</v>
      </c>
      <c r="K8" s="1">
        <f ca="1">IFERROR(__xludf.DUMMYFUNCTION("""COMPUTED_VALUE"""),344)</f>
        <v>344</v>
      </c>
      <c r="L8" s="1">
        <f ca="1">IFERROR(__xludf.DUMMYFUNCTION("""COMPUTED_VALUE"""),-0.003)</f>
        <v>-3.0000000000000001E-3</v>
      </c>
      <c r="M8" s="1">
        <f ca="1">IFERROR(__xludf.DUMMYFUNCTION("""COMPUTED_VALUE"""),191)</f>
        <v>191</v>
      </c>
      <c r="N8" s="1" t="str">
        <f ca="1">IFERROR(__xludf.DUMMYFUNCTION("""COMPUTED_VALUE"""),"+10.81")</f>
        <v>+10.81</v>
      </c>
      <c r="O8" s="1">
        <f ca="1">IFERROR(__xludf.DUMMYFUNCTION("""COMPUTED_VALUE"""),11)</f>
        <v>11</v>
      </c>
      <c r="P8" s="1">
        <f ca="1">IFERROR(__xludf.DUMMYFUNCTION("""COMPUTED_VALUE"""),110)</f>
        <v>110</v>
      </c>
      <c r="Q8" s="1">
        <f ca="1">IFERROR(__xludf.DUMMYFUNCTION("""COMPUTED_VALUE"""),9)</f>
        <v>9</v>
      </c>
      <c r="R8" s="1">
        <f ca="1">IFERROR(__xludf.DUMMYFUNCTION("""COMPUTED_VALUE"""),99.2)</f>
        <v>99.2</v>
      </c>
      <c r="S8" s="1">
        <f ca="1">IFERROR(__xludf.DUMMYFUNCTION("""COMPUTED_VALUE"""),20)</f>
        <v>20</v>
      </c>
      <c r="T8" s="1">
        <f ca="1">IFERROR(__xludf.DUMMYFUNCTION("""COMPUTED_VALUE"""),-3.58)</f>
        <v>-3.58</v>
      </c>
      <c r="U8" s="1">
        <f ca="1">IFERROR(__xludf.DUMMYFUNCTION("""COMPUTED_VALUE"""),253)</f>
        <v>253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IFERROR(__xludf.DUMMYFUNCTION("""COMPUTED_VALUE"""),"Kentucky4")</f>
        <v>Kentucky4</v>
      </c>
      <c r="C9" s="1" t="str">
        <f ca="1">IFERROR(__xludf.DUMMYFUNCTION("""COMPUTED_VALUE"""),"SEC")</f>
        <v>SEC</v>
      </c>
      <c r="D9" s="1" t="str">
        <f ca="1">IFERROR(__xludf.DUMMYFUNCTION("""COMPUTED_VALUE"""),"29-9")</f>
        <v>29-9</v>
      </c>
      <c r="E9" s="1" t="str">
        <f ca="1">IFERROR(__xludf.DUMMYFUNCTION("""COMPUTED_VALUE"""),"+25.82")</f>
        <v>+25.82</v>
      </c>
      <c r="F9" s="1">
        <f ca="1">IFERROR(__xludf.DUMMYFUNCTION("""COMPUTED_VALUE"""),117.8)</f>
        <v>117.8</v>
      </c>
      <c r="G9" s="1">
        <f ca="1">IFERROR(__xludf.DUMMYFUNCTION("""COMPUTED_VALUE"""),8)</f>
        <v>8</v>
      </c>
      <c r="H9" s="1">
        <f ca="1">IFERROR(__xludf.DUMMYFUNCTION("""COMPUTED_VALUE"""),92)</f>
        <v>92</v>
      </c>
      <c r="I9" s="1">
        <f ca="1">IFERROR(__xludf.DUMMYFUNCTION("""COMPUTED_VALUE"""),16)</f>
        <v>16</v>
      </c>
      <c r="J9" s="1">
        <f ca="1">IFERROR(__xludf.DUMMYFUNCTION("""COMPUTED_VALUE"""),65)</f>
        <v>65</v>
      </c>
      <c r="K9" s="1">
        <f ca="1">IFERROR(__xludf.DUMMYFUNCTION("""COMPUTED_VALUE"""),184)</f>
        <v>184</v>
      </c>
      <c r="L9" s="1">
        <f ca="1">IFERROR(__xludf.DUMMYFUNCTION("""COMPUTED_VALUE"""),-0.044)</f>
        <v>-4.3999999999999997E-2</v>
      </c>
      <c r="M9" s="1">
        <f ca="1">IFERROR(__xludf.DUMMYFUNCTION("""COMPUTED_VALUE"""),285)</f>
        <v>285</v>
      </c>
      <c r="N9" s="1" t="str">
        <f ca="1">IFERROR(__xludf.DUMMYFUNCTION("""COMPUTED_VALUE"""),"+9.81")</f>
        <v>+9.81</v>
      </c>
      <c r="O9" s="1">
        <f ca="1">IFERROR(__xludf.DUMMYFUNCTION("""COMPUTED_VALUE"""),18)</f>
        <v>18</v>
      </c>
      <c r="P9" s="1">
        <f ca="1">IFERROR(__xludf.DUMMYFUNCTION("""COMPUTED_VALUE"""),108.4)</f>
        <v>108.4</v>
      </c>
      <c r="Q9" s="1">
        <f ca="1">IFERROR(__xludf.DUMMYFUNCTION("""COMPUTED_VALUE"""),23)</f>
        <v>23</v>
      </c>
      <c r="R9" s="1">
        <f ca="1">IFERROR(__xludf.DUMMYFUNCTION("""COMPUTED_VALUE"""),98.5)</f>
        <v>98.5</v>
      </c>
      <c r="S9" s="1">
        <f ca="1">IFERROR(__xludf.DUMMYFUNCTION("""COMPUTED_VALUE"""),10)</f>
        <v>10</v>
      </c>
      <c r="T9" s="1" t="str">
        <f ca="1">IFERROR(__xludf.DUMMYFUNCTION("""COMPUTED_VALUE"""),"+4.46")</f>
        <v>+4.46</v>
      </c>
      <c r="U9" s="1">
        <f ca="1">IFERROR(__xludf.DUMMYFUNCTION("""COMPUTED_VALUE"""),52)</f>
        <v>52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IFERROR(__xludf.DUMMYFUNCTION("""COMPUTED_VALUE"""),"San Diego St.2")</f>
        <v>San Diego St.2</v>
      </c>
      <c r="C10" s="1" t="str">
        <f ca="1">IFERROR(__xludf.DUMMYFUNCTION("""COMPUTED_VALUE"""),"MWC")</f>
        <v>MWC</v>
      </c>
      <c r="D10" s="1" t="str">
        <f ca="1">IFERROR(__xludf.DUMMYFUNCTION("""COMPUTED_VALUE"""),"34-3")</f>
        <v>34-3</v>
      </c>
      <c r="E10" s="1" t="str">
        <f ca="1">IFERROR(__xludf.DUMMYFUNCTION("""COMPUTED_VALUE"""),"+24.98")</f>
        <v>+24.98</v>
      </c>
      <c r="F10" s="1">
        <f ca="1">IFERROR(__xludf.DUMMYFUNCTION("""COMPUTED_VALUE"""),114.1)</f>
        <v>114.1</v>
      </c>
      <c r="G10" s="1">
        <f ca="1">IFERROR(__xludf.DUMMYFUNCTION("""COMPUTED_VALUE"""),28)</f>
        <v>28</v>
      </c>
      <c r="H10" s="1">
        <f ca="1">IFERROR(__xludf.DUMMYFUNCTION("""COMPUTED_VALUE"""),89.1)</f>
        <v>89.1</v>
      </c>
      <c r="I10" s="1">
        <f ca="1">IFERROR(__xludf.DUMMYFUNCTION("""COMPUTED_VALUE"""),2)</f>
        <v>2</v>
      </c>
      <c r="J10" s="1">
        <f ca="1">IFERROR(__xludf.DUMMYFUNCTION("""COMPUTED_VALUE"""),62.3)</f>
        <v>62.3</v>
      </c>
      <c r="K10" s="1">
        <f ca="1">IFERROR(__xludf.DUMMYFUNCTION("""COMPUTED_VALUE"""),306)</f>
        <v>306</v>
      </c>
      <c r="L10" s="1" t="str">
        <f ca="1">IFERROR(__xludf.DUMMYFUNCTION("""COMPUTED_VALUE"""),"+.059")</f>
        <v>+.059</v>
      </c>
      <c r="M10" s="1">
        <f ca="1">IFERROR(__xludf.DUMMYFUNCTION("""COMPUTED_VALUE"""),43)</f>
        <v>43</v>
      </c>
      <c r="N10" s="1" t="str">
        <f ca="1">IFERROR(__xludf.DUMMYFUNCTION("""COMPUTED_VALUE"""),"+7.48")</f>
        <v>+7.48</v>
      </c>
      <c r="O10" s="1">
        <f ca="1">IFERROR(__xludf.DUMMYFUNCTION("""COMPUTED_VALUE"""),38)</f>
        <v>38</v>
      </c>
      <c r="P10" s="1">
        <f ca="1">IFERROR(__xludf.DUMMYFUNCTION("""COMPUTED_VALUE"""),107.6)</f>
        <v>107.6</v>
      </c>
      <c r="Q10" s="1">
        <f ca="1">IFERROR(__xludf.DUMMYFUNCTION("""COMPUTED_VALUE"""),31)</f>
        <v>31</v>
      </c>
      <c r="R10" s="1">
        <f ca="1">IFERROR(__xludf.DUMMYFUNCTION("""COMPUTED_VALUE"""),100.1)</f>
        <v>100.1</v>
      </c>
      <c r="S10" s="1">
        <f ca="1">IFERROR(__xludf.DUMMYFUNCTION("""COMPUTED_VALUE"""),48)</f>
        <v>48</v>
      </c>
      <c r="T10" s="1" t="str">
        <f ca="1">IFERROR(__xludf.DUMMYFUNCTION("""COMPUTED_VALUE"""),"+4.10")</f>
        <v>+4.10</v>
      </c>
      <c r="U10" s="1">
        <f ca="1">IFERROR(__xludf.DUMMYFUNCTION("""COMPUTED_VALUE"""),56)</f>
        <v>56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IFERROR(__xludf.DUMMYFUNCTION("""COMPUTED_VALUE"""),"Purdue3")</f>
        <v>Purdue3</v>
      </c>
      <c r="C11" s="1" t="str">
        <f ca="1">IFERROR(__xludf.DUMMYFUNCTION("""COMPUTED_VALUE"""),"B10")</f>
        <v>B10</v>
      </c>
      <c r="D11" s="1" t="str">
        <f ca="1">IFERROR(__xludf.DUMMYFUNCTION("""COMPUTED_VALUE"""),"26-8")</f>
        <v>26-8</v>
      </c>
      <c r="E11" s="1" t="str">
        <f ca="1">IFERROR(__xludf.DUMMYFUNCTION("""COMPUTED_VALUE"""),"+24.79")</f>
        <v>+24.79</v>
      </c>
      <c r="F11" s="1">
        <f ca="1">IFERROR(__xludf.DUMMYFUNCTION("""COMPUTED_VALUE"""),115.9)</f>
        <v>115.9</v>
      </c>
      <c r="G11" s="1">
        <f ca="1">IFERROR(__xludf.DUMMYFUNCTION("""COMPUTED_VALUE"""),18)</f>
        <v>18</v>
      </c>
      <c r="H11" s="1">
        <f ca="1">IFERROR(__xludf.DUMMYFUNCTION("""COMPUTED_VALUE"""),91.1)</f>
        <v>91.1</v>
      </c>
      <c r="I11" s="1">
        <f ca="1">IFERROR(__xludf.DUMMYFUNCTION("""COMPUTED_VALUE"""),8)</f>
        <v>8</v>
      </c>
      <c r="J11" s="1">
        <f ca="1">IFERROR(__xludf.DUMMYFUNCTION("""COMPUTED_VALUE"""),66)</f>
        <v>66</v>
      </c>
      <c r="K11" s="1">
        <f ca="1">IFERROR(__xludf.DUMMYFUNCTION("""COMPUTED_VALUE"""),136)</f>
        <v>136</v>
      </c>
      <c r="L11" s="1" t="str">
        <f ca="1">IFERROR(__xludf.DUMMYFUNCTION("""COMPUTED_VALUE"""),"+.007")</f>
        <v>+.007</v>
      </c>
      <c r="M11" s="1">
        <f ca="1">IFERROR(__xludf.DUMMYFUNCTION("""COMPUTED_VALUE"""),161)</f>
        <v>161</v>
      </c>
      <c r="N11" s="1" t="str">
        <f ca="1">IFERROR(__xludf.DUMMYFUNCTION("""COMPUTED_VALUE"""),"+10.16")</f>
        <v>+10.16</v>
      </c>
      <c r="O11" s="1">
        <f ca="1">IFERROR(__xludf.DUMMYFUNCTION("""COMPUTED_VALUE"""),14)</f>
        <v>14</v>
      </c>
      <c r="P11" s="1">
        <f ca="1">IFERROR(__xludf.DUMMYFUNCTION("""COMPUTED_VALUE"""),108.8)</f>
        <v>108.8</v>
      </c>
      <c r="Q11" s="1">
        <f ca="1">IFERROR(__xludf.DUMMYFUNCTION("""COMPUTED_VALUE"""),18)</f>
        <v>18</v>
      </c>
      <c r="R11" s="1">
        <f ca="1">IFERROR(__xludf.DUMMYFUNCTION("""COMPUTED_VALUE"""),98.7)</f>
        <v>98.7</v>
      </c>
      <c r="S11" s="1">
        <f ca="1">IFERROR(__xludf.DUMMYFUNCTION("""COMPUTED_VALUE"""),12)</f>
        <v>12</v>
      </c>
      <c r="T11" s="1" t="str">
        <f ca="1">IFERROR(__xludf.DUMMYFUNCTION("""COMPUTED_VALUE"""),"+1.21")</f>
        <v>+1.21</v>
      </c>
      <c r="U11" s="1">
        <f ca="1">IFERROR(__xludf.DUMMYFUNCTION("""COMPUTED_VALUE"""),120)</f>
        <v>120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IFERROR(__xludf.DUMMYFUNCTION("""COMPUTED_VALUE"""),"Connecticut3")</f>
        <v>Connecticut3</v>
      </c>
      <c r="C12" s="1" t="str">
        <f ca="1">IFERROR(__xludf.DUMMYFUNCTION("""COMPUTED_VALUE"""),"BE")</f>
        <v>BE</v>
      </c>
      <c r="D12" s="1" t="str">
        <f ca="1">IFERROR(__xludf.DUMMYFUNCTION("""COMPUTED_VALUE"""),"32-9")</f>
        <v>32-9</v>
      </c>
      <c r="E12" s="1" t="str">
        <f ca="1">IFERROR(__xludf.DUMMYFUNCTION("""COMPUTED_VALUE"""),"+23.93")</f>
        <v>+23.93</v>
      </c>
      <c r="F12" s="1">
        <f ca="1">IFERROR(__xludf.DUMMYFUNCTION("""COMPUTED_VALUE"""),115.8)</f>
        <v>115.8</v>
      </c>
      <c r="G12" s="1">
        <f ca="1">IFERROR(__xludf.DUMMYFUNCTION("""COMPUTED_VALUE"""),19)</f>
        <v>19</v>
      </c>
      <c r="H12" s="1">
        <f ca="1">IFERROR(__xludf.DUMMYFUNCTION("""COMPUTED_VALUE"""),91.9)</f>
        <v>91.9</v>
      </c>
      <c r="I12" s="1">
        <f ca="1">IFERROR(__xludf.DUMMYFUNCTION("""COMPUTED_VALUE"""),15)</f>
        <v>15</v>
      </c>
      <c r="J12" s="1">
        <f ca="1">IFERROR(__xludf.DUMMYFUNCTION("""COMPUTED_VALUE"""),64.5)</f>
        <v>64.5</v>
      </c>
      <c r="K12" s="1">
        <f ca="1">IFERROR(__xludf.DUMMYFUNCTION("""COMPUTED_VALUE"""),221)</f>
        <v>221</v>
      </c>
      <c r="L12" s="1" t="str">
        <f ca="1">IFERROR(__xludf.DUMMYFUNCTION("""COMPUTED_VALUE"""),"+.048")</f>
        <v>+.048</v>
      </c>
      <c r="M12" s="1">
        <f ca="1">IFERROR(__xludf.DUMMYFUNCTION("""COMPUTED_VALUE"""),58)</f>
        <v>58</v>
      </c>
      <c r="N12" s="1" t="str">
        <f ca="1">IFERROR(__xludf.DUMMYFUNCTION("""COMPUTED_VALUE"""),"+12.78")</f>
        <v>+12.78</v>
      </c>
      <c r="O12" s="1">
        <f ca="1">IFERROR(__xludf.DUMMYFUNCTION("""COMPUTED_VALUE"""),2)</f>
        <v>2</v>
      </c>
      <c r="P12" s="1">
        <f ca="1">IFERROR(__xludf.DUMMYFUNCTION("""COMPUTED_VALUE"""),110.1)</f>
        <v>110.1</v>
      </c>
      <c r="Q12" s="1">
        <f ca="1">IFERROR(__xludf.DUMMYFUNCTION("""COMPUTED_VALUE"""),8)</f>
        <v>8</v>
      </c>
      <c r="R12" s="1">
        <f ca="1">IFERROR(__xludf.DUMMYFUNCTION("""COMPUTED_VALUE"""),97.4)</f>
        <v>97.4</v>
      </c>
      <c r="S12" s="1">
        <f ca="1">IFERROR(__xludf.DUMMYFUNCTION("""COMPUTED_VALUE"""),2)</f>
        <v>2</v>
      </c>
      <c r="T12" s="1">
        <f ca="1">IFERROR(__xludf.DUMMYFUNCTION("""COMPUTED_VALUE"""),-0.77)</f>
        <v>-0.77</v>
      </c>
      <c r="U12" s="1">
        <f ca="1">IFERROR(__xludf.DUMMYFUNCTION("""COMPUTED_VALUE"""),179)</f>
        <v>179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IFERROR(__xludf.DUMMYFUNCTION("""COMPUTED_VALUE"""),"Notre Dame2")</f>
        <v>Notre Dame2</v>
      </c>
      <c r="C13" s="1" t="str">
        <f ca="1">IFERROR(__xludf.DUMMYFUNCTION("""COMPUTED_VALUE"""),"BE")</f>
        <v>BE</v>
      </c>
      <c r="D13" s="1" t="str">
        <f ca="1">IFERROR(__xludf.DUMMYFUNCTION("""COMPUTED_VALUE"""),"27-7")</f>
        <v>27-7</v>
      </c>
      <c r="E13" s="1" t="str">
        <f ca="1">IFERROR(__xludf.DUMMYFUNCTION("""COMPUTED_VALUE"""),"+23.25")</f>
        <v>+23.25</v>
      </c>
      <c r="F13" s="1">
        <f ca="1">IFERROR(__xludf.DUMMYFUNCTION("""COMPUTED_VALUE"""),120.9)</f>
        <v>120.9</v>
      </c>
      <c r="G13" s="1">
        <f ca="1">IFERROR(__xludf.DUMMYFUNCTION("""COMPUTED_VALUE"""),3)</f>
        <v>3</v>
      </c>
      <c r="H13" s="1">
        <f ca="1">IFERROR(__xludf.DUMMYFUNCTION("""COMPUTED_VALUE"""),97.7)</f>
        <v>97.7</v>
      </c>
      <c r="I13" s="1">
        <f ca="1">IFERROR(__xludf.DUMMYFUNCTION("""COMPUTED_VALUE"""),66)</f>
        <v>66</v>
      </c>
      <c r="J13" s="1">
        <f ca="1">IFERROR(__xludf.DUMMYFUNCTION("""COMPUTED_VALUE"""),63.1)</f>
        <v>63.1</v>
      </c>
      <c r="K13" s="1">
        <f ca="1">IFERROR(__xludf.DUMMYFUNCTION("""COMPUTED_VALUE"""),277)</f>
        <v>277</v>
      </c>
      <c r="L13" s="1" t="str">
        <f ca="1">IFERROR(__xludf.DUMMYFUNCTION("""COMPUTED_VALUE"""),"+.074")</f>
        <v>+.074</v>
      </c>
      <c r="M13" s="1">
        <f ca="1">IFERROR(__xludf.DUMMYFUNCTION("""COMPUTED_VALUE"""),24)</f>
        <v>24</v>
      </c>
      <c r="N13" s="1" t="str">
        <f ca="1">IFERROR(__xludf.DUMMYFUNCTION("""COMPUTED_VALUE"""),"+9.92")</f>
        <v>+9.92</v>
      </c>
      <c r="O13" s="1">
        <f ca="1">IFERROR(__xludf.DUMMYFUNCTION("""COMPUTED_VALUE"""),17)</f>
        <v>17</v>
      </c>
      <c r="P13" s="1">
        <f ca="1">IFERROR(__xludf.DUMMYFUNCTION("""COMPUTED_VALUE"""),108.2)</f>
        <v>108.2</v>
      </c>
      <c r="Q13" s="1">
        <f ca="1">IFERROR(__xludf.DUMMYFUNCTION("""COMPUTED_VALUE"""),27)</f>
        <v>27</v>
      </c>
      <c r="R13" s="1">
        <f ca="1">IFERROR(__xludf.DUMMYFUNCTION("""COMPUTED_VALUE"""),98.3)</f>
        <v>98.3</v>
      </c>
      <c r="S13" s="1">
        <f ca="1">IFERROR(__xludf.DUMMYFUNCTION("""COMPUTED_VALUE"""),6)</f>
        <v>6</v>
      </c>
      <c r="T13" s="1">
        <f ca="1">IFERROR(__xludf.DUMMYFUNCTION("""COMPUTED_VALUE"""),-3.83)</f>
        <v>-3.83</v>
      </c>
      <c r="U13" s="1">
        <f ca="1">IFERROR(__xludf.DUMMYFUNCTION("""COMPUTED_VALUE"""),257)</f>
        <v>257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IFERROR(__xludf.DUMMYFUNCTION("""COMPUTED_VALUE"""),"BYU3")</f>
        <v>BYU3</v>
      </c>
      <c r="C14" s="1" t="str">
        <f ca="1">IFERROR(__xludf.DUMMYFUNCTION("""COMPUTED_VALUE"""),"MWC")</f>
        <v>MWC</v>
      </c>
      <c r="D14" s="1" t="str">
        <f ca="1">IFERROR(__xludf.DUMMYFUNCTION("""COMPUTED_VALUE"""),"32-5")</f>
        <v>32-5</v>
      </c>
      <c r="E14" s="1" t="str">
        <f ca="1">IFERROR(__xludf.DUMMYFUNCTION("""COMPUTED_VALUE"""),"+23.22")</f>
        <v>+23.22</v>
      </c>
      <c r="F14" s="1">
        <f ca="1">IFERROR(__xludf.DUMMYFUNCTION("""COMPUTED_VALUE"""),117.5)</f>
        <v>117.5</v>
      </c>
      <c r="G14" s="1">
        <f ca="1">IFERROR(__xludf.DUMMYFUNCTION("""COMPUTED_VALUE"""),11)</f>
        <v>11</v>
      </c>
      <c r="H14" s="1">
        <f ca="1">IFERROR(__xludf.DUMMYFUNCTION("""COMPUTED_VALUE"""),94.3)</f>
        <v>94.3</v>
      </c>
      <c r="I14" s="1">
        <f ca="1">IFERROR(__xludf.DUMMYFUNCTION("""COMPUTED_VALUE"""),29)</f>
        <v>29</v>
      </c>
      <c r="J14" s="1">
        <f ca="1">IFERROR(__xludf.DUMMYFUNCTION("""COMPUTED_VALUE"""),70.2)</f>
        <v>70.2</v>
      </c>
      <c r="K14" s="1">
        <f ca="1">IFERROR(__xludf.DUMMYFUNCTION("""COMPUTED_VALUE"""),17)</f>
        <v>17</v>
      </c>
      <c r="L14" s="1" t="str">
        <f ca="1">IFERROR(__xludf.DUMMYFUNCTION("""COMPUTED_VALUE"""),"+.055")</f>
        <v>+.055</v>
      </c>
      <c r="M14" s="1">
        <f ca="1">IFERROR(__xludf.DUMMYFUNCTION("""COMPUTED_VALUE"""),46)</f>
        <v>46</v>
      </c>
      <c r="N14" s="1" t="str">
        <f ca="1">IFERROR(__xludf.DUMMYFUNCTION("""COMPUTED_VALUE"""),"+7.04")</f>
        <v>+7.04</v>
      </c>
      <c r="O14" s="1">
        <f ca="1">IFERROR(__xludf.DUMMYFUNCTION("""COMPUTED_VALUE"""),43)</f>
        <v>43</v>
      </c>
      <c r="P14" s="1">
        <f ca="1">IFERROR(__xludf.DUMMYFUNCTION("""COMPUTED_VALUE"""),106.8)</f>
        <v>106.8</v>
      </c>
      <c r="Q14" s="1">
        <f ca="1">IFERROR(__xludf.DUMMYFUNCTION("""COMPUTED_VALUE"""),49)</f>
        <v>49</v>
      </c>
      <c r="R14" s="1">
        <f ca="1">IFERROR(__xludf.DUMMYFUNCTION("""COMPUTED_VALUE"""),99.8)</f>
        <v>99.8</v>
      </c>
      <c r="S14" s="1">
        <f ca="1">IFERROR(__xludf.DUMMYFUNCTION("""COMPUTED_VALUE"""),34)</f>
        <v>34</v>
      </c>
      <c r="T14" s="1" t="str">
        <f ca="1">IFERROR(__xludf.DUMMYFUNCTION("""COMPUTED_VALUE"""),"+3.59")</f>
        <v>+3.59</v>
      </c>
      <c r="U14" s="1">
        <f ca="1">IFERROR(__xludf.DUMMYFUNCTION("""COMPUTED_VALUE"""),62)</f>
        <v>62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IFERROR(__xludf.DUMMYFUNCTION("""COMPUTED_VALUE"""),"Syracuse3")</f>
        <v>Syracuse3</v>
      </c>
      <c r="C15" s="1" t="str">
        <f ca="1">IFERROR(__xludf.DUMMYFUNCTION("""COMPUTED_VALUE"""),"BE")</f>
        <v>BE</v>
      </c>
      <c r="D15" s="1" t="str">
        <f ca="1">IFERROR(__xludf.DUMMYFUNCTION("""COMPUTED_VALUE"""),"27-8")</f>
        <v>27-8</v>
      </c>
      <c r="E15" s="1" t="str">
        <f ca="1">IFERROR(__xludf.DUMMYFUNCTION("""COMPUTED_VALUE"""),"+22.49")</f>
        <v>+22.49</v>
      </c>
      <c r="F15" s="1">
        <f ca="1">IFERROR(__xludf.DUMMYFUNCTION("""COMPUTED_VALUE"""),114.9)</f>
        <v>114.9</v>
      </c>
      <c r="G15" s="1">
        <f ca="1">IFERROR(__xludf.DUMMYFUNCTION("""COMPUTED_VALUE"""),24)</f>
        <v>24</v>
      </c>
      <c r="H15" s="1">
        <f ca="1">IFERROR(__xludf.DUMMYFUNCTION("""COMPUTED_VALUE"""),92.4)</f>
        <v>92.4</v>
      </c>
      <c r="I15" s="1">
        <f ca="1">IFERROR(__xludf.DUMMYFUNCTION("""COMPUTED_VALUE"""),17)</f>
        <v>17</v>
      </c>
      <c r="J15" s="1">
        <f ca="1">IFERROR(__xludf.DUMMYFUNCTION("""COMPUTED_VALUE"""),64.6)</f>
        <v>64.599999999999994</v>
      </c>
      <c r="K15" s="1">
        <f ca="1">IFERROR(__xludf.DUMMYFUNCTION("""COMPUTED_VALUE"""),212)</f>
        <v>212</v>
      </c>
      <c r="L15" s="1" t="str">
        <f ca="1">IFERROR(__xludf.DUMMYFUNCTION("""COMPUTED_VALUE"""),"+.032")</f>
        <v>+.032</v>
      </c>
      <c r="M15" s="1">
        <f ca="1">IFERROR(__xludf.DUMMYFUNCTION("""COMPUTED_VALUE"""),99)</f>
        <v>99</v>
      </c>
      <c r="N15" s="1" t="str">
        <f ca="1">IFERROR(__xludf.DUMMYFUNCTION("""COMPUTED_VALUE"""),"+9.03")</f>
        <v>+9.03</v>
      </c>
      <c r="O15" s="1">
        <f ca="1">IFERROR(__xludf.DUMMYFUNCTION("""COMPUTED_VALUE"""),23)</f>
        <v>23</v>
      </c>
      <c r="P15" s="1">
        <f ca="1">IFERROR(__xludf.DUMMYFUNCTION("""COMPUTED_VALUE"""),108.3)</f>
        <v>108.3</v>
      </c>
      <c r="Q15" s="1">
        <f ca="1">IFERROR(__xludf.DUMMYFUNCTION("""COMPUTED_VALUE"""),24)</f>
        <v>24</v>
      </c>
      <c r="R15" s="1">
        <f ca="1">IFERROR(__xludf.DUMMYFUNCTION("""COMPUTED_VALUE"""),99.3)</f>
        <v>99.3</v>
      </c>
      <c r="S15" s="1">
        <f ca="1">IFERROR(__xludf.DUMMYFUNCTION("""COMPUTED_VALUE"""),23)</f>
        <v>23</v>
      </c>
      <c r="T15" s="1">
        <f ca="1">IFERROR(__xludf.DUMMYFUNCTION("""COMPUTED_VALUE"""),-2.31)</f>
        <v>-2.31</v>
      </c>
      <c r="U15" s="1">
        <f ca="1">IFERROR(__xludf.DUMMYFUNCTION("""COMPUTED_VALUE"""),215)</f>
        <v>215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IFERROR(__xludf.DUMMYFUNCTION("""COMPUTED_VALUE"""),"Louisville4")</f>
        <v>Louisville4</v>
      </c>
      <c r="C16" s="1" t="str">
        <f ca="1">IFERROR(__xludf.DUMMYFUNCTION("""COMPUTED_VALUE"""),"BE")</f>
        <v>BE</v>
      </c>
      <c r="D16" s="1" t="str">
        <f ca="1">IFERROR(__xludf.DUMMYFUNCTION("""COMPUTED_VALUE"""),"25-10")</f>
        <v>25-10</v>
      </c>
      <c r="E16" s="1" t="str">
        <f ca="1">IFERROR(__xludf.DUMMYFUNCTION("""COMPUTED_VALUE"""),"+22.26")</f>
        <v>+22.26</v>
      </c>
      <c r="F16" s="1">
        <f ca="1">IFERROR(__xludf.DUMMYFUNCTION("""COMPUTED_VALUE"""),111.4)</f>
        <v>111.4</v>
      </c>
      <c r="G16" s="1">
        <f ca="1">IFERROR(__xludf.DUMMYFUNCTION("""COMPUTED_VALUE"""),52)</f>
        <v>52</v>
      </c>
      <c r="H16" s="1">
        <f ca="1">IFERROR(__xludf.DUMMYFUNCTION("""COMPUTED_VALUE"""),89.2)</f>
        <v>89.2</v>
      </c>
      <c r="I16" s="1">
        <f ca="1">IFERROR(__xludf.DUMMYFUNCTION("""COMPUTED_VALUE"""),3)</f>
        <v>3</v>
      </c>
      <c r="J16" s="1">
        <f ca="1">IFERROR(__xludf.DUMMYFUNCTION("""COMPUTED_VALUE"""),66.8)</f>
        <v>66.8</v>
      </c>
      <c r="K16" s="1">
        <f ca="1">IFERROR(__xludf.DUMMYFUNCTION("""COMPUTED_VALUE"""),88)</f>
        <v>88</v>
      </c>
      <c r="L16" s="1">
        <f ca="1">IFERROR(__xludf.DUMMYFUNCTION("""COMPUTED_VALUE"""),-0.037)</f>
        <v>-3.6999999999999998E-2</v>
      </c>
      <c r="M16" s="1">
        <f ca="1">IFERROR(__xludf.DUMMYFUNCTION("""COMPUTED_VALUE"""),269)</f>
        <v>269</v>
      </c>
      <c r="N16" s="1" t="str">
        <f ca="1">IFERROR(__xludf.DUMMYFUNCTION("""COMPUTED_VALUE"""),"+8.77")</f>
        <v>+8.77</v>
      </c>
      <c r="O16" s="1">
        <f ca="1">IFERROR(__xludf.DUMMYFUNCTION("""COMPUTED_VALUE"""),27)</f>
        <v>27</v>
      </c>
      <c r="P16" s="1">
        <f ca="1">IFERROR(__xludf.DUMMYFUNCTION("""COMPUTED_VALUE"""),108.3)</f>
        <v>108.3</v>
      </c>
      <c r="Q16" s="1">
        <f ca="1">IFERROR(__xludf.DUMMYFUNCTION("""COMPUTED_VALUE"""),26)</f>
        <v>26</v>
      </c>
      <c r="R16" s="1">
        <f ca="1">IFERROR(__xludf.DUMMYFUNCTION("""COMPUTED_VALUE"""),99.5)</f>
        <v>99.5</v>
      </c>
      <c r="S16" s="1">
        <f ca="1">IFERROR(__xludf.DUMMYFUNCTION("""COMPUTED_VALUE"""),27)</f>
        <v>27</v>
      </c>
      <c r="T16" s="1">
        <f ca="1">IFERROR(__xludf.DUMMYFUNCTION("""COMPUTED_VALUE"""),-5.13)</f>
        <v>-5.13</v>
      </c>
      <c r="U16" s="1">
        <f ca="1">IFERROR(__xludf.DUMMYFUNCTION("""COMPUTED_VALUE"""),289)</f>
        <v>289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IFERROR(__xludf.DUMMYFUNCTION("""COMPUTED_VALUE"""),"North Carolina2")</f>
        <v>North Carolina2</v>
      </c>
      <c r="C17" s="1" t="str">
        <f ca="1">IFERROR(__xludf.DUMMYFUNCTION("""COMPUTED_VALUE"""),"ACC")</f>
        <v>ACC</v>
      </c>
      <c r="D17" s="1" t="str">
        <f ca="1">IFERROR(__xludf.DUMMYFUNCTION("""COMPUTED_VALUE"""),"29-8")</f>
        <v>29-8</v>
      </c>
      <c r="E17" s="1" t="str">
        <f ca="1">IFERROR(__xludf.DUMMYFUNCTION("""COMPUTED_VALUE"""),"+22.18")</f>
        <v>+22.18</v>
      </c>
      <c r="F17" s="1">
        <f ca="1">IFERROR(__xludf.DUMMYFUNCTION("""COMPUTED_VALUE"""),111.8)</f>
        <v>111.8</v>
      </c>
      <c r="G17" s="1">
        <f ca="1">IFERROR(__xludf.DUMMYFUNCTION("""COMPUTED_VALUE"""),49)</f>
        <v>49</v>
      </c>
      <c r="H17" s="1">
        <f ca="1">IFERROR(__xludf.DUMMYFUNCTION("""COMPUTED_VALUE"""),89.6)</f>
        <v>89.6</v>
      </c>
      <c r="I17" s="1">
        <f ca="1">IFERROR(__xludf.DUMMYFUNCTION("""COMPUTED_VALUE"""),5)</f>
        <v>5</v>
      </c>
      <c r="J17" s="1">
        <f ca="1">IFERROR(__xludf.DUMMYFUNCTION("""COMPUTED_VALUE"""),70.6)</f>
        <v>70.599999999999994</v>
      </c>
      <c r="K17" s="1">
        <f ca="1">IFERROR(__xludf.DUMMYFUNCTION("""COMPUTED_VALUE"""),15)</f>
        <v>15</v>
      </c>
      <c r="L17" s="1" t="str">
        <f ca="1">IFERROR(__xludf.DUMMYFUNCTION("""COMPUTED_VALUE"""),"+.064")</f>
        <v>+.064</v>
      </c>
      <c r="M17" s="1">
        <f ca="1">IFERROR(__xludf.DUMMYFUNCTION("""COMPUTED_VALUE"""),33)</f>
        <v>33</v>
      </c>
      <c r="N17" s="1" t="str">
        <f ca="1">IFERROR(__xludf.DUMMYFUNCTION("""COMPUTED_VALUE"""),"+11.14")</f>
        <v>+11.14</v>
      </c>
      <c r="O17" s="1">
        <f ca="1">IFERROR(__xludf.DUMMYFUNCTION("""COMPUTED_VALUE"""),8)</f>
        <v>8</v>
      </c>
      <c r="P17" s="1">
        <f ca="1">IFERROR(__xludf.DUMMYFUNCTION("""COMPUTED_VALUE"""),109.9)</f>
        <v>109.9</v>
      </c>
      <c r="Q17" s="1">
        <f ca="1">IFERROR(__xludf.DUMMYFUNCTION("""COMPUTED_VALUE"""),11)</f>
        <v>11</v>
      </c>
      <c r="R17" s="1">
        <f ca="1">IFERROR(__xludf.DUMMYFUNCTION("""COMPUTED_VALUE"""),98.8)</f>
        <v>98.8</v>
      </c>
      <c r="S17" s="1">
        <f ca="1">IFERROR(__xludf.DUMMYFUNCTION("""COMPUTED_VALUE"""),14)</f>
        <v>14</v>
      </c>
      <c r="T17" s="1" t="str">
        <f ca="1">IFERROR(__xludf.DUMMYFUNCTION("""COMPUTED_VALUE"""),"+6.01")</f>
        <v>+6.01</v>
      </c>
      <c r="U17" s="1">
        <f ca="1">IFERROR(__xludf.DUMMYFUNCTION("""COMPUTED_VALUE"""),36)</f>
        <v>36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IFERROR(__xludf.DUMMYFUNCTION("""COMPUTED_VALUE"""),"Washington7")</f>
        <v>Washington7</v>
      </c>
      <c r="C18" s="1" t="str">
        <f ca="1">IFERROR(__xludf.DUMMYFUNCTION("""COMPUTED_VALUE"""),"P10")</f>
        <v>P10</v>
      </c>
      <c r="D18" s="1" t="str">
        <f ca="1">IFERROR(__xludf.DUMMYFUNCTION("""COMPUTED_VALUE"""),"24-11")</f>
        <v>24-11</v>
      </c>
      <c r="E18" s="1" t="str">
        <f ca="1">IFERROR(__xludf.DUMMYFUNCTION("""COMPUTED_VALUE"""),"+21.69")</f>
        <v>+21.69</v>
      </c>
      <c r="F18" s="1">
        <f ca="1">IFERROR(__xludf.DUMMYFUNCTION("""COMPUTED_VALUE"""),117.7)</f>
        <v>117.7</v>
      </c>
      <c r="G18" s="1">
        <f ca="1">IFERROR(__xludf.DUMMYFUNCTION("""COMPUTED_VALUE"""),10)</f>
        <v>10</v>
      </c>
      <c r="H18" s="1">
        <f ca="1">IFERROR(__xludf.DUMMYFUNCTION("""COMPUTED_VALUE"""),96)</f>
        <v>96</v>
      </c>
      <c r="I18" s="1">
        <f ca="1">IFERROR(__xludf.DUMMYFUNCTION("""COMPUTED_VALUE"""),49)</f>
        <v>49</v>
      </c>
      <c r="J18" s="1">
        <f ca="1">IFERROR(__xludf.DUMMYFUNCTION("""COMPUTED_VALUE"""),69.9)</f>
        <v>69.900000000000006</v>
      </c>
      <c r="K18" s="1">
        <f ca="1">IFERROR(__xludf.DUMMYFUNCTION("""COMPUTED_VALUE"""),21)</f>
        <v>21</v>
      </c>
      <c r="L18" s="1">
        <f ca="1">IFERROR(__xludf.DUMMYFUNCTION("""COMPUTED_VALUE"""),-0.099)</f>
        <v>-9.9000000000000005E-2</v>
      </c>
      <c r="M18" s="1">
        <f ca="1">IFERROR(__xludf.DUMMYFUNCTION("""COMPUTED_VALUE"""),334)</f>
        <v>334</v>
      </c>
      <c r="N18" s="1" t="str">
        <f ca="1">IFERROR(__xludf.DUMMYFUNCTION("""COMPUTED_VALUE"""),"+7.21")</f>
        <v>+7.21</v>
      </c>
      <c r="O18" s="1">
        <f ca="1">IFERROR(__xludf.DUMMYFUNCTION("""COMPUTED_VALUE"""),40)</f>
        <v>40</v>
      </c>
      <c r="P18" s="1">
        <f ca="1">IFERROR(__xludf.DUMMYFUNCTION("""COMPUTED_VALUE"""),106.9)</f>
        <v>106.9</v>
      </c>
      <c r="Q18" s="1">
        <f ca="1">IFERROR(__xludf.DUMMYFUNCTION("""COMPUTED_VALUE"""),46)</f>
        <v>46</v>
      </c>
      <c r="R18" s="1">
        <f ca="1">IFERROR(__xludf.DUMMYFUNCTION("""COMPUTED_VALUE"""),99.7)</f>
        <v>99.7</v>
      </c>
      <c r="S18" s="1">
        <f ca="1">IFERROR(__xludf.DUMMYFUNCTION("""COMPUTED_VALUE"""),30)</f>
        <v>30</v>
      </c>
      <c r="T18" s="1" t="str">
        <f ca="1">IFERROR(__xludf.DUMMYFUNCTION("""COMPUTED_VALUE"""),"+1.07")</f>
        <v>+1.07</v>
      </c>
      <c r="U18" s="1">
        <f ca="1">IFERROR(__xludf.DUMMYFUNCTION("""COMPUTED_VALUE"""),122)</f>
        <v>122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IFERROR(__xludf.DUMMYFUNCTION("""COMPUTED_VALUE"""),"Florida2")</f>
        <v>Florida2</v>
      </c>
      <c r="C19" s="1" t="str">
        <f ca="1">IFERROR(__xludf.DUMMYFUNCTION("""COMPUTED_VALUE"""),"SEC")</f>
        <v>SEC</v>
      </c>
      <c r="D19" s="1" t="str">
        <f ca="1">IFERROR(__xludf.DUMMYFUNCTION("""COMPUTED_VALUE"""),"29-8")</f>
        <v>29-8</v>
      </c>
      <c r="E19" s="1" t="str">
        <f ca="1">IFERROR(__xludf.DUMMYFUNCTION("""COMPUTED_VALUE"""),"+20.61")</f>
        <v>+20.61</v>
      </c>
      <c r="F19" s="1">
        <f ca="1">IFERROR(__xludf.DUMMYFUNCTION("""COMPUTED_VALUE"""),115.8)</f>
        <v>115.8</v>
      </c>
      <c r="G19" s="1">
        <f ca="1">IFERROR(__xludf.DUMMYFUNCTION("""COMPUTED_VALUE"""),20)</f>
        <v>20</v>
      </c>
      <c r="H19" s="1">
        <f ca="1">IFERROR(__xludf.DUMMYFUNCTION("""COMPUTED_VALUE"""),95.2)</f>
        <v>95.2</v>
      </c>
      <c r="I19" s="1">
        <f ca="1">IFERROR(__xludf.DUMMYFUNCTION("""COMPUTED_VALUE"""),38)</f>
        <v>38</v>
      </c>
      <c r="J19" s="1">
        <f ca="1">IFERROR(__xludf.DUMMYFUNCTION("""COMPUTED_VALUE"""),62.5)</f>
        <v>62.5</v>
      </c>
      <c r="K19" s="1">
        <f ca="1">IFERROR(__xludf.DUMMYFUNCTION("""COMPUTED_VALUE"""),300)</f>
        <v>300</v>
      </c>
      <c r="L19" s="1" t="str">
        <f ca="1">IFERROR(__xludf.DUMMYFUNCTION("""COMPUTED_VALUE"""),"+.038")</f>
        <v>+.038</v>
      </c>
      <c r="M19" s="1">
        <f ca="1">IFERROR(__xludf.DUMMYFUNCTION("""COMPUTED_VALUE"""),84)</f>
        <v>84</v>
      </c>
      <c r="N19" s="1" t="str">
        <f ca="1">IFERROR(__xludf.DUMMYFUNCTION("""COMPUTED_VALUE"""),"+7.73")</f>
        <v>+7.73</v>
      </c>
      <c r="O19" s="1">
        <f ca="1">IFERROR(__xludf.DUMMYFUNCTION("""COMPUTED_VALUE"""),33)</f>
        <v>33</v>
      </c>
      <c r="P19" s="1">
        <f ca="1">IFERROR(__xludf.DUMMYFUNCTION("""COMPUTED_VALUE"""),106.8)</f>
        <v>106.8</v>
      </c>
      <c r="Q19" s="1">
        <f ca="1">IFERROR(__xludf.DUMMYFUNCTION("""COMPUTED_VALUE"""),47)</f>
        <v>47</v>
      </c>
      <c r="R19" s="1">
        <f ca="1">IFERROR(__xludf.DUMMYFUNCTION("""COMPUTED_VALUE"""),99.1)</f>
        <v>99.1</v>
      </c>
      <c r="S19" s="1">
        <f ca="1">IFERROR(__xludf.DUMMYFUNCTION("""COMPUTED_VALUE"""),19)</f>
        <v>19</v>
      </c>
      <c r="T19" s="1" t="str">
        <f ca="1">IFERROR(__xludf.DUMMYFUNCTION("""COMPUTED_VALUE"""),"+1.55")</f>
        <v>+1.55</v>
      </c>
      <c r="U19" s="1">
        <f ca="1">IFERROR(__xludf.DUMMYFUNCTION("""COMPUTED_VALUE"""),110)</f>
        <v>110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IFERROR(__xludf.DUMMYFUNCTION("""COMPUTED_VALUE"""),"Illinois9")</f>
        <v>Illinois9</v>
      </c>
      <c r="C20" s="1" t="str">
        <f ca="1">IFERROR(__xludf.DUMMYFUNCTION("""COMPUTED_VALUE"""),"B10")</f>
        <v>B10</v>
      </c>
      <c r="D20" s="1" t="str">
        <f ca="1">IFERROR(__xludf.DUMMYFUNCTION("""COMPUTED_VALUE"""),"20-14")</f>
        <v>20-14</v>
      </c>
      <c r="E20" s="1" t="str">
        <f ca="1">IFERROR(__xludf.DUMMYFUNCTION("""COMPUTED_VALUE"""),"+20.14")</f>
        <v>+20.14</v>
      </c>
      <c r="F20" s="1">
        <f ca="1">IFERROR(__xludf.DUMMYFUNCTION("""COMPUTED_VALUE"""),113.3)</f>
        <v>113.3</v>
      </c>
      <c r="G20" s="1">
        <f ca="1">IFERROR(__xludf.DUMMYFUNCTION("""COMPUTED_VALUE"""),34)</f>
        <v>34</v>
      </c>
      <c r="H20" s="1">
        <f ca="1">IFERROR(__xludf.DUMMYFUNCTION("""COMPUTED_VALUE"""),93.1)</f>
        <v>93.1</v>
      </c>
      <c r="I20" s="1">
        <f ca="1">IFERROR(__xludf.DUMMYFUNCTION("""COMPUTED_VALUE"""),23)</f>
        <v>23</v>
      </c>
      <c r="J20" s="1">
        <f ca="1">IFERROR(__xludf.DUMMYFUNCTION("""COMPUTED_VALUE"""),64.8)</f>
        <v>64.8</v>
      </c>
      <c r="K20" s="1">
        <f ca="1">IFERROR(__xludf.DUMMYFUNCTION("""COMPUTED_VALUE"""),202)</f>
        <v>202</v>
      </c>
      <c r="L20" s="1">
        <f ca="1">IFERROR(__xludf.DUMMYFUNCTION("""COMPUTED_VALUE"""),-0.074)</f>
        <v>-7.3999999999999996E-2</v>
      </c>
      <c r="M20" s="1">
        <f ca="1">IFERROR(__xludf.DUMMYFUNCTION("""COMPUTED_VALUE"""),322)</f>
        <v>322</v>
      </c>
      <c r="N20" s="1" t="str">
        <f ca="1">IFERROR(__xludf.DUMMYFUNCTION("""COMPUTED_VALUE"""),"+12.29")</f>
        <v>+12.29</v>
      </c>
      <c r="O20" s="1">
        <f ca="1">IFERROR(__xludf.DUMMYFUNCTION("""COMPUTED_VALUE"""),6)</f>
        <v>6</v>
      </c>
      <c r="P20" s="1">
        <f ca="1">IFERROR(__xludf.DUMMYFUNCTION("""COMPUTED_VALUE"""),110.6)</f>
        <v>110.6</v>
      </c>
      <c r="Q20" s="1">
        <f ca="1">IFERROR(__xludf.DUMMYFUNCTION("""COMPUTED_VALUE"""),5)</f>
        <v>5</v>
      </c>
      <c r="R20" s="1">
        <f ca="1">IFERROR(__xludf.DUMMYFUNCTION("""COMPUTED_VALUE"""),98.3)</f>
        <v>98.3</v>
      </c>
      <c r="S20" s="1">
        <f ca="1">IFERROR(__xludf.DUMMYFUNCTION("""COMPUTED_VALUE"""),8)</f>
        <v>8</v>
      </c>
      <c r="T20" s="1" t="str">
        <f ca="1">IFERROR(__xludf.DUMMYFUNCTION("""COMPUTED_VALUE"""),"+3.15")</f>
        <v>+3.15</v>
      </c>
      <c r="U20" s="1">
        <f ca="1">IFERROR(__xludf.DUMMYFUNCTION("""COMPUTED_VALUE"""),68)</f>
        <v>68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IFERROR(__xludf.DUMMYFUNCTION("""COMPUTED_VALUE"""),"West Virginia5")</f>
        <v>West Virginia5</v>
      </c>
      <c r="C21" s="1" t="str">
        <f ca="1">IFERROR(__xludf.DUMMYFUNCTION("""COMPUTED_VALUE"""),"BE")</f>
        <v>BE</v>
      </c>
      <c r="D21" s="1" t="str">
        <f ca="1">IFERROR(__xludf.DUMMYFUNCTION("""COMPUTED_VALUE"""),"21-12")</f>
        <v>21-12</v>
      </c>
      <c r="E21" s="1" t="str">
        <f ca="1">IFERROR(__xludf.DUMMYFUNCTION("""COMPUTED_VALUE"""),"+20.11")</f>
        <v>+20.11</v>
      </c>
      <c r="F21" s="1">
        <f ca="1">IFERROR(__xludf.DUMMYFUNCTION("""COMPUTED_VALUE"""),114.9)</f>
        <v>114.9</v>
      </c>
      <c r="G21" s="1">
        <f ca="1">IFERROR(__xludf.DUMMYFUNCTION("""COMPUTED_VALUE"""),23)</f>
        <v>23</v>
      </c>
      <c r="H21" s="1">
        <f ca="1">IFERROR(__xludf.DUMMYFUNCTION("""COMPUTED_VALUE"""),94.8)</f>
        <v>94.8</v>
      </c>
      <c r="I21" s="1">
        <f ca="1">IFERROR(__xludf.DUMMYFUNCTION("""COMPUTED_VALUE"""),35)</f>
        <v>35</v>
      </c>
      <c r="J21" s="1">
        <f ca="1">IFERROR(__xludf.DUMMYFUNCTION("""COMPUTED_VALUE"""),62.5)</f>
        <v>62.5</v>
      </c>
      <c r="K21" s="1">
        <f ca="1">IFERROR(__xludf.DUMMYFUNCTION("""COMPUTED_VALUE"""),298)</f>
        <v>298</v>
      </c>
      <c r="L21" s="1">
        <f ca="1">IFERROR(__xludf.DUMMYFUNCTION("""COMPUTED_VALUE"""),-0.018)</f>
        <v>-1.7999999999999999E-2</v>
      </c>
      <c r="M21" s="1">
        <f ca="1">IFERROR(__xludf.DUMMYFUNCTION("""COMPUTED_VALUE"""),227)</f>
        <v>227</v>
      </c>
      <c r="N21" s="1" t="str">
        <f ca="1">IFERROR(__xludf.DUMMYFUNCTION("""COMPUTED_VALUE"""),"+12.70")</f>
        <v>+12.70</v>
      </c>
      <c r="O21" s="1">
        <f ca="1">IFERROR(__xludf.DUMMYFUNCTION("""COMPUTED_VALUE"""),3)</f>
        <v>3</v>
      </c>
      <c r="P21" s="1">
        <f ca="1">IFERROR(__xludf.DUMMYFUNCTION("""COMPUTED_VALUE"""),111)</f>
        <v>111</v>
      </c>
      <c r="Q21" s="1">
        <f ca="1">IFERROR(__xludf.DUMMYFUNCTION("""COMPUTED_VALUE"""),1)</f>
        <v>1</v>
      </c>
      <c r="R21" s="1">
        <f ca="1">IFERROR(__xludf.DUMMYFUNCTION("""COMPUTED_VALUE"""),98.3)</f>
        <v>98.3</v>
      </c>
      <c r="S21" s="1">
        <f ca="1">IFERROR(__xludf.DUMMYFUNCTION("""COMPUTED_VALUE"""),7)</f>
        <v>7</v>
      </c>
      <c r="T21" s="1" t="str">
        <f ca="1">IFERROR(__xludf.DUMMYFUNCTION("""COMPUTED_VALUE"""),"+7.10")</f>
        <v>+7.10</v>
      </c>
      <c r="U21" s="1">
        <f ca="1">IFERROR(__xludf.DUMMYFUNCTION("""COMPUTED_VALUE"""),21)</f>
        <v>21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IFERROR(__xludf.DUMMYFUNCTION("""COMPUTED_VALUE"""),"Arizona5")</f>
        <v>Arizona5</v>
      </c>
      <c r="C22" s="1" t="str">
        <f ca="1">IFERROR(__xludf.DUMMYFUNCTION("""COMPUTED_VALUE"""),"P10")</f>
        <v>P10</v>
      </c>
      <c r="D22" s="1" t="str">
        <f ca="1">IFERROR(__xludf.DUMMYFUNCTION("""COMPUTED_VALUE"""),"30-8")</f>
        <v>30-8</v>
      </c>
      <c r="E22" s="1" t="str">
        <f ca="1">IFERROR(__xludf.DUMMYFUNCTION("""COMPUTED_VALUE"""),"+19.65")</f>
        <v>+19.65</v>
      </c>
      <c r="F22" s="1">
        <f ca="1">IFERROR(__xludf.DUMMYFUNCTION("""COMPUTED_VALUE"""),117.4)</f>
        <v>117.4</v>
      </c>
      <c r="G22" s="1">
        <f ca="1">IFERROR(__xludf.DUMMYFUNCTION("""COMPUTED_VALUE"""),12)</f>
        <v>12</v>
      </c>
      <c r="H22" s="1">
        <f ca="1">IFERROR(__xludf.DUMMYFUNCTION("""COMPUTED_VALUE"""),97.8)</f>
        <v>97.8</v>
      </c>
      <c r="I22" s="1">
        <f ca="1">IFERROR(__xludf.DUMMYFUNCTION("""COMPUTED_VALUE"""),67)</f>
        <v>67</v>
      </c>
      <c r="J22" s="1">
        <f ca="1">IFERROR(__xludf.DUMMYFUNCTION("""COMPUTED_VALUE"""),65.3)</f>
        <v>65.3</v>
      </c>
      <c r="K22" s="1">
        <f ca="1">IFERROR(__xludf.DUMMYFUNCTION("""COMPUTED_VALUE"""),170)</f>
        <v>170</v>
      </c>
      <c r="L22" s="1" t="str">
        <f ca="1">IFERROR(__xludf.DUMMYFUNCTION("""COMPUTED_VALUE"""),"+.064")</f>
        <v>+.064</v>
      </c>
      <c r="M22" s="1">
        <f ca="1">IFERROR(__xludf.DUMMYFUNCTION("""COMPUTED_VALUE"""),32)</f>
        <v>32</v>
      </c>
      <c r="N22" s="1" t="str">
        <f ca="1">IFERROR(__xludf.DUMMYFUNCTION("""COMPUTED_VALUE"""),"+7.69")</f>
        <v>+7.69</v>
      </c>
      <c r="O22" s="1">
        <f ca="1">IFERROR(__xludf.DUMMYFUNCTION("""COMPUTED_VALUE"""),34)</f>
        <v>34</v>
      </c>
      <c r="P22" s="1">
        <f ca="1">IFERROR(__xludf.DUMMYFUNCTION("""COMPUTED_VALUE"""),107.7)</f>
        <v>107.7</v>
      </c>
      <c r="Q22" s="1">
        <f ca="1">IFERROR(__xludf.DUMMYFUNCTION("""COMPUTED_VALUE"""),30)</f>
        <v>30</v>
      </c>
      <c r="R22" s="1">
        <f ca="1">IFERROR(__xludf.DUMMYFUNCTION("""COMPUTED_VALUE"""),100)</f>
        <v>100</v>
      </c>
      <c r="S22" s="1">
        <f ca="1">IFERROR(__xludf.DUMMYFUNCTION("""COMPUTED_VALUE"""),41)</f>
        <v>41</v>
      </c>
      <c r="T22" s="1">
        <f ca="1">IFERROR(__xludf.DUMMYFUNCTION("""COMPUTED_VALUE"""),-0.36)</f>
        <v>-0.36</v>
      </c>
      <c r="U22" s="1">
        <f ca="1">IFERROR(__xludf.DUMMYFUNCTION("""COMPUTED_VALUE"""),166)</f>
        <v>166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IFERROR(__xludf.DUMMYFUNCTION("""COMPUTED_VALUE"""),"Cincinnati6")</f>
        <v>Cincinnati6</v>
      </c>
      <c r="C23" s="1" t="str">
        <f ca="1">IFERROR(__xludf.DUMMYFUNCTION("""COMPUTED_VALUE"""),"BE")</f>
        <v>BE</v>
      </c>
      <c r="D23" s="1" t="str">
        <f ca="1">IFERROR(__xludf.DUMMYFUNCTION("""COMPUTED_VALUE"""),"26-9")</f>
        <v>26-9</v>
      </c>
      <c r="E23" s="1" t="str">
        <f ca="1">IFERROR(__xludf.DUMMYFUNCTION("""COMPUTED_VALUE"""),"+19.41")</f>
        <v>+19.41</v>
      </c>
      <c r="F23" s="1">
        <f ca="1">IFERROR(__xludf.DUMMYFUNCTION("""COMPUTED_VALUE"""),111.1)</f>
        <v>111.1</v>
      </c>
      <c r="G23" s="1">
        <f ca="1">IFERROR(__xludf.DUMMYFUNCTION("""COMPUTED_VALUE"""),55)</f>
        <v>55</v>
      </c>
      <c r="H23" s="1">
        <f ca="1">IFERROR(__xludf.DUMMYFUNCTION("""COMPUTED_VALUE"""),91.7)</f>
        <v>91.7</v>
      </c>
      <c r="I23" s="1">
        <f ca="1">IFERROR(__xludf.DUMMYFUNCTION("""COMPUTED_VALUE"""),13)</f>
        <v>13</v>
      </c>
      <c r="J23" s="1">
        <f ca="1">IFERROR(__xludf.DUMMYFUNCTION("""COMPUTED_VALUE"""),62.6)</f>
        <v>62.6</v>
      </c>
      <c r="K23" s="1">
        <f ca="1">IFERROR(__xludf.DUMMYFUNCTION("""COMPUTED_VALUE"""),293)</f>
        <v>293</v>
      </c>
      <c r="L23" s="1" t="str">
        <f ca="1">IFERROR(__xludf.DUMMYFUNCTION("""COMPUTED_VALUE"""),"+.040")</f>
        <v>+.040</v>
      </c>
      <c r="M23" s="1">
        <f ca="1">IFERROR(__xludf.DUMMYFUNCTION("""COMPUTED_VALUE"""),80)</f>
        <v>80</v>
      </c>
      <c r="N23" s="1" t="str">
        <f ca="1">IFERROR(__xludf.DUMMYFUNCTION("""COMPUTED_VALUE"""),"+6.23")</f>
        <v>+6.23</v>
      </c>
      <c r="O23" s="1">
        <f ca="1">IFERROR(__xludf.DUMMYFUNCTION("""COMPUTED_VALUE"""),55)</f>
        <v>55</v>
      </c>
      <c r="P23" s="1">
        <f ca="1">IFERROR(__xludf.DUMMYFUNCTION("""COMPUTED_VALUE"""),106.8)</f>
        <v>106.8</v>
      </c>
      <c r="Q23" s="1">
        <f ca="1">IFERROR(__xludf.DUMMYFUNCTION("""COMPUTED_VALUE"""),48)</f>
        <v>48</v>
      </c>
      <c r="R23" s="1">
        <f ca="1">IFERROR(__xludf.DUMMYFUNCTION("""COMPUTED_VALUE"""),100.6)</f>
        <v>100.6</v>
      </c>
      <c r="S23" s="1">
        <f ca="1">IFERROR(__xludf.DUMMYFUNCTION("""COMPUTED_VALUE"""),64)</f>
        <v>64</v>
      </c>
      <c r="T23" s="1">
        <f ca="1">IFERROR(__xludf.DUMMYFUNCTION("""COMPUTED_VALUE"""),-9.35)</f>
        <v>-9.35</v>
      </c>
      <c r="U23" s="1">
        <f ca="1">IFERROR(__xludf.DUMMYFUNCTION("""COMPUTED_VALUE"""),334)</f>
        <v>334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IFERROR(__xludf.DUMMYFUNCTION("""COMPUTED_VALUE"""),"Utah St.12")</f>
        <v>Utah St.12</v>
      </c>
      <c r="C24" s="1" t="str">
        <f ca="1">IFERROR(__xludf.DUMMYFUNCTION("""COMPUTED_VALUE"""),"WAC")</f>
        <v>WAC</v>
      </c>
      <c r="D24" s="1" t="str">
        <f ca="1">IFERROR(__xludf.DUMMYFUNCTION("""COMPUTED_VALUE"""),"30-4")</f>
        <v>30-4</v>
      </c>
      <c r="E24" s="1" t="str">
        <f ca="1">IFERROR(__xludf.DUMMYFUNCTION("""COMPUTED_VALUE"""),"+19.32")</f>
        <v>+19.32</v>
      </c>
      <c r="F24" s="1">
        <f ca="1">IFERROR(__xludf.DUMMYFUNCTION("""COMPUTED_VALUE"""),111.2)</f>
        <v>111.2</v>
      </c>
      <c r="G24" s="1">
        <f ca="1">IFERROR(__xludf.DUMMYFUNCTION("""COMPUTED_VALUE"""),54)</f>
        <v>54</v>
      </c>
      <c r="H24" s="1">
        <f ca="1">IFERROR(__xludf.DUMMYFUNCTION("""COMPUTED_VALUE"""),91.8)</f>
        <v>91.8</v>
      </c>
      <c r="I24" s="1">
        <f ca="1">IFERROR(__xludf.DUMMYFUNCTION("""COMPUTED_VALUE"""),14)</f>
        <v>14</v>
      </c>
      <c r="J24" s="1">
        <f ca="1">IFERROR(__xludf.DUMMYFUNCTION("""COMPUTED_VALUE"""),62.4)</f>
        <v>62.4</v>
      </c>
      <c r="K24" s="1">
        <f ca="1">IFERROR(__xludf.DUMMYFUNCTION("""COMPUTED_VALUE"""),302)</f>
        <v>302</v>
      </c>
      <c r="L24" s="1" t="str">
        <f ca="1">IFERROR(__xludf.DUMMYFUNCTION("""COMPUTED_VALUE"""),"+.033")</f>
        <v>+.033</v>
      </c>
      <c r="M24" s="1">
        <f ca="1">IFERROR(__xludf.DUMMYFUNCTION("""COMPUTED_VALUE"""),93)</f>
        <v>93</v>
      </c>
      <c r="N24" s="1">
        <f ca="1">IFERROR(__xludf.DUMMYFUNCTION("""COMPUTED_VALUE"""),-0.29)</f>
        <v>-0.28999999999999998</v>
      </c>
      <c r="O24" s="1">
        <f ca="1">IFERROR(__xludf.DUMMYFUNCTION("""COMPUTED_VALUE"""),160)</f>
        <v>160</v>
      </c>
      <c r="P24" s="1">
        <f ca="1">IFERROR(__xludf.DUMMYFUNCTION("""COMPUTED_VALUE"""),103.8)</f>
        <v>103.8</v>
      </c>
      <c r="Q24" s="1">
        <f ca="1">IFERROR(__xludf.DUMMYFUNCTION("""COMPUTED_VALUE"""),142)</f>
        <v>142</v>
      </c>
      <c r="R24" s="1">
        <f ca="1">IFERROR(__xludf.DUMMYFUNCTION("""COMPUTED_VALUE"""),104.1)</f>
        <v>104.1</v>
      </c>
      <c r="S24" s="1">
        <f ca="1">IFERROR(__xludf.DUMMYFUNCTION("""COMPUTED_VALUE"""),186)</f>
        <v>186</v>
      </c>
      <c r="T24" s="1">
        <f ca="1">IFERROR(__xludf.DUMMYFUNCTION("""COMPUTED_VALUE"""),-2.4)</f>
        <v>-2.4</v>
      </c>
      <c r="U24" s="1">
        <f ca="1">IFERROR(__xludf.DUMMYFUNCTION("""COMPUTED_VALUE"""),217)</f>
        <v>217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IFERROR(__xludf.DUMMYFUNCTION("""COMPUTED_VALUE"""),"Belmont13")</f>
        <v>Belmont13</v>
      </c>
      <c r="C25" s="1" t="str">
        <f ca="1">IFERROR(__xludf.DUMMYFUNCTION("""COMPUTED_VALUE"""),"ASun")</f>
        <v>ASun</v>
      </c>
      <c r="D25" s="1" t="str">
        <f ca="1">IFERROR(__xludf.DUMMYFUNCTION("""COMPUTED_VALUE"""),"30-5")</f>
        <v>30-5</v>
      </c>
      <c r="E25" s="1" t="str">
        <f ca="1">IFERROR(__xludf.DUMMYFUNCTION("""COMPUTED_VALUE"""),"+18.48")</f>
        <v>+18.48</v>
      </c>
      <c r="F25" s="1">
        <f ca="1">IFERROR(__xludf.DUMMYFUNCTION("""COMPUTED_VALUE"""),112.6)</f>
        <v>112.6</v>
      </c>
      <c r="G25" s="1">
        <f ca="1">IFERROR(__xludf.DUMMYFUNCTION("""COMPUTED_VALUE"""),40)</f>
        <v>40</v>
      </c>
      <c r="H25" s="1">
        <f ca="1">IFERROR(__xludf.DUMMYFUNCTION("""COMPUTED_VALUE"""),94.1)</f>
        <v>94.1</v>
      </c>
      <c r="I25" s="1">
        <f ca="1">IFERROR(__xludf.DUMMYFUNCTION("""COMPUTED_VALUE"""),28)</f>
        <v>28</v>
      </c>
      <c r="J25" s="1">
        <f ca="1">IFERROR(__xludf.DUMMYFUNCTION("""COMPUTED_VALUE"""),68.4)</f>
        <v>68.400000000000006</v>
      </c>
      <c r="K25" s="1">
        <f ca="1">IFERROR(__xludf.DUMMYFUNCTION("""COMPUTED_VALUE"""),44)</f>
        <v>44</v>
      </c>
      <c r="L25" s="1">
        <f ca="1">IFERROR(__xludf.DUMMYFUNCTION("""COMPUTED_VALUE"""),-0.006)</f>
        <v>-6.0000000000000001E-3</v>
      </c>
      <c r="M25" s="1">
        <f ca="1">IFERROR(__xludf.DUMMYFUNCTION("""COMPUTED_VALUE"""),196)</f>
        <v>196</v>
      </c>
      <c r="N25" s="1">
        <f ca="1">IFERROR(__xludf.DUMMYFUNCTION("""COMPUTED_VALUE"""),-4.71)</f>
        <v>-4.71</v>
      </c>
      <c r="O25" s="1">
        <f ca="1">IFERROR(__xludf.DUMMYFUNCTION("""COMPUTED_VALUE"""),270)</f>
        <v>270</v>
      </c>
      <c r="P25" s="1">
        <f ca="1">IFERROR(__xludf.DUMMYFUNCTION("""COMPUTED_VALUE"""),100.5)</f>
        <v>100.5</v>
      </c>
      <c r="Q25" s="1">
        <f ca="1">IFERROR(__xludf.DUMMYFUNCTION("""COMPUTED_VALUE"""),279)</f>
        <v>279</v>
      </c>
      <c r="R25" s="1">
        <f ca="1">IFERROR(__xludf.DUMMYFUNCTION("""COMPUTED_VALUE"""),105.2)</f>
        <v>105.2</v>
      </c>
      <c r="S25" s="1">
        <f ca="1">IFERROR(__xludf.DUMMYFUNCTION("""COMPUTED_VALUE"""),245)</f>
        <v>245</v>
      </c>
      <c r="T25" s="1">
        <f ca="1">IFERROR(__xludf.DUMMYFUNCTION("""COMPUTED_VALUE"""),-1.05)</f>
        <v>-1.05</v>
      </c>
      <c r="U25" s="1">
        <f ca="1">IFERROR(__xludf.DUMMYFUNCTION("""COMPUTED_VALUE"""),184)</f>
        <v>184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IFERROR(__xludf.DUMMYFUNCTION("""COMPUTED_VALUE"""),"George Mason8")</f>
        <v>George Mason8</v>
      </c>
      <c r="C26" s="1" t="str">
        <f ca="1">IFERROR(__xludf.DUMMYFUNCTION("""COMPUTED_VALUE"""),"CAA")</f>
        <v>CAA</v>
      </c>
      <c r="D26" s="1" t="str">
        <f ca="1">IFERROR(__xludf.DUMMYFUNCTION("""COMPUTED_VALUE"""),"27-7")</f>
        <v>27-7</v>
      </c>
      <c r="E26" s="1" t="str">
        <f ca="1">IFERROR(__xludf.DUMMYFUNCTION("""COMPUTED_VALUE"""),"+18.30")</f>
        <v>+18.30</v>
      </c>
      <c r="F26" s="1">
        <f ca="1">IFERROR(__xludf.DUMMYFUNCTION("""COMPUTED_VALUE"""),114.1)</f>
        <v>114.1</v>
      </c>
      <c r="G26" s="1">
        <f ca="1">IFERROR(__xludf.DUMMYFUNCTION("""COMPUTED_VALUE"""),29)</f>
        <v>29</v>
      </c>
      <c r="H26" s="1">
        <f ca="1">IFERROR(__xludf.DUMMYFUNCTION("""COMPUTED_VALUE"""),95.8)</f>
        <v>95.8</v>
      </c>
      <c r="I26" s="1">
        <f ca="1">IFERROR(__xludf.DUMMYFUNCTION("""COMPUTED_VALUE"""),45)</f>
        <v>45</v>
      </c>
      <c r="J26" s="1">
        <f ca="1">IFERROR(__xludf.DUMMYFUNCTION("""COMPUTED_VALUE"""),64.5)</f>
        <v>64.5</v>
      </c>
      <c r="K26" s="1">
        <f ca="1">IFERROR(__xludf.DUMMYFUNCTION("""COMPUTED_VALUE"""),217)</f>
        <v>217</v>
      </c>
      <c r="L26" s="1" t="str">
        <f ca="1">IFERROR(__xludf.DUMMYFUNCTION("""COMPUTED_VALUE"""),"+.028")</f>
        <v>+.028</v>
      </c>
      <c r="M26" s="1">
        <f ca="1">IFERROR(__xludf.DUMMYFUNCTION("""COMPUTED_VALUE"""),108)</f>
        <v>108</v>
      </c>
      <c r="N26" s="1" t="str">
        <f ca="1">IFERROR(__xludf.DUMMYFUNCTION("""COMPUTED_VALUE"""),"+2.06")</f>
        <v>+2.06</v>
      </c>
      <c r="O26" s="1">
        <f ca="1">IFERROR(__xludf.DUMMYFUNCTION("""COMPUTED_VALUE"""),105)</f>
        <v>105</v>
      </c>
      <c r="P26" s="1">
        <f ca="1">IFERROR(__xludf.DUMMYFUNCTION("""COMPUTED_VALUE"""),105)</f>
        <v>105</v>
      </c>
      <c r="Q26" s="1">
        <f ca="1">IFERROR(__xludf.DUMMYFUNCTION("""COMPUTED_VALUE"""),93)</f>
        <v>93</v>
      </c>
      <c r="R26" s="1">
        <f ca="1">IFERROR(__xludf.DUMMYFUNCTION("""COMPUTED_VALUE"""),103)</f>
        <v>103</v>
      </c>
      <c r="S26" s="1">
        <f ca="1">IFERROR(__xludf.DUMMYFUNCTION("""COMPUTED_VALUE"""),135)</f>
        <v>135</v>
      </c>
      <c r="T26" s="1" t="str">
        <f ca="1">IFERROR(__xludf.DUMMYFUNCTION("""COMPUTED_VALUE"""),"+0.66")</f>
        <v>+0.66</v>
      </c>
      <c r="U26" s="1">
        <f ca="1">IFERROR(__xludf.DUMMYFUNCTION("""COMPUTED_VALUE"""),140)</f>
        <v>140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IFERROR(__xludf.DUMMYFUNCTION("""COMPUTED_VALUE"""),"Clemson12")</f>
        <v>Clemson12</v>
      </c>
      <c r="C27" s="1" t="str">
        <f ca="1">IFERROR(__xludf.DUMMYFUNCTION("""COMPUTED_VALUE"""),"ACC")</f>
        <v>ACC</v>
      </c>
      <c r="D27" s="1" t="str">
        <f ca="1">IFERROR(__xludf.DUMMYFUNCTION("""COMPUTED_VALUE"""),"22-12")</f>
        <v>22-12</v>
      </c>
      <c r="E27" s="1" t="str">
        <f ca="1">IFERROR(__xludf.DUMMYFUNCTION("""COMPUTED_VALUE"""),"+18.16")</f>
        <v>+18.16</v>
      </c>
      <c r="F27" s="1">
        <f ca="1">IFERROR(__xludf.DUMMYFUNCTION("""COMPUTED_VALUE"""),109.6)</f>
        <v>109.6</v>
      </c>
      <c r="G27" s="1">
        <f ca="1">IFERROR(__xludf.DUMMYFUNCTION("""COMPUTED_VALUE"""),71)</f>
        <v>71</v>
      </c>
      <c r="H27" s="1">
        <f ca="1">IFERROR(__xludf.DUMMYFUNCTION("""COMPUTED_VALUE"""),91.5)</f>
        <v>91.5</v>
      </c>
      <c r="I27" s="1">
        <f ca="1">IFERROR(__xludf.DUMMYFUNCTION("""COMPUTED_VALUE"""),11)</f>
        <v>11</v>
      </c>
      <c r="J27" s="1">
        <f ca="1">IFERROR(__xludf.DUMMYFUNCTION("""COMPUTED_VALUE"""),63.9)</f>
        <v>63.9</v>
      </c>
      <c r="K27" s="1">
        <f ca="1">IFERROR(__xludf.DUMMYFUNCTION("""COMPUTED_VALUE"""),248)</f>
        <v>248</v>
      </c>
      <c r="L27" s="1">
        <f ca="1">IFERROR(__xludf.DUMMYFUNCTION("""COMPUTED_VALUE"""),-0.087)</f>
        <v>-8.6999999999999994E-2</v>
      </c>
      <c r="M27" s="1">
        <f ca="1">IFERROR(__xludf.DUMMYFUNCTION("""COMPUTED_VALUE"""),329)</f>
        <v>329</v>
      </c>
      <c r="N27" s="1" t="str">
        <f ca="1">IFERROR(__xludf.DUMMYFUNCTION("""COMPUTED_VALUE"""),"+6.99")</f>
        <v>+6.99</v>
      </c>
      <c r="O27" s="1">
        <f ca="1">IFERROR(__xludf.DUMMYFUNCTION("""COMPUTED_VALUE"""),45)</f>
        <v>45</v>
      </c>
      <c r="P27" s="1">
        <f ca="1">IFERROR(__xludf.DUMMYFUNCTION("""COMPUTED_VALUE"""),106.7)</f>
        <v>106.7</v>
      </c>
      <c r="Q27" s="1">
        <f ca="1">IFERROR(__xludf.DUMMYFUNCTION("""COMPUTED_VALUE"""),53)</f>
        <v>53</v>
      </c>
      <c r="R27" s="1">
        <f ca="1">IFERROR(__xludf.DUMMYFUNCTION("""COMPUTED_VALUE"""),99.7)</f>
        <v>99.7</v>
      </c>
      <c r="S27" s="1">
        <f ca="1">IFERROR(__xludf.DUMMYFUNCTION("""COMPUTED_VALUE"""),33)</f>
        <v>33</v>
      </c>
      <c r="T27" s="1">
        <f ca="1">IFERROR(__xludf.DUMMYFUNCTION("""COMPUTED_VALUE"""),-2.81)</f>
        <v>-2.81</v>
      </c>
      <c r="U27" s="1">
        <f ca="1">IFERROR(__xludf.DUMMYFUNCTION("""COMPUTED_VALUE"""),230)</f>
        <v>230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IFERROR(__xludf.DUMMYFUNCTION("""COMPUTED_VALUE"""),"Marquette11")</f>
        <v>Marquette11</v>
      </c>
      <c r="C28" s="1" t="str">
        <f ca="1">IFERROR(__xludf.DUMMYFUNCTION("""COMPUTED_VALUE"""),"BE")</f>
        <v>BE</v>
      </c>
      <c r="D28" s="1" t="str">
        <f ca="1">IFERROR(__xludf.DUMMYFUNCTION("""COMPUTED_VALUE"""),"22-15")</f>
        <v>22-15</v>
      </c>
      <c r="E28" s="1" t="str">
        <f ca="1">IFERROR(__xludf.DUMMYFUNCTION("""COMPUTED_VALUE"""),"+18.14")</f>
        <v>+18.14</v>
      </c>
      <c r="F28" s="1">
        <f ca="1">IFERROR(__xludf.DUMMYFUNCTION("""COMPUTED_VALUE"""),115.5)</f>
        <v>115.5</v>
      </c>
      <c r="G28" s="1">
        <f ca="1">IFERROR(__xludf.DUMMYFUNCTION("""COMPUTED_VALUE"""),22)</f>
        <v>22</v>
      </c>
      <c r="H28" s="1">
        <f ca="1">IFERROR(__xludf.DUMMYFUNCTION("""COMPUTED_VALUE"""),97.3)</f>
        <v>97.3</v>
      </c>
      <c r="I28" s="1">
        <f ca="1">IFERROR(__xludf.DUMMYFUNCTION("""COMPUTED_VALUE"""),62)</f>
        <v>62</v>
      </c>
      <c r="J28" s="1">
        <f ca="1">IFERROR(__xludf.DUMMYFUNCTION("""COMPUTED_VALUE"""),66.2)</f>
        <v>66.2</v>
      </c>
      <c r="K28" s="1">
        <f ca="1">IFERROR(__xludf.DUMMYFUNCTION("""COMPUTED_VALUE"""),116)</f>
        <v>116</v>
      </c>
      <c r="L28" s="1">
        <f ca="1">IFERROR(__xludf.DUMMYFUNCTION("""COMPUTED_VALUE"""),-0.058)</f>
        <v>-5.8000000000000003E-2</v>
      </c>
      <c r="M28" s="1">
        <f ca="1">IFERROR(__xludf.DUMMYFUNCTION("""COMPUTED_VALUE"""),306)</f>
        <v>306</v>
      </c>
      <c r="N28" s="1" t="str">
        <f ca="1">IFERROR(__xludf.DUMMYFUNCTION("""COMPUTED_VALUE"""),"+11.06")</f>
        <v>+11.06</v>
      </c>
      <c r="O28" s="1">
        <f ca="1">IFERROR(__xludf.DUMMYFUNCTION("""COMPUTED_VALUE"""),9)</f>
        <v>9</v>
      </c>
      <c r="P28" s="1">
        <f ca="1">IFERROR(__xludf.DUMMYFUNCTION("""COMPUTED_VALUE"""),109.4)</f>
        <v>109.4</v>
      </c>
      <c r="Q28" s="1">
        <f ca="1">IFERROR(__xludf.DUMMYFUNCTION("""COMPUTED_VALUE"""),13)</f>
        <v>13</v>
      </c>
      <c r="R28" s="1">
        <f ca="1">IFERROR(__xludf.DUMMYFUNCTION("""COMPUTED_VALUE"""),98.4)</f>
        <v>98.4</v>
      </c>
      <c r="S28" s="1">
        <f ca="1">IFERROR(__xludf.DUMMYFUNCTION("""COMPUTED_VALUE"""),9)</f>
        <v>9</v>
      </c>
      <c r="T28" s="1">
        <f ca="1">IFERROR(__xludf.DUMMYFUNCTION("""COMPUTED_VALUE"""),-5.91)</f>
        <v>-5.91</v>
      </c>
      <c r="U28" s="1">
        <f ca="1">IFERROR(__xludf.DUMMYFUNCTION("""COMPUTED_VALUE"""),308)</f>
        <v>308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IFERROR(__xludf.DUMMYFUNCTION("""COMPUTED_VALUE"""),"Wichita St.4")</f>
        <v>Wichita St.4</v>
      </c>
      <c r="C29" s="1" t="str">
        <f ca="1">IFERROR(__xludf.DUMMYFUNCTION("""COMPUTED_VALUE"""),"MVC")</f>
        <v>MVC</v>
      </c>
      <c r="D29" s="1" t="str">
        <f ca="1">IFERROR(__xludf.DUMMYFUNCTION("""COMPUTED_VALUE"""),"29-8")</f>
        <v>29-8</v>
      </c>
      <c r="E29" s="1" t="str">
        <f ca="1">IFERROR(__xludf.DUMMYFUNCTION("""COMPUTED_VALUE"""),"+17.94")</f>
        <v>+17.94</v>
      </c>
      <c r="F29" s="1">
        <f ca="1">IFERROR(__xludf.DUMMYFUNCTION("""COMPUTED_VALUE"""),113.9)</f>
        <v>113.9</v>
      </c>
      <c r="G29" s="1">
        <f ca="1">IFERROR(__xludf.DUMMYFUNCTION("""COMPUTED_VALUE"""),31)</f>
        <v>31</v>
      </c>
      <c r="H29" s="1">
        <f ca="1">IFERROR(__xludf.DUMMYFUNCTION("""COMPUTED_VALUE"""),95.9)</f>
        <v>95.9</v>
      </c>
      <c r="I29" s="1">
        <f ca="1">IFERROR(__xludf.DUMMYFUNCTION("""COMPUTED_VALUE"""),48)</f>
        <v>48</v>
      </c>
      <c r="J29" s="1">
        <f ca="1">IFERROR(__xludf.DUMMYFUNCTION("""COMPUTED_VALUE"""),64.9)</f>
        <v>64.900000000000006</v>
      </c>
      <c r="K29" s="1">
        <f ca="1">IFERROR(__xludf.DUMMYFUNCTION("""COMPUTED_VALUE"""),193)</f>
        <v>193</v>
      </c>
      <c r="L29" s="1">
        <f ca="1">IFERROR(__xludf.DUMMYFUNCTION("""COMPUTED_VALUE"""),-0.041)</f>
        <v>-4.1000000000000002E-2</v>
      </c>
      <c r="M29" s="1">
        <f ca="1">IFERROR(__xludf.DUMMYFUNCTION("""COMPUTED_VALUE"""),280)</f>
        <v>280</v>
      </c>
      <c r="N29" s="1" t="str">
        <f ca="1">IFERROR(__xludf.DUMMYFUNCTION("""COMPUTED_VALUE"""),"+0.89")</f>
        <v>+0.89</v>
      </c>
      <c r="O29" s="1">
        <f ca="1">IFERROR(__xludf.DUMMYFUNCTION("""COMPUTED_VALUE"""),133)</f>
        <v>133</v>
      </c>
      <c r="P29" s="1">
        <f ca="1">IFERROR(__xludf.DUMMYFUNCTION("""COMPUTED_VALUE"""),102.9)</f>
        <v>102.9</v>
      </c>
      <c r="Q29" s="1">
        <f ca="1">IFERROR(__xludf.DUMMYFUNCTION("""COMPUTED_VALUE"""),181)</f>
        <v>181</v>
      </c>
      <c r="R29" s="1">
        <f ca="1">IFERROR(__xludf.DUMMYFUNCTION("""COMPUTED_VALUE"""),102)</f>
        <v>102</v>
      </c>
      <c r="S29" s="1">
        <f ca="1">IFERROR(__xludf.DUMMYFUNCTION("""COMPUTED_VALUE"""),96)</f>
        <v>96</v>
      </c>
      <c r="T29" s="1">
        <f ca="1">IFERROR(__xludf.DUMMYFUNCTION("""COMPUTED_VALUE"""),-4.72)</f>
        <v>-4.72</v>
      </c>
      <c r="U29" s="1">
        <f ca="1">IFERROR(__xludf.DUMMYFUNCTION("""COMPUTED_VALUE"""),279)</f>
        <v>279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IFERROR(__xludf.DUMMYFUNCTION("""COMPUTED_VALUE"""),"Villanova9")</f>
        <v>Villanova9</v>
      </c>
      <c r="C30" s="1" t="str">
        <f ca="1">IFERROR(__xludf.DUMMYFUNCTION("""COMPUTED_VALUE"""),"BE")</f>
        <v>BE</v>
      </c>
      <c r="D30" s="1" t="str">
        <f ca="1">IFERROR(__xludf.DUMMYFUNCTION("""COMPUTED_VALUE"""),"21-12")</f>
        <v>21-12</v>
      </c>
      <c r="E30" s="1" t="str">
        <f ca="1">IFERROR(__xludf.DUMMYFUNCTION("""COMPUTED_VALUE"""),"+17.83")</f>
        <v>+17.83</v>
      </c>
      <c r="F30" s="1">
        <f ca="1">IFERROR(__xludf.DUMMYFUNCTION("""COMPUTED_VALUE"""),114.9)</f>
        <v>114.9</v>
      </c>
      <c r="G30" s="1">
        <f ca="1">IFERROR(__xludf.DUMMYFUNCTION("""COMPUTED_VALUE"""),25)</f>
        <v>25</v>
      </c>
      <c r="H30" s="1">
        <f ca="1">IFERROR(__xludf.DUMMYFUNCTION("""COMPUTED_VALUE"""),97)</f>
        <v>97</v>
      </c>
      <c r="I30" s="1">
        <f ca="1">IFERROR(__xludf.DUMMYFUNCTION("""COMPUTED_VALUE"""),59)</f>
        <v>59</v>
      </c>
      <c r="J30" s="1">
        <f ca="1">IFERROR(__xludf.DUMMYFUNCTION("""COMPUTED_VALUE"""),65)</f>
        <v>65</v>
      </c>
      <c r="K30" s="1">
        <f ca="1">IFERROR(__xludf.DUMMYFUNCTION("""COMPUTED_VALUE"""),182)</f>
        <v>182</v>
      </c>
      <c r="L30" s="1">
        <f ca="1">IFERROR(__xludf.DUMMYFUNCTION("""COMPUTED_VALUE"""),-0.04)</f>
        <v>-0.04</v>
      </c>
      <c r="M30" s="1">
        <f ca="1">IFERROR(__xludf.DUMMYFUNCTION("""COMPUTED_VALUE"""),278)</f>
        <v>278</v>
      </c>
      <c r="N30" s="1" t="str">
        <f ca="1">IFERROR(__xludf.DUMMYFUNCTION("""COMPUTED_VALUE"""),"+9.07")</f>
        <v>+9.07</v>
      </c>
      <c r="O30" s="1">
        <f ca="1">IFERROR(__xludf.DUMMYFUNCTION("""COMPUTED_VALUE"""),21)</f>
        <v>21</v>
      </c>
      <c r="P30" s="1">
        <f ca="1">IFERROR(__xludf.DUMMYFUNCTION("""COMPUTED_VALUE"""),108.3)</f>
        <v>108.3</v>
      </c>
      <c r="Q30" s="1">
        <f ca="1">IFERROR(__xludf.DUMMYFUNCTION("""COMPUTED_VALUE"""),25)</f>
        <v>25</v>
      </c>
      <c r="R30" s="1">
        <f ca="1">IFERROR(__xludf.DUMMYFUNCTION("""COMPUTED_VALUE"""),99.3)</f>
        <v>99.3</v>
      </c>
      <c r="S30" s="1">
        <f ca="1">IFERROR(__xludf.DUMMYFUNCTION("""COMPUTED_VALUE"""),22)</f>
        <v>22</v>
      </c>
      <c r="T30" s="1">
        <f ca="1">IFERROR(__xludf.DUMMYFUNCTION("""COMPUTED_VALUE"""),-0.79)</f>
        <v>-0.79</v>
      </c>
      <c r="U30" s="1">
        <f ca="1">IFERROR(__xludf.DUMMYFUNCTION("""COMPUTED_VALUE"""),181)</f>
        <v>181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IFERROR(__xludf.DUMMYFUNCTION("""COMPUTED_VALUE"""),"UNLV8")</f>
        <v>UNLV8</v>
      </c>
      <c r="C31" s="1" t="str">
        <f ca="1">IFERROR(__xludf.DUMMYFUNCTION("""COMPUTED_VALUE"""),"MWC")</f>
        <v>MWC</v>
      </c>
      <c r="D31" s="1" t="str">
        <f ca="1">IFERROR(__xludf.DUMMYFUNCTION("""COMPUTED_VALUE"""),"24-9")</f>
        <v>24-9</v>
      </c>
      <c r="E31" s="1" t="str">
        <f ca="1">IFERROR(__xludf.DUMMYFUNCTION("""COMPUTED_VALUE"""),"+17.75")</f>
        <v>+17.75</v>
      </c>
      <c r="F31" s="1">
        <f ca="1">IFERROR(__xludf.DUMMYFUNCTION("""COMPUTED_VALUE"""),110.6)</f>
        <v>110.6</v>
      </c>
      <c r="G31" s="1">
        <f ca="1">IFERROR(__xludf.DUMMYFUNCTION("""COMPUTED_VALUE"""),57)</f>
        <v>57</v>
      </c>
      <c r="H31" s="1">
        <f ca="1">IFERROR(__xludf.DUMMYFUNCTION("""COMPUTED_VALUE"""),92.9)</f>
        <v>92.9</v>
      </c>
      <c r="I31" s="1">
        <f ca="1">IFERROR(__xludf.DUMMYFUNCTION("""COMPUTED_VALUE"""),21)</f>
        <v>21</v>
      </c>
      <c r="J31" s="1">
        <f ca="1">IFERROR(__xludf.DUMMYFUNCTION("""COMPUTED_VALUE"""),66.4)</f>
        <v>66.400000000000006</v>
      </c>
      <c r="K31" s="1">
        <f ca="1">IFERROR(__xludf.DUMMYFUNCTION("""COMPUTED_VALUE"""),110)</f>
        <v>110</v>
      </c>
      <c r="L31" s="1" t="str">
        <f ca="1">IFERROR(__xludf.DUMMYFUNCTION("""COMPUTED_VALUE"""),"+.003")</f>
        <v>+.003</v>
      </c>
      <c r="M31" s="1">
        <f ca="1">IFERROR(__xludf.DUMMYFUNCTION("""COMPUTED_VALUE"""),170)</f>
        <v>170</v>
      </c>
      <c r="N31" s="1" t="str">
        <f ca="1">IFERROR(__xludf.DUMMYFUNCTION("""COMPUTED_VALUE"""),"+5.99")</f>
        <v>+5.99</v>
      </c>
      <c r="O31" s="1">
        <f ca="1">IFERROR(__xludf.DUMMYFUNCTION("""COMPUTED_VALUE"""),58)</f>
        <v>58</v>
      </c>
      <c r="P31" s="1">
        <f ca="1">IFERROR(__xludf.DUMMYFUNCTION("""COMPUTED_VALUE"""),106.2)</f>
        <v>106.2</v>
      </c>
      <c r="Q31" s="1">
        <f ca="1">IFERROR(__xludf.DUMMYFUNCTION("""COMPUTED_VALUE"""),66)</f>
        <v>66</v>
      </c>
      <c r="R31" s="1">
        <f ca="1">IFERROR(__xludf.DUMMYFUNCTION("""COMPUTED_VALUE"""),100.2)</f>
        <v>100.2</v>
      </c>
      <c r="S31" s="1">
        <f ca="1">IFERROR(__xludf.DUMMYFUNCTION("""COMPUTED_VALUE"""),52)</f>
        <v>52</v>
      </c>
      <c r="T31" s="1" t="str">
        <f ca="1">IFERROR(__xludf.DUMMYFUNCTION("""COMPUTED_VALUE"""),"+1.85")</f>
        <v>+1.85</v>
      </c>
      <c r="U31" s="1">
        <f ca="1">IFERROR(__xludf.DUMMYFUNCTION("""COMPUTED_VALUE"""),98)</f>
        <v>98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IFERROR(__xludf.DUMMYFUNCTION("""COMPUTED_VALUE"""),"Michigan8")</f>
        <v>Michigan8</v>
      </c>
      <c r="C32" s="1" t="str">
        <f ca="1">IFERROR(__xludf.DUMMYFUNCTION("""COMPUTED_VALUE"""),"B10")</f>
        <v>B10</v>
      </c>
      <c r="D32" s="1" t="str">
        <f ca="1">IFERROR(__xludf.DUMMYFUNCTION("""COMPUTED_VALUE"""),"21-14")</f>
        <v>21-14</v>
      </c>
      <c r="E32" s="1" t="str">
        <f ca="1">IFERROR(__xludf.DUMMYFUNCTION("""COMPUTED_VALUE"""),"+17.69")</f>
        <v>+17.69</v>
      </c>
      <c r="F32" s="1">
        <f ca="1">IFERROR(__xludf.DUMMYFUNCTION("""COMPUTED_VALUE"""),112.8)</f>
        <v>112.8</v>
      </c>
      <c r="G32" s="1">
        <f ca="1">IFERROR(__xludf.DUMMYFUNCTION("""COMPUTED_VALUE"""),39)</f>
        <v>39</v>
      </c>
      <c r="H32" s="1">
        <f ca="1">IFERROR(__xludf.DUMMYFUNCTION("""COMPUTED_VALUE"""),95.1)</f>
        <v>95.1</v>
      </c>
      <c r="I32" s="1">
        <f ca="1">IFERROR(__xludf.DUMMYFUNCTION("""COMPUTED_VALUE"""),37)</f>
        <v>37</v>
      </c>
      <c r="J32" s="1">
        <f ca="1">IFERROR(__xludf.DUMMYFUNCTION("""COMPUTED_VALUE"""),61.5)</f>
        <v>61.5</v>
      </c>
      <c r="K32" s="1">
        <f ca="1">IFERROR(__xludf.DUMMYFUNCTION("""COMPUTED_VALUE"""),322)</f>
        <v>322</v>
      </c>
      <c r="L32" s="1">
        <f ca="1">IFERROR(__xludf.DUMMYFUNCTION("""COMPUTED_VALUE"""),-0.014)</f>
        <v>-1.4E-2</v>
      </c>
      <c r="M32" s="1">
        <f ca="1">IFERROR(__xludf.DUMMYFUNCTION("""COMPUTED_VALUE"""),218)</f>
        <v>218</v>
      </c>
      <c r="N32" s="1" t="str">
        <f ca="1">IFERROR(__xludf.DUMMYFUNCTION("""COMPUTED_VALUE"""),"+12.00")</f>
        <v>+12.00</v>
      </c>
      <c r="O32" s="1">
        <f ca="1">IFERROR(__xludf.DUMMYFUNCTION("""COMPUTED_VALUE"""),7)</f>
        <v>7</v>
      </c>
      <c r="P32" s="1">
        <f ca="1">IFERROR(__xludf.DUMMYFUNCTION("""COMPUTED_VALUE"""),110.7)</f>
        <v>110.7</v>
      </c>
      <c r="Q32" s="1">
        <f ca="1">IFERROR(__xludf.DUMMYFUNCTION("""COMPUTED_VALUE"""),4)</f>
        <v>4</v>
      </c>
      <c r="R32" s="1">
        <f ca="1">IFERROR(__xludf.DUMMYFUNCTION("""COMPUTED_VALUE"""),98.7)</f>
        <v>98.7</v>
      </c>
      <c r="S32" s="1">
        <f ca="1">IFERROR(__xludf.DUMMYFUNCTION("""COMPUTED_VALUE"""),13)</f>
        <v>13</v>
      </c>
      <c r="T32" s="1">
        <f ca="1">IFERROR(__xludf.DUMMYFUNCTION("""COMPUTED_VALUE"""),-1.19)</f>
        <v>-1.19</v>
      </c>
      <c r="U32" s="1">
        <f ca="1">IFERROR(__xludf.DUMMYFUNCTION("""COMPUTED_VALUE"""),189)</f>
        <v>189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IFERROR(__xludf.DUMMYFUNCTION("""COMPUTED_VALUE"""),"Georgetown6")</f>
        <v>Georgetown6</v>
      </c>
      <c r="C33" s="1" t="str">
        <f ca="1">IFERROR(__xludf.DUMMYFUNCTION("""COMPUTED_VALUE"""),"BE")</f>
        <v>BE</v>
      </c>
      <c r="D33" s="1" t="str">
        <f ca="1">IFERROR(__xludf.DUMMYFUNCTION("""COMPUTED_VALUE"""),"21-11")</f>
        <v>21-11</v>
      </c>
      <c r="E33" s="1" t="str">
        <f ca="1">IFERROR(__xludf.DUMMYFUNCTION("""COMPUTED_VALUE"""),"+17.65")</f>
        <v>+17.65</v>
      </c>
      <c r="F33" s="1">
        <f ca="1">IFERROR(__xludf.DUMMYFUNCTION("""COMPUTED_VALUE"""),114.2)</f>
        <v>114.2</v>
      </c>
      <c r="G33" s="1">
        <f ca="1">IFERROR(__xludf.DUMMYFUNCTION("""COMPUTED_VALUE"""),27)</f>
        <v>27</v>
      </c>
      <c r="H33" s="1">
        <f ca="1">IFERROR(__xludf.DUMMYFUNCTION("""COMPUTED_VALUE"""),96.6)</f>
        <v>96.6</v>
      </c>
      <c r="I33" s="1">
        <f ca="1">IFERROR(__xludf.DUMMYFUNCTION("""COMPUTED_VALUE"""),55)</f>
        <v>55</v>
      </c>
      <c r="J33" s="1">
        <f ca="1">IFERROR(__xludf.DUMMYFUNCTION("""COMPUTED_VALUE"""),63.4)</f>
        <v>63.4</v>
      </c>
      <c r="K33" s="1">
        <f ca="1">IFERROR(__xludf.DUMMYFUNCTION("""COMPUTED_VALUE"""),265)</f>
        <v>265</v>
      </c>
      <c r="L33" s="1" t="str">
        <f ca="1">IFERROR(__xludf.DUMMYFUNCTION("""COMPUTED_VALUE"""),"+.048")</f>
        <v>+.048</v>
      </c>
      <c r="M33" s="1">
        <f ca="1">IFERROR(__xludf.DUMMYFUNCTION("""COMPUTED_VALUE"""),60)</f>
        <v>60</v>
      </c>
      <c r="N33" s="1" t="str">
        <f ca="1">IFERROR(__xludf.DUMMYFUNCTION("""COMPUTED_VALUE"""),"+12.51")</f>
        <v>+12.51</v>
      </c>
      <c r="O33" s="1">
        <f ca="1">IFERROR(__xludf.DUMMYFUNCTION("""COMPUTED_VALUE"""),4)</f>
        <v>4</v>
      </c>
      <c r="P33" s="1">
        <f ca="1">IFERROR(__xludf.DUMMYFUNCTION("""COMPUTED_VALUE"""),110.2)</f>
        <v>110.2</v>
      </c>
      <c r="Q33" s="1">
        <f ca="1">IFERROR(__xludf.DUMMYFUNCTION("""COMPUTED_VALUE"""),6)</f>
        <v>6</v>
      </c>
      <c r="R33" s="1">
        <f ca="1">IFERROR(__xludf.DUMMYFUNCTION("""COMPUTED_VALUE"""),97.7)</f>
        <v>97.7</v>
      </c>
      <c r="S33" s="1">
        <f ca="1">IFERROR(__xludf.DUMMYFUNCTION("""COMPUTED_VALUE"""),3)</f>
        <v>3</v>
      </c>
      <c r="T33" s="1" t="str">
        <f ca="1">IFERROR(__xludf.DUMMYFUNCTION("""COMPUTED_VALUE"""),"+5.80")</f>
        <v>+5.80</v>
      </c>
      <c r="U33" s="1">
        <f ca="1">IFERROR(__xludf.DUMMYFUNCTION("""COMPUTED_VALUE"""),39)</f>
        <v>39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IFERROR(__xludf.DUMMYFUNCTION("""COMPUTED_VALUE"""),"Kansas St.5")</f>
        <v>Kansas St.5</v>
      </c>
      <c r="C34" s="1" t="str">
        <f ca="1">IFERROR(__xludf.DUMMYFUNCTION("""COMPUTED_VALUE"""),"B12")</f>
        <v>B12</v>
      </c>
      <c r="D34" s="1" t="str">
        <f ca="1">IFERROR(__xludf.DUMMYFUNCTION("""COMPUTED_VALUE"""),"23-11")</f>
        <v>23-11</v>
      </c>
      <c r="E34" s="1" t="str">
        <f ca="1">IFERROR(__xludf.DUMMYFUNCTION("""COMPUTED_VALUE"""),"+17.42")</f>
        <v>+17.42</v>
      </c>
      <c r="F34" s="1">
        <f ca="1">IFERROR(__xludf.DUMMYFUNCTION("""COMPUTED_VALUE"""),111.1)</f>
        <v>111.1</v>
      </c>
      <c r="G34" s="1">
        <f ca="1">IFERROR(__xludf.DUMMYFUNCTION("""COMPUTED_VALUE"""),56)</f>
        <v>56</v>
      </c>
      <c r="H34" s="1">
        <f ca="1">IFERROR(__xludf.DUMMYFUNCTION("""COMPUTED_VALUE"""),93.6)</f>
        <v>93.6</v>
      </c>
      <c r="I34" s="1">
        <f ca="1">IFERROR(__xludf.DUMMYFUNCTION("""COMPUTED_VALUE"""),25)</f>
        <v>25</v>
      </c>
      <c r="J34" s="1">
        <f ca="1">IFERROR(__xludf.DUMMYFUNCTION("""COMPUTED_VALUE"""),66.4)</f>
        <v>66.400000000000006</v>
      </c>
      <c r="K34" s="1">
        <f ca="1">IFERROR(__xludf.DUMMYFUNCTION("""COMPUTED_VALUE"""),106)</f>
        <v>106</v>
      </c>
      <c r="L34" s="1" t="str">
        <f ca="1">IFERROR(__xludf.DUMMYFUNCTION("""COMPUTED_VALUE"""),"+.010")</f>
        <v>+.010</v>
      </c>
      <c r="M34" s="1">
        <f ca="1">IFERROR(__xludf.DUMMYFUNCTION("""COMPUTED_VALUE"""),149)</f>
        <v>149</v>
      </c>
      <c r="N34" s="1" t="str">
        <f ca="1">IFERROR(__xludf.DUMMYFUNCTION("""COMPUTED_VALUE"""),"+9.23")</f>
        <v>+9.23</v>
      </c>
      <c r="O34" s="1">
        <f ca="1">IFERROR(__xludf.DUMMYFUNCTION("""COMPUTED_VALUE"""),19)</f>
        <v>19</v>
      </c>
      <c r="P34" s="1">
        <f ca="1">IFERROR(__xludf.DUMMYFUNCTION("""COMPUTED_VALUE"""),108.5)</f>
        <v>108.5</v>
      </c>
      <c r="Q34" s="1">
        <f ca="1">IFERROR(__xludf.DUMMYFUNCTION("""COMPUTED_VALUE"""),21)</f>
        <v>21</v>
      </c>
      <c r="R34" s="1">
        <f ca="1">IFERROR(__xludf.DUMMYFUNCTION("""COMPUTED_VALUE"""),99.3)</f>
        <v>99.3</v>
      </c>
      <c r="S34" s="1">
        <f ca="1">IFERROR(__xludf.DUMMYFUNCTION("""COMPUTED_VALUE"""),21)</f>
        <v>21</v>
      </c>
      <c r="T34" s="1" t="str">
        <f ca="1">IFERROR(__xludf.DUMMYFUNCTION("""COMPUTED_VALUE"""),"+0.73")</f>
        <v>+0.73</v>
      </c>
      <c r="U34" s="1">
        <f ca="1">IFERROR(__xludf.DUMMYFUNCTION("""COMPUTED_VALUE"""),135)</f>
        <v>135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IFERROR(__xludf.DUMMYFUNCTION("""COMPUTED_VALUE"""),"Vanderbilt5")</f>
        <v>Vanderbilt5</v>
      </c>
      <c r="C35" s="1" t="str">
        <f ca="1">IFERROR(__xludf.DUMMYFUNCTION("""COMPUTED_VALUE"""),"SEC")</f>
        <v>SEC</v>
      </c>
      <c r="D35" s="1" t="str">
        <f ca="1">IFERROR(__xludf.DUMMYFUNCTION("""COMPUTED_VALUE"""),"23-11")</f>
        <v>23-11</v>
      </c>
      <c r="E35" s="1" t="str">
        <f ca="1">IFERROR(__xludf.DUMMYFUNCTION("""COMPUTED_VALUE"""),"+17.33")</f>
        <v>+17.33</v>
      </c>
      <c r="F35" s="1">
        <f ca="1">IFERROR(__xludf.DUMMYFUNCTION("""COMPUTED_VALUE"""),116.6)</f>
        <v>116.6</v>
      </c>
      <c r="G35" s="1">
        <f ca="1">IFERROR(__xludf.DUMMYFUNCTION("""COMPUTED_VALUE"""),16)</f>
        <v>16</v>
      </c>
      <c r="H35" s="1">
        <f ca="1">IFERROR(__xludf.DUMMYFUNCTION("""COMPUTED_VALUE"""),99.2)</f>
        <v>99.2</v>
      </c>
      <c r="I35" s="1">
        <f ca="1">IFERROR(__xludf.DUMMYFUNCTION("""COMPUTED_VALUE"""),87)</f>
        <v>87</v>
      </c>
      <c r="J35" s="1">
        <f ca="1">IFERROR(__xludf.DUMMYFUNCTION("""COMPUTED_VALUE"""),66.1)</f>
        <v>66.099999999999994</v>
      </c>
      <c r="K35" s="1">
        <f ca="1">IFERROR(__xludf.DUMMYFUNCTION("""COMPUTED_VALUE"""),125)</f>
        <v>125</v>
      </c>
      <c r="L35" s="1">
        <f ca="1">IFERROR(__xludf.DUMMYFUNCTION("""COMPUTED_VALUE"""),-0.05)</f>
        <v>-0.05</v>
      </c>
      <c r="M35" s="1">
        <f ca="1">IFERROR(__xludf.DUMMYFUNCTION("""COMPUTED_VALUE"""),296)</f>
        <v>296</v>
      </c>
      <c r="N35" s="1" t="str">
        <f ca="1">IFERROR(__xludf.DUMMYFUNCTION("""COMPUTED_VALUE"""),"+6.66")</f>
        <v>+6.66</v>
      </c>
      <c r="O35" s="1">
        <f ca="1">IFERROR(__xludf.DUMMYFUNCTION("""COMPUTED_VALUE"""),50)</f>
        <v>50</v>
      </c>
      <c r="P35" s="1">
        <f ca="1">IFERROR(__xludf.DUMMYFUNCTION("""COMPUTED_VALUE"""),106.5)</f>
        <v>106.5</v>
      </c>
      <c r="Q35" s="1">
        <f ca="1">IFERROR(__xludf.DUMMYFUNCTION("""COMPUTED_VALUE"""),60)</f>
        <v>60</v>
      </c>
      <c r="R35" s="1">
        <f ca="1">IFERROR(__xludf.DUMMYFUNCTION("""COMPUTED_VALUE"""),99.8)</f>
        <v>99.8</v>
      </c>
      <c r="S35" s="1">
        <f ca="1">IFERROR(__xludf.DUMMYFUNCTION("""COMPUTED_VALUE"""),35)</f>
        <v>35</v>
      </c>
      <c r="T35" s="1" t="str">
        <f ca="1">IFERROR(__xludf.DUMMYFUNCTION("""COMPUTED_VALUE"""),"+2.52")</f>
        <v>+2.52</v>
      </c>
      <c r="U35" s="1">
        <f ca="1">IFERROR(__xludf.DUMMYFUNCTION("""COMPUTED_VALUE"""),84)</f>
        <v>84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IFERROR(__xludf.DUMMYFUNCTION("""COMPUTED_VALUE"""),"Temple7")</f>
        <v>Temple7</v>
      </c>
      <c r="C36" s="1" t="str">
        <f ca="1">IFERROR(__xludf.DUMMYFUNCTION("""COMPUTED_VALUE"""),"A10")</f>
        <v>A10</v>
      </c>
      <c r="D36" s="1" t="str">
        <f ca="1">IFERROR(__xludf.DUMMYFUNCTION("""COMPUTED_VALUE"""),"26-8")</f>
        <v>26-8</v>
      </c>
      <c r="E36" s="1" t="str">
        <f ca="1">IFERROR(__xludf.DUMMYFUNCTION("""COMPUTED_VALUE"""),"+16.84")</f>
        <v>+16.84</v>
      </c>
      <c r="F36" s="1">
        <f ca="1">IFERROR(__xludf.DUMMYFUNCTION("""COMPUTED_VALUE"""),110.5)</f>
        <v>110.5</v>
      </c>
      <c r="G36" s="1">
        <f ca="1">IFERROR(__xludf.DUMMYFUNCTION("""COMPUTED_VALUE"""),60)</f>
        <v>60</v>
      </c>
      <c r="H36" s="1">
        <f ca="1">IFERROR(__xludf.DUMMYFUNCTION("""COMPUTED_VALUE"""),93.7)</f>
        <v>93.7</v>
      </c>
      <c r="I36" s="1">
        <f ca="1">IFERROR(__xludf.DUMMYFUNCTION("""COMPUTED_VALUE"""),26)</f>
        <v>26</v>
      </c>
      <c r="J36" s="1">
        <f ca="1">IFERROR(__xludf.DUMMYFUNCTION("""COMPUTED_VALUE"""),64.2)</f>
        <v>64.2</v>
      </c>
      <c r="K36" s="1">
        <f ca="1">IFERROR(__xludf.DUMMYFUNCTION("""COMPUTED_VALUE"""),232)</f>
        <v>232</v>
      </c>
      <c r="L36" s="1" t="str">
        <f ca="1">IFERROR(__xludf.DUMMYFUNCTION("""COMPUTED_VALUE"""),"+.014")</f>
        <v>+.014</v>
      </c>
      <c r="M36" s="1">
        <f ca="1">IFERROR(__xludf.DUMMYFUNCTION("""COMPUTED_VALUE"""),144)</f>
        <v>144</v>
      </c>
      <c r="N36" s="1" t="str">
        <f ca="1">IFERROR(__xludf.DUMMYFUNCTION("""COMPUTED_VALUE"""),"+4.04")</f>
        <v>+4.04</v>
      </c>
      <c r="O36" s="1">
        <f ca="1">IFERROR(__xludf.DUMMYFUNCTION("""COMPUTED_VALUE"""),79)</f>
        <v>79</v>
      </c>
      <c r="P36" s="1">
        <f ca="1">IFERROR(__xludf.DUMMYFUNCTION("""COMPUTED_VALUE"""),105.5)</f>
        <v>105.5</v>
      </c>
      <c r="Q36" s="1">
        <f ca="1">IFERROR(__xludf.DUMMYFUNCTION("""COMPUTED_VALUE"""),82)</f>
        <v>82</v>
      </c>
      <c r="R36" s="1">
        <f ca="1">IFERROR(__xludf.DUMMYFUNCTION("""COMPUTED_VALUE"""),101.5)</f>
        <v>101.5</v>
      </c>
      <c r="S36" s="1">
        <f ca="1">IFERROR(__xludf.DUMMYFUNCTION("""COMPUTED_VALUE"""),82)</f>
        <v>82</v>
      </c>
      <c r="T36" s="1" t="str">
        <f ca="1">IFERROR(__xludf.DUMMYFUNCTION("""COMPUTED_VALUE"""),"+5.83")</f>
        <v>+5.83</v>
      </c>
      <c r="U36" s="1">
        <f ca="1">IFERROR(__xludf.DUMMYFUNCTION("""COMPUTED_VALUE"""),38)</f>
        <v>38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IFERROR(__xludf.DUMMYFUNCTION("""COMPUTED_VALUE"""),"Florida St.10")</f>
        <v>Florida St.10</v>
      </c>
      <c r="C37" s="1" t="str">
        <f ca="1">IFERROR(__xludf.DUMMYFUNCTION("""COMPUTED_VALUE"""),"ACC")</f>
        <v>ACC</v>
      </c>
      <c r="D37" s="1" t="str">
        <f ca="1">IFERROR(__xludf.DUMMYFUNCTION("""COMPUTED_VALUE"""),"23-11")</f>
        <v>23-11</v>
      </c>
      <c r="E37" s="1" t="str">
        <f ca="1">IFERROR(__xludf.DUMMYFUNCTION("""COMPUTED_VALUE"""),"+16.76")</f>
        <v>+16.76</v>
      </c>
      <c r="F37" s="1">
        <f ca="1">IFERROR(__xludf.DUMMYFUNCTION("""COMPUTED_VALUE"""),104.5)</f>
        <v>104.5</v>
      </c>
      <c r="G37" s="1">
        <f ca="1">IFERROR(__xludf.DUMMYFUNCTION("""COMPUTED_VALUE"""),147)</f>
        <v>147</v>
      </c>
      <c r="H37" s="1">
        <f ca="1">IFERROR(__xludf.DUMMYFUNCTION("""COMPUTED_VALUE"""),87.7)</f>
        <v>87.7</v>
      </c>
      <c r="I37" s="1">
        <f ca="1">IFERROR(__xludf.DUMMYFUNCTION("""COMPUTED_VALUE"""),1)</f>
        <v>1</v>
      </c>
      <c r="J37" s="1">
        <f ca="1">IFERROR(__xludf.DUMMYFUNCTION("""COMPUTED_VALUE"""),66.7)</f>
        <v>66.7</v>
      </c>
      <c r="K37" s="1">
        <f ca="1">IFERROR(__xludf.DUMMYFUNCTION("""COMPUTED_VALUE"""),95)</f>
        <v>95</v>
      </c>
      <c r="L37" s="1">
        <f ca="1">IFERROR(__xludf.DUMMYFUNCTION("""COMPUTED_VALUE"""),-0.017)</f>
        <v>-1.7000000000000001E-2</v>
      </c>
      <c r="M37" s="1">
        <f ca="1">IFERROR(__xludf.DUMMYFUNCTION("""COMPUTED_VALUE"""),225)</f>
        <v>225</v>
      </c>
      <c r="N37" s="1" t="str">
        <f ca="1">IFERROR(__xludf.DUMMYFUNCTION("""COMPUTED_VALUE"""),"+7.01")</f>
        <v>+7.01</v>
      </c>
      <c r="O37" s="1">
        <f ca="1">IFERROR(__xludf.DUMMYFUNCTION("""COMPUTED_VALUE"""),44)</f>
        <v>44</v>
      </c>
      <c r="P37" s="1">
        <f ca="1">IFERROR(__xludf.DUMMYFUNCTION("""COMPUTED_VALUE"""),107.1)</f>
        <v>107.1</v>
      </c>
      <c r="Q37" s="1">
        <f ca="1">IFERROR(__xludf.DUMMYFUNCTION("""COMPUTED_VALUE"""),41)</f>
        <v>41</v>
      </c>
      <c r="R37" s="1">
        <f ca="1">IFERROR(__xludf.DUMMYFUNCTION("""COMPUTED_VALUE"""),100.1)</f>
        <v>100.1</v>
      </c>
      <c r="S37" s="1">
        <f ca="1">IFERROR(__xludf.DUMMYFUNCTION("""COMPUTED_VALUE"""),46)</f>
        <v>46</v>
      </c>
      <c r="T37" s="1">
        <f ca="1">IFERROR(__xludf.DUMMYFUNCTION("""COMPUTED_VALUE"""),-1.82)</f>
        <v>-1.82</v>
      </c>
      <c r="U37" s="1">
        <f ca="1">IFERROR(__xludf.DUMMYFUNCTION("""COMPUTED_VALUE"""),204)</f>
        <v>204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IFERROR(__xludf.DUMMYFUNCTION("""COMPUTED_VALUE"""),"Butler8")</f>
        <v>Butler8</v>
      </c>
      <c r="C38" s="1" t="str">
        <f ca="1">IFERROR(__xludf.DUMMYFUNCTION("""COMPUTED_VALUE"""),"Horz")</f>
        <v>Horz</v>
      </c>
      <c r="D38" s="1" t="str">
        <f ca="1">IFERROR(__xludf.DUMMYFUNCTION("""COMPUTED_VALUE"""),"28-10")</f>
        <v>28-10</v>
      </c>
      <c r="E38" s="1" t="str">
        <f ca="1">IFERROR(__xludf.DUMMYFUNCTION("""COMPUTED_VALUE"""),"+16.46")</f>
        <v>+16.46</v>
      </c>
      <c r="F38" s="1">
        <f ca="1">IFERROR(__xludf.DUMMYFUNCTION("""COMPUTED_VALUE"""),112.3)</f>
        <v>112.3</v>
      </c>
      <c r="G38" s="1">
        <f ca="1">IFERROR(__xludf.DUMMYFUNCTION("""COMPUTED_VALUE"""),43)</f>
        <v>43</v>
      </c>
      <c r="H38" s="1">
        <f ca="1">IFERROR(__xludf.DUMMYFUNCTION("""COMPUTED_VALUE"""),95.9)</f>
        <v>95.9</v>
      </c>
      <c r="I38" s="1">
        <f ca="1">IFERROR(__xludf.DUMMYFUNCTION("""COMPUTED_VALUE"""),46)</f>
        <v>46</v>
      </c>
      <c r="J38" s="1">
        <f ca="1">IFERROR(__xludf.DUMMYFUNCTION("""COMPUTED_VALUE"""),63.5)</f>
        <v>63.5</v>
      </c>
      <c r="K38" s="1">
        <f ca="1">IFERROR(__xludf.DUMMYFUNCTION("""COMPUTED_VALUE"""),262)</f>
        <v>262</v>
      </c>
      <c r="L38" s="1" t="str">
        <f ca="1">IFERROR(__xludf.DUMMYFUNCTION("""COMPUTED_VALUE"""),"+.033")</f>
        <v>+.033</v>
      </c>
      <c r="M38" s="1">
        <f ca="1">IFERROR(__xludf.DUMMYFUNCTION("""COMPUTED_VALUE"""),94)</f>
        <v>94</v>
      </c>
      <c r="N38" s="1" t="str">
        <f ca="1">IFERROR(__xludf.DUMMYFUNCTION("""COMPUTED_VALUE"""),"+6.11")</f>
        <v>+6.11</v>
      </c>
      <c r="O38" s="1">
        <f ca="1">IFERROR(__xludf.DUMMYFUNCTION("""COMPUTED_VALUE"""),57)</f>
        <v>57</v>
      </c>
      <c r="P38" s="1">
        <f ca="1">IFERROR(__xludf.DUMMYFUNCTION("""COMPUTED_VALUE"""),106.4)</f>
        <v>106.4</v>
      </c>
      <c r="Q38" s="1">
        <f ca="1">IFERROR(__xludf.DUMMYFUNCTION("""COMPUTED_VALUE"""),61)</f>
        <v>61</v>
      </c>
      <c r="R38" s="1">
        <f ca="1">IFERROR(__xludf.DUMMYFUNCTION("""COMPUTED_VALUE"""),100.3)</f>
        <v>100.3</v>
      </c>
      <c r="S38" s="1">
        <f ca="1">IFERROR(__xludf.DUMMYFUNCTION("""COMPUTED_VALUE"""),54)</f>
        <v>54</v>
      </c>
      <c r="T38" s="1" t="str">
        <f ca="1">IFERROR(__xludf.DUMMYFUNCTION("""COMPUTED_VALUE"""),"+6.67")</f>
        <v>+6.67</v>
      </c>
      <c r="U38" s="1">
        <f ca="1">IFERROR(__xludf.DUMMYFUNCTION("""COMPUTED_VALUE"""),26)</f>
        <v>26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IFERROR(__xludf.DUMMYFUNCTION("""COMPUTED_VALUE"""),"Gonzaga11")</f>
        <v>Gonzaga11</v>
      </c>
      <c r="C39" s="1" t="str">
        <f ca="1">IFERROR(__xludf.DUMMYFUNCTION("""COMPUTED_VALUE"""),"WCC")</f>
        <v>WCC</v>
      </c>
      <c r="D39" s="1" t="str">
        <f ca="1">IFERROR(__xludf.DUMMYFUNCTION("""COMPUTED_VALUE"""),"25-10")</f>
        <v>25-10</v>
      </c>
      <c r="E39" s="1" t="str">
        <f ca="1">IFERROR(__xludf.DUMMYFUNCTION("""COMPUTED_VALUE"""),"+16.45")</f>
        <v>+16.45</v>
      </c>
      <c r="F39" s="1">
        <f ca="1">IFERROR(__xludf.DUMMYFUNCTION("""COMPUTED_VALUE"""),112.1)</f>
        <v>112.1</v>
      </c>
      <c r="G39" s="1">
        <f ca="1">IFERROR(__xludf.DUMMYFUNCTION("""COMPUTED_VALUE"""),45)</f>
        <v>45</v>
      </c>
      <c r="H39" s="1">
        <f ca="1">IFERROR(__xludf.DUMMYFUNCTION("""COMPUTED_VALUE"""),95.6)</f>
        <v>95.6</v>
      </c>
      <c r="I39" s="1">
        <f ca="1">IFERROR(__xludf.DUMMYFUNCTION("""COMPUTED_VALUE"""),44)</f>
        <v>44</v>
      </c>
      <c r="J39" s="1">
        <f ca="1">IFERROR(__xludf.DUMMYFUNCTION("""COMPUTED_VALUE"""),66.1)</f>
        <v>66.099999999999994</v>
      </c>
      <c r="K39" s="1">
        <f ca="1">IFERROR(__xludf.DUMMYFUNCTION("""COMPUTED_VALUE"""),126)</f>
        <v>126</v>
      </c>
      <c r="L39" s="1">
        <f ca="1">IFERROR(__xludf.DUMMYFUNCTION("""COMPUTED_VALUE"""),-0.007)</f>
        <v>-7.0000000000000001E-3</v>
      </c>
      <c r="M39" s="1">
        <f ca="1">IFERROR(__xludf.DUMMYFUNCTION("""COMPUTED_VALUE"""),199)</f>
        <v>199</v>
      </c>
      <c r="N39" s="1" t="str">
        <f ca="1">IFERROR(__xludf.DUMMYFUNCTION("""COMPUTED_VALUE"""),"+3.82")</f>
        <v>+3.82</v>
      </c>
      <c r="O39" s="1">
        <f ca="1">IFERROR(__xludf.DUMMYFUNCTION("""COMPUTED_VALUE"""),80)</f>
        <v>80</v>
      </c>
      <c r="P39" s="1">
        <f ca="1">IFERROR(__xludf.DUMMYFUNCTION("""COMPUTED_VALUE"""),106.4)</f>
        <v>106.4</v>
      </c>
      <c r="Q39" s="1">
        <f ca="1">IFERROR(__xludf.DUMMYFUNCTION("""COMPUTED_VALUE"""),62)</f>
        <v>62</v>
      </c>
      <c r="R39" s="1">
        <f ca="1">IFERROR(__xludf.DUMMYFUNCTION("""COMPUTED_VALUE"""),102.6)</f>
        <v>102.6</v>
      </c>
      <c r="S39" s="1">
        <f ca="1">IFERROR(__xludf.DUMMYFUNCTION("""COMPUTED_VALUE"""),115)</f>
        <v>115</v>
      </c>
      <c r="T39" s="1" t="str">
        <f ca="1">IFERROR(__xludf.DUMMYFUNCTION("""COMPUTED_VALUE"""),"+4.50")</f>
        <v>+4.50</v>
      </c>
      <c r="U39" s="1">
        <f ca="1">IFERROR(__xludf.DUMMYFUNCTION("""COMPUTED_VALUE"""),51)</f>
        <v>51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IFERROR(__xludf.DUMMYFUNCTION("""COMPUTED_VALUE"""),"Xavier6")</f>
        <v>Xavier6</v>
      </c>
      <c r="C40" s="1" t="str">
        <f ca="1">IFERROR(__xludf.DUMMYFUNCTION("""COMPUTED_VALUE"""),"A10")</f>
        <v>A10</v>
      </c>
      <c r="D40" s="1" t="str">
        <f ca="1">IFERROR(__xludf.DUMMYFUNCTION("""COMPUTED_VALUE"""),"24-8")</f>
        <v>24-8</v>
      </c>
      <c r="E40" s="1" t="str">
        <f ca="1">IFERROR(__xludf.DUMMYFUNCTION("""COMPUTED_VALUE"""),"+16.02")</f>
        <v>+16.02</v>
      </c>
      <c r="F40" s="1">
        <f ca="1">IFERROR(__xludf.DUMMYFUNCTION("""COMPUTED_VALUE"""),112.8)</f>
        <v>112.8</v>
      </c>
      <c r="G40" s="1">
        <f ca="1">IFERROR(__xludf.DUMMYFUNCTION("""COMPUTED_VALUE"""),37)</f>
        <v>37</v>
      </c>
      <c r="H40" s="1">
        <f ca="1">IFERROR(__xludf.DUMMYFUNCTION("""COMPUTED_VALUE"""),96.8)</f>
        <v>96.8</v>
      </c>
      <c r="I40" s="1">
        <f ca="1">IFERROR(__xludf.DUMMYFUNCTION("""COMPUTED_VALUE"""),58)</f>
        <v>58</v>
      </c>
      <c r="J40" s="1">
        <f ca="1">IFERROR(__xludf.DUMMYFUNCTION("""COMPUTED_VALUE"""),64.3)</f>
        <v>64.3</v>
      </c>
      <c r="K40" s="1">
        <f ca="1">IFERROR(__xludf.DUMMYFUNCTION("""COMPUTED_VALUE"""),229)</f>
        <v>229</v>
      </c>
      <c r="L40" s="1" t="str">
        <f ca="1">IFERROR(__xludf.DUMMYFUNCTION("""COMPUTED_VALUE"""),"+.035")</f>
        <v>+.035</v>
      </c>
      <c r="M40" s="1">
        <f ca="1">IFERROR(__xludf.DUMMYFUNCTION("""COMPUTED_VALUE"""),89)</f>
        <v>89</v>
      </c>
      <c r="N40" s="1" t="str">
        <f ca="1">IFERROR(__xludf.DUMMYFUNCTION("""COMPUTED_VALUE"""),"+4.49")</f>
        <v>+4.49</v>
      </c>
      <c r="O40" s="1">
        <f ca="1">IFERROR(__xludf.DUMMYFUNCTION("""COMPUTED_VALUE"""),73)</f>
        <v>73</v>
      </c>
      <c r="P40" s="1">
        <f ca="1">IFERROR(__xludf.DUMMYFUNCTION("""COMPUTED_VALUE"""),105.4)</f>
        <v>105.4</v>
      </c>
      <c r="Q40" s="1">
        <f ca="1">IFERROR(__xludf.DUMMYFUNCTION("""COMPUTED_VALUE"""),85)</f>
        <v>85</v>
      </c>
      <c r="R40" s="1">
        <f ca="1">IFERROR(__xludf.DUMMYFUNCTION("""COMPUTED_VALUE"""),100.9)</f>
        <v>100.9</v>
      </c>
      <c r="S40" s="1">
        <f ca="1">IFERROR(__xludf.DUMMYFUNCTION("""COMPUTED_VALUE"""),72)</f>
        <v>72</v>
      </c>
      <c r="T40" s="1" t="str">
        <f ca="1">IFERROR(__xludf.DUMMYFUNCTION("""COMPUTED_VALUE"""),"+6.02")</f>
        <v>+6.02</v>
      </c>
      <c r="U40" s="1">
        <f ca="1">IFERROR(__xludf.DUMMYFUNCTION("""COMPUTED_VALUE"""),35)</f>
        <v>35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IFERROR(__xludf.DUMMYFUNCTION("""COMPUTED_VALUE"""),"Richmond12")</f>
        <v>Richmond12</v>
      </c>
      <c r="C41" s="1" t="str">
        <f ca="1">IFERROR(__xludf.DUMMYFUNCTION("""COMPUTED_VALUE"""),"A10")</f>
        <v>A10</v>
      </c>
      <c r="D41" s="1" t="str">
        <f ca="1">IFERROR(__xludf.DUMMYFUNCTION("""COMPUTED_VALUE"""),"29-8")</f>
        <v>29-8</v>
      </c>
      <c r="E41" s="1" t="str">
        <f ca="1">IFERROR(__xludf.DUMMYFUNCTION("""COMPUTED_VALUE"""),"+16.01")</f>
        <v>+16.01</v>
      </c>
      <c r="F41" s="1">
        <f ca="1">IFERROR(__xludf.DUMMYFUNCTION("""COMPUTED_VALUE"""),112.6)</f>
        <v>112.6</v>
      </c>
      <c r="G41" s="1">
        <f ca="1">IFERROR(__xludf.DUMMYFUNCTION("""COMPUTED_VALUE"""),41)</f>
        <v>41</v>
      </c>
      <c r="H41" s="1">
        <f ca="1">IFERROR(__xludf.DUMMYFUNCTION("""COMPUTED_VALUE"""),96.5)</f>
        <v>96.5</v>
      </c>
      <c r="I41" s="1">
        <f ca="1">IFERROR(__xludf.DUMMYFUNCTION("""COMPUTED_VALUE"""),54)</f>
        <v>54</v>
      </c>
      <c r="J41" s="1">
        <f ca="1">IFERROR(__xludf.DUMMYFUNCTION("""COMPUTED_VALUE"""),62.1)</f>
        <v>62.1</v>
      </c>
      <c r="K41" s="1">
        <f ca="1">IFERROR(__xludf.DUMMYFUNCTION("""COMPUTED_VALUE"""),309)</f>
        <v>309</v>
      </c>
      <c r="L41" s="1" t="str">
        <f ca="1">IFERROR(__xludf.DUMMYFUNCTION("""COMPUTED_VALUE"""),"+.052")</f>
        <v>+.052</v>
      </c>
      <c r="M41" s="1">
        <f ca="1">IFERROR(__xludf.DUMMYFUNCTION("""COMPUTED_VALUE"""),52)</f>
        <v>52</v>
      </c>
      <c r="N41" s="1" t="str">
        <f ca="1">IFERROR(__xludf.DUMMYFUNCTION("""COMPUTED_VALUE"""),"+3.11")</f>
        <v>+3.11</v>
      </c>
      <c r="O41" s="1">
        <f ca="1">IFERROR(__xludf.DUMMYFUNCTION("""COMPUTED_VALUE"""),91)</f>
        <v>91</v>
      </c>
      <c r="P41" s="1">
        <f ca="1">IFERROR(__xludf.DUMMYFUNCTION("""COMPUTED_VALUE"""),104.8)</f>
        <v>104.8</v>
      </c>
      <c r="Q41" s="1">
        <f ca="1">IFERROR(__xludf.DUMMYFUNCTION("""COMPUTED_VALUE"""),104)</f>
        <v>104</v>
      </c>
      <c r="R41" s="1">
        <f ca="1">IFERROR(__xludf.DUMMYFUNCTION("""COMPUTED_VALUE"""),101.7)</f>
        <v>101.7</v>
      </c>
      <c r="S41" s="1">
        <f ca="1">IFERROR(__xludf.DUMMYFUNCTION("""COMPUTED_VALUE"""),89)</f>
        <v>89</v>
      </c>
      <c r="T41" s="1" t="str">
        <f ca="1">IFERROR(__xludf.DUMMYFUNCTION("""COMPUTED_VALUE"""),"+1.00")</f>
        <v>+1.00</v>
      </c>
      <c r="U41" s="1">
        <f ca="1">IFERROR(__xludf.DUMMYFUNCTION("""COMPUTED_VALUE"""),124)</f>
        <v>124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IFERROR(__xludf.DUMMYFUNCTION("""COMPUTED_VALUE"""),"Virginia Tech1")</f>
        <v>Virginia Tech1</v>
      </c>
      <c r="C42" s="1" t="str">
        <f ca="1">IFERROR(__xludf.DUMMYFUNCTION("""COMPUTED_VALUE"""),"ACC")</f>
        <v>ACC</v>
      </c>
      <c r="D42" s="1" t="str">
        <f ca="1">IFERROR(__xludf.DUMMYFUNCTION("""COMPUTED_VALUE"""),"22-12")</f>
        <v>22-12</v>
      </c>
      <c r="E42" s="1" t="str">
        <f ca="1">IFERROR(__xludf.DUMMYFUNCTION("""COMPUTED_VALUE"""),"+15.91")</f>
        <v>+15.91</v>
      </c>
      <c r="F42" s="1">
        <f ca="1">IFERROR(__xludf.DUMMYFUNCTION("""COMPUTED_VALUE"""),109.7)</f>
        <v>109.7</v>
      </c>
      <c r="G42" s="1">
        <f ca="1">IFERROR(__xludf.DUMMYFUNCTION("""COMPUTED_VALUE"""),70)</f>
        <v>70</v>
      </c>
      <c r="H42" s="1">
        <f ca="1">IFERROR(__xludf.DUMMYFUNCTION("""COMPUTED_VALUE"""),93.7)</f>
        <v>93.7</v>
      </c>
      <c r="I42" s="1">
        <f ca="1">IFERROR(__xludf.DUMMYFUNCTION("""COMPUTED_VALUE"""),27)</f>
        <v>27</v>
      </c>
      <c r="J42" s="1">
        <f ca="1">IFERROR(__xludf.DUMMYFUNCTION("""COMPUTED_VALUE"""),63.7)</f>
        <v>63.7</v>
      </c>
      <c r="K42" s="1">
        <f ca="1">IFERROR(__xludf.DUMMYFUNCTION("""COMPUTED_VALUE"""),253)</f>
        <v>253</v>
      </c>
      <c r="L42" s="1">
        <f ca="1">IFERROR(__xludf.DUMMYFUNCTION("""COMPUTED_VALUE"""),-0.029)</f>
        <v>-2.9000000000000001E-2</v>
      </c>
      <c r="M42" s="1">
        <f ca="1">IFERROR(__xludf.DUMMYFUNCTION("""COMPUTED_VALUE"""),252)</f>
        <v>252</v>
      </c>
      <c r="N42" s="1" t="str">
        <f ca="1">IFERROR(__xludf.DUMMYFUNCTION("""COMPUTED_VALUE"""),"+6.40")</f>
        <v>+6.40</v>
      </c>
      <c r="O42" s="1">
        <f ca="1">IFERROR(__xludf.DUMMYFUNCTION("""COMPUTED_VALUE"""),53)</f>
        <v>53</v>
      </c>
      <c r="P42" s="1">
        <f ca="1">IFERROR(__xludf.DUMMYFUNCTION("""COMPUTED_VALUE"""),106.5)</f>
        <v>106.5</v>
      </c>
      <c r="Q42" s="1">
        <f ca="1">IFERROR(__xludf.DUMMYFUNCTION("""COMPUTED_VALUE"""),57)</f>
        <v>57</v>
      </c>
      <c r="R42" s="1">
        <f ca="1">IFERROR(__xludf.DUMMYFUNCTION("""COMPUTED_VALUE"""),100.1)</f>
        <v>100.1</v>
      </c>
      <c r="S42" s="1">
        <f ca="1">IFERROR(__xludf.DUMMYFUNCTION("""COMPUTED_VALUE"""),47)</f>
        <v>47</v>
      </c>
      <c r="T42" s="1">
        <f ca="1">IFERROR(__xludf.DUMMYFUNCTION("""COMPUTED_VALUE"""),-0.08)</f>
        <v>-0.08</v>
      </c>
      <c r="U42" s="1">
        <f ca="1">IFERROR(__xludf.DUMMYFUNCTION("""COMPUTED_VALUE"""),158)</f>
        <v>158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IFERROR(__xludf.DUMMYFUNCTION("""COMPUTED_VALUE"""),"St. John's6")</f>
        <v>St. John's6</v>
      </c>
      <c r="C45" s="1" t="str">
        <f ca="1">IFERROR(__xludf.DUMMYFUNCTION("""COMPUTED_VALUE"""),"BE")</f>
        <v>BE</v>
      </c>
      <c r="D45" s="1" t="str">
        <f ca="1">IFERROR(__xludf.DUMMYFUNCTION("""COMPUTED_VALUE"""),"21-12")</f>
        <v>21-12</v>
      </c>
      <c r="E45" s="1" t="str">
        <f ca="1">IFERROR(__xludf.DUMMYFUNCTION("""COMPUTED_VALUE"""),"+15.87")</f>
        <v>+15.87</v>
      </c>
      <c r="F45" s="1">
        <f ca="1">IFERROR(__xludf.DUMMYFUNCTION("""COMPUTED_VALUE"""),111.2)</f>
        <v>111.2</v>
      </c>
      <c r="G45" s="1">
        <f ca="1">IFERROR(__xludf.DUMMYFUNCTION("""COMPUTED_VALUE"""),53)</f>
        <v>53</v>
      </c>
      <c r="H45" s="1">
        <f ca="1">IFERROR(__xludf.DUMMYFUNCTION("""COMPUTED_VALUE"""),95.3)</f>
        <v>95.3</v>
      </c>
      <c r="I45" s="1">
        <f ca="1">IFERROR(__xludf.DUMMYFUNCTION("""COMPUTED_VALUE"""),40)</f>
        <v>40</v>
      </c>
      <c r="J45" s="1">
        <f ca="1">IFERROR(__xludf.DUMMYFUNCTION("""COMPUTED_VALUE"""),66)</f>
        <v>66</v>
      </c>
      <c r="K45" s="1">
        <f ca="1">IFERROR(__xludf.DUMMYFUNCTION("""COMPUTED_VALUE"""),133)</f>
        <v>133</v>
      </c>
      <c r="L45" s="1" t="str">
        <f ca="1">IFERROR(__xludf.DUMMYFUNCTION("""COMPUTED_VALUE"""),"+.047")</f>
        <v>+.047</v>
      </c>
      <c r="M45" s="1">
        <f ca="1">IFERROR(__xludf.DUMMYFUNCTION("""COMPUTED_VALUE"""),62)</f>
        <v>62</v>
      </c>
      <c r="N45" s="1" t="str">
        <f ca="1">IFERROR(__xludf.DUMMYFUNCTION("""COMPUTED_VALUE"""),"+10.98")</f>
        <v>+10.98</v>
      </c>
      <c r="O45" s="1">
        <f ca="1">IFERROR(__xludf.DUMMYFUNCTION("""COMPUTED_VALUE"""),10)</f>
        <v>10</v>
      </c>
      <c r="P45" s="1">
        <f ca="1">IFERROR(__xludf.DUMMYFUNCTION("""COMPUTED_VALUE"""),110)</f>
        <v>110</v>
      </c>
      <c r="Q45" s="1">
        <f ca="1">IFERROR(__xludf.DUMMYFUNCTION("""COMPUTED_VALUE"""),10)</f>
        <v>10</v>
      </c>
      <c r="R45" s="1">
        <f ca="1">IFERROR(__xludf.DUMMYFUNCTION("""COMPUTED_VALUE"""),99)</f>
        <v>99</v>
      </c>
      <c r="S45" s="1">
        <f ca="1">IFERROR(__xludf.DUMMYFUNCTION("""COMPUTED_VALUE"""),18)</f>
        <v>18</v>
      </c>
      <c r="T45" s="1" t="str">
        <f ca="1">IFERROR(__xludf.DUMMYFUNCTION("""COMPUTED_VALUE"""),"+1.69")</f>
        <v>+1.69</v>
      </c>
      <c r="U45" s="1">
        <f ca="1">IFERROR(__xludf.DUMMYFUNCTION("""COMPUTED_VALUE"""),104)</f>
        <v>104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IFERROR(__xludf.DUMMYFUNCTION("""COMPUTED_VALUE"""),"Missouri11")</f>
        <v>Missouri11</v>
      </c>
      <c r="C46" s="1" t="str">
        <f ca="1">IFERROR(__xludf.DUMMYFUNCTION("""COMPUTED_VALUE"""),"B12")</f>
        <v>B12</v>
      </c>
      <c r="D46" s="1" t="str">
        <f ca="1">IFERROR(__xludf.DUMMYFUNCTION("""COMPUTED_VALUE"""),"23-11")</f>
        <v>23-11</v>
      </c>
      <c r="E46" s="1" t="str">
        <f ca="1">IFERROR(__xludf.DUMMYFUNCTION("""COMPUTED_VALUE"""),"+15.54")</f>
        <v>+15.54</v>
      </c>
      <c r="F46" s="1">
        <f ca="1">IFERROR(__xludf.DUMMYFUNCTION("""COMPUTED_VALUE"""),113.4)</f>
        <v>113.4</v>
      </c>
      <c r="G46" s="1">
        <f ca="1">IFERROR(__xludf.DUMMYFUNCTION("""COMPUTED_VALUE"""),33)</f>
        <v>33</v>
      </c>
      <c r="H46" s="1">
        <f ca="1">IFERROR(__xludf.DUMMYFUNCTION("""COMPUTED_VALUE"""),97.8)</f>
        <v>97.8</v>
      </c>
      <c r="I46" s="1">
        <f ca="1">IFERROR(__xludf.DUMMYFUNCTION("""COMPUTED_VALUE"""),68)</f>
        <v>68</v>
      </c>
      <c r="J46" s="1">
        <f ca="1">IFERROR(__xludf.DUMMYFUNCTION("""COMPUTED_VALUE"""),70.7)</f>
        <v>70.7</v>
      </c>
      <c r="K46" s="1">
        <f ca="1">IFERROR(__xludf.DUMMYFUNCTION("""COMPUTED_VALUE"""),14)</f>
        <v>14</v>
      </c>
      <c r="L46" s="1">
        <f ca="1">IFERROR(__xludf.DUMMYFUNCTION("""COMPUTED_VALUE"""),-0.013)</f>
        <v>-1.2999999999999999E-2</v>
      </c>
      <c r="M46" s="1">
        <f ca="1">IFERROR(__xludf.DUMMYFUNCTION("""COMPUTED_VALUE"""),213)</f>
        <v>213</v>
      </c>
      <c r="N46" s="1" t="str">
        <f ca="1">IFERROR(__xludf.DUMMYFUNCTION("""COMPUTED_VALUE"""),"+6.50")</f>
        <v>+6.50</v>
      </c>
      <c r="O46" s="1">
        <f ca="1">IFERROR(__xludf.DUMMYFUNCTION("""COMPUTED_VALUE"""),52)</f>
        <v>52</v>
      </c>
      <c r="P46" s="1">
        <f ca="1">IFERROR(__xludf.DUMMYFUNCTION("""COMPUTED_VALUE"""),106.9)</f>
        <v>106.9</v>
      </c>
      <c r="Q46" s="1">
        <f ca="1">IFERROR(__xludf.DUMMYFUNCTION("""COMPUTED_VALUE"""),44)</f>
        <v>44</v>
      </c>
      <c r="R46" s="1">
        <f ca="1">IFERROR(__xludf.DUMMYFUNCTION("""COMPUTED_VALUE"""),100.4)</f>
        <v>100.4</v>
      </c>
      <c r="S46" s="1">
        <f ca="1">IFERROR(__xludf.DUMMYFUNCTION("""COMPUTED_VALUE"""),59)</f>
        <v>59</v>
      </c>
      <c r="T46" s="1">
        <f ca="1">IFERROR(__xludf.DUMMYFUNCTION("""COMPUTED_VALUE"""),-4.76)</f>
        <v>-4.76</v>
      </c>
      <c r="U46" s="1">
        <f ca="1">IFERROR(__xludf.DUMMYFUNCTION("""COMPUTED_VALUE"""),281)</f>
        <v>281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IFERROR(__xludf.DUMMYFUNCTION("""COMPUTED_VALUE"""),"Saint Mary's2")</f>
        <v>Saint Mary's2</v>
      </c>
      <c r="C47" s="1" t="str">
        <f ca="1">IFERROR(__xludf.DUMMYFUNCTION("""COMPUTED_VALUE"""),"WCC")</f>
        <v>WCC</v>
      </c>
      <c r="D47" s="1" t="str">
        <f ca="1">IFERROR(__xludf.DUMMYFUNCTION("""COMPUTED_VALUE"""),"25-9")</f>
        <v>25-9</v>
      </c>
      <c r="E47" s="1" t="str">
        <f ca="1">IFERROR(__xludf.DUMMYFUNCTION("""COMPUTED_VALUE"""),"+15.49")</f>
        <v>+15.49</v>
      </c>
      <c r="F47" s="1">
        <f ca="1">IFERROR(__xludf.DUMMYFUNCTION("""COMPUTED_VALUE"""),117.2)</f>
        <v>117.2</v>
      </c>
      <c r="G47" s="1">
        <f ca="1">IFERROR(__xludf.DUMMYFUNCTION("""COMPUTED_VALUE"""),13)</f>
        <v>13</v>
      </c>
      <c r="H47" s="1">
        <f ca="1">IFERROR(__xludf.DUMMYFUNCTION("""COMPUTED_VALUE"""),101.7)</f>
        <v>101.7</v>
      </c>
      <c r="I47" s="1">
        <f ca="1">IFERROR(__xludf.DUMMYFUNCTION("""COMPUTED_VALUE"""),127)</f>
        <v>127</v>
      </c>
      <c r="J47" s="1">
        <f ca="1">IFERROR(__xludf.DUMMYFUNCTION("""COMPUTED_VALUE"""),64.9)</f>
        <v>64.900000000000006</v>
      </c>
      <c r="K47" s="1">
        <f ca="1">IFERROR(__xludf.DUMMYFUNCTION("""COMPUTED_VALUE"""),190)</f>
        <v>190</v>
      </c>
      <c r="L47" s="1">
        <f ca="1">IFERROR(__xludf.DUMMYFUNCTION("""COMPUTED_VALUE"""),-0.027)</f>
        <v>-2.7E-2</v>
      </c>
      <c r="M47" s="1">
        <f ca="1">IFERROR(__xludf.DUMMYFUNCTION("""COMPUTED_VALUE"""),246)</f>
        <v>246</v>
      </c>
      <c r="N47" s="1" t="str">
        <f ca="1">IFERROR(__xludf.DUMMYFUNCTION("""COMPUTED_VALUE"""),"+1.46")</f>
        <v>+1.46</v>
      </c>
      <c r="O47" s="1">
        <f ca="1">IFERROR(__xludf.DUMMYFUNCTION("""COMPUTED_VALUE"""),120)</f>
        <v>120</v>
      </c>
      <c r="P47" s="1">
        <f ca="1">IFERROR(__xludf.DUMMYFUNCTION("""COMPUTED_VALUE"""),104.7)</f>
        <v>104.7</v>
      </c>
      <c r="Q47" s="1">
        <f ca="1">IFERROR(__xludf.DUMMYFUNCTION("""COMPUTED_VALUE"""),105)</f>
        <v>105</v>
      </c>
      <c r="R47" s="1">
        <f ca="1">IFERROR(__xludf.DUMMYFUNCTION("""COMPUTED_VALUE"""),103.2)</f>
        <v>103.2</v>
      </c>
      <c r="S47" s="1">
        <f ca="1">IFERROR(__xludf.DUMMYFUNCTION("""COMPUTED_VALUE"""),147)</f>
        <v>147</v>
      </c>
      <c r="T47" s="1" t="str">
        <f ca="1">IFERROR(__xludf.DUMMYFUNCTION("""COMPUTED_VALUE"""),"+1.30")</f>
        <v>+1.30</v>
      </c>
      <c r="U47" s="1">
        <f ca="1">IFERROR(__xludf.DUMMYFUNCTION("""COMPUTED_VALUE"""),116)</f>
        <v>116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IFERROR(__xludf.DUMMYFUNCTION("""COMPUTED_VALUE"""),"Maryland")</f>
        <v>Maryland</v>
      </c>
      <c r="C48" s="1" t="str">
        <f ca="1">IFERROR(__xludf.DUMMYFUNCTION("""COMPUTED_VALUE"""),"ACC")</f>
        <v>ACC</v>
      </c>
      <c r="D48" s="1" t="str">
        <f ca="1">IFERROR(__xludf.DUMMYFUNCTION("""COMPUTED_VALUE"""),"19-14")</f>
        <v>19-14</v>
      </c>
      <c r="E48" s="1" t="str">
        <f ca="1">IFERROR(__xludf.DUMMYFUNCTION("""COMPUTED_VALUE"""),"+15.27")</f>
        <v>+15.27</v>
      </c>
      <c r="F48" s="1">
        <f ca="1">IFERROR(__xludf.DUMMYFUNCTION("""COMPUTED_VALUE"""),109.7)</f>
        <v>109.7</v>
      </c>
      <c r="G48" s="1">
        <f ca="1">IFERROR(__xludf.DUMMYFUNCTION("""COMPUTED_VALUE"""),69)</f>
        <v>69</v>
      </c>
      <c r="H48" s="1">
        <f ca="1">IFERROR(__xludf.DUMMYFUNCTION("""COMPUTED_VALUE"""),94.4)</f>
        <v>94.4</v>
      </c>
      <c r="I48" s="1">
        <f ca="1">IFERROR(__xludf.DUMMYFUNCTION("""COMPUTED_VALUE"""),31)</f>
        <v>31</v>
      </c>
      <c r="J48" s="1">
        <f ca="1">IFERROR(__xludf.DUMMYFUNCTION("""COMPUTED_VALUE"""),69.6)</f>
        <v>69.599999999999994</v>
      </c>
      <c r="K48" s="1">
        <f ca="1">IFERROR(__xludf.DUMMYFUNCTION("""COMPUTED_VALUE"""),28)</f>
        <v>28</v>
      </c>
      <c r="L48" s="1">
        <f ca="1">IFERROR(__xludf.DUMMYFUNCTION("""COMPUTED_VALUE"""),-0.091)</f>
        <v>-9.0999999999999998E-2</v>
      </c>
      <c r="M48" s="1">
        <f ca="1">IFERROR(__xludf.DUMMYFUNCTION("""COMPUTED_VALUE"""),330)</f>
        <v>330</v>
      </c>
      <c r="N48" s="1" t="str">
        <f ca="1">IFERROR(__xludf.DUMMYFUNCTION("""COMPUTED_VALUE"""),"+5.82")</f>
        <v>+5.82</v>
      </c>
      <c r="O48" s="1">
        <f ca="1">IFERROR(__xludf.DUMMYFUNCTION("""COMPUTED_VALUE"""),63)</f>
        <v>63</v>
      </c>
      <c r="P48" s="1">
        <f ca="1">IFERROR(__xludf.DUMMYFUNCTION("""COMPUTED_VALUE"""),107.3)</f>
        <v>107.3</v>
      </c>
      <c r="Q48" s="1">
        <f ca="1">IFERROR(__xludf.DUMMYFUNCTION("""COMPUTED_VALUE"""),37)</f>
        <v>37</v>
      </c>
      <c r="R48" s="1">
        <f ca="1">IFERROR(__xludf.DUMMYFUNCTION("""COMPUTED_VALUE"""),101.5)</f>
        <v>101.5</v>
      </c>
      <c r="S48" s="1">
        <f ca="1">IFERROR(__xludf.DUMMYFUNCTION("""COMPUTED_VALUE"""),81)</f>
        <v>81</v>
      </c>
      <c r="T48" s="1">
        <f ca="1">IFERROR(__xludf.DUMMYFUNCTION("""COMPUTED_VALUE"""),-4.93)</f>
        <v>-4.93</v>
      </c>
      <c r="U48" s="1">
        <f ca="1">IFERROR(__xludf.DUMMYFUNCTION("""COMPUTED_VALUE"""),285)</f>
        <v>285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IFERROR(__xludf.DUMMYFUNCTION("""COMPUTED_VALUE"""),"Michigan St.10")</f>
        <v>Michigan St.10</v>
      </c>
      <c r="C49" s="1" t="str">
        <f ca="1">IFERROR(__xludf.DUMMYFUNCTION("""COMPUTED_VALUE"""),"B10")</f>
        <v>B10</v>
      </c>
      <c r="D49" s="1" t="str">
        <f ca="1">IFERROR(__xludf.DUMMYFUNCTION("""COMPUTED_VALUE"""),"19-15")</f>
        <v>19-15</v>
      </c>
      <c r="E49" s="1" t="str">
        <f ca="1">IFERROR(__xludf.DUMMYFUNCTION("""COMPUTED_VALUE"""),"+15.08")</f>
        <v>+15.08</v>
      </c>
      <c r="F49" s="1">
        <f ca="1">IFERROR(__xludf.DUMMYFUNCTION("""COMPUTED_VALUE"""),109.5)</f>
        <v>109.5</v>
      </c>
      <c r="G49" s="1">
        <f ca="1">IFERROR(__xludf.DUMMYFUNCTION("""COMPUTED_VALUE"""),73)</f>
        <v>73</v>
      </c>
      <c r="H49" s="1">
        <f ca="1">IFERROR(__xludf.DUMMYFUNCTION("""COMPUTED_VALUE"""),94.4)</f>
        <v>94.4</v>
      </c>
      <c r="I49" s="1">
        <f ca="1">IFERROR(__xludf.DUMMYFUNCTION("""COMPUTED_VALUE"""),30)</f>
        <v>30</v>
      </c>
      <c r="J49" s="1">
        <f ca="1">IFERROR(__xludf.DUMMYFUNCTION("""COMPUTED_VALUE"""),65)</f>
        <v>65</v>
      </c>
      <c r="K49" s="1">
        <f ca="1">IFERROR(__xludf.DUMMYFUNCTION("""COMPUTED_VALUE"""),186)</f>
        <v>186</v>
      </c>
      <c r="L49" s="1" t="str">
        <f ca="1">IFERROR(__xludf.DUMMYFUNCTION("""COMPUTED_VALUE"""),"+.010")</f>
        <v>+.010</v>
      </c>
      <c r="M49" s="1">
        <f ca="1">IFERROR(__xludf.DUMMYFUNCTION("""COMPUTED_VALUE"""),152)</f>
        <v>152</v>
      </c>
      <c r="N49" s="1" t="str">
        <f ca="1">IFERROR(__xludf.DUMMYFUNCTION("""COMPUTED_VALUE"""),"+13.70")</f>
        <v>+13.70</v>
      </c>
      <c r="O49" s="1">
        <f ca="1">IFERROR(__xludf.DUMMYFUNCTION("""COMPUTED_VALUE"""),1)</f>
        <v>1</v>
      </c>
      <c r="P49" s="1">
        <f ca="1">IFERROR(__xludf.DUMMYFUNCTION("""COMPUTED_VALUE"""),111)</f>
        <v>111</v>
      </c>
      <c r="Q49" s="1">
        <f ca="1">IFERROR(__xludf.DUMMYFUNCTION("""COMPUTED_VALUE"""),2)</f>
        <v>2</v>
      </c>
      <c r="R49" s="1">
        <f ca="1">IFERROR(__xludf.DUMMYFUNCTION("""COMPUTED_VALUE"""),97.3)</f>
        <v>97.3</v>
      </c>
      <c r="S49" s="1">
        <f ca="1">IFERROR(__xludf.DUMMYFUNCTION("""COMPUTED_VALUE"""),1)</f>
        <v>1</v>
      </c>
      <c r="T49" s="1" t="str">
        <f ca="1">IFERROR(__xludf.DUMMYFUNCTION("""COMPUTED_VALUE"""),"+6.70")</f>
        <v>+6.70</v>
      </c>
      <c r="U49" s="1">
        <f ca="1">IFERROR(__xludf.DUMMYFUNCTION("""COMPUTED_VALUE"""),25)</f>
        <v>25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IFERROR(__xludf.DUMMYFUNCTION("""COMPUTED_VALUE"""),"Penn St.10")</f>
        <v>Penn St.10</v>
      </c>
      <c r="C50" s="1" t="str">
        <f ca="1">IFERROR(__xludf.DUMMYFUNCTION("""COMPUTED_VALUE"""),"B10")</f>
        <v>B10</v>
      </c>
      <c r="D50" s="1" t="str">
        <f ca="1">IFERROR(__xludf.DUMMYFUNCTION("""COMPUTED_VALUE"""),"19-15")</f>
        <v>19-15</v>
      </c>
      <c r="E50" s="1" t="str">
        <f ca="1">IFERROR(__xludf.DUMMYFUNCTION("""COMPUTED_VALUE"""),"+14.88")</f>
        <v>+14.88</v>
      </c>
      <c r="F50" s="1">
        <f ca="1">IFERROR(__xludf.DUMMYFUNCTION("""COMPUTED_VALUE"""),113.1)</f>
        <v>113.1</v>
      </c>
      <c r="G50" s="1">
        <f ca="1">IFERROR(__xludf.DUMMYFUNCTION("""COMPUTED_VALUE"""),35)</f>
        <v>35</v>
      </c>
      <c r="H50" s="1">
        <f ca="1">IFERROR(__xludf.DUMMYFUNCTION("""COMPUTED_VALUE"""),98.3)</f>
        <v>98.3</v>
      </c>
      <c r="I50" s="1">
        <f ca="1">IFERROR(__xludf.DUMMYFUNCTION("""COMPUTED_VALUE"""),76)</f>
        <v>76</v>
      </c>
      <c r="J50" s="1">
        <f ca="1">IFERROR(__xludf.DUMMYFUNCTION("""COMPUTED_VALUE"""),59.4)</f>
        <v>59.4</v>
      </c>
      <c r="K50" s="1">
        <f ca="1">IFERROR(__xludf.DUMMYFUNCTION("""COMPUTED_VALUE"""),339)</f>
        <v>339</v>
      </c>
      <c r="L50" s="1" t="str">
        <f ca="1">IFERROR(__xludf.DUMMYFUNCTION("""COMPUTED_VALUE"""),"+.037")</f>
        <v>+.037</v>
      </c>
      <c r="M50" s="1">
        <f ca="1">IFERROR(__xludf.DUMMYFUNCTION("""COMPUTED_VALUE"""),85)</f>
        <v>85</v>
      </c>
      <c r="N50" s="1" t="str">
        <f ca="1">IFERROR(__xludf.DUMMYFUNCTION("""COMPUTED_VALUE"""),"+12.46")</f>
        <v>+12.46</v>
      </c>
      <c r="O50" s="1">
        <f ca="1">IFERROR(__xludf.DUMMYFUNCTION("""COMPUTED_VALUE"""),5)</f>
        <v>5</v>
      </c>
      <c r="P50" s="1">
        <f ca="1">IFERROR(__xludf.DUMMYFUNCTION("""COMPUTED_VALUE"""),110.7)</f>
        <v>110.7</v>
      </c>
      <c r="Q50" s="1">
        <f ca="1">IFERROR(__xludf.DUMMYFUNCTION("""COMPUTED_VALUE"""),3)</f>
        <v>3</v>
      </c>
      <c r="R50" s="1">
        <f ca="1">IFERROR(__xludf.DUMMYFUNCTION("""COMPUTED_VALUE"""),98.3)</f>
        <v>98.3</v>
      </c>
      <c r="S50" s="1">
        <f ca="1">IFERROR(__xludf.DUMMYFUNCTION("""COMPUTED_VALUE"""),5)</f>
        <v>5</v>
      </c>
      <c r="T50" s="1">
        <f ca="1">IFERROR(__xludf.DUMMYFUNCTION("""COMPUTED_VALUE"""),-0.62)</f>
        <v>-0.62</v>
      </c>
      <c r="U50" s="1">
        <f ca="1">IFERROR(__xludf.DUMMYFUNCTION("""COMPUTED_VALUE"""),172)</f>
        <v>172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IFERROR(__xludf.DUMMYFUNCTION("""COMPUTED_VALUE"""),"New Mexico4")</f>
        <v>New Mexico4</v>
      </c>
      <c r="C51" s="1" t="str">
        <f ca="1">IFERROR(__xludf.DUMMYFUNCTION("""COMPUTED_VALUE"""),"MWC")</f>
        <v>MWC</v>
      </c>
      <c r="D51" s="1" t="str">
        <f ca="1">IFERROR(__xludf.DUMMYFUNCTION("""COMPUTED_VALUE"""),"22-13")</f>
        <v>22-13</v>
      </c>
      <c r="E51" s="1" t="str">
        <f ca="1">IFERROR(__xludf.DUMMYFUNCTION("""COMPUTED_VALUE"""),"+14.70")</f>
        <v>+14.70</v>
      </c>
      <c r="F51" s="1">
        <f ca="1">IFERROR(__xludf.DUMMYFUNCTION("""COMPUTED_VALUE"""),111.9)</f>
        <v>111.9</v>
      </c>
      <c r="G51" s="1">
        <f ca="1">IFERROR(__xludf.DUMMYFUNCTION("""COMPUTED_VALUE"""),48)</f>
        <v>48</v>
      </c>
      <c r="H51" s="1">
        <f ca="1">IFERROR(__xludf.DUMMYFUNCTION("""COMPUTED_VALUE"""),97.2)</f>
        <v>97.2</v>
      </c>
      <c r="I51" s="1">
        <f ca="1">IFERROR(__xludf.DUMMYFUNCTION("""COMPUTED_VALUE"""),61)</f>
        <v>61</v>
      </c>
      <c r="J51" s="1">
        <f ca="1">IFERROR(__xludf.DUMMYFUNCTION("""COMPUTED_VALUE"""),64.9)</f>
        <v>64.900000000000006</v>
      </c>
      <c r="K51" s="1">
        <f ca="1">IFERROR(__xludf.DUMMYFUNCTION("""COMPUTED_VALUE"""),191)</f>
        <v>191</v>
      </c>
      <c r="L51" s="1">
        <f ca="1">IFERROR(__xludf.DUMMYFUNCTION("""COMPUTED_VALUE"""),-0.07)</f>
        <v>-7.0000000000000007E-2</v>
      </c>
      <c r="M51" s="1">
        <f ca="1">IFERROR(__xludf.DUMMYFUNCTION("""COMPUTED_VALUE"""),318)</f>
        <v>318</v>
      </c>
      <c r="N51" s="1" t="str">
        <f ca="1">IFERROR(__xludf.DUMMYFUNCTION("""COMPUTED_VALUE"""),"+5.15")</f>
        <v>+5.15</v>
      </c>
      <c r="O51" s="1">
        <f ca="1">IFERROR(__xludf.DUMMYFUNCTION("""COMPUTED_VALUE"""),68)</f>
        <v>68</v>
      </c>
      <c r="P51" s="1">
        <f ca="1">IFERROR(__xludf.DUMMYFUNCTION("""COMPUTED_VALUE"""),106.2)</f>
        <v>106.2</v>
      </c>
      <c r="Q51" s="1">
        <f ca="1">IFERROR(__xludf.DUMMYFUNCTION("""COMPUTED_VALUE"""),64)</f>
        <v>64</v>
      </c>
      <c r="R51" s="1">
        <f ca="1">IFERROR(__xludf.DUMMYFUNCTION("""COMPUTED_VALUE"""),101.1)</f>
        <v>101.1</v>
      </c>
      <c r="S51" s="1">
        <f ca="1">IFERROR(__xludf.DUMMYFUNCTION("""COMPUTED_VALUE"""),77)</f>
        <v>77</v>
      </c>
      <c r="T51" s="1">
        <f ca="1">IFERROR(__xludf.DUMMYFUNCTION("""COMPUTED_VALUE"""),-1.74)</f>
        <v>-1.74</v>
      </c>
      <c r="U51" s="1">
        <f ca="1">IFERROR(__xludf.DUMMYFUNCTION("""COMPUTED_VALUE"""),201)</f>
        <v>201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IFERROR(__xludf.DUMMYFUNCTION("""COMPUTED_VALUE"""),"Old Dominion9")</f>
        <v>Old Dominion9</v>
      </c>
      <c r="C52" s="1" t="str">
        <f ca="1">IFERROR(__xludf.DUMMYFUNCTION("""COMPUTED_VALUE"""),"CAA")</f>
        <v>CAA</v>
      </c>
      <c r="D52" s="1" t="str">
        <f ca="1">IFERROR(__xludf.DUMMYFUNCTION("""COMPUTED_VALUE"""),"27-7")</f>
        <v>27-7</v>
      </c>
      <c r="E52" s="1" t="str">
        <f ca="1">IFERROR(__xludf.DUMMYFUNCTION("""COMPUTED_VALUE"""),"+14.66")</f>
        <v>+14.66</v>
      </c>
      <c r="F52" s="1">
        <f ca="1">IFERROR(__xludf.DUMMYFUNCTION("""COMPUTED_VALUE"""),110)</f>
        <v>110</v>
      </c>
      <c r="G52" s="1">
        <f ca="1">IFERROR(__xludf.DUMMYFUNCTION("""COMPUTED_VALUE"""),64)</f>
        <v>64</v>
      </c>
      <c r="H52" s="1">
        <f ca="1">IFERROR(__xludf.DUMMYFUNCTION("""COMPUTED_VALUE"""),95.4)</f>
        <v>95.4</v>
      </c>
      <c r="I52" s="1">
        <f ca="1">IFERROR(__xludf.DUMMYFUNCTION("""COMPUTED_VALUE"""),41)</f>
        <v>41</v>
      </c>
      <c r="J52" s="1">
        <f ca="1">IFERROR(__xludf.DUMMYFUNCTION("""COMPUTED_VALUE"""),60.4)</f>
        <v>60.4</v>
      </c>
      <c r="K52" s="1">
        <f ca="1">IFERROR(__xludf.DUMMYFUNCTION("""COMPUTED_VALUE"""),330)</f>
        <v>330</v>
      </c>
      <c r="L52" s="1" t="str">
        <f ca="1">IFERROR(__xludf.DUMMYFUNCTION("""COMPUTED_VALUE"""),"+.059")</f>
        <v>+.059</v>
      </c>
      <c r="M52" s="1">
        <f ca="1">IFERROR(__xludf.DUMMYFUNCTION("""COMPUTED_VALUE"""),41)</f>
        <v>41</v>
      </c>
      <c r="N52" s="1" t="str">
        <f ca="1">IFERROR(__xludf.DUMMYFUNCTION("""COMPUTED_VALUE"""),"+2.38")</f>
        <v>+2.38</v>
      </c>
      <c r="O52" s="1">
        <f ca="1">IFERROR(__xludf.DUMMYFUNCTION("""COMPUTED_VALUE"""),100)</f>
        <v>100</v>
      </c>
      <c r="P52" s="1">
        <f ca="1">IFERROR(__xludf.DUMMYFUNCTION("""COMPUTED_VALUE"""),105.2)</f>
        <v>105.2</v>
      </c>
      <c r="Q52" s="1">
        <f ca="1">IFERROR(__xludf.DUMMYFUNCTION("""COMPUTED_VALUE"""),91)</f>
        <v>91</v>
      </c>
      <c r="R52" s="1">
        <f ca="1">IFERROR(__xludf.DUMMYFUNCTION("""COMPUTED_VALUE"""),102.8)</f>
        <v>102.8</v>
      </c>
      <c r="S52" s="1">
        <f ca="1">IFERROR(__xludf.DUMMYFUNCTION("""COMPUTED_VALUE"""),126)</f>
        <v>126</v>
      </c>
      <c r="T52" s="1" t="str">
        <f ca="1">IFERROR(__xludf.DUMMYFUNCTION("""COMPUTED_VALUE"""),"+2.76")</f>
        <v>+2.76</v>
      </c>
      <c r="U52" s="1">
        <f ca="1">IFERROR(__xludf.DUMMYFUNCTION("""COMPUTED_VALUE"""),78)</f>
        <v>78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IFERROR(__xludf.DUMMYFUNCTION("""COMPUTED_VALUE"""),"Texas A&amp;M7")</f>
        <v>Texas A&amp;M7</v>
      </c>
      <c r="C53" s="1" t="str">
        <f ca="1">IFERROR(__xludf.DUMMYFUNCTION("""COMPUTED_VALUE"""),"B12")</f>
        <v>B12</v>
      </c>
      <c r="D53" s="1" t="str">
        <f ca="1">IFERROR(__xludf.DUMMYFUNCTION("""COMPUTED_VALUE"""),"24-9")</f>
        <v>24-9</v>
      </c>
      <c r="E53" s="1" t="str">
        <f ca="1">IFERROR(__xludf.DUMMYFUNCTION("""COMPUTED_VALUE"""),"+14.62")</f>
        <v>+14.62</v>
      </c>
      <c r="F53" s="1">
        <f ca="1">IFERROR(__xludf.DUMMYFUNCTION("""COMPUTED_VALUE"""),110)</f>
        <v>110</v>
      </c>
      <c r="G53" s="1">
        <f ca="1">IFERROR(__xludf.DUMMYFUNCTION("""COMPUTED_VALUE"""),65)</f>
        <v>65</v>
      </c>
      <c r="H53" s="1">
        <f ca="1">IFERROR(__xludf.DUMMYFUNCTION("""COMPUTED_VALUE"""),95.4)</f>
        <v>95.4</v>
      </c>
      <c r="I53" s="1">
        <f ca="1">IFERROR(__xludf.DUMMYFUNCTION("""COMPUTED_VALUE"""),42)</f>
        <v>42</v>
      </c>
      <c r="J53" s="1">
        <f ca="1">IFERROR(__xludf.DUMMYFUNCTION("""COMPUTED_VALUE"""),60.9)</f>
        <v>60.9</v>
      </c>
      <c r="K53" s="1">
        <f ca="1">IFERROR(__xludf.DUMMYFUNCTION("""COMPUTED_VALUE"""),328)</f>
        <v>328</v>
      </c>
      <c r="L53" s="1" t="str">
        <f ca="1">IFERROR(__xludf.DUMMYFUNCTION("""COMPUTED_VALUE"""),"+.050")</f>
        <v>+.050</v>
      </c>
      <c r="M53" s="1">
        <f ca="1">IFERROR(__xludf.DUMMYFUNCTION("""COMPUTED_VALUE"""),57)</f>
        <v>57</v>
      </c>
      <c r="N53" s="1" t="str">
        <f ca="1">IFERROR(__xludf.DUMMYFUNCTION("""COMPUTED_VALUE"""),"+5.43")</f>
        <v>+5.43</v>
      </c>
      <c r="O53" s="1">
        <f ca="1">IFERROR(__xludf.DUMMYFUNCTION("""COMPUTED_VALUE"""),67)</f>
        <v>67</v>
      </c>
      <c r="P53" s="1">
        <f ca="1">IFERROR(__xludf.DUMMYFUNCTION("""COMPUTED_VALUE"""),105.9)</f>
        <v>105.9</v>
      </c>
      <c r="Q53" s="1">
        <f ca="1">IFERROR(__xludf.DUMMYFUNCTION("""COMPUTED_VALUE"""),72)</f>
        <v>72</v>
      </c>
      <c r="R53" s="1">
        <f ca="1">IFERROR(__xludf.DUMMYFUNCTION("""COMPUTED_VALUE"""),100.5)</f>
        <v>100.5</v>
      </c>
      <c r="S53" s="1">
        <f ca="1">IFERROR(__xludf.DUMMYFUNCTION("""COMPUTED_VALUE"""),62)</f>
        <v>62</v>
      </c>
      <c r="T53" s="1">
        <f ca="1">IFERROR(__xludf.DUMMYFUNCTION("""COMPUTED_VALUE"""),-7.5)</f>
        <v>-7.5</v>
      </c>
      <c r="U53" s="1">
        <f ca="1">IFERROR(__xludf.DUMMYFUNCTION("""COMPUTED_VALUE"""),323)</f>
        <v>323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IFERROR(__xludf.DUMMYFUNCTION("""COMPUTED_VALUE"""),"Northwestern4")</f>
        <v>Northwestern4</v>
      </c>
      <c r="C54" s="1" t="str">
        <f ca="1">IFERROR(__xludf.DUMMYFUNCTION("""COMPUTED_VALUE"""),"B10")</f>
        <v>B10</v>
      </c>
      <c r="D54" s="1" t="str">
        <f ca="1">IFERROR(__xludf.DUMMYFUNCTION("""COMPUTED_VALUE"""),"20-14")</f>
        <v>20-14</v>
      </c>
      <c r="E54" s="1" t="str">
        <f ca="1">IFERROR(__xludf.DUMMYFUNCTION("""COMPUTED_VALUE"""),"+14.03")</f>
        <v>+14.03</v>
      </c>
      <c r="F54" s="1">
        <f ca="1">IFERROR(__xludf.DUMMYFUNCTION("""COMPUTED_VALUE"""),116.8)</f>
        <v>116.8</v>
      </c>
      <c r="G54" s="1">
        <f ca="1">IFERROR(__xludf.DUMMYFUNCTION("""COMPUTED_VALUE"""),15)</f>
        <v>15</v>
      </c>
      <c r="H54" s="1">
        <f ca="1">IFERROR(__xludf.DUMMYFUNCTION("""COMPUTED_VALUE"""),102.7)</f>
        <v>102.7</v>
      </c>
      <c r="I54" s="1">
        <f ca="1">IFERROR(__xludf.DUMMYFUNCTION("""COMPUTED_VALUE"""),152)</f>
        <v>152</v>
      </c>
      <c r="J54" s="1">
        <f ca="1">IFERROR(__xludf.DUMMYFUNCTION("""COMPUTED_VALUE"""),62.8)</f>
        <v>62.8</v>
      </c>
      <c r="K54" s="1">
        <f ca="1">IFERROR(__xludf.DUMMYFUNCTION("""COMPUTED_VALUE"""),283)</f>
        <v>283</v>
      </c>
      <c r="L54" s="1" t="str">
        <f ca="1">IFERROR(__xludf.DUMMYFUNCTION("""COMPUTED_VALUE"""),"+.008")</f>
        <v>+.008</v>
      </c>
      <c r="M54" s="1">
        <f ca="1">IFERROR(__xludf.DUMMYFUNCTION("""COMPUTED_VALUE"""),157)</f>
        <v>157</v>
      </c>
      <c r="N54" s="1" t="str">
        <f ca="1">IFERROR(__xludf.DUMMYFUNCTION("""COMPUTED_VALUE"""),"+8.91")</f>
        <v>+8.91</v>
      </c>
      <c r="O54" s="1">
        <f ca="1">IFERROR(__xludf.DUMMYFUNCTION("""COMPUTED_VALUE"""),25)</f>
        <v>25</v>
      </c>
      <c r="P54" s="1">
        <f ca="1">IFERROR(__xludf.DUMMYFUNCTION("""COMPUTED_VALUE"""),108.6)</f>
        <v>108.6</v>
      </c>
      <c r="Q54" s="1">
        <f ca="1">IFERROR(__xludf.DUMMYFUNCTION("""COMPUTED_VALUE"""),20)</f>
        <v>20</v>
      </c>
      <c r="R54" s="1">
        <f ca="1">IFERROR(__xludf.DUMMYFUNCTION("""COMPUTED_VALUE"""),99.7)</f>
        <v>99.7</v>
      </c>
      <c r="S54" s="1">
        <f ca="1">IFERROR(__xludf.DUMMYFUNCTION("""COMPUTED_VALUE"""),29)</f>
        <v>29</v>
      </c>
      <c r="T54" s="1">
        <f ca="1">IFERROR(__xludf.DUMMYFUNCTION("""COMPUTED_VALUE"""),-7.7)</f>
        <v>-7.7</v>
      </c>
      <c r="U54" s="1">
        <f ca="1">IFERROR(__xludf.DUMMYFUNCTION("""COMPUTED_VALUE"""),325)</f>
        <v>325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IFERROR(__xludf.DUMMYFUNCTION("""COMPUTED_VALUE"""),"Alabama1")</f>
        <v>Alabama1</v>
      </c>
      <c r="C55" s="1" t="str">
        <f ca="1">IFERROR(__xludf.DUMMYFUNCTION("""COMPUTED_VALUE"""),"SEC")</f>
        <v>SEC</v>
      </c>
      <c r="D55" s="1" t="str">
        <f ca="1">IFERROR(__xludf.DUMMYFUNCTION("""COMPUTED_VALUE"""),"25-12")</f>
        <v>25-12</v>
      </c>
      <c r="E55" s="1" t="str">
        <f ca="1">IFERROR(__xludf.DUMMYFUNCTION("""COMPUTED_VALUE"""),"+13.70")</f>
        <v>+13.70</v>
      </c>
      <c r="F55" s="1">
        <f ca="1">IFERROR(__xludf.DUMMYFUNCTION("""COMPUTED_VALUE"""),104.6)</f>
        <v>104.6</v>
      </c>
      <c r="G55" s="1">
        <f ca="1">IFERROR(__xludf.DUMMYFUNCTION("""COMPUTED_VALUE"""),144)</f>
        <v>144</v>
      </c>
      <c r="H55" s="1">
        <f ca="1">IFERROR(__xludf.DUMMYFUNCTION("""COMPUTED_VALUE"""),90.9)</f>
        <v>90.9</v>
      </c>
      <c r="I55" s="1">
        <f ca="1">IFERROR(__xludf.DUMMYFUNCTION("""COMPUTED_VALUE"""),7)</f>
        <v>7</v>
      </c>
      <c r="J55" s="1">
        <f ca="1">IFERROR(__xludf.DUMMYFUNCTION("""COMPUTED_VALUE"""),63.9)</f>
        <v>63.9</v>
      </c>
      <c r="K55" s="1">
        <f ca="1">IFERROR(__xludf.DUMMYFUNCTION("""COMPUTED_VALUE"""),245)</f>
        <v>245</v>
      </c>
      <c r="L55" s="1">
        <f ca="1">IFERROR(__xludf.DUMMYFUNCTION("""COMPUTED_VALUE"""),-0.003)</f>
        <v>-3.0000000000000001E-3</v>
      </c>
      <c r="M55" s="1">
        <f ca="1">IFERROR(__xludf.DUMMYFUNCTION("""COMPUTED_VALUE"""),190)</f>
        <v>190</v>
      </c>
      <c r="N55" s="1" t="str">
        <f ca="1">IFERROR(__xludf.DUMMYFUNCTION("""COMPUTED_VALUE"""),"+3.28")</f>
        <v>+3.28</v>
      </c>
      <c r="O55" s="1">
        <f ca="1">IFERROR(__xludf.DUMMYFUNCTION("""COMPUTED_VALUE"""),87)</f>
        <v>87</v>
      </c>
      <c r="P55" s="1">
        <f ca="1">IFERROR(__xludf.DUMMYFUNCTION("""COMPUTED_VALUE"""),104.8)</f>
        <v>104.8</v>
      </c>
      <c r="Q55" s="1">
        <f ca="1">IFERROR(__xludf.DUMMYFUNCTION("""COMPUTED_VALUE"""),102)</f>
        <v>102</v>
      </c>
      <c r="R55" s="1">
        <f ca="1">IFERROR(__xludf.DUMMYFUNCTION("""COMPUTED_VALUE"""),101.5)</f>
        <v>101.5</v>
      </c>
      <c r="S55" s="1">
        <f ca="1">IFERROR(__xludf.DUMMYFUNCTION("""COMPUTED_VALUE"""),84)</f>
        <v>84</v>
      </c>
      <c r="T55" s="1">
        <f ca="1">IFERROR(__xludf.DUMMYFUNCTION("""COMPUTED_VALUE"""),-5.62)</f>
        <v>-5.62</v>
      </c>
      <c r="U55" s="1">
        <f ca="1">IFERROR(__xludf.DUMMYFUNCTION("""COMPUTED_VALUE"""),302)</f>
        <v>302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IFERROR(__xludf.DUMMYFUNCTION("""COMPUTED_VALUE"""),"UCLA7")</f>
        <v>UCLA7</v>
      </c>
      <c r="C56" s="1" t="str">
        <f ca="1">IFERROR(__xludf.DUMMYFUNCTION("""COMPUTED_VALUE"""),"P10")</f>
        <v>P10</v>
      </c>
      <c r="D56" s="1" t="str">
        <f ca="1">IFERROR(__xludf.DUMMYFUNCTION("""COMPUTED_VALUE"""),"23-11")</f>
        <v>23-11</v>
      </c>
      <c r="E56" s="1" t="str">
        <f ca="1">IFERROR(__xludf.DUMMYFUNCTION("""COMPUTED_VALUE"""),"+13.57")</f>
        <v>+13.57</v>
      </c>
      <c r="F56" s="1">
        <f ca="1">IFERROR(__xludf.DUMMYFUNCTION("""COMPUTED_VALUE"""),108.7)</f>
        <v>108.7</v>
      </c>
      <c r="G56" s="1">
        <f ca="1">IFERROR(__xludf.DUMMYFUNCTION("""COMPUTED_VALUE"""),80)</f>
        <v>80</v>
      </c>
      <c r="H56" s="1">
        <f ca="1">IFERROR(__xludf.DUMMYFUNCTION("""COMPUTED_VALUE"""),95.1)</f>
        <v>95.1</v>
      </c>
      <c r="I56" s="1">
        <f ca="1">IFERROR(__xludf.DUMMYFUNCTION("""COMPUTED_VALUE"""),36)</f>
        <v>36</v>
      </c>
      <c r="J56" s="1">
        <f ca="1">IFERROR(__xludf.DUMMYFUNCTION("""COMPUTED_VALUE"""),65.5)</f>
        <v>65.5</v>
      </c>
      <c r="K56" s="1">
        <f ca="1">IFERROR(__xludf.DUMMYFUNCTION("""COMPUTED_VALUE"""),163)</f>
        <v>163</v>
      </c>
      <c r="L56" s="1" t="str">
        <f ca="1">IFERROR(__xludf.DUMMYFUNCTION("""COMPUTED_VALUE"""),"+.033")</f>
        <v>+.033</v>
      </c>
      <c r="M56" s="1">
        <f ca="1">IFERROR(__xludf.DUMMYFUNCTION("""COMPUTED_VALUE"""),95)</f>
        <v>95</v>
      </c>
      <c r="N56" s="1" t="str">
        <f ca="1">IFERROR(__xludf.DUMMYFUNCTION("""COMPUTED_VALUE"""),"+6.92")</f>
        <v>+6.92</v>
      </c>
      <c r="O56" s="1">
        <f ca="1">IFERROR(__xludf.DUMMYFUNCTION("""COMPUTED_VALUE"""),46)</f>
        <v>46</v>
      </c>
      <c r="P56" s="1">
        <f ca="1">IFERROR(__xludf.DUMMYFUNCTION("""COMPUTED_VALUE"""),107.3)</f>
        <v>107.3</v>
      </c>
      <c r="Q56" s="1">
        <f ca="1">IFERROR(__xludf.DUMMYFUNCTION("""COMPUTED_VALUE"""),38)</f>
        <v>38</v>
      </c>
      <c r="R56" s="1">
        <f ca="1">IFERROR(__xludf.DUMMYFUNCTION("""COMPUTED_VALUE"""),100.4)</f>
        <v>100.4</v>
      </c>
      <c r="S56" s="1">
        <f ca="1">IFERROR(__xludf.DUMMYFUNCTION("""COMPUTED_VALUE"""),56)</f>
        <v>56</v>
      </c>
      <c r="T56" s="1" t="str">
        <f ca="1">IFERROR(__xludf.DUMMYFUNCTION("""COMPUTED_VALUE"""),"+0.26")</f>
        <v>+0.26</v>
      </c>
      <c r="U56" s="1">
        <f ca="1">IFERROR(__xludf.DUMMYFUNCTION("""COMPUTED_VALUE"""),153)</f>
        <v>153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IFERROR(__xludf.DUMMYFUNCTION("""COMPUTED_VALUE"""),"VCU11")</f>
        <v>VCU11</v>
      </c>
      <c r="C57" s="1" t="str">
        <f ca="1">IFERROR(__xludf.DUMMYFUNCTION("""COMPUTED_VALUE"""),"CAA")</f>
        <v>CAA</v>
      </c>
      <c r="D57" s="1" t="str">
        <f ca="1">IFERROR(__xludf.DUMMYFUNCTION("""COMPUTED_VALUE"""),"28-12")</f>
        <v>28-12</v>
      </c>
      <c r="E57" s="1" t="str">
        <f ca="1">IFERROR(__xludf.DUMMYFUNCTION("""COMPUTED_VALUE"""),"+13.49")</f>
        <v>+13.49</v>
      </c>
      <c r="F57" s="1">
        <f ca="1">IFERROR(__xludf.DUMMYFUNCTION("""COMPUTED_VALUE"""),112)</f>
        <v>112</v>
      </c>
      <c r="G57" s="1">
        <f ca="1">IFERROR(__xludf.DUMMYFUNCTION("""COMPUTED_VALUE"""),47)</f>
        <v>47</v>
      </c>
      <c r="H57" s="1">
        <f ca="1">IFERROR(__xludf.DUMMYFUNCTION("""COMPUTED_VALUE"""),98.5)</f>
        <v>98.5</v>
      </c>
      <c r="I57" s="1">
        <f ca="1">IFERROR(__xludf.DUMMYFUNCTION("""COMPUTED_VALUE"""),78)</f>
        <v>78</v>
      </c>
      <c r="J57" s="1">
        <f ca="1">IFERROR(__xludf.DUMMYFUNCTION("""COMPUTED_VALUE"""),65.6)</f>
        <v>65.599999999999994</v>
      </c>
      <c r="K57" s="1">
        <f ca="1">IFERROR(__xludf.DUMMYFUNCTION("""COMPUTED_VALUE"""),156)</f>
        <v>156</v>
      </c>
      <c r="L57" s="1" t="str">
        <f ca="1">IFERROR(__xludf.DUMMYFUNCTION("""COMPUTED_VALUE"""),"+.021")</f>
        <v>+.021</v>
      </c>
      <c r="M57" s="1">
        <f ca="1">IFERROR(__xludf.DUMMYFUNCTION("""COMPUTED_VALUE"""),128)</f>
        <v>128</v>
      </c>
      <c r="N57" s="1" t="str">
        <f ca="1">IFERROR(__xludf.DUMMYFUNCTION("""COMPUTED_VALUE"""),"+4.79")</f>
        <v>+4.79</v>
      </c>
      <c r="O57" s="1">
        <f ca="1">IFERROR(__xludf.DUMMYFUNCTION("""COMPUTED_VALUE"""),70)</f>
        <v>70</v>
      </c>
      <c r="P57" s="1">
        <f ca="1">IFERROR(__xludf.DUMMYFUNCTION("""COMPUTED_VALUE"""),105.8)</f>
        <v>105.8</v>
      </c>
      <c r="Q57" s="1">
        <f ca="1">IFERROR(__xludf.DUMMYFUNCTION("""COMPUTED_VALUE"""),74)</f>
        <v>74</v>
      </c>
      <c r="R57" s="1">
        <f ca="1">IFERROR(__xludf.DUMMYFUNCTION("""COMPUTED_VALUE"""),101)</f>
        <v>101</v>
      </c>
      <c r="S57" s="1">
        <f ca="1">IFERROR(__xludf.DUMMYFUNCTION("""COMPUTED_VALUE"""),75)</f>
        <v>75</v>
      </c>
      <c r="T57" s="1" t="str">
        <f ca="1">IFERROR(__xludf.DUMMYFUNCTION("""COMPUTED_VALUE"""),"+2.26")</f>
        <v>+2.26</v>
      </c>
      <c r="U57" s="1">
        <f ca="1">IFERROR(__xludf.DUMMYFUNCTION("""COMPUTED_VALUE"""),89)</f>
        <v>89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IFERROR(__xludf.DUMMYFUNCTION("""COMPUTED_VALUE"""),"Colorado1")</f>
        <v>Colorado1</v>
      </c>
      <c r="C58" s="1" t="str">
        <f ca="1">IFERROR(__xludf.DUMMYFUNCTION("""COMPUTED_VALUE"""),"B12")</f>
        <v>B12</v>
      </c>
      <c r="D58" s="1" t="str">
        <f ca="1">IFERROR(__xludf.DUMMYFUNCTION("""COMPUTED_VALUE"""),"24-14")</f>
        <v>24-14</v>
      </c>
      <c r="E58" s="1" t="str">
        <f ca="1">IFERROR(__xludf.DUMMYFUNCTION("""COMPUTED_VALUE"""),"+13.45")</f>
        <v>+13.45</v>
      </c>
      <c r="F58" s="1">
        <f ca="1">IFERROR(__xludf.DUMMYFUNCTION("""COMPUTED_VALUE"""),117.7)</f>
        <v>117.7</v>
      </c>
      <c r="G58" s="1">
        <f ca="1">IFERROR(__xludf.DUMMYFUNCTION("""COMPUTED_VALUE"""),9)</f>
        <v>9</v>
      </c>
      <c r="H58" s="1">
        <f ca="1">IFERROR(__xludf.DUMMYFUNCTION("""COMPUTED_VALUE"""),104.3)</f>
        <v>104.3</v>
      </c>
      <c r="I58" s="1">
        <f ca="1">IFERROR(__xludf.DUMMYFUNCTION("""COMPUTED_VALUE"""),191)</f>
        <v>191</v>
      </c>
      <c r="J58" s="1">
        <f ca="1">IFERROR(__xludf.DUMMYFUNCTION("""COMPUTED_VALUE"""),66.8)</f>
        <v>66.8</v>
      </c>
      <c r="K58" s="1">
        <f ca="1">IFERROR(__xludf.DUMMYFUNCTION("""COMPUTED_VALUE"""),92)</f>
        <v>92</v>
      </c>
      <c r="L58" s="1">
        <f ca="1">IFERROR(__xludf.DUMMYFUNCTION("""COMPUTED_VALUE"""),-0.027)</f>
        <v>-2.7E-2</v>
      </c>
      <c r="M58" s="1">
        <f ca="1">IFERROR(__xludf.DUMMYFUNCTION("""COMPUTED_VALUE"""),247)</f>
        <v>247</v>
      </c>
      <c r="N58" s="1" t="str">
        <f ca="1">IFERROR(__xludf.DUMMYFUNCTION("""COMPUTED_VALUE"""),"+6.15")</f>
        <v>+6.15</v>
      </c>
      <c r="O58" s="1">
        <f ca="1">IFERROR(__xludf.DUMMYFUNCTION("""COMPUTED_VALUE"""),56)</f>
        <v>56</v>
      </c>
      <c r="P58" s="1">
        <f ca="1">IFERROR(__xludf.DUMMYFUNCTION("""COMPUTED_VALUE"""),106.5)</f>
        <v>106.5</v>
      </c>
      <c r="Q58" s="1">
        <f ca="1">IFERROR(__xludf.DUMMYFUNCTION("""COMPUTED_VALUE"""),58)</f>
        <v>58</v>
      </c>
      <c r="R58" s="1">
        <f ca="1">IFERROR(__xludf.DUMMYFUNCTION("""COMPUTED_VALUE"""),100.3)</f>
        <v>100.3</v>
      </c>
      <c r="S58" s="1">
        <f ca="1">IFERROR(__xludf.DUMMYFUNCTION("""COMPUTED_VALUE"""),55)</f>
        <v>55</v>
      </c>
      <c r="T58" s="1">
        <f ca="1">IFERROR(__xludf.DUMMYFUNCTION("""COMPUTED_VALUE"""),-7.18)</f>
        <v>-7.18</v>
      </c>
      <c r="U58" s="1">
        <f ca="1">IFERROR(__xludf.DUMMYFUNCTION("""COMPUTED_VALUE"""),320)</f>
        <v>320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IFERROR(__xludf.DUMMYFUNCTION("""COMPUTED_VALUE"""),"Duquesne")</f>
        <v>Duquesne</v>
      </c>
      <c r="C59" s="1" t="str">
        <f ca="1">IFERROR(__xludf.DUMMYFUNCTION("""COMPUTED_VALUE"""),"A10")</f>
        <v>A10</v>
      </c>
      <c r="D59" s="1" t="str">
        <f ca="1">IFERROR(__xludf.DUMMYFUNCTION("""COMPUTED_VALUE"""),"19-13")</f>
        <v>19-13</v>
      </c>
      <c r="E59" s="1" t="str">
        <f ca="1">IFERROR(__xludf.DUMMYFUNCTION("""COMPUTED_VALUE"""),"+13.36")</f>
        <v>+13.36</v>
      </c>
      <c r="F59" s="1">
        <f ca="1">IFERROR(__xludf.DUMMYFUNCTION("""COMPUTED_VALUE"""),108)</f>
        <v>108</v>
      </c>
      <c r="G59" s="1">
        <f ca="1">IFERROR(__xludf.DUMMYFUNCTION("""COMPUTED_VALUE"""),89)</f>
        <v>89</v>
      </c>
      <c r="H59" s="1">
        <f ca="1">IFERROR(__xludf.DUMMYFUNCTION("""COMPUTED_VALUE"""),94.7)</f>
        <v>94.7</v>
      </c>
      <c r="I59" s="1">
        <f ca="1">IFERROR(__xludf.DUMMYFUNCTION("""COMPUTED_VALUE"""),34)</f>
        <v>34</v>
      </c>
      <c r="J59" s="1">
        <f ca="1">IFERROR(__xludf.DUMMYFUNCTION("""COMPUTED_VALUE"""),70.9)</f>
        <v>70.900000000000006</v>
      </c>
      <c r="K59" s="1">
        <f ca="1">IFERROR(__xludf.DUMMYFUNCTION("""COMPUTED_VALUE"""),11)</f>
        <v>11</v>
      </c>
      <c r="L59" s="1">
        <f ca="1">IFERROR(__xludf.DUMMYFUNCTION("""COMPUTED_VALUE"""),-0.149)</f>
        <v>-0.14899999999999999</v>
      </c>
      <c r="M59" s="1">
        <f ca="1">IFERROR(__xludf.DUMMYFUNCTION("""COMPUTED_VALUE"""),344)</f>
        <v>344</v>
      </c>
      <c r="N59" s="1" t="str">
        <f ca="1">IFERROR(__xludf.DUMMYFUNCTION("""COMPUTED_VALUE"""),"+2.17")</f>
        <v>+2.17</v>
      </c>
      <c r="O59" s="1">
        <f ca="1">IFERROR(__xludf.DUMMYFUNCTION("""COMPUTED_VALUE"""),102)</f>
        <v>102</v>
      </c>
      <c r="P59" s="1">
        <f ca="1">IFERROR(__xludf.DUMMYFUNCTION("""COMPUTED_VALUE"""),104.8)</f>
        <v>104.8</v>
      </c>
      <c r="Q59" s="1">
        <f ca="1">IFERROR(__xludf.DUMMYFUNCTION("""COMPUTED_VALUE"""),103)</f>
        <v>103</v>
      </c>
      <c r="R59" s="1">
        <f ca="1">IFERROR(__xludf.DUMMYFUNCTION("""COMPUTED_VALUE"""),102.6)</f>
        <v>102.6</v>
      </c>
      <c r="S59" s="1">
        <f ca="1">IFERROR(__xludf.DUMMYFUNCTION("""COMPUTED_VALUE"""),117)</f>
        <v>117</v>
      </c>
      <c r="T59" s="1">
        <f ca="1">IFERROR(__xludf.DUMMYFUNCTION("""COMPUTED_VALUE"""),-0.08)</f>
        <v>-0.08</v>
      </c>
      <c r="U59" s="1">
        <f ca="1">IFERROR(__xludf.DUMMYFUNCTION("""COMPUTED_VALUE"""),157)</f>
        <v>157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IFERROR(__xludf.DUMMYFUNCTION("""COMPUTED_VALUE"""),"Oakland13")</f>
        <v>Oakland13</v>
      </c>
      <c r="C60" s="1" t="str">
        <f ca="1">IFERROR(__xludf.DUMMYFUNCTION("""COMPUTED_VALUE"""),"Sum")</f>
        <v>Sum</v>
      </c>
      <c r="D60" s="1" t="str">
        <f ca="1">IFERROR(__xludf.DUMMYFUNCTION("""COMPUTED_VALUE"""),"25-10")</f>
        <v>25-10</v>
      </c>
      <c r="E60" s="1" t="str">
        <f ca="1">IFERROR(__xludf.DUMMYFUNCTION("""COMPUTED_VALUE"""),"+13.31")</f>
        <v>+13.31</v>
      </c>
      <c r="F60" s="1">
        <f ca="1">IFERROR(__xludf.DUMMYFUNCTION("""COMPUTED_VALUE"""),118.6)</f>
        <v>118.6</v>
      </c>
      <c r="G60" s="1">
        <f ca="1">IFERROR(__xludf.DUMMYFUNCTION("""COMPUTED_VALUE"""),7)</f>
        <v>7</v>
      </c>
      <c r="H60" s="1">
        <f ca="1">IFERROR(__xludf.DUMMYFUNCTION("""COMPUTED_VALUE"""),105.3)</f>
        <v>105.3</v>
      </c>
      <c r="I60" s="1">
        <f ca="1">IFERROR(__xludf.DUMMYFUNCTION("""COMPUTED_VALUE"""),221)</f>
        <v>221</v>
      </c>
      <c r="J60" s="1">
        <f ca="1">IFERROR(__xludf.DUMMYFUNCTION("""COMPUTED_VALUE"""),71.1)</f>
        <v>71.099999999999994</v>
      </c>
      <c r="K60" s="1">
        <f ca="1">IFERROR(__xludf.DUMMYFUNCTION("""COMPUTED_VALUE"""),9)</f>
        <v>9</v>
      </c>
      <c r="L60" s="1" t="str">
        <f ca="1">IFERROR(__xludf.DUMMYFUNCTION("""COMPUTED_VALUE"""),"+.021")</f>
        <v>+.021</v>
      </c>
      <c r="M60" s="1">
        <f ca="1">IFERROR(__xludf.DUMMYFUNCTION("""COMPUTED_VALUE"""),129)</f>
        <v>129</v>
      </c>
      <c r="N60" s="1" t="str">
        <f ca="1">IFERROR(__xludf.DUMMYFUNCTION("""COMPUTED_VALUE"""),"+2.01")</f>
        <v>+2.01</v>
      </c>
      <c r="O60" s="1">
        <f ca="1">IFERROR(__xludf.DUMMYFUNCTION("""COMPUTED_VALUE"""),106)</f>
        <v>106</v>
      </c>
      <c r="P60" s="1">
        <f ca="1">IFERROR(__xludf.DUMMYFUNCTION("""COMPUTED_VALUE"""),106)</f>
        <v>106</v>
      </c>
      <c r="Q60" s="1">
        <f ca="1">IFERROR(__xludf.DUMMYFUNCTION("""COMPUTED_VALUE"""),68)</f>
        <v>68</v>
      </c>
      <c r="R60" s="1">
        <f ca="1">IFERROR(__xludf.DUMMYFUNCTION("""COMPUTED_VALUE"""),104)</f>
        <v>104</v>
      </c>
      <c r="S60" s="1">
        <f ca="1">IFERROR(__xludf.DUMMYFUNCTION("""COMPUTED_VALUE"""),180)</f>
        <v>180</v>
      </c>
      <c r="T60" s="1" t="str">
        <f ca="1">IFERROR(__xludf.DUMMYFUNCTION("""COMPUTED_VALUE"""),"+14.82")</f>
        <v>+14.82</v>
      </c>
      <c r="U60" s="1">
        <f ca="1">IFERROR(__xludf.DUMMYFUNCTION("""COMPUTED_VALUE"""),1)</f>
        <v>1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IFERROR(__xludf.DUMMYFUNCTION("""COMPUTED_VALUE"""),"USC11")</f>
        <v>USC11</v>
      </c>
      <c r="C61" s="1" t="str">
        <f ca="1">IFERROR(__xludf.DUMMYFUNCTION("""COMPUTED_VALUE"""),"P10")</f>
        <v>P10</v>
      </c>
      <c r="D61" s="1" t="str">
        <f ca="1">IFERROR(__xludf.DUMMYFUNCTION("""COMPUTED_VALUE"""),"19-15")</f>
        <v>19-15</v>
      </c>
      <c r="E61" s="1" t="str">
        <f ca="1">IFERROR(__xludf.DUMMYFUNCTION("""COMPUTED_VALUE"""),"+13.29")</f>
        <v>+13.29</v>
      </c>
      <c r="F61" s="1">
        <f ca="1">IFERROR(__xludf.DUMMYFUNCTION("""COMPUTED_VALUE"""),107.9)</f>
        <v>107.9</v>
      </c>
      <c r="G61" s="1">
        <f ca="1">IFERROR(__xludf.DUMMYFUNCTION("""COMPUTED_VALUE"""),91)</f>
        <v>91</v>
      </c>
      <c r="H61" s="1">
        <f ca="1">IFERROR(__xludf.DUMMYFUNCTION("""COMPUTED_VALUE"""),94.6)</f>
        <v>94.6</v>
      </c>
      <c r="I61" s="1">
        <f ca="1">IFERROR(__xludf.DUMMYFUNCTION("""COMPUTED_VALUE"""),33)</f>
        <v>33</v>
      </c>
      <c r="J61" s="1">
        <f ca="1">IFERROR(__xludf.DUMMYFUNCTION("""COMPUTED_VALUE"""),61.7)</f>
        <v>61.7</v>
      </c>
      <c r="K61" s="1">
        <f ca="1">IFERROR(__xludf.DUMMYFUNCTION("""COMPUTED_VALUE"""),318)</f>
        <v>318</v>
      </c>
      <c r="L61" s="1">
        <f ca="1">IFERROR(__xludf.DUMMYFUNCTION("""COMPUTED_VALUE"""),-0.05)</f>
        <v>-0.05</v>
      </c>
      <c r="M61" s="1">
        <f ca="1">IFERROR(__xludf.DUMMYFUNCTION("""COMPUTED_VALUE"""),294)</f>
        <v>294</v>
      </c>
      <c r="N61" s="1" t="str">
        <f ca="1">IFERROR(__xludf.DUMMYFUNCTION("""COMPUTED_VALUE"""),"+7.56")</f>
        <v>+7.56</v>
      </c>
      <c r="O61" s="1">
        <f ca="1">IFERROR(__xludf.DUMMYFUNCTION("""COMPUTED_VALUE"""),36)</f>
        <v>36</v>
      </c>
      <c r="P61" s="1">
        <f ca="1">IFERROR(__xludf.DUMMYFUNCTION("""COMPUTED_VALUE"""),107.8)</f>
        <v>107.8</v>
      </c>
      <c r="Q61" s="1">
        <f ca="1">IFERROR(__xludf.DUMMYFUNCTION("""COMPUTED_VALUE"""),29)</f>
        <v>29</v>
      </c>
      <c r="R61" s="1">
        <f ca="1">IFERROR(__xludf.DUMMYFUNCTION("""COMPUTED_VALUE"""),100.2)</f>
        <v>100.2</v>
      </c>
      <c r="S61" s="1">
        <f ca="1">IFERROR(__xludf.DUMMYFUNCTION("""COMPUTED_VALUE"""),53)</f>
        <v>53</v>
      </c>
      <c r="T61" s="1" t="str">
        <f ca="1">IFERROR(__xludf.DUMMYFUNCTION("""COMPUTED_VALUE"""),"+2.66")</f>
        <v>+2.66</v>
      </c>
      <c r="U61" s="1">
        <f ca="1">IFERROR(__xludf.DUMMYFUNCTION("""COMPUTED_VALUE"""),81)</f>
        <v>81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IFERROR(__xludf.DUMMYFUNCTION("""COMPUTED_VALUE"""),"Minnesota")</f>
        <v>Minnesota</v>
      </c>
      <c r="C62" s="1" t="str">
        <f ca="1">IFERROR(__xludf.DUMMYFUNCTION("""COMPUTED_VALUE"""),"B10")</f>
        <v>B10</v>
      </c>
      <c r="D62" s="1" t="str">
        <f ca="1">IFERROR(__xludf.DUMMYFUNCTION("""COMPUTED_VALUE"""),"17-14")</f>
        <v>17-14</v>
      </c>
      <c r="E62" s="1" t="str">
        <f ca="1">IFERROR(__xludf.DUMMYFUNCTION("""COMPUTED_VALUE"""),"+13.15")</f>
        <v>+13.15</v>
      </c>
      <c r="F62" s="1">
        <f ca="1">IFERROR(__xludf.DUMMYFUNCTION("""COMPUTED_VALUE"""),110.5)</f>
        <v>110.5</v>
      </c>
      <c r="G62" s="1">
        <f ca="1">IFERROR(__xludf.DUMMYFUNCTION("""COMPUTED_VALUE"""),59)</f>
        <v>59</v>
      </c>
      <c r="H62" s="1">
        <f ca="1">IFERROR(__xludf.DUMMYFUNCTION("""COMPUTED_VALUE"""),97.4)</f>
        <v>97.4</v>
      </c>
      <c r="I62" s="1">
        <f ca="1">IFERROR(__xludf.DUMMYFUNCTION("""COMPUTED_VALUE"""),64)</f>
        <v>64</v>
      </c>
      <c r="J62" s="1">
        <f ca="1">IFERROR(__xludf.DUMMYFUNCTION("""COMPUTED_VALUE"""),64.9)</f>
        <v>64.900000000000006</v>
      </c>
      <c r="K62" s="1">
        <f ca="1">IFERROR(__xludf.DUMMYFUNCTION("""COMPUTED_VALUE"""),194)</f>
        <v>194</v>
      </c>
      <c r="L62" s="1">
        <f ca="1">IFERROR(__xludf.DUMMYFUNCTION("""COMPUTED_VALUE"""),-0.018)</f>
        <v>-1.7999999999999999E-2</v>
      </c>
      <c r="M62" s="1">
        <f ca="1">IFERROR(__xludf.DUMMYFUNCTION("""COMPUTED_VALUE"""),226)</f>
        <v>226</v>
      </c>
      <c r="N62" s="1" t="str">
        <f ca="1">IFERROR(__xludf.DUMMYFUNCTION("""COMPUTED_VALUE"""),"+9.94")</f>
        <v>+9.94</v>
      </c>
      <c r="O62" s="1">
        <f ca="1">IFERROR(__xludf.DUMMYFUNCTION("""COMPUTED_VALUE"""),16)</f>
        <v>16</v>
      </c>
      <c r="P62" s="1">
        <f ca="1">IFERROR(__xludf.DUMMYFUNCTION("""COMPUTED_VALUE"""),110.1)</f>
        <v>110.1</v>
      </c>
      <c r="Q62" s="1">
        <f ca="1">IFERROR(__xludf.DUMMYFUNCTION("""COMPUTED_VALUE"""),7)</f>
        <v>7</v>
      </c>
      <c r="R62" s="1">
        <f ca="1">IFERROR(__xludf.DUMMYFUNCTION("""COMPUTED_VALUE"""),100.2)</f>
        <v>100.2</v>
      </c>
      <c r="S62" s="1">
        <f ca="1">IFERROR(__xludf.DUMMYFUNCTION("""COMPUTED_VALUE"""),50)</f>
        <v>50</v>
      </c>
      <c r="T62" s="1">
        <f ca="1">IFERROR(__xludf.DUMMYFUNCTION("""COMPUTED_VALUE"""),-0.82)</f>
        <v>-0.82</v>
      </c>
      <c r="U62" s="1">
        <f ca="1">IFERROR(__xludf.DUMMYFUNCTION("""COMPUTED_VALUE"""),183)</f>
        <v>183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IFERROR(__xludf.DUMMYFUNCTION("""COMPUTED_VALUE"""),"Seton Hall")</f>
        <v>Seton Hall</v>
      </c>
      <c r="C63" s="1" t="str">
        <f ca="1">IFERROR(__xludf.DUMMYFUNCTION("""COMPUTED_VALUE"""),"BE")</f>
        <v>BE</v>
      </c>
      <c r="D63" s="1" t="str">
        <f ca="1">IFERROR(__xludf.DUMMYFUNCTION("""COMPUTED_VALUE"""),"13-18")</f>
        <v>13-18</v>
      </c>
      <c r="E63" s="1" t="str">
        <f ca="1">IFERROR(__xludf.DUMMYFUNCTION("""COMPUTED_VALUE"""),"+12.93")</f>
        <v>+12.93</v>
      </c>
      <c r="F63" s="1">
        <f ca="1">IFERROR(__xludf.DUMMYFUNCTION("""COMPUTED_VALUE"""),104.4)</f>
        <v>104.4</v>
      </c>
      <c r="G63" s="1">
        <f ca="1">IFERROR(__xludf.DUMMYFUNCTION("""COMPUTED_VALUE"""),150)</f>
        <v>150</v>
      </c>
      <c r="H63" s="1">
        <f ca="1">IFERROR(__xludf.DUMMYFUNCTION("""COMPUTED_VALUE"""),91.5)</f>
        <v>91.5</v>
      </c>
      <c r="I63" s="1">
        <f ca="1">IFERROR(__xludf.DUMMYFUNCTION("""COMPUTED_VALUE"""),10)</f>
        <v>10</v>
      </c>
      <c r="J63" s="1">
        <f ca="1">IFERROR(__xludf.DUMMYFUNCTION("""COMPUTED_VALUE"""),67.6)</f>
        <v>67.599999999999994</v>
      </c>
      <c r="K63" s="1">
        <f ca="1">IFERROR(__xludf.DUMMYFUNCTION("""COMPUTED_VALUE"""),60)</f>
        <v>60</v>
      </c>
      <c r="L63" s="1">
        <f ca="1">IFERROR(__xludf.DUMMYFUNCTION("""COMPUTED_VALUE"""),-0.117)</f>
        <v>-0.11700000000000001</v>
      </c>
      <c r="M63" s="1">
        <f ca="1">IFERROR(__xludf.DUMMYFUNCTION("""COMPUTED_VALUE"""),338)</f>
        <v>338</v>
      </c>
      <c r="N63" s="1" t="str">
        <f ca="1">IFERROR(__xludf.DUMMYFUNCTION("""COMPUTED_VALUE"""),"+10.81")</f>
        <v>+10.81</v>
      </c>
      <c r="O63" s="1">
        <f ca="1">IFERROR(__xludf.DUMMYFUNCTION("""COMPUTED_VALUE"""),12)</f>
        <v>12</v>
      </c>
      <c r="P63" s="1">
        <f ca="1">IFERROR(__xludf.DUMMYFUNCTION("""COMPUTED_VALUE"""),109)</f>
        <v>109</v>
      </c>
      <c r="Q63" s="1">
        <f ca="1">IFERROR(__xludf.DUMMYFUNCTION("""COMPUTED_VALUE"""),16)</f>
        <v>16</v>
      </c>
      <c r="R63" s="1">
        <f ca="1">IFERROR(__xludf.DUMMYFUNCTION("""COMPUTED_VALUE"""),98.2)</f>
        <v>98.2</v>
      </c>
      <c r="S63" s="1">
        <f ca="1">IFERROR(__xludf.DUMMYFUNCTION("""COMPUTED_VALUE"""),4)</f>
        <v>4</v>
      </c>
      <c r="T63" s="1" t="str">
        <f ca="1">IFERROR(__xludf.DUMMYFUNCTION("""COMPUTED_VALUE"""),"+2.97")</f>
        <v>+2.97</v>
      </c>
      <c r="U63" s="1">
        <f ca="1">IFERROR(__xludf.DUMMYFUNCTION("""COMPUTED_VALUE"""),73)</f>
        <v>73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IFERROR(__xludf.DUMMYFUNCTION("""COMPUTED_VALUE"""),"Washington St.2")</f>
        <v>Washington St.2</v>
      </c>
      <c r="C64" s="1" t="str">
        <f ca="1">IFERROR(__xludf.DUMMYFUNCTION("""COMPUTED_VALUE"""),"P10")</f>
        <v>P10</v>
      </c>
      <c r="D64" s="1" t="str">
        <f ca="1">IFERROR(__xludf.DUMMYFUNCTION("""COMPUTED_VALUE"""),"22-13")</f>
        <v>22-13</v>
      </c>
      <c r="E64" s="1" t="str">
        <f ca="1">IFERROR(__xludf.DUMMYFUNCTION("""COMPUTED_VALUE"""),"+12.78")</f>
        <v>+12.78</v>
      </c>
      <c r="F64" s="1">
        <f ca="1">IFERROR(__xludf.DUMMYFUNCTION("""COMPUTED_VALUE"""),108.1)</f>
        <v>108.1</v>
      </c>
      <c r="G64" s="1">
        <f ca="1">IFERROR(__xludf.DUMMYFUNCTION("""COMPUTED_VALUE"""),88)</f>
        <v>88</v>
      </c>
      <c r="H64" s="1">
        <f ca="1">IFERROR(__xludf.DUMMYFUNCTION("""COMPUTED_VALUE"""),95.3)</f>
        <v>95.3</v>
      </c>
      <c r="I64" s="1">
        <f ca="1">IFERROR(__xludf.DUMMYFUNCTION("""COMPUTED_VALUE"""),39)</f>
        <v>39</v>
      </c>
      <c r="J64" s="1">
        <f ca="1">IFERROR(__xludf.DUMMYFUNCTION("""COMPUTED_VALUE"""),67.4)</f>
        <v>67.400000000000006</v>
      </c>
      <c r="K64" s="1">
        <f ca="1">IFERROR(__xludf.DUMMYFUNCTION("""COMPUTED_VALUE"""),65)</f>
        <v>65</v>
      </c>
      <c r="L64" s="1" t="str">
        <f ca="1">IFERROR(__xludf.DUMMYFUNCTION("""COMPUTED_VALUE"""),"+.002")</f>
        <v>+.002</v>
      </c>
      <c r="M64" s="1">
        <f ca="1">IFERROR(__xludf.DUMMYFUNCTION("""COMPUTED_VALUE"""),179)</f>
        <v>179</v>
      </c>
      <c r="N64" s="1" t="str">
        <f ca="1">IFERROR(__xludf.DUMMYFUNCTION("""COMPUTED_VALUE"""),"+6.91")</f>
        <v>+6.91</v>
      </c>
      <c r="O64" s="1">
        <f ca="1">IFERROR(__xludf.DUMMYFUNCTION("""COMPUTED_VALUE"""),47)</f>
        <v>47</v>
      </c>
      <c r="P64" s="1">
        <f ca="1">IFERROR(__xludf.DUMMYFUNCTION("""COMPUTED_VALUE"""),107.3)</f>
        <v>107.3</v>
      </c>
      <c r="Q64" s="1">
        <f ca="1">IFERROR(__xludf.DUMMYFUNCTION("""COMPUTED_VALUE"""),35)</f>
        <v>35</v>
      </c>
      <c r="R64" s="1">
        <f ca="1">IFERROR(__xludf.DUMMYFUNCTION("""COMPUTED_VALUE"""),100.4)</f>
        <v>100.4</v>
      </c>
      <c r="S64" s="1">
        <f ca="1">IFERROR(__xludf.DUMMYFUNCTION("""COMPUTED_VALUE"""),60)</f>
        <v>60</v>
      </c>
      <c r="T64" s="1" t="str">
        <f ca="1">IFERROR(__xludf.DUMMYFUNCTION("""COMPUTED_VALUE"""),"+0.35")</f>
        <v>+0.35</v>
      </c>
      <c r="U64" s="1">
        <f ca="1">IFERROR(__xludf.DUMMYFUNCTION("""COMPUTED_VALUE"""),149)</f>
        <v>149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IFERROR(__xludf.DUMMYFUNCTION("""COMPUTED_VALUE"""),"Miami FL2")</f>
        <v>Miami FL2</v>
      </c>
      <c r="C65" s="1" t="str">
        <f ca="1">IFERROR(__xludf.DUMMYFUNCTION("""COMPUTED_VALUE"""),"ACC")</f>
        <v>ACC</v>
      </c>
      <c r="D65" s="1" t="str">
        <f ca="1">IFERROR(__xludf.DUMMYFUNCTION("""COMPUTED_VALUE"""),"21-15")</f>
        <v>21-15</v>
      </c>
      <c r="E65" s="1" t="str">
        <f ca="1">IFERROR(__xludf.DUMMYFUNCTION("""COMPUTED_VALUE"""),"+12.59")</f>
        <v>+12.59</v>
      </c>
      <c r="F65" s="1">
        <f ca="1">IFERROR(__xludf.DUMMYFUNCTION("""COMPUTED_VALUE"""),112.8)</f>
        <v>112.8</v>
      </c>
      <c r="G65" s="1">
        <f ca="1">IFERROR(__xludf.DUMMYFUNCTION("""COMPUTED_VALUE"""),38)</f>
        <v>38</v>
      </c>
      <c r="H65" s="1">
        <f ca="1">IFERROR(__xludf.DUMMYFUNCTION("""COMPUTED_VALUE"""),100.2)</f>
        <v>100.2</v>
      </c>
      <c r="I65" s="1">
        <f ca="1">IFERROR(__xludf.DUMMYFUNCTION("""COMPUTED_VALUE"""),105)</f>
        <v>105</v>
      </c>
      <c r="J65" s="1">
        <f ca="1">IFERROR(__xludf.DUMMYFUNCTION("""COMPUTED_VALUE"""),64.4)</f>
        <v>64.400000000000006</v>
      </c>
      <c r="K65" s="1">
        <f ca="1">IFERROR(__xludf.DUMMYFUNCTION("""COMPUTED_VALUE"""),228)</f>
        <v>228</v>
      </c>
      <c r="L65" s="1">
        <f ca="1">IFERROR(__xludf.DUMMYFUNCTION("""COMPUTED_VALUE"""),-0.05)</f>
        <v>-0.05</v>
      </c>
      <c r="M65" s="1">
        <f ca="1">IFERROR(__xludf.DUMMYFUNCTION("""COMPUTED_VALUE"""),295)</f>
        <v>295</v>
      </c>
      <c r="N65" s="1" t="str">
        <f ca="1">IFERROR(__xludf.DUMMYFUNCTION("""COMPUTED_VALUE"""),"+6.36")</f>
        <v>+6.36</v>
      </c>
      <c r="O65" s="1">
        <f ca="1">IFERROR(__xludf.DUMMYFUNCTION("""COMPUTED_VALUE"""),54)</f>
        <v>54</v>
      </c>
      <c r="P65" s="1">
        <f ca="1">IFERROR(__xludf.DUMMYFUNCTION("""COMPUTED_VALUE"""),106.4)</f>
        <v>106.4</v>
      </c>
      <c r="Q65" s="1">
        <f ca="1">IFERROR(__xludf.DUMMYFUNCTION("""COMPUTED_VALUE"""),63)</f>
        <v>63</v>
      </c>
      <c r="R65" s="1">
        <f ca="1">IFERROR(__xludf.DUMMYFUNCTION("""COMPUTED_VALUE"""),100)</f>
        <v>100</v>
      </c>
      <c r="S65" s="1">
        <f ca="1">IFERROR(__xludf.DUMMYFUNCTION("""COMPUTED_VALUE"""),44)</f>
        <v>44</v>
      </c>
      <c r="T65" s="1">
        <f ca="1">IFERROR(__xludf.DUMMYFUNCTION("""COMPUTED_VALUE"""),-1.93)</f>
        <v>-1.93</v>
      </c>
      <c r="U65" s="1">
        <f ca="1">IFERROR(__xludf.DUMMYFUNCTION("""COMPUTED_VALUE"""),208)</f>
        <v>208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IFERROR(__xludf.DUMMYFUNCTION("""COMPUTED_VALUE"""),"Tennessee9")</f>
        <v>Tennessee9</v>
      </c>
      <c r="C66" s="1" t="str">
        <f ca="1">IFERROR(__xludf.DUMMYFUNCTION("""COMPUTED_VALUE"""),"SEC")</f>
        <v>SEC</v>
      </c>
      <c r="D66" s="1" t="str">
        <f ca="1">IFERROR(__xludf.DUMMYFUNCTION("""COMPUTED_VALUE"""),"19-15")</f>
        <v>19-15</v>
      </c>
      <c r="E66" s="1" t="str">
        <f ca="1">IFERROR(__xludf.DUMMYFUNCTION("""COMPUTED_VALUE"""),"+12.41")</f>
        <v>+12.41</v>
      </c>
      <c r="F66" s="1">
        <f ca="1">IFERROR(__xludf.DUMMYFUNCTION("""COMPUTED_VALUE"""),108)</f>
        <v>108</v>
      </c>
      <c r="G66" s="1">
        <f ca="1">IFERROR(__xludf.DUMMYFUNCTION("""COMPUTED_VALUE"""),90)</f>
        <v>90</v>
      </c>
      <c r="H66" s="1">
        <f ca="1">IFERROR(__xludf.DUMMYFUNCTION("""COMPUTED_VALUE"""),95.6)</f>
        <v>95.6</v>
      </c>
      <c r="I66" s="1">
        <f ca="1">IFERROR(__xludf.DUMMYFUNCTION("""COMPUTED_VALUE"""),43)</f>
        <v>43</v>
      </c>
      <c r="J66" s="1">
        <f ca="1">IFERROR(__xludf.DUMMYFUNCTION("""COMPUTED_VALUE"""),66.1)</f>
        <v>66.099999999999994</v>
      </c>
      <c r="K66" s="1">
        <f ca="1">IFERROR(__xludf.DUMMYFUNCTION("""COMPUTED_VALUE"""),131)</f>
        <v>131</v>
      </c>
      <c r="L66" s="1">
        <f ca="1">IFERROR(__xludf.DUMMYFUNCTION("""COMPUTED_VALUE"""),-0.013)</f>
        <v>-1.2999999999999999E-2</v>
      </c>
      <c r="M66" s="1">
        <f ca="1">IFERROR(__xludf.DUMMYFUNCTION("""COMPUTED_VALUE"""),214)</f>
        <v>214</v>
      </c>
      <c r="N66" s="1" t="str">
        <f ca="1">IFERROR(__xludf.DUMMYFUNCTION("""COMPUTED_VALUE"""),"+9.07")</f>
        <v>+9.07</v>
      </c>
      <c r="O66" s="1">
        <f ca="1">IFERROR(__xludf.DUMMYFUNCTION("""COMPUTED_VALUE"""),22)</f>
        <v>22</v>
      </c>
      <c r="P66" s="1">
        <f ca="1">IFERROR(__xludf.DUMMYFUNCTION("""COMPUTED_VALUE"""),108.6)</f>
        <v>108.6</v>
      </c>
      <c r="Q66" s="1">
        <f ca="1">IFERROR(__xludf.DUMMYFUNCTION("""COMPUTED_VALUE"""),19)</f>
        <v>19</v>
      </c>
      <c r="R66" s="1">
        <f ca="1">IFERROR(__xludf.DUMMYFUNCTION("""COMPUTED_VALUE"""),99.6)</f>
        <v>99.6</v>
      </c>
      <c r="S66" s="1">
        <f ca="1">IFERROR(__xludf.DUMMYFUNCTION("""COMPUTED_VALUE"""),28)</f>
        <v>28</v>
      </c>
      <c r="T66" s="1" t="str">
        <f ca="1">IFERROR(__xludf.DUMMYFUNCTION("""COMPUTED_VALUE"""),"+6.45")</f>
        <v>+6.45</v>
      </c>
      <c r="U66" s="1">
        <f ca="1">IFERROR(__xludf.DUMMYFUNCTION("""COMPUTED_VALUE"""),27)</f>
        <v>27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IFERROR(__xludf.DUMMYFUNCTION("""COMPUTED_VALUE"""),"Georgia10")</f>
        <v>Georgia10</v>
      </c>
      <c r="C67" s="1" t="str">
        <f ca="1">IFERROR(__xludf.DUMMYFUNCTION("""COMPUTED_VALUE"""),"SEC")</f>
        <v>SEC</v>
      </c>
      <c r="D67" s="1" t="str">
        <f ca="1">IFERROR(__xludf.DUMMYFUNCTION("""COMPUTED_VALUE"""),"21-12")</f>
        <v>21-12</v>
      </c>
      <c r="E67" s="1" t="str">
        <f ca="1">IFERROR(__xludf.DUMMYFUNCTION("""COMPUTED_VALUE"""),"+12.24")</f>
        <v>+12.24</v>
      </c>
      <c r="F67" s="1">
        <f ca="1">IFERROR(__xludf.DUMMYFUNCTION("""COMPUTED_VALUE"""),108.2)</f>
        <v>108.2</v>
      </c>
      <c r="G67" s="1">
        <f ca="1">IFERROR(__xludf.DUMMYFUNCTION("""COMPUTED_VALUE"""),86)</f>
        <v>86</v>
      </c>
      <c r="H67" s="1">
        <f ca="1">IFERROR(__xludf.DUMMYFUNCTION("""COMPUTED_VALUE"""),95.9)</f>
        <v>95.9</v>
      </c>
      <c r="I67" s="1">
        <f ca="1">IFERROR(__xludf.DUMMYFUNCTION("""COMPUTED_VALUE"""),47)</f>
        <v>47</v>
      </c>
      <c r="J67" s="1">
        <f ca="1">IFERROR(__xludf.DUMMYFUNCTION("""COMPUTED_VALUE"""),63.5)</f>
        <v>63.5</v>
      </c>
      <c r="K67" s="1">
        <f ca="1">IFERROR(__xludf.DUMMYFUNCTION("""COMPUTED_VALUE"""),261)</f>
        <v>261</v>
      </c>
      <c r="L67" s="1">
        <f ca="1">IFERROR(__xludf.DUMMYFUNCTION("""COMPUTED_VALUE"""),-0.003)</f>
        <v>-3.0000000000000001E-3</v>
      </c>
      <c r="M67" s="1">
        <f ca="1">IFERROR(__xludf.DUMMYFUNCTION("""COMPUTED_VALUE"""),193)</f>
        <v>193</v>
      </c>
      <c r="N67" s="1" t="str">
        <f ca="1">IFERROR(__xludf.DUMMYFUNCTION("""COMPUTED_VALUE"""),"+5.83")</f>
        <v>+5.83</v>
      </c>
      <c r="O67" s="1">
        <f ca="1">IFERROR(__xludf.DUMMYFUNCTION("""COMPUTED_VALUE"""),61)</f>
        <v>61</v>
      </c>
      <c r="P67" s="1">
        <f ca="1">IFERROR(__xludf.DUMMYFUNCTION("""COMPUTED_VALUE"""),106.2)</f>
        <v>106.2</v>
      </c>
      <c r="Q67" s="1">
        <f ca="1">IFERROR(__xludf.DUMMYFUNCTION("""COMPUTED_VALUE"""),65)</f>
        <v>65</v>
      </c>
      <c r="R67" s="1">
        <f ca="1">IFERROR(__xludf.DUMMYFUNCTION("""COMPUTED_VALUE"""),100.4)</f>
        <v>100.4</v>
      </c>
      <c r="S67" s="1">
        <f ca="1">IFERROR(__xludf.DUMMYFUNCTION("""COMPUTED_VALUE"""),58)</f>
        <v>58</v>
      </c>
      <c r="T67" s="1">
        <f ca="1">IFERROR(__xludf.DUMMYFUNCTION("""COMPUTED_VALUE"""),-0.69)</f>
        <v>-0.69</v>
      </c>
      <c r="U67" s="1">
        <f ca="1">IFERROR(__xludf.DUMMYFUNCTION("""COMPUTED_VALUE"""),176)</f>
        <v>176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IFERROR(__xludf.DUMMYFUNCTION("""COMPUTED_VALUE"""),"Nebraska5")</f>
        <v>Nebraska5</v>
      </c>
      <c r="C68" s="1" t="str">
        <f ca="1">IFERROR(__xludf.DUMMYFUNCTION("""COMPUTED_VALUE"""),"B12")</f>
        <v>B12</v>
      </c>
      <c r="D68" s="1" t="str">
        <f ca="1">IFERROR(__xludf.DUMMYFUNCTION("""COMPUTED_VALUE"""),"19-13")</f>
        <v>19-13</v>
      </c>
      <c r="E68" s="1" t="str">
        <f ca="1">IFERROR(__xludf.DUMMYFUNCTION("""COMPUTED_VALUE"""),"+11.82")</f>
        <v>+11.82</v>
      </c>
      <c r="F68" s="1">
        <f ca="1">IFERROR(__xludf.DUMMYFUNCTION("""COMPUTED_VALUE"""),104.9)</f>
        <v>104.9</v>
      </c>
      <c r="G68" s="1">
        <f ca="1">IFERROR(__xludf.DUMMYFUNCTION("""COMPUTED_VALUE"""),133)</f>
        <v>133</v>
      </c>
      <c r="H68" s="1">
        <f ca="1">IFERROR(__xludf.DUMMYFUNCTION("""COMPUTED_VALUE"""),93.1)</f>
        <v>93.1</v>
      </c>
      <c r="I68" s="1">
        <f ca="1">IFERROR(__xludf.DUMMYFUNCTION("""COMPUTED_VALUE"""),22)</f>
        <v>22</v>
      </c>
      <c r="J68" s="1">
        <f ca="1">IFERROR(__xludf.DUMMYFUNCTION("""COMPUTED_VALUE"""),62.2)</f>
        <v>62.2</v>
      </c>
      <c r="K68" s="1">
        <f ca="1">IFERROR(__xludf.DUMMYFUNCTION("""COMPUTED_VALUE"""),308)</f>
        <v>308</v>
      </c>
      <c r="L68" s="1">
        <f ca="1">IFERROR(__xludf.DUMMYFUNCTION("""COMPUTED_VALUE"""),-0.049)</f>
        <v>-4.9000000000000002E-2</v>
      </c>
      <c r="M68" s="1">
        <f ca="1">IFERROR(__xludf.DUMMYFUNCTION("""COMPUTED_VALUE"""),292)</f>
        <v>292</v>
      </c>
      <c r="N68" s="1" t="str">
        <f ca="1">IFERROR(__xludf.DUMMYFUNCTION("""COMPUTED_VALUE"""),"+4.21")</f>
        <v>+4.21</v>
      </c>
      <c r="O68" s="1">
        <f ca="1">IFERROR(__xludf.DUMMYFUNCTION("""COMPUTED_VALUE"""),77)</f>
        <v>77</v>
      </c>
      <c r="P68" s="1">
        <f ca="1">IFERROR(__xludf.DUMMYFUNCTION("""COMPUTED_VALUE"""),105.6)</f>
        <v>105.6</v>
      </c>
      <c r="Q68" s="1">
        <f ca="1">IFERROR(__xludf.DUMMYFUNCTION("""COMPUTED_VALUE"""),80)</f>
        <v>80</v>
      </c>
      <c r="R68" s="1">
        <f ca="1">IFERROR(__xludf.DUMMYFUNCTION("""COMPUTED_VALUE"""),101.4)</f>
        <v>101.4</v>
      </c>
      <c r="S68" s="1">
        <f ca="1">IFERROR(__xludf.DUMMYFUNCTION("""COMPUTED_VALUE"""),80)</f>
        <v>80</v>
      </c>
      <c r="T68" s="1">
        <f ca="1">IFERROR(__xludf.DUMMYFUNCTION("""COMPUTED_VALUE"""),-11.74)</f>
        <v>-11.74</v>
      </c>
      <c r="U68" s="1">
        <f ca="1">IFERROR(__xludf.DUMMYFUNCTION("""COMPUTED_VALUE"""),343)</f>
        <v>343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IFERROR(__xludf.DUMMYFUNCTION("""COMPUTED_VALUE"""),"UAB12")</f>
        <v>UAB12</v>
      </c>
      <c r="C69" s="1" t="str">
        <f ca="1">IFERROR(__xludf.DUMMYFUNCTION("""COMPUTED_VALUE"""),"CUSA")</f>
        <v>CUSA</v>
      </c>
      <c r="D69" s="1" t="str">
        <f ca="1">IFERROR(__xludf.DUMMYFUNCTION("""COMPUTED_VALUE"""),"22-9")</f>
        <v>22-9</v>
      </c>
      <c r="E69" s="1" t="str">
        <f ca="1">IFERROR(__xludf.DUMMYFUNCTION("""COMPUTED_VALUE"""),"+11.64")</f>
        <v>+11.64</v>
      </c>
      <c r="F69" s="1">
        <f ca="1">IFERROR(__xludf.DUMMYFUNCTION("""COMPUTED_VALUE"""),108.8)</f>
        <v>108.8</v>
      </c>
      <c r="G69" s="1">
        <f ca="1">IFERROR(__xludf.DUMMYFUNCTION("""COMPUTED_VALUE"""),78)</f>
        <v>78</v>
      </c>
      <c r="H69" s="1">
        <f ca="1">IFERROR(__xludf.DUMMYFUNCTION("""COMPUTED_VALUE"""),97.2)</f>
        <v>97.2</v>
      </c>
      <c r="I69" s="1">
        <f ca="1">IFERROR(__xludf.DUMMYFUNCTION("""COMPUTED_VALUE"""),60)</f>
        <v>60</v>
      </c>
      <c r="J69" s="1">
        <f ca="1">IFERROR(__xludf.DUMMYFUNCTION("""COMPUTED_VALUE"""),61.8)</f>
        <v>61.8</v>
      </c>
      <c r="K69" s="1">
        <f ca="1">IFERROR(__xludf.DUMMYFUNCTION("""COMPUTED_VALUE"""),314)</f>
        <v>314</v>
      </c>
      <c r="L69" s="1" t="str">
        <f ca="1">IFERROR(__xludf.DUMMYFUNCTION("""COMPUTED_VALUE"""),"+.025")</f>
        <v>+.025</v>
      </c>
      <c r="M69" s="1">
        <f ca="1">IFERROR(__xludf.DUMMYFUNCTION("""COMPUTED_VALUE"""),118)</f>
        <v>118</v>
      </c>
      <c r="N69" s="1" t="str">
        <f ca="1">IFERROR(__xludf.DUMMYFUNCTION("""COMPUTED_VALUE"""),"+2.16")</f>
        <v>+2.16</v>
      </c>
      <c r="O69" s="1">
        <f ca="1">IFERROR(__xludf.DUMMYFUNCTION("""COMPUTED_VALUE"""),103)</f>
        <v>103</v>
      </c>
      <c r="P69" s="1">
        <f ca="1">IFERROR(__xludf.DUMMYFUNCTION("""COMPUTED_VALUE"""),104.3)</f>
        <v>104.3</v>
      </c>
      <c r="Q69" s="1">
        <f ca="1">IFERROR(__xludf.DUMMYFUNCTION("""COMPUTED_VALUE"""),121)</f>
        <v>121</v>
      </c>
      <c r="R69" s="1">
        <f ca="1">IFERROR(__xludf.DUMMYFUNCTION("""COMPUTED_VALUE"""),102.1)</f>
        <v>102.1</v>
      </c>
      <c r="S69" s="1">
        <f ca="1">IFERROR(__xludf.DUMMYFUNCTION("""COMPUTED_VALUE"""),98)</f>
        <v>98</v>
      </c>
      <c r="T69" s="1">
        <f ca="1">IFERROR(__xludf.DUMMYFUNCTION("""COMPUTED_VALUE"""),-2.02)</f>
        <v>-2.02</v>
      </c>
      <c r="U69" s="1">
        <f ca="1">IFERROR(__xludf.DUMMYFUNCTION("""COMPUTED_VALUE"""),210)</f>
        <v>210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IFERROR(__xludf.DUMMYFUNCTION("""COMPUTED_VALUE"""),"Iona")</f>
        <v>Iona</v>
      </c>
      <c r="C70" s="1" t="str">
        <f ca="1">IFERROR(__xludf.DUMMYFUNCTION("""COMPUTED_VALUE"""),"MAAC")</f>
        <v>MAAC</v>
      </c>
      <c r="D70" s="1" t="str">
        <f ca="1">IFERROR(__xludf.DUMMYFUNCTION("""COMPUTED_VALUE"""),"25-12")</f>
        <v>25-12</v>
      </c>
      <c r="E70" s="1" t="str">
        <f ca="1">IFERROR(__xludf.DUMMYFUNCTION("""COMPUTED_VALUE"""),"+11.61")</f>
        <v>+11.61</v>
      </c>
      <c r="F70" s="1">
        <f ca="1">IFERROR(__xludf.DUMMYFUNCTION("""COMPUTED_VALUE"""),113.6)</f>
        <v>113.6</v>
      </c>
      <c r="G70" s="1">
        <f ca="1">IFERROR(__xludf.DUMMYFUNCTION("""COMPUTED_VALUE"""),32)</f>
        <v>32</v>
      </c>
      <c r="H70" s="1">
        <f ca="1">IFERROR(__xludf.DUMMYFUNCTION("""COMPUTED_VALUE"""),102)</f>
        <v>102</v>
      </c>
      <c r="I70" s="1">
        <f ca="1">IFERROR(__xludf.DUMMYFUNCTION("""COMPUTED_VALUE"""),132)</f>
        <v>132</v>
      </c>
      <c r="J70" s="1">
        <f ca="1">IFERROR(__xludf.DUMMYFUNCTION("""COMPUTED_VALUE"""),68.3)</f>
        <v>68.3</v>
      </c>
      <c r="K70" s="1">
        <f ca="1">IFERROR(__xludf.DUMMYFUNCTION("""COMPUTED_VALUE"""),45)</f>
        <v>45</v>
      </c>
      <c r="L70" s="1">
        <f ca="1">IFERROR(__xludf.DUMMYFUNCTION("""COMPUTED_VALUE"""),-0.086)</f>
        <v>-8.5999999999999993E-2</v>
      </c>
      <c r="M70" s="1">
        <f ca="1">IFERROR(__xludf.DUMMYFUNCTION("""COMPUTED_VALUE"""),328)</f>
        <v>328</v>
      </c>
      <c r="N70" s="1">
        <f ca="1">IFERROR(__xludf.DUMMYFUNCTION("""COMPUTED_VALUE"""),-1.5)</f>
        <v>-1.5</v>
      </c>
      <c r="O70" s="1">
        <f ca="1">IFERROR(__xludf.DUMMYFUNCTION("""COMPUTED_VALUE"""),182)</f>
        <v>182</v>
      </c>
      <c r="P70" s="1">
        <f ca="1">IFERROR(__xludf.DUMMYFUNCTION("""COMPUTED_VALUE"""),101.4)</f>
        <v>101.4</v>
      </c>
      <c r="Q70" s="1">
        <f ca="1">IFERROR(__xludf.DUMMYFUNCTION("""COMPUTED_VALUE"""),247)</f>
        <v>247</v>
      </c>
      <c r="R70" s="1">
        <f ca="1">IFERROR(__xludf.DUMMYFUNCTION("""COMPUTED_VALUE"""),102.9)</f>
        <v>102.9</v>
      </c>
      <c r="S70" s="1">
        <f ca="1">IFERROR(__xludf.DUMMYFUNCTION("""COMPUTED_VALUE"""),132)</f>
        <v>132</v>
      </c>
      <c r="T70" s="1" t="str">
        <f ca="1">IFERROR(__xludf.DUMMYFUNCTION("""COMPUTED_VALUE"""),"+1.30")</f>
        <v>+1.30</v>
      </c>
      <c r="U70" s="1">
        <f ca="1">IFERROR(__xludf.DUMMYFUNCTION("""COMPUTED_VALUE"""),115)</f>
        <v>115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IFERROR(__xludf.DUMMYFUNCTION("""COMPUTED_VALUE"""),"Boston College1")</f>
        <v>Boston College1</v>
      </c>
      <c r="C71" s="1" t="str">
        <f ca="1">IFERROR(__xludf.DUMMYFUNCTION("""COMPUTED_VALUE"""),"ACC")</f>
        <v>ACC</v>
      </c>
      <c r="D71" s="1" t="str">
        <f ca="1">IFERROR(__xludf.DUMMYFUNCTION("""COMPUTED_VALUE"""),"21-13")</f>
        <v>21-13</v>
      </c>
      <c r="E71" s="1" t="str">
        <f ca="1">IFERROR(__xludf.DUMMYFUNCTION("""COMPUTED_VALUE"""),"+11.36")</f>
        <v>+11.36</v>
      </c>
      <c r="F71" s="1">
        <f ca="1">IFERROR(__xludf.DUMMYFUNCTION("""COMPUTED_VALUE"""),116.8)</f>
        <v>116.8</v>
      </c>
      <c r="G71" s="1">
        <f ca="1">IFERROR(__xludf.DUMMYFUNCTION("""COMPUTED_VALUE"""),14)</f>
        <v>14</v>
      </c>
      <c r="H71" s="1">
        <f ca="1">IFERROR(__xludf.DUMMYFUNCTION("""COMPUTED_VALUE"""),105.5)</f>
        <v>105.5</v>
      </c>
      <c r="I71" s="1">
        <f ca="1">IFERROR(__xludf.DUMMYFUNCTION("""COMPUTED_VALUE"""),225)</f>
        <v>225</v>
      </c>
      <c r="J71" s="1">
        <f ca="1">IFERROR(__xludf.DUMMYFUNCTION("""COMPUTED_VALUE"""),62.8)</f>
        <v>62.8</v>
      </c>
      <c r="K71" s="1">
        <f ca="1">IFERROR(__xludf.DUMMYFUNCTION("""COMPUTED_VALUE"""),286)</f>
        <v>286</v>
      </c>
      <c r="L71" s="1" t="str">
        <f ca="1">IFERROR(__xludf.DUMMYFUNCTION("""COMPUTED_VALUE"""),"+.048")</f>
        <v>+.048</v>
      </c>
      <c r="M71" s="1">
        <f ca="1">IFERROR(__xludf.DUMMYFUNCTION("""COMPUTED_VALUE"""),61)</f>
        <v>61</v>
      </c>
      <c r="N71" s="1" t="str">
        <f ca="1">IFERROR(__xludf.DUMMYFUNCTION("""COMPUTED_VALUE"""),"+6.90")</f>
        <v>+6.90</v>
      </c>
      <c r="O71" s="1">
        <f ca="1">IFERROR(__xludf.DUMMYFUNCTION("""COMPUTED_VALUE"""),49)</f>
        <v>49</v>
      </c>
      <c r="P71" s="1">
        <f ca="1">IFERROR(__xludf.DUMMYFUNCTION("""COMPUTED_VALUE"""),106.8)</f>
        <v>106.8</v>
      </c>
      <c r="Q71" s="1">
        <f ca="1">IFERROR(__xludf.DUMMYFUNCTION("""COMPUTED_VALUE"""),50)</f>
        <v>50</v>
      </c>
      <c r="R71" s="1">
        <f ca="1">IFERROR(__xludf.DUMMYFUNCTION("""COMPUTED_VALUE"""),99.9)</f>
        <v>99.9</v>
      </c>
      <c r="S71" s="1">
        <f ca="1">IFERROR(__xludf.DUMMYFUNCTION("""COMPUTED_VALUE"""),38)</f>
        <v>38</v>
      </c>
      <c r="T71" s="1" t="str">
        <f ca="1">IFERROR(__xludf.DUMMYFUNCTION("""COMPUTED_VALUE"""),"+0.89")</f>
        <v>+0.89</v>
      </c>
      <c r="U71" s="1">
        <f ca="1">IFERROR(__xludf.DUMMYFUNCTION("""COMPUTED_VALUE"""),126)</f>
        <v>126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IFERROR(__xludf.DUMMYFUNCTION("""COMPUTED_VALUE"""),"Cleveland St.2")</f>
        <v>Cleveland St.2</v>
      </c>
      <c r="C72" s="1" t="str">
        <f ca="1">IFERROR(__xludf.DUMMYFUNCTION("""COMPUTED_VALUE"""),"Horz")</f>
        <v>Horz</v>
      </c>
      <c r="D72" s="1" t="str">
        <f ca="1">IFERROR(__xludf.DUMMYFUNCTION("""COMPUTED_VALUE"""),"27-9")</f>
        <v>27-9</v>
      </c>
      <c r="E72" s="1" t="str">
        <f ca="1">IFERROR(__xludf.DUMMYFUNCTION("""COMPUTED_VALUE"""),"+11.06")</f>
        <v>+11.06</v>
      </c>
      <c r="F72" s="1">
        <f ca="1">IFERROR(__xludf.DUMMYFUNCTION("""COMPUTED_VALUE"""),109.1)</f>
        <v>109.1</v>
      </c>
      <c r="G72" s="1">
        <f ca="1">IFERROR(__xludf.DUMMYFUNCTION("""COMPUTED_VALUE"""),74)</f>
        <v>74</v>
      </c>
      <c r="H72" s="1">
        <f ca="1">IFERROR(__xludf.DUMMYFUNCTION("""COMPUTED_VALUE"""),98)</f>
        <v>98</v>
      </c>
      <c r="I72" s="1">
        <f ca="1">IFERROR(__xludf.DUMMYFUNCTION("""COMPUTED_VALUE"""),72)</f>
        <v>72</v>
      </c>
      <c r="J72" s="1">
        <f ca="1">IFERROR(__xludf.DUMMYFUNCTION("""COMPUTED_VALUE"""),65)</f>
        <v>65</v>
      </c>
      <c r="K72" s="1">
        <f ca="1">IFERROR(__xludf.DUMMYFUNCTION("""COMPUTED_VALUE"""),185)</f>
        <v>185</v>
      </c>
      <c r="L72" s="1" t="str">
        <f ca="1">IFERROR(__xludf.DUMMYFUNCTION("""COMPUTED_VALUE"""),"+.032")</f>
        <v>+.032</v>
      </c>
      <c r="M72" s="1">
        <f ca="1">IFERROR(__xludf.DUMMYFUNCTION("""COMPUTED_VALUE"""),101)</f>
        <v>101</v>
      </c>
      <c r="N72" s="1" t="str">
        <f ca="1">IFERROR(__xludf.DUMMYFUNCTION("""COMPUTED_VALUE"""),"+1.78")</f>
        <v>+1.78</v>
      </c>
      <c r="O72" s="1">
        <f ca="1">IFERROR(__xludf.DUMMYFUNCTION("""COMPUTED_VALUE"""),111)</f>
        <v>111</v>
      </c>
      <c r="P72" s="1">
        <f ca="1">IFERROR(__xludf.DUMMYFUNCTION("""COMPUTED_VALUE"""),104.6)</f>
        <v>104.6</v>
      </c>
      <c r="Q72" s="1">
        <f ca="1">IFERROR(__xludf.DUMMYFUNCTION("""COMPUTED_VALUE"""),109)</f>
        <v>109</v>
      </c>
      <c r="R72" s="1">
        <f ca="1">IFERROR(__xludf.DUMMYFUNCTION("""COMPUTED_VALUE"""),102.8)</f>
        <v>102.8</v>
      </c>
      <c r="S72" s="1">
        <f ca="1">IFERROR(__xludf.DUMMYFUNCTION("""COMPUTED_VALUE"""),123)</f>
        <v>123</v>
      </c>
      <c r="T72" s="1" t="str">
        <f ca="1">IFERROR(__xludf.DUMMYFUNCTION("""COMPUTED_VALUE"""),"+2.34")</f>
        <v>+2.34</v>
      </c>
      <c r="U72" s="1">
        <f ca="1">IFERROR(__xludf.DUMMYFUNCTION("""COMPUTED_VALUE"""),88)</f>
        <v>88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IFERROR(__xludf.DUMMYFUNCTION("""COMPUTED_VALUE"""),"Missouri St.3")</f>
        <v>Missouri St.3</v>
      </c>
      <c r="C73" s="1" t="str">
        <f ca="1">IFERROR(__xludf.DUMMYFUNCTION("""COMPUTED_VALUE"""),"MVC")</f>
        <v>MVC</v>
      </c>
      <c r="D73" s="1" t="str">
        <f ca="1">IFERROR(__xludf.DUMMYFUNCTION("""COMPUTED_VALUE"""),"26-9")</f>
        <v>26-9</v>
      </c>
      <c r="E73" s="1" t="str">
        <f ca="1">IFERROR(__xludf.DUMMYFUNCTION("""COMPUTED_VALUE"""),"+11.06")</f>
        <v>+11.06</v>
      </c>
      <c r="F73" s="1">
        <f ca="1">IFERROR(__xludf.DUMMYFUNCTION("""COMPUTED_VALUE"""),114)</f>
        <v>114</v>
      </c>
      <c r="G73" s="1">
        <f ca="1">IFERROR(__xludf.DUMMYFUNCTION("""COMPUTED_VALUE"""),30)</f>
        <v>30</v>
      </c>
      <c r="H73" s="1">
        <f ca="1">IFERROR(__xludf.DUMMYFUNCTION("""COMPUTED_VALUE"""),102.9)</f>
        <v>102.9</v>
      </c>
      <c r="I73" s="1">
        <f ca="1">IFERROR(__xludf.DUMMYFUNCTION("""COMPUTED_VALUE"""),157)</f>
        <v>157</v>
      </c>
      <c r="J73" s="1">
        <f ca="1">IFERROR(__xludf.DUMMYFUNCTION("""COMPUTED_VALUE"""),62)</f>
        <v>62</v>
      </c>
      <c r="K73" s="1">
        <f ca="1">IFERROR(__xludf.DUMMYFUNCTION("""COMPUTED_VALUE"""),311)</f>
        <v>311</v>
      </c>
      <c r="L73" s="1" t="str">
        <f ca="1">IFERROR(__xludf.DUMMYFUNCTION("""COMPUTED_VALUE"""),"+.025")</f>
        <v>+.025</v>
      </c>
      <c r="M73" s="1">
        <f ca="1">IFERROR(__xludf.DUMMYFUNCTION("""COMPUTED_VALUE"""),119)</f>
        <v>119</v>
      </c>
      <c r="N73" s="1" t="str">
        <f ca="1">IFERROR(__xludf.DUMMYFUNCTION("""COMPUTED_VALUE"""),"+0.71")</f>
        <v>+0.71</v>
      </c>
      <c r="O73" s="1">
        <f ca="1">IFERROR(__xludf.DUMMYFUNCTION("""COMPUTED_VALUE"""),137)</f>
        <v>137</v>
      </c>
      <c r="P73" s="1">
        <f ca="1">IFERROR(__xludf.DUMMYFUNCTION("""COMPUTED_VALUE"""),103.3)</f>
        <v>103.3</v>
      </c>
      <c r="Q73" s="1">
        <f ca="1">IFERROR(__xludf.DUMMYFUNCTION("""COMPUTED_VALUE"""),163)</f>
        <v>163</v>
      </c>
      <c r="R73" s="1">
        <f ca="1">IFERROR(__xludf.DUMMYFUNCTION("""COMPUTED_VALUE"""),102.6)</f>
        <v>102.6</v>
      </c>
      <c r="S73" s="1">
        <f ca="1">IFERROR(__xludf.DUMMYFUNCTION("""COMPUTED_VALUE"""),116)</f>
        <v>116</v>
      </c>
      <c r="T73" s="1">
        <f ca="1">IFERROR(__xludf.DUMMYFUNCTION("""COMPUTED_VALUE"""),-1.53)</f>
        <v>-1.53</v>
      </c>
      <c r="U73" s="1">
        <f ca="1">IFERROR(__xludf.DUMMYFUNCTION("""COMPUTED_VALUE"""),198)</f>
        <v>198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IFERROR(__xludf.DUMMYFUNCTION("""COMPUTED_VALUE"""),"College of Charleston6")</f>
        <v>College of Charleston6</v>
      </c>
      <c r="C74" s="1" t="str">
        <f ca="1">IFERROR(__xludf.DUMMYFUNCTION("""COMPUTED_VALUE"""),"SC")</f>
        <v>SC</v>
      </c>
      <c r="D74" s="1" t="str">
        <f ca="1">IFERROR(__xludf.DUMMYFUNCTION("""COMPUTED_VALUE"""),"26-11")</f>
        <v>26-11</v>
      </c>
      <c r="E74" s="1" t="str">
        <f ca="1">IFERROR(__xludf.DUMMYFUNCTION("""COMPUTED_VALUE"""),"+10.99")</f>
        <v>+10.99</v>
      </c>
      <c r="F74" s="1">
        <f ca="1">IFERROR(__xludf.DUMMYFUNCTION("""COMPUTED_VALUE"""),114.5)</f>
        <v>114.5</v>
      </c>
      <c r="G74" s="1">
        <f ca="1">IFERROR(__xludf.DUMMYFUNCTION("""COMPUTED_VALUE"""),26)</f>
        <v>26</v>
      </c>
      <c r="H74" s="1">
        <f ca="1">IFERROR(__xludf.DUMMYFUNCTION("""COMPUTED_VALUE"""),103.5)</f>
        <v>103.5</v>
      </c>
      <c r="I74" s="1">
        <f ca="1">IFERROR(__xludf.DUMMYFUNCTION("""COMPUTED_VALUE"""),173)</f>
        <v>173</v>
      </c>
      <c r="J74" s="1">
        <f ca="1">IFERROR(__xludf.DUMMYFUNCTION("""COMPUTED_VALUE"""),65.9)</f>
        <v>65.900000000000006</v>
      </c>
      <c r="K74" s="1">
        <f ca="1">IFERROR(__xludf.DUMMYFUNCTION("""COMPUTED_VALUE"""),146)</f>
        <v>146</v>
      </c>
      <c r="L74" s="1">
        <f ca="1">IFERROR(__xludf.DUMMYFUNCTION("""COMPUTED_VALUE"""),-0.014)</f>
        <v>-1.4E-2</v>
      </c>
      <c r="M74" s="1">
        <f ca="1">IFERROR(__xludf.DUMMYFUNCTION("""COMPUTED_VALUE"""),217)</f>
        <v>217</v>
      </c>
      <c r="N74" s="1">
        <f ca="1">IFERROR(__xludf.DUMMYFUNCTION("""COMPUTED_VALUE"""),-0.11)</f>
        <v>-0.11</v>
      </c>
      <c r="O74" s="1">
        <f ca="1">IFERROR(__xludf.DUMMYFUNCTION("""COMPUTED_VALUE"""),155)</f>
        <v>155</v>
      </c>
      <c r="P74" s="1">
        <f ca="1">IFERROR(__xludf.DUMMYFUNCTION("""COMPUTED_VALUE"""),103.6)</f>
        <v>103.6</v>
      </c>
      <c r="Q74" s="1">
        <f ca="1">IFERROR(__xludf.DUMMYFUNCTION("""COMPUTED_VALUE"""),150)</f>
        <v>150</v>
      </c>
      <c r="R74" s="1">
        <f ca="1">IFERROR(__xludf.DUMMYFUNCTION("""COMPUTED_VALUE"""),103.7)</f>
        <v>103.7</v>
      </c>
      <c r="S74" s="1">
        <f ca="1">IFERROR(__xludf.DUMMYFUNCTION("""COMPUTED_VALUE"""),169)</f>
        <v>169</v>
      </c>
      <c r="T74" s="1" t="str">
        <f ca="1">IFERROR(__xludf.DUMMYFUNCTION("""COMPUTED_VALUE"""),"+4.59")</f>
        <v>+4.59</v>
      </c>
      <c r="U74" s="1">
        <f ca="1">IFERROR(__xludf.DUMMYFUNCTION("""COMPUTED_VALUE"""),50)</f>
        <v>50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IFERROR(__xludf.DUMMYFUNCTION("""COMPUTED_VALUE"""),"Harvard6")</f>
        <v>Harvard6</v>
      </c>
      <c r="C75" s="1" t="str">
        <f ca="1">IFERROR(__xludf.DUMMYFUNCTION("""COMPUTED_VALUE"""),"Ivy")</f>
        <v>Ivy</v>
      </c>
      <c r="D75" s="1" t="str">
        <f ca="1">IFERROR(__xludf.DUMMYFUNCTION("""COMPUTED_VALUE"""),"23-7")</f>
        <v>23-7</v>
      </c>
      <c r="E75" s="1" t="str">
        <f ca="1">IFERROR(__xludf.DUMMYFUNCTION("""COMPUTED_VALUE"""),"+10.61")</f>
        <v>+10.61</v>
      </c>
      <c r="F75" s="1">
        <f ca="1">IFERROR(__xludf.DUMMYFUNCTION("""COMPUTED_VALUE"""),112.4)</f>
        <v>112.4</v>
      </c>
      <c r="G75" s="1">
        <f ca="1">IFERROR(__xludf.DUMMYFUNCTION("""COMPUTED_VALUE"""),42)</f>
        <v>42</v>
      </c>
      <c r="H75" s="1">
        <f ca="1">IFERROR(__xludf.DUMMYFUNCTION("""COMPUTED_VALUE"""),101.8)</f>
        <v>101.8</v>
      </c>
      <c r="I75" s="1">
        <f ca="1">IFERROR(__xludf.DUMMYFUNCTION("""COMPUTED_VALUE"""),129)</f>
        <v>129</v>
      </c>
      <c r="J75" s="1">
        <f ca="1">IFERROR(__xludf.DUMMYFUNCTION("""COMPUTED_VALUE"""),63.4)</f>
        <v>63.4</v>
      </c>
      <c r="K75" s="1">
        <f ca="1">IFERROR(__xludf.DUMMYFUNCTION("""COMPUTED_VALUE"""),264)</f>
        <v>264</v>
      </c>
      <c r="L75" s="1" t="str">
        <f ca="1">IFERROR(__xludf.DUMMYFUNCTION("""COMPUTED_VALUE"""),"+.051")</f>
        <v>+.051</v>
      </c>
      <c r="M75" s="1">
        <f ca="1">IFERROR(__xludf.DUMMYFUNCTION("""COMPUTED_VALUE"""),53)</f>
        <v>53</v>
      </c>
      <c r="N75" s="1">
        <f ca="1">IFERROR(__xludf.DUMMYFUNCTION("""COMPUTED_VALUE"""),-0.28)</f>
        <v>-0.28000000000000003</v>
      </c>
      <c r="O75" s="1">
        <f ca="1">IFERROR(__xludf.DUMMYFUNCTION("""COMPUTED_VALUE"""),159)</f>
        <v>159</v>
      </c>
      <c r="P75" s="1">
        <f ca="1">IFERROR(__xludf.DUMMYFUNCTION("""COMPUTED_VALUE"""),103.7)</f>
        <v>103.7</v>
      </c>
      <c r="Q75" s="1">
        <f ca="1">IFERROR(__xludf.DUMMYFUNCTION("""COMPUTED_VALUE"""),149)</f>
        <v>149</v>
      </c>
      <c r="R75" s="1">
        <f ca="1">IFERROR(__xludf.DUMMYFUNCTION("""COMPUTED_VALUE"""),103.9)</f>
        <v>103.9</v>
      </c>
      <c r="S75" s="1">
        <f ca="1">IFERROR(__xludf.DUMMYFUNCTION("""COMPUTED_VALUE"""),179)</f>
        <v>179</v>
      </c>
      <c r="T75" s="1" t="str">
        <f ca="1">IFERROR(__xludf.DUMMYFUNCTION("""COMPUTED_VALUE"""),"+3.07")</f>
        <v>+3.07</v>
      </c>
      <c r="U75" s="1">
        <f ca="1">IFERROR(__xludf.DUMMYFUNCTION("""COMPUTED_VALUE"""),71)</f>
        <v>71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IFERROR(__xludf.DUMMYFUNCTION("""COMPUTED_VALUE"""),"UTEP5")</f>
        <v>UTEP5</v>
      </c>
      <c r="C76" s="1" t="str">
        <f ca="1">IFERROR(__xludf.DUMMYFUNCTION("""COMPUTED_VALUE"""),"CUSA")</f>
        <v>CUSA</v>
      </c>
      <c r="D76" s="1" t="str">
        <f ca="1">IFERROR(__xludf.DUMMYFUNCTION("""COMPUTED_VALUE"""),"25-10")</f>
        <v>25-10</v>
      </c>
      <c r="E76" s="1" t="str">
        <f ca="1">IFERROR(__xludf.DUMMYFUNCTION("""COMPUTED_VALUE"""),"+10.39")</f>
        <v>+10.39</v>
      </c>
      <c r="F76" s="1">
        <f ca="1">IFERROR(__xludf.DUMMYFUNCTION("""COMPUTED_VALUE"""),105)</f>
        <v>105</v>
      </c>
      <c r="G76" s="1">
        <f ca="1">IFERROR(__xludf.DUMMYFUNCTION("""COMPUTED_VALUE"""),132)</f>
        <v>132</v>
      </c>
      <c r="H76" s="1">
        <f ca="1">IFERROR(__xludf.DUMMYFUNCTION("""COMPUTED_VALUE"""),94.6)</f>
        <v>94.6</v>
      </c>
      <c r="I76" s="1">
        <f ca="1">IFERROR(__xludf.DUMMYFUNCTION("""COMPUTED_VALUE"""),32)</f>
        <v>32</v>
      </c>
      <c r="J76" s="1">
        <f ca="1">IFERROR(__xludf.DUMMYFUNCTION("""COMPUTED_VALUE"""),66.4)</f>
        <v>66.400000000000006</v>
      </c>
      <c r="K76" s="1">
        <f ca="1">IFERROR(__xludf.DUMMYFUNCTION("""COMPUTED_VALUE"""),107)</f>
        <v>107</v>
      </c>
      <c r="L76" s="1">
        <f ca="1">IFERROR(__xludf.DUMMYFUNCTION("""COMPUTED_VALUE"""),-0.009)</f>
        <v>-8.9999999999999993E-3</v>
      </c>
      <c r="M76" s="1">
        <f ca="1">IFERROR(__xludf.DUMMYFUNCTION("""COMPUTED_VALUE"""),203)</f>
        <v>203</v>
      </c>
      <c r="N76" s="1" t="str">
        <f ca="1">IFERROR(__xludf.DUMMYFUNCTION("""COMPUTED_VALUE"""),"+0.30")</f>
        <v>+0.30</v>
      </c>
      <c r="O76" s="1">
        <f ca="1">IFERROR(__xludf.DUMMYFUNCTION("""COMPUTED_VALUE"""),148)</f>
        <v>148</v>
      </c>
      <c r="P76" s="1">
        <f ca="1">IFERROR(__xludf.DUMMYFUNCTION("""COMPUTED_VALUE"""),103.7)</f>
        <v>103.7</v>
      </c>
      <c r="Q76" s="1">
        <f ca="1">IFERROR(__xludf.DUMMYFUNCTION("""COMPUTED_VALUE"""),148)</f>
        <v>148</v>
      </c>
      <c r="R76" s="1">
        <f ca="1">IFERROR(__xludf.DUMMYFUNCTION("""COMPUTED_VALUE"""),103.4)</f>
        <v>103.4</v>
      </c>
      <c r="S76" s="1">
        <f ca="1">IFERROR(__xludf.DUMMYFUNCTION("""COMPUTED_VALUE"""),154)</f>
        <v>154</v>
      </c>
      <c r="T76" s="1">
        <f ca="1">IFERROR(__xludf.DUMMYFUNCTION("""COMPUTED_VALUE"""),-3.76)</f>
        <v>-3.76</v>
      </c>
      <c r="U76" s="1">
        <f ca="1">IFERROR(__xludf.DUMMYFUNCTION("""COMPUTED_VALUE"""),256)</f>
        <v>256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IFERROR(__xludf.DUMMYFUNCTION("""COMPUTED_VALUE"""),"Oklahoma St.3")</f>
        <v>Oklahoma St.3</v>
      </c>
      <c r="C77" s="1" t="str">
        <f ca="1">IFERROR(__xludf.DUMMYFUNCTION("""COMPUTED_VALUE"""),"B12")</f>
        <v>B12</v>
      </c>
      <c r="D77" s="1" t="str">
        <f ca="1">IFERROR(__xludf.DUMMYFUNCTION("""COMPUTED_VALUE"""),"20-14")</f>
        <v>20-14</v>
      </c>
      <c r="E77" s="1" t="str">
        <f ca="1">IFERROR(__xludf.DUMMYFUNCTION("""COMPUTED_VALUE"""),"+10.22")</f>
        <v>+10.22</v>
      </c>
      <c r="F77" s="1">
        <f ca="1">IFERROR(__xludf.DUMMYFUNCTION("""COMPUTED_VALUE"""),106.7)</f>
        <v>106.7</v>
      </c>
      <c r="G77" s="1">
        <f ca="1">IFERROR(__xludf.DUMMYFUNCTION("""COMPUTED_VALUE"""),104)</f>
        <v>104</v>
      </c>
      <c r="H77" s="1">
        <f ca="1">IFERROR(__xludf.DUMMYFUNCTION("""COMPUTED_VALUE"""),96.5)</f>
        <v>96.5</v>
      </c>
      <c r="I77" s="1">
        <f ca="1">IFERROR(__xludf.DUMMYFUNCTION("""COMPUTED_VALUE"""),53)</f>
        <v>53</v>
      </c>
      <c r="J77" s="1">
        <f ca="1">IFERROR(__xludf.DUMMYFUNCTION("""COMPUTED_VALUE"""),64.5)</f>
        <v>64.5</v>
      </c>
      <c r="K77" s="1">
        <f ca="1">IFERROR(__xludf.DUMMYFUNCTION("""COMPUTED_VALUE"""),218)</f>
        <v>218</v>
      </c>
      <c r="L77" s="1" t="str">
        <f ca="1">IFERROR(__xludf.DUMMYFUNCTION("""COMPUTED_VALUE"""),"+.041")</f>
        <v>+.041</v>
      </c>
      <c r="M77" s="1">
        <f ca="1">IFERROR(__xludf.DUMMYFUNCTION("""COMPUTED_VALUE"""),78)</f>
        <v>78</v>
      </c>
      <c r="N77" s="1" t="str">
        <f ca="1">IFERROR(__xludf.DUMMYFUNCTION("""COMPUTED_VALUE"""),"+7.04")</f>
        <v>+7.04</v>
      </c>
      <c r="O77" s="1">
        <f ca="1">IFERROR(__xludf.DUMMYFUNCTION("""COMPUTED_VALUE"""),42)</f>
        <v>42</v>
      </c>
      <c r="P77" s="1">
        <f ca="1">IFERROR(__xludf.DUMMYFUNCTION("""COMPUTED_VALUE"""),106.9)</f>
        <v>106.9</v>
      </c>
      <c r="Q77" s="1">
        <f ca="1">IFERROR(__xludf.DUMMYFUNCTION("""COMPUTED_VALUE"""),43)</f>
        <v>43</v>
      </c>
      <c r="R77" s="1">
        <f ca="1">IFERROR(__xludf.DUMMYFUNCTION("""COMPUTED_VALUE"""),99.9)</f>
        <v>99.9</v>
      </c>
      <c r="S77" s="1">
        <f ca="1">IFERROR(__xludf.DUMMYFUNCTION("""COMPUTED_VALUE"""),40)</f>
        <v>40</v>
      </c>
      <c r="T77" s="1">
        <f ca="1">IFERROR(__xludf.DUMMYFUNCTION("""COMPUTED_VALUE"""),-2.51)</f>
        <v>-2.5099999999999998</v>
      </c>
      <c r="U77" s="1">
        <f ca="1">IFERROR(__xludf.DUMMYFUNCTION("""COMPUTED_VALUE"""),220)</f>
        <v>220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IFERROR(__xludf.DUMMYFUNCTION("""COMPUTED_VALUE"""),"Southern Miss")</f>
        <v>Southern Miss</v>
      </c>
      <c r="C78" s="1" t="str">
        <f ca="1">IFERROR(__xludf.DUMMYFUNCTION("""COMPUTED_VALUE"""),"CUSA")</f>
        <v>CUSA</v>
      </c>
      <c r="D78" s="1" t="str">
        <f ca="1">IFERROR(__xludf.DUMMYFUNCTION("""COMPUTED_VALUE"""),"22-10")</f>
        <v>22-10</v>
      </c>
      <c r="E78" s="1" t="str">
        <f ca="1">IFERROR(__xludf.DUMMYFUNCTION("""COMPUTED_VALUE"""),"+10.21")</f>
        <v>+10.21</v>
      </c>
      <c r="F78" s="1">
        <f ca="1">IFERROR(__xludf.DUMMYFUNCTION("""COMPUTED_VALUE"""),112)</f>
        <v>112</v>
      </c>
      <c r="G78" s="1">
        <f ca="1">IFERROR(__xludf.DUMMYFUNCTION("""COMPUTED_VALUE"""),46)</f>
        <v>46</v>
      </c>
      <c r="H78" s="1">
        <f ca="1">IFERROR(__xludf.DUMMYFUNCTION("""COMPUTED_VALUE"""),101.8)</f>
        <v>101.8</v>
      </c>
      <c r="I78" s="1">
        <f ca="1">IFERROR(__xludf.DUMMYFUNCTION("""COMPUTED_VALUE"""),130)</f>
        <v>130</v>
      </c>
      <c r="J78" s="1">
        <f ca="1">IFERROR(__xludf.DUMMYFUNCTION("""COMPUTED_VALUE"""),64.5)</f>
        <v>64.5</v>
      </c>
      <c r="K78" s="1">
        <f ca="1">IFERROR(__xludf.DUMMYFUNCTION("""COMPUTED_VALUE"""),222)</f>
        <v>222</v>
      </c>
      <c r="L78" s="1">
        <f ca="1">IFERROR(__xludf.DUMMYFUNCTION("""COMPUTED_VALUE"""),-0.025)</f>
        <v>-2.5000000000000001E-2</v>
      </c>
      <c r="M78" s="1">
        <f ca="1">IFERROR(__xludf.DUMMYFUNCTION("""COMPUTED_VALUE"""),244)</f>
        <v>244</v>
      </c>
      <c r="N78" s="1" t="str">
        <f ca="1">IFERROR(__xludf.DUMMYFUNCTION("""COMPUTED_VALUE"""),"+1.60")</f>
        <v>+1.60</v>
      </c>
      <c r="O78" s="1">
        <f ca="1">IFERROR(__xludf.DUMMYFUNCTION("""COMPUTED_VALUE"""),117)</f>
        <v>117</v>
      </c>
      <c r="P78" s="1">
        <f ca="1">IFERROR(__xludf.DUMMYFUNCTION("""COMPUTED_VALUE"""),103.7)</f>
        <v>103.7</v>
      </c>
      <c r="Q78" s="1">
        <f ca="1">IFERROR(__xludf.DUMMYFUNCTION("""COMPUTED_VALUE"""),147)</f>
        <v>147</v>
      </c>
      <c r="R78" s="1">
        <f ca="1">IFERROR(__xludf.DUMMYFUNCTION("""COMPUTED_VALUE"""),102.1)</f>
        <v>102.1</v>
      </c>
      <c r="S78" s="1">
        <f ca="1">IFERROR(__xludf.DUMMYFUNCTION("""COMPUTED_VALUE"""),99)</f>
        <v>99</v>
      </c>
      <c r="T78" s="1">
        <f ca="1">IFERROR(__xludf.DUMMYFUNCTION("""COMPUTED_VALUE"""),-3.56)</f>
        <v>-3.56</v>
      </c>
      <c r="U78" s="1">
        <f ca="1">IFERROR(__xludf.DUMMYFUNCTION("""COMPUTED_VALUE"""),251)</f>
        <v>251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IFERROR(__xludf.DUMMYFUNCTION("""COMPUTED_VALUE"""),"California4")</f>
        <v>California4</v>
      </c>
      <c r="C79" s="1" t="str">
        <f ca="1">IFERROR(__xludf.DUMMYFUNCTION("""COMPUTED_VALUE"""),"P10")</f>
        <v>P10</v>
      </c>
      <c r="D79" s="1" t="str">
        <f ca="1">IFERROR(__xludf.DUMMYFUNCTION("""COMPUTED_VALUE"""),"18-15")</f>
        <v>18-15</v>
      </c>
      <c r="E79" s="1" t="str">
        <f ca="1">IFERROR(__xludf.DUMMYFUNCTION("""COMPUTED_VALUE"""),"+10.02")</f>
        <v>+10.02</v>
      </c>
      <c r="F79" s="1">
        <f ca="1">IFERROR(__xludf.DUMMYFUNCTION("""COMPUTED_VALUE"""),109.9)</f>
        <v>109.9</v>
      </c>
      <c r="G79" s="1">
        <f ca="1">IFERROR(__xludf.DUMMYFUNCTION("""COMPUTED_VALUE"""),68)</f>
        <v>68</v>
      </c>
      <c r="H79" s="1">
        <f ca="1">IFERROR(__xludf.DUMMYFUNCTION("""COMPUTED_VALUE"""),99.8)</f>
        <v>99.8</v>
      </c>
      <c r="I79" s="1">
        <f ca="1">IFERROR(__xludf.DUMMYFUNCTION("""COMPUTED_VALUE"""),99)</f>
        <v>99</v>
      </c>
      <c r="J79" s="1">
        <f ca="1">IFERROR(__xludf.DUMMYFUNCTION("""COMPUTED_VALUE"""),67.5)</f>
        <v>67.5</v>
      </c>
      <c r="K79" s="1">
        <f ca="1">IFERROR(__xludf.DUMMYFUNCTION("""COMPUTED_VALUE"""),61)</f>
        <v>61</v>
      </c>
      <c r="L79" s="1" t="str">
        <f ca="1">IFERROR(__xludf.DUMMYFUNCTION("""COMPUTED_VALUE"""),"+.036")</f>
        <v>+.036</v>
      </c>
      <c r="M79" s="1">
        <f ca="1">IFERROR(__xludf.DUMMYFUNCTION("""COMPUTED_VALUE"""),87)</f>
        <v>87</v>
      </c>
      <c r="N79" s="1" t="str">
        <f ca="1">IFERROR(__xludf.DUMMYFUNCTION("""COMPUTED_VALUE"""),"+8.97")</f>
        <v>+8.97</v>
      </c>
      <c r="O79" s="1">
        <f ca="1">IFERROR(__xludf.DUMMYFUNCTION("""COMPUTED_VALUE"""),24)</f>
        <v>24</v>
      </c>
      <c r="P79" s="1">
        <f ca="1">IFERROR(__xludf.DUMMYFUNCTION("""COMPUTED_VALUE"""),108.5)</f>
        <v>108.5</v>
      </c>
      <c r="Q79" s="1">
        <f ca="1">IFERROR(__xludf.DUMMYFUNCTION("""COMPUTED_VALUE"""),22)</f>
        <v>22</v>
      </c>
      <c r="R79" s="1">
        <f ca="1">IFERROR(__xludf.DUMMYFUNCTION("""COMPUTED_VALUE"""),99.5)</f>
        <v>99.5</v>
      </c>
      <c r="S79" s="1">
        <f ca="1">IFERROR(__xludf.DUMMYFUNCTION("""COMPUTED_VALUE"""),25)</f>
        <v>25</v>
      </c>
      <c r="T79" s="1" t="str">
        <f ca="1">IFERROR(__xludf.DUMMYFUNCTION("""COMPUTED_VALUE"""),"+6.17")</f>
        <v>+6.17</v>
      </c>
      <c r="U79" s="1">
        <f ca="1">IFERROR(__xludf.DUMMYFUNCTION("""COMPUTED_VALUE"""),32)</f>
        <v>32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IFERROR(__xludf.DUMMYFUNCTION("""COMPUTED_VALUE"""),"Mississippi5")</f>
        <v>Mississippi5</v>
      </c>
      <c r="C80" s="1" t="str">
        <f ca="1">IFERROR(__xludf.DUMMYFUNCTION("""COMPUTED_VALUE"""),"SEC")</f>
        <v>SEC</v>
      </c>
      <c r="D80" s="1" t="str">
        <f ca="1">IFERROR(__xludf.DUMMYFUNCTION("""COMPUTED_VALUE"""),"20-14")</f>
        <v>20-14</v>
      </c>
      <c r="E80" s="1" t="str">
        <f ca="1">IFERROR(__xludf.DUMMYFUNCTION("""COMPUTED_VALUE"""),"+9.91")</f>
        <v>+9.91</v>
      </c>
      <c r="F80" s="1">
        <f ca="1">IFERROR(__xludf.DUMMYFUNCTION("""COMPUTED_VALUE"""),113)</f>
        <v>113</v>
      </c>
      <c r="G80" s="1">
        <f ca="1">IFERROR(__xludf.DUMMYFUNCTION("""COMPUTED_VALUE"""),36)</f>
        <v>36</v>
      </c>
      <c r="H80" s="1">
        <f ca="1">IFERROR(__xludf.DUMMYFUNCTION("""COMPUTED_VALUE"""),103.1)</f>
        <v>103.1</v>
      </c>
      <c r="I80" s="1">
        <f ca="1">IFERROR(__xludf.DUMMYFUNCTION("""COMPUTED_VALUE"""),162)</f>
        <v>162</v>
      </c>
      <c r="J80" s="1">
        <f ca="1">IFERROR(__xludf.DUMMYFUNCTION("""COMPUTED_VALUE"""),66)</f>
        <v>66</v>
      </c>
      <c r="K80" s="1">
        <f ca="1">IFERROR(__xludf.DUMMYFUNCTION("""COMPUTED_VALUE"""),138)</f>
        <v>138</v>
      </c>
      <c r="L80" s="1">
        <f ca="1">IFERROR(__xludf.DUMMYFUNCTION("""COMPUTED_VALUE"""),-0.042)</f>
        <v>-4.2000000000000003E-2</v>
      </c>
      <c r="M80" s="1">
        <f ca="1">IFERROR(__xludf.DUMMYFUNCTION("""COMPUTED_VALUE"""),283)</f>
        <v>283</v>
      </c>
      <c r="N80" s="1" t="str">
        <f ca="1">IFERROR(__xludf.DUMMYFUNCTION("""COMPUTED_VALUE"""),"+3.13")</f>
        <v>+3.13</v>
      </c>
      <c r="O80" s="1">
        <f ca="1">IFERROR(__xludf.DUMMYFUNCTION("""COMPUTED_VALUE"""),89)</f>
        <v>89</v>
      </c>
      <c r="P80" s="1">
        <f ca="1">IFERROR(__xludf.DUMMYFUNCTION("""COMPUTED_VALUE"""),104.1)</f>
        <v>104.1</v>
      </c>
      <c r="Q80" s="1">
        <f ca="1">IFERROR(__xludf.DUMMYFUNCTION("""COMPUTED_VALUE"""),127)</f>
        <v>127</v>
      </c>
      <c r="R80" s="1">
        <f ca="1">IFERROR(__xludf.DUMMYFUNCTION("""COMPUTED_VALUE"""),101)</f>
        <v>101</v>
      </c>
      <c r="S80" s="1">
        <f ca="1">IFERROR(__xludf.DUMMYFUNCTION("""COMPUTED_VALUE"""),74)</f>
        <v>74</v>
      </c>
      <c r="T80" s="1">
        <f ca="1">IFERROR(__xludf.DUMMYFUNCTION("""COMPUTED_VALUE"""),-2.6)</f>
        <v>-2.6</v>
      </c>
      <c r="U80" s="1">
        <f ca="1">IFERROR(__xludf.DUMMYFUNCTION("""COMPUTED_VALUE"""),222)</f>
        <v>222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IFERROR(__xludf.DUMMYFUNCTION("""COMPUTED_VALUE"""),"Colorado St.3")</f>
        <v>Colorado St.3</v>
      </c>
      <c r="C81" s="1" t="str">
        <f ca="1">IFERROR(__xludf.DUMMYFUNCTION("""COMPUTED_VALUE"""),"MWC")</f>
        <v>MWC</v>
      </c>
      <c r="D81" s="1" t="str">
        <f ca="1">IFERROR(__xludf.DUMMYFUNCTION("""COMPUTED_VALUE"""),"19-13")</f>
        <v>19-13</v>
      </c>
      <c r="E81" s="1" t="str">
        <f ca="1">IFERROR(__xludf.DUMMYFUNCTION("""COMPUTED_VALUE"""),"+9.55")</f>
        <v>+9.55</v>
      </c>
      <c r="F81" s="1">
        <f ca="1">IFERROR(__xludf.DUMMYFUNCTION("""COMPUTED_VALUE"""),108.6)</f>
        <v>108.6</v>
      </c>
      <c r="G81" s="1">
        <f ca="1">IFERROR(__xludf.DUMMYFUNCTION("""COMPUTED_VALUE"""),81)</f>
        <v>81</v>
      </c>
      <c r="H81" s="1">
        <f ca="1">IFERROR(__xludf.DUMMYFUNCTION("""COMPUTED_VALUE"""),99.1)</f>
        <v>99.1</v>
      </c>
      <c r="I81" s="1">
        <f ca="1">IFERROR(__xludf.DUMMYFUNCTION("""COMPUTED_VALUE"""),84)</f>
        <v>84</v>
      </c>
      <c r="J81" s="1">
        <f ca="1">IFERROR(__xludf.DUMMYFUNCTION("""COMPUTED_VALUE"""),66.1)</f>
        <v>66.099999999999994</v>
      </c>
      <c r="K81" s="1">
        <f ca="1">IFERROR(__xludf.DUMMYFUNCTION("""COMPUTED_VALUE"""),132)</f>
        <v>132</v>
      </c>
      <c r="L81" s="1" t="str">
        <f ca="1">IFERROR(__xludf.DUMMYFUNCTION("""COMPUTED_VALUE"""),"+.002")</f>
        <v>+.002</v>
      </c>
      <c r="M81" s="1">
        <f ca="1">IFERROR(__xludf.DUMMYFUNCTION("""COMPUTED_VALUE"""),173)</f>
        <v>173</v>
      </c>
      <c r="N81" s="1" t="str">
        <f ca="1">IFERROR(__xludf.DUMMYFUNCTION("""COMPUTED_VALUE"""),"+5.56")</f>
        <v>+5.56</v>
      </c>
      <c r="O81" s="1">
        <f ca="1">IFERROR(__xludf.DUMMYFUNCTION("""COMPUTED_VALUE"""),64)</f>
        <v>64</v>
      </c>
      <c r="P81" s="1">
        <f ca="1">IFERROR(__xludf.DUMMYFUNCTION("""COMPUTED_VALUE"""),106.2)</f>
        <v>106.2</v>
      </c>
      <c r="Q81" s="1">
        <f ca="1">IFERROR(__xludf.DUMMYFUNCTION("""COMPUTED_VALUE"""),67)</f>
        <v>67</v>
      </c>
      <c r="R81" s="1">
        <f ca="1">IFERROR(__xludf.DUMMYFUNCTION("""COMPUTED_VALUE"""),100.6)</f>
        <v>100.6</v>
      </c>
      <c r="S81" s="1">
        <f ca="1">IFERROR(__xludf.DUMMYFUNCTION("""COMPUTED_VALUE"""),66)</f>
        <v>66</v>
      </c>
      <c r="T81" s="1" t="str">
        <f ca="1">IFERROR(__xludf.DUMMYFUNCTION("""COMPUTED_VALUE"""),"+0.51")</f>
        <v>+0.51</v>
      </c>
      <c r="U81" s="1">
        <f ca="1">IFERROR(__xludf.DUMMYFUNCTION("""COMPUTED_VALUE"""),146)</f>
        <v>146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IFERROR(__xludf.DUMMYFUNCTION("""COMPUTED_VALUE"""),"Rutgers")</f>
        <v>Rutgers</v>
      </c>
      <c r="C82" s="1" t="str">
        <f ca="1">IFERROR(__xludf.DUMMYFUNCTION("""COMPUTED_VALUE"""),"BE")</f>
        <v>BE</v>
      </c>
      <c r="D82" s="1" t="str">
        <f ca="1">IFERROR(__xludf.DUMMYFUNCTION("""COMPUTED_VALUE"""),"15-17")</f>
        <v>15-17</v>
      </c>
      <c r="E82" s="1" t="str">
        <f ca="1">IFERROR(__xludf.DUMMYFUNCTION("""COMPUTED_VALUE"""),"+9.49")</f>
        <v>+9.49</v>
      </c>
      <c r="F82" s="1">
        <f ca="1">IFERROR(__xludf.DUMMYFUNCTION("""COMPUTED_VALUE"""),108.6)</f>
        <v>108.6</v>
      </c>
      <c r="G82" s="1">
        <f ca="1">IFERROR(__xludf.DUMMYFUNCTION("""COMPUTED_VALUE"""),82)</f>
        <v>82</v>
      </c>
      <c r="H82" s="1">
        <f ca="1">IFERROR(__xludf.DUMMYFUNCTION("""COMPUTED_VALUE"""),99.1)</f>
        <v>99.1</v>
      </c>
      <c r="I82" s="1">
        <f ca="1">IFERROR(__xludf.DUMMYFUNCTION("""COMPUTED_VALUE"""),86)</f>
        <v>86</v>
      </c>
      <c r="J82" s="1">
        <f ca="1">IFERROR(__xludf.DUMMYFUNCTION("""COMPUTED_VALUE"""),62.5)</f>
        <v>62.5</v>
      </c>
      <c r="K82" s="1">
        <f ca="1">IFERROR(__xludf.DUMMYFUNCTION("""COMPUTED_VALUE"""),297)</f>
        <v>297</v>
      </c>
      <c r="L82" s="1">
        <f ca="1">IFERROR(__xludf.DUMMYFUNCTION("""COMPUTED_VALUE"""),-0.051)</f>
        <v>-5.0999999999999997E-2</v>
      </c>
      <c r="M82" s="1">
        <f ca="1">IFERROR(__xludf.DUMMYFUNCTION("""COMPUTED_VALUE"""),299)</f>
        <v>299</v>
      </c>
      <c r="N82" s="1" t="str">
        <f ca="1">IFERROR(__xludf.DUMMYFUNCTION("""COMPUTED_VALUE"""),"+8.47")</f>
        <v>+8.47</v>
      </c>
      <c r="O82" s="1">
        <f ca="1">IFERROR(__xludf.DUMMYFUNCTION("""COMPUTED_VALUE"""),29)</f>
        <v>29</v>
      </c>
      <c r="P82" s="1">
        <f ca="1">IFERROR(__xludf.DUMMYFUNCTION("""COMPUTED_VALUE"""),107.1)</f>
        <v>107.1</v>
      </c>
      <c r="Q82" s="1">
        <f ca="1">IFERROR(__xludf.DUMMYFUNCTION("""COMPUTED_VALUE"""),42)</f>
        <v>42</v>
      </c>
      <c r="R82" s="1">
        <f ca="1">IFERROR(__xludf.DUMMYFUNCTION("""COMPUTED_VALUE"""),98.6)</f>
        <v>98.6</v>
      </c>
      <c r="S82" s="1">
        <f ca="1">IFERROR(__xludf.DUMMYFUNCTION("""COMPUTED_VALUE"""),11)</f>
        <v>11</v>
      </c>
      <c r="T82" s="1">
        <f ca="1">IFERROR(__xludf.DUMMYFUNCTION("""COMPUTED_VALUE"""),-5.31)</f>
        <v>-5.31</v>
      </c>
      <c r="U82" s="1">
        <f ca="1">IFERROR(__xludf.DUMMYFUNCTION("""COMPUTED_VALUE"""),292)</f>
        <v>292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IFERROR(__xludf.DUMMYFUNCTION("""COMPUTED_VALUE"""),"Princeton13")</f>
        <v>Princeton13</v>
      </c>
      <c r="C83" s="1" t="str">
        <f ca="1">IFERROR(__xludf.DUMMYFUNCTION("""COMPUTED_VALUE"""),"Ivy")</f>
        <v>Ivy</v>
      </c>
      <c r="D83" s="1" t="str">
        <f ca="1">IFERROR(__xludf.DUMMYFUNCTION("""COMPUTED_VALUE"""),"25-7")</f>
        <v>25-7</v>
      </c>
      <c r="E83" s="1" t="str">
        <f ca="1">IFERROR(__xludf.DUMMYFUNCTION("""COMPUTED_VALUE"""),"+9.09")</f>
        <v>+9.09</v>
      </c>
      <c r="F83" s="1">
        <f ca="1">IFERROR(__xludf.DUMMYFUNCTION("""COMPUTED_VALUE"""),107.2)</f>
        <v>107.2</v>
      </c>
      <c r="G83" s="1">
        <f ca="1">IFERROR(__xludf.DUMMYFUNCTION("""COMPUTED_VALUE"""),97)</f>
        <v>97</v>
      </c>
      <c r="H83" s="1">
        <f ca="1">IFERROR(__xludf.DUMMYFUNCTION("""COMPUTED_VALUE"""),98.1)</f>
        <v>98.1</v>
      </c>
      <c r="I83" s="1">
        <f ca="1">IFERROR(__xludf.DUMMYFUNCTION("""COMPUTED_VALUE"""),75)</f>
        <v>75</v>
      </c>
      <c r="J83" s="1">
        <f ca="1">IFERROR(__xludf.DUMMYFUNCTION("""COMPUTED_VALUE"""),62.6)</f>
        <v>62.6</v>
      </c>
      <c r="K83" s="1">
        <f ca="1">IFERROR(__xludf.DUMMYFUNCTION("""COMPUTED_VALUE"""),292)</f>
        <v>292</v>
      </c>
      <c r="L83" s="1" t="str">
        <f ca="1">IFERROR(__xludf.DUMMYFUNCTION("""COMPUTED_VALUE"""),"+.091")</f>
        <v>+.091</v>
      </c>
      <c r="M83" s="1">
        <f ca="1">IFERROR(__xludf.DUMMYFUNCTION("""COMPUTED_VALUE"""),15)</f>
        <v>15</v>
      </c>
      <c r="N83" s="1">
        <f ca="1">IFERROR(__xludf.DUMMYFUNCTION("""COMPUTED_VALUE"""),-0.72)</f>
        <v>-0.72</v>
      </c>
      <c r="O83" s="1">
        <f ca="1">IFERROR(__xludf.DUMMYFUNCTION("""COMPUTED_VALUE"""),166)</f>
        <v>166</v>
      </c>
      <c r="P83" s="1">
        <f ca="1">IFERROR(__xludf.DUMMYFUNCTION("""COMPUTED_VALUE"""),104)</f>
        <v>104</v>
      </c>
      <c r="Q83" s="1">
        <f ca="1">IFERROR(__xludf.DUMMYFUNCTION("""COMPUTED_VALUE"""),136)</f>
        <v>136</v>
      </c>
      <c r="R83" s="1">
        <f ca="1">IFERROR(__xludf.DUMMYFUNCTION("""COMPUTED_VALUE"""),104.7)</f>
        <v>104.7</v>
      </c>
      <c r="S83" s="1">
        <f ca="1">IFERROR(__xludf.DUMMYFUNCTION("""COMPUTED_VALUE"""),219)</f>
        <v>219</v>
      </c>
      <c r="T83" s="1" t="str">
        <f ca="1">IFERROR(__xludf.DUMMYFUNCTION("""COMPUTED_VALUE"""),"+0.33")</f>
        <v>+0.33</v>
      </c>
      <c r="U83" s="1">
        <f ca="1">IFERROR(__xludf.DUMMYFUNCTION("""COMPUTED_VALUE"""),150)</f>
        <v>150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IFERROR(__xludf.DUMMYFUNCTION("""COMPUTED_VALUE"""),"Baylor")</f>
        <v>Baylor</v>
      </c>
      <c r="C84" s="1" t="str">
        <f ca="1">IFERROR(__xludf.DUMMYFUNCTION("""COMPUTED_VALUE"""),"B12")</f>
        <v>B12</v>
      </c>
      <c r="D84" s="1" t="str">
        <f ca="1">IFERROR(__xludf.DUMMYFUNCTION("""COMPUTED_VALUE"""),"18-13")</f>
        <v>18-13</v>
      </c>
      <c r="E84" s="1" t="str">
        <f ca="1">IFERROR(__xludf.DUMMYFUNCTION("""COMPUTED_VALUE"""),"+9.04")</f>
        <v>+9.04</v>
      </c>
      <c r="F84" s="1">
        <f ca="1">IFERROR(__xludf.DUMMYFUNCTION("""COMPUTED_VALUE"""),107.1)</f>
        <v>107.1</v>
      </c>
      <c r="G84" s="1">
        <f ca="1">IFERROR(__xludf.DUMMYFUNCTION("""COMPUTED_VALUE"""),99)</f>
        <v>99</v>
      </c>
      <c r="H84" s="1">
        <f ca="1">IFERROR(__xludf.DUMMYFUNCTION("""COMPUTED_VALUE"""),98.1)</f>
        <v>98.1</v>
      </c>
      <c r="I84" s="1">
        <f ca="1">IFERROR(__xludf.DUMMYFUNCTION("""COMPUTED_VALUE"""),74)</f>
        <v>74</v>
      </c>
      <c r="J84" s="1">
        <f ca="1">IFERROR(__xludf.DUMMYFUNCTION("""COMPUTED_VALUE"""),64.9)</f>
        <v>64.900000000000006</v>
      </c>
      <c r="K84" s="1">
        <f ca="1">IFERROR(__xludf.DUMMYFUNCTION("""COMPUTED_VALUE"""),192)</f>
        <v>192</v>
      </c>
      <c r="L84" s="1">
        <f ca="1">IFERROR(__xludf.DUMMYFUNCTION("""COMPUTED_VALUE"""),-0.044)</f>
        <v>-4.3999999999999997E-2</v>
      </c>
      <c r="M84" s="1">
        <f ca="1">IFERROR(__xludf.DUMMYFUNCTION("""COMPUTED_VALUE"""),288)</f>
        <v>288</v>
      </c>
      <c r="N84" s="1" t="str">
        <f ca="1">IFERROR(__xludf.DUMMYFUNCTION("""COMPUTED_VALUE"""),"+3.60")</f>
        <v>+3.60</v>
      </c>
      <c r="O84" s="1">
        <f ca="1">IFERROR(__xludf.DUMMYFUNCTION("""COMPUTED_VALUE"""),83)</f>
        <v>83</v>
      </c>
      <c r="P84" s="1">
        <f ca="1">IFERROR(__xludf.DUMMYFUNCTION("""COMPUTED_VALUE"""),104.4)</f>
        <v>104.4</v>
      </c>
      <c r="Q84" s="1">
        <f ca="1">IFERROR(__xludf.DUMMYFUNCTION("""COMPUTED_VALUE"""),114)</f>
        <v>114</v>
      </c>
      <c r="R84" s="1">
        <f ca="1">IFERROR(__xludf.DUMMYFUNCTION("""COMPUTED_VALUE"""),100.8)</f>
        <v>100.8</v>
      </c>
      <c r="S84" s="1">
        <f ca="1">IFERROR(__xludf.DUMMYFUNCTION("""COMPUTED_VALUE"""),71)</f>
        <v>71</v>
      </c>
      <c r="T84" s="1">
        <f ca="1">IFERROR(__xludf.DUMMYFUNCTION("""COMPUTED_VALUE"""),-8.92)</f>
        <v>-8.92</v>
      </c>
      <c r="U84" s="1">
        <f ca="1">IFERROR(__xludf.DUMMYFUNCTION("""COMPUTED_VALUE"""),330)</f>
        <v>330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IFERROR(__xludf.DUMMYFUNCTION("""COMPUTED_VALUE"""),"Iowa St.")</f>
        <v>Iowa St.</v>
      </c>
      <c r="C87" s="1" t="str">
        <f ca="1">IFERROR(__xludf.DUMMYFUNCTION("""COMPUTED_VALUE"""),"B12")</f>
        <v>B12</v>
      </c>
      <c r="D87" s="1" t="str">
        <f ca="1">IFERROR(__xludf.DUMMYFUNCTION("""COMPUTED_VALUE"""),"16-16")</f>
        <v>16-16</v>
      </c>
      <c r="E87" s="1" t="str">
        <f ca="1">IFERROR(__xludf.DUMMYFUNCTION("""COMPUTED_VALUE"""),"+8.78")</f>
        <v>+8.78</v>
      </c>
      <c r="F87" s="1">
        <f ca="1">IFERROR(__xludf.DUMMYFUNCTION("""COMPUTED_VALUE"""),108.1)</f>
        <v>108.1</v>
      </c>
      <c r="G87" s="1">
        <f ca="1">IFERROR(__xludf.DUMMYFUNCTION("""COMPUTED_VALUE"""),87)</f>
        <v>87</v>
      </c>
      <c r="H87" s="1">
        <f ca="1">IFERROR(__xludf.DUMMYFUNCTION("""COMPUTED_VALUE"""),99.4)</f>
        <v>99.4</v>
      </c>
      <c r="I87" s="1">
        <f ca="1">IFERROR(__xludf.DUMMYFUNCTION("""COMPUTED_VALUE"""),89)</f>
        <v>89</v>
      </c>
      <c r="J87" s="1">
        <f ca="1">IFERROR(__xludf.DUMMYFUNCTION("""COMPUTED_VALUE"""),69)</f>
        <v>69</v>
      </c>
      <c r="K87" s="1">
        <f ca="1">IFERROR(__xludf.DUMMYFUNCTION("""COMPUTED_VALUE"""),34)</f>
        <v>34</v>
      </c>
      <c r="L87" s="1">
        <f ca="1">IFERROR(__xludf.DUMMYFUNCTION("""COMPUTED_VALUE"""),-0.095)</f>
        <v>-9.5000000000000001E-2</v>
      </c>
      <c r="M87" s="1">
        <f ca="1">IFERROR(__xludf.DUMMYFUNCTION("""COMPUTED_VALUE"""),333)</f>
        <v>333</v>
      </c>
      <c r="N87" s="1" t="str">
        <f ca="1">IFERROR(__xludf.DUMMYFUNCTION("""COMPUTED_VALUE"""),"+4.15")</f>
        <v>+4.15</v>
      </c>
      <c r="O87" s="1">
        <f ca="1">IFERROR(__xludf.DUMMYFUNCTION("""COMPUTED_VALUE"""),78)</f>
        <v>78</v>
      </c>
      <c r="P87" s="1">
        <f ca="1">IFERROR(__xludf.DUMMYFUNCTION("""COMPUTED_VALUE"""),105.9)</f>
        <v>105.9</v>
      </c>
      <c r="Q87" s="1">
        <f ca="1">IFERROR(__xludf.DUMMYFUNCTION("""COMPUTED_VALUE"""),71)</f>
        <v>71</v>
      </c>
      <c r="R87" s="1">
        <f ca="1">IFERROR(__xludf.DUMMYFUNCTION("""COMPUTED_VALUE"""),101.8)</f>
        <v>101.8</v>
      </c>
      <c r="S87" s="1">
        <f ca="1">IFERROR(__xludf.DUMMYFUNCTION("""COMPUTED_VALUE"""),93)</f>
        <v>93</v>
      </c>
      <c r="T87" s="1">
        <f ca="1">IFERROR(__xludf.DUMMYFUNCTION("""COMPUTED_VALUE"""),-9.59)</f>
        <v>-9.59</v>
      </c>
      <c r="U87" s="1">
        <f ca="1">IFERROR(__xludf.DUMMYFUNCTION("""COMPUTED_VALUE"""),335)</f>
        <v>335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IFERROR(__xludf.DUMMYFUNCTION("""COMPUTED_VALUE"""),"Indiana")</f>
        <v>Indiana</v>
      </c>
      <c r="C88" s="1" t="str">
        <f ca="1">IFERROR(__xludf.DUMMYFUNCTION("""COMPUTED_VALUE"""),"B10")</f>
        <v>B10</v>
      </c>
      <c r="D88" s="2">
        <f ca="1">IFERROR(__xludf.DUMMYFUNCTION("""COMPUTED_VALUE"""),44915)</f>
        <v>44915</v>
      </c>
      <c r="E88" s="1" t="str">
        <f ca="1">IFERROR(__xludf.DUMMYFUNCTION("""COMPUTED_VALUE"""),"+8.57")</f>
        <v>+8.57</v>
      </c>
      <c r="F88" s="1">
        <f ca="1">IFERROR(__xludf.DUMMYFUNCTION("""COMPUTED_VALUE"""),110.3)</f>
        <v>110.3</v>
      </c>
      <c r="G88" s="1">
        <f ca="1">IFERROR(__xludf.DUMMYFUNCTION("""COMPUTED_VALUE"""),61)</f>
        <v>61</v>
      </c>
      <c r="H88" s="1">
        <f ca="1">IFERROR(__xludf.DUMMYFUNCTION("""COMPUTED_VALUE"""),101.7)</f>
        <v>101.7</v>
      </c>
      <c r="I88" s="1">
        <f ca="1">IFERROR(__xludf.DUMMYFUNCTION("""COMPUTED_VALUE"""),128)</f>
        <v>128</v>
      </c>
      <c r="J88" s="1">
        <f ca="1">IFERROR(__xludf.DUMMYFUNCTION("""COMPUTED_VALUE"""),64.6)</f>
        <v>64.599999999999994</v>
      </c>
      <c r="K88" s="1">
        <f ca="1">IFERROR(__xludf.DUMMYFUNCTION("""COMPUTED_VALUE"""),210)</f>
        <v>210</v>
      </c>
      <c r="L88" s="1">
        <f ca="1">IFERROR(__xludf.DUMMYFUNCTION("""COMPUTED_VALUE"""),-0.141)</f>
        <v>-0.14099999999999999</v>
      </c>
      <c r="M88" s="1">
        <f ca="1">IFERROR(__xludf.DUMMYFUNCTION("""COMPUTED_VALUE"""),343)</f>
        <v>343</v>
      </c>
      <c r="N88" s="1" t="str">
        <f ca="1">IFERROR(__xludf.DUMMYFUNCTION("""COMPUTED_VALUE"""),"+9.10")</f>
        <v>+9.10</v>
      </c>
      <c r="O88" s="1">
        <f ca="1">IFERROR(__xludf.DUMMYFUNCTION("""COMPUTED_VALUE"""),20)</f>
        <v>20</v>
      </c>
      <c r="P88" s="1">
        <f ca="1">IFERROR(__xludf.DUMMYFUNCTION("""COMPUTED_VALUE"""),109.1)</f>
        <v>109.1</v>
      </c>
      <c r="Q88" s="1">
        <f ca="1">IFERROR(__xludf.DUMMYFUNCTION("""COMPUTED_VALUE"""),15)</f>
        <v>15</v>
      </c>
      <c r="R88" s="1">
        <f ca="1">IFERROR(__xludf.DUMMYFUNCTION("""COMPUTED_VALUE"""),100)</f>
        <v>100</v>
      </c>
      <c r="S88" s="1">
        <f ca="1">IFERROR(__xludf.DUMMYFUNCTION("""COMPUTED_VALUE"""),42)</f>
        <v>42</v>
      </c>
      <c r="T88" s="1">
        <f ca="1">IFERROR(__xludf.DUMMYFUNCTION("""COMPUTED_VALUE"""),-9.03)</f>
        <v>-9.0299999999999994</v>
      </c>
      <c r="U88" s="1">
        <f ca="1">IFERROR(__xludf.DUMMYFUNCTION("""COMPUTED_VALUE"""),332)</f>
        <v>332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IFERROR(__xludf.DUMMYFUNCTION("""COMPUTED_VALUE"""),"Boise St.")</f>
        <v>Boise St.</v>
      </c>
      <c r="C89" s="1" t="str">
        <f ca="1">IFERROR(__xludf.DUMMYFUNCTION("""COMPUTED_VALUE"""),"WAC")</f>
        <v>WAC</v>
      </c>
      <c r="D89" s="1" t="str">
        <f ca="1">IFERROR(__xludf.DUMMYFUNCTION("""COMPUTED_VALUE"""),"22-13")</f>
        <v>22-13</v>
      </c>
      <c r="E89" s="1" t="str">
        <f ca="1">IFERROR(__xludf.DUMMYFUNCTION("""COMPUTED_VALUE"""),"+8.22")</f>
        <v>+8.22</v>
      </c>
      <c r="F89" s="1">
        <f ca="1">IFERROR(__xludf.DUMMYFUNCTION("""COMPUTED_VALUE"""),108.2)</f>
        <v>108.2</v>
      </c>
      <c r="G89" s="1">
        <f ca="1">IFERROR(__xludf.DUMMYFUNCTION("""COMPUTED_VALUE"""),85)</f>
        <v>85</v>
      </c>
      <c r="H89" s="1">
        <f ca="1">IFERROR(__xludf.DUMMYFUNCTION("""COMPUTED_VALUE"""),100)</f>
        <v>100</v>
      </c>
      <c r="I89" s="1">
        <f ca="1">IFERROR(__xludf.DUMMYFUNCTION("""COMPUTED_VALUE"""),101)</f>
        <v>101</v>
      </c>
      <c r="J89" s="1">
        <f ca="1">IFERROR(__xludf.DUMMYFUNCTION("""COMPUTED_VALUE"""),67.3)</f>
        <v>67.3</v>
      </c>
      <c r="K89" s="1">
        <f ca="1">IFERROR(__xludf.DUMMYFUNCTION("""COMPUTED_VALUE"""),67)</f>
        <v>67</v>
      </c>
      <c r="L89" s="1">
        <f ca="1">IFERROR(__xludf.DUMMYFUNCTION("""COMPUTED_VALUE"""),-0.038)</f>
        <v>-3.7999999999999999E-2</v>
      </c>
      <c r="M89" s="1">
        <f ca="1">IFERROR(__xludf.DUMMYFUNCTION("""COMPUTED_VALUE"""),272)</f>
        <v>272</v>
      </c>
      <c r="N89" s="1" t="str">
        <f ca="1">IFERROR(__xludf.DUMMYFUNCTION("""COMPUTED_VALUE"""),"+0.02")</f>
        <v>+0.02</v>
      </c>
      <c r="O89" s="1">
        <f ca="1">IFERROR(__xludf.DUMMYFUNCTION("""COMPUTED_VALUE"""),154)</f>
        <v>154</v>
      </c>
      <c r="P89" s="1">
        <f ca="1">IFERROR(__xludf.DUMMYFUNCTION("""COMPUTED_VALUE"""),103)</f>
        <v>103</v>
      </c>
      <c r="Q89" s="1">
        <f ca="1">IFERROR(__xludf.DUMMYFUNCTION("""COMPUTED_VALUE"""),173)</f>
        <v>173</v>
      </c>
      <c r="R89" s="1">
        <f ca="1">IFERROR(__xludf.DUMMYFUNCTION("""COMPUTED_VALUE"""),103)</f>
        <v>103</v>
      </c>
      <c r="S89" s="1">
        <f ca="1">IFERROR(__xludf.DUMMYFUNCTION("""COMPUTED_VALUE"""),140)</f>
        <v>140</v>
      </c>
      <c r="T89" s="1">
        <f ca="1">IFERROR(__xludf.DUMMYFUNCTION("""COMPUTED_VALUE"""),-2.85)</f>
        <v>-2.85</v>
      </c>
      <c r="U89" s="1">
        <f ca="1">IFERROR(__xludf.DUMMYFUNCTION("""COMPUTED_VALUE"""),233)</f>
        <v>233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IFERROR(__xludf.DUMMYFUNCTION("""COMPUTED_VALUE"""),"Wofford14")</f>
        <v>Wofford14</v>
      </c>
      <c r="C90" s="1" t="str">
        <f ca="1">IFERROR(__xludf.DUMMYFUNCTION("""COMPUTED_VALUE"""),"SC")</f>
        <v>SC</v>
      </c>
      <c r="D90" s="1" t="str">
        <f ca="1">IFERROR(__xludf.DUMMYFUNCTION("""COMPUTED_VALUE"""),"21-13")</f>
        <v>21-13</v>
      </c>
      <c r="E90" s="1" t="str">
        <f ca="1">IFERROR(__xludf.DUMMYFUNCTION("""COMPUTED_VALUE"""),"+8.17")</f>
        <v>+8.17</v>
      </c>
      <c r="F90" s="1">
        <f ca="1">IFERROR(__xludf.DUMMYFUNCTION("""COMPUTED_VALUE"""),112.3)</f>
        <v>112.3</v>
      </c>
      <c r="G90" s="1">
        <f ca="1">IFERROR(__xludf.DUMMYFUNCTION("""COMPUTED_VALUE"""),44)</f>
        <v>44</v>
      </c>
      <c r="H90" s="1">
        <f ca="1">IFERROR(__xludf.DUMMYFUNCTION("""COMPUTED_VALUE"""),104.2)</f>
        <v>104.2</v>
      </c>
      <c r="I90" s="1">
        <f ca="1">IFERROR(__xludf.DUMMYFUNCTION("""COMPUTED_VALUE"""),189)</f>
        <v>189</v>
      </c>
      <c r="J90" s="1">
        <f ca="1">IFERROR(__xludf.DUMMYFUNCTION("""COMPUTED_VALUE"""),63.2)</f>
        <v>63.2</v>
      </c>
      <c r="K90" s="1">
        <f ca="1">IFERROR(__xludf.DUMMYFUNCTION("""COMPUTED_VALUE"""),275)</f>
        <v>275</v>
      </c>
      <c r="L90" s="1">
        <f ca="1">IFERROR(__xludf.DUMMYFUNCTION("""COMPUTED_VALUE"""),-0.024)</f>
        <v>-2.4E-2</v>
      </c>
      <c r="M90" s="1">
        <f ca="1">IFERROR(__xludf.DUMMYFUNCTION("""COMPUTED_VALUE"""),239)</f>
        <v>239</v>
      </c>
      <c r="N90" s="1">
        <f ca="1">IFERROR(__xludf.DUMMYFUNCTION("""COMPUTED_VALUE"""),-0.59)</f>
        <v>-0.59</v>
      </c>
      <c r="O90" s="1">
        <f ca="1">IFERROR(__xludf.DUMMYFUNCTION("""COMPUTED_VALUE"""),164)</f>
        <v>164</v>
      </c>
      <c r="P90" s="1">
        <f ca="1">IFERROR(__xludf.DUMMYFUNCTION("""COMPUTED_VALUE"""),104)</f>
        <v>104</v>
      </c>
      <c r="Q90" s="1">
        <f ca="1">IFERROR(__xludf.DUMMYFUNCTION("""COMPUTED_VALUE"""),134)</f>
        <v>134</v>
      </c>
      <c r="R90" s="1">
        <f ca="1">IFERROR(__xludf.DUMMYFUNCTION("""COMPUTED_VALUE"""),104.6)</f>
        <v>104.6</v>
      </c>
      <c r="S90" s="1">
        <f ca="1">IFERROR(__xludf.DUMMYFUNCTION("""COMPUTED_VALUE"""),214)</f>
        <v>214</v>
      </c>
      <c r="T90" s="1" t="str">
        <f ca="1">IFERROR(__xludf.DUMMYFUNCTION("""COMPUTED_VALUE"""),"+6.96")</f>
        <v>+6.96</v>
      </c>
      <c r="U90" s="1">
        <f ca="1">IFERROR(__xludf.DUMMYFUNCTION("""COMPUTED_VALUE"""),23)</f>
        <v>23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IFERROR(__xludf.DUMMYFUNCTION("""COMPUTED_VALUE"""),"Marshall")</f>
        <v>Marshall</v>
      </c>
      <c r="C91" s="1" t="str">
        <f ca="1">IFERROR(__xludf.DUMMYFUNCTION("""COMPUTED_VALUE"""),"CUSA")</f>
        <v>CUSA</v>
      </c>
      <c r="D91" s="1" t="str">
        <f ca="1">IFERROR(__xludf.DUMMYFUNCTION("""COMPUTED_VALUE"""),"22-12")</f>
        <v>22-12</v>
      </c>
      <c r="E91" s="1" t="str">
        <f ca="1">IFERROR(__xludf.DUMMYFUNCTION("""COMPUTED_VALUE"""),"+7.99")</f>
        <v>+7.99</v>
      </c>
      <c r="F91" s="1">
        <f ca="1">IFERROR(__xludf.DUMMYFUNCTION("""COMPUTED_VALUE"""),108.6)</f>
        <v>108.6</v>
      </c>
      <c r="G91" s="1">
        <f ca="1">IFERROR(__xludf.DUMMYFUNCTION("""COMPUTED_VALUE"""),83)</f>
        <v>83</v>
      </c>
      <c r="H91" s="1">
        <f ca="1">IFERROR(__xludf.DUMMYFUNCTION("""COMPUTED_VALUE"""),100.6)</f>
        <v>100.6</v>
      </c>
      <c r="I91" s="1">
        <f ca="1">IFERROR(__xludf.DUMMYFUNCTION("""COMPUTED_VALUE"""),114)</f>
        <v>114</v>
      </c>
      <c r="J91" s="1">
        <f ca="1">IFERROR(__xludf.DUMMYFUNCTION("""COMPUTED_VALUE"""),66.7)</f>
        <v>66.7</v>
      </c>
      <c r="K91" s="1">
        <f ca="1">IFERROR(__xludf.DUMMYFUNCTION("""COMPUTED_VALUE"""),96)</f>
        <v>96</v>
      </c>
      <c r="L91" s="1">
        <f ca="1">IFERROR(__xludf.DUMMYFUNCTION("""COMPUTED_VALUE"""),-0.013)</f>
        <v>-1.2999999999999999E-2</v>
      </c>
      <c r="M91" s="1">
        <f ca="1">IFERROR(__xludf.DUMMYFUNCTION("""COMPUTED_VALUE"""),211)</f>
        <v>211</v>
      </c>
      <c r="N91" s="1" t="str">
        <f ca="1">IFERROR(__xludf.DUMMYFUNCTION("""COMPUTED_VALUE"""),"+1.42")</f>
        <v>+1.42</v>
      </c>
      <c r="O91" s="1">
        <f ca="1">IFERROR(__xludf.DUMMYFUNCTION("""COMPUTED_VALUE"""),125)</f>
        <v>125</v>
      </c>
      <c r="P91" s="1">
        <f ca="1">IFERROR(__xludf.DUMMYFUNCTION("""COMPUTED_VALUE"""),104.3)</f>
        <v>104.3</v>
      </c>
      <c r="Q91" s="1">
        <f ca="1">IFERROR(__xludf.DUMMYFUNCTION("""COMPUTED_VALUE"""),118)</f>
        <v>118</v>
      </c>
      <c r="R91" s="1">
        <f ca="1">IFERROR(__xludf.DUMMYFUNCTION("""COMPUTED_VALUE"""),102.9)</f>
        <v>102.9</v>
      </c>
      <c r="S91" s="1">
        <f ca="1">IFERROR(__xludf.DUMMYFUNCTION("""COMPUTED_VALUE"""),133)</f>
        <v>133</v>
      </c>
      <c r="T91" s="1">
        <f ca="1">IFERROR(__xludf.DUMMYFUNCTION("""COMPUTED_VALUE"""),-3.2)</f>
        <v>-3.2</v>
      </c>
      <c r="U91" s="1">
        <f ca="1">IFERROR(__xludf.DUMMYFUNCTION("""COMPUTED_VALUE"""),240)</f>
        <v>240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IFERROR(__xludf.DUMMYFUNCTION("""COMPUTED_VALUE"""),"Providence")</f>
        <v>Providence</v>
      </c>
      <c r="C92" s="1" t="str">
        <f ca="1">IFERROR(__xludf.DUMMYFUNCTION("""COMPUTED_VALUE"""),"BE")</f>
        <v>BE</v>
      </c>
      <c r="D92" s="1" t="str">
        <f ca="1">IFERROR(__xludf.DUMMYFUNCTION("""COMPUTED_VALUE"""),"15-17")</f>
        <v>15-17</v>
      </c>
      <c r="E92" s="1" t="str">
        <f ca="1">IFERROR(__xludf.DUMMYFUNCTION("""COMPUTED_VALUE"""),"+7.25")</f>
        <v>+7.25</v>
      </c>
      <c r="F92" s="1">
        <f ca="1">IFERROR(__xludf.DUMMYFUNCTION("""COMPUTED_VALUE"""),110.1)</f>
        <v>110.1</v>
      </c>
      <c r="G92" s="1">
        <f ca="1">IFERROR(__xludf.DUMMYFUNCTION("""COMPUTED_VALUE"""),63)</f>
        <v>63</v>
      </c>
      <c r="H92" s="1">
        <f ca="1">IFERROR(__xludf.DUMMYFUNCTION("""COMPUTED_VALUE"""),102.8)</f>
        <v>102.8</v>
      </c>
      <c r="I92" s="1">
        <f ca="1">IFERROR(__xludf.DUMMYFUNCTION("""COMPUTED_VALUE"""),153)</f>
        <v>153</v>
      </c>
      <c r="J92" s="1">
        <f ca="1">IFERROR(__xludf.DUMMYFUNCTION("""COMPUTED_VALUE"""),71.4)</f>
        <v>71.400000000000006</v>
      </c>
      <c r="K92" s="1">
        <f ca="1">IFERROR(__xludf.DUMMYFUNCTION("""COMPUTED_VALUE"""),7)</f>
        <v>7</v>
      </c>
      <c r="L92" s="1">
        <f ca="1">IFERROR(__xludf.DUMMYFUNCTION("""COMPUTED_VALUE"""),-0.045)</f>
        <v>-4.4999999999999998E-2</v>
      </c>
      <c r="M92" s="1">
        <f ca="1">IFERROR(__xludf.DUMMYFUNCTION("""COMPUTED_VALUE"""),290)</f>
        <v>290</v>
      </c>
      <c r="N92" s="1" t="str">
        <f ca="1">IFERROR(__xludf.DUMMYFUNCTION("""COMPUTED_VALUE"""),"+6.53")</f>
        <v>+6.53</v>
      </c>
      <c r="O92" s="1">
        <f ca="1">IFERROR(__xludf.DUMMYFUNCTION("""COMPUTED_VALUE"""),51)</f>
        <v>51</v>
      </c>
      <c r="P92" s="1">
        <f ca="1">IFERROR(__xludf.DUMMYFUNCTION("""COMPUTED_VALUE"""),106.7)</f>
        <v>106.7</v>
      </c>
      <c r="Q92" s="1">
        <f ca="1">IFERROR(__xludf.DUMMYFUNCTION("""COMPUTED_VALUE"""),54)</f>
        <v>54</v>
      </c>
      <c r="R92" s="1">
        <f ca="1">IFERROR(__xludf.DUMMYFUNCTION("""COMPUTED_VALUE"""),100.1)</f>
        <v>100.1</v>
      </c>
      <c r="S92" s="1">
        <f ca="1">IFERROR(__xludf.DUMMYFUNCTION("""COMPUTED_VALUE"""),49)</f>
        <v>49</v>
      </c>
      <c r="T92" s="1">
        <f ca="1">IFERROR(__xludf.DUMMYFUNCTION("""COMPUTED_VALUE"""),-7.82)</f>
        <v>-7.82</v>
      </c>
      <c r="U92" s="1">
        <f ca="1">IFERROR(__xludf.DUMMYFUNCTION("""COMPUTED_VALUE"""),326)</f>
        <v>326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IFERROR(__xludf.DUMMYFUNCTION("""COMPUTED_VALUE"""),"N.C. State")</f>
        <v>N.C. State</v>
      </c>
      <c r="C93" s="1" t="str">
        <f ca="1">IFERROR(__xludf.DUMMYFUNCTION("""COMPUTED_VALUE"""),"ACC")</f>
        <v>ACC</v>
      </c>
      <c r="D93" s="1" t="str">
        <f ca="1">IFERROR(__xludf.DUMMYFUNCTION("""COMPUTED_VALUE"""),"15-16")</f>
        <v>15-16</v>
      </c>
      <c r="E93" s="1" t="str">
        <f ca="1">IFERROR(__xludf.DUMMYFUNCTION("""COMPUTED_VALUE"""),"+7.19")</f>
        <v>+7.19</v>
      </c>
      <c r="F93" s="1">
        <f ca="1">IFERROR(__xludf.DUMMYFUNCTION("""COMPUTED_VALUE"""),109.9)</f>
        <v>109.9</v>
      </c>
      <c r="G93" s="1">
        <f ca="1">IFERROR(__xludf.DUMMYFUNCTION("""COMPUTED_VALUE"""),67)</f>
        <v>67</v>
      </c>
      <c r="H93" s="1">
        <f ca="1">IFERROR(__xludf.DUMMYFUNCTION("""COMPUTED_VALUE"""),102.7)</f>
        <v>102.7</v>
      </c>
      <c r="I93" s="1">
        <f ca="1">IFERROR(__xludf.DUMMYFUNCTION("""COMPUTED_VALUE"""),149)</f>
        <v>149</v>
      </c>
      <c r="J93" s="1">
        <f ca="1">IFERROR(__xludf.DUMMYFUNCTION("""COMPUTED_VALUE"""),65.9)</f>
        <v>65.900000000000006</v>
      </c>
      <c r="K93" s="1">
        <f ca="1">IFERROR(__xludf.DUMMYFUNCTION("""COMPUTED_VALUE"""),143)</f>
        <v>143</v>
      </c>
      <c r="L93" s="1">
        <f ca="1">IFERROR(__xludf.DUMMYFUNCTION("""COMPUTED_VALUE"""),-0.021)</f>
        <v>-2.1000000000000001E-2</v>
      </c>
      <c r="M93" s="1">
        <f ca="1">IFERROR(__xludf.DUMMYFUNCTION("""COMPUTED_VALUE"""),233)</f>
        <v>233</v>
      </c>
      <c r="N93" s="1" t="str">
        <f ca="1">IFERROR(__xludf.DUMMYFUNCTION("""COMPUTED_VALUE"""),"+7.05")</f>
        <v>+7.05</v>
      </c>
      <c r="O93" s="1">
        <f ca="1">IFERROR(__xludf.DUMMYFUNCTION("""COMPUTED_VALUE"""),41)</f>
        <v>41</v>
      </c>
      <c r="P93" s="1">
        <f ca="1">IFERROR(__xludf.DUMMYFUNCTION("""COMPUTED_VALUE"""),106.6)</f>
        <v>106.6</v>
      </c>
      <c r="Q93" s="1">
        <f ca="1">IFERROR(__xludf.DUMMYFUNCTION("""COMPUTED_VALUE"""),56)</f>
        <v>56</v>
      </c>
      <c r="R93" s="1">
        <f ca="1">IFERROR(__xludf.DUMMYFUNCTION("""COMPUTED_VALUE"""),99.5)</f>
        <v>99.5</v>
      </c>
      <c r="S93" s="1">
        <f ca="1">IFERROR(__xludf.DUMMYFUNCTION("""COMPUTED_VALUE"""),26)</f>
        <v>26</v>
      </c>
      <c r="T93" s="1">
        <f ca="1">IFERROR(__xludf.DUMMYFUNCTION("""COMPUTED_VALUE"""),-4.26)</f>
        <v>-4.26</v>
      </c>
      <c r="U93" s="1">
        <f ca="1">IFERROR(__xludf.DUMMYFUNCTION("""COMPUTED_VALUE"""),270)</f>
        <v>270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IFERROR(__xludf.DUMMYFUNCTION("""COMPUTED_VALUE"""),"Iowa")</f>
        <v>Iowa</v>
      </c>
      <c r="C94" s="1" t="str">
        <f ca="1">IFERROR(__xludf.DUMMYFUNCTION("""COMPUTED_VALUE"""),"B10")</f>
        <v>B10</v>
      </c>
      <c r="D94" s="2">
        <f ca="1">IFERROR(__xludf.DUMMYFUNCTION("""COMPUTED_VALUE"""),44885)</f>
        <v>44885</v>
      </c>
      <c r="E94" s="1" t="str">
        <f ca="1">IFERROR(__xludf.DUMMYFUNCTION("""COMPUTED_VALUE"""),"+7.12")</f>
        <v>+7.12</v>
      </c>
      <c r="F94" s="1">
        <f ca="1">IFERROR(__xludf.DUMMYFUNCTION("""COMPUTED_VALUE"""),103.9)</f>
        <v>103.9</v>
      </c>
      <c r="G94" s="1">
        <f ca="1">IFERROR(__xludf.DUMMYFUNCTION("""COMPUTED_VALUE"""),161)</f>
        <v>161</v>
      </c>
      <c r="H94" s="1">
        <f ca="1">IFERROR(__xludf.DUMMYFUNCTION("""COMPUTED_VALUE"""),96.8)</f>
        <v>96.8</v>
      </c>
      <c r="I94" s="1">
        <f ca="1">IFERROR(__xludf.DUMMYFUNCTION("""COMPUTED_VALUE"""),56)</f>
        <v>56</v>
      </c>
      <c r="J94" s="1">
        <f ca="1">IFERROR(__xludf.DUMMYFUNCTION("""COMPUTED_VALUE"""),66.6)</f>
        <v>66.599999999999994</v>
      </c>
      <c r="K94" s="1">
        <f ca="1">IFERROR(__xludf.DUMMYFUNCTION("""COMPUTED_VALUE"""),100)</f>
        <v>100</v>
      </c>
      <c r="L94" s="1">
        <f ca="1">IFERROR(__xludf.DUMMYFUNCTION("""COMPUTED_VALUE"""),-0.117)</f>
        <v>-0.11700000000000001</v>
      </c>
      <c r="M94" s="1">
        <f ca="1">IFERROR(__xludf.DUMMYFUNCTION("""COMPUTED_VALUE"""),337)</f>
        <v>337</v>
      </c>
      <c r="N94" s="1" t="str">
        <f ca="1">IFERROR(__xludf.DUMMYFUNCTION("""COMPUTED_VALUE"""),"+9.95")</f>
        <v>+9.95</v>
      </c>
      <c r="O94" s="1">
        <f ca="1">IFERROR(__xludf.DUMMYFUNCTION("""COMPUTED_VALUE"""),15)</f>
        <v>15</v>
      </c>
      <c r="P94" s="1">
        <f ca="1">IFERROR(__xludf.DUMMYFUNCTION("""COMPUTED_VALUE"""),109.6)</f>
        <v>109.6</v>
      </c>
      <c r="Q94" s="1">
        <f ca="1">IFERROR(__xludf.DUMMYFUNCTION("""COMPUTED_VALUE"""),12)</f>
        <v>12</v>
      </c>
      <c r="R94" s="1">
        <f ca="1">IFERROR(__xludf.DUMMYFUNCTION("""COMPUTED_VALUE"""),99.7)</f>
        <v>99.7</v>
      </c>
      <c r="S94" s="1">
        <f ca="1">IFERROR(__xludf.DUMMYFUNCTION("""COMPUTED_VALUE"""),32)</f>
        <v>32</v>
      </c>
      <c r="T94" s="1">
        <f ca="1">IFERROR(__xludf.DUMMYFUNCTION("""COMPUTED_VALUE"""),-4.08)</f>
        <v>-4.08</v>
      </c>
      <c r="U94" s="1">
        <f ca="1">IFERROR(__xludf.DUMMYFUNCTION("""COMPUTED_VALUE"""),267)</f>
        <v>267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IFERROR(__xludf.DUMMYFUNCTION("""COMPUTED_VALUE"""),"Morehead St.13")</f>
        <v>Morehead St.13</v>
      </c>
      <c r="C95" s="1" t="str">
        <f ca="1">IFERROR(__xludf.DUMMYFUNCTION("""COMPUTED_VALUE"""),"OVC")</f>
        <v>OVC</v>
      </c>
      <c r="D95" s="1" t="str">
        <f ca="1">IFERROR(__xludf.DUMMYFUNCTION("""COMPUTED_VALUE"""),"25-10")</f>
        <v>25-10</v>
      </c>
      <c r="E95" s="1" t="str">
        <f ca="1">IFERROR(__xludf.DUMMYFUNCTION("""COMPUTED_VALUE"""),"+7.01")</f>
        <v>+7.01</v>
      </c>
      <c r="F95" s="1">
        <f ca="1">IFERROR(__xludf.DUMMYFUNCTION("""COMPUTED_VALUE"""),105.6)</f>
        <v>105.6</v>
      </c>
      <c r="G95" s="1">
        <f ca="1">IFERROR(__xludf.DUMMYFUNCTION("""COMPUTED_VALUE"""),119)</f>
        <v>119</v>
      </c>
      <c r="H95" s="1">
        <f ca="1">IFERROR(__xludf.DUMMYFUNCTION("""COMPUTED_VALUE"""),98.6)</f>
        <v>98.6</v>
      </c>
      <c r="I95" s="1">
        <f ca="1">IFERROR(__xludf.DUMMYFUNCTION("""COMPUTED_VALUE"""),80)</f>
        <v>80</v>
      </c>
      <c r="J95" s="1">
        <f ca="1">IFERROR(__xludf.DUMMYFUNCTION("""COMPUTED_VALUE"""),63.4)</f>
        <v>63.4</v>
      </c>
      <c r="K95" s="1">
        <f ca="1">IFERROR(__xludf.DUMMYFUNCTION("""COMPUTED_VALUE"""),267)</f>
        <v>267</v>
      </c>
      <c r="L95" s="1" t="str">
        <f ca="1">IFERROR(__xludf.DUMMYFUNCTION("""COMPUTED_VALUE"""),"+.023")</f>
        <v>+.023</v>
      </c>
      <c r="M95" s="1">
        <f ca="1">IFERROR(__xludf.DUMMYFUNCTION("""COMPUTED_VALUE"""),125)</f>
        <v>125</v>
      </c>
      <c r="N95" s="1">
        <f ca="1">IFERROR(__xludf.DUMMYFUNCTION("""COMPUTED_VALUE"""),-2.89)</f>
        <v>-2.89</v>
      </c>
      <c r="O95" s="1">
        <f ca="1">IFERROR(__xludf.DUMMYFUNCTION("""COMPUTED_VALUE"""),226)</f>
        <v>226</v>
      </c>
      <c r="P95" s="1">
        <f ca="1">IFERROR(__xludf.DUMMYFUNCTION("""COMPUTED_VALUE"""),102.2)</f>
        <v>102.2</v>
      </c>
      <c r="Q95" s="1">
        <f ca="1">IFERROR(__xludf.DUMMYFUNCTION("""COMPUTED_VALUE"""),210)</f>
        <v>210</v>
      </c>
      <c r="R95" s="1">
        <f ca="1">IFERROR(__xludf.DUMMYFUNCTION("""COMPUTED_VALUE"""),105.1)</f>
        <v>105.1</v>
      </c>
      <c r="S95" s="1">
        <f ca="1">IFERROR(__xludf.DUMMYFUNCTION("""COMPUTED_VALUE"""),238)</f>
        <v>238</v>
      </c>
      <c r="T95" s="1" t="str">
        <f ca="1">IFERROR(__xludf.DUMMYFUNCTION("""COMPUTED_VALUE"""),"+2.66")</f>
        <v>+2.66</v>
      </c>
      <c r="U95" s="1">
        <f ca="1">IFERROR(__xludf.DUMMYFUNCTION("""COMPUTED_VALUE"""),80)</f>
        <v>80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IFERROR(__xludf.DUMMYFUNCTION("""COMPUTED_VALUE"""),"Memphis12")</f>
        <v>Memphis12</v>
      </c>
      <c r="C96" s="1" t="str">
        <f ca="1">IFERROR(__xludf.DUMMYFUNCTION("""COMPUTED_VALUE"""),"CUSA")</f>
        <v>CUSA</v>
      </c>
      <c r="D96" s="1" t="str">
        <f ca="1">IFERROR(__xludf.DUMMYFUNCTION("""COMPUTED_VALUE"""),"25-10")</f>
        <v>25-10</v>
      </c>
      <c r="E96" s="1" t="str">
        <f ca="1">IFERROR(__xludf.DUMMYFUNCTION("""COMPUTED_VALUE"""),"+6.98")</f>
        <v>+6.98</v>
      </c>
      <c r="F96" s="1">
        <f ca="1">IFERROR(__xludf.DUMMYFUNCTION("""COMPUTED_VALUE"""),104.5)</f>
        <v>104.5</v>
      </c>
      <c r="G96" s="1">
        <f ca="1">IFERROR(__xludf.DUMMYFUNCTION("""COMPUTED_VALUE"""),146)</f>
        <v>146</v>
      </c>
      <c r="H96" s="1">
        <f ca="1">IFERROR(__xludf.DUMMYFUNCTION("""COMPUTED_VALUE"""),97.6)</f>
        <v>97.6</v>
      </c>
      <c r="I96" s="1">
        <f ca="1">IFERROR(__xludf.DUMMYFUNCTION("""COMPUTED_VALUE"""),65)</f>
        <v>65</v>
      </c>
      <c r="J96" s="1">
        <f ca="1">IFERROR(__xludf.DUMMYFUNCTION("""COMPUTED_VALUE"""),67.6)</f>
        <v>67.599999999999994</v>
      </c>
      <c r="K96" s="1">
        <f ca="1">IFERROR(__xludf.DUMMYFUNCTION("""COMPUTED_VALUE"""),59)</f>
        <v>59</v>
      </c>
      <c r="L96" s="1" t="str">
        <f ca="1">IFERROR(__xludf.DUMMYFUNCTION("""COMPUTED_VALUE"""),"+.117")</f>
        <v>+.117</v>
      </c>
      <c r="M96" s="1">
        <f ca="1">IFERROR(__xludf.DUMMYFUNCTION("""COMPUTED_VALUE"""),9)</f>
        <v>9</v>
      </c>
      <c r="N96" s="1" t="str">
        <f ca="1">IFERROR(__xludf.DUMMYFUNCTION("""COMPUTED_VALUE"""),"+2.11")</f>
        <v>+2.11</v>
      </c>
      <c r="O96" s="1">
        <f ca="1">IFERROR(__xludf.DUMMYFUNCTION("""COMPUTED_VALUE"""),104)</f>
        <v>104</v>
      </c>
      <c r="P96" s="1">
        <f ca="1">IFERROR(__xludf.DUMMYFUNCTION("""COMPUTED_VALUE"""),104.8)</f>
        <v>104.8</v>
      </c>
      <c r="Q96" s="1">
        <f ca="1">IFERROR(__xludf.DUMMYFUNCTION("""COMPUTED_VALUE"""),100)</f>
        <v>100</v>
      </c>
      <c r="R96" s="1">
        <f ca="1">IFERROR(__xludf.DUMMYFUNCTION("""COMPUTED_VALUE"""),102.7)</f>
        <v>102.7</v>
      </c>
      <c r="S96" s="1">
        <f ca="1">IFERROR(__xludf.DUMMYFUNCTION("""COMPUTED_VALUE"""),121)</f>
        <v>121</v>
      </c>
      <c r="T96" s="1">
        <f ca="1">IFERROR(__xludf.DUMMYFUNCTION("""COMPUTED_VALUE"""),-4.74)</f>
        <v>-4.74</v>
      </c>
      <c r="U96" s="1">
        <f ca="1">IFERROR(__xludf.DUMMYFUNCTION("""COMPUTED_VALUE"""),280)</f>
        <v>280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IFERROR(__xludf.DUMMYFUNCTION("""COMPUTED_VALUE"""),"Tulsa")</f>
        <v>Tulsa</v>
      </c>
      <c r="C97" s="1" t="str">
        <f ca="1">IFERROR(__xludf.DUMMYFUNCTION("""COMPUTED_VALUE"""),"CUSA")</f>
        <v>CUSA</v>
      </c>
      <c r="D97" s="1" t="str">
        <f ca="1">IFERROR(__xludf.DUMMYFUNCTION("""COMPUTED_VALUE"""),"19-13")</f>
        <v>19-13</v>
      </c>
      <c r="E97" s="1" t="str">
        <f ca="1">IFERROR(__xludf.DUMMYFUNCTION("""COMPUTED_VALUE"""),"+6.92")</f>
        <v>+6.92</v>
      </c>
      <c r="F97" s="1">
        <f ca="1">IFERROR(__xludf.DUMMYFUNCTION("""COMPUTED_VALUE"""),107.1)</f>
        <v>107.1</v>
      </c>
      <c r="G97" s="1">
        <f ca="1">IFERROR(__xludf.DUMMYFUNCTION("""COMPUTED_VALUE"""),98)</f>
        <v>98</v>
      </c>
      <c r="H97" s="1">
        <f ca="1">IFERROR(__xludf.DUMMYFUNCTION("""COMPUTED_VALUE"""),100.2)</f>
        <v>100.2</v>
      </c>
      <c r="I97" s="1">
        <f ca="1">IFERROR(__xludf.DUMMYFUNCTION("""COMPUTED_VALUE"""),106)</f>
        <v>106</v>
      </c>
      <c r="J97" s="1">
        <f ca="1">IFERROR(__xludf.DUMMYFUNCTION("""COMPUTED_VALUE"""),65.7)</f>
        <v>65.7</v>
      </c>
      <c r="K97" s="1">
        <f ca="1">IFERROR(__xludf.DUMMYFUNCTION("""COMPUTED_VALUE"""),153)</f>
        <v>153</v>
      </c>
      <c r="L97" s="1">
        <f ca="1">IFERROR(__xludf.DUMMYFUNCTION("""COMPUTED_VALUE"""),0)</f>
        <v>0</v>
      </c>
      <c r="M97" s="1">
        <f ca="1">IFERROR(__xludf.DUMMYFUNCTION("""COMPUTED_VALUE"""),182)</f>
        <v>182</v>
      </c>
      <c r="N97" s="1" t="str">
        <f ca="1">IFERROR(__xludf.DUMMYFUNCTION("""COMPUTED_VALUE"""),"+2.45")</f>
        <v>+2.45</v>
      </c>
      <c r="O97" s="1">
        <f ca="1">IFERROR(__xludf.DUMMYFUNCTION("""COMPUTED_VALUE"""),97)</f>
        <v>97</v>
      </c>
      <c r="P97" s="1">
        <f ca="1">IFERROR(__xludf.DUMMYFUNCTION("""COMPUTED_VALUE"""),104.9)</f>
        <v>104.9</v>
      </c>
      <c r="Q97" s="1">
        <f ca="1">IFERROR(__xludf.DUMMYFUNCTION("""COMPUTED_VALUE"""),99)</f>
        <v>99</v>
      </c>
      <c r="R97" s="1">
        <f ca="1">IFERROR(__xludf.DUMMYFUNCTION("""COMPUTED_VALUE"""),102.4)</f>
        <v>102.4</v>
      </c>
      <c r="S97" s="1">
        <f ca="1">IFERROR(__xludf.DUMMYFUNCTION("""COMPUTED_VALUE"""),110)</f>
        <v>110</v>
      </c>
      <c r="T97" s="1" t="str">
        <f ca="1">IFERROR(__xludf.DUMMYFUNCTION("""COMPUTED_VALUE"""),"+1.44")</f>
        <v>+1.44</v>
      </c>
      <c r="U97" s="1">
        <f ca="1">IFERROR(__xludf.DUMMYFUNCTION("""COMPUTED_VALUE"""),112)</f>
        <v>112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IFERROR(__xludf.DUMMYFUNCTION("""COMPUTED_VALUE"""),"Oregon")</f>
        <v>Oregon</v>
      </c>
      <c r="C98" s="1" t="str">
        <f ca="1">IFERROR(__xludf.DUMMYFUNCTION("""COMPUTED_VALUE"""),"P10")</f>
        <v>P10</v>
      </c>
      <c r="D98" s="1" t="str">
        <f ca="1">IFERROR(__xludf.DUMMYFUNCTION("""COMPUTED_VALUE"""),"21-18")</f>
        <v>21-18</v>
      </c>
      <c r="E98" s="1" t="str">
        <f ca="1">IFERROR(__xludf.DUMMYFUNCTION("""COMPUTED_VALUE"""),"+6.89")</f>
        <v>+6.89</v>
      </c>
      <c r="F98" s="1">
        <f ca="1">IFERROR(__xludf.DUMMYFUNCTION("""COMPUTED_VALUE"""),106.6)</f>
        <v>106.6</v>
      </c>
      <c r="G98" s="1">
        <f ca="1">IFERROR(__xludf.DUMMYFUNCTION("""COMPUTED_VALUE"""),106)</f>
        <v>106</v>
      </c>
      <c r="H98" s="1">
        <f ca="1">IFERROR(__xludf.DUMMYFUNCTION("""COMPUTED_VALUE"""),99.7)</f>
        <v>99.7</v>
      </c>
      <c r="I98" s="1">
        <f ca="1">IFERROR(__xludf.DUMMYFUNCTION("""COMPUTED_VALUE"""),96)</f>
        <v>96</v>
      </c>
      <c r="J98" s="1">
        <f ca="1">IFERROR(__xludf.DUMMYFUNCTION("""COMPUTED_VALUE"""),66.3)</f>
        <v>66.3</v>
      </c>
      <c r="K98" s="1">
        <f ca="1">IFERROR(__xludf.DUMMYFUNCTION("""COMPUTED_VALUE"""),114)</f>
        <v>114</v>
      </c>
      <c r="L98" s="1" t="str">
        <f ca="1">IFERROR(__xludf.DUMMYFUNCTION("""COMPUTED_VALUE"""),"+.018")</f>
        <v>+.018</v>
      </c>
      <c r="M98" s="1">
        <f ca="1">IFERROR(__xludf.DUMMYFUNCTION("""COMPUTED_VALUE"""),136)</f>
        <v>136</v>
      </c>
      <c r="N98" s="1" t="str">
        <f ca="1">IFERROR(__xludf.DUMMYFUNCTION("""COMPUTED_VALUE"""),"+5.54")</f>
        <v>+5.54</v>
      </c>
      <c r="O98" s="1">
        <f ca="1">IFERROR(__xludf.DUMMYFUNCTION("""COMPUTED_VALUE"""),65)</f>
        <v>65</v>
      </c>
      <c r="P98" s="1">
        <f ca="1">IFERROR(__xludf.DUMMYFUNCTION("""COMPUTED_VALUE"""),106.6)</f>
        <v>106.6</v>
      </c>
      <c r="Q98" s="1">
        <f ca="1">IFERROR(__xludf.DUMMYFUNCTION("""COMPUTED_VALUE"""),55)</f>
        <v>55</v>
      </c>
      <c r="R98" s="1">
        <f ca="1">IFERROR(__xludf.DUMMYFUNCTION("""COMPUTED_VALUE"""),101)</f>
        <v>101</v>
      </c>
      <c r="S98" s="1">
        <f ca="1">IFERROR(__xludf.DUMMYFUNCTION("""COMPUTED_VALUE"""),76)</f>
        <v>76</v>
      </c>
      <c r="T98" s="1">
        <f ca="1">IFERROR(__xludf.DUMMYFUNCTION("""COMPUTED_VALUE"""),-4.27)</f>
        <v>-4.2699999999999996</v>
      </c>
      <c r="U98" s="1">
        <f ca="1">IFERROR(__xludf.DUMMYFUNCTION("""COMPUTED_VALUE"""),272)</f>
        <v>272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IFERROR(__xludf.DUMMYFUNCTION("""COMPUTED_VALUE"""),"Drexel")</f>
        <v>Drexel</v>
      </c>
      <c r="C99" s="1" t="str">
        <f ca="1">IFERROR(__xludf.DUMMYFUNCTION("""COMPUTED_VALUE"""),"CAA")</f>
        <v>CAA</v>
      </c>
      <c r="D99" s="1" t="str">
        <f ca="1">IFERROR(__xludf.DUMMYFUNCTION("""COMPUTED_VALUE"""),"21-10")</f>
        <v>21-10</v>
      </c>
      <c r="E99" s="1" t="str">
        <f ca="1">IFERROR(__xludf.DUMMYFUNCTION("""COMPUTED_VALUE"""),"+6.82")</f>
        <v>+6.82</v>
      </c>
      <c r="F99" s="1">
        <f ca="1">IFERROR(__xludf.DUMMYFUNCTION("""COMPUTED_VALUE"""),99.7)</f>
        <v>99.7</v>
      </c>
      <c r="G99" s="1">
        <f ca="1">IFERROR(__xludf.DUMMYFUNCTION("""COMPUTED_VALUE"""),239)</f>
        <v>239</v>
      </c>
      <c r="H99" s="1">
        <f ca="1">IFERROR(__xludf.DUMMYFUNCTION("""COMPUTED_VALUE"""),92.9)</f>
        <v>92.9</v>
      </c>
      <c r="I99" s="1">
        <f ca="1">IFERROR(__xludf.DUMMYFUNCTION("""COMPUTED_VALUE"""),20)</f>
        <v>20</v>
      </c>
      <c r="J99" s="1">
        <f ca="1">IFERROR(__xludf.DUMMYFUNCTION("""COMPUTED_VALUE"""),62.9)</f>
        <v>62.9</v>
      </c>
      <c r="K99" s="1">
        <f ca="1">IFERROR(__xludf.DUMMYFUNCTION("""COMPUTED_VALUE"""),281)</f>
        <v>281</v>
      </c>
      <c r="L99" s="1" t="str">
        <f ca="1">IFERROR(__xludf.DUMMYFUNCTION("""COMPUTED_VALUE"""),"+.066")</f>
        <v>+.066</v>
      </c>
      <c r="M99" s="1">
        <f ca="1">IFERROR(__xludf.DUMMYFUNCTION("""COMPUTED_VALUE"""),29)</f>
        <v>29</v>
      </c>
      <c r="N99" s="1" t="str">
        <f ca="1">IFERROR(__xludf.DUMMYFUNCTION("""COMPUTED_VALUE"""),"+0.64")</f>
        <v>+0.64</v>
      </c>
      <c r="O99" s="1">
        <f ca="1">IFERROR(__xludf.DUMMYFUNCTION("""COMPUTED_VALUE"""),141)</f>
        <v>141</v>
      </c>
      <c r="P99" s="1">
        <f ca="1">IFERROR(__xludf.DUMMYFUNCTION("""COMPUTED_VALUE"""),105.4)</f>
        <v>105.4</v>
      </c>
      <c r="Q99" s="1">
        <f ca="1">IFERROR(__xludf.DUMMYFUNCTION("""COMPUTED_VALUE"""),86)</f>
        <v>86</v>
      </c>
      <c r="R99" s="1">
        <f ca="1">IFERROR(__xludf.DUMMYFUNCTION("""COMPUTED_VALUE"""),104.8)</f>
        <v>104.8</v>
      </c>
      <c r="S99" s="1">
        <f ca="1">IFERROR(__xludf.DUMMYFUNCTION("""COMPUTED_VALUE"""),222)</f>
        <v>222</v>
      </c>
      <c r="T99" s="1" t="str">
        <f ca="1">IFERROR(__xludf.DUMMYFUNCTION("""COMPUTED_VALUE"""),"+0.53")</f>
        <v>+0.53</v>
      </c>
      <c r="U99" s="1">
        <f ca="1">IFERROR(__xludf.DUMMYFUNCTION("""COMPUTED_VALUE"""),144)</f>
        <v>144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IFERROR(__xludf.DUMMYFUNCTION("""COMPUTED_VALUE"""),"Long Beach St.7")</f>
        <v>Long Beach St.7</v>
      </c>
      <c r="C100" s="1" t="str">
        <f ca="1">IFERROR(__xludf.DUMMYFUNCTION("""COMPUTED_VALUE"""),"BW")</f>
        <v>BW</v>
      </c>
      <c r="D100" s="1" t="str">
        <f ca="1">IFERROR(__xludf.DUMMYFUNCTION("""COMPUTED_VALUE"""),"22-12")</f>
        <v>22-12</v>
      </c>
      <c r="E100" s="1" t="str">
        <f ca="1">IFERROR(__xludf.DUMMYFUNCTION("""COMPUTED_VALUE"""),"+6.66")</f>
        <v>+6.66</v>
      </c>
      <c r="F100" s="1">
        <f ca="1">IFERROR(__xludf.DUMMYFUNCTION("""COMPUTED_VALUE"""),106.7)</f>
        <v>106.7</v>
      </c>
      <c r="G100" s="1">
        <f ca="1">IFERROR(__xludf.DUMMYFUNCTION("""COMPUTED_VALUE"""),103)</f>
        <v>103</v>
      </c>
      <c r="H100" s="1">
        <f ca="1">IFERROR(__xludf.DUMMYFUNCTION("""COMPUTED_VALUE"""),100.1)</f>
        <v>100.1</v>
      </c>
      <c r="I100" s="1">
        <f ca="1">IFERROR(__xludf.DUMMYFUNCTION("""COMPUTED_VALUE"""),103)</f>
        <v>103</v>
      </c>
      <c r="J100" s="1">
        <f ca="1">IFERROR(__xludf.DUMMYFUNCTION("""COMPUTED_VALUE"""),68.7)</f>
        <v>68.7</v>
      </c>
      <c r="K100" s="1">
        <f ca="1">IFERROR(__xludf.DUMMYFUNCTION("""COMPUTED_VALUE"""),39)</f>
        <v>39</v>
      </c>
      <c r="L100" s="1" t="str">
        <f ca="1">IFERROR(__xludf.DUMMYFUNCTION("""COMPUTED_VALUE"""),"+.060")</f>
        <v>+.060</v>
      </c>
      <c r="M100" s="1">
        <f ca="1">IFERROR(__xludf.DUMMYFUNCTION("""COMPUTED_VALUE"""),40)</f>
        <v>40</v>
      </c>
      <c r="N100" s="1" t="str">
        <f ca="1">IFERROR(__xludf.DUMMYFUNCTION("""COMPUTED_VALUE"""),"+1.86")</f>
        <v>+1.86</v>
      </c>
      <c r="O100" s="1">
        <f ca="1">IFERROR(__xludf.DUMMYFUNCTION("""COMPUTED_VALUE"""),109)</f>
        <v>109</v>
      </c>
      <c r="P100" s="1">
        <f ca="1">IFERROR(__xludf.DUMMYFUNCTION("""COMPUTED_VALUE"""),104)</f>
        <v>104</v>
      </c>
      <c r="Q100" s="1">
        <f ca="1">IFERROR(__xludf.DUMMYFUNCTION("""COMPUTED_VALUE"""),132)</f>
        <v>132</v>
      </c>
      <c r="R100" s="1">
        <f ca="1">IFERROR(__xludf.DUMMYFUNCTION("""COMPUTED_VALUE"""),102.2)</f>
        <v>102.2</v>
      </c>
      <c r="S100" s="1">
        <f ca="1">IFERROR(__xludf.DUMMYFUNCTION("""COMPUTED_VALUE"""),101)</f>
        <v>101</v>
      </c>
      <c r="T100" s="1" t="str">
        <f ca="1">IFERROR(__xludf.DUMMYFUNCTION("""COMPUTED_VALUE"""),"+12.23")</f>
        <v>+12.23</v>
      </c>
      <c r="U100" s="1">
        <f ca="1">IFERROR(__xludf.DUMMYFUNCTION("""COMPUTED_VALUE"""),6)</f>
        <v>6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IFERROR(__xludf.DUMMYFUNCTION("""COMPUTED_VALUE"""),"Valparaiso")</f>
        <v>Valparaiso</v>
      </c>
      <c r="C101" s="1" t="str">
        <f ca="1">IFERROR(__xludf.DUMMYFUNCTION("""COMPUTED_VALUE"""),"Horz")</f>
        <v>Horz</v>
      </c>
      <c r="D101" s="1" t="str">
        <f ca="1">IFERROR(__xludf.DUMMYFUNCTION("""COMPUTED_VALUE"""),"23-12")</f>
        <v>23-12</v>
      </c>
      <c r="E101" s="1" t="str">
        <f ca="1">IFERROR(__xludf.DUMMYFUNCTION("""COMPUTED_VALUE"""),"+6.60")</f>
        <v>+6.60</v>
      </c>
      <c r="F101" s="1">
        <f ca="1">IFERROR(__xludf.DUMMYFUNCTION("""COMPUTED_VALUE"""),106.4)</f>
        <v>106.4</v>
      </c>
      <c r="G101" s="1">
        <f ca="1">IFERROR(__xludf.DUMMYFUNCTION("""COMPUTED_VALUE"""),108)</f>
        <v>108</v>
      </c>
      <c r="H101" s="1">
        <f ca="1">IFERROR(__xludf.DUMMYFUNCTION("""COMPUTED_VALUE"""),99.8)</f>
        <v>99.8</v>
      </c>
      <c r="I101" s="1">
        <f ca="1">IFERROR(__xludf.DUMMYFUNCTION("""COMPUTED_VALUE"""),97)</f>
        <v>97</v>
      </c>
      <c r="J101" s="1">
        <f ca="1">IFERROR(__xludf.DUMMYFUNCTION("""COMPUTED_VALUE"""),66.2)</f>
        <v>66.2</v>
      </c>
      <c r="K101" s="1">
        <f ca="1">IFERROR(__xludf.DUMMYFUNCTION("""COMPUTED_VALUE"""),122)</f>
        <v>122</v>
      </c>
      <c r="L101" s="1" t="str">
        <f ca="1">IFERROR(__xludf.DUMMYFUNCTION("""COMPUTED_VALUE"""),"+.057")</f>
        <v>+.057</v>
      </c>
      <c r="M101" s="1">
        <f ca="1">IFERROR(__xludf.DUMMYFUNCTION("""COMPUTED_VALUE"""),45)</f>
        <v>45</v>
      </c>
      <c r="N101" s="1" t="str">
        <f ca="1">IFERROR(__xludf.DUMMYFUNCTION("""COMPUTED_VALUE"""),"+1.78")</f>
        <v>+1.78</v>
      </c>
      <c r="O101" s="1">
        <f ca="1">IFERROR(__xludf.DUMMYFUNCTION("""COMPUTED_VALUE"""),112)</f>
        <v>112</v>
      </c>
      <c r="P101" s="1">
        <f ca="1">IFERROR(__xludf.DUMMYFUNCTION("""COMPUTED_VALUE"""),105)</f>
        <v>105</v>
      </c>
      <c r="Q101" s="1">
        <f ca="1">IFERROR(__xludf.DUMMYFUNCTION("""COMPUTED_VALUE"""),96)</f>
        <v>96</v>
      </c>
      <c r="R101" s="1">
        <f ca="1">IFERROR(__xludf.DUMMYFUNCTION("""COMPUTED_VALUE"""),103.2)</f>
        <v>103.2</v>
      </c>
      <c r="S101" s="1">
        <f ca="1">IFERROR(__xludf.DUMMYFUNCTION("""COMPUTED_VALUE"""),145)</f>
        <v>145</v>
      </c>
      <c r="T101" s="1" t="str">
        <f ca="1">IFERROR(__xludf.DUMMYFUNCTION("""COMPUTED_VALUE"""),"+1.76")</f>
        <v>+1.76</v>
      </c>
      <c r="U101" s="1">
        <f ca="1">IFERROR(__xludf.DUMMYFUNCTION("""COMPUTED_VALUE"""),101)</f>
        <v>101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IFERROR(__xludf.DUMMYFUNCTION("""COMPUTED_VALUE"""),"Bucknell14")</f>
        <v>Bucknell14</v>
      </c>
      <c r="C102" s="1" t="str">
        <f ca="1">IFERROR(__xludf.DUMMYFUNCTION("""COMPUTED_VALUE"""),"Pat")</f>
        <v>Pat</v>
      </c>
      <c r="D102" s="1" t="str">
        <f ca="1">IFERROR(__xludf.DUMMYFUNCTION("""COMPUTED_VALUE"""),"25-9")</f>
        <v>25-9</v>
      </c>
      <c r="E102" s="1" t="str">
        <f ca="1">IFERROR(__xludf.DUMMYFUNCTION("""COMPUTED_VALUE"""),"+6.57")</f>
        <v>+6.57</v>
      </c>
      <c r="F102" s="1">
        <f ca="1">IFERROR(__xludf.DUMMYFUNCTION("""COMPUTED_VALUE"""),105.8)</f>
        <v>105.8</v>
      </c>
      <c r="G102" s="1">
        <f ca="1">IFERROR(__xludf.DUMMYFUNCTION("""COMPUTED_VALUE"""),116)</f>
        <v>116</v>
      </c>
      <c r="H102" s="1">
        <f ca="1">IFERROR(__xludf.DUMMYFUNCTION("""COMPUTED_VALUE"""),99.2)</f>
        <v>99.2</v>
      </c>
      <c r="I102" s="1">
        <f ca="1">IFERROR(__xludf.DUMMYFUNCTION("""COMPUTED_VALUE"""),88)</f>
        <v>88</v>
      </c>
      <c r="J102" s="1">
        <f ca="1">IFERROR(__xludf.DUMMYFUNCTION("""COMPUTED_VALUE"""),64.5)</f>
        <v>64.5</v>
      </c>
      <c r="K102" s="1">
        <f ca="1">IFERROR(__xludf.DUMMYFUNCTION("""COMPUTED_VALUE"""),216)</f>
        <v>216</v>
      </c>
      <c r="L102" s="1" t="str">
        <f ca="1">IFERROR(__xludf.DUMMYFUNCTION("""COMPUTED_VALUE"""),"+.068")</f>
        <v>+.068</v>
      </c>
      <c r="M102" s="1">
        <f ca="1">IFERROR(__xludf.DUMMYFUNCTION("""COMPUTED_VALUE"""),28)</f>
        <v>28</v>
      </c>
      <c r="N102" s="1">
        <f ca="1">IFERROR(__xludf.DUMMYFUNCTION("""COMPUTED_VALUE"""),-3.41)</f>
        <v>-3.41</v>
      </c>
      <c r="O102" s="1">
        <f ca="1">IFERROR(__xludf.DUMMYFUNCTION("""COMPUTED_VALUE"""),239)</f>
        <v>239</v>
      </c>
      <c r="P102" s="1">
        <f ca="1">IFERROR(__xludf.DUMMYFUNCTION("""COMPUTED_VALUE"""),102.7)</f>
        <v>102.7</v>
      </c>
      <c r="Q102" s="1">
        <f ca="1">IFERROR(__xludf.DUMMYFUNCTION("""COMPUTED_VALUE"""),187)</f>
        <v>187</v>
      </c>
      <c r="R102" s="1">
        <f ca="1">IFERROR(__xludf.DUMMYFUNCTION("""COMPUTED_VALUE"""),106.1)</f>
        <v>106.1</v>
      </c>
      <c r="S102" s="1">
        <f ca="1">IFERROR(__xludf.DUMMYFUNCTION("""COMPUTED_VALUE"""),299)</f>
        <v>299</v>
      </c>
      <c r="T102" s="1" t="str">
        <f ca="1">IFERROR(__xludf.DUMMYFUNCTION("""COMPUTED_VALUE"""),"+1.56")</f>
        <v>+1.56</v>
      </c>
      <c r="U102" s="1">
        <f ca="1">IFERROR(__xludf.DUMMYFUNCTION("""COMPUTED_VALUE"""),109)</f>
        <v>109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IFERROR(__xludf.DUMMYFUNCTION("""COMPUTED_VALUE"""),"Dayton3")</f>
        <v>Dayton3</v>
      </c>
      <c r="C103" s="1" t="str">
        <f ca="1">IFERROR(__xludf.DUMMYFUNCTION("""COMPUTED_VALUE"""),"A10")</f>
        <v>A10</v>
      </c>
      <c r="D103" s="1" t="str">
        <f ca="1">IFERROR(__xludf.DUMMYFUNCTION("""COMPUTED_VALUE"""),"22-14")</f>
        <v>22-14</v>
      </c>
      <c r="E103" s="1" t="str">
        <f ca="1">IFERROR(__xludf.DUMMYFUNCTION("""COMPUTED_VALUE"""),"+6.47")</f>
        <v>+6.47</v>
      </c>
      <c r="F103" s="1">
        <f ca="1">IFERROR(__xludf.DUMMYFUNCTION("""COMPUTED_VALUE"""),104.8)</f>
        <v>104.8</v>
      </c>
      <c r="G103" s="1">
        <f ca="1">IFERROR(__xludf.DUMMYFUNCTION("""COMPUTED_VALUE"""),137)</f>
        <v>137</v>
      </c>
      <c r="H103" s="1">
        <f ca="1">IFERROR(__xludf.DUMMYFUNCTION("""COMPUTED_VALUE"""),98.3)</f>
        <v>98.3</v>
      </c>
      <c r="I103" s="1">
        <f ca="1">IFERROR(__xludf.DUMMYFUNCTION("""COMPUTED_VALUE"""),77)</f>
        <v>77</v>
      </c>
      <c r="J103" s="1">
        <f ca="1">IFERROR(__xludf.DUMMYFUNCTION("""COMPUTED_VALUE"""),65.2)</f>
        <v>65.2</v>
      </c>
      <c r="K103" s="1">
        <f ca="1">IFERROR(__xludf.DUMMYFUNCTION("""COMPUTED_VALUE"""),175)</f>
        <v>175</v>
      </c>
      <c r="L103" s="1" t="str">
        <f ca="1">IFERROR(__xludf.DUMMYFUNCTION("""COMPUTED_VALUE"""),"+.062")</f>
        <v>+.062</v>
      </c>
      <c r="M103" s="1">
        <f ca="1">IFERROR(__xludf.DUMMYFUNCTION("""COMPUTED_VALUE"""),36)</f>
        <v>36</v>
      </c>
      <c r="N103" s="1" t="str">
        <f ca="1">IFERROR(__xludf.DUMMYFUNCTION("""COMPUTED_VALUE"""),"+3.65")</f>
        <v>+3.65</v>
      </c>
      <c r="O103" s="1">
        <f ca="1">IFERROR(__xludf.DUMMYFUNCTION("""COMPUTED_VALUE"""),82)</f>
        <v>82</v>
      </c>
      <c r="P103" s="1">
        <f ca="1">IFERROR(__xludf.DUMMYFUNCTION("""COMPUTED_VALUE"""),104.3)</f>
        <v>104.3</v>
      </c>
      <c r="Q103" s="1">
        <f ca="1">IFERROR(__xludf.DUMMYFUNCTION("""COMPUTED_VALUE"""),117)</f>
        <v>117</v>
      </c>
      <c r="R103" s="1">
        <f ca="1">IFERROR(__xludf.DUMMYFUNCTION("""COMPUTED_VALUE"""),100.7)</f>
        <v>100.7</v>
      </c>
      <c r="S103" s="1">
        <f ca="1">IFERROR(__xludf.DUMMYFUNCTION("""COMPUTED_VALUE"""),68)</f>
        <v>68</v>
      </c>
      <c r="T103" s="1">
        <f ca="1">IFERROR(__xludf.DUMMYFUNCTION("""COMPUTED_VALUE"""),-0.15)</f>
        <v>-0.15</v>
      </c>
      <c r="U103" s="1">
        <f ca="1">IFERROR(__xludf.DUMMYFUNCTION("""COMPUTED_VALUE"""),159)</f>
        <v>159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IFERROR(__xludf.DUMMYFUNCTION("""COMPUTED_VALUE"""),"Creighton")</f>
        <v>Creighton</v>
      </c>
      <c r="C104" s="1" t="str">
        <f ca="1">IFERROR(__xludf.DUMMYFUNCTION("""COMPUTED_VALUE"""),"MVC")</f>
        <v>MVC</v>
      </c>
      <c r="D104" s="1" t="str">
        <f ca="1">IFERROR(__xludf.DUMMYFUNCTION("""COMPUTED_VALUE"""),"23-16")</f>
        <v>23-16</v>
      </c>
      <c r="E104" s="1" t="str">
        <f ca="1">IFERROR(__xludf.DUMMYFUNCTION("""COMPUTED_VALUE"""),"+6.38")</f>
        <v>+6.38</v>
      </c>
      <c r="F104" s="1">
        <f ca="1">IFERROR(__xludf.DUMMYFUNCTION("""COMPUTED_VALUE"""),109.9)</f>
        <v>109.9</v>
      </c>
      <c r="G104" s="1">
        <f ca="1">IFERROR(__xludf.DUMMYFUNCTION("""COMPUTED_VALUE"""),66)</f>
        <v>66</v>
      </c>
      <c r="H104" s="1">
        <f ca="1">IFERROR(__xludf.DUMMYFUNCTION("""COMPUTED_VALUE"""),103.5)</f>
        <v>103.5</v>
      </c>
      <c r="I104" s="1">
        <f ca="1">IFERROR(__xludf.DUMMYFUNCTION("""COMPUTED_VALUE"""),174)</f>
        <v>174</v>
      </c>
      <c r="J104" s="1">
        <f ca="1">IFERROR(__xludf.DUMMYFUNCTION("""COMPUTED_VALUE"""),63.6)</f>
        <v>63.6</v>
      </c>
      <c r="K104" s="1">
        <f ca="1">IFERROR(__xludf.DUMMYFUNCTION("""COMPUTED_VALUE"""),258)</f>
        <v>258</v>
      </c>
      <c r="L104" s="1">
        <f ca="1">IFERROR(__xludf.DUMMYFUNCTION("""COMPUTED_VALUE"""),-0.041)</f>
        <v>-4.1000000000000002E-2</v>
      </c>
      <c r="M104" s="1">
        <f ca="1">IFERROR(__xludf.DUMMYFUNCTION("""COMPUTED_VALUE"""),279)</f>
        <v>279</v>
      </c>
      <c r="N104" s="1" t="str">
        <f ca="1">IFERROR(__xludf.DUMMYFUNCTION("""COMPUTED_VALUE"""),"+0.21")</f>
        <v>+0.21</v>
      </c>
      <c r="O104" s="1">
        <f ca="1">IFERROR(__xludf.DUMMYFUNCTION("""COMPUTED_VALUE"""),150)</f>
        <v>150</v>
      </c>
      <c r="P104" s="1">
        <f ca="1">IFERROR(__xludf.DUMMYFUNCTION("""COMPUTED_VALUE"""),103.6)</f>
        <v>103.6</v>
      </c>
      <c r="Q104" s="1">
        <f ca="1">IFERROR(__xludf.DUMMYFUNCTION("""COMPUTED_VALUE"""),151)</f>
        <v>151</v>
      </c>
      <c r="R104" s="1">
        <f ca="1">IFERROR(__xludf.DUMMYFUNCTION("""COMPUTED_VALUE"""),103.4)</f>
        <v>103.4</v>
      </c>
      <c r="S104" s="1">
        <f ca="1">IFERROR(__xludf.DUMMYFUNCTION("""COMPUTED_VALUE"""),156)</f>
        <v>156</v>
      </c>
      <c r="T104" s="1">
        <f ca="1">IFERROR(__xludf.DUMMYFUNCTION("""COMPUTED_VALUE"""),-5.06)</f>
        <v>-5.0599999999999996</v>
      </c>
      <c r="U104" s="1">
        <f ca="1">IFERROR(__xludf.DUMMYFUNCTION("""COMPUTED_VALUE"""),287)</f>
        <v>287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IFERROR(__xludf.DUMMYFUNCTION("""COMPUTED_VALUE"""),"Kent St.7")</f>
        <v>Kent St.7</v>
      </c>
      <c r="C105" s="1" t="str">
        <f ca="1">IFERROR(__xludf.DUMMYFUNCTION("""COMPUTED_VALUE"""),"MAC")</f>
        <v>MAC</v>
      </c>
      <c r="D105" s="1" t="str">
        <f ca="1">IFERROR(__xludf.DUMMYFUNCTION("""COMPUTED_VALUE"""),"25-12")</f>
        <v>25-12</v>
      </c>
      <c r="E105" s="1" t="str">
        <f ca="1">IFERROR(__xludf.DUMMYFUNCTION("""COMPUTED_VALUE"""),"+6.25")</f>
        <v>+6.25</v>
      </c>
      <c r="F105" s="1">
        <f ca="1">IFERROR(__xludf.DUMMYFUNCTION("""COMPUTED_VALUE"""),105.7)</f>
        <v>105.7</v>
      </c>
      <c r="G105" s="1">
        <f ca="1">IFERROR(__xludf.DUMMYFUNCTION("""COMPUTED_VALUE"""),117)</f>
        <v>117</v>
      </c>
      <c r="H105" s="1">
        <f ca="1">IFERROR(__xludf.DUMMYFUNCTION("""COMPUTED_VALUE"""),99.5)</f>
        <v>99.5</v>
      </c>
      <c r="I105" s="1">
        <f ca="1">IFERROR(__xludf.DUMMYFUNCTION("""COMPUTED_VALUE"""),92)</f>
        <v>92</v>
      </c>
      <c r="J105" s="1">
        <f ca="1">IFERROR(__xludf.DUMMYFUNCTION("""COMPUTED_VALUE"""),66.4)</f>
        <v>66.400000000000006</v>
      </c>
      <c r="K105" s="1">
        <f ca="1">IFERROR(__xludf.DUMMYFUNCTION("""COMPUTED_VALUE"""),111)</f>
        <v>111</v>
      </c>
      <c r="L105" s="1" t="str">
        <f ca="1">IFERROR(__xludf.DUMMYFUNCTION("""COMPUTED_VALUE"""),"+.052")</f>
        <v>+.052</v>
      </c>
      <c r="M105" s="1">
        <f ca="1">IFERROR(__xludf.DUMMYFUNCTION("""COMPUTED_VALUE"""),50)</f>
        <v>50</v>
      </c>
      <c r="N105" s="1" t="str">
        <f ca="1">IFERROR(__xludf.DUMMYFUNCTION("""COMPUTED_VALUE"""),"+0.43")</f>
        <v>+0.43</v>
      </c>
      <c r="O105" s="1">
        <f ca="1">IFERROR(__xludf.DUMMYFUNCTION("""COMPUTED_VALUE"""),143)</f>
        <v>143</v>
      </c>
      <c r="P105" s="1">
        <f ca="1">IFERROR(__xludf.DUMMYFUNCTION("""COMPUTED_VALUE"""),103.5)</f>
        <v>103.5</v>
      </c>
      <c r="Q105" s="1">
        <f ca="1">IFERROR(__xludf.DUMMYFUNCTION("""COMPUTED_VALUE"""),157)</f>
        <v>157</v>
      </c>
      <c r="R105" s="1">
        <f ca="1">IFERROR(__xludf.DUMMYFUNCTION("""COMPUTED_VALUE"""),103)</f>
        <v>103</v>
      </c>
      <c r="S105" s="1">
        <f ca="1">IFERROR(__xludf.DUMMYFUNCTION("""COMPUTED_VALUE"""),141)</f>
        <v>141</v>
      </c>
      <c r="T105" s="1" t="str">
        <f ca="1">IFERROR(__xludf.DUMMYFUNCTION("""COMPUTED_VALUE"""),"+0.86")</f>
        <v>+0.86</v>
      </c>
      <c r="U105" s="1">
        <f ca="1">IFERROR(__xludf.DUMMYFUNCTION("""COMPUTED_VALUE"""),127)</f>
        <v>127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IFERROR(__xludf.DUMMYFUNCTION("""COMPUTED_VALUE"""),"Georgia Tech")</f>
        <v>Georgia Tech</v>
      </c>
      <c r="C106" s="1" t="str">
        <f ca="1">IFERROR(__xludf.DUMMYFUNCTION("""COMPUTED_VALUE"""),"ACC")</f>
        <v>ACC</v>
      </c>
      <c r="D106" s="1" t="str">
        <f ca="1">IFERROR(__xludf.DUMMYFUNCTION("""COMPUTED_VALUE"""),"13-18")</f>
        <v>13-18</v>
      </c>
      <c r="E106" s="1" t="str">
        <f ca="1">IFERROR(__xludf.DUMMYFUNCTION("""COMPUTED_VALUE"""),"+6.25")</f>
        <v>+6.25</v>
      </c>
      <c r="F106" s="1">
        <f ca="1">IFERROR(__xludf.DUMMYFUNCTION("""COMPUTED_VALUE"""),102.3)</f>
        <v>102.3</v>
      </c>
      <c r="G106" s="1">
        <f ca="1">IFERROR(__xludf.DUMMYFUNCTION("""COMPUTED_VALUE"""),191)</f>
        <v>191</v>
      </c>
      <c r="H106" s="1">
        <f ca="1">IFERROR(__xludf.DUMMYFUNCTION("""COMPUTED_VALUE"""),96)</f>
        <v>96</v>
      </c>
      <c r="I106" s="1">
        <f ca="1">IFERROR(__xludf.DUMMYFUNCTION("""COMPUTED_VALUE"""),50)</f>
        <v>50</v>
      </c>
      <c r="J106" s="1">
        <f ca="1">IFERROR(__xludf.DUMMYFUNCTION("""COMPUTED_VALUE"""),67.8)</f>
        <v>67.8</v>
      </c>
      <c r="K106" s="1">
        <f ca="1">IFERROR(__xludf.DUMMYFUNCTION("""COMPUTED_VALUE"""),55)</f>
        <v>55</v>
      </c>
      <c r="L106" s="1">
        <f ca="1">IFERROR(__xludf.DUMMYFUNCTION("""COMPUTED_VALUE"""),-0.092)</f>
        <v>-9.1999999999999998E-2</v>
      </c>
      <c r="M106" s="1">
        <f ca="1">IFERROR(__xludf.DUMMYFUNCTION("""COMPUTED_VALUE"""),331)</f>
        <v>331</v>
      </c>
      <c r="N106" s="1" t="str">
        <f ca="1">IFERROR(__xludf.DUMMYFUNCTION("""COMPUTED_VALUE"""),"+5.50")</f>
        <v>+5.50</v>
      </c>
      <c r="O106" s="1">
        <f ca="1">IFERROR(__xludf.DUMMYFUNCTION("""COMPUTED_VALUE"""),66)</f>
        <v>66</v>
      </c>
      <c r="P106" s="1">
        <f ca="1">IFERROR(__xludf.DUMMYFUNCTION("""COMPUTED_VALUE"""),105.9)</f>
        <v>105.9</v>
      </c>
      <c r="Q106" s="1">
        <f ca="1">IFERROR(__xludf.DUMMYFUNCTION("""COMPUTED_VALUE"""),73)</f>
        <v>73</v>
      </c>
      <c r="R106" s="1">
        <f ca="1">IFERROR(__xludf.DUMMYFUNCTION("""COMPUTED_VALUE"""),100.4)</f>
        <v>100.4</v>
      </c>
      <c r="S106" s="1">
        <f ca="1">IFERROR(__xludf.DUMMYFUNCTION("""COMPUTED_VALUE"""),57)</f>
        <v>57</v>
      </c>
      <c r="T106" s="1">
        <f ca="1">IFERROR(__xludf.DUMMYFUNCTION("""COMPUTED_VALUE"""),-3.27)</f>
        <v>-3.27</v>
      </c>
      <c r="U106" s="1">
        <f ca="1">IFERROR(__xludf.DUMMYFUNCTION("""COMPUTED_VALUE"""),241)</f>
        <v>241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IFERROR(__xludf.DUMMYFUNCTION("""COMPUTED_VALUE"""),"Portland")</f>
        <v>Portland</v>
      </c>
      <c r="C107" s="1" t="str">
        <f ca="1">IFERROR(__xludf.DUMMYFUNCTION("""COMPUTED_VALUE"""),"WCC")</f>
        <v>WCC</v>
      </c>
      <c r="D107" s="1" t="str">
        <f ca="1">IFERROR(__xludf.DUMMYFUNCTION("""COMPUTED_VALUE"""),"20-12")</f>
        <v>20-12</v>
      </c>
      <c r="E107" s="1" t="str">
        <f ca="1">IFERROR(__xludf.DUMMYFUNCTION("""COMPUTED_VALUE"""),"+6.21")</f>
        <v>+6.21</v>
      </c>
      <c r="F107" s="1">
        <f ca="1">IFERROR(__xludf.DUMMYFUNCTION("""COMPUTED_VALUE"""),111.5)</f>
        <v>111.5</v>
      </c>
      <c r="G107" s="1">
        <f ca="1">IFERROR(__xludf.DUMMYFUNCTION("""COMPUTED_VALUE"""),50)</f>
        <v>50</v>
      </c>
      <c r="H107" s="1">
        <f ca="1">IFERROR(__xludf.DUMMYFUNCTION("""COMPUTED_VALUE"""),105.3)</f>
        <v>105.3</v>
      </c>
      <c r="I107" s="1">
        <f ca="1">IFERROR(__xludf.DUMMYFUNCTION("""COMPUTED_VALUE"""),222)</f>
        <v>222</v>
      </c>
      <c r="J107" s="1">
        <f ca="1">IFERROR(__xludf.DUMMYFUNCTION("""COMPUTED_VALUE"""),63.1)</f>
        <v>63.1</v>
      </c>
      <c r="K107" s="1">
        <f ca="1">IFERROR(__xludf.DUMMYFUNCTION("""COMPUTED_VALUE"""),278)</f>
        <v>278</v>
      </c>
      <c r="L107" s="1" t="str">
        <f ca="1">IFERROR(__xludf.DUMMYFUNCTION("""COMPUTED_VALUE"""),"+.052")</f>
        <v>+.052</v>
      </c>
      <c r="M107" s="1">
        <f ca="1">IFERROR(__xludf.DUMMYFUNCTION("""COMPUTED_VALUE"""),51)</f>
        <v>51</v>
      </c>
      <c r="N107" s="1" t="str">
        <f ca="1">IFERROR(__xludf.DUMMYFUNCTION("""COMPUTED_VALUE"""),"+1.42")</f>
        <v>+1.42</v>
      </c>
      <c r="O107" s="1">
        <f ca="1">IFERROR(__xludf.DUMMYFUNCTION("""COMPUTED_VALUE"""),126)</f>
        <v>126</v>
      </c>
      <c r="P107" s="1">
        <f ca="1">IFERROR(__xludf.DUMMYFUNCTION("""COMPUTED_VALUE"""),104.4)</f>
        <v>104.4</v>
      </c>
      <c r="Q107" s="1">
        <f ca="1">IFERROR(__xludf.DUMMYFUNCTION("""COMPUTED_VALUE"""),115)</f>
        <v>115</v>
      </c>
      <c r="R107" s="1">
        <f ca="1">IFERROR(__xludf.DUMMYFUNCTION("""COMPUTED_VALUE"""),102.9)</f>
        <v>102.9</v>
      </c>
      <c r="S107" s="1">
        <f ca="1">IFERROR(__xludf.DUMMYFUNCTION("""COMPUTED_VALUE"""),134)</f>
        <v>134</v>
      </c>
      <c r="T107" s="1" t="str">
        <f ca="1">IFERROR(__xludf.DUMMYFUNCTION("""COMPUTED_VALUE"""),"+1.21")</f>
        <v>+1.21</v>
      </c>
      <c r="U107" s="1">
        <f ca="1">IFERROR(__xludf.DUMMYFUNCTION("""COMPUTED_VALUE"""),119)</f>
        <v>119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IFERROR(__xludf.DUMMYFUNCTION("""COMPUTED_VALUE"""),"Stanford")</f>
        <v>Stanford</v>
      </c>
      <c r="C108" s="1" t="str">
        <f ca="1">IFERROR(__xludf.DUMMYFUNCTION("""COMPUTED_VALUE"""),"P10")</f>
        <v>P10</v>
      </c>
      <c r="D108" s="1" t="str">
        <f ca="1">IFERROR(__xludf.DUMMYFUNCTION("""COMPUTED_VALUE"""),"15-16")</f>
        <v>15-16</v>
      </c>
      <c r="E108" s="1" t="str">
        <f ca="1">IFERROR(__xludf.DUMMYFUNCTION("""COMPUTED_VALUE"""),"+6.16")</f>
        <v>+6.16</v>
      </c>
      <c r="F108" s="1">
        <f ca="1">IFERROR(__xludf.DUMMYFUNCTION("""COMPUTED_VALUE"""),104.7)</f>
        <v>104.7</v>
      </c>
      <c r="G108" s="1">
        <f ca="1">IFERROR(__xludf.DUMMYFUNCTION("""COMPUTED_VALUE"""),141)</f>
        <v>141</v>
      </c>
      <c r="H108" s="1">
        <f ca="1">IFERROR(__xludf.DUMMYFUNCTION("""COMPUTED_VALUE"""),98.6)</f>
        <v>98.6</v>
      </c>
      <c r="I108" s="1">
        <f ca="1">IFERROR(__xludf.DUMMYFUNCTION("""COMPUTED_VALUE"""),79)</f>
        <v>79</v>
      </c>
      <c r="J108" s="1">
        <f ca="1">IFERROR(__xludf.DUMMYFUNCTION("""COMPUTED_VALUE"""),64)</f>
        <v>64</v>
      </c>
      <c r="K108" s="1">
        <f ca="1">IFERROR(__xludf.DUMMYFUNCTION("""COMPUTED_VALUE"""),243)</f>
        <v>243</v>
      </c>
      <c r="L108" s="1">
        <f ca="1">IFERROR(__xludf.DUMMYFUNCTION("""COMPUTED_VALUE"""),-0.044)</f>
        <v>-4.3999999999999997E-2</v>
      </c>
      <c r="M108" s="1">
        <f ca="1">IFERROR(__xludf.DUMMYFUNCTION("""COMPUTED_VALUE"""),287)</f>
        <v>287</v>
      </c>
      <c r="N108" s="1" t="str">
        <f ca="1">IFERROR(__xludf.DUMMYFUNCTION("""COMPUTED_VALUE"""),"+4.44")</f>
        <v>+4.44</v>
      </c>
      <c r="O108" s="1">
        <f ca="1">IFERROR(__xludf.DUMMYFUNCTION("""COMPUTED_VALUE"""),74)</f>
        <v>74</v>
      </c>
      <c r="P108" s="1">
        <f ca="1">IFERROR(__xludf.DUMMYFUNCTION("""COMPUTED_VALUE"""),105.2)</f>
        <v>105.2</v>
      </c>
      <c r="Q108" s="1">
        <f ca="1">IFERROR(__xludf.DUMMYFUNCTION("""COMPUTED_VALUE"""),90)</f>
        <v>90</v>
      </c>
      <c r="R108" s="1">
        <f ca="1">IFERROR(__xludf.DUMMYFUNCTION("""COMPUTED_VALUE"""),100.8)</f>
        <v>100.8</v>
      </c>
      <c r="S108" s="1">
        <f ca="1">IFERROR(__xludf.DUMMYFUNCTION("""COMPUTED_VALUE"""),70)</f>
        <v>70</v>
      </c>
      <c r="T108" s="1">
        <f ca="1">IFERROR(__xludf.DUMMYFUNCTION("""COMPUTED_VALUE"""),-6.23)</f>
        <v>-6.23</v>
      </c>
      <c r="U108" s="1">
        <f ca="1">IFERROR(__xludf.DUMMYFUNCTION("""COMPUTED_VALUE"""),312)</f>
        <v>312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IFERROR(__xludf.DUMMYFUNCTION("""COMPUTED_VALUE"""),"Virginia")</f>
        <v>Virginia</v>
      </c>
      <c r="C109" s="1" t="str">
        <f ca="1">IFERROR(__xludf.DUMMYFUNCTION("""COMPUTED_VALUE"""),"ACC")</f>
        <v>ACC</v>
      </c>
      <c r="D109" s="1" t="str">
        <f ca="1">IFERROR(__xludf.DUMMYFUNCTION("""COMPUTED_VALUE"""),"16-15")</f>
        <v>16-15</v>
      </c>
      <c r="E109" s="1" t="str">
        <f ca="1">IFERROR(__xludf.DUMMYFUNCTION("""COMPUTED_VALUE"""),"+6.01")</f>
        <v>+6.01</v>
      </c>
      <c r="F109" s="1">
        <f ca="1">IFERROR(__xludf.DUMMYFUNCTION("""COMPUTED_VALUE"""),104)</f>
        <v>104</v>
      </c>
      <c r="G109" s="1">
        <f ca="1">IFERROR(__xludf.DUMMYFUNCTION("""COMPUTED_VALUE"""),159)</f>
        <v>159</v>
      </c>
      <c r="H109" s="1">
        <f ca="1">IFERROR(__xludf.DUMMYFUNCTION("""COMPUTED_VALUE"""),98)</f>
        <v>98</v>
      </c>
      <c r="I109" s="1">
        <f ca="1">IFERROR(__xludf.DUMMYFUNCTION("""COMPUTED_VALUE"""),71)</f>
        <v>71</v>
      </c>
      <c r="J109" s="1">
        <f ca="1">IFERROR(__xludf.DUMMYFUNCTION("""COMPUTED_VALUE"""),59.1)</f>
        <v>59.1</v>
      </c>
      <c r="K109" s="1">
        <f ca="1">IFERROR(__xludf.DUMMYFUNCTION("""COMPUTED_VALUE"""),340)</f>
        <v>340</v>
      </c>
      <c r="L109" s="1" t="str">
        <f ca="1">IFERROR(__xludf.DUMMYFUNCTION("""COMPUTED_VALUE"""),"+.020")</f>
        <v>+.020</v>
      </c>
      <c r="M109" s="1">
        <f ca="1">IFERROR(__xludf.DUMMYFUNCTION("""COMPUTED_VALUE"""),132)</f>
        <v>132</v>
      </c>
      <c r="N109" s="1" t="str">
        <f ca="1">IFERROR(__xludf.DUMMYFUNCTION("""COMPUTED_VALUE"""),"+5.95")</f>
        <v>+5.95</v>
      </c>
      <c r="O109" s="1">
        <f ca="1">IFERROR(__xludf.DUMMYFUNCTION("""COMPUTED_VALUE"""),59)</f>
        <v>59</v>
      </c>
      <c r="P109" s="1">
        <f ca="1">IFERROR(__xludf.DUMMYFUNCTION("""COMPUTED_VALUE"""),106)</f>
        <v>106</v>
      </c>
      <c r="Q109" s="1">
        <f ca="1">IFERROR(__xludf.DUMMYFUNCTION("""COMPUTED_VALUE"""),70)</f>
        <v>70</v>
      </c>
      <c r="R109" s="1">
        <f ca="1">IFERROR(__xludf.DUMMYFUNCTION("""COMPUTED_VALUE"""),100)</f>
        <v>100</v>
      </c>
      <c r="S109" s="1">
        <f ca="1">IFERROR(__xludf.DUMMYFUNCTION("""COMPUTED_VALUE"""),43)</f>
        <v>43</v>
      </c>
      <c r="T109" s="1">
        <f ca="1">IFERROR(__xludf.DUMMYFUNCTION("""COMPUTED_VALUE"""),-5.39)</f>
        <v>-5.39</v>
      </c>
      <c r="U109" s="1">
        <f ca="1">IFERROR(__xludf.DUMMYFUNCTION("""COMPUTED_VALUE"""),293)</f>
        <v>293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IFERROR(__xludf.DUMMYFUNCTION("""COMPUTED_VALUE"""),"Fairfield6")</f>
        <v>Fairfield6</v>
      </c>
      <c r="C110" s="1" t="str">
        <f ca="1">IFERROR(__xludf.DUMMYFUNCTION("""COMPUTED_VALUE"""),"MAAC")</f>
        <v>MAAC</v>
      </c>
      <c r="D110" s="1" t="str">
        <f ca="1">IFERROR(__xludf.DUMMYFUNCTION("""COMPUTED_VALUE"""),"25-8")</f>
        <v>25-8</v>
      </c>
      <c r="E110" s="1" t="str">
        <f ca="1">IFERROR(__xludf.DUMMYFUNCTION("""COMPUTED_VALUE"""),"+5.88")</f>
        <v>+5.88</v>
      </c>
      <c r="F110" s="1">
        <f ca="1">IFERROR(__xludf.DUMMYFUNCTION("""COMPUTED_VALUE"""),98.7)</f>
        <v>98.7</v>
      </c>
      <c r="G110" s="1">
        <f ca="1">IFERROR(__xludf.DUMMYFUNCTION("""COMPUTED_VALUE"""),257)</f>
        <v>257</v>
      </c>
      <c r="H110" s="1">
        <f ca="1">IFERROR(__xludf.DUMMYFUNCTION("""COMPUTED_VALUE"""),92.8)</f>
        <v>92.8</v>
      </c>
      <c r="I110" s="1">
        <f ca="1">IFERROR(__xludf.DUMMYFUNCTION("""COMPUTED_VALUE"""),19)</f>
        <v>19</v>
      </c>
      <c r="J110" s="1">
        <f ca="1">IFERROR(__xludf.DUMMYFUNCTION("""COMPUTED_VALUE"""),65.2)</f>
        <v>65.2</v>
      </c>
      <c r="K110" s="1">
        <f ca="1">IFERROR(__xludf.DUMMYFUNCTION("""COMPUTED_VALUE"""),176)</f>
        <v>176</v>
      </c>
      <c r="L110" s="1" t="str">
        <f ca="1">IFERROR(__xludf.DUMMYFUNCTION("""COMPUTED_VALUE"""),"+.042")</f>
        <v>+.042</v>
      </c>
      <c r="M110" s="1">
        <f ca="1">IFERROR(__xludf.DUMMYFUNCTION("""COMPUTED_VALUE"""),76)</f>
        <v>76</v>
      </c>
      <c r="N110" s="1">
        <f ca="1">IFERROR(__xludf.DUMMYFUNCTION("""COMPUTED_VALUE"""),-4.56)</f>
        <v>-4.5599999999999996</v>
      </c>
      <c r="O110" s="1">
        <f ca="1">IFERROR(__xludf.DUMMYFUNCTION("""COMPUTED_VALUE"""),267)</f>
        <v>267</v>
      </c>
      <c r="P110" s="1">
        <f ca="1">IFERROR(__xludf.DUMMYFUNCTION("""COMPUTED_VALUE"""),100.2)</f>
        <v>100.2</v>
      </c>
      <c r="Q110" s="1">
        <f ca="1">IFERROR(__xludf.DUMMYFUNCTION("""COMPUTED_VALUE"""),294)</f>
        <v>294</v>
      </c>
      <c r="R110" s="1">
        <f ca="1">IFERROR(__xludf.DUMMYFUNCTION("""COMPUTED_VALUE"""),104.7)</f>
        <v>104.7</v>
      </c>
      <c r="S110" s="1">
        <f ca="1">IFERROR(__xludf.DUMMYFUNCTION("""COMPUTED_VALUE"""),218)</f>
        <v>218</v>
      </c>
      <c r="T110" s="1">
        <f ca="1">IFERROR(__xludf.DUMMYFUNCTION("""COMPUTED_VALUE"""),-5.55)</f>
        <v>-5.55</v>
      </c>
      <c r="U110" s="1">
        <f ca="1">IFERROR(__xludf.DUMMYFUNCTION("""COMPUTED_VALUE"""),299)</f>
        <v>299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IFERROR(__xludf.DUMMYFUNCTION("""COMPUTED_VALUE"""),"UCF")</f>
        <v>UCF</v>
      </c>
      <c r="C111" s="1" t="str">
        <f ca="1">IFERROR(__xludf.DUMMYFUNCTION("""COMPUTED_VALUE"""),"CUSA")</f>
        <v>CUSA</v>
      </c>
      <c r="D111" s="1" t="str">
        <f ca="1">IFERROR(__xludf.DUMMYFUNCTION("""COMPUTED_VALUE"""),"21-12")</f>
        <v>21-12</v>
      </c>
      <c r="E111" s="1" t="str">
        <f ca="1">IFERROR(__xludf.DUMMYFUNCTION("""COMPUTED_VALUE"""),"+5.87")</f>
        <v>+5.87</v>
      </c>
      <c r="F111" s="1">
        <f ca="1">IFERROR(__xludf.DUMMYFUNCTION("""COMPUTED_VALUE"""),105.7)</f>
        <v>105.7</v>
      </c>
      <c r="G111" s="1">
        <f ca="1">IFERROR(__xludf.DUMMYFUNCTION("""COMPUTED_VALUE"""),118)</f>
        <v>118</v>
      </c>
      <c r="H111" s="1">
        <f ca="1">IFERROR(__xludf.DUMMYFUNCTION("""COMPUTED_VALUE"""),99.9)</f>
        <v>99.9</v>
      </c>
      <c r="I111" s="1">
        <f ca="1">IFERROR(__xludf.DUMMYFUNCTION("""COMPUTED_VALUE"""),100)</f>
        <v>100</v>
      </c>
      <c r="J111" s="1">
        <f ca="1">IFERROR(__xludf.DUMMYFUNCTION("""COMPUTED_VALUE"""),64.2)</f>
        <v>64.2</v>
      </c>
      <c r="K111" s="1">
        <f ca="1">IFERROR(__xludf.DUMMYFUNCTION("""COMPUTED_VALUE"""),233)</f>
        <v>233</v>
      </c>
      <c r="L111" s="1" t="str">
        <f ca="1">IFERROR(__xludf.DUMMYFUNCTION("""COMPUTED_VALUE"""),"+.012")</f>
        <v>+.012</v>
      </c>
      <c r="M111" s="1">
        <f ca="1">IFERROR(__xludf.DUMMYFUNCTION("""COMPUTED_VALUE"""),147)</f>
        <v>147</v>
      </c>
      <c r="N111" s="1" t="str">
        <f ca="1">IFERROR(__xludf.DUMMYFUNCTION("""COMPUTED_VALUE"""),"+0.68")</f>
        <v>+0.68</v>
      </c>
      <c r="O111" s="1">
        <f ca="1">IFERROR(__xludf.DUMMYFUNCTION("""COMPUTED_VALUE"""),138)</f>
        <v>138</v>
      </c>
      <c r="P111" s="1">
        <f ca="1">IFERROR(__xludf.DUMMYFUNCTION("""COMPUTED_VALUE"""),103.9)</f>
        <v>103.9</v>
      </c>
      <c r="Q111" s="1">
        <f ca="1">IFERROR(__xludf.DUMMYFUNCTION("""COMPUTED_VALUE"""),138)</f>
        <v>138</v>
      </c>
      <c r="R111" s="1">
        <f ca="1">IFERROR(__xludf.DUMMYFUNCTION("""COMPUTED_VALUE"""),103.2)</f>
        <v>103.2</v>
      </c>
      <c r="S111" s="1">
        <f ca="1">IFERROR(__xludf.DUMMYFUNCTION("""COMPUTED_VALUE"""),149)</f>
        <v>149</v>
      </c>
      <c r="T111" s="1">
        <f ca="1">IFERROR(__xludf.DUMMYFUNCTION("""COMPUTED_VALUE"""),-5.63)</f>
        <v>-5.63</v>
      </c>
      <c r="U111" s="1">
        <f ca="1">IFERROR(__xludf.DUMMYFUNCTION("""COMPUTED_VALUE"""),303)</f>
        <v>303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IFERROR(__xludf.DUMMYFUNCTION("""COMPUTED_VALUE"""),"James Madison")</f>
        <v>James Madison</v>
      </c>
      <c r="C112" s="1" t="str">
        <f ca="1">IFERROR(__xludf.DUMMYFUNCTION("""COMPUTED_VALUE"""),"CAA")</f>
        <v>CAA</v>
      </c>
      <c r="D112" s="1" t="str">
        <f ca="1">IFERROR(__xludf.DUMMYFUNCTION("""COMPUTED_VALUE"""),"21-12")</f>
        <v>21-12</v>
      </c>
      <c r="E112" s="1" t="str">
        <f ca="1">IFERROR(__xludf.DUMMYFUNCTION("""COMPUTED_VALUE"""),"+5.74")</f>
        <v>+5.74</v>
      </c>
      <c r="F112" s="1">
        <f ca="1">IFERROR(__xludf.DUMMYFUNCTION("""COMPUTED_VALUE"""),108.3)</f>
        <v>108.3</v>
      </c>
      <c r="G112" s="1">
        <f ca="1">IFERROR(__xludf.DUMMYFUNCTION("""COMPUTED_VALUE"""),84)</f>
        <v>84</v>
      </c>
      <c r="H112" s="1">
        <f ca="1">IFERROR(__xludf.DUMMYFUNCTION("""COMPUTED_VALUE"""),102.6)</f>
        <v>102.6</v>
      </c>
      <c r="I112" s="1">
        <f ca="1">IFERROR(__xludf.DUMMYFUNCTION("""COMPUTED_VALUE"""),145)</f>
        <v>145</v>
      </c>
      <c r="J112" s="1">
        <f ca="1">IFERROR(__xludf.DUMMYFUNCTION("""COMPUTED_VALUE"""),66.7)</f>
        <v>66.7</v>
      </c>
      <c r="K112" s="1">
        <f ca="1">IFERROR(__xludf.DUMMYFUNCTION("""COMPUTED_VALUE"""),97)</f>
        <v>97</v>
      </c>
      <c r="L112" s="1" t="str">
        <f ca="1">IFERROR(__xludf.DUMMYFUNCTION("""COMPUTED_VALUE"""),"+.022")</f>
        <v>+.022</v>
      </c>
      <c r="M112" s="1">
        <f ca="1">IFERROR(__xludf.DUMMYFUNCTION("""COMPUTED_VALUE"""),127)</f>
        <v>127</v>
      </c>
      <c r="N112" s="1" t="str">
        <f ca="1">IFERROR(__xludf.DUMMYFUNCTION("""COMPUTED_VALUE"""),"+0.85")</f>
        <v>+0.85</v>
      </c>
      <c r="O112" s="1">
        <f ca="1">IFERROR(__xludf.DUMMYFUNCTION("""COMPUTED_VALUE"""),135)</f>
        <v>135</v>
      </c>
      <c r="P112" s="1">
        <f ca="1">IFERROR(__xludf.DUMMYFUNCTION("""COMPUTED_VALUE"""),104.2)</f>
        <v>104.2</v>
      </c>
      <c r="Q112" s="1">
        <f ca="1">IFERROR(__xludf.DUMMYFUNCTION("""COMPUTED_VALUE"""),125)</f>
        <v>125</v>
      </c>
      <c r="R112" s="1">
        <f ca="1">IFERROR(__xludf.DUMMYFUNCTION("""COMPUTED_VALUE"""),103.3)</f>
        <v>103.3</v>
      </c>
      <c r="S112" s="1">
        <f ca="1">IFERROR(__xludf.DUMMYFUNCTION("""COMPUTED_VALUE"""),153)</f>
        <v>153</v>
      </c>
      <c r="T112" s="1">
        <f ca="1">IFERROR(__xludf.DUMMYFUNCTION("""COMPUTED_VALUE"""),-1.34)</f>
        <v>-1.34</v>
      </c>
      <c r="U112" s="1">
        <f ca="1">IFERROR(__xludf.DUMMYFUNCTION("""COMPUTED_VALUE"""),194)</f>
        <v>194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IFERROR(__xludf.DUMMYFUNCTION("""COMPUTED_VALUE"""),"Northern Iowa")</f>
        <v>Northern Iowa</v>
      </c>
      <c r="C113" s="1" t="str">
        <f ca="1">IFERROR(__xludf.DUMMYFUNCTION("""COMPUTED_VALUE"""),"MVC")</f>
        <v>MVC</v>
      </c>
      <c r="D113" s="1" t="str">
        <f ca="1">IFERROR(__xludf.DUMMYFUNCTION("""COMPUTED_VALUE"""),"20-14")</f>
        <v>20-14</v>
      </c>
      <c r="E113" s="1" t="str">
        <f ca="1">IFERROR(__xludf.DUMMYFUNCTION("""COMPUTED_VALUE"""),"+5.66")</f>
        <v>+5.66</v>
      </c>
      <c r="F113" s="1">
        <f ca="1">IFERROR(__xludf.DUMMYFUNCTION("""COMPUTED_VALUE"""),109)</f>
        <v>109</v>
      </c>
      <c r="G113" s="1">
        <f ca="1">IFERROR(__xludf.DUMMYFUNCTION("""COMPUTED_VALUE"""),76)</f>
        <v>76</v>
      </c>
      <c r="H113" s="1">
        <f ca="1">IFERROR(__xludf.DUMMYFUNCTION("""COMPUTED_VALUE"""),103.3)</f>
        <v>103.3</v>
      </c>
      <c r="I113" s="1">
        <f ca="1">IFERROR(__xludf.DUMMYFUNCTION("""COMPUTED_VALUE"""),168)</f>
        <v>168</v>
      </c>
      <c r="J113" s="1">
        <f ca="1">IFERROR(__xludf.DUMMYFUNCTION("""COMPUTED_VALUE"""),59.1)</f>
        <v>59.1</v>
      </c>
      <c r="K113" s="1">
        <f ca="1">IFERROR(__xludf.DUMMYFUNCTION("""COMPUTED_VALUE"""),341)</f>
        <v>341</v>
      </c>
      <c r="L113" s="1" t="str">
        <f ca="1">IFERROR(__xludf.DUMMYFUNCTION("""COMPUTED_VALUE"""),"+.003")</f>
        <v>+.003</v>
      </c>
      <c r="M113" s="1">
        <f ca="1">IFERROR(__xludf.DUMMYFUNCTION("""COMPUTED_VALUE"""),171)</f>
        <v>171</v>
      </c>
      <c r="N113" s="1" t="str">
        <f ca="1">IFERROR(__xludf.DUMMYFUNCTION("""COMPUTED_VALUE"""),"+1.58")</f>
        <v>+1.58</v>
      </c>
      <c r="O113" s="1">
        <f ca="1">IFERROR(__xludf.DUMMYFUNCTION("""COMPUTED_VALUE"""),119)</f>
        <v>119</v>
      </c>
      <c r="P113" s="1">
        <f ca="1">IFERROR(__xludf.DUMMYFUNCTION("""COMPUTED_VALUE"""),103.9)</f>
        <v>103.9</v>
      </c>
      <c r="Q113" s="1">
        <f ca="1">IFERROR(__xludf.DUMMYFUNCTION("""COMPUTED_VALUE"""),139)</f>
        <v>139</v>
      </c>
      <c r="R113" s="1">
        <f ca="1">IFERROR(__xludf.DUMMYFUNCTION("""COMPUTED_VALUE"""),102.3)</f>
        <v>102.3</v>
      </c>
      <c r="S113" s="1">
        <f ca="1">IFERROR(__xludf.DUMMYFUNCTION("""COMPUTED_VALUE"""),104)</f>
        <v>104</v>
      </c>
      <c r="T113" s="1" t="str">
        <f ca="1">IFERROR(__xludf.DUMMYFUNCTION("""COMPUTED_VALUE"""),"+2.16")</f>
        <v>+2.16</v>
      </c>
      <c r="U113" s="1">
        <f ca="1">IFERROR(__xludf.DUMMYFUNCTION("""COMPUTED_VALUE"""),90)</f>
        <v>90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IFERROR(__xludf.DUMMYFUNCTION("""COMPUTED_VALUE"""),"Indiana St.14")</f>
        <v>Indiana St.14</v>
      </c>
      <c r="C114" s="1" t="str">
        <f ca="1">IFERROR(__xludf.DUMMYFUNCTION("""COMPUTED_VALUE"""),"MVC")</f>
        <v>MVC</v>
      </c>
      <c r="D114" s="1" t="str">
        <f ca="1">IFERROR(__xludf.DUMMYFUNCTION("""COMPUTED_VALUE"""),"20-14")</f>
        <v>20-14</v>
      </c>
      <c r="E114" s="1" t="str">
        <f ca="1">IFERROR(__xludf.DUMMYFUNCTION("""COMPUTED_VALUE"""),"+5.45")</f>
        <v>+5.45</v>
      </c>
      <c r="F114" s="1">
        <f ca="1">IFERROR(__xludf.DUMMYFUNCTION("""COMPUTED_VALUE"""),102.8)</f>
        <v>102.8</v>
      </c>
      <c r="G114" s="1">
        <f ca="1">IFERROR(__xludf.DUMMYFUNCTION("""COMPUTED_VALUE"""),183)</f>
        <v>183</v>
      </c>
      <c r="H114" s="1">
        <f ca="1">IFERROR(__xludf.DUMMYFUNCTION("""COMPUTED_VALUE"""),97.4)</f>
        <v>97.4</v>
      </c>
      <c r="I114" s="1">
        <f ca="1">IFERROR(__xludf.DUMMYFUNCTION("""COMPUTED_VALUE"""),63)</f>
        <v>63</v>
      </c>
      <c r="J114" s="1">
        <f ca="1">IFERROR(__xludf.DUMMYFUNCTION("""COMPUTED_VALUE"""),65)</f>
        <v>65</v>
      </c>
      <c r="K114" s="1">
        <f ca="1">IFERROR(__xludf.DUMMYFUNCTION("""COMPUTED_VALUE"""),189)</f>
        <v>189</v>
      </c>
      <c r="L114" s="1" t="str">
        <f ca="1">IFERROR(__xludf.DUMMYFUNCTION("""COMPUTED_VALUE"""),"+.051")</f>
        <v>+.051</v>
      </c>
      <c r="M114" s="1">
        <f ca="1">IFERROR(__xludf.DUMMYFUNCTION("""COMPUTED_VALUE"""),55)</f>
        <v>55</v>
      </c>
      <c r="N114" s="1" t="str">
        <f ca="1">IFERROR(__xludf.DUMMYFUNCTION("""COMPUTED_VALUE"""),"+3.40")</f>
        <v>+3.40</v>
      </c>
      <c r="O114" s="1">
        <f ca="1">IFERROR(__xludf.DUMMYFUNCTION("""COMPUTED_VALUE"""),85)</f>
        <v>85</v>
      </c>
      <c r="P114" s="1">
        <f ca="1">IFERROR(__xludf.DUMMYFUNCTION("""COMPUTED_VALUE"""),105.8)</f>
        <v>105.8</v>
      </c>
      <c r="Q114" s="1">
        <f ca="1">IFERROR(__xludf.DUMMYFUNCTION("""COMPUTED_VALUE"""),75)</f>
        <v>75</v>
      </c>
      <c r="R114" s="1">
        <f ca="1">IFERROR(__xludf.DUMMYFUNCTION("""COMPUTED_VALUE"""),102.4)</f>
        <v>102.4</v>
      </c>
      <c r="S114" s="1">
        <f ca="1">IFERROR(__xludf.DUMMYFUNCTION("""COMPUTED_VALUE"""),108)</f>
        <v>108</v>
      </c>
      <c r="T114" s="1" t="str">
        <f ca="1">IFERROR(__xludf.DUMMYFUNCTION("""COMPUTED_VALUE"""),"+2.76")</f>
        <v>+2.76</v>
      </c>
      <c r="U114" s="1">
        <f ca="1">IFERROR(__xludf.DUMMYFUNCTION("""COMPUTED_VALUE"""),79)</f>
        <v>79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IFERROR(__xludf.DUMMYFUNCTION("""COMPUTED_VALUE"""),"LIU Brooklyn15")</f>
        <v>LIU Brooklyn15</v>
      </c>
      <c r="C115" s="1" t="str">
        <f ca="1">IFERROR(__xludf.DUMMYFUNCTION("""COMPUTED_VALUE"""),"NEC")</f>
        <v>NEC</v>
      </c>
      <c r="D115" s="1" t="str">
        <f ca="1">IFERROR(__xludf.DUMMYFUNCTION("""COMPUTED_VALUE"""),"27-6")</f>
        <v>27-6</v>
      </c>
      <c r="E115" s="1" t="str">
        <f ca="1">IFERROR(__xludf.DUMMYFUNCTION("""COMPUTED_VALUE"""),"+5.43")</f>
        <v>+5.43</v>
      </c>
      <c r="F115" s="1">
        <f ca="1">IFERROR(__xludf.DUMMYFUNCTION("""COMPUTED_VALUE"""),109.6)</f>
        <v>109.6</v>
      </c>
      <c r="G115" s="1">
        <f ca="1">IFERROR(__xludf.DUMMYFUNCTION("""COMPUTED_VALUE"""),72)</f>
        <v>72</v>
      </c>
      <c r="H115" s="1">
        <f ca="1">IFERROR(__xludf.DUMMYFUNCTION("""COMPUTED_VALUE"""),104.2)</f>
        <v>104.2</v>
      </c>
      <c r="I115" s="1">
        <f ca="1">IFERROR(__xludf.DUMMYFUNCTION("""COMPUTED_VALUE"""),190)</f>
        <v>190</v>
      </c>
      <c r="J115" s="1">
        <f ca="1">IFERROR(__xludf.DUMMYFUNCTION("""COMPUTED_VALUE"""),73.3)</f>
        <v>73.3</v>
      </c>
      <c r="K115" s="1">
        <f ca="1">IFERROR(__xludf.DUMMYFUNCTION("""COMPUTED_VALUE"""),4)</f>
        <v>4</v>
      </c>
      <c r="L115" s="1" t="str">
        <f ca="1">IFERROR(__xludf.DUMMYFUNCTION("""COMPUTED_VALUE"""),"+.053")</f>
        <v>+.053</v>
      </c>
      <c r="M115" s="1">
        <f ca="1">IFERROR(__xludf.DUMMYFUNCTION("""COMPUTED_VALUE"""),49)</f>
        <v>49</v>
      </c>
      <c r="N115" s="1">
        <f ca="1">IFERROR(__xludf.DUMMYFUNCTION("""COMPUTED_VALUE"""),-6.02)</f>
        <v>-6.02</v>
      </c>
      <c r="O115" s="1">
        <f ca="1">IFERROR(__xludf.DUMMYFUNCTION("""COMPUTED_VALUE"""),304)</f>
        <v>304</v>
      </c>
      <c r="P115" s="1">
        <f ca="1">IFERROR(__xludf.DUMMYFUNCTION("""COMPUTED_VALUE"""),99.7)</f>
        <v>99.7</v>
      </c>
      <c r="Q115" s="1">
        <f ca="1">IFERROR(__xludf.DUMMYFUNCTION("""COMPUTED_VALUE"""),306)</f>
        <v>306</v>
      </c>
      <c r="R115" s="1">
        <f ca="1">IFERROR(__xludf.DUMMYFUNCTION("""COMPUTED_VALUE"""),105.8)</f>
        <v>105.8</v>
      </c>
      <c r="S115" s="1">
        <f ca="1">IFERROR(__xludf.DUMMYFUNCTION("""COMPUTED_VALUE"""),278)</f>
        <v>278</v>
      </c>
      <c r="T115" s="1">
        <f ca="1">IFERROR(__xludf.DUMMYFUNCTION("""COMPUTED_VALUE"""),-5.31)</f>
        <v>-5.31</v>
      </c>
      <c r="U115" s="1">
        <f ca="1">IFERROR(__xludf.DUMMYFUNCTION("""COMPUTED_VALUE"""),291)</f>
        <v>291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IFERROR(__xludf.DUMMYFUNCTION("""COMPUTED_VALUE"""),"South Dakota St.")</f>
        <v>South Dakota St.</v>
      </c>
      <c r="C116" s="1" t="str">
        <f ca="1">IFERROR(__xludf.DUMMYFUNCTION("""COMPUTED_VALUE"""),"Sum")</f>
        <v>Sum</v>
      </c>
      <c r="D116" s="1" t="str">
        <f ca="1">IFERROR(__xludf.DUMMYFUNCTION("""COMPUTED_VALUE"""),"19-12")</f>
        <v>19-12</v>
      </c>
      <c r="E116" s="1" t="str">
        <f ca="1">IFERROR(__xludf.DUMMYFUNCTION("""COMPUTED_VALUE"""),"+5.39")</f>
        <v>+5.39</v>
      </c>
      <c r="F116" s="1">
        <f ca="1">IFERROR(__xludf.DUMMYFUNCTION("""COMPUTED_VALUE"""),115.9)</f>
        <v>115.9</v>
      </c>
      <c r="G116" s="1">
        <f ca="1">IFERROR(__xludf.DUMMYFUNCTION("""COMPUTED_VALUE"""),17)</f>
        <v>17</v>
      </c>
      <c r="H116" s="1">
        <f ca="1">IFERROR(__xludf.DUMMYFUNCTION("""COMPUTED_VALUE"""),110.5)</f>
        <v>110.5</v>
      </c>
      <c r="I116" s="1">
        <f ca="1">IFERROR(__xludf.DUMMYFUNCTION("""COMPUTED_VALUE"""),305)</f>
        <v>305</v>
      </c>
      <c r="J116" s="1">
        <f ca="1">IFERROR(__xludf.DUMMYFUNCTION("""COMPUTED_VALUE"""),67.2)</f>
        <v>67.2</v>
      </c>
      <c r="K116" s="1">
        <f ca="1">IFERROR(__xludf.DUMMYFUNCTION("""COMPUTED_VALUE"""),71)</f>
        <v>71</v>
      </c>
      <c r="L116" s="1">
        <f ca="1">IFERROR(__xludf.DUMMYFUNCTION("""COMPUTED_VALUE"""),-0.084)</f>
        <v>-8.4000000000000005E-2</v>
      </c>
      <c r="M116" s="1">
        <f ca="1">IFERROR(__xludf.DUMMYFUNCTION("""COMPUTED_VALUE"""),327)</f>
        <v>327</v>
      </c>
      <c r="N116" s="1">
        <f ca="1">IFERROR(__xludf.DUMMYFUNCTION("""COMPUTED_VALUE"""),-4.03)</f>
        <v>-4.03</v>
      </c>
      <c r="O116" s="1">
        <f ca="1">IFERROR(__xludf.DUMMYFUNCTION("""COMPUTED_VALUE"""),256)</f>
        <v>256</v>
      </c>
      <c r="P116" s="1">
        <f ca="1">IFERROR(__xludf.DUMMYFUNCTION("""COMPUTED_VALUE"""),102.6)</f>
        <v>102.6</v>
      </c>
      <c r="Q116" s="1">
        <f ca="1">IFERROR(__xludf.DUMMYFUNCTION("""COMPUTED_VALUE"""),194)</f>
        <v>194</v>
      </c>
      <c r="R116" s="1">
        <f ca="1">IFERROR(__xludf.DUMMYFUNCTION("""COMPUTED_VALUE"""),106.7)</f>
        <v>106.7</v>
      </c>
      <c r="S116" s="1">
        <f ca="1">IFERROR(__xludf.DUMMYFUNCTION("""COMPUTED_VALUE"""),321)</f>
        <v>321</v>
      </c>
      <c r="T116" s="1">
        <f ca="1">IFERROR(__xludf.DUMMYFUNCTION("""COMPUTED_VALUE"""),-3.15)</f>
        <v>-3.15</v>
      </c>
      <c r="U116" s="1">
        <f ca="1">IFERROR(__xludf.DUMMYFUNCTION("""COMPUTED_VALUE"""),239)</f>
        <v>239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IFERROR(__xludf.DUMMYFUNCTION("""COMPUTED_VALUE"""),"Wright St.")</f>
        <v>Wright St.</v>
      </c>
      <c r="C117" s="1" t="str">
        <f ca="1">IFERROR(__xludf.DUMMYFUNCTION("""COMPUTED_VALUE"""),"Horz")</f>
        <v>Horz</v>
      </c>
      <c r="D117" s="1" t="str">
        <f ca="1">IFERROR(__xludf.DUMMYFUNCTION("""COMPUTED_VALUE"""),"19-14")</f>
        <v>19-14</v>
      </c>
      <c r="E117" s="1" t="str">
        <f ca="1">IFERROR(__xludf.DUMMYFUNCTION("""COMPUTED_VALUE"""),"+5.23")</f>
        <v>+5.23</v>
      </c>
      <c r="F117" s="1">
        <f ca="1">IFERROR(__xludf.DUMMYFUNCTION("""COMPUTED_VALUE"""),105)</f>
        <v>105</v>
      </c>
      <c r="G117" s="1">
        <f ca="1">IFERROR(__xludf.DUMMYFUNCTION("""COMPUTED_VALUE"""),130)</f>
        <v>130</v>
      </c>
      <c r="H117" s="1">
        <f ca="1">IFERROR(__xludf.DUMMYFUNCTION("""COMPUTED_VALUE"""),99.8)</f>
        <v>99.8</v>
      </c>
      <c r="I117" s="1">
        <f ca="1">IFERROR(__xludf.DUMMYFUNCTION("""COMPUTED_VALUE"""),98)</f>
        <v>98</v>
      </c>
      <c r="J117" s="1">
        <f ca="1">IFERROR(__xludf.DUMMYFUNCTION("""COMPUTED_VALUE"""),61.6)</f>
        <v>61.6</v>
      </c>
      <c r="K117" s="1">
        <f ca="1">IFERROR(__xludf.DUMMYFUNCTION("""COMPUTED_VALUE"""),320)</f>
        <v>320</v>
      </c>
      <c r="L117" s="1">
        <f ca="1">IFERROR(__xludf.DUMMYFUNCTION("""COMPUTED_VALUE"""),-0.014)</f>
        <v>-1.4E-2</v>
      </c>
      <c r="M117" s="1">
        <f ca="1">IFERROR(__xludf.DUMMYFUNCTION("""COMPUTED_VALUE"""),215)</f>
        <v>215</v>
      </c>
      <c r="N117" s="1" t="str">
        <f ca="1">IFERROR(__xludf.DUMMYFUNCTION("""COMPUTED_VALUE"""),"+1.73")</f>
        <v>+1.73</v>
      </c>
      <c r="O117" s="1">
        <f ca="1">IFERROR(__xludf.DUMMYFUNCTION("""COMPUTED_VALUE"""),114)</f>
        <v>114</v>
      </c>
      <c r="P117" s="1">
        <f ca="1">IFERROR(__xludf.DUMMYFUNCTION("""COMPUTED_VALUE"""),104.6)</f>
        <v>104.6</v>
      </c>
      <c r="Q117" s="1">
        <f ca="1">IFERROR(__xludf.DUMMYFUNCTION("""COMPUTED_VALUE"""),107)</f>
        <v>107</v>
      </c>
      <c r="R117" s="1">
        <f ca="1">IFERROR(__xludf.DUMMYFUNCTION("""COMPUTED_VALUE"""),102.9)</f>
        <v>102.9</v>
      </c>
      <c r="S117" s="1">
        <f ca="1">IFERROR(__xludf.DUMMYFUNCTION("""COMPUTED_VALUE"""),128)</f>
        <v>128</v>
      </c>
      <c r="T117" s="1" t="str">
        <f ca="1">IFERROR(__xludf.DUMMYFUNCTION("""COMPUTED_VALUE"""),"+0.72")</f>
        <v>+0.72</v>
      </c>
      <c r="U117" s="1">
        <f ca="1">IFERROR(__xludf.DUMMYFUNCTION("""COMPUTED_VALUE"""),136)</f>
        <v>136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IFERROR(__xludf.DUMMYFUNCTION("""COMPUTED_VALUE"""),"East Tennessee St.")</f>
        <v>East Tennessee St.</v>
      </c>
      <c r="C118" s="1" t="str">
        <f ca="1">IFERROR(__xludf.DUMMYFUNCTION("""COMPUTED_VALUE"""),"ASun")</f>
        <v>ASun</v>
      </c>
      <c r="D118" s="1" t="str">
        <f ca="1">IFERROR(__xludf.DUMMYFUNCTION("""COMPUTED_VALUE"""),"24-12")</f>
        <v>24-12</v>
      </c>
      <c r="E118" s="1" t="str">
        <f ca="1">IFERROR(__xludf.DUMMYFUNCTION("""COMPUTED_VALUE"""),"+5.16")</f>
        <v>+5.16</v>
      </c>
      <c r="F118" s="1">
        <f ca="1">IFERROR(__xludf.DUMMYFUNCTION("""COMPUTED_VALUE"""),104.1)</f>
        <v>104.1</v>
      </c>
      <c r="G118" s="1">
        <f ca="1">IFERROR(__xludf.DUMMYFUNCTION("""COMPUTED_VALUE"""),155)</f>
        <v>155</v>
      </c>
      <c r="H118" s="1">
        <f ca="1">IFERROR(__xludf.DUMMYFUNCTION("""COMPUTED_VALUE"""),98.9)</f>
        <v>98.9</v>
      </c>
      <c r="I118" s="1">
        <f ca="1">IFERROR(__xludf.DUMMYFUNCTION("""COMPUTED_VALUE"""),82)</f>
        <v>82</v>
      </c>
      <c r="J118" s="1">
        <f ca="1">IFERROR(__xludf.DUMMYFUNCTION("""COMPUTED_VALUE"""),64.3)</f>
        <v>64.3</v>
      </c>
      <c r="K118" s="1">
        <f ca="1">IFERROR(__xludf.DUMMYFUNCTION("""COMPUTED_VALUE"""),230)</f>
        <v>230</v>
      </c>
      <c r="L118" s="1" t="str">
        <f ca="1">IFERROR(__xludf.DUMMYFUNCTION("""COMPUTED_VALUE"""),"+.030")</f>
        <v>+.030</v>
      </c>
      <c r="M118" s="1">
        <f ca="1">IFERROR(__xludf.DUMMYFUNCTION("""COMPUTED_VALUE"""),105)</f>
        <v>105</v>
      </c>
      <c r="N118" s="1">
        <f ca="1">IFERROR(__xludf.DUMMYFUNCTION("""COMPUTED_VALUE"""),-1.94)</f>
        <v>-1.94</v>
      </c>
      <c r="O118" s="1">
        <f ca="1">IFERROR(__xludf.DUMMYFUNCTION("""COMPUTED_VALUE"""),196)</f>
        <v>196</v>
      </c>
      <c r="P118" s="1">
        <f ca="1">IFERROR(__xludf.DUMMYFUNCTION("""COMPUTED_VALUE"""),102.9)</f>
        <v>102.9</v>
      </c>
      <c r="Q118" s="1">
        <f ca="1">IFERROR(__xludf.DUMMYFUNCTION("""COMPUTED_VALUE"""),180)</f>
        <v>180</v>
      </c>
      <c r="R118" s="1">
        <f ca="1">IFERROR(__xludf.DUMMYFUNCTION("""COMPUTED_VALUE"""),104.8)</f>
        <v>104.8</v>
      </c>
      <c r="S118" s="1">
        <f ca="1">IFERROR(__xludf.DUMMYFUNCTION("""COMPUTED_VALUE"""),226)</f>
        <v>226</v>
      </c>
      <c r="T118" s="1" t="str">
        <f ca="1">IFERROR(__xludf.DUMMYFUNCTION("""COMPUTED_VALUE"""),"+7.93")</f>
        <v>+7.93</v>
      </c>
      <c r="U118" s="1">
        <f ca="1">IFERROR(__xludf.DUMMYFUNCTION("""COMPUTED_VALUE"""),19)</f>
        <v>19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IFERROR(__xludf.DUMMYFUNCTION("""COMPUTED_VALUE"""),"Arkansas")</f>
        <v>Arkansas</v>
      </c>
      <c r="C119" s="1" t="str">
        <f ca="1">IFERROR(__xludf.DUMMYFUNCTION("""COMPUTED_VALUE"""),"SEC")</f>
        <v>SEC</v>
      </c>
      <c r="D119" s="1" t="str">
        <f ca="1">IFERROR(__xludf.DUMMYFUNCTION("""COMPUTED_VALUE"""),"18-13")</f>
        <v>18-13</v>
      </c>
      <c r="E119" s="1" t="str">
        <f ca="1">IFERROR(__xludf.DUMMYFUNCTION("""COMPUTED_VALUE"""),"+5.15")</f>
        <v>+5.15</v>
      </c>
      <c r="F119" s="1">
        <f ca="1">IFERROR(__xludf.DUMMYFUNCTION("""COMPUTED_VALUE"""),106.2)</f>
        <v>106.2</v>
      </c>
      <c r="G119" s="1">
        <f ca="1">IFERROR(__xludf.DUMMYFUNCTION("""COMPUTED_VALUE"""),110)</f>
        <v>110</v>
      </c>
      <c r="H119" s="1">
        <f ca="1">IFERROR(__xludf.DUMMYFUNCTION("""COMPUTED_VALUE"""),101)</f>
        <v>101</v>
      </c>
      <c r="I119" s="1">
        <f ca="1">IFERROR(__xludf.DUMMYFUNCTION("""COMPUTED_VALUE"""),120)</f>
        <v>120</v>
      </c>
      <c r="J119" s="1">
        <f ca="1">IFERROR(__xludf.DUMMYFUNCTION("""COMPUTED_VALUE"""),66)</f>
        <v>66</v>
      </c>
      <c r="K119" s="1">
        <f ca="1">IFERROR(__xludf.DUMMYFUNCTION("""COMPUTED_VALUE"""),139)</f>
        <v>139</v>
      </c>
      <c r="L119" s="1" t="str">
        <f ca="1">IFERROR(__xludf.DUMMYFUNCTION("""COMPUTED_VALUE"""),"+.004")</f>
        <v>+.004</v>
      </c>
      <c r="M119" s="1">
        <f ca="1">IFERROR(__xludf.DUMMYFUNCTION("""COMPUTED_VALUE"""),168)</f>
        <v>168</v>
      </c>
      <c r="N119" s="1" t="str">
        <f ca="1">IFERROR(__xludf.DUMMYFUNCTION("""COMPUTED_VALUE"""),"+0.19")</f>
        <v>+0.19</v>
      </c>
      <c r="O119" s="1">
        <f ca="1">IFERROR(__xludf.DUMMYFUNCTION("""COMPUTED_VALUE"""),151)</f>
        <v>151</v>
      </c>
      <c r="P119" s="1">
        <f ca="1">IFERROR(__xludf.DUMMYFUNCTION("""COMPUTED_VALUE"""),102.1)</f>
        <v>102.1</v>
      </c>
      <c r="Q119" s="1">
        <f ca="1">IFERROR(__xludf.DUMMYFUNCTION("""COMPUTED_VALUE"""),216)</f>
        <v>216</v>
      </c>
      <c r="R119" s="1">
        <f ca="1">IFERROR(__xludf.DUMMYFUNCTION("""COMPUTED_VALUE"""),101.9)</f>
        <v>101.9</v>
      </c>
      <c r="S119" s="1">
        <f ca="1">IFERROR(__xludf.DUMMYFUNCTION("""COMPUTED_VALUE"""),94)</f>
        <v>94</v>
      </c>
      <c r="T119" s="1">
        <f ca="1">IFERROR(__xludf.DUMMYFUNCTION("""COMPUTED_VALUE"""),-10.48)</f>
        <v>-10.48</v>
      </c>
      <c r="U119" s="1">
        <f ca="1">IFERROR(__xludf.DUMMYFUNCTION("""COMPUTED_VALUE"""),338)</f>
        <v>338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IFERROR(__xludf.DUMMYFUNCTION("""COMPUTED_VALUE"""),"Montana")</f>
        <v>Montana</v>
      </c>
      <c r="C120" s="1" t="str">
        <f ca="1">IFERROR(__xludf.DUMMYFUNCTION("""COMPUTED_VALUE"""),"BSky")</f>
        <v>BSky</v>
      </c>
      <c r="D120" s="1" t="str">
        <f ca="1">IFERROR(__xludf.DUMMYFUNCTION("""COMPUTED_VALUE"""),"21-11")</f>
        <v>21-11</v>
      </c>
      <c r="E120" s="1" t="str">
        <f ca="1">IFERROR(__xludf.DUMMYFUNCTION("""COMPUTED_VALUE"""),"+5.04")</f>
        <v>+5.04</v>
      </c>
      <c r="F120" s="1">
        <f ca="1">IFERROR(__xludf.DUMMYFUNCTION("""COMPUTED_VALUE"""),101.8)</f>
        <v>101.8</v>
      </c>
      <c r="G120" s="1">
        <f ca="1">IFERROR(__xludf.DUMMYFUNCTION("""COMPUTED_VALUE"""),200)</f>
        <v>200</v>
      </c>
      <c r="H120" s="1">
        <f ca="1">IFERROR(__xludf.DUMMYFUNCTION("""COMPUTED_VALUE"""),96.8)</f>
        <v>96.8</v>
      </c>
      <c r="I120" s="1">
        <f ca="1">IFERROR(__xludf.DUMMYFUNCTION("""COMPUTED_VALUE"""),57)</f>
        <v>57</v>
      </c>
      <c r="J120" s="1">
        <f ca="1">IFERROR(__xludf.DUMMYFUNCTION("""COMPUTED_VALUE"""),62.7)</f>
        <v>62.7</v>
      </c>
      <c r="K120" s="1">
        <f ca="1">IFERROR(__xludf.DUMMYFUNCTION("""COMPUTED_VALUE"""),289)</f>
        <v>289</v>
      </c>
      <c r="L120" s="1" t="str">
        <f ca="1">IFERROR(__xludf.DUMMYFUNCTION("""COMPUTED_VALUE"""),"+.008")</f>
        <v>+.008</v>
      </c>
      <c r="M120" s="1">
        <f ca="1">IFERROR(__xludf.DUMMYFUNCTION("""COMPUTED_VALUE"""),156)</f>
        <v>156</v>
      </c>
      <c r="N120" s="1">
        <f ca="1">IFERROR(__xludf.DUMMYFUNCTION("""COMPUTED_VALUE"""),-1.98)</f>
        <v>-1.98</v>
      </c>
      <c r="O120" s="1">
        <f ca="1">IFERROR(__xludf.DUMMYFUNCTION("""COMPUTED_VALUE"""),197)</f>
        <v>197</v>
      </c>
      <c r="P120" s="1">
        <f ca="1">IFERROR(__xludf.DUMMYFUNCTION("""COMPUTED_VALUE"""),103.5)</f>
        <v>103.5</v>
      </c>
      <c r="Q120" s="1">
        <f ca="1">IFERROR(__xludf.DUMMYFUNCTION("""COMPUTED_VALUE"""),158)</f>
        <v>158</v>
      </c>
      <c r="R120" s="1">
        <f ca="1">IFERROR(__xludf.DUMMYFUNCTION("""COMPUTED_VALUE"""),105.4)</f>
        <v>105.4</v>
      </c>
      <c r="S120" s="1">
        <f ca="1">IFERROR(__xludf.DUMMYFUNCTION("""COMPUTED_VALUE"""),257)</f>
        <v>257</v>
      </c>
      <c r="T120" s="1" t="str">
        <f ca="1">IFERROR(__xludf.DUMMYFUNCTION("""COMPUTED_VALUE"""),"+2.65")</f>
        <v>+2.65</v>
      </c>
      <c r="U120" s="1">
        <f ca="1">IFERROR(__xludf.DUMMYFUNCTION("""COMPUTED_VALUE"""),82)</f>
        <v>82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IFERROR(__xludf.DUMMYFUNCTION("""COMPUTED_VALUE"""),"Buffalo")</f>
        <v>Buffalo</v>
      </c>
      <c r="C121" s="1" t="str">
        <f ca="1">IFERROR(__xludf.DUMMYFUNCTION("""COMPUTED_VALUE"""),"MAC")</f>
        <v>MAC</v>
      </c>
      <c r="D121" s="1" t="str">
        <f ca="1">IFERROR(__xludf.DUMMYFUNCTION("""COMPUTED_VALUE"""),"20-14")</f>
        <v>20-14</v>
      </c>
      <c r="E121" s="1" t="str">
        <f ca="1">IFERROR(__xludf.DUMMYFUNCTION("""COMPUTED_VALUE"""),"+4.92")</f>
        <v>+4.92</v>
      </c>
      <c r="F121" s="1">
        <f ca="1">IFERROR(__xludf.DUMMYFUNCTION("""COMPUTED_VALUE"""),104)</f>
        <v>104</v>
      </c>
      <c r="G121" s="1">
        <f ca="1">IFERROR(__xludf.DUMMYFUNCTION("""COMPUTED_VALUE"""),157)</f>
        <v>157</v>
      </c>
      <c r="H121" s="1">
        <f ca="1">IFERROR(__xludf.DUMMYFUNCTION("""COMPUTED_VALUE"""),99.1)</f>
        <v>99.1</v>
      </c>
      <c r="I121" s="1">
        <f ca="1">IFERROR(__xludf.DUMMYFUNCTION("""COMPUTED_VALUE"""),85)</f>
        <v>85</v>
      </c>
      <c r="J121" s="1">
        <f ca="1">IFERROR(__xludf.DUMMYFUNCTION("""COMPUTED_VALUE"""),65.7)</f>
        <v>65.7</v>
      </c>
      <c r="K121" s="1">
        <f ca="1">IFERROR(__xludf.DUMMYFUNCTION("""COMPUTED_VALUE"""),154)</f>
        <v>154</v>
      </c>
      <c r="L121" s="1">
        <f ca="1">IFERROR(__xludf.DUMMYFUNCTION("""COMPUTED_VALUE"""),-0.078)</f>
        <v>-7.8E-2</v>
      </c>
      <c r="M121" s="1">
        <f ca="1">IFERROR(__xludf.DUMMYFUNCTION("""COMPUTED_VALUE"""),326)</f>
        <v>326</v>
      </c>
      <c r="N121" s="1">
        <f ca="1">IFERROR(__xludf.DUMMYFUNCTION("""COMPUTED_VALUE"""),-2.12)</f>
        <v>-2.12</v>
      </c>
      <c r="O121" s="1">
        <f ca="1">IFERROR(__xludf.DUMMYFUNCTION("""COMPUTED_VALUE"""),203)</f>
        <v>203</v>
      </c>
      <c r="P121" s="1">
        <f ca="1">IFERROR(__xludf.DUMMYFUNCTION("""COMPUTED_VALUE"""),102.2)</f>
        <v>102.2</v>
      </c>
      <c r="Q121" s="1">
        <f ca="1">IFERROR(__xludf.DUMMYFUNCTION("""COMPUTED_VALUE"""),212)</f>
        <v>212</v>
      </c>
      <c r="R121" s="1">
        <f ca="1">IFERROR(__xludf.DUMMYFUNCTION("""COMPUTED_VALUE"""),104.3)</f>
        <v>104.3</v>
      </c>
      <c r="S121" s="1">
        <f ca="1">IFERROR(__xludf.DUMMYFUNCTION("""COMPUTED_VALUE"""),195)</f>
        <v>195</v>
      </c>
      <c r="T121" s="1">
        <f ca="1">IFERROR(__xludf.DUMMYFUNCTION("""COMPUTED_VALUE"""),-2.6)</f>
        <v>-2.6</v>
      </c>
      <c r="U121" s="1">
        <f ca="1">IFERROR(__xludf.DUMMYFUNCTION("""COMPUTED_VALUE"""),223)</f>
        <v>223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IFERROR(__xludf.DUMMYFUNCTION("""COMPUTED_VALUE"""),"Santa Clara")</f>
        <v>Santa Clara</v>
      </c>
      <c r="C122" s="1" t="str">
        <f ca="1">IFERROR(__xludf.DUMMYFUNCTION("""COMPUTED_VALUE"""),"WCC")</f>
        <v>WCC</v>
      </c>
      <c r="D122" s="1" t="str">
        <f ca="1">IFERROR(__xludf.DUMMYFUNCTION("""COMPUTED_VALUE"""),"24-14")</f>
        <v>24-14</v>
      </c>
      <c r="E122" s="1" t="str">
        <f ca="1">IFERROR(__xludf.DUMMYFUNCTION("""COMPUTED_VALUE"""),"+4.59")</f>
        <v>+4.59</v>
      </c>
      <c r="F122" s="1">
        <f ca="1">IFERROR(__xludf.DUMMYFUNCTION("""COMPUTED_VALUE"""),107.9)</f>
        <v>107.9</v>
      </c>
      <c r="G122" s="1">
        <f ca="1">IFERROR(__xludf.DUMMYFUNCTION("""COMPUTED_VALUE"""),92)</f>
        <v>92</v>
      </c>
      <c r="H122" s="1">
        <f ca="1">IFERROR(__xludf.DUMMYFUNCTION("""COMPUTED_VALUE"""),103.3)</f>
        <v>103.3</v>
      </c>
      <c r="I122" s="1">
        <f ca="1">IFERROR(__xludf.DUMMYFUNCTION("""COMPUTED_VALUE"""),166)</f>
        <v>166</v>
      </c>
      <c r="J122" s="1">
        <f ca="1">IFERROR(__xludf.DUMMYFUNCTION("""COMPUTED_VALUE"""),66.9)</f>
        <v>66.900000000000006</v>
      </c>
      <c r="K122" s="1">
        <f ca="1">IFERROR(__xludf.DUMMYFUNCTION("""COMPUTED_VALUE"""),83)</f>
        <v>83</v>
      </c>
      <c r="L122" s="1" t="str">
        <f ca="1">IFERROR(__xludf.DUMMYFUNCTION("""COMPUTED_VALUE"""),"+.051")</f>
        <v>+.051</v>
      </c>
      <c r="M122" s="1">
        <f ca="1">IFERROR(__xludf.DUMMYFUNCTION("""COMPUTED_VALUE"""),56)</f>
        <v>56</v>
      </c>
      <c r="N122" s="1" t="str">
        <f ca="1">IFERROR(__xludf.DUMMYFUNCTION("""COMPUTED_VALUE"""),"+0.50")</f>
        <v>+0.50</v>
      </c>
      <c r="O122" s="1">
        <f ca="1">IFERROR(__xludf.DUMMYFUNCTION("""COMPUTED_VALUE"""),142)</f>
        <v>142</v>
      </c>
      <c r="P122" s="1">
        <f ca="1">IFERROR(__xludf.DUMMYFUNCTION("""COMPUTED_VALUE"""),104.8)</f>
        <v>104.8</v>
      </c>
      <c r="Q122" s="1">
        <f ca="1">IFERROR(__xludf.DUMMYFUNCTION("""COMPUTED_VALUE"""),101)</f>
        <v>101</v>
      </c>
      <c r="R122" s="1">
        <f ca="1">IFERROR(__xludf.DUMMYFUNCTION("""COMPUTED_VALUE"""),104.3)</f>
        <v>104.3</v>
      </c>
      <c r="S122" s="1">
        <f ca="1">IFERROR(__xludf.DUMMYFUNCTION("""COMPUTED_VALUE"""),199)</f>
        <v>199</v>
      </c>
      <c r="T122" s="1">
        <f ca="1">IFERROR(__xludf.DUMMYFUNCTION("""COMPUTED_VALUE"""),-3.31)</f>
        <v>-3.31</v>
      </c>
      <c r="U122" s="1">
        <f ca="1">IFERROR(__xludf.DUMMYFUNCTION("""COMPUTED_VALUE"""),244)</f>
        <v>244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IFERROR(__xludf.DUMMYFUNCTION("""COMPUTED_VALUE"""),"Coastal Carolina8")</f>
        <v>Coastal Carolina8</v>
      </c>
      <c r="C123" s="1" t="str">
        <f ca="1">IFERROR(__xludf.DUMMYFUNCTION("""COMPUTED_VALUE"""),"BSth")</f>
        <v>BSth</v>
      </c>
      <c r="D123" s="1" t="str">
        <f ca="1">IFERROR(__xludf.DUMMYFUNCTION("""COMPUTED_VALUE"""),"28-6")</f>
        <v>28-6</v>
      </c>
      <c r="E123" s="1" t="str">
        <f ca="1">IFERROR(__xludf.DUMMYFUNCTION("""COMPUTED_VALUE"""),"+4.52")</f>
        <v>+4.52</v>
      </c>
      <c r="F123" s="1">
        <f ca="1">IFERROR(__xludf.DUMMYFUNCTION("""COMPUTED_VALUE"""),104.9)</f>
        <v>104.9</v>
      </c>
      <c r="G123" s="1">
        <f ca="1">IFERROR(__xludf.DUMMYFUNCTION("""COMPUTED_VALUE"""),134)</f>
        <v>134</v>
      </c>
      <c r="H123" s="1">
        <f ca="1">IFERROR(__xludf.DUMMYFUNCTION("""COMPUTED_VALUE"""),100.4)</f>
        <v>100.4</v>
      </c>
      <c r="I123" s="1">
        <f ca="1">IFERROR(__xludf.DUMMYFUNCTION("""COMPUTED_VALUE"""),110)</f>
        <v>110</v>
      </c>
      <c r="J123" s="1">
        <f ca="1">IFERROR(__xludf.DUMMYFUNCTION("""COMPUTED_VALUE"""),65.8)</f>
        <v>65.8</v>
      </c>
      <c r="K123" s="1">
        <f ca="1">IFERROR(__xludf.DUMMYFUNCTION("""COMPUTED_VALUE"""),149)</f>
        <v>149</v>
      </c>
      <c r="L123" s="1" t="str">
        <f ca="1">IFERROR(__xludf.DUMMYFUNCTION("""COMPUTED_VALUE"""),"+.101")</f>
        <v>+.101</v>
      </c>
      <c r="M123" s="1">
        <f ca="1">IFERROR(__xludf.DUMMYFUNCTION("""COMPUTED_VALUE"""),12)</f>
        <v>12</v>
      </c>
      <c r="N123" s="1">
        <f ca="1">IFERROR(__xludf.DUMMYFUNCTION("""COMPUTED_VALUE"""),-6.53)</f>
        <v>-6.53</v>
      </c>
      <c r="O123" s="1">
        <f ca="1">IFERROR(__xludf.DUMMYFUNCTION("""COMPUTED_VALUE"""),312)</f>
        <v>312</v>
      </c>
      <c r="P123" s="1">
        <f ca="1">IFERROR(__xludf.DUMMYFUNCTION("""COMPUTED_VALUE"""),99.6)</f>
        <v>99.6</v>
      </c>
      <c r="Q123" s="1">
        <f ca="1">IFERROR(__xludf.DUMMYFUNCTION("""COMPUTED_VALUE"""),307)</f>
        <v>307</v>
      </c>
      <c r="R123" s="1">
        <f ca="1">IFERROR(__xludf.DUMMYFUNCTION("""COMPUTED_VALUE"""),106.2)</f>
        <v>106.2</v>
      </c>
      <c r="S123" s="1">
        <f ca="1">IFERROR(__xludf.DUMMYFUNCTION("""COMPUTED_VALUE"""),302)</f>
        <v>302</v>
      </c>
      <c r="T123" s="1">
        <f ca="1">IFERROR(__xludf.DUMMYFUNCTION("""COMPUTED_VALUE"""),-4.21)</f>
        <v>-4.21</v>
      </c>
      <c r="U123" s="1">
        <f ca="1">IFERROR(__xludf.DUMMYFUNCTION("""COMPUTED_VALUE"""),269)</f>
        <v>269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IFERROR(__xludf.DUMMYFUNCTION("""COMPUTED_VALUE"""),"Akron15")</f>
        <v>Akron15</v>
      </c>
      <c r="C124" s="1" t="str">
        <f ca="1">IFERROR(__xludf.DUMMYFUNCTION("""COMPUTED_VALUE"""),"MAC")</f>
        <v>MAC</v>
      </c>
      <c r="D124" s="1" t="str">
        <f ca="1">IFERROR(__xludf.DUMMYFUNCTION("""COMPUTED_VALUE"""),"23-13")</f>
        <v>23-13</v>
      </c>
      <c r="E124" s="1" t="str">
        <f ca="1">IFERROR(__xludf.DUMMYFUNCTION("""COMPUTED_VALUE"""),"+4.09")</f>
        <v>+4.09</v>
      </c>
      <c r="F124" s="1">
        <f ca="1">IFERROR(__xludf.DUMMYFUNCTION("""COMPUTED_VALUE"""),103.7)</f>
        <v>103.7</v>
      </c>
      <c r="G124" s="1">
        <f ca="1">IFERROR(__xludf.DUMMYFUNCTION("""COMPUTED_VALUE"""),163)</f>
        <v>163</v>
      </c>
      <c r="H124" s="1">
        <f ca="1">IFERROR(__xludf.DUMMYFUNCTION("""COMPUTED_VALUE"""),99.6)</f>
        <v>99.6</v>
      </c>
      <c r="I124" s="1">
        <f ca="1">IFERROR(__xludf.DUMMYFUNCTION("""COMPUTED_VALUE"""),94)</f>
        <v>94</v>
      </c>
      <c r="J124" s="1">
        <f ca="1">IFERROR(__xludf.DUMMYFUNCTION("""COMPUTED_VALUE"""),65.9)</f>
        <v>65.900000000000006</v>
      </c>
      <c r="K124" s="1">
        <f ca="1">IFERROR(__xludf.DUMMYFUNCTION("""COMPUTED_VALUE"""),144)</f>
        <v>144</v>
      </c>
      <c r="L124" s="1" t="str">
        <f ca="1">IFERROR(__xludf.DUMMYFUNCTION("""COMPUTED_VALUE"""),"+.043")</f>
        <v>+.043</v>
      </c>
      <c r="M124" s="1">
        <f ca="1">IFERROR(__xludf.DUMMYFUNCTION("""COMPUTED_VALUE"""),74)</f>
        <v>74</v>
      </c>
      <c r="N124" s="1">
        <f ca="1">IFERROR(__xludf.DUMMYFUNCTION("""COMPUTED_VALUE"""),-1.7)</f>
        <v>-1.7</v>
      </c>
      <c r="O124" s="1">
        <f ca="1">IFERROR(__xludf.DUMMYFUNCTION("""COMPUTED_VALUE"""),187)</f>
        <v>187</v>
      </c>
      <c r="P124" s="1">
        <f ca="1">IFERROR(__xludf.DUMMYFUNCTION("""COMPUTED_VALUE"""),102.5)</f>
        <v>102.5</v>
      </c>
      <c r="Q124" s="1">
        <f ca="1">IFERROR(__xludf.DUMMYFUNCTION("""COMPUTED_VALUE"""),201)</f>
        <v>201</v>
      </c>
      <c r="R124" s="1">
        <f ca="1">IFERROR(__xludf.DUMMYFUNCTION("""COMPUTED_VALUE"""),104.2)</f>
        <v>104.2</v>
      </c>
      <c r="S124" s="1">
        <f ca="1">IFERROR(__xludf.DUMMYFUNCTION("""COMPUTED_VALUE"""),188)</f>
        <v>188</v>
      </c>
      <c r="T124" s="1">
        <f ca="1">IFERROR(__xludf.DUMMYFUNCTION("""COMPUTED_VALUE"""),-0.43)</f>
        <v>-0.43</v>
      </c>
      <c r="U124" s="1">
        <f ca="1">IFERROR(__xludf.DUMMYFUNCTION("""COMPUTED_VALUE"""),169)</f>
        <v>169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IFERROR(__xludf.DUMMYFUNCTION("""COMPUTED_VALUE"""),"Northern Colorado15")</f>
        <v>Northern Colorado15</v>
      </c>
      <c r="C125" s="1" t="str">
        <f ca="1">IFERROR(__xludf.DUMMYFUNCTION("""COMPUTED_VALUE"""),"BSky")</f>
        <v>BSky</v>
      </c>
      <c r="D125" s="1" t="str">
        <f ca="1">IFERROR(__xludf.DUMMYFUNCTION("""COMPUTED_VALUE"""),"21-11")</f>
        <v>21-11</v>
      </c>
      <c r="E125" s="1" t="str">
        <f ca="1">IFERROR(__xludf.DUMMYFUNCTION("""COMPUTED_VALUE"""),"+4.05")</f>
        <v>+4.05</v>
      </c>
      <c r="F125" s="1">
        <f ca="1">IFERROR(__xludf.DUMMYFUNCTION("""COMPUTED_VALUE"""),106.3)</f>
        <v>106.3</v>
      </c>
      <c r="G125" s="1">
        <f ca="1">IFERROR(__xludf.DUMMYFUNCTION("""COMPUTED_VALUE"""),109)</f>
        <v>109</v>
      </c>
      <c r="H125" s="1">
        <f ca="1">IFERROR(__xludf.DUMMYFUNCTION("""COMPUTED_VALUE"""),102.2)</f>
        <v>102.2</v>
      </c>
      <c r="I125" s="1">
        <f ca="1">IFERROR(__xludf.DUMMYFUNCTION("""COMPUTED_VALUE"""),138)</f>
        <v>138</v>
      </c>
      <c r="J125" s="1">
        <f ca="1">IFERROR(__xludf.DUMMYFUNCTION("""COMPUTED_VALUE"""),66.6)</f>
        <v>66.599999999999994</v>
      </c>
      <c r="K125" s="1">
        <f ca="1">IFERROR(__xludf.DUMMYFUNCTION("""COMPUTED_VALUE"""),101)</f>
        <v>101</v>
      </c>
      <c r="L125" s="1" t="str">
        <f ca="1">IFERROR(__xludf.DUMMYFUNCTION("""COMPUTED_VALUE"""),"+.023")</f>
        <v>+.023</v>
      </c>
      <c r="M125" s="1">
        <f ca="1">IFERROR(__xludf.DUMMYFUNCTION("""COMPUTED_VALUE"""),124)</f>
        <v>124</v>
      </c>
      <c r="N125" s="1">
        <f ca="1">IFERROR(__xludf.DUMMYFUNCTION("""COMPUTED_VALUE"""),-2.41)</f>
        <v>-2.41</v>
      </c>
      <c r="O125" s="1">
        <f ca="1">IFERROR(__xludf.DUMMYFUNCTION("""COMPUTED_VALUE"""),210)</f>
        <v>210</v>
      </c>
      <c r="P125" s="1">
        <f ca="1">IFERROR(__xludf.DUMMYFUNCTION("""COMPUTED_VALUE"""),102.4)</f>
        <v>102.4</v>
      </c>
      <c r="Q125" s="1">
        <f ca="1">IFERROR(__xludf.DUMMYFUNCTION("""COMPUTED_VALUE"""),203)</f>
        <v>203</v>
      </c>
      <c r="R125" s="1">
        <f ca="1">IFERROR(__xludf.DUMMYFUNCTION("""COMPUTED_VALUE"""),104.8)</f>
        <v>104.8</v>
      </c>
      <c r="S125" s="1">
        <f ca="1">IFERROR(__xludf.DUMMYFUNCTION("""COMPUTED_VALUE"""),227)</f>
        <v>227</v>
      </c>
      <c r="T125" s="1" t="str">
        <f ca="1">IFERROR(__xludf.DUMMYFUNCTION("""COMPUTED_VALUE"""),"+2.87")</f>
        <v>+2.87</v>
      </c>
      <c r="U125" s="1">
        <f ca="1">IFERROR(__xludf.DUMMYFUNCTION("""COMPUTED_VALUE"""),76)</f>
        <v>76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IFERROR(__xludf.DUMMYFUNCTION("""COMPUTED_VALUE"""),"Rhode Island")</f>
        <v>Rhode Island</v>
      </c>
      <c r="C126" s="1" t="str">
        <f ca="1">IFERROR(__xludf.DUMMYFUNCTION("""COMPUTED_VALUE"""),"A10")</f>
        <v>A10</v>
      </c>
      <c r="D126" s="1" t="str">
        <f ca="1">IFERROR(__xludf.DUMMYFUNCTION("""COMPUTED_VALUE"""),"20-14")</f>
        <v>20-14</v>
      </c>
      <c r="E126" s="1" t="str">
        <f ca="1">IFERROR(__xludf.DUMMYFUNCTION("""COMPUTED_VALUE"""),"+4.00")</f>
        <v>+4.00</v>
      </c>
      <c r="F126" s="1">
        <f ca="1">IFERROR(__xludf.DUMMYFUNCTION("""COMPUTED_VALUE"""),103.5)</f>
        <v>103.5</v>
      </c>
      <c r="G126" s="1">
        <f ca="1">IFERROR(__xludf.DUMMYFUNCTION("""COMPUTED_VALUE"""),167)</f>
        <v>167</v>
      </c>
      <c r="H126" s="1">
        <f ca="1">IFERROR(__xludf.DUMMYFUNCTION("""COMPUTED_VALUE"""),99.5)</f>
        <v>99.5</v>
      </c>
      <c r="I126" s="1">
        <f ca="1">IFERROR(__xludf.DUMMYFUNCTION("""COMPUTED_VALUE"""),93)</f>
        <v>93</v>
      </c>
      <c r="J126" s="1">
        <f ca="1">IFERROR(__xludf.DUMMYFUNCTION("""COMPUTED_VALUE"""),65.8)</f>
        <v>65.8</v>
      </c>
      <c r="K126" s="1">
        <f ca="1">IFERROR(__xludf.DUMMYFUNCTION("""COMPUTED_VALUE"""),150)</f>
        <v>150</v>
      </c>
      <c r="L126" s="1" t="str">
        <f ca="1">IFERROR(__xludf.DUMMYFUNCTION("""COMPUTED_VALUE"""),"+.051")</f>
        <v>+.051</v>
      </c>
      <c r="M126" s="1">
        <f ca="1">IFERROR(__xludf.DUMMYFUNCTION("""COMPUTED_VALUE"""),54)</f>
        <v>54</v>
      </c>
      <c r="N126" s="1" t="str">
        <f ca="1">IFERROR(__xludf.DUMMYFUNCTION("""COMPUTED_VALUE"""),"+1.44")</f>
        <v>+1.44</v>
      </c>
      <c r="O126" s="1">
        <f ca="1">IFERROR(__xludf.DUMMYFUNCTION("""COMPUTED_VALUE"""),122)</f>
        <v>122</v>
      </c>
      <c r="P126" s="1">
        <f ca="1">IFERROR(__xludf.DUMMYFUNCTION("""COMPUTED_VALUE"""),104.5)</f>
        <v>104.5</v>
      </c>
      <c r="Q126" s="1">
        <f ca="1">IFERROR(__xludf.DUMMYFUNCTION("""COMPUTED_VALUE"""),111)</f>
        <v>111</v>
      </c>
      <c r="R126" s="1">
        <f ca="1">IFERROR(__xludf.DUMMYFUNCTION("""COMPUTED_VALUE"""),103)</f>
        <v>103</v>
      </c>
      <c r="S126" s="1">
        <f ca="1">IFERROR(__xludf.DUMMYFUNCTION("""COMPUTED_VALUE"""),143)</f>
        <v>143</v>
      </c>
      <c r="T126" s="1" t="str">
        <f ca="1">IFERROR(__xludf.DUMMYFUNCTION("""COMPUTED_VALUE"""),"+0.77")</f>
        <v>+0.77</v>
      </c>
      <c r="U126" s="1">
        <f ca="1">IFERROR(__xludf.DUMMYFUNCTION("""COMPUTED_VALUE"""),133)</f>
        <v>133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IFERROR(__xludf.DUMMYFUNCTION("""COMPUTED_VALUE"""),"Texas Tech")</f>
        <v>Texas Tech</v>
      </c>
      <c r="C129" s="1" t="str">
        <f ca="1">IFERROR(__xludf.DUMMYFUNCTION("""COMPUTED_VALUE"""),"B12")</f>
        <v>B12</v>
      </c>
      <c r="D129" s="1" t="str">
        <f ca="1">IFERROR(__xludf.DUMMYFUNCTION("""COMPUTED_VALUE"""),"13-19")</f>
        <v>13-19</v>
      </c>
      <c r="E129" s="1" t="str">
        <f ca="1">IFERROR(__xludf.DUMMYFUNCTION("""COMPUTED_VALUE"""),"+3.83")</f>
        <v>+3.83</v>
      </c>
      <c r="F129" s="1">
        <f ca="1">IFERROR(__xludf.DUMMYFUNCTION("""COMPUTED_VALUE"""),107.2)</f>
        <v>107.2</v>
      </c>
      <c r="G129" s="1">
        <f ca="1">IFERROR(__xludf.DUMMYFUNCTION("""COMPUTED_VALUE"""),96)</f>
        <v>96</v>
      </c>
      <c r="H129" s="1">
        <f ca="1">IFERROR(__xludf.DUMMYFUNCTION("""COMPUTED_VALUE"""),103.4)</f>
        <v>103.4</v>
      </c>
      <c r="I129" s="1">
        <f ca="1">IFERROR(__xludf.DUMMYFUNCTION("""COMPUTED_VALUE"""),170)</f>
        <v>170</v>
      </c>
      <c r="J129" s="1">
        <f ca="1">IFERROR(__xludf.DUMMYFUNCTION("""COMPUTED_VALUE"""),69.3)</f>
        <v>69.3</v>
      </c>
      <c r="K129" s="1">
        <f ca="1">IFERROR(__xludf.DUMMYFUNCTION("""COMPUTED_VALUE"""),31)</f>
        <v>31</v>
      </c>
      <c r="L129" s="1">
        <f ca="1">IFERROR(__xludf.DUMMYFUNCTION("""COMPUTED_VALUE"""),-0.041)</f>
        <v>-4.1000000000000002E-2</v>
      </c>
      <c r="M129" s="1">
        <f ca="1">IFERROR(__xludf.DUMMYFUNCTION("""COMPUTED_VALUE"""),282)</f>
        <v>282</v>
      </c>
      <c r="N129" s="1" t="str">
        <f ca="1">IFERROR(__xludf.DUMMYFUNCTION("""COMPUTED_VALUE"""),"+5.87")</f>
        <v>+5.87</v>
      </c>
      <c r="O129" s="1">
        <f ca="1">IFERROR(__xludf.DUMMYFUNCTION("""COMPUTED_VALUE"""),60)</f>
        <v>60</v>
      </c>
      <c r="P129" s="1">
        <f ca="1">IFERROR(__xludf.DUMMYFUNCTION("""COMPUTED_VALUE"""),106.5)</f>
        <v>106.5</v>
      </c>
      <c r="Q129" s="1">
        <f ca="1">IFERROR(__xludf.DUMMYFUNCTION("""COMPUTED_VALUE"""),59)</f>
        <v>59</v>
      </c>
      <c r="R129" s="1">
        <f ca="1">IFERROR(__xludf.DUMMYFUNCTION("""COMPUTED_VALUE"""),100.6)</f>
        <v>100.6</v>
      </c>
      <c r="S129" s="1">
        <f ca="1">IFERROR(__xludf.DUMMYFUNCTION("""COMPUTED_VALUE"""),65)</f>
        <v>65</v>
      </c>
      <c r="T129" s="1">
        <f ca="1">IFERROR(__xludf.DUMMYFUNCTION("""COMPUTED_VALUE"""),-5.01)</f>
        <v>-5.01</v>
      </c>
      <c r="U129" s="1">
        <f ca="1">IFERROR(__xludf.DUMMYFUNCTION("""COMPUTED_VALUE"""),286)</f>
        <v>286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IFERROR(__xludf.DUMMYFUNCTION("""COMPUTED_VALUE"""),"IUPUI")</f>
        <v>IUPUI</v>
      </c>
      <c r="C130" s="1" t="str">
        <f ca="1">IFERROR(__xludf.DUMMYFUNCTION("""COMPUTED_VALUE"""),"Sum")</f>
        <v>Sum</v>
      </c>
      <c r="D130" s="1" t="str">
        <f ca="1">IFERROR(__xludf.DUMMYFUNCTION("""COMPUTED_VALUE"""),"19-14")</f>
        <v>19-14</v>
      </c>
      <c r="E130" s="1" t="str">
        <f ca="1">IFERROR(__xludf.DUMMYFUNCTION("""COMPUTED_VALUE"""),"+3.77")</f>
        <v>+3.77</v>
      </c>
      <c r="F130" s="1">
        <f ca="1">IFERROR(__xludf.DUMMYFUNCTION("""COMPUTED_VALUE"""),111.5)</f>
        <v>111.5</v>
      </c>
      <c r="G130" s="1">
        <f ca="1">IFERROR(__xludf.DUMMYFUNCTION("""COMPUTED_VALUE"""),51)</f>
        <v>51</v>
      </c>
      <c r="H130" s="1">
        <f ca="1">IFERROR(__xludf.DUMMYFUNCTION("""COMPUTED_VALUE"""),107.7)</f>
        <v>107.7</v>
      </c>
      <c r="I130" s="1">
        <f ca="1">IFERROR(__xludf.DUMMYFUNCTION("""COMPUTED_VALUE"""),261)</f>
        <v>261</v>
      </c>
      <c r="J130" s="1">
        <f ca="1">IFERROR(__xludf.DUMMYFUNCTION("""COMPUTED_VALUE"""),61.6)</f>
        <v>61.6</v>
      </c>
      <c r="K130" s="1">
        <f ca="1">IFERROR(__xludf.DUMMYFUNCTION("""COMPUTED_VALUE"""),321)</f>
        <v>321</v>
      </c>
      <c r="L130" s="1" t="str">
        <f ca="1">IFERROR(__xludf.DUMMYFUNCTION("""COMPUTED_VALUE"""),"+.014")</f>
        <v>+.014</v>
      </c>
      <c r="M130" s="1">
        <f ca="1">IFERROR(__xludf.DUMMYFUNCTION("""COMPUTED_VALUE"""),143)</f>
        <v>143</v>
      </c>
      <c r="N130" s="1" t="str">
        <f ca="1">IFERROR(__xludf.DUMMYFUNCTION("""COMPUTED_VALUE"""),"+1.10")</f>
        <v>+1.10</v>
      </c>
      <c r="O130" s="1">
        <f ca="1">IFERROR(__xludf.DUMMYFUNCTION("""COMPUTED_VALUE"""),129)</f>
        <v>129</v>
      </c>
      <c r="P130" s="1">
        <f ca="1">IFERROR(__xludf.DUMMYFUNCTION("""COMPUTED_VALUE"""),105.6)</f>
        <v>105.6</v>
      </c>
      <c r="Q130" s="1">
        <f ca="1">IFERROR(__xludf.DUMMYFUNCTION("""COMPUTED_VALUE"""),81)</f>
        <v>81</v>
      </c>
      <c r="R130" s="1">
        <f ca="1">IFERROR(__xludf.DUMMYFUNCTION("""COMPUTED_VALUE"""),104.5)</f>
        <v>104.5</v>
      </c>
      <c r="S130" s="1">
        <f ca="1">IFERROR(__xludf.DUMMYFUNCTION("""COMPUTED_VALUE"""),206)</f>
        <v>206</v>
      </c>
      <c r="T130" s="1" t="str">
        <f ca="1">IFERROR(__xludf.DUMMYFUNCTION("""COMPUTED_VALUE"""),"+12.48")</f>
        <v>+12.48</v>
      </c>
      <c r="U130" s="1">
        <f ca="1">IFERROR(__xludf.DUMMYFUNCTION("""COMPUTED_VALUE"""),5)</f>
        <v>5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IFERROR(__xludf.DUMMYFUNCTION("""COMPUTED_VALUE"""),"Oral Roberts")</f>
        <v>Oral Roberts</v>
      </c>
      <c r="C131" s="1" t="str">
        <f ca="1">IFERROR(__xludf.DUMMYFUNCTION("""COMPUTED_VALUE"""),"Sum")</f>
        <v>Sum</v>
      </c>
      <c r="D131" s="1" t="str">
        <f ca="1">IFERROR(__xludf.DUMMYFUNCTION("""COMPUTED_VALUE"""),"19-16")</f>
        <v>19-16</v>
      </c>
      <c r="E131" s="1" t="str">
        <f ca="1">IFERROR(__xludf.DUMMYFUNCTION("""COMPUTED_VALUE"""),"+3.75")</f>
        <v>+3.75</v>
      </c>
      <c r="F131" s="1">
        <f ca="1">IFERROR(__xludf.DUMMYFUNCTION("""COMPUTED_VALUE"""),110.2)</f>
        <v>110.2</v>
      </c>
      <c r="G131" s="1">
        <f ca="1">IFERROR(__xludf.DUMMYFUNCTION("""COMPUTED_VALUE"""),62)</f>
        <v>62</v>
      </c>
      <c r="H131" s="1">
        <f ca="1">IFERROR(__xludf.DUMMYFUNCTION("""COMPUTED_VALUE"""),106.4)</f>
        <v>106.4</v>
      </c>
      <c r="I131" s="1">
        <f ca="1">IFERROR(__xludf.DUMMYFUNCTION("""COMPUTED_VALUE"""),242)</f>
        <v>242</v>
      </c>
      <c r="J131" s="1">
        <f ca="1">IFERROR(__xludf.DUMMYFUNCTION("""COMPUTED_VALUE"""),65.8)</f>
        <v>65.8</v>
      </c>
      <c r="K131" s="1">
        <f ca="1">IFERROR(__xludf.DUMMYFUNCTION("""COMPUTED_VALUE"""),148)</f>
        <v>148</v>
      </c>
      <c r="L131" s="1">
        <f ca="1">IFERROR(__xludf.DUMMYFUNCTION("""COMPUTED_VALUE"""),-0.027)</f>
        <v>-2.7E-2</v>
      </c>
      <c r="M131" s="1">
        <f ca="1">IFERROR(__xludf.DUMMYFUNCTION("""COMPUTED_VALUE"""),248)</f>
        <v>248</v>
      </c>
      <c r="N131" s="1" t="str">
        <f ca="1">IFERROR(__xludf.DUMMYFUNCTION("""COMPUTED_VALUE"""),"+0.42")</f>
        <v>+0.42</v>
      </c>
      <c r="O131" s="1">
        <f ca="1">IFERROR(__xludf.DUMMYFUNCTION("""COMPUTED_VALUE"""),144)</f>
        <v>144</v>
      </c>
      <c r="P131" s="1">
        <f ca="1">IFERROR(__xludf.DUMMYFUNCTION("""COMPUTED_VALUE"""),105.7)</f>
        <v>105.7</v>
      </c>
      <c r="Q131" s="1">
        <f ca="1">IFERROR(__xludf.DUMMYFUNCTION("""COMPUTED_VALUE"""),78)</f>
        <v>78</v>
      </c>
      <c r="R131" s="1">
        <f ca="1">IFERROR(__xludf.DUMMYFUNCTION("""COMPUTED_VALUE"""),105.3)</f>
        <v>105.3</v>
      </c>
      <c r="S131" s="1">
        <f ca="1">IFERROR(__xludf.DUMMYFUNCTION("""COMPUTED_VALUE"""),249)</f>
        <v>249</v>
      </c>
      <c r="T131" s="1" t="str">
        <f ca="1">IFERROR(__xludf.DUMMYFUNCTION("""COMPUTED_VALUE"""),"+5.65")</f>
        <v>+5.65</v>
      </c>
      <c r="U131" s="1">
        <f ca="1">IFERROR(__xludf.DUMMYFUNCTION("""COMPUTED_VALUE"""),41)</f>
        <v>41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IFERROR(__xludf.DUMMYFUNCTION("""COMPUTED_VALUE"""),"Northern Arizona")</f>
        <v>Northern Arizona</v>
      </c>
      <c r="C132" s="1" t="str">
        <f ca="1">IFERROR(__xludf.DUMMYFUNCTION("""COMPUTED_VALUE"""),"BSky")</f>
        <v>BSky</v>
      </c>
      <c r="D132" s="1" t="str">
        <f ca="1">IFERROR(__xludf.DUMMYFUNCTION("""COMPUTED_VALUE"""),"19-13")</f>
        <v>19-13</v>
      </c>
      <c r="E132" s="1" t="str">
        <f ca="1">IFERROR(__xludf.DUMMYFUNCTION("""COMPUTED_VALUE"""),"+3.59")</f>
        <v>+3.59</v>
      </c>
      <c r="F132" s="1">
        <f ca="1">IFERROR(__xludf.DUMMYFUNCTION("""COMPUTED_VALUE"""),106)</f>
        <v>106</v>
      </c>
      <c r="G132" s="1">
        <f ca="1">IFERROR(__xludf.DUMMYFUNCTION("""COMPUTED_VALUE"""),112)</f>
        <v>112</v>
      </c>
      <c r="H132" s="1">
        <f ca="1">IFERROR(__xludf.DUMMYFUNCTION("""COMPUTED_VALUE"""),102.4)</f>
        <v>102.4</v>
      </c>
      <c r="I132" s="1">
        <f ca="1">IFERROR(__xludf.DUMMYFUNCTION("""COMPUTED_VALUE"""),140)</f>
        <v>140</v>
      </c>
      <c r="J132" s="1">
        <f ca="1">IFERROR(__xludf.DUMMYFUNCTION("""COMPUTED_VALUE"""),65)</f>
        <v>65</v>
      </c>
      <c r="K132" s="1">
        <f ca="1">IFERROR(__xludf.DUMMYFUNCTION("""COMPUTED_VALUE"""),181)</f>
        <v>181</v>
      </c>
      <c r="L132" s="1">
        <f ca="1">IFERROR(__xludf.DUMMYFUNCTION("""COMPUTED_VALUE"""),-0.068)</f>
        <v>-6.8000000000000005E-2</v>
      </c>
      <c r="M132" s="1">
        <f ca="1">IFERROR(__xludf.DUMMYFUNCTION("""COMPUTED_VALUE"""),315)</f>
        <v>315</v>
      </c>
      <c r="N132" s="1">
        <f ca="1">IFERROR(__xludf.DUMMYFUNCTION("""COMPUTED_VALUE"""),-3.38)</f>
        <v>-3.38</v>
      </c>
      <c r="O132" s="1">
        <f ca="1">IFERROR(__xludf.DUMMYFUNCTION("""COMPUTED_VALUE"""),237)</f>
        <v>237</v>
      </c>
      <c r="P132" s="1">
        <f ca="1">IFERROR(__xludf.DUMMYFUNCTION("""COMPUTED_VALUE"""),102.4)</f>
        <v>102.4</v>
      </c>
      <c r="Q132" s="1">
        <f ca="1">IFERROR(__xludf.DUMMYFUNCTION("""COMPUTED_VALUE"""),206)</f>
        <v>206</v>
      </c>
      <c r="R132" s="1">
        <f ca="1">IFERROR(__xludf.DUMMYFUNCTION("""COMPUTED_VALUE"""),105.8)</f>
        <v>105.8</v>
      </c>
      <c r="S132" s="1">
        <f ca="1">IFERROR(__xludf.DUMMYFUNCTION("""COMPUTED_VALUE"""),280)</f>
        <v>280</v>
      </c>
      <c r="T132" s="1" t="str">
        <f ca="1">IFERROR(__xludf.DUMMYFUNCTION("""COMPUTED_VALUE"""),"+0.70")</f>
        <v>+0.70</v>
      </c>
      <c r="U132" s="1">
        <f ca="1">IFERROR(__xludf.DUMMYFUNCTION("""COMPUTED_VALUE"""),137)</f>
        <v>137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IFERROR(__xludf.DUMMYFUNCTION("""COMPUTED_VALUE"""),"Rider")</f>
        <v>Rider</v>
      </c>
      <c r="C133" s="1" t="str">
        <f ca="1">IFERROR(__xludf.DUMMYFUNCTION("""COMPUTED_VALUE"""),"MAAC")</f>
        <v>MAAC</v>
      </c>
      <c r="D133" s="1" t="str">
        <f ca="1">IFERROR(__xludf.DUMMYFUNCTION("""COMPUTED_VALUE"""),"23-11")</f>
        <v>23-11</v>
      </c>
      <c r="E133" s="1" t="str">
        <f ca="1">IFERROR(__xludf.DUMMYFUNCTION("""COMPUTED_VALUE"""),"+3.51")</f>
        <v>+3.51</v>
      </c>
      <c r="F133" s="1">
        <f ca="1">IFERROR(__xludf.DUMMYFUNCTION("""COMPUTED_VALUE"""),107)</f>
        <v>107</v>
      </c>
      <c r="G133" s="1">
        <f ca="1">IFERROR(__xludf.DUMMYFUNCTION("""COMPUTED_VALUE"""),100)</f>
        <v>100</v>
      </c>
      <c r="H133" s="1">
        <f ca="1">IFERROR(__xludf.DUMMYFUNCTION("""COMPUTED_VALUE"""),103.5)</f>
        <v>103.5</v>
      </c>
      <c r="I133" s="1">
        <f ca="1">IFERROR(__xludf.DUMMYFUNCTION("""COMPUTED_VALUE"""),172)</f>
        <v>172</v>
      </c>
      <c r="J133" s="1">
        <f ca="1">IFERROR(__xludf.DUMMYFUNCTION("""COMPUTED_VALUE"""),67.7)</f>
        <v>67.7</v>
      </c>
      <c r="K133" s="1">
        <f ca="1">IFERROR(__xludf.DUMMYFUNCTION("""COMPUTED_VALUE"""),56)</f>
        <v>56</v>
      </c>
      <c r="L133" s="1" t="str">
        <f ca="1">IFERROR(__xludf.DUMMYFUNCTION("""COMPUTED_VALUE"""),"+.073")</f>
        <v>+.073</v>
      </c>
      <c r="M133" s="1">
        <f ca="1">IFERROR(__xludf.DUMMYFUNCTION("""COMPUTED_VALUE"""),27)</f>
        <v>27</v>
      </c>
      <c r="N133" s="1">
        <f ca="1">IFERROR(__xludf.DUMMYFUNCTION("""COMPUTED_VALUE"""),-2.56)</f>
        <v>-2.56</v>
      </c>
      <c r="O133" s="1">
        <f ca="1">IFERROR(__xludf.DUMMYFUNCTION("""COMPUTED_VALUE"""),213)</f>
        <v>213</v>
      </c>
      <c r="P133" s="1">
        <f ca="1">IFERROR(__xludf.DUMMYFUNCTION("""COMPUTED_VALUE"""),101.2)</f>
        <v>101.2</v>
      </c>
      <c r="Q133" s="1">
        <f ca="1">IFERROR(__xludf.DUMMYFUNCTION("""COMPUTED_VALUE"""),252)</f>
        <v>252</v>
      </c>
      <c r="R133" s="1">
        <f ca="1">IFERROR(__xludf.DUMMYFUNCTION("""COMPUTED_VALUE"""),103.7)</f>
        <v>103.7</v>
      </c>
      <c r="S133" s="1">
        <f ca="1">IFERROR(__xludf.DUMMYFUNCTION("""COMPUTED_VALUE"""),168)</f>
        <v>168</v>
      </c>
      <c r="T133" s="1">
        <f ca="1">IFERROR(__xludf.DUMMYFUNCTION("""COMPUTED_VALUE"""),-2.64)</f>
        <v>-2.64</v>
      </c>
      <c r="U133" s="1">
        <f ca="1">IFERROR(__xludf.DUMMYFUNCTION("""COMPUTED_VALUE"""),225)</f>
        <v>225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IFERROR(__xludf.DUMMYFUNCTION("""COMPUTED_VALUE"""),"Air Force")</f>
        <v>Air Force</v>
      </c>
      <c r="C134" s="1" t="str">
        <f ca="1">IFERROR(__xludf.DUMMYFUNCTION("""COMPUTED_VALUE"""),"MWC")</f>
        <v>MWC</v>
      </c>
      <c r="D134" s="1" t="str">
        <f ca="1">IFERROR(__xludf.DUMMYFUNCTION("""COMPUTED_VALUE"""),"16-16")</f>
        <v>16-16</v>
      </c>
      <c r="E134" s="1" t="str">
        <f ca="1">IFERROR(__xludf.DUMMYFUNCTION("""COMPUTED_VALUE"""),"+3.43")</f>
        <v>+3.43</v>
      </c>
      <c r="F134" s="1">
        <f ca="1">IFERROR(__xludf.DUMMYFUNCTION("""COMPUTED_VALUE"""),107.2)</f>
        <v>107.2</v>
      </c>
      <c r="G134" s="1">
        <f ca="1">IFERROR(__xludf.DUMMYFUNCTION("""COMPUTED_VALUE"""),95)</f>
        <v>95</v>
      </c>
      <c r="H134" s="1">
        <f ca="1">IFERROR(__xludf.DUMMYFUNCTION("""COMPUTED_VALUE"""),103.8)</f>
        <v>103.8</v>
      </c>
      <c r="I134" s="1">
        <f ca="1">IFERROR(__xludf.DUMMYFUNCTION("""COMPUTED_VALUE"""),182)</f>
        <v>182</v>
      </c>
      <c r="J134" s="1">
        <f ca="1">IFERROR(__xludf.DUMMYFUNCTION("""COMPUTED_VALUE"""),61.1)</f>
        <v>61.1</v>
      </c>
      <c r="K134" s="1">
        <f ca="1">IFERROR(__xludf.DUMMYFUNCTION("""COMPUTED_VALUE"""),325)</f>
        <v>325</v>
      </c>
      <c r="L134" s="1" t="str">
        <f ca="1">IFERROR(__xludf.DUMMYFUNCTION("""COMPUTED_VALUE"""),"+.021")</f>
        <v>+.021</v>
      </c>
      <c r="M134" s="1">
        <f ca="1">IFERROR(__xludf.DUMMYFUNCTION("""COMPUTED_VALUE"""),131)</f>
        <v>131</v>
      </c>
      <c r="N134" s="1" t="str">
        <f ca="1">IFERROR(__xludf.DUMMYFUNCTION("""COMPUTED_VALUE"""),"+4.40")</f>
        <v>+4.40</v>
      </c>
      <c r="O134" s="1">
        <f ca="1">IFERROR(__xludf.DUMMYFUNCTION("""COMPUTED_VALUE"""),75)</f>
        <v>75</v>
      </c>
      <c r="P134" s="1">
        <f ca="1">IFERROR(__xludf.DUMMYFUNCTION("""COMPUTED_VALUE"""),105.1)</f>
        <v>105.1</v>
      </c>
      <c r="Q134" s="1">
        <f ca="1">IFERROR(__xludf.DUMMYFUNCTION("""COMPUTED_VALUE"""),92)</f>
        <v>92</v>
      </c>
      <c r="R134" s="1">
        <f ca="1">IFERROR(__xludf.DUMMYFUNCTION("""COMPUTED_VALUE"""),100.7)</f>
        <v>100.7</v>
      </c>
      <c r="S134" s="1">
        <f ca="1">IFERROR(__xludf.DUMMYFUNCTION("""COMPUTED_VALUE"""),67)</f>
        <v>67</v>
      </c>
      <c r="T134" s="1">
        <f ca="1">IFERROR(__xludf.DUMMYFUNCTION("""COMPUTED_VALUE"""),-5.72)</f>
        <v>-5.72</v>
      </c>
      <c r="U134" s="1">
        <f ca="1">IFERROR(__xludf.DUMMYFUNCTION("""COMPUTED_VALUE"""),305)</f>
        <v>305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IFERROR(__xludf.DUMMYFUNCTION("""COMPUTED_VALUE"""),"Saint Louis")</f>
        <v>Saint Louis</v>
      </c>
      <c r="C135" s="1" t="str">
        <f ca="1">IFERROR(__xludf.DUMMYFUNCTION("""COMPUTED_VALUE"""),"A10")</f>
        <v>A10</v>
      </c>
      <c r="D135" s="2">
        <f ca="1">IFERROR(__xludf.DUMMYFUNCTION("""COMPUTED_VALUE"""),44914)</f>
        <v>44914</v>
      </c>
      <c r="E135" s="1" t="str">
        <f ca="1">IFERROR(__xludf.DUMMYFUNCTION("""COMPUTED_VALUE"""),"+3.42")</f>
        <v>+3.42</v>
      </c>
      <c r="F135" s="1">
        <f ca="1">IFERROR(__xludf.DUMMYFUNCTION("""COMPUTED_VALUE"""),99.5)</f>
        <v>99.5</v>
      </c>
      <c r="G135" s="1">
        <f ca="1">IFERROR(__xludf.DUMMYFUNCTION("""COMPUTED_VALUE"""),244)</f>
        <v>244</v>
      </c>
      <c r="H135" s="1">
        <f ca="1">IFERROR(__xludf.DUMMYFUNCTION("""COMPUTED_VALUE"""),96)</f>
        <v>96</v>
      </c>
      <c r="I135" s="1">
        <f ca="1">IFERROR(__xludf.DUMMYFUNCTION("""COMPUTED_VALUE"""),51)</f>
        <v>51</v>
      </c>
      <c r="J135" s="1">
        <f ca="1">IFERROR(__xludf.DUMMYFUNCTION("""COMPUTED_VALUE"""),63.3)</f>
        <v>63.3</v>
      </c>
      <c r="K135" s="1">
        <f ca="1">IFERROR(__xludf.DUMMYFUNCTION("""COMPUTED_VALUE"""),270)</f>
        <v>270</v>
      </c>
      <c r="L135" s="1">
        <f ca="1">IFERROR(__xludf.DUMMYFUNCTION("""COMPUTED_VALUE"""),-0.124)</f>
        <v>-0.124</v>
      </c>
      <c r="M135" s="1">
        <f ca="1">IFERROR(__xludf.DUMMYFUNCTION("""COMPUTED_VALUE"""),339)</f>
        <v>339</v>
      </c>
      <c r="N135" s="1" t="str">
        <f ca="1">IFERROR(__xludf.DUMMYFUNCTION("""COMPUTED_VALUE"""),"+3.20")</f>
        <v>+3.20</v>
      </c>
      <c r="O135" s="1">
        <f ca="1">IFERROR(__xludf.DUMMYFUNCTION("""COMPUTED_VALUE"""),88)</f>
        <v>88</v>
      </c>
      <c r="P135" s="1">
        <f ca="1">IFERROR(__xludf.DUMMYFUNCTION("""COMPUTED_VALUE"""),105.8)</f>
        <v>105.8</v>
      </c>
      <c r="Q135" s="1">
        <f ca="1">IFERROR(__xludf.DUMMYFUNCTION("""COMPUTED_VALUE"""),76)</f>
        <v>76</v>
      </c>
      <c r="R135" s="1">
        <f ca="1">IFERROR(__xludf.DUMMYFUNCTION("""COMPUTED_VALUE"""),102.6)</f>
        <v>102.6</v>
      </c>
      <c r="S135" s="1">
        <f ca="1">IFERROR(__xludf.DUMMYFUNCTION("""COMPUTED_VALUE"""),114)</f>
        <v>114</v>
      </c>
      <c r="T135" s="1" t="str">
        <f ca="1">IFERROR(__xludf.DUMMYFUNCTION("""COMPUTED_VALUE"""),"+0.69")</f>
        <v>+0.69</v>
      </c>
      <c r="U135" s="1">
        <f ca="1">IFERROR(__xludf.DUMMYFUNCTION("""COMPUTED_VALUE"""),138)</f>
        <v>138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IFERROR(__xludf.DUMMYFUNCTION("""COMPUTED_VALUE"""),"Vermont7")</f>
        <v>Vermont7</v>
      </c>
      <c r="C136" s="1" t="str">
        <f ca="1">IFERROR(__xludf.DUMMYFUNCTION("""COMPUTED_VALUE"""),"AE")</f>
        <v>AE</v>
      </c>
      <c r="D136" s="1" t="str">
        <f ca="1">IFERROR(__xludf.DUMMYFUNCTION("""COMPUTED_VALUE"""),"23-9")</f>
        <v>23-9</v>
      </c>
      <c r="E136" s="1" t="str">
        <f ca="1">IFERROR(__xludf.DUMMYFUNCTION("""COMPUTED_VALUE"""),"+3.36")</f>
        <v>+3.36</v>
      </c>
      <c r="F136" s="1">
        <f ca="1">IFERROR(__xludf.DUMMYFUNCTION("""COMPUTED_VALUE"""),102.4)</f>
        <v>102.4</v>
      </c>
      <c r="G136" s="1">
        <f ca="1">IFERROR(__xludf.DUMMYFUNCTION("""COMPUTED_VALUE"""),187)</f>
        <v>187</v>
      </c>
      <c r="H136" s="1">
        <f ca="1">IFERROR(__xludf.DUMMYFUNCTION("""COMPUTED_VALUE"""),99.1)</f>
        <v>99.1</v>
      </c>
      <c r="I136" s="1">
        <f ca="1">IFERROR(__xludf.DUMMYFUNCTION("""COMPUTED_VALUE"""),83)</f>
        <v>83</v>
      </c>
      <c r="J136" s="1">
        <f ca="1">IFERROR(__xludf.DUMMYFUNCTION("""COMPUTED_VALUE"""),64.5)</f>
        <v>64.5</v>
      </c>
      <c r="K136" s="1">
        <f ca="1">IFERROR(__xludf.DUMMYFUNCTION("""COMPUTED_VALUE"""),219)</f>
        <v>219</v>
      </c>
      <c r="L136" s="1" t="str">
        <f ca="1">IFERROR(__xludf.DUMMYFUNCTION("""COMPUTED_VALUE"""),"+.062")</f>
        <v>+.062</v>
      </c>
      <c r="M136" s="1">
        <f ca="1">IFERROR(__xludf.DUMMYFUNCTION("""COMPUTED_VALUE"""),34)</f>
        <v>34</v>
      </c>
      <c r="N136" s="1">
        <f ca="1">IFERROR(__xludf.DUMMYFUNCTION("""COMPUTED_VALUE"""),-6.02)</f>
        <v>-6.02</v>
      </c>
      <c r="O136" s="1">
        <f ca="1">IFERROR(__xludf.DUMMYFUNCTION("""COMPUTED_VALUE"""),303)</f>
        <v>303</v>
      </c>
      <c r="P136" s="1">
        <f ca="1">IFERROR(__xludf.DUMMYFUNCTION("""COMPUTED_VALUE"""),99.5)</f>
        <v>99.5</v>
      </c>
      <c r="Q136" s="1">
        <f ca="1">IFERROR(__xludf.DUMMYFUNCTION("""COMPUTED_VALUE"""),309)</f>
        <v>309</v>
      </c>
      <c r="R136" s="1">
        <f ca="1">IFERROR(__xludf.DUMMYFUNCTION("""COMPUTED_VALUE"""),105.5)</f>
        <v>105.5</v>
      </c>
      <c r="S136" s="1">
        <f ca="1">IFERROR(__xludf.DUMMYFUNCTION("""COMPUTED_VALUE"""),264)</f>
        <v>264</v>
      </c>
      <c r="T136" s="1" t="str">
        <f ca="1">IFERROR(__xludf.DUMMYFUNCTION("""COMPUTED_VALUE"""),"+0.26")</f>
        <v>+0.26</v>
      </c>
      <c r="U136" s="1">
        <f ca="1">IFERROR(__xludf.DUMMYFUNCTION("""COMPUTED_VALUE"""),154)</f>
        <v>154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IFERROR(__xludf.DUMMYFUNCTION("""COMPUTED_VALUE"""),"South Florida")</f>
        <v>South Florida</v>
      </c>
      <c r="C137" s="1" t="str">
        <f ca="1">IFERROR(__xludf.DUMMYFUNCTION("""COMPUTED_VALUE"""),"BE")</f>
        <v>BE</v>
      </c>
      <c r="D137" s="2">
        <f ca="1">IFERROR(__xludf.DUMMYFUNCTION("""COMPUTED_VALUE"""),44857)</f>
        <v>44857</v>
      </c>
      <c r="E137" s="1" t="str">
        <f ca="1">IFERROR(__xludf.DUMMYFUNCTION("""COMPUTED_VALUE"""),"+3.34")</f>
        <v>+3.34</v>
      </c>
      <c r="F137" s="1">
        <f ca="1">IFERROR(__xludf.DUMMYFUNCTION("""COMPUTED_VALUE"""),103.7)</f>
        <v>103.7</v>
      </c>
      <c r="G137" s="1">
        <f ca="1">IFERROR(__xludf.DUMMYFUNCTION("""COMPUTED_VALUE"""),162)</f>
        <v>162</v>
      </c>
      <c r="H137" s="1">
        <f ca="1">IFERROR(__xludf.DUMMYFUNCTION("""COMPUTED_VALUE"""),100.4)</f>
        <v>100.4</v>
      </c>
      <c r="I137" s="1">
        <f ca="1">IFERROR(__xludf.DUMMYFUNCTION("""COMPUTED_VALUE"""),111)</f>
        <v>111</v>
      </c>
      <c r="J137" s="1">
        <f ca="1">IFERROR(__xludf.DUMMYFUNCTION("""COMPUTED_VALUE"""),61.1)</f>
        <v>61.1</v>
      </c>
      <c r="K137" s="1">
        <f ca="1">IFERROR(__xludf.DUMMYFUNCTION("""COMPUTED_VALUE"""),326)</f>
        <v>326</v>
      </c>
      <c r="L137" s="1">
        <f ca="1">IFERROR(__xludf.DUMMYFUNCTION("""COMPUTED_VALUE"""),-0.019)</f>
        <v>-1.9E-2</v>
      </c>
      <c r="M137" s="1">
        <f ca="1">IFERROR(__xludf.DUMMYFUNCTION("""COMPUTED_VALUE"""),231)</f>
        <v>231</v>
      </c>
      <c r="N137" s="1" t="str">
        <f ca="1">IFERROR(__xludf.DUMMYFUNCTION("""COMPUTED_VALUE"""),"+10.30")</f>
        <v>+10.30</v>
      </c>
      <c r="O137" s="1">
        <f ca="1">IFERROR(__xludf.DUMMYFUNCTION("""COMPUTED_VALUE"""),13)</f>
        <v>13</v>
      </c>
      <c r="P137" s="1">
        <f ca="1">IFERROR(__xludf.DUMMYFUNCTION("""COMPUTED_VALUE"""),109.2)</f>
        <v>109.2</v>
      </c>
      <c r="Q137" s="1">
        <f ca="1">IFERROR(__xludf.DUMMYFUNCTION("""COMPUTED_VALUE"""),14)</f>
        <v>14</v>
      </c>
      <c r="R137" s="1">
        <f ca="1">IFERROR(__xludf.DUMMYFUNCTION("""COMPUTED_VALUE"""),98.9)</f>
        <v>98.9</v>
      </c>
      <c r="S137" s="1">
        <f ca="1">IFERROR(__xludf.DUMMYFUNCTION("""COMPUTED_VALUE"""),16)</f>
        <v>16</v>
      </c>
      <c r="T137" s="1" t="str">
        <f ca="1">IFERROR(__xludf.DUMMYFUNCTION("""COMPUTED_VALUE"""),"+1.65")</f>
        <v>+1.65</v>
      </c>
      <c r="U137" s="1">
        <f ca="1">IFERROR(__xludf.DUMMYFUNCTION("""COMPUTED_VALUE"""),107)</f>
        <v>107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IFERROR(__xludf.DUMMYFUNCTION("""COMPUTED_VALUE"""),"South Carolina")</f>
        <v>South Carolina</v>
      </c>
      <c r="C138" s="1" t="str">
        <f ca="1">IFERROR(__xludf.DUMMYFUNCTION("""COMPUTED_VALUE"""),"SEC")</f>
        <v>SEC</v>
      </c>
      <c r="D138" s="1" t="str">
        <f ca="1">IFERROR(__xludf.DUMMYFUNCTION("""COMPUTED_VALUE"""),"14-16")</f>
        <v>14-16</v>
      </c>
      <c r="E138" s="1" t="str">
        <f ca="1">IFERROR(__xludf.DUMMYFUNCTION("""COMPUTED_VALUE"""),"+3.20")</f>
        <v>+3.20</v>
      </c>
      <c r="F138" s="1">
        <f ca="1">IFERROR(__xludf.DUMMYFUNCTION("""COMPUTED_VALUE"""),101.2)</f>
        <v>101.2</v>
      </c>
      <c r="G138" s="1">
        <f ca="1">IFERROR(__xludf.DUMMYFUNCTION("""COMPUTED_VALUE"""),212)</f>
        <v>212</v>
      </c>
      <c r="H138" s="1">
        <f ca="1">IFERROR(__xludf.DUMMYFUNCTION("""COMPUTED_VALUE"""),98)</f>
        <v>98</v>
      </c>
      <c r="I138" s="1">
        <f ca="1">IFERROR(__xludf.DUMMYFUNCTION("""COMPUTED_VALUE"""),69)</f>
        <v>69</v>
      </c>
      <c r="J138" s="1">
        <f ca="1">IFERROR(__xludf.DUMMYFUNCTION("""COMPUTED_VALUE"""),67)</f>
        <v>67</v>
      </c>
      <c r="K138" s="1">
        <f ca="1">IFERROR(__xludf.DUMMYFUNCTION("""COMPUTED_VALUE"""),80)</f>
        <v>80</v>
      </c>
      <c r="L138" s="1" t="str">
        <f ca="1">IFERROR(__xludf.DUMMYFUNCTION("""COMPUTED_VALUE"""),"+.010")</f>
        <v>+.010</v>
      </c>
      <c r="M138" s="1">
        <f ca="1">IFERROR(__xludf.DUMMYFUNCTION("""COMPUTED_VALUE"""),151)</f>
        <v>151</v>
      </c>
      <c r="N138" s="1" t="str">
        <f ca="1">IFERROR(__xludf.DUMMYFUNCTION("""COMPUTED_VALUE"""),"+5.82")</f>
        <v>+5.82</v>
      </c>
      <c r="O138" s="1">
        <f ca="1">IFERROR(__xludf.DUMMYFUNCTION("""COMPUTED_VALUE"""),62)</f>
        <v>62</v>
      </c>
      <c r="P138" s="1">
        <f ca="1">IFERROR(__xludf.DUMMYFUNCTION("""COMPUTED_VALUE"""),106.9)</f>
        <v>106.9</v>
      </c>
      <c r="Q138" s="1">
        <f ca="1">IFERROR(__xludf.DUMMYFUNCTION("""COMPUTED_VALUE"""),45)</f>
        <v>45</v>
      </c>
      <c r="R138" s="1">
        <f ca="1">IFERROR(__xludf.DUMMYFUNCTION("""COMPUTED_VALUE"""),101.1)</f>
        <v>101.1</v>
      </c>
      <c r="S138" s="1">
        <f ca="1">IFERROR(__xludf.DUMMYFUNCTION("""COMPUTED_VALUE"""),78)</f>
        <v>78</v>
      </c>
      <c r="T138" s="1">
        <f ca="1">IFERROR(__xludf.DUMMYFUNCTION("""COMPUTED_VALUE"""),-4.56)</f>
        <v>-4.5599999999999996</v>
      </c>
      <c r="U138" s="1">
        <f ca="1">IFERROR(__xludf.DUMMYFUNCTION("""COMPUTED_VALUE"""),276)</f>
        <v>276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IFERROR(__xludf.DUMMYFUNCTION("""COMPUTED_VALUE"""),"Detroit")</f>
        <v>Detroit</v>
      </c>
      <c r="C139" s="1" t="str">
        <f ca="1">IFERROR(__xludf.DUMMYFUNCTION("""COMPUTED_VALUE"""),"Horz")</f>
        <v>Horz</v>
      </c>
      <c r="D139" s="1" t="str">
        <f ca="1">IFERROR(__xludf.DUMMYFUNCTION("""COMPUTED_VALUE"""),"17-16")</f>
        <v>17-16</v>
      </c>
      <c r="E139" s="1" t="str">
        <f ca="1">IFERROR(__xludf.DUMMYFUNCTION("""COMPUTED_VALUE"""),"+3.17")</f>
        <v>+3.17</v>
      </c>
      <c r="F139" s="1">
        <f ca="1">IFERROR(__xludf.DUMMYFUNCTION("""COMPUTED_VALUE"""),107)</f>
        <v>107</v>
      </c>
      <c r="G139" s="1">
        <f ca="1">IFERROR(__xludf.DUMMYFUNCTION("""COMPUTED_VALUE"""),101)</f>
        <v>101</v>
      </c>
      <c r="H139" s="1">
        <f ca="1">IFERROR(__xludf.DUMMYFUNCTION("""COMPUTED_VALUE"""),103.8)</f>
        <v>103.8</v>
      </c>
      <c r="I139" s="1">
        <f ca="1">IFERROR(__xludf.DUMMYFUNCTION("""COMPUTED_VALUE"""),183)</f>
        <v>183</v>
      </c>
      <c r="J139" s="1">
        <f ca="1">IFERROR(__xludf.DUMMYFUNCTION("""COMPUTED_VALUE"""),69.7)</f>
        <v>69.7</v>
      </c>
      <c r="K139" s="1">
        <f ca="1">IFERROR(__xludf.DUMMYFUNCTION("""COMPUTED_VALUE"""),25)</f>
        <v>25</v>
      </c>
      <c r="L139" s="1">
        <f ca="1">IFERROR(__xludf.DUMMYFUNCTION("""COMPUTED_VALUE"""),-0.022)</f>
        <v>-2.1999999999999999E-2</v>
      </c>
      <c r="M139" s="1">
        <f ca="1">IFERROR(__xludf.DUMMYFUNCTION("""COMPUTED_VALUE"""),235)</f>
        <v>235</v>
      </c>
      <c r="N139" s="1" t="str">
        <f ca="1">IFERROR(__xludf.DUMMYFUNCTION("""COMPUTED_VALUE"""),"+1.43")</f>
        <v>+1.43</v>
      </c>
      <c r="O139" s="1">
        <f ca="1">IFERROR(__xludf.DUMMYFUNCTION("""COMPUTED_VALUE"""),123)</f>
        <v>123</v>
      </c>
      <c r="P139" s="1">
        <f ca="1">IFERROR(__xludf.DUMMYFUNCTION("""COMPUTED_VALUE"""),103.6)</f>
        <v>103.6</v>
      </c>
      <c r="Q139" s="1">
        <f ca="1">IFERROR(__xludf.DUMMYFUNCTION("""COMPUTED_VALUE"""),153)</f>
        <v>153</v>
      </c>
      <c r="R139" s="1">
        <f ca="1">IFERROR(__xludf.DUMMYFUNCTION("""COMPUTED_VALUE"""),102.1)</f>
        <v>102.1</v>
      </c>
      <c r="S139" s="1">
        <f ca="1">IFERROR(__xludf.DUMMYFUNCTION("""COMPUTED_VALUE"""),100)</f>
        <v>100</v>
      </c>
      <c r="T139" s="1">
        <f ca="1">IFERROR(__xludf.DUMMYFUNCTION("""COMPUTED_VALUE"""),-0.27)</f>
        <v>-0.27</v>
      </c>
      <c r="U139" s="1">
        <f ca="1">IFERROR(__xludf.DUMMYFUNCTION("""COMPUTED_VALUE"""),163)</f>
        <v>163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IFERROR(__xludf.DUMMYFUNCTION("""COMPUTED_VALUE"""),"UC Santa Barbara15")</f>
        <v>UC Santa Barbara15</v>
      </c>
      <c r="C140" s="1" t="str">
        <f ca="1">IFERROR(__xludf.DUMMYFUNCTION("""COMPUTED_VALUE"""),"BW")</f>
        <v>BW</v>
      </c>
      <c r="D140" s="1" t="str">
        <f ca="1">IFERROR(__xludf.DUMMYFUNCTION("""COMPUTED_VALUE"""),"18-14")</f>
        <v>18-14</v>
      </c>
      <c r="E140" s="1" t="str">
        <f ca="1">IFERROR(__xludf.DUMMYFUNCTION("""COMPUTED_VALUE"""),"+3.15")</f>
        <v>+3.15</v>
      </c>
      <c r="F140" s="1">
        <f ca="1">IFERROR(__xludf.DUMMYFUNCTION("""COMPUTED_VALUE"""),103.7)</f>
        <v>103.7</v>
      </c>
      <c r="G140" s="1">
        <f ca="1">IFERROR(__xludf.DUMMYFUNCTION("""COMPUTED_VALUE"""),164)</f>
        <v>164</v>
      </c>
      <c r="H140" s="1">
        <f ca="1">IFERROR(__xludf.DUMMYFUNCTION("""COMPUTED_VALUE"""),100.5)</f>
        <v>100.5</v>
      </c>
      <c r="I140" s="1">
        <f ca="1">IFERROR(__xludf.DUMMYFUNCTION("""COMPUTED_VALUE"""),112)</f>
        <v>112</v>
      </c>
      <c r="J140" s="1">
        <f ca="1">IFERROR(__xludf.DUMMYFUNCTION("""COMPUTED_VALUE"""),64.1)</f>
        <v>64.099999999999994</v>
      </c>
      <c r="K140" s="1">
        <f ca="1">IFERROR(__xludf.DUMMYFUNCTION("""COMPUTED_VALUE"""),241)</f>
        <v>241</v>
      </c>
      <c r="L140" s="1" t="str">
        <f ca="1">IFERROR(__xludf.DUMMYFUNCTION("""COMPUTED_VALUE"""),"+.002")</f>
        <v>+.002</v>
      </c>
      <c r="M140" s="1">
        <f ca="1">IFERROR(__xludf.DUMMYFUNCTION("""COMPUTED_VALUE"""),174)</f>
        <v>174</v>
      </c>
      <c r="N140" s="1" t="str">
        <f ca="1">IFERROR(__xludf.DUMMYFUNCTION("""COMPUTED_VALUE"""),"+0.29")</f>
        <v>+0.29</v>
      </c>
      <c r="O140" s="1">
        <f ca="1">IFERROR(__xludf.DUMMYFUNCTION("""COMPUTED_VALUE"""),149)</f>
        <v>149</v>
      </c>
      <c r="P140" s="1">
        <f ca="1">IFERROR(__xludf.DUMMYFUNCTION("""COMPUTED_VALUE"""),104.1)</f>
        <v>104.1</v>
      </c>
      <c r="Q140" s="1">
        <f ca="1">IFERROR(__xludf.DUMMYFUNCTION("""COMPUTED_VALUE"""),126)</f>
        <v>126</v>
      </c>
      <c r="R140" s="1">
        <f ca="1">IFERROR(__xludf.DUMMYFUNCTION("""COMPUTED_VALUE"""),103.9)</f>
        <v>103.9</v>
      </c>
      <c r="S140" s="1">
        <f ca="1">IFERROR(__xludf.DUMMYFUNCTION("""COMPUTED_VALUE"""),175)</f>
        <v>175</v>
      </c>
      <c r="T140" s="1" t="str">
        <f ca="1">IFERROR(__xludf.DUMMYFUNCTION("""COMPUTED_VALUE"""),"+6.12")</f>
        <v>+6.12</v>
      </c>
      <c r="U140" s="1">
        <f ca="1">IFERROR(__xludf.DUMMYFUNCTION("""COMPUTED_VALUE"""),33)</f>
        <v>33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IFERROR(__xludf.DUMMYFUNCTION("""COMPUTED_VALUE"""),"Mississippi St.")</f>
        <v>Mississippi St.</v>
      </c>
      <c r="C141" s="1" t="str">
        <f ca="1">IFERROR(__xludf.DUMMYFUNCTION("""COMPUTED_VALUE"""),"SEC")</f>
        <v>SEC</v>
      </c>
      <c r="D141" s="1" t="str">
        <f ca="1">IFERROR(__xludf.DUMMYFUNCTION("""COMPUTED_VALUE"""),"17-14")</f>
        <v>17-14</v>
      </c>
      <c r="E141" s="1" t="str">
        <f ca="1">IFERROR(__xludf.DUMMYFUNCTION("""COMPUTED_VALUE"""),"+3.09")</f>
        <v>+3.09</v>
      </c>
      <c r="F141" s="1">
        <f ca="1">IFERROR(__xludf.DUMMYFUNCTION("""COMPUTED_VALUE"""),107.5)</f>
        <v>107.5</v>
      </c>
      <c r="G141" s="1">
        <f ca="1">IFERROR(__xludf.DUMMYFUNCTION("""COMPUTED_VALUE"""),93)</f>
        <v>93</v>
      </c>
      <c r="H141" s="1">
        <f ca="1">IFERROR(__xludf.DUMMYFUNCTION("""COMPUTED_VALUE"""),104.4)</f>
        <v>104.4</v>
      </c>
      <c r="I141" s="1">
        <f ca="1">IFERROR(__xludf.DUMMYFUNCTION("""COMPUTED_VALUE"""),194)</f>
        <v>194</v>
      </c>
      <c r="J141" s="1">
        <f ca="1">IFERROR(__xludf.DUMMYFUNCTION("""COMPUTED_VALUE"""),66.1)</f>
        <v>66.099999999999994</v>
      </c>
      <c r="K141" s="1">
        <f ca="1">IFERROR(__xludf.DUMMYFUNCTION("""COMPUTED_VALUE"""),124)</f>
        <v>124</v>
      </c>
      <c r="L141" s="1" t="str">
        <f ca="1">IFERROR(__xludf.DUMMYFUNCTION("""COMPUTED_VALUE"""),"+.061")</f>
        <v>+.061</v>
      </c>
      <c r="M141" s="1">
        <f ca="1">IFERROR(__xludf.DUMMYFUNCTION("""COMPUTED_VALUE"""),37)</f>
        <v>37</v>
      </c>
      <c r="N141" s="1" t="str">
        <f ca="1">IFERROR(__xludf.DUMMYFUNCTION("""COMPUTED_VALUE"""),"+1.92")</f>
        <v>+1.92</v>
      </c>
      <c r="O141" s="1">
        <f ca="1">IFERROR(__xludf.DUMMYFUNCTION("""COMPUTED_VALUE"""),108)</f>
        <v>108</v>
      </c>
      <c r="P141" s="1">
        <f ca="1">IFERROR(__xludf.DUMMYFUNCTION("""COMPUTED_VALUE"""),103.9)</f>
        <v>103.9</v>
      </c>
      <c r="Q141" s="1">
        <f ca="1">IFERROR(__xludf.DUMMYFUNCTION("""COMPUTED_VALUE"""),140)</f>
        <v>140</v>
      </c>
      <c r="R141" s="1">
        <f ca="1">IFERROR(__xludf.DUMMYFUNCTION("""COMPUTED_VALUE"""),101.9)</f>
        <v>101.9</v>
      </c>
      <c r="S141" s="1">
        <f ca="1">IFERROR(__xludf.DUMMYFUNCTION("""COMPUTED_VALUE"""),95)</f>
        <v>95</v>
      </c>
      <c r="T141" s="1">
        <f ca="1">IFERROR(__xludf.DUMMYFUNCTION("""COMPUTED_VALUE"""),-5.51)</f>
        <v>-5.51</v>
      </c>
      <c r="U141" s="1">
        <f ca="1">IFERROR(__xludf.DUMMYFUNCTION("""COMPUTED_VALUE"""),297)</f>
        <v>297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IFERROR(__xludf.DUMMYFUNCTION("""COMPUTED_VALUE"""),"Murray St.6")</f>
        <v>Murray St.6</v>
      </c>
      <c r="C142" s="1" t="str">
        <f ca="1">IFERROR(__xludf.DUMMYFUNCTION("""COMPUTED_VALUE"""),"OVC")</f>
        <v>OVC</v>
      </c>
      <c r="D142" s="1" t="str">
        <f ca="1">IFERROR(__xludf.DUMMYFUNCTION("""COMPUTED_VALUE"""),"23-9")</f>
        <v>23-9</v>
      </c>
      <c r="E142" s="1" t="str">
        <f ca="1">IFERROR(__xludf.DUMMYFUNCTION("""COMPUTED_VALUE"""),"+3.01")</f>
        <v>+3.01</v>
      </c>
      <c r="F142" s="1">
        <f ca="1">IFERROR(__xludf.DUMMYFUNCTION("""COMPUTED_VALUE"""),105)</f>
        <v>105</v>
      </c>
      <c r="G142" s="1">
        <f ca="1">IFERROR(__xludf.DUMMYFUNCTION("""COMPUTED_VALUE"""),131)</f>
        <v>131</v>
      </c>
      <c r="H142" s="1">
        <f ca="1">IFERROR(__xludf.DUMMYFUNCTION("""COMPUTED_VALUE"""),102)</f>
        <v>102</v>
      </c>
      <c r="I142" s="1">
        <f ca="1">IFERROR(__xludf.DUMMYFUNCTION("""COMPUTED_VALUE"""),131)</f>
        <v>131</v>
      </c>
      <c r="J142" s="1">
        <f ca="1">IFERROR(__xludf.DUMMYFUNCTION("""COMPUTED_VALUE"""),62.4)</f>
        <v>62.4</v>
      </c>
      <c r="K142" s="1">
        <f ca="1">IFERROR(__xludf.DUMMYFUNCTION("""COMPUTED_VALUE"""),301)</f>
        <v>301</v>
      </c>
      <c r="L142" s="1" t="str">
        <f ca="1">IFERROR(__xludf.DUMMYFUNCTION("""COMPUTED_VALUE"""),"+.040")</f>
        <v>+.040</v>
      </c>
      <c r="M142" s="1">
        <f ca="1">IFERROR(__xludf.DUMMYFUNCTION("""COMPUTED_VALUE"""),81)</f>
        <v>81</v>
      </c>
      <c r="N142" s="1">
        <f ca="1">IFERROR(__xludf.DUMMYFUNCTION("""COMPUTED_VALUE"""),-5.1)</f>
        <v>-5.0999999999999996</v>
      </c>
      <c r="O142" s="1">
        <f ca="1">IFERROR(__xludf.DUMMYFUNCTION("""COMPUTED_VALUE"""),283)</f>
        <v>283</v>
      </c>
      <c r="P142" s="1">
        <f ca="1">IFERROR(__xludf.DUMMYFUNCTION("""COMPUTED_VALUE"""),100.5)</f>
        <v>100.5</v>
      </c>
      <c r="Q142" s="1">
        <f ca="1">IFERROR(__xludf.DUMMYFUNCTION("""COMPUTED_VALUE"""),278)</f>
        <v>278</v>
      </c>
      <c r="R142" s="1">
        <f ca="1">IFERROR(__xludf.DUMMYFUNCTION("""COMPUTED_VALUE"""),105.6)</f>
        <v>105.6</v>
      </c>
      <c r="S142" s="1">
        <f ca="1">IFERROR(__xludf.DUMMYFUNCTION("""COMPUTED_VALUE"""),272)</f>
        <v>272</v>
      </c>
      <c r="T142" s="1">
        <f ca="1">IFERROR(__xludf.DUMMYFUNCTION("""COMPUTED_VALUE"""),-2.62)</f>
        <v>-2.62</v>
      </c>
      <c r="U142" s="1">
        <f ca="1">IFERROR(__xludf.DUMMYFUNCTION("""COMPUTED_VALUE"""),224)</f>
        <v>224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IFERROR(__xludf.DUMMYFUNCTION("""COMPUTED_VALUE"""),"Hofstra")</f>
        <v>Hofstra</v>
      </c>
      <c r="C143" s="1" t="str">
        <f ca="1">IFERROR(__xludf.DUMMYFUNCTION("""COMPUTED_VALUE"""),"CAA")</f>
        <v>CAA</v>
      </c>
      <c r="D143" s="1" t="str">
        <f ca="1">IFERROR(__xludf.DUMMYFUNCTION("""COMPUTED_VALUE"""),"21-12")</f>
        <v>21-12</v>
      </c>
      <c r="E143" s="1" t="str">
        <f ca="1">IFERROR(__xludf.DUMMYFUNCTION("""COMPUTED_VALUE"""),"+2.89")</f>
        <v>+2.89</v>
      </c>
      <c r="F143" s="1">
        <f ca="1">IFERROR(__xludf.DUMMYFUNCTION("""COMPUTED_VALUE"""),108.9)</f>
        <v>108.9</v>
      </c>
      <c r="G143" s="1">
        <f ca="1">IFERROR(__xludf.DUMMYFUNCTION("""COMPUTED_VALUE"""),77)</f>
        <v>77</v>
      </c>
      <c r="H143" s="1">
        <f ca="1">IFERROR(__xludf.DUMMYFUNCTION("""COMPUTED_VALUE"""),106.1)</f>
        <v>106.1</v>
      </c>
      <c r="I143" s="1">
        <f ca="1">IFERROR(__xludf.DUMMYFUNCTION("""COMPUTED_VALUE"""),236)</f>
        <v>236</v>
      </c>
      <c r="J143" s="1">
        <f ca="1">IFERROR(__xludf.DUMMYFUNCTION("""COMPUTED_VALUE"""),65)</f>
        <v>65</v>
      </c>
      <c r="K143" s="1">
        <f ca="1">IFERROR(__xludf.DUMMYFUNCTION("""COMPUTED_VALUE"""),187)</f>
        <v>187</v>
      </c>
      <c r="L143" s="1" t="str">
        <f ca="1">IFERROR(__xludf.DUMMYFUNCTION("""COMPUTED_VALUE"""),"+.125")</f>
        <v>+.125</v>
      </c>
      <c r="M143" s="1">
        <f ca="1">IFERROR(__xludf.DUMMYFUNCTION("""COMPUTED_VALUE"""),6)</f>
        <v>6</v>
      </c>
      <c r="N143" s="1" t="str">
        <f ca="1">IFERROR(__xludf.DUMMYFUNCTION("""COMPUTED_VALUE"""),"+1.05")</f>
        <v>+1.05</v>
      </c>
      <c r="O143" s="1">
        <f ca="1">IFERROR(__xludf.DUMMYFUNCTION("""COMPUTED_VALUE"""),131)</f>
        <v>131</v>
      </c>
      <c r="P143" s="1">
        <f ca="1">IFERROR(__xludf.DUMMYFUNCTION("""COMPUTED_VALUE"""),104.6)</f>
        <v>104.6</v>
      </c>
      <c r="Q143" s="1">
        <f ca="1">IFERROR(__xludf.DUMMYFUNCTION("""COMPUTED_VALUE"""),108)</f>
        <v>108</v>
      </c>
      <c r="R143" s="1">
        <f ca="1">IFERROR(__xludf.DUMMYFUNCTION("""COMPUTED_VALUE"""),103.5)</f>
        <v>103.5</v>
      </c>
      <c r="S143" s="1">
        <f ca="1">IFERROR(__xludf.DUMMYFUNCTION("""COMPUTED_VALUE"""),161)</f>
        <v>161</v>
      </c>
      <c r="T143" s="1" t="str">
        <f ca="1">IFERROR(__xludf.DUMMYFUNCTION("""COMPUTED_VALUE"""),"+0.78")</f>
        <v>+0.78</v>
      </c>
      <c r="U143" s="1">
        <f ca="1">IFERROR(__xludf.DUMMYFUNCTION("""COMPUTED_VALUE"""),131)</f>
        <v>131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IFERROR(__xludf.DUMMYFUNCTION("""COMPUTED_VALUE"""),"Loyola Chicago")</f>
        <v>Loyola Chicago</v>
      </c>
      <c r="C144" s="1" t="str">
        <f ca="1">IFERROR(__xludf.DUMMYFUNCTION("""COMPUTED_VALUE"""),"Horz")</f>
        <v>Horz</v>
      </c>
      <c r="D144" s="1" t="str">
        <f ca="1">IFERROR(__xludf.DUMMYFUNCTION("""COMPUTED_VALUE"""),"16-15")</f>
        <v>16-15</v>
      </c>
      <c r="E144" s="1" t="str">
        <f ca="1">IFERROR(__xludf.DUMMYFUNCTION("""COMPUTED_VALUE"""),"+2.83")</f>
        <v>+2.83</v>
      </c>
      <c r="F144" s="1">
        <f ca="1">IFERROR(__xludf.DUMMYFUNCTION("""COMPUTED_VALUE"""),105.9)</f>
        <v>105.9</v>
      </c>
      <c r="G144" s="1">
        <f ca="1">IFERROR(__xludf.DUMMYFUNCTION("""COMPUTED_VALUE"""),113)</f>
        <v>113</v>
      </c>
      <c r="H144" s="1">
        <f ca="1">IFERROR(__xludf.DUMMYFUNCTION("""COMPUTED_VALUE"""),103.1)</f>
        <v>103.1</v>
      </c>
      <c r="I144" s="1">
        <f ca="1">IFERROR(__xludf.DUMMYFUNCTION("""COMPUTED_VALUE"""),163)</f>
        <v>163</v>
      </c>
      <c r="J144" s="1">
        <f ca="1">IFERROR(__xludf.DUMMYFUNCTION("""COMPUTED_VALUE"""),64.4)</f>
        <v>64.400000000000006</v>
      </c>
      <c r="K144" s="1">
        <f ca="1">IFERROR(__xludf.DUMMYFUNCTION("""COMPUTED_VALUE"""),224)</f>
        <v>224</v>
      </c>
      <c r="L144" s="1">
        <f ca="1">IFERROR(__xludf.DUMMYFUNCTION("""COMPUTED_VALUE"""),-0.064)</f>
        <v>-6.4000000000000001E-2</v>
      </c>
      <c r="M144" s="1">
        <f ca="1">IFERROR(__xludf.DUMMYFUNCTION("""COMPUTED_VALUE"""),314)</f>
        <v>314</v>
      </c>
      <c r="N144" s="1">
        <f ca="1">IFERROR(__xludf.DUMMYFUNCTION("""COMPUTED_VALUE"""),-1.22)</f>
        <v>-1.22</v>
      </c>
      <c r="O144" s="1">
        <f ca="1">IFERROR(__xludf.DUMMYFUNCTION("""COMPUTED_VALUE"""),174)</f>
        <v>174</v>
      </c>
      <c r="P144" s="1">
        <f ca="1">IFERROR(__xludf.DUMMYFUNCTION("""COMPUTED_VALUE"""),102.3)</f>
        <v>102.3</v>
      </c>
      <c r="Q144" s="1">
        <f ca="1">IFERROR(__xludf.DUMMYFUNCTION("""COMPUTED_VALUE"""),208)</f>
        <v>208</v>
      </c>
      <c r="R144" s="1">
        <f ca="1">IFERROR(__xludf.DUMMYFUNCTION("""COMPUTED_VALUE"""),103.5)</f>
        <v>103.5</v>
      </c>
      <c r="S144" s="1">
        <f ca="1">IFERROR(__xludf.DUMMYFUNCTION("""COMPUTED_VALUE"""),160)</f>
        <v>160</v>
      </c>
      <c r="T144" s="1">
        <f ca="1">IFERROR(__xludf.DUMMYFUNCTION("""COMPUTED_VALUE"""),-8.84)</f>
        <v>-8.84</v>
      </c>
      <c r="U144" s="1">
        <f ca="1">IFERROR(__xludf.DUMMYFUNCTION("""COMPUTED_VALUE"""),329)</f>
        <v>329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IFERROR(__xludf.DUMMYFUNCTION("""COMPUTED_VALUE"""),"Saint Peter's14")</f>
        <v>Saint Peter's14</v>
      </c>
      <c r="C145" s="1" t="str">
        <f ca="1">IFERROR(__xludf.DUMMYFUNCTION("""COMPUTED_VALUE"""),"MAAC")</f>
        <v>MAAC</v>
      </c>
      <c r="D145" s="1" t="str">
        <f ca="1">IFERROR(__xludf.DUMMYFUNCTION("""COMPUTED_VALUE"""),"20-14")</f>
        <v>20-14</v>
      </c>
      <c r="E145" s="1" t="str">
        <f ca="1">IFERROR(__xludf.DUMMYFUNCTION("""COMPUTED_VALUE"""),"+2.73")</f>
        <v>+2.73</v>
      </c>
      <c r="F145" s="1">
        <f ca="1">IFERROR(__xludf.DUMMYFUNCTION("""COMPUTED_VALUE"""),95.2)</f>
        <v>95.2</v>
      </c>
      <c r="G145" s="1">
        <f ca="1">IFERROR(__xludf.DUMMYFUNCTION("""COMPUTED_VALUE"""),294)</f>
        <v>294</v>
      </c>
      <c r="H145" s="1">
        <f ca="1">IFERROR(__xludf.DUMMYFUNCTION("""COMPUTED_VALUE"""),92.5)</f>
        <v>92.5</v>
      </c>
      <c r="I145" s="1">
        <f ca="1">IFERROR(__xludf.DUMMYFUNCTION("""COMPUTED_VALUE"""),18)</f>
        <v>18</v>
      </c>
      <c r="J145" s="1">
        <f ca="1">IFERROR(__xludf.DUMMYFUNCTION("""COMPUTED_VALUE"""),64.1)</f>
        <v>64.099999999999994</v>
      </c>
      <c r="K145" s="1">
        <f ca="1">IFERROR(__xludf.DUMMYFUNCTION("""COMPUTED_VALUE"""),240)</f>
        <v>240</v>
      </c>
      <c r="L145" s="1" t="str">
        <f ca="1">IFERROR(__xludf.DUMMYFUNCTION("""COMPUTED_VALUE"""),"+.073")</f>
        <v>+.073</v>
      </c>
      <c r="M145" s="1">
        <f ca="1">IFERROR(__xludf.DUMMYFUNCTION("""COMPUTED_VALUE"""),26)</f>
        <v>26</v>
      </c>
      <c r="N145" s="1" t="str">
        <f ca="1">IFERROR(__xludf.DUMMYFUNCTION("""COMPUTED_VALUE"""),"+0.88")</f>
        <v>+0.88</v>
      </c>
      <c r="O145" s="1">
        <f ca="1">IFERROR(__xludf.DUMMYFUNCTION("""COMPUTED_VALUE"""),134)</f>
        <v>134</v>
      </c>
      <c r="P145" s="1">
        <f ca="1">IFERROR(__xludf.DUMMYFUNCTION("""COMPUTED_VALUE"""),103.2)</f>
        <v>103.2</v>
      </c>
      <c r="Q145" s="1">
        <f ca="1">IFERROR(__xludf.DUMMYFUNCTION("""COMPUTED_VALUE"""),166)</f>
        <v>166</v>
      </c>
      <c r="R145" s="1">
        <f ca="1">IFERROR(__xludf.DUMMYFUNCTION("""COMPUTED_VALUE"""),102.3)</f>
        <v>102.3</v>
      </c>
      <c r="S145" s="1">
        <f ca="1">IFERROR(__xludf.DUMMYFUNCTION("""COMPUTED_VALUE"""),105)</f>
        <v>105</v>
      </c>
      <c r="T145" s="1" t="str">
        <f ca="1">IFERROR(__xludf.DUMMYFUNCTION("""COMPUTED_VALUE"""),"+4.62")</f>
        <v>+4.62</v>
      </c>
      <c r="U145" s="1">
        <f ca="1">IFERROR(__xludf.DUMMYFUNCTION("""COMPUTED_VALUE"""),49)</f>
        <v>49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IFERROR(__xludf.DUMMYFUNCTION("""COMPUTED_VALUE"""),"Milwaukee5")</f>
        <v>Milwaukee5</v>
      </c>
      <c r="C146" s="1" t="str">
        <f ca="1">IFERROR(__xludf.DUMMYFUNCTION("""COMPUTED_VALUE"""),"Horz")</f>
        <v>Horz</v>
      </c>
      <c r="D146" s="1" t="str">
        <f ca="1">IFERROR(__xludf.DUMMYFUNCTION("""COMPUTED_VALUE"""),"19-14")</f>
        <v>19-14</v>
      </c>
      <c r="E146" s="1" t="str">
        <f ca="1">IFERROR(__xludf.DUMMYFUNCTION("""COMPUTED_VALUE"""),"+2.69")</f>
        <v>+2.69</v>
      </c>
      <c r="F146" s="1">
        <f ca="1">IFERROR(__xludf.DUMMYFUNCTION("""COMPUTED_VALUE"""),104.8)</f>
        <v>104.8</v>
      </c>
      <c r="G146" s="1">
        <f ca="1">IFERROR(__xludf.DUMMYFUNCTION("""COMPUTED_VALUE"""),135)</f>
        <v>135</v>
      </c>
      <c r="H146" s="1">
        <f ca="1">IFERROR(__xludf.DUMMYFUNCTION("""COMPUTED_VALUE"""),102.1)</f>
        <v>102.1</v>
      </c>
      <c r="I146" s="1">
        <f ca="1">IFERROR(__xludf.DUMMYFUNCTION("""COMPUTED_VALUE"""),137)</f>
        <v>137</v>
      </c>
      <c r="J146" s="1">
        <f ca="1">IFERROR(__xludf.DUMMYFUNCTION("""COMPUTED_VALUE"""),65.4)</f>
        <v>65.400000000000006</v>
      </c>
      <c r="K146" s="1">
        <f ca="1">IFERROR(__xludf.DUMMYFUNCTION("""COMPUTED_VALUE"""),167)</f>
        <v>167</v>
      </c>
      <c r="L146" s="1" t="str">
        <f ca="1">IFERROR(__xludf.DUMMYFUNCTION("""COMPUTED_VALUE"""),"+.119")</f>
        <v>+.119</v>
      </c>
      <c r="M146" s="1">
        <f ca="1">IFERROR(__xludf.DUMMYFUNCTION("""COMPUTED_VALUE"""),7)</f>
        <v>7</v>
      </c>
      <c r="N146" s="1" t="str">
        <f ca="1">IFERROR(__xludf.DUMMYFUNCTION("""COMPUTED_VALUE"""),"+3.12")</f>
        <v>+3.12</v>
      </c>
      <c r="O146" s="1">
        <f ca="1">IFERROR(__xludf.DUMMYFUNCTION("""COMPUTED_VALUE"""),90)</f>
        <v>90</v>
      </c>
      <c r="P146" s="1">
        <f ca="1">IFERROR(__xludf.DUMMYFUNCTION("""COMPUTED_VALUE"""),106)</f>
        <v>106</v>
      </c>
      <c r="Q146" s="1">
        <f ca="1">IFERROR(__xludf.DUMMYFUNCTION("""COMPUTED_VALUE"""),69)</f>
        <v>69</v>
      </c>
      <c r="R146" s="1">
        <f ca="1">IFERROR(__xludf.DUMMYFUNCTION("""COMPUTED_VALUE"""),102.9)</f>
        <v>102.9</v>
      </c>
      <c r="S146" s="1">
        <f ca="1">IFERROR(__xludf.DUMMYFUNCTION("""COMPUTED_VALUE"""),130)</f>
        <v>130</v>
      </c>
      <c r="T146" s="1" t="str">
        <f ca="1">IFERROR(__xludf.DUMMYFUNCTION("""COMPUTED_VALUE"""),"+2.34")</f>
        <v>+2.34</v>
      </c>
      <c r="U146" s="1">
        <f ca="1">IFERROR(__xludf.DUMMYFUNCTION("""COMPUTED_VALUE"""),87)</f>
        <v>87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IFERROR(__xludf.DUMMYFUNCTION("""COMPUTED_VALUE"""),"Arizona St.")</f>
        <v>Arizona St.</v>
      </c>
      <c r="C147" s="1" t="str">
        <f ca="1">IFERROR(__xludf.DUMMYFUNCTION("""COMPUTED_VALUE"""),"P10")</f>
        <v>P10</v>
      </c>
      <c r="D147" s="2">
        <f ca="1">IFERROR(__xludf.DUMMYFUNCTION("""COMPUTED_VALUE"""),44914)</f>
        <v>44914</v>
      </c>
      <c r="E147" s="1" t="str">
        <f ca="1">IFERROR(__xludf.DUMMYFUNCTION("""COMPUTED_VALUE"""),"+2.68")</f>
        <v>+2.68</v>
      </c>
      <c r="F147" s="1">
        <f ca="1">IFERROR(__xludf.DUMMYFUNCTION("""COMPUTED_VALUE"""),104)</f>
        <v>104</v>
      </c>
      <c r="G147" s="1">
        <f ca="1">IFERROR(__xludf.DUMMYFUNCTION("""COMPUTED_VALUE"""),160)</f>
        <v>160</v>
      </c>
      <c r="H147" s="1">
        <f ca="1">IFERROR(__xludf.DUMMYFUNCTION("""COMPUTED_VALUE"""),101.3)</f>
        <v>101.3</v>
      </c>
      <c r="I147" s="1">
        <f ca="1">IFERROR(__xludf.DUMMYFUNCTION("""COMPUTED_VALUE"""),124)</f>
        <v>124</v>
      </c>
      <c r="J147" s="1">
        <f ca="1">IFERROR(__xludf.DUMMYFUNCTION("""COMPUTED_VALUE"""),62.6)</f>
        <v>62.6</v>
      </c>
      <c r="K147" s="1">
        <f ca="1">IFERROR(__xludf.DUMMYFUNCTION("""COMPUTED_VALUE"""),296)</f>
        <v>296</v>
      </c>
      <c r="L147" s="1">
        <f ca="1">IFERROR(__xludf.DUMMYFUNCTION("""COMPUTED_VALUE"""),-0.008)</f>
        <v>-8.0000000000000002E-3</v>
      </c>
      <c r="M147" s="1">
        <f ca="1">IFERROR(__xludf.DUMMYFUNCTION("""COMPUTED_VALUE"""),200)</f>
        <v>200</v>
      </c>
      <c r="N147" s="1" t="str">
        <f ca="1">IFERROR(__xludf.DUMMYFUNCTION("""COMPUTED_VALUE"""),"+7.28")</f>
        <v>+7.28</v>
      </c>
      <c r="O147" s="1">
        <f ca="1">IFERROR(__xludf.DUMMYFUNCTION("""COMPUTED_VALUE"""),39)</f>
        <v>39</v>
      </c>
      <c r="P147" s="1">
        <f ca="1">IFERROR(__xludf.DUMMYFUNCTION("""COMPUTED_VALUE"""),107.2)</f>
        <v>107.2</v>
      </c>
      <c r="Q147" s="1">
        <f ca="1">IFERROR(__xludf.DUMMYFUNCTION("""COMPUTED_VALUE"""),40)</f>
        <v>40</v>
      </c>
      <c r="R147" s="1">
        <f ca="1">IFERROR(__xludf.DUMMYFUNCTION("""COMPUTED_VALUE"""),99.9)</f>
        <v>99.9</v>
      </c>
      <c r="S147" s="1">
        <f ca="1">IFERROR(__xludf.DUMMYFUNCTION("""COMPUTED_VALUE"""),39)</f>
        <v>39</v>
      </c>
      <c r="T147" s="1" t="str">
        <f ca="1">IFERROR(__xludf.DUMMYFUNCTION("""COMPUTED_VALUE"""),"+1.20")</f>
        <v>+1.20</v>
      </c>
      <c r="U147" s="1">
        <f ca="1">IFERROR(__xludf.DUMMYFUNCTION("""COMPUTED_VALUE"""),121)</f>
        <v>121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IFERROR(__xludf.DUMMYFUNCTION("""COMPUTED_VALUE"""),"Austin Peay")</f>
        <v>Austin Peay</v>
      </c>
      <c r="C148" s="1" t="str">
        <f ca="1">IFERROR(__xludf.DUMMYFUNCTION("""COMPUTED_VALUE"""),"OVC")</f>
        <v>OVC</v>
      </c>
      <c r="D148" s="1" t="str">
        <f ca="1">IFERROR(__xludf.DUMMYFUNCTION("""COMPUTED_VALUE"""),"20-14")</f>
        <v>20-14</v>
      </c>
      <c r="E148" s="1" t="str">
        <f ca="1">IFERROR(__xludf.DUMMYFUNCTION("""COMPUTED_VALUE"""),"+2.66")</f>
        <v>+2.66</v>
      </c>
      <c r="F148" s="1">
        <f ca="1">IFERROR(__xludf.DUMMYFUNCTION("""COMPUTED_VALUE"""),103.6)</f>
        <v>103.6</v>
      </c>
      <c r="G148" s="1">
        <f ca="1">IFERROR(__xludf.DUMMYFUNCTION("""COMPUTED_VALUE"""),166)</f>
        <v>166</v>
      </c>
      <c r="H148" s="1">
        <f ca="1">IFERROR(__xludf.DUMMYFUNCTION("""COMPUTED_VALUE"""),100.9)</f>
        <v>100.9</v>
      </c>
      <c r="I148" s="1">
        <f ca="1">IFERROR(__xludf.DUMMYFUNCTION("""COMPUTED_VALUE"""),118)</f>
        <v>118</v>
      </c>
      <c r="J148" s="1">
        <f ca="1">IFERROR(__xludf.DUMMYFUNCTION("""COMPUTED_VALUE"""),66.6)</f>
        <v>66.599999999999994</v>
      </c>
      <c r="K148" s="1">
        <f ca="1">IFERROR(__xludf.DUMMYFUNCTION("""COMPUTED_VALUE"""),99)</f>
        <v>99</v>
      </c>
      <c r="L148" s="1">
        <f ca="1">IFERROR(__xludf.DUMMYFUNCTION("""COMPUTED_VALUE"""),-0.045)</f>
        <v>-4.4999999999999998E-2</v>
      </c>
      <c r="M148" s="1">
        <f ca="1">IFERROR(__xludf.DUMMYFUNCTION("""COMPUTED_VALUE"""),289)</f>
        <v>289</v>
      </c>
      <c r="N148" s="1">
        <f ca="1">IFERROR(__xludf.DUMMYFUNCTION("""COMPUTED_VALUE"""),-2.58)</f>
        <v>-2.58</v>
      </c>
      <c r="O148" s="1">
        <f ca="1">IFERROR(__xludf.DUMMYFUNCTION("""COMPUTED_VALUE"""),214)</f>
        <v>214</v>
      </c>
      <c r="P148" s="1">
        <f ca="1">IFERROR(__xludf.DUMMYFUNCTION("""COMPUTED_VALUE"""),102)</f>
        <v>102</v>
      </c>
      <c r="Q148" s="1">
        <f ca="1">IFERROR(__xludf.DUMMYFUNCTION("""COMPUTED_VALUE"""),223)</f>
        <v>223</v>
      </c>
      <c r="R148" s="1">
        <f ca="1">IFERROR(__xludf.DUMMYFUNCTION("""COMPUTED_VALUE"""),104.6)</f>
        <v>104.6</v>
      </c>
      <c r="S148" s="1">
        <f ca="1">IFERROR(__xludf.DUMMYFUNCTION("""COMPUTED_VALUE"""),211)</f>
        <v>211</v>
      </c>
      <c r="T148" s="1" t="str">
        <f ca="1">IFERROR(__xludf.DUMMYFUNCTION("""COMPUTED_VALUE"""),"+4.30")</f>
        <v>+4.30</v>
      </c>
      <c r="U148" s="1">
        <f ca="1">IFERROR(__xludf.DUMMYFUNCTION("""COMPUTED_VALUE"""),54)</f>
        <v>54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IFERROR(__xludf.DUMMYFUNCTION("""COMPUTED_VALUE"""),"Utah")</f>
        <v>Utah</v>
      </c>
      <c r="C149" s="1" t="str">
        <f ca="1">IFERROR(__xludf.DUMMYFUNCTION("""COMPUTED_VALUE"""),"MWC")</f>
        <v>MWC</v>
      </c>
      <c r="D149" s="1" t="str">
        <f ca="1">IFERROR(__xludf.DUMMYFUNCTION("""COMPUTED_VALUE"""),"13-18")</f>
        <v>13-18</v>
      </c>
      <c r="E149" s="1" t="str">
        <f ca="1">IFERROR(__xludf.DUMMYFUNCTION("""COMPUTED_VALUE"""),"+2.61")</f>
        <v>+2.61</v>
      </c>
      <c r="F149" s="1">
        <f ca="1">IFERROR(__xludf.DUMMYFUNCTION("""COMPUTED_VALUE"""),103.6)</f>
        <v>103.6</v>
      </c>
      <c r="G149" s="1">
        <f ca="1">IFERROR(__xludf.DUMMYFUNCTION("""COMPUTED_VALUE"""),165)</f>
        <v>165</v>
      </c>
      <c r="H149" s="1">
        <f ca="1">IFERROR(__xludf.DUMMYFUNCTION("""COMPUTED_VALUE"""),101)</f>
        <v>101</v>
      </c>
      <c r="I149" s="1">
        <f ca="1">IFERROR(__xludf.DUMMYFUNCTION("""COMPUTED_VALUE"""),119)</f>
        <v>119</v>
      </c>
      <c r="J149" s="1">
        <f ca="1">IFERROR(__xludf.DUMMYFUNCTION("""COMPUTED_VALUE"""),67.2)</f>
        <v>67.2</v>
      </c>
      <c r="K149" s="1">
        <f ca="1">IFERROR(__xludf.DUMMYFUNCTION("""COMPUTED_VALUE"""),70)</f>
        <v>70</v>
      </c>
      <c r="L149" s="1" t="str">
        <f ca="1">IFERROR(__xludf.DUMMYFUNCTION("""COMPUTED_VALUE"""),"+.033")</f>
        <v>+.033</v>
      </c>
      <c r="M149" s="1">
        <f ca="1">IFERROR(__xludf.DUMMYFUNCTION("""COMPUTED_VALUE"""),91)</f>
        <v>91</v>
      </c>
      <c r="N149" s="1" t="str">
        <f ca="1">IFERROR(__xludf.DUMMYFUNCTION("""COMPUTED_VALUE"""),"+7.53")</f>
        <v>+7.53</v>
      </c>
      <c r="O149" s="1">
        <f ca="1">IFERROR(__xludf.DUMMYFUNCTION("""COMPUTED_VALUE"""),37)</f>
        <v>37</v>
      </c>
      <c r="P149" s="1">
        <f ca="1">IFERROR(__xludf.DUMMYFUNCTION("""COMPUTED_VALUE"""),107.2)</f>
        <v>107.2</v>
      </c>
      <c r="Q149" s="1">
        <f ca="1">IFERROR(__xludf.DUMMYFUNCTION("""COMPUTED_VALUE"""),39)</f>
        <v>39</v>
      </c>
      <c r="R149" s="1">
        <f ca="1">IFERROR(__xludf.DUMMYFUNCTION("""COMPUTED_VALUE"""),99.7)</f>
        <v>99.7</v>
      </c>
      <c r="S149" s="1">
        <f ca="1">IFERROR(__xludf.DUMMYFUNCTION("""COMPUTED_VALUE"""),31)</f>
        <v>31</v>
      </c>
      <c r="T149" s="1" t="str">
        <f ca="1">IFERROR(__xludf.DUMMYFUNCTION("""COMPUTED_VALUE"""),"+2.64")</f>
        <v>+2.64</v>
      </c>
      <c r="U149" s="1">
        <f ca="1">IFERROR(__xludf.DUMMYFUNCTION("""COMPUTED_VALUE"""),83)</f>
        <v>83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IFERROR(__xludf.DUMMYFUNCTION("""COMPUTED_VALUE"""),"Furman")</f>
        <v>Furman</v>
      </c>
      <c r="C150" s="1" t="str">
        <f ca="1">IFERROR(__xludf.DUMMYFUNCTION("""COMPUTED_VALUE"""),"SC")</f>
        <v>SC</v>
      </c>
      <c r="D150" s="1" t="str">
        <f ca="1">IFERROR(__xludf.DUMMYFUNCTION("""COMPUTED_VALUE"""),"22-11")</f>
        <v>22-11</v>
      </c>
      <c r="E150" s="1" t="str">
        <f ca="1">IFERROR(__xludf.DUMMYFUNCTION("""COMPUTED_VALUE"""),"+2.44")</f>
        <v>+2.44</v>
      </c>
      <c r="F150" s="1">
        <f ca="1">IFERROR(__xludf.DUMMYFUNCTION("""COMPUTED_VALUE"""),105.3)</f>
        <v>105.3</v>
      </c>
      <c r="G150" s="1">
        <f ca="1">IFERROR(__xludf.DUMMYFUNCTION("""COMPUTED_VALUE"""),125)</f>
        <v>125</v>
      </c>
      <c r="H150" s="1">
        <f ca="1">IFERROR(__xludf.DUMMYFUNCTION("""COMPUTED_VALUE"""),102.9)</f>
        <v>102.9</v>
      </c>
      <c r="I150" s="1">
        <f ca="1">IFERROR(__xludf.DUMMYFUNCTION("""COMPUTED_VALUE"""),154)</f>
        <v>154</v>
      </c>
      <c r="J150" s="1">
        <f ca="1">IFERROR(__xludf.DUMMYFUNCTION("""COMPUTED_VALUE"""),62.8)</f>
        <v>62.8</v>
      </c>
      <c r="K150" s="1">
        <f ca="1">IFERROR(__xludf.DUMMYFUNCTION("""COMPUTED_VALUE"""),284)</f>
        <v>284</v>
      </c>
      <c r="L150" s="1" t="str">
        <f ca="1">IFERROR(__xludf.DUMMYFUNCTION("""COMPUTED_VALUE"""),"+.060")</f>
        <v>+.060</v>
      </c>
      <c r="M150" s="1">
        <f ca="1">IFERROR(__xludf.DUMMYFUNCTION("""COMPUTED_VALUE"""),39)</f>
        <v>39</v>
      </c>
      <c r="N150" s="1">
        <f ca="1">IFERROR(__xludf.DUMMYFUNCTION("""COMPUTED_VALUE"""),-2.59)</f>
        <v>-2.59</v>
      </c>
      <c r="O150" s="1">
        <f ca="1">IFERROR(__xludf.DUMMYFUNCTION("""COMPUTED_VALUE"""),215)</f>
        <v>215</v>
      </c>
      <c r="P150" s="1">
        <f ca="1">IFERROR(__xludf.DUMMYFUNCTION("""COMPUTED_VALUE"""),103)</f>
        <v>103</v>
      </c>
      <c r="Q150" s="1">
        <f ca="1">IFERROR(__xludf.DUMMYFUNCTION("""COMPUTED_VALUE"""),176)</f>
        <v>176</v>
      </c>
      <c r="R150" s="1">
        <f ca="1">IFERROR(__xludf.DUMMYFUNCTION("""COMPUTED_VALUE"""),105.6)</f>
        <v>105.6</v>
      </c>
      <c r="S150" s="1">
        <f ca="1">IFERROR(__xludf.DUMMYFUNCTION("""COMPUTED_VALUE"""),267)</f>
        <v>267</v>
      </c>
      <c r="T150" s="1" t="str">
        <f ca="1">IFERROR(__xludf.DUMMYFUNCTION("""COMPUTED_VALUE"""),"+2.08")</f>
        <v>+2.08</v>
      </c>
      <c r="U150" s="1">
        <f ca="1">IFERROR(__xludf.DUMMYFUNCTION("""COMPUTED_VALUE"""),92)</f>
        <v>92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IFERROR(__xludf.DUMMYFUNCTION("""COMPUTED_VALUE"""),"Idaho")</f>
        <v>Idaho</v>
      </c>
      <c r="C151" s="1" t="str">
        <f ca="1">IFERROR(__xludf.DUMMYFUNCTION("""COMPUTED_VALUE"""),"WAC")</f>
        <v>WAC</v>
      </c>
      <c r="D151" s="1" t="str">
        <f ca="1">IFERROR(__xludf.DUMMYFUNCTION("""COMPUTED_VALUE"""),"18-14")</f>
        <v>18-14</v>
      </c>
      <c r="E151" s="1" t="str">
        <f ca="1">IFERROR(__xludf.DUMMYFUNCTION("""COMPUTED_VALUE"""),"+2.25")</f>
        <v>+2.25</v>
      </c>
      <c r="F151" s="1">
        <f ca="1">IFERROR(__xludf.DUMMYFUNCTION("""COMPUTED_VALUE"""),104.7)</f>
        <v>104.7</v>
      </c>
      <c r="G151" s="1">
        <f ca="1">IFERROR(__xludf.DUMMYFUNCTION("""COMPUTED_VALUE"""),142)</f>
        <v>142</v>
      </c>
      <c r="H151" s="1">
        <f ca="1">IFERROR(__xludf.DUMMYFUNCTION("""COMPUTED_VALUE"""),102.4)</f>
        <v>102.4</v>
      </c>
      <c r="I151" s="1">
        <f ca="1">IFERROR(__xludf.DUMMYFUNCTION("""COMPUTED_VALUE"""),141)</f>
        <v>141</v>
      </c>
      <c r="J151" s="1">
        <f ca="1">IFERROR(__xludf.DUMMYFUNCTION("""COMPUTED_VALUE"""),63.9)</f>
        <v>63.9</v>
      </c>
      <c r="K151" s="1">
        <f ca="1">IFERROR(__xludf.DUMMYFUNCTION("""COMPUTED_VALUE"""),247)</f>
        <v>247</v>
      </c>
      <c r="L151" s="1" t="str">
        <f ca="1">IFERROR(__xludf.DUMMYFUNCTION("""COMPUTED_VALUE"""),"+.015")</f>
        <v>+.015</v>
      </c>
      <c r="M151" s="1">
        <f ca="1">IFERROR(__xludf.DUMMYFUNCTION("""COMPUTED_VALUE"""),142)</f>
        <v>142</v>
      </c>
      <c r="N151" s="1">
        <f ca="1">IFERROR(__xludf.DUMMYFUNCTION("""COMPUTED_VALUE"""),-0.72)</f>
        <v>-0.72</v>
      </c>
      <c r="O151" s="1">
        <f ca="1">IFERROR(__xludf.DUMMYFUNCTION("""COMPUTED_VALUE"""),167)</f>
        <v>167</v>
      </c>
      <c r="P151" s="1">
        <f ca="1">IFERROR(__xludf.DUMMYFUNCTION("""COMPUTED_VALUE"""),101.8)</f>
        <v>101.8</v>
      </c>
      <c r="Q151" s="1">
        <f ca="1">IFERROR(__xludf.DUMMYFUNCTION("""COMPUTED_VALUE"""),228)</f>
        <v>228</v>
      </c>
      <c r="R151" s="1">
        <f ca="1">IFERROR(__xludf.DUMMYFUNCTION("""COMPUTED_VALUE"""),102.5)</f>
        <v>102.5</v>
      </c>
      <c r="S151" s="1">
        <f ca="1">IFERROR(__xludf.DUMMYFUNCTION("""COMPUTED_VALUE"""),111)</f>
        <v>111</v>
      </c>
      <c r="T151" s="1">
        <f ca="1">IFERROR(__xludf.DUMMYFUNCTION("""COMPUTED_VALUE"""),-4.49)</f>
        <v>-4.49</v>
      </c>
      <c r="U151" s="1">
        <f ca="1">IFERROR(__xludf.DUMMYFUNCTION("""COMPUTED_VALUE"""),274)</f>
        <v>274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IFERROR(__xludf.DUMMYFUNCTION("""COMPUTED_VALUE"""),"Oklahoma")</f>
        <v>Oklahoma</v>
      </c>
      <c r="C152" s="1" t="str">
        <f ca="1">IFERROR(__xludf.DUMMYFUNCTION("""COMPUTED_VALUE"""),"B12")</f>
        <v>B12</v>
      </c>
      <c r="D152" s="1" t="str">
        <f ca="1">IFERROR(__xludf.DUMMYFUNCTION("""COMPUTED_VALUE"""),"14-18")</f>
        <v>14-18</v>
      </c>
      <c r="E152" s="1" t="str">
        <f ca="1">IFERROR(__xludf.DUMMYFUNCTION("""COMPUTED_VALUE"""),"+2.24")</f>
        <v>+2.24</v>
      </c>
      <c r="F152" s="1">
        <f ca="1">IFERROR(__xludf.DUMMYFUNCTION("""COMPUTED_VALUE"""),104.7)</f>
        <v>104.7</v>
      </c>
      <c r="G152" s="1">
        <f ca="1">IFERROR(__xludf.DUMMYFUNCTION("""COMPUTED_VALUE"""),140)</f>
        <v>140</v>
      </c>
      <c r="H152" s="1">
        <f ca="1">IFERROR(__xludf.DUMMYFUNCTION("""COMPUTED_VALUE"""),102.5)</f>
        <v>102.5</v>
      </c>
      <c r="I152" s="1">
        <f ca="1">IFERROR(__xludf.DUMMYFUNCTION("""COMPUTED_VALUE"""),143)</f>
        <v>143</v>
      </c>
      <c r="J152" s="1">
        <f ca="1">IFERROR(__xludf.DUMMYFUNCTION("""COMPUTED_VALUE"""),64.2)</f>
        <v>64.2</v>
      </c>
      <c r="K152" s="1">
        <f ca="1">IFERROR(__xludf.DUMMYFUNCTION("""COMPUTED_VALUE"""),235)</f>
        <v>235</v>
      </c>
      <c r="L152" s="1" t="str">
        <f ca="1">IFERROR(__xludf.DUMMYFUNCTION("""COMPUTED_VALUE"""),"+.025")</f>
        <v>+.025</v>
      </c>
      <c r="M152" s="1">
        <f ca="1">IFERROR(__xludf.DUMMYFUNCTION("""COMPUTED_VALUE"""),117)</f>
        <v>117</v>
      </c>
      <c r="N152" s="1" t="str">
        <f ca="1">IFERROR(__xludf.DUMMYFUNCTION("""COMPUTED_VALUE"""),"+6.90")</f>
        <v>+6.90</v>
      </c>
      <c r="O152" s="1">
        <f ca="1">IFERROR(__xludf.DUMMYFUNCTION("""COMPUTED_VALUE"""),48)</f>
        <v>48</v>
      </c>
      <c r="P152" s="1">
        <f ca="1">IFERROR(__xludf.DUMMYFUNCTION("""COMPUTED_VALUE"""),106.7)</f>
        <v>106.7</v>
      </c>
      <c r="Q152" s="1">
        <f ca="1">IFERROR(__xludf.DUMMYFUNCTION("""COMPUTED_VALUE"""),51)</f>
        <v>51</v>
      </c>
      <c r="R152" s="1">
        <f ca="1">IFERROR(__xludf.DUMMYFUNCTION("""COMPUTED_VALUE"""),99.8)</f>
        <v>99.8</v>
      </c>
      <c r="S152" s="1">
        <f ca="1">IFERROR(__xludf.DUMMYFUNCTION("""COMPUTED_VALUE"""),36)</f>
        <v>36</v>
      </c>
      <c r="T152" s="1">
        <f ca="1">IFERROR(__xludf.DUMMYFUNCTION("""COMPUTED_VALUE"""),-7.29)</f>
        <v>-7.29</v>
      </c>
      <c r="U152" s="1">
        <f ca="1">IFERROR(__xludf.DUMMYFUNCTION("""COMPUTED_VALUE"""),321)</f>
        <v>321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IFERROR(__xludf.DUMMYFUNCTION("""COMPUTED_VALUE"""),"New Mexico St.")</f>
        <v>New Mexico St.</v>
      </c>
      <c r="C153" s="1" t="str">
        <f ca="1">IFERROR(__xludf.DUMMYFUNCTION("""COMPUTED_VALUE"""),"WAC")</f>
        <v>WAC</v>
      </c>
      <c r="D153" s="1" t="str">
        <f ca="1">IFERROR(__xludf.DUMMYFUNCTION("""COMPUTED_VALUE"""),"16-17")</f>
        <v>16-17</v>
      </c>
      <c r="E153" s="1" t="str">
        <f ca="1">IFERROR(__xludf.DUMMYFUNCTION("""COMPUTED_VALUE"""),"+2.20")</f>
        <v>+2.20</v>
      </c>
      <c r="F153" s="1">
        <f ca="1">IFERROR(__xludf.DUMMYFUNCTION("""COMPUTED_VALUE"""),105.5)</f>
        <v>105.5</v>
      </c>
      <c r="G153" s="1">
        <f ca="1">IFERROR(__xludf.DUMMYFUNCTION("""COMPUTED_VALUE"""),124)</f>
        <v>124</v>
      </c>
      <c r="H153" s="1">
        <f ca="1">IFERROR(__xludf.DUMMYFUNCTION("""COMPUTED_VALUE"""),103.3)</f>
        <v>103.3</v>
      </c>
      <c r="I153" s="1">
        <f ca="1">IFERROR(__xludf.DUMMYFUNCTION("""COMPUTED_VALUE"""),165)</f>
        <v>165</v>
      </c>
      <c r="J153" s="1">
        <f ca="1">IFERROR(__xludf.DUMMYFUNCTION("""COMPUTED_VALUE"""),66.5)</f>
        <v>66.5</v>
      </c>
      <c r="K153" s="1">
        <f ca="1">IFERROR(__xludf.DUMMYFUNCTION("""COMPUTED_VALUE"""),104)</f>
        <v>104</v>
      </c>
      <c r="L153" s="1">
        <f ca="1">IFERROR(__xludf.DUMMYFUNCTION("""COMPUTED_VALUE"""),-0.024)</f>
        <v>-2.4E-2</v>
      </c>
      <c r="M153" s="1">
        <f ca="1">IFERROR(__xludf.DUMMYFUNCTION("""COMPUTED_VALUE"""),240)</f>
        <v>240</v>
      </c>
      <c r="N153" s="1" t="str">
        <f ca="1">IFERROR(__xludf.DUMMYFUNCTION("""COMPUTED_VALUE"""),"+2.72")</f>
        <v>+2.72</v>
      </c>
      <c r="O153" s="1">
        <f ca="1">IFERROR(__xludf.DUMMYFUNCTION("""COMPUTED_VALUE"""),94)</f>
        <v>94</v>
      </c>
      <c r="P153" s="1">
        <f ca="1">IFERROR(__xludf.DUMMYFUNCTION("""COMPUTED_VALUE"""),104.3)</f>
        <v>104.3</v>
      </c>
      <c r="Q153" s="1">
        <f ca="1">IFERROR(__xludf.DUMMYFUNCTION("""COMPUTED_VALUE"""),122)</f>
        <v>122</v>
      </c>
      <c r="R153" s="1">
        <f ca="1">IFERROR(__xludf.DUMMYFUNCTION("""COMPUTED_VALUE"""),101.6)</f>
        <v>101.6</v>
      </c>
      <c r="S153" s="1">
        <f ca="1">IFERROR(__xludf.DUMMYFUNCTION("""COMPUTED_VALUE"""),85)</f>
        <v>85</v>
      </c>
      <c r="T153" s="1" t="str">
        <f ca="1">IFERROR(__xludf.DUMMYFUNCTION("""COMPUTED_VALUE"""),"+4.05")</f>
        <v>+4.05</v>
      </c>
      <c r="U153" s="1">
        <f ca="1">IFERROR(__xludf.DUMMYFUNCTION("""COMPUTED_VALUE"""),57)</f>
        <v>57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IFERROR(__xludf.DUMMYFUNCTION("""COMPUTED_VALUE"""),"Davidson")</f>
        <v>Davidson</v>
      </c>
      <c r="C154" s="1" t="str">
        <f ca="1">IFERROR(__xludf.DUMMYFUNCTION("""COMPUTED_VALUE"""),"SC")</f>
        <v>SC</v>
      </c>
      <c r="D154" s="1" t="str">
        <f ca="1">IFERROR(__xludf.DUMMYFUNCTION("""COMPUTED_VALUE"""),"18-15")</f>
        <v>18-15</v>
      </c>
      <c r="E154" s="1" t="str">
        <f ca="1">IFERROR(__xludf.DUMMYFUNCTION("""COMPUTED_VALUE"""),"+2.17")</f>
        <v>+2.17</v>
      </c>
      <c r="F154" s="1">
        <f ca="1">IFERROR(__xludf.DUMMYFUNCTION("""COMPUTED_VALUE"""),105.6)</f>
        <v>105.6</v>
      </c>
      <c r="G154" s="1">
        <f ca="1">IFERROR(__xludf.DUMMYFUNCTION("""COMPUTED_VALUE"""),121)</f>
        <v>121</v>
      </c>
      <c r="H154" s="1">
        <f ca="1">IFERROR(__xludf.DUMMYFUNCTION("""COMPUTED_VALUE"""),103.4)</f>
        <v>103.4</v>
      </c>
      <c r="I154" s="1">
        <f ca="1">IFERROR(__xludf.DUMMYFUNCTION("""COMPUTED_VALUE"""),169)</f>
        <v>169</v>
      </c>
      <c r="J154" s="1">
        <f ca="1">IFERROR(__xludf.DUMMYFUNCTION("""COMPUTED_VALUE"""),67.1)</f>
        <v>67.099999999999994</v>
      </c>
      <c r="K154" s="1">
        <f ca="1">IFERROR(__xludf.DUMMYFUNCTION("""COMPUTED_VALUE"""),74)</f>
        <v>74</v>
      </c>
      <c r="L154" s="1">
        <f ca="1">IFERROR(__xludf.DUMMYFUNCTION("""COMPUTED_VALUE"""),-0.036)</f>
        <v>-3.5999999999999997E-2</v>
      </c>
      <c r="M154" s="1">
        <f ca="1">IFERROR(__xludf.DUMMYFUNCTION("""COMPUTED_VALUE"""),268)</f>
        <v>268</v>
      </c>
      <c r="N154" s="1">
        <f ca="1">IFERROR(__xludf.DUMMYFUNCTION("""COMPUTED_VALUE"""),-1.77)</f>
        <v>-1.77</v>
      </c>
      <c r="O154" s="1">
        <f ca="1">IFERROR(__xludf.DUMMYFUNCTION("""COMPUTED_VALUE"""),191)</f>
        <v>191</v>
      </c>
      <c r="P154" s="1">
        <f ca="1">IFERROR(__xludf.DUMMYFUNCTION("""COMPUTED_VALUE"""),103.6)</f>
        <v>103.6</v>
      </c>
      <c r="Q154" s="1">
        <f ca="1">IFERROR(__xludf.DUMMYFUNCTION("""COMPUTED_VALUE"""),152)</f>
        <v>152</v>
      </c>
      <c r="R154" s="1">
        <f ca="1">IFERROR(__xludf.DUMMYFUNCTION("""COMPUTED_VALUE"""),105.4)</f>
        <v>105.4</v>
      </c>
      <c r="S154" s="1">
        <f ca="1">IFERROR(__xludf.DUMMYFUNCTION("""COMPUTED_VALUE"""),253)</f>
        <v>253</v>
      </c>
      <c r="T154" s="1" t="str">
        <f ca="1">IFERROR(__xludf.DUMMYFUNCTION("""COMPUTED_VALUE"""),"+4.45")</f>
        <v>+4.45</v>
      </c>
      <c r="U154" s="1">
        <f ca="1">IFERROR(__xludf.DUMMYFUNCTION("""COMPUTED_VALUE"""),53)</f>
        <v>53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IFERROR(__xludf.DUMMYFUNCTION("""COMPUTED_VALUE"""),"Pacific")</f>
        <v>Pacific</v>
      </c>
      <c r="C155" s="1" t="str">
        <f ca="1">IFERROR(__xludf.DUMMYFUNCTION("""COMPUTED_VALUE"""),"BW")</f>
        <v>BW</v>
      </c>
      <c r="D155" s="1" t="str">
        <f ca="1">IFERROR(__xludf.DUMMYFUNCTION("""COMPUTED_VALUE"""),"16-15")</f>
        <v>16-15</v>
      </c>
      <c r="E155" s="1" t="str">
        <f ca="1">IFERROR(__xludf.DUMMYFUNCTION("""COMPUTED_VALUE"""),"+2.05")</f>
        <v>+2.05</v>
      </c>
      <c r="F155" s="1">
        <f ca="1">IFERROR(__xludf.DUMMYFUNCTION("""COMPUTED_VALUE"""),105.6)</f>
        <v>105.6</v>
      </c>
      <c r="G155" s="1">
        <f ca="1">IFERROR(__xludf.DUMMYFUNCTION("""COMPUTED_VALUE"""),120)</f>
        <v>120</v>
      </c>
      <c r="H155" s="1">
        <f ca="1">IFERROR(__xludf.DUMMYFUNCTION("""COMPUTED_VALUE"""),103.6)</f>
        <v>103.6</v>
      </c>
      <c r="I155" s="1">
        <f ca="1">IFERROR(__xludf.DUMMYFUNCTION("""COMPUTED_VALUE"""),176)</f>
        <v>176</v>
      </c>
      <c r="J155" s="1">
        <f ca="1">IFERROR(__xludf.DUMMYFUNCTION("""COMPUTED_VALUE"""),59.4)</f>
        <v>59.4</v>
      </c>
      <c r="K155" s="1">
        <f ca="1">IFERROR(__xludf.DUMMYFUNCTION("""COMPUTED_VALUE"""),338)</f>
        <v>338</v>
      </c>
      <c r="L155" s="1">
        <f ca="1">IFERROR(__xludf.DUMMYFUNCTION("""COMPUTED_VALUE"""),-0.061)</f>
        <v>-6.0999999999999999E-2</v>
      </c>
      <c r="M155" s="1">
        <f ca="1">IFERROR(__xludf.DUMMYFUNCTION("""COMPUTED_VALUE"""),310)</f>
        <v>310</v>
      </c>
      <c r="N155" s="1">
        <f ca="1">IFERROR(__xludf.DUMMYFUNCTION("""COMPUTED_VALUE"""),-0.33)</f>
        <v>-0.33</v>
      </c>
      <c r="O155" s="1">
        <f ca="1">IFERROR(__xludf.DUMMYFUNCTION("""COMPUTED_VALUE"""),162)</f>
        <v>162</v>
      </c>
      <c r="P155" s="1">
        <f ca="1">IFERROR(__xludf.DUMMYFUNCTION("""COMPUTED_VALUE"""),103.8)</f>
        <v>103.8</v>
      </c>
      <c r="Q155" s="1">
        <f ca="1">IFERROR(__xludf.DUMMYFUNCTION("""COMPUTED_VALUE"""),145)</f>
        <v>145</v>
      </c>
      <c r="R155" s="1">
        <f ca="1">IFERROR(__xludf.DUMMYFUNCTION("""COMPUTED_VALUE"""),104.1)</f>
        <v>104.1</v>
      </c>
      <c r="S155" s="1">
        <f ca="1">IFERROR(__xludf.DUMMYFUNCTION("""COMPUTED_VALUE"""),185)</f>
        <v>185</v>
      </c>
      <c r="T155" s="1" t="str">
        <f ca="1">IFERROR(__xludf.DUMMYFUNCTION("""COMPUTED_VALUE"""),"+4.82")</f>
        <v>+4.82</v>
      </c>
      <c r="U155" s="1">
        <f ca="1">IFERROR(__xludf.DUMMYFUNCTION("""COMPUTED_VALUE"""),45)</f>
        <v>45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IFERROR(__xludf.DUMMYFUNCTION("""COMPUTED_VALUE"""),"San Francisco")</f>
        <v>San Francisco</v>
      </c>
      <c r="C156" s="1" t="str">
        <f ca="1">IFERROR(__xludf.DUMMYFUNCTION("""COMPUTED_VALUE"""),"WCC")</f>
        <v>WCC</v>
      </c>
      <c r="D156" s="1" t="str">
        <f ca="1">IFERROR(__xludf.DUMMYFUNCTION("""COMPUTED_VALUE"""),"19-15")</f>
        <v>19-15</v>
      </c>
      <c r="E156" s="1" t="str">
        <f ca="1">IFERROR(__xludf.DUMMYFUNCTION("""COMPUTED_VALUE"""),"+1.99")</f>
        <v>+1.99</v>
      </c>
      <c r="F156" s="1">
        <f ca="1">IFERROR(__xludf.DUMMYFUNCTION("""COMPUTED_VALUE"""),102.9)</f>
        <v>102.9</v>
      </c>
      <c r="G156" s="1">
        <f ca="1">IFERROR(__xludf.DUMMYFUNCTION("""COMPUTED_VALUE"""),178)</f>
        <v>178</v>
      </c>
      <c r="H156" s="1">
        <f ca="1">IFERROR(__xludf.DUMMYFUNCTION("""COMPUTED_VALUE"""),100.9)</f>
        <v>100.9</v>
      </c>
      <c r="I156" s="1">
        <f ca="1">IFERROR(__xludf.DUMMYFUNCTION("""COMPUTED_VALUE"""),116)</f>
        <v>116</v>
      </c>
      <c r="J156" s="1">
        <f ca="1">IFERROR(__xludf.DUMMYFUNCTION("""COMPUTED_VALUE"""),67.3)</f>
        <v>67.3</v>
      </c>
      <c r="K156" s="1">
        <f ca="1">IFERROR(__xludf.DUMMYFUNCTION("""COMPUTED_VALUE"""),68)</f>
        <v>68</v>
      </c>
      <c r="L156" s="1" t="str">
        <f ca="1">IFERROR(__xludf.DUMMYFUNCTION("""COMPUTED_VALUE"""),"+.083")</f>
        <v>+.083</v>
      </c>
      <c r="M156" s="1">
        <f ca="1">IFERROR(__xludf.DUMMYFUNCTION("""COMPUTED_VALUE"""),22)</f>
        <v>22</v>
      </c>
      <c r="N156" s="1" t="str">
        <f ca="1">IFERROR(__xludf.DUMMYFUNCTION("""COMPUTED_VALUE"""),"+2.54")</f>
        <v>+2.54</v>
      </c>
      <c r="O156" s="1">
        <f ca="1">IFERROR(__xludf.DUMMYFUNCTION("""COMPUTED_VALUE"""),96)</f>
        <v>96</v>
      </c>
      <c r="P156" s="1">
        <f ca="1">IFERROR(__xludf.DUMMYFUNCTION("""COMPUTED_VALUE"""),105.7)</f>
        <v>105.7</v>
      </c>
      <c r="Q156" s="1">
        <f ca="1">IFERROR(__xludf.DUMMYFUNCTION("""COMPUTED_VALUE"""),77)</f>
        <v>77</v>
      </c>
      <c r="R156" s="1">
        <f ca="1">IFERROR(__xludf.DUMMYFUNCTION("""COMPUTED_VALUE"""),103.2)</f>
        <v>103.2</v>
      </c>
      <c r="S156" s="1">
        <f ca="1">IFERROR(__xludf.DUMMYFUNCTION("""COMPUTED_VALUE"""),146)</f>
        <v>146</v>
      </c>
      <c r="T156" s="1" t="str">
        <f ca="1">IFERROR(__xludf.DUMMYFUNCTION("""COMPUTED_VALUE"""),"+3.05")</f>
        <v>+3.05</v>
      </c>
      <c r="U156" s="1">
        <f ca="1">IFERROR(__xludf.DUMMYFUNCTION("""COMPUTED_VALUE"""),72)</f>
        <v>72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IFERROR(__xludf.DUMMYFUNCTION("""COMPUTED_VALUE"""),"Ohio")</f>
        <v>Ohio</v>
      </c>
      <c r="C157" s="1" t="str">
        <f ca="1">IFERROR(__xludf.DUMMYFUNCTION("""COMPUTED_VALUE"""),"MAC")</f>
        <v>MAC</v>
      </c>
      <c r="D157" s="1" t="str">
        <f ca="1">IFERROR(__xludf.DUMMYFUNCTION("""COMPUTED_VALUE"""),"19-16")</f>
        <v>19-16</v>
      </c>
      <c r="E157" s="1" t="str">
        <f ca="1">IFERROR(__xludf.DUMMYFUNCTION("""COMPUTED_VALUE"""),"+1.91")</f>
        <v>+1.91</v>
      </c>
      <c r="F157" s="1">
        <f ca="1">IFERROR(__xludf.DUMMYFUNCTION("""COMPUTED_VALUE"""),107.4)</f>
        <v>107.4</v>
      </c>
      <c r="G157" s="1">
        <f ca="1">IFERROR(__xludf.DUMMYFUNCTION("""COMPUTED_VALUE"""),94)</f>
        <v>94</v>
      </c>
      <c r="H157" s="1">
        <f ca="1">IFERROR(__xludf.DUMMYFUNCTION("""COMPUTED_VALUE"""),105.5)</f>
        <v>105.5</v>
      </c>
      <c r="I157" s="1">
        <f ca="1">IFERROR(__xludf.DUMMYFUNCTION("""COMPUTED_VALUE"""),227)</f>
        <v>227</v>
      </c>
      <c r="J157" s="1">
        <f ca="1">IFERROR(__xludf.DUMMYFUNCTION("""COMPUTED_VALUE"""),67.1)</f>
        <v>67.099999999999994</v>
      </c>
      <c r="K157" s="1">
        <f ca="1">IFERROR(__xludf.DUMMYFUNCTION("""COMPUTED_VALUE"""),79)</f>
        <v>79</v>
      </c>
      <c r="L157" s="1">
        <f ca="1">IFERROR(__xludf.DUMMYFUNCTION("""COMPUTED_VALUE"""),-0.003)</f>
        <v>-3.0000000000000001E-3</v>
      </c>
      <c r="M157" s="1">
        <f ca="1">IFERROR(__xludf.DUMMYFUNCTION("""COMPUTED_VALUE"""),192)</f>
        <v>192</v>
      </c>
      <c r="N157" s="1">
        <f ca="1">IFERROR(__xludf.DUMMYFUNCTION("""COMPUTED_VALUE"""),-1.76)</f>
        <v>-1.76</v>
      </c>
      <c r="O157" s="1">
        <f ca="1">IFERROR(__xludf.DUMMYFUNCTION("""COMPUTED_VALUE"""),190)</f>
        <v>190</v>
      </c>
      <c r="P157" s="1">
        <f ca="1">IFERROR(__xludf.DUMMYFUNCTION("""COMPUTED_VALUE"""),102.1)</f>
        <v>102.1</v>
      </c>
      <c r="Q157" s="1">
        <f ca="1">IFERROR(__xludf.DUMMYFUNCTION("""COMPUTED_VALUE"""),215)</f>
        <v>215</v>
      </c>
      <c r="R157" s="1">
        <f ca="1">IFERROR(__xludf.DUMMYFUNCTION("""COMPUTED_VALUE"""),103.9)</f>
        <v>103.9</v>
      </c>
      <c r="S157" s="1">
        <f ca="1">IFERROR(__xludf.DUMMYFUNCTION("""COMPUTED_VALUE"""),177)</f>
        <v>177</v>
      </c>
      <c r="T157" s="1">
        <f ca="1">IFERROR(__xludf.DUMMYFUNCTION("""COMPUTED_VALUE"""),-1.27)</f>
        <v>-1.27</v>
      </c>
      <c r="U157" s="1">
        <f ca="1">IFERROR(__xludf.DUMMYFUNCTION("""COMPUTED_VALUE"""),191)</f>
        <v>191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IFERROR(__xludf.DUMMYFUNCTION("""COMPUTED_VALUE"""),"UNC Asheville16")</f>
        <v>UNC Asheville16</v>
      </c>
      <c r="C158" s="1" t="str">
        <f ca="1">IFERROR(__xludf.DUMMYFUNCTION("""COMPUTED_VALUE"""),"BSth")</f>
        <v>BSth</v>
      </c>
      <c r="D158" s="1" t="str">
        <f ca="1">IFERROR(__xludf.DUMMYFUNCTION("""COMPUTED_VALUE"""),"20-14")</f>
        <v>20-14</v>
      </c>
      <c r="E158" s="1" t="str">
        <f ca="1">IFERROR(__xludf.DUMMYFUNCTION("""COMPUTED_VALUE"""),"+1.91")</f>
        <v>+1.91</v>
      </c>
      <c r="F158" s="1">
        <f ca="1">IFERROR(__xludf.DUMMYFUNCTION("""COMPUTED_VALUE"""),101.9)</f>
        <v>101.9</v>
      </c>
      <c r="G158" s="1">
        <f ca="1">IFERROR(__xludf.DUMMYFUNCTION("""COMPUTED_VALUE"""),197)</f>
        <v>197</v>
      </c>
      <c r="H158" s="1">
        <f ca="1">IFERROR(__xludf.DUMMYFUNCTION("""COMPUTED_VALUE"""),100)</f>
        <v>100</v>
      </c>
      <c r="I158" s="1">
        <f ca="1">IFERROR(__xludf.DUMMYFUNCTION("""COMPUTED_VALUE"""),102)</f>
        <v>102</v>
      </c>
      <c r="J158" s="1">
        <f ca="1">IFERROR(__xludf.DUMMYFUNCTION("""COMPUTED_VALUE"""),67.4)</f>
        <v>67.400000000000006</v>
      </c>
      <c r="K158" s="1">
        <f ca="1">IFERROR(__xludf.DUMMYFUNCTION("""COMPUTED_VALUE"""),66)</f>
        <v>66</v>
      </c>
      <c r="L158" s="1">
        <f ca="1">IFERROR(__xludf.DUMMYFUNCTION("""COMPUTED_VALUE"""),-0.011)</f>
        <v>-1.0999999999999999E-2</v>
      </c>
      <c r="M158" s="1">
        <f ca="1">IFERROR(__xludf.DUMMYFUNCTION("""COMPUTED_VALUE"""),207)</f>
        <v>207</v>
      </c>
      <c r="N158" s="1">
        <f ca="1">IFERROR(__xludf.DUMMYFUNCTION("""COMPUTED_VALUE"""),-3.97)</f>
        <v>-3.97</v>
      </c>
      <c r="O158" s="1">
        <f ca="1">IFERROR(__xludf.DUMMYFUNCTION("""COMPUTED_VALUE"""),252)</f>
        <v>252</v>
      </c>
      <c r="P158" s="1">
        <f ca="1">IFERROR(__xludf.DUMMYFUNCTION("""COMPUTED_VALUE"""),101.1)</f>
        <v>101.1</v>
      </c>
      <c r="Q158" s="1">
        <f ca="1">IFERROR(__xludf.DUMMYFUNCTION("""COMPUTED_VALUE"""),254)</f>
        <v>254</v>
      </c>
      <c r="R158" s="1">
        <f ca="1">IFERROR(__xludf.DUMMYFUNCTION("""COMPUTED_VALUE"""),105.1)</f>
        <v>105.1</v>
      </c>
      <c r="S158" s="1">
        <f ca="1">IFERROR(__xludf.DUMMYFUNCTION("""COMPUTED_VALUE"""),237)</f>
        <v>237</v>
      </c>
      <c r="T158" s="1" t="str">
        <f ca="1">IFERROR(__xludf.DUMMYFUNCTION("""COMPUTED_VALUE"""),"+7.07")</f>
        <v>+7.07</v>
      </c>
      <c r="U158" s="1">
        <f ca="1">IFERROR(__xludf.DUMMYFUNCTION("""COMPUTED_VALUE"""),22)</f>
        <v>22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IFERROR(__xludf.DUMMYFUNCTION("""COMPUTED_VALUE"""),"St. Bonaventure")</f>
        <v>St. Bonaventure</v>
      </c>
      <c r="C159" s="1" t="str">
        <f ca="1">IFERROR(__xludf.DUMMYFUNCTION("""COMPUTED_VALUE"""),"A10")</f>
        <v>A10</v>
      </c>
      <c r="D159" s="1" t="str">
        <f ca="1">IFERROR(__xludf.DUMMYFUNCTION("""COMPUTED_VALUE"""),"16-15")</f>
        <v>16-15</v>
      </c>
      <c r="E159" s="1" t="str">
        <f ca="1">IFERROR(__xludf.DUMMYFUNCTION("""COMPUTED_VALUE"""),"+1.85")</f>
        <v>+1.85</v>
      </c>
      <c r="F159" s="1">
        <f ca="1">IFERROR(__xludf.DUMMYFUNCTION("""COMPUTED_VALUE"""),106.6)</f>
        <v>106.6</v>
      </c>
      <c r="G159" s="1">
        <f ca="1">IFERROR(__xludf.DUMMYFUNCTION("""COMPUTED_VALUE"""),107)</f>
        <v>107</v>
      </c>
      <c r="H159" s="1">
        <f ca="1">IFERROR(__xludf.DUMMYFUNCTION("""COMPUTED_VALUE"""),104.7)</f>
        <v>104.7</v>
      </c>
      <c r="I159" s="1">
        <f ca="1">IFERROR(__xludf.DUMMYFUNCTION("""COMPUTED_VALUE"""),207)</f>
        <v>207</v>
      </c>
      <c r="J159" s="1">
        <f ca="1">IFERROR(__xludf.DUMMYFUNCTION("""COMPUTED_VALUE"""),62.8)</f>
        <v>62.8</v>
      </c>
      <c r="K159" s="1">
        <f ca="1">IFERROR(__xludf.DUMMYFUNCTION("""COMPUTED_VALUE"""),287)</f>
        <v>287</v>
      </c>
      <c r="L159" s="1" t="str">
        <f ca="1">IFERROR(__xludf.DUMMYFUNCTION("""COMPUTED_VALUE"""),"+.029")</f>
        <v>+.029</v>
      </c>
      <c r="M159" s="1">
        <f ca="1">IFERROR(__xludf.DUMMYFUNCTION("""COMPUTED_VALUE"""),107)</f>
        <v>107</v>
      </c>
      <c r="N159" s="1" t="str">
        <f ca="1">IFERROR(__xludf.DUMMYFUNCTION("""COMPUTED_VALUE"""),"+1.62")</f>
        <v>+1.62</v>
      </c>
      <c r="O159" s="1">
        <f ca="1">IFERROR(__xludf.DUMMYFUNCTION("""COMPUTED_VALUE"""),116)</f>
        <v>116</v>
      </c>
      <c r="P159" s="1">
        <f ca="1">IFERROR(__xludf.DUMMYFUNCTION("""COMPUTED_VALUE"""),104)</f>
        <v>104</v>
      </c>
      <c r="Q159" s="1">
        <f ca="1">IFERROR(__xludf.DUMMYFUNCTION("""COMPUTED_VALUE"""),137)</f>
        <v>137</v>
      </c>
      <c r="R159" s="1">
        <f ca="1">IFERROR(__xludf.DUMMYFUNCTION("""COMPUTED_VALUE"""),102.3)</f>
        <v>102.3</v>
      </c>
      <c r="S159" s="1">
        <f ca="1">IFERROR(__xludf.DUMMYFUNCTION("""COMPUTED_VALUE"""),106)</f>
        <v>106</v>
      </c>
      <c r="T159" s="1">
        <f ca="1">IFERROR(__xludf.DUMMYFUNCTION("""COMPUTED_VALUE"""),-0.17)</f>
        <v>-0.17</v>
      </c>
      <c r="U159" s="1">
        <f ca="1">IFERROR(__xludf.DUMMYFUNCTION("""COMPUTED_VALUE"""),160)</f>
        <v>160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IFERROR(__xludf.DUMMYFUNCTION("""COMPUTED_VALUE"""),"Robert Morris")</f>
        <v>Robert Morris</v>
      </c>
      <c r="C160" s="1" t="str">
        <f ca="1">IFERROR(__xludf.DUMMYFUNCTION("""COMPUTED_VALUE"""),"NEC")</f>
        <v>NEC</v>
      </c>
      <c r="D160" s="1" t="str">
        <f ca="1">IFERROR(__xludf.DUMMYFUNCTION("""COMPUTED_VALUE"""),"18-14")</f>
        <v>18-14</v>
      </c>
      <c r="E160" s="1" t="str">
        <f ca="1">IFERROR(__xludf.DUMMYFUNCTION("""COMPUTED_VALUE"""),"+1.83")</f>
        <v>+1.83</v>
      </c>
      <c r="F160" s="1">
        <f ca="1">IFERROR(__xludf.DUMMYFUNCTION("""COMPUTED_VALUE"""),103.2)</f>
        <v>103.2</v>
      </c>
      <c r="G160" s="1">
        <f ca="1">IFERROR(__xludf.DUMMYFUNCTION("""COMPUTED_VALUE"""),172)</f>
        <v>172</v>
      </c>
      <c r="H160" s="1">
        <f ca="1">IFERROR(__xludf.DUMMYFUNCTION("""COMPUTED_VALUE"""),101.4)</f>
        <v>101.4</v>
      </c>
      <c r="I160" s="1">
        <f ca="1">IFERROR(__xludf.DUMMYFUNCTION("""COMPUTED_VALUE"""),125)</f>
        <v>125</v>
      </c>
      <c r="J160" s="1">
        <f ca="1">IFERROR(__xludf.DUMMYFUNCTION("""COMPUTED_VALUE"""),63.3)</f>
        <v>63.3</v>
      </c>
      <c r="K160" s="1">
        <f ca="1">IFERROR(__xludf.DUMMYFUNCTION("""COMPUTED_VALUE"""),272)</f>
        <v>272</v>
      </c>
      <c r="L160" s="1" t="str">
        <f ca="1">IFERROR(__xludf.DUMMYFUNCTION("""COMPUTED_VALUE"""),"+.013")</f>
        <v>+.013</v>
      </c>
      <c r="M160" s="1">
        <f ca="1">IFERROR(__xludf.DUMMYFUNCTION("""COMPUTED_VALUE"""),145)</f>
        <v>145</v>
      </c>
      <c r="N160" s="1">
        <f ca="1">IFERROR(__xludf.DUMMYFUNCTION("""COMPUTED_VALUE"""),-1.28)</f>
        <v>-1.28</v>
      </c>
      <c r="O160" s="1">
        <f ca="1">IFERROR(__xludf.DUMMYFUNCTION("""COMPUTED_VALUE"""),175)</f>
        <v>175</v>
      </c>
      <c r="P160" s="1">
        <f ca="1">IFERROR(__xludf.DUMMYFUNCTION("""COMPUTED_VALUE"""),102.5)</f>
        <v>102.5</v>
      </c>
      <c r="Q160" s="1">
        <f ca="1">IFERROR(__xludf.DUMMYFUNCTION("""COMPUTED_VALUE"""),200)</f>
        <v>200</v>
      </c>
      <c r="R160" s="1">
        <f ca="1">IFERROR(__xludf.DUMMYFUNCTION("""COMPUTED_VALUE"""),103.8)</f>
        <v>103.8</v>
      </c>
      <c r="S160" s="1">
        <f ca="1">IFERROR(__xludf.DUMMYFUNCTION("""COMPUTED_VALUE"""),170)</f>
        <v>170</v>
      </c>
      <c r="T160" s="1" t="str">
        <f ca="1">IFERROR(__xludf.DUMMYFUNCTION("""COMPUTED_VALUE"""),"+9.25")</f>
        <v>+9.25</v>
      </c>
      <c r="U160" s="1">
        <f ca="1">IFERROR(__xludf.DUMMYFUNCTION("""COMPUTED_VALUE"""),13)</f>
        <v>13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IFERROR(__xludf.DUMMYFUNCTION("""COMPUTED_VALUE"""),"Lipscomb")</f>
        <v>Lipscomb</v>
      </c>
      <c r="C161" s="1" t="str">
        <f ca="1">IFERROR(__xludf.DUMMYFUNCTION("""COMPUTED_VALUE"""),"ASun")</f>
        <v>ASun</v>
      </c>
      <c r="D161" s="1" t="str">
        <f ca="1">IFERROR(__xludf.DUMMYFUNCTION("""COMPUTED_VALUE"""),"17-13")</f>
        <v>17-13</v>
      </c>
      <c r="E161" s="1" t="str">
        <f ca="1">IFERROR(__xludf.DUMMYFUNCTION("""COMPUTED_VALUE"""),"+1.56")</f>
        <v>+1.56</v>
      </c>
      <c r="F161" s="1">
        <f ca="1">IFERROR(__xludf.DUMMYFUNCTION("""COMPUTED_VALUE"""),106.8)</f>
        <v>106.8</v>
      </c>
      <c r="G161" s="1">
        <f ca="1">IFERROR(__xludf.DUMMYFUNCTION("""COMPUTED_VALUE"""),102)</f>
        <v>102</v>
      </c>
      <c r="H161" s="1">
        <f ca="1">IFERROR(__xludf.DUMMYFUNCTION("""COMPUTED_VALUE"""),105.3)</f>
        <v>105.3</v>
      </c>
      <c r="I161" s="1">
        <f ca="1">IFERROR(__xludf.DUMMYFUNCTION("""COMPUTED_VALUE"""),220)</f>
        <v>220</v>
      </c>
      <c r="J161" s="1">
        <f ca="1">IFERROR(__xludf.DUMMYFUNCTION("""COMPUTED_VALUE"""),69.3)</f>
        <v>69.3</v>
      </c>
      <c r="K161" s="1">
        <f ca="1">IFERROR(__xludf.DUMMYFUNCTION("""COMPUTED_VALUE"""),32)</f>
        <v>32</v>
      </c>
      <c r="L161" s="1" t="str">
        <f ca="1">IFERROR(__xludf.DUMMYFUNCTION("""COMPUTED_VALUE"""),"+.001")</f>
        <v>+.001</v>
      </c>
      <c r="M161" s="1">
        <f ca="1">IFERROR(__xludf.DUMMYFUNCTION("""COMPUTED_VALUE"""),180)</f>
        <v>180</v>
      </c>
      <c r="N161" s="1">
        <f ca="1">IFERROR(__xludf.DUMMYFUNCTION("""COMPUTED_VALUE"""),-1.86)</f>
        <v>-1.86</v>
      </c>
      <c r="O161" s="1">
        <f ca="1">IFERROR(__xludf.DUMMYFUNCTION("""COMPUTED_VALUE"""),194)</f>
        <v>194</v>
      </c>
      <c r="P161" s="1">
        <f ca="1">IFERROR(__xludf.DUMMYFUNCTION("""COMPUTED_VALUE"""),101.2)</f>
        <v>101.2</v>
      </c>
      <c r="Q161" s="1">
        <f ca="1">IFERROR(__xludf.DUMMYFUNCTION("""COMPUTED_VALUE"""),253)</f>
        <v>253</v>
      </c>
      <c r="R161" s="1">
        <f ca="1">IFERROR(__xludf.DUMMYFUNCTION("""COMPUTED_VALUE"""),103)</f>
        <v>103</v>
      </c>
      <c r="S161" s="1">
        <f ca="1">IFERROR(__xludf.DUMMYFUNCTION("""COMPUTED_VALUE"""),138)</f>
        <v>138</v>
      </c>
      <c r="T161" s="1" t="str">
        <f ca="1">IFERROR(__xludf.DUMMYFUNCTION("""COMPUTED_VALUE"""),"+8.14")</f>
        <v>+8.14</v>
      </c>
      <c r="U161" s="1">
        <f ca="1">IFERROR(__xludf.DUMMYFUNCTION("""COMPUTED_VALUE"""),17)</f>
        <v>17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IFERROR(__xludf.DUMMYFUNCTION("""COMPUTED_VALUE"""),"East Carolina")</f>
        <v>East Carolina</v>
      </c>
      <c r="C162" s="1" t="str">
        <f ca="1">IFERROR(__xludf.DUMMYFUNCTION("""COMPUTED_VALUE"""),"CUSA")</f>
        <v>CUSA</v>
      </c>
      <c r="D162" s="1" t="str">
        <f ca="1">IFERROR(__xludf.DUMMYFUNCTION("""COMPUTED_VALUE"""),"18-16")</f>
        <v>18-16</v>
      </c>
      <c r="E162" s="1" t="str">
        <f ca="1">IFERROR(__xludf.DUMMYFUNCTION("""COMPUTED_VALUE"""),"+1.41")</f>
        <v>+1.41</v>
      </c>
      <c r="F162" s="1">
        <f ca="1">IFERROR(__xludf.DUMMYFUNCTION("""COMPUTED_VALUE"""),105.3)</f>
        <v>105.3</v>
      </c>
      <c r="G162" s="1">
        <f ca="1">IFERROR(__xludf.DUMMYFUNCTION("""COMPUTED_VALUE"""),126)</f>
        <v>126</v>
      </c>
      <c r="H162" s="1">
        <f ca="1">IFERROR(__xludf.DUMMYFUNCTION("""COMPUTED_VALUE"""),103.9)</f>
        <v>103.9</v>
      </c>
      <c r="I162" s="1">
        <f ca="1">IFERROR(__xludf.DUMMYFUNCTION("""COMPUTED_VALUE"""),184)</f>
        <v>184</v>
      </c>
      <c r="J162" s="1">
        <f ca="1">IFERROR(__xludf.DUMMYFUNCTION("""COMPUTED_VALUE"""),65)</f>
        <v>65</v>
      </c>
      <c r="K162" s="1">
        <f ca="1">IFERROR(__xludf.DUMMYFUNCTION("""COMPUTED_VALUE"""),188)</f>
        <v>188</v>
      </c>
      <c r="L162" s="1" t="str">
        <f ca="1">IFERROR(__xludf.DUMMYFUNCTION("""COMPUTED_VALUE"""),"+.028")</f>
        <v>+.028</v>
      </c>
      <c r="M162" s="1">
        <f ca="1">IFERROR(__xludf.DUMMYFUNCTION("""COMPUTED_VALUE"""),109)</f>
        <v>109</v>
      </c>
      <c r="N162" s="1" t="str">
        <f ca="1">IFERROR(__xludf.DUMMYFUNCTION("""COMPUTED_VALUE"""),"+2.60")</f>
        <v>+2.60</v>
      </c>
      <c r="O162" s="1">
        <f ca="1">IFERROR(__xludf.DUMMYFUNCTION("""COMPUTED_VALUE"""),95)</f>
        <v>95</v>
      </c>
      <c r="P162" s="1">
        <f ca="1">IFERROR(__xludf.DUMMYFUNCTION("""COMPUTED_VALUE"""),104.4)</f>
        <v>104.4</v>
      </c>
      <c r="Q162" s="1">
        <f ca="1">IFERROR(__xludf.DUMMYFUNCTION("""COMPUTED_VALUE"""),116)</f>
        <v>116</v>
      </c>
      <c r="R162" s="1">
        <f ca="1">IFERROR(__xludf.DUMMYFUNCTION("""COMPUTED_VALUE"""),101.8)</f>
        <v>101.8</v>
      </c>
      <c r="S162" s="1">
        <f ca="1">IFERROR(__xludf.DUMMYFUNCTION("""COMPUTED_VALUE"""),92)</f>
        <v>92</v>
      </c>
      <c r="T162" s="1">
        <f ca="1">IFERROR(__xludf.DUMMYFUNCTION("""COMPUTED_VALUE"""),-2.85)</f>
        <v>-2.85</v>
      </c>
      <c r="U162" s="1">
        <f ca="1">IFERROR(__xludf.DUMMYFUNCTION("""COMPUTED_VALUE"""),232)</f>
        <v>232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IFERROR(__xludf.DUMMYFUNCTION("""COMPUTED_VALUE"""),"Rice")</f>
        <v>Rice</v>
      </c>
      <c r="C163" s="1" t="str">
        <f ca="1">IFERROR(__xludf.DUMMYFUNCTION("""COMPUTED_VALUE"""),"CUSA")</f>
        <v>CUSA</v>
      </c>
      <c r="D163" s="1" t="str">
        <f ca="1">IFERROR(__xludf.DUMMYFUNCTION("""COMPUTED_VALUE"""),"14-18")</f>
        <v>14-18</v>
      </c>
      <c r="E163" s="1" t="str">
        <f ca="1">IFERROR(__xludf.DUMMYFUNCTION("""COMPUTED_VALUE"""),"+0.88")</f>
        <v>+0.88</v>
      </c>
      <c r="F163" s="1">
        <f ca="1">IFERROR(__xludf.DUMMYFUNCTION("""COMPUTED_VALUE"""),105.2)</f>
        <v>105.2</v>
      </c>
      <c r="G163" s="1">
        <f ca="1">IFERROR(__xludf.DUMMYFUNCTION("""COMPUTED_VALUE"""),128)</f>
        <v>128</v>
      </c>
      <c r="H163" s="1">
        <f ca="1">IFERROR(__xludf.DUMMYFUNCTION("""COMPUTED_VALUE"""),104.3)</f>
        <v>104.3</v>
      </c>
      <c r="I163" s="1">
        <f ca="1">IFERROR(__xludf.DUMMYFUNCTION("""COMPUTED_VALUE"""),192)</f>
        <v>192</v>
      </c>
      <c r="J163" s="1">
        <f ca="1">IFERROR(__xludf.DUMMYFUNCTION("""COMPUTED_VALUE"""),63.5)</f>
        <v>63.5</v>
      </c>
      <c r="K163" s="1">
        <f ca="1">IFERROR(__xludf.DUMMYFUNCTION("""COMPUTED_VALUE"""),263)</f>
        <v>263</v>
      </c>
      <c r="L163" s="1">
        <f ca="1">IFERROR(__xludf.DUMMYFUNCTION("""COMPUTED_VALUE"""),-0.062)</f>
        <v>-6.2E-2</v>
      </c>
      <c r="M163" s="1">
        <f ca="1">IFERROR(__xludf.DUMMYFUNCTION("""COMPUTED_VALUE"""),311)</f>
        <v>311</v>
      </c>
      <c r="N163" s="1" t="str">
        <f ca="1">IFERROR(__xludf.DUMMYFUNCTION("""COMPUTED_VALUE"""),"+1.60")</f>
        <v>+1.60</v>
      </c>
      <c r="O163" s="1">
        <f ca="1">IFERROR(__xludf.DUMMYFUNCTION("""COMPUTED_VALUE"""),118)</f>
        <v>118</v>
      </c>
      <c r="P163" s="1">
        <f ca="1">IFERROR(__xludf.DUMMYFUNCTION("""COMPUTED_VALUE"""),104.4)</f>
        <v>104.4</v>
      </c>
      <c r="Q163" s="1">
        <f ca="1">IFERROR(__xludf.DUMMYFUNCTION("""COMPUTED_VALUE"""),113)</f>
        <v>113</v>
      </c>
      <c r="R163" s="1">
        <f ca="1">IFERROR(__xludf.DUMMYFUNCTION("""COMPUTED_VALUE"""),102.8)</f>
        <v>102.8</v>
      </c>
      <c r="S163" s="1">
        <f ca="1">IFERROR(__xludf.DUMMYFUNCTION("""COMPUTED_VALUE"""),127)</f>
        <v>127</v>
      </c>
      <c r="T163" s="1">
        <f ca="1">IFERROR(__xludf.DUMMYFUNCTION("""COMPUTED_VALUE"""),-1.51)</f>
        <v>-1.51</v>
      </c>
      <c r="U163" s="1">
        <f ca="1">IFERROR(__xludf.DUMMYFUNCTION("""COMPUTED_VALUE"""),197)</f>
        <v>197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IFERROR(__xludf.DUMMYFUNCTION("""COMPUTED_VALUE"""),"Jacksonville")</f>
        <v>Jacksonville</v>
      </c>
      <c r="C164" s="1" t="str">
        <f ca="1">IFERROR(__xludf.DUMMYFUNCTION("""COMPUTED_VALUE"""),"ASun")</f>
        <v>ASun</v>
      </c>
      <c r="D164" s="1" t="str">
        <f ca="1">IFERROR(__xludf.DUMMYFUNCTION("""COMPUTED_VALUE"""),"20-12")</f>
        <v>20-12</v>
      </c>
      <c r="E164" s="1" t="str">
        <f ca="1">IFERROR(__xludf.DUMMYFUNCTION("""COMPUTED_VALUE"""),"+0.82")</f>
        <v>+0.82</v>
      </c>
      <c r="F164" s="1">
        <f ca="1">IFERROR(__xludf.DUMMYFUNCTION("""COMPUTED_VALUE"""),98.8)</f>
        <v>98.8</v>
      </c>
      <c r="G164" s="1">
        <f ca="1">IFERROR(__xludf.DUMMYFUNCTION("""COMPUTED_VALUE"""),253)</f>
        <v>253</v>
      </c>
      <c r="H164" s="1">
        <f ca="1">IFERROR(__xludf.DUMMYFUNCTION("""COMPUTED_VALUE"""),98)</f>
        <v>98</v>
      </c>
      <c r="I164" s="1">
        <f ca="1">IFERROR(__xludf.DUMMYFUNCTION("""COMPUTED_VALUE"""),73)</f>
        <v>73</v>
      </c>
      <c r="J164" s="1">
        <f ca="1">IFERROR(__xludf.DUMMYFUNCTION("""COMPUTED_VALUE"""),67.1)</f>
        <v>67.099999999999994</v>
      </c>
      <c r="K164" s="1">
        <f ca="1">IFERROR(__xludf.DUMMYFUNCTION("""COMPUTED_VALUE"""),77)</f>
        <v>77</v>
      </c>
      <c r="L164" s="1" t="str">
        <f ca="1">IFERROR(__xludf.DUMMYFUNCTION("""COMPUTED_VALUE"""),"+.032")</f>
        <v>+.032</v>
      </c>
      <c r="M164" s="1">
        <f ca="1">IFERROR(__xludf.DUMMYFUNCTION("""COMPUTED_VALUE"""),97)</f>
        <v>97</v>
      </c>
      <c r="N164" s="1">
        <f ca="1">IFERROR(__xludf.DUMMYFUNCTION("""COMPUTED_VALUE"""),-3.48)</f>
        <v>-3.48</v>
      </c>
      <c r="O164" s="1">
        <f ca="1">IFERROR(__xludf.DUMMYFUNCTION("""COMPUTED_VALUE"""),241)</f>
        <v>241</v>
      </c>
      <c r="P164" s="1">
        <f ca="1">IFERROR(__xludf.DUMMYFUNCTION("""COMPUTED_VALUE"""),100.9)</f>
        <v>100.9</v>
      </c>
      <c r="Q164" s="1">
        <f ca="1">IFERROR(__xludf.DUMMYFUNCTION("""COMPUTED_VALUE"""),260)</f>
        <v>260</v>
      </c>
      <c r="R164" s="1">
        <f ca="1">IFERROR(__xludf.DUMMYFUNCTION("""COMPUTED_VALUE"""),104.4)</f>
        <v>104.4</v>
      </c>
      <c r="S164" s="1">
        <f ca="1">IFERROR(__xludf.DUMMYFUNCTION("""COMPUTED_VALUE"""),204)</f>
        <v>204</v>
      </c>
      <c r="T164" s="1" t="str">
        <f ca="1">IFERROR(__xludf.DUMMYFUNCTION("""COMPUTED_VALUE"""),"+0.65")</f>
        <v>+0.65</v>
      </c>
      <c r="U164" s="1">
        <f ca="1">IFERROR(__xludf.DUMMYFUNCTION("""COMPUTED_VALUE"""),141)</f>
        <v>141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IFERROR(__xludf.DUMMYFUNCTION("""COMPUTED_VALUE"""),"Central Connecticut")</f>
        <v>Central Connecticut</v>
      </c>
      <c r="C165" s="1" t="str">
        <f ca="1">IFERROR(__xludf.DUMMYFUNCTION("""COMPUTED_VALUE"""),"NEC")</f>
        <v>NEC</v>
      </c>
      <c r="D165" s="1" t="str">
        <f ca="1">IFERROR(__xludf.DUMMYFUNCTION("""COMPUTED_VALUE"""),"19-12")</f>
        <v>19-12</v>
      </c>
      <c r="E165" s="1" t="str">
        <f ca="1">IFERROR(__xludf.DUMMYFUNCTION("""COMPUTED_VALUE"""),"+0.75")</f>
        <v>+0.75</v>
      </c>
      <c r="F165" s="1">
        <f ca="1">IFERROR(__xludf.DUMMYFUNCTION("""COMPUTED_VALUE"""),100.8)</f>
        <v>100.8</v>
      </c>
      <c r="G165" s="1">
        <f ca="1">IFERROR(__xludf.DUMMYFUNCTION("""COMPUTED_VALUE"""),219)</f>
        <v>219</v>
      </c>
      <c r="H165" s="1">
        <f ca="1">IFERROR(__xludf.DUMMYFUNCTION("""COMPUTED_VALUE"""),100.1)</f>
        <v>100.1</v>
      </c>
      <c r="I165" s="1">
        <f ca="1">IFERROR(__xludf.DUMMYFUNCTION("""COMPUTED_VALUE"""),104)</f>
        <v>104</v>
      </c>
      <c r="J165" s="1">
        <f ca="1">IFERROR(__xludf.DUMMYFUNCTION("""COMPUTED_VALUE"""),66)</f>
        <v>66</v>
      </c>
      <c r="K165" s="1">
        <f ca="1">IFERROR(__xludf.DUMMYFUNCTION("""COMPUTED_VALUE"""),141)</f>
        <v>141</v>
      </c>
      <c r="L165" s="1">
        <f ca="1">IFERROR(__xludf.DUMMYFUNCTION("""COMPUTED_VALUE"""),-0.01)</f>
        <v>-0.01</v>
      </c>
      <c r="M165" s="1">
        <f ca="1">IFERROR(__xludf.DUMMYFUNCTION("""COMPUTED_VALUE"""),206)</f>
        <v>206</v>
      </c>
      <c r="N165" s="1">
        <f ca="1">IFERROR(__xludf.DUMMYFUNCTION("""COMPUTED_VALUE"""),-6.22)</f>
        <v>-6.22</v>
      </c>
      <c r="O165" s="1">
        <f ca="1">IFERROR(__xludf.DUMMYFUNCTION("""COMPUTED_VALUE"""),307)</f>
        <v>307</v>
      </c>
      <c r="P165" s="1">
        <f ca="1">IFERROR(__xludf.DUMMYFUNCTION("""COMPUTED_VALUE"""),100.1)</f>
        <v>100.1</v>
      </c>
      <c r="Q165" s="1">
        <f ca="1">IFERROR(__xludf.DUMMYFUNCTION("""COMPUTED_VALUE"""),300)</f>
        <v>300</v>
      </c>
      <c r="R165" s="1">
        <f ca="1">IFERROR(__xludf.DUMMYFUNCTION("""COMPUTED_VALUE"""),106.3)</f>
        <v>106.3</v>
      </c>
      <c r="S165" s="1">
        <f ca="1">IFERROR(__xludf.DUMMYFUNCTION("""COMPUTED_VALUE"""),305)</f>
        <v>305</v>
      </c>
      <c r="T165" s="1">
        <f ca="1">IFERROR(__xludf.DUMMYFUNCTION("""COMPUTED_VALUE"""),-5.48)</f>
        <v>-5.48</v>
      </c>
      <c r="U165" s="1">
        <f ca="1">IFERROR(__xludf.DUMMYFUNCTION("""COMPUTED_VALUE"""),296)</f>
        <v>296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IFERROR(__xludf.DUMMYFUNCTION("""COMPUTED_VALUE"""),"Green Bay")</f>
        <v>Green Bay</v>
      </c>
      <c r="C166" s="1" t="str">
        <f ca="1">IFERROR(__xludf.DUMMYFUNCTION("""COMPUTED_VALUE"""),"Horz")</f>
        <v>Horz</v>
      </c>
      <c r="D166" s="1" t="str">
        <f ca="1">IFERROR(__xludf.DUMMYFUNCTION("""COMPUTED_VALUE"""),"14-18")</f>
        <v>14-18</v>
      </c>
      <c r="E166" s="1" t="str">
        <f ca="1">IFERROR(__xludf.DUMMYFUNCTION("""COMPUTED_VALUE"""),"+0.69")</f>
        <v>+0.69</v>
      </c>
      <c r="F166" s="1">
        <f ca="1">IFERROR(__xludf.DUMMYFUNCTION("""COMPUTED_VALUE"""),104.5)</f>
        <v>104.5</v>
      </c>
      <c r="G166" s="1">
        <f ca="1">IFERROR(__xludf.DUMMYFUNCTION("""COMPUTED_VALUE"""),148)</f>
        <v>148</v>
      </c>
      <c r="H166" s="1">
        <f ca="1">IFERROR(__xludf.DUMMYFUNCTION("""COMPUTED_VALUE"""),103.8)</f>
        <v>103.8</v>
      </c>
      <c r="I166" s="1">
        <f ca="1">IFERROR(__xludf.DUMMYFUNCTION("""COMPUTED_VALUE"""),181)</f>
        <v>181</v>
      </c>
      <c r="J166" s="1">
        <f ca="1">IFERROR(__xludf.DUMMYFUNCTION("""COMPUTED_VALUE"""),64.8)</f>
        <v>64.8</v>
      </c>
      <c r="K166" s="1">
        <f ca="1">IFERROR(__xludf.DUMMYFUNCTION("""COMPUTED_VALUE"""),203)</f>
        <v>203</v>
      </c>
      <c r="L166" s="1" t="str">
        <f ca="1">IFERROR(__xludf.DUMMYFUNCTION("""COMPUTED_VALUE"""),"+.009")</f>
        <v>+.009</v>
      </c>
      <c r="M166" s="1">
        <f ca="1">IFERROR(__xludf.DUMMYFUNCTION("""COMPUTED_VALUE"""),155)</f>
        <v>155</v>
      </c>
      <c r="N166" s="1" t="str">
        <f ca="1">IFERROR(__xludf.DUMMYFUNCTION("""COMPUTED_VALUE"""),"+3.56")</f>
        <v>+3.56</v>
      </c>
      <c r="O166" s="1">
        <f ca="1">IFERROR(__xludf.DUMMYFUNCTION("""COMPUTED_VALUE"""),84)</f>
        <v>84</v>
      </c>
      <c r="P166" s="1">
        <f ca="1">IFERROR(__xludf.DUMMYFUNCTION("""COMPUTED_VALUE"""),105.3)</f>
        <v>105.3</v>
      </c>
      <c r="Q166" s="1">
        <f ca="1">IFERROR(__xludf.DUMMYFUNCTION("""COMPUTED_VALUE"""),88)</f>
        <v>88</v>
      </c>
      <c r="R166" s="1">
        <f ca="1">IFERROR(__xludf.DUMMYFUNCTION("""COMPUTED_VALUE"""),101.7)</f>
        <v>101.7</v>
      </c>
      <c r="S166" s="1">
        <f ca="1">IFERROR(__xludf.DUMMYFUNCTION("""COMPUTED_VALUE"""),90)</f>
        <v>90</v>
      </c>
      <c r="T166" s="1" t="str">
        <f ca="1">IFERROR(__xludf.DUMMYFUNCTION("""COMPUTED_VALUE"""),"+4.25")</f>
        <v>+4.25</v>
      </c>
      <c r="U166" s="1">
        <f ca="1">IFERROR(__xludf.DUMMYFUNCTION("""COMPUTED_VALUE"""),55)</f>
        <v>55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IFERROR(__xludf.DUMMYFUNCTION("""COMPUTED_VALUE"""),"Oregon St.")</f>
        <v>Oregon St.</v>
      </c>
      <c r="C167" s="1" t="str">
        <f ca="1">IFERROR(__xludf.DUMMYFUNCTION("""COMPUTED_VALUE"""),"P10")</f>
        <v>P10</v>
      </c>
      <c r="D167" s="2">
        <f ca="1">IFERROR(__xludf.DUMMYFUNCTION("""COMPUTED_VALUE"""),44885)</f>
        <v>44885</v>
      </c>
      <c r="E167" s="1" t="str">
        <f ca="1">IFERROR(__xludf.DUMMYFUNCTION("""COMPUTED_VALUE"""),"+0.45")</f>
        <v>+0.45</v>
      </c>
      <c r="F167" s="1">
        <f ca="1">IFERROR(__xludf.DUMMYFUNCTION("""COMPUTED_VALUE"""),102.8)</f>
        <v>102.8</v>
      </c>
      <c r="G167" s="1">
        <f ca="1">IFERROR(__xludf.DUMMYFUNCTION("""COMPUTED_VALUE"""),184)</f>
        <v>184</v>
      </c>
      <c r="H167" s="1">
        <f ca="1">IFERROR(__xludf.DUMMYFUNCTION("""COMPUTED_VALUE"""),102.3)</f>
        <v>102.3</v>
      </c>
      <c r="I167" s="1">
        <f ca="1">IFERROR(__xludf.DUMMYFUNCTION("""COMPUTED_VALUE"""),139)</f>
        <v>139</v>
      </c>
      <c r="J167" s="1">
        <f ca="1">IFERROR(__xludf.DUMMYFUNCTION("""COMPUTED_VALUE"""),69.1)</f>
        <v>69.099999999999994</v>
      </c>
      <c r="K167" s="1">
        <f ca="1">IFERROR(__xludf.DUMMYFUNCTION("""COMPUTED_VALUE"""),33)</f>
        <v>33</v>
      </c>
      <c r="L167" s="1">
        <f ca="1">IFERROR(__xludf.DUMMYFUNCTION("""COMPUTED_VALUE"""),-0.044)</f>
        <v>-4.3999999999999997E-2</v>
      </c>
      <c r="M167" s="1">
        <f ca="1">IFERROR(__xludf.DUMMYFUNCTION("""COMPUTED_VALUE"""),286)</f>
        <v>286</v>
      </c>
      <c r="N167" s="1" t="str">
        <f ca="1">IFERROR(__xludf.DUMMYFUNCTION("""COMPUTED_VALUE"""),"+4.69")</f>
        <v>+4.69</v>
      </c>
      <c r="O167" s="1">
        <f ca="1">IFERROR(__xludf.DUMMYFUNCTION("""COMPUTED_VALUE"""),72)</f>
        <v>72</v>
      </c>
      <c r="P167" s="1">
        <f ca="1">IFERROR(__xludf.DUMMYFUNCTION("""COMPUTED_VALUE"""),105.5)</f>
        <v>105.5</v>
      </c>
      <c r="Q167" s="1">
        <f ca="1">IFERROR(__xludf.DUMMYFUNCTION("""COMPUTED_VALUE"""),84)</f>
        <v>84</v>
      </c>
      <c r="R167" s="1">
        <f ca="1">IFERROR(__xludf.DUMMYFUNCTION("""COMPUTED_VALUE"""),100.8)</f>
        <v>100.8</v>
      </c>
      <c r="S167" s="1">
        <f ca="1">IFERROR(__xludf.DUMMYFUNCTION("""COMPUTED_VALUE"""),69)</f>
        <v>69</v>
      </c>
      <c r="T167" s="1">
        <f ca="1">IFERROR(__xludf.DUMMYFUNCTION("""COMPUTED_VALUE"""),-10.09)</f>
        <v>-10.09</v>
      </c>
      <c r="U167" s="1">
        <f ca="1">IFERROR(__xludf.DUMMYFUNCTION("""COMPUTED_VALUE"""),337)</f>
        <v>337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IFERROR(__xludf.DUMMYFUNCTION("""COMPUTED_VALUE"""),"Nevada")</f>
        <v>Nevada</v>
      </c>
      <c r="C168" s="1" t="str">
        <f ca="1">IFERROR(__xludf.DUMMYFUNCTION("""COMPUTED_VALUE"""),"WAC")</f>
        <v>WAC</v>
      </c>
      <c r="D168" s="1" t="str">
        <f ca="1">IFERROR(__xludf.DUMMYFUNCTION("""COMPUTED_VALUE"""),"13-19")</f>
        <v>13-19</v>
      </c>
      <c r="E168" s="1" t="str">
        <f ca="1">IFERROR(__xludf.DUMMYFUNCTION("""COMPUTED_VALUE"""),"+0.44")</f>
        <v>+0.44</v>
      </c>
      <c r="F168" s="1">
        <f ca="1">IFERROR(__xludf.DUMMYFUNCTION("""COMPUTED_VALUE"""),104.3)</f>
        <v>104.3</v>
      </c>
      <c r="G168" s="1">
        <f ca="1">IFERROR(__xludf.DUMMYFUNCTION("""COMPUTED_VALUE"""),151)</f>
        <v>151</v>
      </c>
      <c r="H168" s="1">
        <f ca="1">IFERROR(__xludf.DUMMYFUNCTION("""COMPUTED_VALUE"""),103.9)</f>
        <v>103.9</v>
      </c>
      <c r="I168" s="1">
        <f ca="1">IFERROR(__xludf.DUMMYFUNCTION("""COMPUTED_VALUE"""),185)</f>
        <v>185</v>
      </c>
      <c r="J168" s="1">
        <f ca="1">IFERROR(__xludf.DUMMYFUNCTION("""COMPUTED_VALUE"""),66.8)</f>
        <v>66.8</v>
      </c>
      <c r="K168" s="1">
        <f ca="1">IFERROR(__xludf.DUMMYFUNCTION("""COMPUTED_VALUE"""),94)</f>
        <v>94</v>
      </c>
      <c r="L168" s="1">
        <f ca="1">IFERROR(__xludf.DUMMYFUNCTION("""COMPUTED_VALUE"""),-0.05)</f>
        <v>-0.05</v>
      </c>
      <c r="M168" s="1">
        <f ca="1">IFERROR(__xludf.DUMMYFUNCTION("""COMPUTED_VALUE"""),297)</f>
        <v>297</v>
      </c>
      <c r="N168" s="1" t="str">
        <f ca="1">IFERROR(__xludf.DUMMYFUNCTION("""COMPUTED_VALUE"""),"+1.65")</f>
        <v>+1.65</v>
      </c>
      <c r="O168" s="1">
        <f ca="1">IFERROR(__xludf.DUMMYFUNCTION("""COMPUTED_VALUE"""),115)</f>
        <v>115</v>
      </c>
      <c r="P168" s="1">
        <f ca="1">IFERROR(__xludf.DUMMYFUNCTION("""COMPUTED_VALUE"""),104.6)</f>
        <v>104.6</v>
      </c>
      <c r="Q168" s="1">
        <f ca="1">IFERROR(__xludf.DUMMYFUNCTION("""COMPUTED_VALUE"""),106)</f>
        <v>106</v>
      </c>
      <c r="R168" s="1">
        <f ca="1">IFERROR(__xludf.DUMMYFUNCTION("""COMPUTED_VALUE"""),103)</f>
        <v>103</v>
      </c>
      <c r="S168" s="1">
        <f ca="1">IFERROR(__xludf.DUMMYFUNCTION("""COMPUTED_VALUE"""),136)</f>
        <v>136</v>
      </c>
      <c r="T168" s="1" t="str">
        <f ca="1">IFERROR(__xludf.DUMMYFUNCTION("""COMPUTED_VALUE"""),"+1.68")</f>
        <v>+1.68</v>
      </c>
      <c r="U168" s="1">
        <f ca="1">IFERROR(__xludf.DUMMYFUNCTION("""COMPUTED_VALUE"""),106)</f>
        <v>106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IFERROR(__xludf.DUMMYFUNCTION("""COMPUTED_VALUE"""),"SMU")</f>
        <v>SMU</v>
      </c>
      <c r="C171" s="1" t="str">
        <f ca="1">IFERROR(__xludf.DUMMYFUNCTION("""COMPUTED_VALUE"""),"CUSA")</f>
        <v>CUSA</v>
      </c>
      <c r="D171" s="1" t="str">
        <f ca="1">IFERROR(__xludf.DUMMYFUNCTION("""COMPUTED_VALUE"""),"20-15")</f>
        <v>20-15</v>
      </c>
      <c r="E171" s="1" t="str">
        <f ca="1">IFERROR(__xludf.DUMMYFUNCTION("""COMPUTED_VALUE"""),"+0.42")</f>
        <v>+0.42</v>
      </c>
      <c r="F171" s="1">
        <f ca="1">IFERROR(__xludf.DUMMYFUNCTION("""COMPUTED_VALUE"""),103.5)</f>
        <v>103.5</v>
      </c>
      <c r="G171" s="1">
        <f ca="1">IFERROR(__xludf.DUMMYFUNCTION("""COMPUTED_VALUE"""),168)</f>
        <v>168</v>
      </c>
      <c r="H171" s="1">
        <f ca="1">IFERROR(__xludf.DUMMYFUNCTION("""COMPUTED_VALUE"""),103.1)</f>
        <v>103.1</v>
      </c>
      <c r="I171" s="1">
        <f ca="1">IFERROR(__xludf.DUMMYFUNCTION("""COMPUTED_VALUE"""),161)</f>
        <v>161</v>
      </c>
      <c r="J171" s="1">
        <f ca="1">IFERROR(__xludf.DUMMYFUNCTION("""COMPUTED_VALUE"""),59.5)</f>
        <v>59.5</v>
      </c>
      <c r="K171" s="1">
        <f ca="1">IFERROR(__xludf.DUMMYFUNCTION("""COMPUTED_VALUE"""),336)</f>
        <v>336</v>
      </c>
      <c r="L171" s="1">
        <f ca="1">IFERROR(__xludf.DUMMYFUNCTION("""COMPUTED_VALUE"""),-0.019)</f>
        <v>-1.9E-2</v>
      </c>
      <c r="M171" s="1">
        <f ca="1">IFERROR(__xludf.DUMMYFUNCTION("""COMPUTED_VALUE"""),228)</f>
        <v>228</v>
      </c>
      <c r="N171" s="1">
        <f ca="1">IFERROR(__xludf.DUMMYFUNCTION("""COMPUTED_VALUE"""),-2.79)</f>
        <v>-2.79</v>
      </c>
      <c r="O171" s="1">
        <f ca="1">IFERROR(__xludf.DUMMYFUNCTION("""COMPUTED_VALUE"""),224)</f>
        <v>224</v>
      </c>
      <c r="P171" s="1">
        <f ca="1">IFERROR(__xludf.DUMMYFUNCTION("""COMPUTED_VALUE"""),102)</f>
        <v>102</v>
      </c>
      <c r="Q171" s="1">
        <f ca="1">IFERROR(__xludf.DUMMYFUNCTION("""COMPUTED_VALUE"""),220)</f>
        <v>220</v>
      </c>
      <c r="R171" s="1">
        <f ca="1">IFERROR(__xludf.DUMMYFUNCTION("""COMPUTED_VALUE"""),104.8)</f>
        <v>104.8</v>
      </c>
      <c r="S171" s="1">
        <f ca="1">IFERROR(__xludf.DUMMYFUNCTION("""COMPUTED_VALUE"""),225)</f>
        <v>225</v>
      </c>
      <c r="T171" s="1">
        <f ca="1">IFERROR(__xludf.DUMMYFUNCTION("""COMPUTED_VALUE"""),-13.65)</f>
        <v>-13.65</v>
      </c>
      <c r="U171" s="1">
        <f ca="1">IFERROR(__xludf.DUMMYFUNCTION("""COMPUTED_VALUE"""),345)</f>
        <v>345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IFERROR(__xludf.DUMMYFUNCTION("""COMPUTED_VALUE"""),"North Dakota St.")</f>
        <v>North Dakota St.</v>
      </c>
      <c r="C172" s="1" t="str">
        <f ca="1">IFERROR(__xludf.DUMMYFUNCTION("""COMPUTED_VALUE"""),"Sum")</f>
        <v>Sum</v>
      </c>
      <c r="D172" s="1" t="str">
        <f ca="1">IFERROR(__xludf.DUMMYFUNCTION("""COMPUTED_VALUE"""),"14-15")</f>
        <v>14-15</v>
      </c>
      <c r="E172" s="1" t="str">
        <f ca="1">IFERROR(__xludf.DUMMYFUNCTION("""COMPUTED_VALUE"""),"+0.40")</f>
        <v>+0.40</v>
      </c>
      <c r="F172" s="1">
        <f ca="1">IFERROR(__xludf.DUMMYFUNCTION("""COMPUTED_VALUE"""),104.8)</f>
        <v>104.8</v>
      </c>
      <c r="G172" s="1">
        <f ca="1">IFERROR(__xludf.DUMMYFUNCTION("""COMPUTED_VALUE"""),136)</f>
        <v>136</v>
      </c>
      <c r="H172" s="1">
        <f ca="1">IFERROR(__xludf.DUMMYFUNCTION("""COMPUTED_VALUE"""),104.4)</f>
        <v>104.4</v>
      </c>
      <c r="I172" s="1">
        <f ca="1">IFERROR(__xludf.DUMMYFUNCTION("""COMPUTED_VALUE"""),197)</f>
        <v>197</v>
      </c>
      <c r="J172" s="1">
        <f ca="1">IFERROR(__xludf.DUMMYFUNCTION("""COMPUTED_VALUE"""),67)</f>
        <v>67</v>
      </c>
      <c r="K172" s="1">
        <f ca="1">IFERROR(__xludf.DUMMYFUNCTION("""COMPUTED_VALUE"""),81)</f>
        <v>81</v>
      </c>
      <c r="L172" s="1">
        <f ca="1">IFERROR(__xludf.DUMMYFUNCTION("""COMPUTED_VALUE"""),-0.133)</f>
        <v>-0.13300000000000001</v>
      </c>
      <c r="M172" s="1">
        <f ca="1">IFERROR(__xludf.DUMMYFUNCTION("""COMPUTED_VALUE"""),342)</f>
        <v>342</v>
      </c>
      <c r="N172" s="1">
        <f ca="1">IFERROR(__xludf.DUMMYFUNCTION("""COMPUTED_VALUE"""),-2.73)</f>
        <v>-2.73</v>
      </c>
      <c r="O172" s="1">
        <f ca="1">IFERROR(__xludf.DUMMYFUNCTION("""COMPUTED_VALUE"""),220)</f>
        <v>220</v>
      </c>
      <c r="P172" s="1">
        <f ca="1">IFERROR(__xludf.DUMMYFUNCTION("""COMPUTED_VALUE"""),104.1)</f>
        <v>104.1</v>
      </c>
      <c r="Q172" s="1">
        <f ca="1">IFERROR(__xludf.DUMMYFUNCTION("""COMPUTED_VALUE"""),129)</f>
        <v>129</v>
      </c>
      <c r="R172" s="1">
        <f ca="1">IFERROR(__xludf.DUMMYFUNCTION("""COMPUTED_VALUE"""),106.8)</f>
        <v>106.8</v>
      </c>
      <c r="S172" s="1">
        <f ca="1">IFERROR(__xludf.DUMMYFUNCTION("""COMPUTED_VALUE"""),325)</f>
        <v>325</v>
      </c>
      <c r="T172" s="1" t="str">
        <f ca="1">IFERROR(__xludf.DUMMYFUNCTION("""COMPUTED_VALUE"""),"+0.80")</f>
        <v>+0.80</v>
      </c>
      <c r="U172" s="1">
        <f ca="1">IFERROR(__xludf.DUMMYFUNCTION("""COMPUTED_VALUE"""),130)</f>
        <v>130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IFERROR(__xludf.DUMMYFUNCTION("""COMPUTED_VALUE"""),"Hawaii")</f>
        <v>Hawaii</v>
      </c>
      <c r="C173" s="1" t="str">
        <f ca="1">IFERROR(__xludf.DUMMYFUNCTION("""COMPUTED_VALUE"""),"WAC")</f>
        <v>WAC</v>
      </c>
      <c r="D173" s="1" t="str">
        <f ca="1">IFERROR(__xludf.DUMMYFUNCTION("""COMPUTED_VALUE"""),"19-13")</f>
        <v>19-13</v>
      </c>
      <c r="E173" s="1" t="str">
        <f ca="1">IFERROR(__xludf.DUMMYFUNCTION("""COMPUTED_VALUE"""),"+0.40")</f>
        <v>+0.40</v>
      </c>
      <c r="F173" s="1">
        <f ca="1">IFERROR(__xludf.DUMMYFUNCTION("""COMPUTED_VALUE"""),100.6)</f>
        <v>100.6</v>
      </c>
      <c r="G173" s="1">
        <f ca="1">IFERROR(__xludf.DUMMYFUNCTION("""COMPUTED_VALUE"""),221)</f>
        <v>221</v>
      </c>
      <c r="H173" s="1">
        <f ca="1">IFERROR(__xludf.DUMMYFUNCTION("""COMPUTED_VALUE"""),100.2)</f>
        <v>100.2</v>
      </c>
      <c r="I173" s="1">
        <f ca="1">IFERROR(__xludf.DUMMYFUNCTION("""COMPUTED_VALUE"""),107)</f>
        <v>107</v>
      </c>
      <c r="J173" s="1">
        <f ca="1">IFERROR(__xludf.DUMMYFUNCTION("""COMPUTED_VALUE"""),66.9)</f>
        <v>66.900000000000006</v>
      </c>
      <c r="K173" s="1">
        <f ca="1">IFERROR(__xludf.DUMMYFUNCTION("""COMPUTED_VALUE"""),82)</f>
        <v>82</v>
      </c>
      <c r="L173" s="1" t="str">
        <f ca="1">IFERROR(__xludf.DUMMYFUNCTION("""COMPUTED_VALUE"""),"+.043")</f>
        <v>+.043</v>
      </c>
      <c r="M173" s="1">
        <f ca="1">IFERROR(__xludf.DUMMYFUNCTION("""COMPUTED_VALUE"""),72)</f>
        <v>72</v>
      </c>
      <c r="N173" s="1">
        <f ca="1">IFERROR(__xludf.DUMMYFUNCTION("""COMPUTED_VALUE"""),-2.2)</f>
        <v>-2.2000000000000002</v>
      </c>
      <c r="O173" s="1">
        <f ca="1">IFERROR(__xludf.DUMMYFUNCTION("""COMPUTED_VALUE"""),206)</f>
        <v>206</v>
      </c>
      <c r="P173" s="1">
        <f ca="1">IFERROR(__xludf.DUMMYFUNCTION("""COMPUTED_VALUE"""),102.1)</f>
        <v>102.1</v>
      </c>
      <c r="Q173" s="1">
        <f ca="1">IFERROR(__xludf.DUMMYFUNCTION("""COMPUTED_VALUE"""),219)</f>
        <v>219</v>
      </c>
      <c r="R173" s="1">
        <f ca="1">IFERROR(__xludf.DUMMYFUNCTION("""COMPUTED_VALUE"""),104.3)</f>
        <v>104.3</v>
      </c>
      <c r="S173" s="1">
        <f ca="1">IFERROR(__xludf.DUMMYFUNCTION("""COMPUTED_VALUE"""),193)</f>
        <v>193</v>
      </c>
      <c r="T173" s="1">
        <f ca="1">IFERROR(__xludf.DUMMYFUNCTION("""COMPUTED_VALUE"""),-9.27)</f>
        <v>-9.27</v>
      </c>
      <c r="U173" s="1">
        <f ca="1">IFERROR(__xludf.DUMMYFUNCTION("""COMPUTED_VALUE"""),333)</f>
        <v>333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IFERROR(__xludf.DUMMYFUNCTION("""COMPUTED_VALUE"""),"Ball St.")</f>
        <v>Ball St.</v>
      </c>
      <c r="C174" s="1" t="str">
        <f ca="1">IFERROR(__xludf.DUMMYFUNCTION("""COMPUTED_VALUE"""),"MAC")</f>
        <v>MAC</v>
      </c>
      <c r="D174" s="1" t="str">
        <f ca="1">IFERROR(__xludf.DUMMYFUNCTION("""COMPUTED_VALUE"""),"19-13")</f>
        <v>19-13</v>
      </c>
      <c r="E174" s="1" t="str">
        <f ca="1">IFERROR(__xludf.DUMMYFUNCTION("""COMPUTED_VALUE"""),"+0.03")</f>
        <v>+0.03</v>
      </c>
      <c r="F174" s="1">
        <f ca="1">IFERROR(__xludf.DUMMYFUNCTION("""COMPUTED_VALUE"""),103.4)</f>
        <v>103.4</v>
      </c>
      <c r="G174" s="1">
        <f ca="1">IFERROR(__xludf.DUMMYFUNCTION("""COMPUTED_VALUE"""),171)</f>
        <v>171</v>
      </c>
      <c r="H174" s="1">
        <f ca="1">IFERROR(__xludf.DUMMYFUNCTION("""COMPUTED_VALUE"""),103.3)</f>
        <v>103.3</v>
      </c>
      <c r="I174" s="1">
        <f ca="1">IFERROR(__xludf.DUMMYFUNCTION("""COMPUTED_VALUE"""),167)</f>
        <v>167</v>
      </c>
      <c r="J174" s="1">
        <f ca="1">IFERROR(__xludf.DUMMYFUNCTION("""COMPUTED_VALUE"""),63.6)</f>
        <v>63.6</v>
      </c>
      <c r="K174" s="1">
        <f ca="1">IFERROR(__xludf.DUMMYFUNCTION("""COMPUTED_VALUE"""),260)</f>
        <v>260</v>
      </c>
      <c r="L174" s="1" t="str">
        <f ca="1">IFERROR(__xludf.DUMMYFUNCTION("""COMPUTED_VALUE"""),"+.028")</f>
        <v>+.028</v>
      </c>
      <c r="M174" s="1">
        <f ca="1">IFERROR(__xludf.DUMMYFUNCTION("""COMPUTED_VALUE"""),111)</f>
        <v>111</v>
      </c>
      <c r="N174" s="1">
        <f ca="1">IFERROR(__xludf.DUMMYFUNCTION("""COMPUTED_VALUE"""),-4.02)</f>
        <v>-4.0199999999999996</v>
      </c>
      <c r="O174" s="1">
        <f ca="1">IFERROR(__xludf.DUMMYFUNCTION("""COMPUTED_VALUE"""),255)</f>
        <v>255</v>
      </c>
      <c r="P174" s="1">
        <f ca="1">IFERROR(__xludf.DUMMYFUNCTION("""COMPUTED_VALUE"""),100.4)</f>
        <v>100.4</v>
      </c>
      <c r="Q174" s="1">
        <f ca="1">IFERROR(__xludf.DUMMYFUNCTION("""COMPUTED_VALUE"""),285)</f>
        <v>285</v>
      </c>
      <c r="R174" s="1">
        <f ca="1">IFERROR(__xludf.DUMMYFUNCTION("""COMPUTED_VALUE"""),104.4)</f>
        <v>104.4</v>
      </c>
      <c r="S174" s="1">
        <f ca="1">IFERROR(__xludf.DUMMYFUNCTION("""COMPUTED_VALUE"""),202)</f>
        <v>202</v>
      </c>
      <c r="T174" s="1">
        <f ca="1">IFERROR(__xludf.DUMMYFUNCTION("""COMPUTED_VALUE"""),-1.79)</f>
        <v>-1.79</v>
      </c>
      <c r="U174" s="1">
        <f ca="1">IFERROR(__xludf.DUMMYFUNCTION("""COMPUTED_VALUE"""),203)</f>
        <v>203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IFERROR(__xludf.DUMMYFUNCTION("""COMPUTED_VALUE"""),"Quinnipiac")</f>
        <v>Quinnipiac</v>
      </c>
      <c r="C175" s="1" t="str">
        <f ca="1">IFERROR(__xludf.DUMMYFUNCTION("""COMPUTED_VALUE"""),"NEC")</f>
        <v>NEC</v>
      </c>
      <c r="D175" s="1" t="str">
        <f ca="1">IFERROR(__xludf.DUMMYFUNCTION("""COMPUTED_VALUE"""),"22-10")</f>
        <v>22-10</v>
      </c>
      <c r="E175" s="1" t="str">
        <f ca="1">IFERROR(__xludf.DUMMYFUNCTION("""COMPUTED_VALUE"""),"+0.00")</f>
        <v>+0.00</v>
      </c>
      <c r="F175" s="1">
        <f ca="1">IFERROR(__xludf.DUMMYFUNCTION("""COMPUTED_VALUE"""),104.4)</f>
        <v>104.4</v>
      </c>
      <c r="G175" s="1">
        <f ca="1">IFERROR(__xludf.DUMMYFUNCTION("""COMPUTED_VALUE"""),149)</f>
        <v>149</v>
      </c>
      <c r="H175" s="1">
        <f ca="1">IFERROR(__xludf.DUMMYFUNCTION("""COMPUTED_VALUE"""),104.4)</f>
        <v>104.4</v>
      </c>
      <c r="I175" s="1">
        <f ca="1">IFERROR(__xludf.DUMMYFUNCTION("""COMPUTED_VALUE"""),195)</f>
        <v>195</v>
      </c>
      <c r="J175" s="1">
        <f ca="1">IFERROR(__xludf.DUMMYFUNCTION("""COMPUTED_VALUE"""),67.1)</f>
        <v>67.099999999999994</v>
      </c>
      <c r="K175" s="1">
        <f ca="1">IFERROR(__xludf.DUMMYFUNCTION("""COMPUTED_VALUE"""),78)</f>
        <v>78</v>
      </c>
      <c r="L175" s="1" t="str">
        <f ca="1">IFERROR(__xludf.DUMMYFUNCTION("""COMPUTED_VALUE"""),"+.004")</f>
        <v>+.004</v>
      </c>
      <c r="M175" s="1">
        <f ca="1">IFERROR(__xludf.DUMMYFUNCTION("""COMPUTED_VALUE"""),169)</f>
        <v>169</v>
      </c>
      <c r="N175" s="1">
        <f ca="1">IFERROR(__xludf.DUMMYFUNCTION("""COMPUTED_VALUE"""),-7.16)</f>
        <v>-7.16</v>
      </c>
      <c r="O175" s="1">
        <f ca="1">IFERROR(__xludf.DUMMYFUNCTION("""COMPUTED_VALUE"""),314)</f>
        <v>314</v>
      </c>
      <c r="P175" s="1">
        <f ca="1">IFERROR(__xludf.DUMMYFUNCTION("""COMPUTED_VALUE"""),98.5)</f>
        <v>98.5</v>
      </c>
      <c r="Q175" s="1">
        <f ca="1">IFERROR(__xludf.DUMMYFUNCTION("""COMPUTED_VALUE"""),320)</f>
        <v>320</v>
      </c>
      <c r="R175" s="1">
        <f ca="1">IFERROR(__xludf.DUMMYFUNCTION("""COMPUTED_VALUE"""),105.7)</f>
        <v>105.7</v>
      </c>
      <c r="S175" s="1">
        <f ca="1">IFERROR(__xludf.DUMMYFUNCTION("""COMPUTED_VALUE"""),274)</f>
        <v>274</v>
      </c>
      <c r="T175" s="1">
        <f ca="1">IFERROR(__xludf.DUMMYFUNCTION("""COMPUTED_VALUE"""),-6.25)</f>
        <v>-6.25</v>
      </c>
      <c r="U175" s="1">
        <f ca="1">IFERROR(__xludf.DUMMYFUNCTION("""COMPUTED_VALUE"""),313)</f>
        <v>313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IFERROR(__xludf.DUMMYFUNCTION("""COMPUTED_VALUE"""),"Western Michigan")</f>
        <v>Western Michigan</v>
      </c>
      <c r="C176" s="1" t="str">
        <f ca="1">IFERROR(__xludf.DUMMYFUNCTION("""COMPUTED_VALUE"""),"MAC")</f>
        <v>MAC</v>
      </c>
      <c r="D176" s="1" t="str">
        <f ca="1">IFERROR(__xludf.DUMMYFUNCTION("""COMPUTED_VALUE"""),"21-13")</f>
        <v>21-13</v>
      </c>
      <c r="E176" s="1">
        <f ca="1">IFERROR(__xludf.DUMMYFUNCTION("""COMPUTED_VALUE"""),-0.12)</f>
        <v>-0.12</v>
      </c>
      <c r="F176" s="1">
        <f ca="1">IFERROR(__xludf.DUMMYFUNCTION("""COMPUTED_VALUE"""),104)</f>
        <v>104</v>
      </c>
      <c r="G176" s="1">
        <f ca="1">IFERROR(__xludf.DUMMYFUNCTION("""COMPUTED_VALUE"""),158)</f>
        <v>158</v>
      </c>
      <c r="H176" s="1">
        <f ca="1">IFERROR(__xludf.DUMMYFUNCTION("""COMPUTED_VALUE"""),104.1)</f>
        <v>104.1</v>
      </c>
      <c r="I176" s="1">
        <f ca="1">IFERROR(__xludf.DUMMYFUNCTION("""COMPUTED_VALUE"""),188)</f>
        <v>188</v>
      </c>
      <c r="J176" s="1">
        <f ca="1">IFERROR(__xludf.DUMMYFUNCTION("""COMPUTED_VALUE"""),66.8)</f>
        <v>66.8</v>
      </c>
      <c r="K176" s="1">
        <f ca="1">IFERROR(__xludf.DUMMYFUNCTION("""COMPUTED_VALUE"""),91)</f>
        <v>91</v>
      </c>
      <c r="L176" s="1" t="str">
        <f ca="1">IFERROR(__xludf.DUMMYFUNCTION("""COMPUTED_VALUE"""),"+.043")</f>
        <v>+.043</v>
      </c>
      <c r="M176" s="1">
        <f ca="1">IFERROR(__xludf.DUMMYFUNCTION("""COMPUTED_VALUE"""),73)</f>
        <v>73</v>
      </c>
      <c r="N176" s="1">
        <f ca="1">IFERROR(__xludf.DUMMYFUNCTION("""COMPUTED_VALUE"""),-3.98)</f>
        <v>-3.98</v>
      </c>
      <c r="O176" s="1">
        <f ca="1">IFERROR(__xludf.DUMMYFUNCTION("""COMPUTED_VALUE"""),254)</f>
        <v>254</v>
      </c>
      <c r="P176" s="1">
        <f ca="1">IFERROR(__xludf.DUMMYFUNCTION("""COMPUTED_VALUE"""),100.6)</f>
        <v>100.6</v>
      </c>
      <c r="Q176" s="1">
        <f ca="1">IFERROR(__xludf.DUMMYFUNCTION("""COMPUTED_VALUE"""),276)</f>
        <v>276</v>
      </c>
      <c r="R176" s="1">
        <f ca="1">IFERROR(__xludf.DUMMYFUNCTION("""COMPUTED_VALUE"""),104.5)</f>
        <v>104.5</v>
      </c>
      <c r="S176" s="1">
        <f ca="1">IFERROR(__xludf.DUMMYFUNCTION("""COMPUTED_VALUE"""),210)</f>
        <v>210</v>
      </c>
      <c r="T176" s="1">
        <f ca="1">IFERROR(__xludf.DUMMYFUNCTION("""COMPUTED_VALUE"""),-0.65)</f>
        <v>-0.65</v>
      </c>
      <c r="U176" s="1">
        <f ca="1">IFERROR(__xludf.DUMMYFUNCTION("""COMPUTED_VALUE"""),174)</f>
        <v>174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IFERROR(__xludf.DUMMYFUNCTION("""COMPUTED_VALUE"""),"Cal Poly")</f>
        <v>Cal Poly</v>
      </c>
      <c r="C177" s="1" t="str">
        <f ca="1">IFERROR(__xludf.DUMMYFUNCTION("""COMPUTED_VALUE"""),"BW")</f>
        <v>BW</v>
      </c>
      <c r="D177" s="1" t="str">
        <f ca="1">IFERROR(__xludf.DUMMYFUNCTION("""COMPUTED_VALUE"""),"15-15")</f>
        <v>15-15</v>
      </c>
      <c r="E177" s="1">
        <f ca="1">IFERROR(__xludf.DUMMYFUNCTION("""COMPUTED_VALUE"""),-0.13)</f>
        <v>-0.13</v>
      </c>
      <c r="F177" s="1">
        <f ca="1">IFERROR(__xludf.DUMMYFUNCTION("""COMPUTED_VALUE"""),97.9)</f>
        <v>97.9</v>
      </c>
      <c r="G177" s="1">
        <f ca="1">IFERROR(__xludf.DUMMYFUNCTION("""COMPUTED_VALUE"""),265)</f>
        <v>265</v>
      </c>
      <c r="H177" s="1">
        <f ca="1">IFERROR(__xludf.DUMMYFUNCTION("""COMPUTED_VALUE"""),98)</f>
        <v>98</v>
      </c>
      <c r="I177" s="1">
        <f ca="1">IFERROR(__xludf.DUMMYFUNCTION("""COMPUTED_VALUE"""),70)</f>
        <v>70</v>
      </c>
      <c r="J177" s="1">
        <f ca="1">IFERROR(__xludf.DUMMYFUNCTION("""COMPUTED_VALUE"""),59.6)</f>
        <v>59.6</v>
      </c>
      <c r="K177" s="1">
        <f ca="1">IFERROR(__xludf.DUMMYFUNCTION("""COMPUTED_VALUE"""),335)</f>
        <v>335</v>
      </c>
      <c r="L177" s="1">
        <f ca="1">IFERROR(__xludf.DUMMYFUNCTION("""COMPUTED_VALUE"""),-0.001)</f>
        <v>-1E-3</v>
      </c>
      <c r="M177" s="1">
        <f ca="1">IFERROR(__xludf.DUMMYFUNCTION("""COMPUTED_VALUE"""),184)</f>
        <v>184</v>
      </c>
      <c r="N177" s="1">
        <f ca="1">IFERROR(__xludf.DUMMYFUNCTION("""COMPUTED_VALUE"""),-2.17)</f>
        <v>-2.17</v>
      </c>
      <c r="O177" s="1">
        <f ca="1">IFERROR(__xludf.DUMMYFUNCTION("""COMPUTED_VALUE"""),205)</f>
        <v>205</v>
      </c>
      <c r="P177" s="1">
        <f ca="1">IFERROR(__xludf.DUMMYFUNCTION("""COMPUTED_VALUE"""),102.8)</f>
        <v>102.8</v>
      </c>
      <c r="Q177" s="1">
        <f ca="1">IFERROR(__xludf.DUMMYFUNCTION("""COMPUTED_VALUE"""),186)</f>
        <v>186</v>
      </c>
      <c r="R177" s="1">
        <f ca="1">IFERROR(__xludf.DUMMYFUNCTION("""COMPUTED_VALUE"""),104.9)</f>
        <v>104.9</v>
      </c>
      <c r="S177" s="1">
        <f ca="1">IFERROR(__xludf.DUMMYFUNCTION("""COMPUTED_VALUE"""),230)</f>
        <v>230</v>
      </c>
      <c r="T177" s="1" t="str">
        <f ca="1">IFERROR(__xludf.DUMMYFUNCTION("""COMPUTED_VALUE"""),"+0.78")</f>
        <v>+0.78</v>
      </c>
      <c r="U177" s="1">
        <f ca="1">IFERROR(__xludf.DUMMYFUNCTION("""COMPUTED_VALUE"""),132)</f>
        <v>132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IFERROR(__xludf.DUMMYFUNCTION("""COMPUTED_VALUE"""),"Evansville")</f>
        <v>Evansville</v>
      </c>
      <c r="C178" s="1" t="str">
        <f ca="1">IFERROR(__xludf.DUMMYFUNCTION("""COMPUTED_VALUE"""),"MVC")</f>
        <v>MVC</v>
      </c>
      <c r="D178" s="1" t="str">
        <f ca="1">IFERROR(__xludf.DUMMYFUNCTION("""COMPUTED_VALUE"""),"16-16")</f>
        <v>16-16</v>
      </c>
      <c r="E178" s="1">
        <f ca="1">IFERROR(__xludf.DUMMYFUNCTION("""COMPUTED_VALUE"""),-0.15)</f>
        <v>-0.15</v>
      </c>
      <c r="F178" s="1">
        <f ca="1">IFERROR(__xludf.DUMMYFUNCTION("""COMPUTED_VALUE"""),101.9)</f>
        <v>101.9</v>
      </c>
      <c r="G178" s="1">
        <f ca="1">IFERROR(__xludf.DUMMYFUNCTION("""COMPUTED_VALUE"""),198)</f>
        <v>198</v>
      </c>
      <c r="H178" s="1">
        <f ca="1">IFERROR(__xludf.DUMMYFUNCTION("""COMPUTED_VALUE"""),102.1)</f>
        <v>102.1</v>
      </c>
      <c r="I178" s="1">
        <f ca="1">IFERROR(__xludf.DUMMYFUNCTION("""COMPUTED_VALUE"""),135)</f>
        <v>135</v>
      </c>
      <c r="J178" s="1">
        <f ca="1">IFERROR(__xludf.DUMMYFUNCTION("""COMPUTED_VALUE"""),66.2)</f>
        <v>66.2</v>
      </c>
      <c r="K178" s="1">
        <f ca="1">IFERROR(__xludf.DUMMYFUNCTION("""COMPUTED_VALUE"""),121)</f>
        <v>121</v>
      </c>
      <c r="L178" s="1" t="str">
        <f ca="1">IFERROR(__xludf.DUMMYFUNCTION("""COMPUTED_VALUE"""),"+.044")</f>
        <v>+.044</v>
      </c>
      <c r="M178" s="1">
        <f ca="1">IFERROR(__xludf.DUMMYFUNCTION("""COMPUTED_VALUE"""),68)</f>
        <v>68</v>
      </c>
      <c r="N178" s="1" t="str">
        <f ca="1">IFERROR(__xludf.DUMMYFUNCTION("""COMPUTED_VALUE"""),"+2.34")</f>
        <v>+2.34</v>
      </c>
      <c r="O178" s="1">
        <f ca="1">IFERROR(__xludf.DUMMYFUNCTION("""COMPUTED_VALUE"""),101)</f>
        <v>101</v>
      </c>
      <c r="P178" s="1">
        <f ca="1">IFERROR(__xludf.DUMMYFUNCTION("""COMPUTED_VALUE"""),104.5)</f>
        <v>104.5</v>
      </c>
      <c r="Q178" s="1">
        <f ca="1">IFERROR(__xludf.DUMMYFUNCTION("""COMPUTED_VALUE"""),110)</f>
        <v>110</v>
      </c>
      <c r="R178" s="1">
        <f ca="1">IFERROR(__xludf.DUMMYFUNCTION("""COMPUTED_VALUE"""),102.2)</f>
        <v>102.2</v>
      </c>
      <c r="S178" s="1">
        <f ca="1">IFERROR(__xludf.DUMMYFUNCTION("""COMPUTED_VALUE"""),102)</f>
        <v>102</v>
      </c>
      <c r="T178" s="1" t="str">
        <f ca="1">IFERROR(__xludf.DUMMYFUNCTION("""COMPUTED_VALUE"""),"+1.02")</f>
        <v>+1.02</v>
      </c>
      <c r="U178" s="1">
        <f ca="1">IFERROR(__xludf.DUMMYFUNCTION("""COMPUTED_VALUE"""),123)</f>
        <v>123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IFERROR(__xludf.DUMMYFUNCTION("""COMPUTED_VALUE"""),"Weber St.")</f>
        <v>Weber St.</v>
      </c>
      <c r="C179" s="1" t="str">
        <f ca="1">IFERROR(__xludf.DUMMYFUNCTION("""COMPUTED_VALUE"""),"BSky")</f>
        <v>BSky</v>
      </c>
      <c r="D179" s="1" t="str">
        <f ca="1">IFERROR(__xludf.DUMMYFUNCTION("""COMPUTED_VALUE"""),"18-14")</f>
        <v>18-14</v>
      </c>
      <c r="E179" s="1">
        <f ca="1">IFERROR(__xludf.DUMMYFUNCTION("""COMPUTED_VALUE"""),-0.21)</f>
        <v>-0.21</v>
      </c>
      <c r="F179" s="1">
        <f ca="1">IFERROR(__xludf.DUMMYFUNCTION("""COMPUTED_VALUE"""),104.1)</f>
        <v>104.1</v>
      </c>
      <c r="G179" s="1">
        <f ca="1">IFERROR(__xludf.DUMMYFUNCTION("""COMPUTED_VALUE"""),154)</f>
        <v>154</v>
      </c>
      <c r="H179" s="1">
        <f ca="1">IFERROR(__xludf.DUMMYFUNCTION("""COMPUTED_VALUE"""),104.4)</f>
        <v>104.4</v>
      </c>
      <c r="I179" s="1">
        <f ca="1">IFERROR(__xludf.DUMMYFUNCTION("""COMPUTED_VALUE"""),193)</f>
        <v>193</v>
      </c>
      <c r="J179" s="1">
        <f ca="1">IFERROR(__xludf.DUMMYFUNCTION("""COMPUTED_VALUE"""),64.4)</f>
        <v>64.400000000000006</v>
      </c>
      <c r="K179" s="1">
        <f ca="1">IFERROR(__xludf.DUMMYFUNCTION("""COMPUTED_VALUE"""),227)</f>
        <v>227</v>
      </c>
      <c r="L179" s="1" t="str">
        <f ca="1">IFERROR(__xludf.DUMMYFUNCTION("""COMPUTED_VALUE"""),"+.010")</f>
        <v>+.010</v>
      </c>
      <c r="M179" s="1">
        <f ca="1">IFERROR(__xludf.DUMMYFUNCTION("""COMPUTED_VALUE"""),150)</f>
        <v>150</v>
      </c>
      <c r="N179" s="1">
        <f ca="1">IFERROR(__xludf.DUMMYFUNCTION("""COMPUTED_VALUE"""),-1.3)</f>
        <v>-1.3</v>
      </c>
      <c r="O179" s="1">
        <f ca="1">IFERROR(__xludf.DUMMYFUNCTION("""COMPUTED_VALUE"""),177)</f>
        <v>177</v>
      </c>
      <c r="P179" s="1">
        <f ca="1">IFERROR(__xludf.DUMMYFUNCTION("""COMPUTED_VALUE"""),103)</f>
        <v>103</v>
      </c>
      <c r="Q179" s="1">
        <f ca="1">IFERROR(__xludf.DUMMYFUNCTION("""COMPUTED_VALUE"""),174)</f>
        <v>174</v>
      </c>
      <c r="R179" s="1">
        <f ca="1">IFERROR(__xludf.DUMMYFUNCTION("""COMPUTED_VALUE"""),104.3)</f>
        <v>104.3</v>
      </c>
      <c r="S179" s="1">
        <f ca="1">IFERROR(__xludf.DUMMYFUNCTION("""COMPUTED_VALUE"""),198)</f>
        <v>198</v>
      </c>
      <c r="T179" s="1" t="str">
        <f ca="1">IFERROR(__xludf.DUMMYFUNCTION("""COMPUTED_VALUE"""),"+6.42")</f>
        <v>+6.42</v>
      </c>
      <c r="U179" s="1">
        <f ca="1">IFERROR(__xludf.DUMMYFUNCTION("""COMPUTED_VALUE"""),28)</f>
        <v>28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IFERROR(__xludf.DUMMYFUNCTION("""COMPUTED_VALUE"""),"Boston University16")</f>
        <v>Boston University16</v>
      </c>
      <c r="C180" s="1" t="str">
        <f ca="1">IFERROR(__xludf.DUMMYFUNCTION("""COMPUTED_VALUE"""),"AE")</f>
        <v>AE</v>
      </c>
      <c r="D180" s="1" t="str">
        <f ca="1">IFERROR(__xludf.DUMMYFUNCTION("""COMPUTED_VALUE"""),"21-14")</f>
        <v>21-14</v>
      </c>
      <c r="E180" s="1">
        <f ca="1">IFERROR(__xludf.DUMMYFUNCTION("""COMPUTED_VALUE"""),-0.5)</f>
        <v>-0.5</v>
      </c>
      <c r="F180" s="1">
        <f ca="1">IFERROR(__xludf.DUMMYFUNCTION("""COMPUTED_VALUE"""),103.4)</f>
        <v>103.4</v>
      </c>
      <c r="G180" s="1">
        <f ca="1">IFERROR(__xludf.DUMMYFUNCTION("""COMPUTED_VALUE"""),169)</f>
        <v>169</v>
      </c>
      <c r="H180" s="1">
        <f ca="1">IFERROR(__xludf.DUMMYFUNCTION("""COMPUTED_VALUE"""),103.9)</f>
        <v>103.9</v>
      </c>
      <c r="I180" s="1">
        <f ca="1">IFERROR(__xludf.DUMMYFUNCTION("""COMPUTED_VALUE"""),186)</f>
        <v>186</v>
      </c>
      <c r="J180" s="1">
        <f ca="1">IFERROR(__xludf.DUMMYFUNCTION("""COMPUTED_VALUE"""),62.6)</f>
        <v>62.6</v>
      </c>
      <c r="K180" s="1">
        <f ca="1">IFERROR(__xludf.DUMMYFUNCTION("""COMPUTED_VALUE"""),291)</f>
        <v>291</v>
      </c>
      <c r="L180" s="1" t="str">
        <f ca="1">IFERROR(__xludf.DUMMYFUNCTION("""COMPUTED_VALUE"""),"+.045")</f>
        <v>+.045</v>
      </c>
      <c r="M180" s="1">
        <f ca="1">IFERROR(__xludf.DUMMYFUNCTION("""COMPUTED_VALUE"""),65)</f>
        <v>65</v>
      </c>
      <c r="N180" s="1">
        <f ca="1">IFERROR(__xludf.DUMMYFUNCTION("""COMPUTED_VALUE"""),-4.62)</f>
        <v>-4.62</v>
      </c>
      <c r="O180" s="1">
        <f ca="1">IFERROR(__xludf.DUMMYFUNCTION("""COMPUTED_VALUE"""),268)</f>
        <v>268</v>
      </c>
      <c r="P180" s="1">
        <f ca="1">IFERROR(__xludf.DUMMYFUNCTION("""COMPUTED_VALUE"""),100.5)</f>
        <v>100.5</v>
      </c>
      <c r="Q180" s="1">
        <f ca="1">IFERROR(__xludf.DUMMYFUNCTION("""COMPUTED_VALUE"""),282)</f>
        <v>282</v>
      </c>
      <c r="R180" s="1">
        <f ca="1">IFERROR(__xludf.DUMMYFUNCTION("""COMPUTED_VALUE"""),105.1)</f>
        <v>105.1</v>
      </c>
      <c r="S180" s="1">
        <f ca="1">IFERROR(__xludf.DUMMYFUNCTION("""COMPUTED_VALUE"""),234)</f>
        <v>234</v>
      </c>
      <c r="T180" s="1" t="str">
        <f ca="1">IFERROR(__xludf.DUMMYFUNCTION("""COMPUTED_VALUE"""),"+0.49")</f>
        <v>+0.49</v>
      </c>
      <c r="U180" s="1">
        <f ca="1">IFERROR(__xludf.DUMMYFUNCTION("""COMPUTED_VALUE"""),147)</f>
        <v>147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IFERROR(__xludf.DUMMYFUNCTION("""COMPUTED_VALUE"""),"TCU")</f>
        <v>TCU</v>
      </c>
      <c r="C181" s="1" t="str">
        <f ca="1">IFERROR(__xludf.DUMMYFUNCTION("""COMPUTED_VALUE"""),"MWC")</f>
        <v>MWC</v>
      </c>
      <c r="D181" s="2">
        <f ca="1">IFERROR(__xludf.DUMMYFUNCTION("""COMPUTED_VALUE"""),44887)</f>
        <v>44887</v>
      </c>
      <c r="E181" s="1">
        <f ca="1">IFERROR(__xludf.DUMMYFUNCTION("""COMPUTED_VALUE"""),-0.54)</f>
        <v>-0.54</v>
      </c>
      <c r="F181" s="1">
        <f ca="1">IFERROR(__xludf.DUMMYFUNCTION("""COMPUTED_VALUE"""),102.4)</f>
        <v>102.4</v>
      </c>
      <c r="G181" s="1">
        <f ca="1">IFERROR(__xludf.DUMMYFUNCTION("""COMPUTED_VALUE"""),188)</f>
        <v>188</v>
      </c>
      <c r="H181" s="1">
        <f ca="1">IFERROR(__xludf.DUMMYFUNCTION("""COMPUTED_VALUE"""),102.9)</f>
        <v>102.9</v>
      </c>
      <c r="I181" s="1">
        <f ca="1">IFERROR(__xludf.DUMMYFUNCTION("""COMPUTED_VALUE"""),158)</f>
        <v>158</v>
      </c>
      <c r="J181" s="1">
        <f ca="1">IFERROR(__xludf.DUMMYFUNCTION("""COMPUTED_VALUE"""),65.9)</f>
        <v>65.900000000000006</v>
      </c>
      <c r="K181" s="1">
        <f ca="1">IFERROR(__xludf.DUMMYFUNCTION("""COMPUTED_VALUE"""),142)</f>
        <v>142</v>
      </c>
      <c r="L181" s="1">
        <f ca="1">IFERROR(__xludf.DUMMYFUNCTION("""COMPUTED_VALUE"""),-0.075)</f>
        <v>-7.4999999999999997E-2</v>
      </c>
      <c r="M181" s="1">
        <f ca="1">IFERROR(__xludf.DUMMYFUNCTION("""COMPUTED_VALUE"""),323)</f>
        <v>323</v>
      </c>
      <c r="N181" s="1" t="str">
        <f ca="1">IFERROR(__xludf.DUMMYFUNCTION("""COMPUTED_VALUE"""),"+4.32")</f>
        <v>+4.32</v>
      </c>
      <c r="O181" s="1">
        <f ca="1">IFERROR(__xludf.DUMMYFUNCTION("""COMPUTED_VALUE"""),76)</f>
        <v>76</v>
      </c>
      <c r="P181" s="1">
        <f ca="1">IFERROR(__xludf.DUMMYFUNCTION("""COMPUTED_VALUE"""),105.3)</f>
        <v>105.3</v>
      </c>
      <c r="Q181" s="1">
        <f ca="1">IFERROR(__xludf.DUMMYFUNCTION("""COMPUTED_VALUE"""),87)</f>
        <v>87</v>
      </c>
      <c r="R181" s="1">
        <f ca="1">IFERROR(__xludf.DUMMYFUNCTION("""COMPUTED_VALUE"""),101)</f>
        <v>101</v>
      </c>
      <c r="S181" s="1">
        <f ca="1">IFERROR(__xludf.DUMMYFUNCTION("""COMPUTED_VALUE"""),73)</f>
        <v>73</v>
      </c>
      <c r="T181" s="1">
        <f ca="1">IFERROR(__xludf.DUMMYFUNCTION("""COMPUTED_VALUE"""),-3.55)</f>
        <v>-3.55</v>
      </c>
      <c r="U181" s="1">
        <f ca="1">IFERROR(__xludf.DUMMYFUNCTION("""COMPUTED_VALUE"""),249)</f>
        <v>249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IFERROR(__xludf.DUMMYFUNCTION("""COMPUTED_VALUE"""),"La Salle")</f>
        <v>La Salle</v>
      </c>
      <c r="C182" s="1" t="str">
        <f ca="1">IFERROR(__xludf.DUMMYFUNCTION("""COMPUTED_VALUE"""),"A10")</f>
        <v>A10</v>
      </c>
      <c r="D182" s="1" t="str">
        <f ca="1">IFERROR(__xludf.DUMMYFUNCTION("""COMPUTED_VALUE"""),"15-18")</f>
        <v>15-18</v>
      </c>
      <c r="E182" s="1">
        <f ca="1">IFERROR(__xludf.DUMMYFUNCTION("""COMPUTED_VALUE"""),-0.61)</f>
        <v>-0.61</v>
      </c>
      <c r="F182" s="1">
        <f ca="1">IFERROR(__xludf.DUMMYFUNCTION("""COMPUTED_VALUE"""),106.7)</f>
        <v>106.7</v>
      </c>
      <c r="G182" s="1">
        <f ca="1">IFERROR(__xludf.DUMMYFUNCTION("""COMPUTED_VALUE"""),105)</f>
        <v>105</v>
      </c>
      <c r="H182" s="1">
        <f ca="1">IFERROR(__xludf.DUMMYFUNCTION("""COMPUTED_VALUE"""),107.3)</f>
        <v>107.3</v>
      </c>
      <c r="I182" s="1">
        <f ca="1">IFERROR(__xludf.DUMMYFUNCTION("""COMPUTED_VALUE"""),253)</f>
        <v>253</v>
      </c>
      <c r="J182" s="1">
        <f ca="1">IFERROR(__xludf.DUMMYFUNCTION("""COMPUTED_VALUE"""),70.9)</f>
        <v>70.900000000000006</v>
      </c>
      <c r="K182" s="1">
        <f ca="1">IFERROR(__xludf.DUMMYFUNCTION("""COMPUTED_VALUE"""),12)</f>
        <v>12</v>
      </c>
      <c r="L182" s="1" t="str">
        <f ca="1">IFERROR(__xludf.DUMMYFUNCTION("""COMPUTED_VALUE"""),"+.009")</f>
        <v>+.009</v>
      </c>
      <c r="M182" s="1">
        <f ca="1">IFERROR(__xludf.DUMMYFUNCTION("""COMPUTED_VALUE"""),153)</f>
        <v>153</v>
      </c>
      <c r="N182" s="1" t="str">
        <f ca="1">IFERROR(__xludf.DUMMYFUNCTION("""COMPUTED_VALUE"""),"+1.21")</f>
        <v>+1.21</v>
      </c>
      <c r="O182" s="1">
        <f ca="1">IFERROR(__xludf.DUMMYFUNCTION("""COMPUTED_VALUE"""),127)</f>
        <v>127</v>
      </c>
      <c r="P182" s="1">
        <f ca="1">IFERROR(__xludf.DUMMYFUNCTION("""COMPUTED_VALUE"""),103.8)</f>
        <v>103.8</v>
      </c>
      <c r="Q182" s="1">
        <f ca="1">IFERROR(__xludf.DUMMYFUNCTION("""COMPUTED_VALUE"""),144)</f>
        <v>144</v>
      </c>
      <c r="R182" s="1">
        <f ca="1">IFERROR(__xludf.DUMMYFUNCTION("""COMPUTED_VALUE"""),102.6)</f>
        <v>102.6</v>
      </c>
      <c r="S182" s="1">
        <f ca="1">IFERROR(__xludf.DUMMYFUNCTION("""COMPUTED_VALUE"""),113)</f>
        <v>113</v>
      </c>
      <c r="T182" s="1">
        <f ca="1">IFERROR(__xludf.DUMMYFUNCTION("""COMPUTED_VALUE"""),-3.97)</f>
        <v>-3.97</v>
      </c>
      <c r="U182" s="1">
        <f ca="1">IFERROR(__xludf.DUMMYFUNCTION("""COMPUTED_VALUE"""),262)</f>
        <v>262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IFERROR(__xludf.DUMMYFUNCTION("""COMPUTED_VALUE"""),"American")</f>
        <v>American</v>
      </c>
      <c r="C183" s="1" t="str">
        <f ca="1">IFERROR(__xludf.DUMMYFUNCTION("""COMPUTED_VALUE"""),"Pat")</f>
        <v>Pat</v>
      </c>
      <c r="D183" s="1" t="str">
        <f ca="1">IFERROR(__xludf.DUMMYFUNCTION("""COMPUTED_VALUE"""),"22-9")</f>
        <v>22-9</v>
      </c>
      <c r="E183" s="1">
        <f ca="1">IFERROR(__xludf.DUMMYFUNCTION("""COMPUTED_VALUE"""),-0.64)</f>
        <v>-0.64</v>
      </c>
      <c r="F183" s="1">
        <f ca="1">IFERROR(__xludf.DUMMYFUNCTION("""COMPUTED_VALUE"""),104.1)</f>
        <v>104.1</v>
      </c>
      <c r="G183" s="1">
        <f ca="1">IFERROR(__xludf.DUMMYFUNCTION("""COMPUTED_VALUE"""),156)</f>
        <v>156</v>
      </c>
      <c r="H183" s="1">
        <f ca="1">IFERROR(__xludf.DUMMYFUNCTION("""COMPUTED_VALUE"""),104.7)</f>
        <v>104.7</v>
      </c>
      <c r="I183" s="1">
        <f ca="1">IFERROR(__xludf.DUMMYFUNCTION("""COMPUTED_VALUE"""),205)</f>
        <v>205</v>
      </c>
      <c r="J183" s="1">
        <f ca="1">IFERROR(__xludf.DUMMYFUNCTION("""COMPUTED_VALUE"""),60.3)</f>
        <v>60.3</v>
      </c>
      <c r="K183" s="1">
        <f ca="1">IFERROR(__xludf.DUMMYFUNCTION("""COMPUTED_VALUE"""),331)</f>
        <v>331</v>
      </c>
      <c r="L183" s="1" t="str">
        <f ca="1">IFERROR(__xludf.DUMMYFUNCTION("""COMPUTED_VALUE"""),"+.128")</f>
        <v>+.128</v>
      </c>
      <c r="M183" s="1">
        <f ca="1">IFERROR(__xludf.DUMMYFUNCTION("""COMPUTED_VALUE"""),5)</f>
        <v>5</v>
      </c>
      <c r="N183" s="1">
        <f ca="1">IFERROR(__xludf.DUMMYFUNCTION("""COMPUTED_VALUE"""),-6.21)</f>
        <v>-6.21</v>
      </c>
      <c r="O183" s="1">
        <f ca="1">IFERROR(__xludf.DUMMYFUNCTION("""COMPUTED_VALUE"""),306)</f>
        <v>306</v>
      </c>
      <c r="P183" s="1">
        <f ca="1">IFERROR(__xludf.DUMMYFUNCTION("""COMPUTED_VALUE"""),101)</f>
        <v>101</v>
      </c>
      <c r="Q183" s="1">
        <f ca="1">IFERROR(__xludf.DUMMYFUNCTION("""COMPUTED_VALUE"""),259)</f>
        <v>259</v>
      </c>
      <c r="R183" s="1">
        <f ca="1">IFERROR(__xludf.DUMMYFUNCTION("""COMPUTED_VALUE"""),107.2)</f>
        <v>107.2</v>
      </c>
      <c r="S183" s="1">
        <f ca="1">IFERROR(__xludf.DUMMYFUNCTION("""COMPUTED_VALUE"""),329)</f>
        <v>329</v>
      </c>
      <c r="T183" s="1">
        <f ca="1">IFERROR(__xludf.DUMMYFUNCTION("""COMPUTED_VALUE"""),-3.55)</f>
        <v>-3.55</v>
      </c>
      <c r="U183" s="1">
        <f ca="1">IFERROR(__xludf.DUMMYFUNCTION("""COMPUTED_VALUE"""),250)</f>
        <v>250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IFERROR(__xludf.DUMMYFUNCTION("""COMPUTED_VALUE"""),"North Texas")</f>
        <v>North Texas</v>
      </c>
      <c r="C184" s="1" t="str">
        <f ca="1">IFERROR(__xludf.DUMMYFUNCTION("""COMPUTED_VALUE"""),"SB")</f>
        <v>SB</v>
      </c>
      <c r="D184" s="1" t="str">
        <f ca="1">IFERROR(__xludf.DUMMYFUNCTION("""COMPUTED_VALUE"""),"22-11")</f>
        <v>22-11</v>
      </c>
      <c r="E184" s="1">
        <f ca="1">IFERROR(__xludf.DUMMYFUNCTION("""COMPUTED_VALUE"""),-0.72)</f>
        <v>-0.72</v>
      </c>
      <c r="F184" s="1">
        <f ca="1">IFERROR(__xludf.DUMMYFUNCTION("""COMPUTED_VALUE"""),109)</f>
        <v>109</v>
      </c>
      <c r="G184" s="1">
        <f ca="1">IFERROR(__xludf.DUMMYFUNCTION("""COMPUTED_VALUE"""),75)</f>
        <v>75</v>
      </c>
      <c r="H184" s="1">
        <f ca="1">IFERROR(__xludf.DUMMYFUNCTION("""COMPUTED_VALUE"""),109.8)</f>
        <v>109.8</v>
      </c>
      <c r="I184" s="1">
        <f ca="1">IFERROR(__xludf.DUMMYFUNCTION("""COMPUTED_VALUE"""),293)</f>
        <v>293</v>
      </c>
      <c r="J184" s="1">
        <f ca="1">IFERROR(__xludf.DUMMYFUNCTION("""COMPUTED_VALUE"""),67.1)</f>
        <v>67.099999999999994</v>
      </c>
      <c r="K184" s="1">
        <f ca="1">IFERROR(__xludf.DUMMYFUNCTION("""COMPUTED_VALUE"""),76)</f>
        <v>76</v>
      </c>
      <c r="L184" s="1" t="str">
        <f ca="1">IFERROR(__xludf.DUMMYFUNCTION("""COMPUTED_VALUE"""),"+.044")</f>
        <v>+.044</v>
      </c>
      <c r="M184" s="1">
        <f ca="1">IFERROR(__xludf.DUMMYFUNCTION("""COMPUTED_VALUE"""),71)</f>
        <v>71</v>
      </c>
      <c r="N184" s="1">
        <f ca="1">IFERROR(__xludf.DUMMYFUNCTION("""COMPUTED_VALUE"""),-7.26)</f>
        <v>-7.26</v>
      </c>
      <c r="O184" s="1">
        <f ca="1">IFERROR(__xludf.DUMMYFUNCTION("""COMPUTED_VALUE"""),317)</f>
        <v>317</v>
      </c>
      <c r="P184" s="1">
        <f ca="1">IFERROR(__xludf.DUMMYFUNCTION("""COMPUTED_VALUE"""),99.1)</f>
        <v>99.1</v>
      </c>
      <c r="Q184" s="1">
        <f ca="1">IFERROR(__xludf.DUMMYFUNCTION("""COMPUTED_VALUE"""),316)</f>
        <v>316</v>
      </c>
      <c r="R184" s="1">
        <f ca="1">IFERROR(__xludf.DUMMYFUNCTION("""COMPUTED_VALUE"""),106.4)</f>
        <v>106.4</v>
      </c>
      <c r="S184" s="1">
        <f ca="1">IFERROR(__xludf.DUMMYFUNCTION("""COMPUTED_VALUE"""),312)</f>
        <v>312</v>
      </c>
      <c r="T184" s="1">
        <f ca="1">IFERROR(__xludf.DUMMYFUNCTION("""COMPUTED_VALUE"""),-6.67)</f>
        <v>-6.67</v>
      </c>
      <c r="U184" s="1">
        <f ca="1">IFERROR(__xludf.DUMMYFUNCTION("""COMPUTED_VALUE"""),317)</f>
        <v>317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IFERROR(__xludf.DUMMYFUNCTION("""COMPUTED_VALUE"""),"George Washington")</f>
        <v>George Washington</v>
      </c>
      <c r="C185" s="1" t="str">
        <f ca="1">IFERROR(__xludf.DUMMYFUNCTION("""COMPUTED_VALUE"""),"A10")</f>
        <v>A10</v>
      </c>
      <c r="D185" s="1" t="str">
        <f ca="1">IFERROR(__xludf.DUMMYFUNCTION("""COMPUTED_VALUE"""),"17-14")</f>
        <v>17-14</v>
      </c>
      <c r="E185" s="1">
        <f ca="1">IFERROR(__xludf.DUMMYFUNCTION("""COMPUTED_VALUE"""),-0.73)</f>
        <v>-0.73</v>
      </c>
      <c r="F185" s="1">
        <f ca="1">IFERROR(__xludf.DUMMYFUNCTION("""COMPUTED_VALUE"""),101.3)</f>
        <v>101.3</v>
      </c>
      <c r="G185" s="1">
        <f ca="1">IFERROR(__xludf.DUMMYFUNCTION("""COMPUTED_VALUE"""),210)</f>
        <v>210</v>
      </c>
      <c r="H185" s="1">
        <f ca="1">IFERROR(__xludf.DUMMYFUNCTION("""COMPUTED_VALUE"""),102)</f>
        <v>102</v>
      </c>
      <c r="I185" s="1">
        <f ca="1">IFERROR(__xludf.DUMMYFUNCTION("""COMPUTED_VALUE"""),134)</f>
        <v>134</v>
      </c>
      <c r="J185" s="1">
        <f ca="1">IFERROR(__xludf.DUMMYFUNCTION("""COMPUTED_VALUE"""),63.6)</f>
        <v>63.6</v>
      </c>
      <c r="K185" s="1">
        <f ca="1">IFERROR(__xludf.DUMMYFUNCTION("""COMPUTED_VALUE"""),259)</f>
        <v>259</v>
      </c>
      <c r="L185" s="1" t="str">
        <f ca="1">IFERROR(__xludf.DUMMYFUNCTION("""COMPUTED_VALUE"""),"+.073")</f>
        <v>+.073</v>
      </c>
      <c r="M185" s="1">
        <f ca="1">IFERROR(__xludf.DUMMYFUNCTION("""COMPUTED_VALUE"""),25)</f>
        <v>25</v>
      </c>
      <c r="N185" s="1">
        <f ca="1">IFERROR(__xludf.DUMMYFUNCTION("""COMPUTED_VALUE"""),-0.85)</f>
        <v>-0.85</v>
      </c>
      <c r="O185" s="1">
        <f ca="1">IFERROR(__xludf.DUMMYFUNCTION("""COMPUTED_VALUE"""),168)</f>
        <v>168</v>
      </c>
      <c r="P185" s="1">
        <f ca="1">IFERROR(__xludf.DUMMYFUNCTION("""COMPUTED_VALUE"""),103.2)</f>
        <v>103.2</v>
      </c>
      <c r="Q185" s="1">
        <f ca="1">IFERROR(__xludf.DUMMYFUNCTION("""COMPUTED_VALUE"""),168)</f>
        <v>168</v>
      </c>
      <c r="R185" s="1">
        <f ca="1">IFERROR(__xludf.DUMMYFUNCTION("""COMPUTED_VALUE"""),104)</f>
        <v>104</v>
      </c>
      <c r="S185" s="1">
        <f ca="1">IFERROR(__xludf.DUMMYFUNCTION("""COMPUTED_VALUE"""),181)</f>
        <v>181</v>
      </c>
      <c r="T185" s="1">
        <f ca="1">IFERROR(__xludf.DUMMYFUNCTION("""COMPUTED_VALUE"""),-5.42)</f>
        <v>-5.42</v>
      </c>
      <c r="U185" s="1">
        <f ca="1">IFERROR(__xludf.DUMMYFUNCTION("""COMPUTED_VALUE"""),294)</f>
        <v>294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IFERROR(__xludf.DUMMYFUNCTION("""COMPUTED_VALUE"""),"IPFW")</f>
        <v>IPFW</v>
      </c>
      <c r="C186" s="1" t="str">
        <f ca="1">IFERROR(__xludf.DUMMYFUNCTION("""COMPUTED_VALUE"""),"Sum")</f>
        <v>Sum</v>
      </c>
      <c r="D186" s="1" t="str">
        <f ca="1">IFERROR(__xludf.DUMMYFUNCTION("""COMPUTED_VALUE"""),"18-12")</f>
        <v>18-12</v>
      </c>
      <c r="E186" s="1">
        <f ca="1">IFERROR(__xludf.DUMMYFUNCTION("""COMPUTED_VALUE"""),-0.87)</f>
        <v>-0.87</v>
      </c>
      <c r="F186" s="1">
        <f ca="1">IFERROR(__xludf.DUMMYFUNCTION("""COMPUTED_VALUE"""),105.8)</f>
        <v>105.8</v>
      </c>
      <c r="G186" s="1">
        <f ca="1">IFERROR(__xludf.DUMMYFUNCTION("""COMPUTED_VALUE"""),114)</f>
        <v>114</v>
      </c>
      <c r="H186" s="1">
        <f ca="1">IFERROR(__xludf.DUMMYFUNCTION("""COMPUTED_VALUE"""),106.7)</f>
        <v>106.7</v>
      </c>
      <c r="I186" s="1">
        <f ca="1">IFERROR(__xludf.DUMMYFUNCTION("""COMPUTED_VALUE"""),243)</f>
        <v>243</v>
      </c>
      <c r="J186" s="1">
        <f ca="1">IFERROR(__xludf.DUMMYFUNCTION("""COMPUTED_VALUE"""),65)</f>
        <v>65</v>
      </c>
      <c r="K186" s="1">
        <f ca="1">IFERROR(__xludf.DUMMYFUNCTION("""COMPUTED_VALUE"""),183)</f>
        <v>183</v>
      </c>
      <c r="L186" s="1" t="str">
        <f ca="1">IFERROR(__xludf.DUMMYFUNCTION("""COMPUTED_VALUE"""),"+.024")</f>
        <v>+.024</v>
      </c>
      <c r="M186" s="1">
        <f ca="1">IFERROR(__xludf.DUMMYFUNCTION("""COMPUTED_VALUE"""),120)</f>
        <v>120</v>
      </c>
      <c r="N186" s="1">
        <f ca="1">IFERROR(__xludf.DUMMYFUNCTION("""COMPUTED_VALUE"""),-4.85)</f>
        <v>-4.8499999999999996</v>
      </c>
      <c r="O186" s="1">
        <f ca="1">IFERROR(__xludf.DUMMYFUNCTION("""COMPUTED_VALUE"""),278)</f>
        <v>278</v>
      </c>
      <c r="P186" s="1">
        <f ca="1">IFERROR(__xludf.DUMMYFUNCTION("""COMPUTED_VALUE"""),102.7)</f>
        <v>102.7</v>
      </c>
      <c r="Q186" s="1">
        <f ca="1">IFERROR(__xludf.DUMMYFUNCTION("""COMPUTED_VALUE"""),189)</f>
        <v>189</v>
      </c>
      <c r="R186" s="1">
        <f ca="1">IFERROR(__xludf.DUMMYFUNCTION("""COMPUTED_VALUE"""),107.5)</f>
        <v>107.5</v>
      </c>
      <c r="S186" s="1">
        <f ca="1">IFERROR(__xludf.DUMMYFUNCTION("""COMPUTED_VALUE"""),333)</f>
        <v>333</v>
      </c>
      <c r="T186" s="1">
        <f ca="1">IFERROR(__xludf.DUMMYFUNCTION("""COMPUTED_VALUE"""),-8.06)</f>
        <v>-8.06</v>
      </c>
      <c r="U186" s="1">
        <f ca="1">IFERROR(__xludf.DUMMYFUNCTION("""COMPUTED_VALUE"""),327)</f>
        <v>327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IFERROR(__xludf.DUMMYFUNCTION("""COMPUTED_VALUE"""),"Fresno St.")</f>
        <v>Fresno St.</v>
      </c>
      <c r="C187" s="1" t="str">
        <f ca="1">IFERROR(__xludf.DUMMYFUNCTION("""COMPUTED_VALUE"""),"WAC")</f>
        <v>WAC</v>
      </c>
      <c r="D187" s="1" t="str">
        <f ca="1">IFERROR(__xludf.DUMMYFUNCTION("""COMPUTED_VALUE"""),"14-17")</f>
        <v>14-17</v>
      </c>
      <c r="E187" s="1">
        <f ca="1">IFERROR(__xludf.DUMMYFUNCTION("""COMPUTED_VALUE"""),-0.97)</f>
        <v>-0.97</v>
      </c>
      <c r="F187" s="1">
        <f ca="1">IFERROR(__xludf.DUMMYFUNCTION("""COMPUTED_VALUE"""),101.9)</f>
        <v>101.9</v>
      </c>
      <c r="G187" s="1">
        <f ca="1">IFERROR(__xludf.DUMMYFUNCTION("""COMPUTED_VALUE"""),196)</f>
        <v>196</v>
      </c>
      <c r="H187" s="1">
        <f ca="1">IFERROR(__xludf.DUMMYFUNCTION("""COMPUTED_VALUE"""),102.9)</f>
        <v>102.9</v>
      </c>
      <c r="I187" s="1">
        <f ca="1">IFERROR(__xludf.DUMMYFUNCTION("""COMPUTED_VALUE"""),156)</f>
        <v>156</v>
      </c>
      <c r="J187" s="1">
        <f ca="1">IFERROR(__xludf.DUMMYFUNCTION("""COMPUTED_VALUE"""),65.5)</f>
        <v>65.5</v>
      </c>
      <c r="K187" s="1">
        <f ca="1">IFERROR(__xludf.DUMMYFUNCTION("""COMPUTED_VALUE"""),162)</f>
        <v>162</v>
      </c>
      <c r="L187" s="1">
        <f ca="1">IFERROR(__xludf.DUMMYFUNCTION("""COMPUTED_VALUE"""),-0.033)</f>
        <v>-3.3000000000000002E-2</v>
      </c>
      <c r="M187" s="1">
        <f ca="1">IFERROR(__xludf.DUMMYFUNCTION("""COMPUTED_VALUE"""),265)</f>
        <v>265</v>
      </c>
      <c r="N187" s="1" t="str">
        <f ca="1">IFERROR(__xludf.DUMMYFUNCTION("""COMPUTED_VALUE"""),"+0.03")</f>
        <v>+0.03</v>
      </c>
      <c r="O187" s="1">
        <f ca="1">IFERROR(__xludf.DUMMYFUNCTION("""COMPUTED_VALUE"""),153)</f>
        <v>153</v>
      </c>
      <c r="P187" s="1">
        <f ca="1">IFERROR(__xludf.DUMMYFUNCTION("""COMPUTED_VALUE"""),103.1)</f>
        <v>103.1</v>
      </c>
      <c r="Q187" s="1">
        <f ca="1">IFERROR(__xludf.DUMMYFUNCTION("""COMPUTED_VALUE"""),172)</f>
        <v>172</v>
      </c>
      <c r="R187" s="1">
        <f ca="1">IFERROR(__xludf.DUMMYFUNCTION("""COMPUTED_VALUE"""),103)</f>
        <v>103</v>
      </c>
      <c r="S187" s="1">
        <f ca="1">IFERROR(__xludf.DUMMYFUNCTION("""COMPUTED_VALUE"""),142)</f>
        <v>142</v>
      </c>
      <c r="T187" s="1">
        <f ca="1">IFERROR(__xludf.DUMMYFUNCTION("""COMPUTED_VALUE"""),-2.83)</f>
        <v>-2.83</v>
      </c>
      <c r="U187" s="1">
        <f ca="1">IFERROR(__xludf.DUMMYFUNCTION("""COMPUTED_VALUE"""),231)</f>
        <v>231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IFERROR(__xludf.DUMMYFUNCTION("""COMPUTED_VALUE"""),"San Jose St.")</f>
        <v>San Jose St.</v>
      </c>
      <c r="C188" s="1" t="str">
        <f ca="1">IFERROR(__xludf.DUMMYFUNCTION("""COMPUTED_VALUE"""),"WAC")</f>
        <v>WAC</v>
      </c>
      <c r="D188" s="1" t="str">
        <f ca="1">IFERROR(__xludf.DUMMYFUNCTION("""COMPUTED_VALUE"""),"17-16")</f>
        <v>17-16</v>
      </c>
      <c r="E188" s="1">
        <f ca="1">IFERROR(__xludf.DUMMYFUNCTION("""COMPUTED_VALUE"""),-1.2)</f>
        <v>-1.2</v>
      </c>
      <c r="F188" s="1">
        <f ca="1">IFERROR(__xludf.DUMMYFUNCTION("""COMPUTED_VALUE"""),105.1)</f>
        <v>105.1</v>
      </c>
      <c r="G188" s="1">
        <f ca="1">IFERROR(__xludf.DUMMYFUNCTION("""COMPUTED_VALUE"""),129)</f>
        <v>129</v>
      </c>
      <c r="H188" s="1">
        <f ca="1">IFERROR(__xludf.DUMMYFUNCTION("""COMPUTED_VALUE"""),106.3)</f>
        <v>106.3</v>
      </c>
      <c r="I188" s="1">
        <f ca="1">IFERROR(__xludf.DUMMYFUNCTION("""COMPUTED_VALUE"""),238)</f>
        <v>238</v>
      </c>
      <c r="J188" s="1">
        <f ca="1">IFERROR(__xludf.DUMMYFUNCTION("""COMPUTED_VALUE"""),66.2)</f>
        <v>66.2</v>
      </c>
      <c r="K188" s="1">
        <f ca="1">IFERROR(__xludf.DUMMYFUNCTION("""COMPUTED_VALUE"""),120)</f>
        <v>120</v>
      </c>
      <c r="L188" s="1" t="str">
        <f ca="1">IFERROR(__xludf.DUMMYFUNCTION("""COMPUTED_VALUE"""),"+.054")</f>
        <v>+.054</v>
      </c>
      <c r="M188" s="1">
        <f ca="1">IFERROR(__xludf.DUMMYFUNCTION("""COMPUTED_VALUE"""),47)</f>
        <v>47</v>
      </c>
      <c r="N188" s="1">
        <f ca="1">IFERROR(__xludf.DUMMYFUNCTION("""COMPUTED_VALUE"""),-0.17)</f>
        <v>-0.17</v>
      </c>
      <c r="O188" s="1">
        <f ca="1">IFERROR(__xludf.DUMMYFUNCTION("""COMPUTED_VALUE"""),156)</f>
        <v>156</v>
      </c>
      <c r="P188" s="1">
        <f ca="1">IFERROR(__xludf.DUMMYFUNCTION("""COMPUTED_VALUE"""),102.8)</f>
        <v>102.8</v>
      </c>
      <c r="Q188" s="1">
        <f ca="1">IFERROR(__xludf.DUMMYFUNCTION("""COMPUTED_VALUE"""),183)</f>
        <v>183</v>
      </c>
      <c r="R188" s="1">
        <f ca="1">IFERROR(__xludf.DUMMYFUNCTION("""COMPUTED_VALUE"""),103)</f>
        <v>103</v>
      </c>
      <c r="S188" s="1">
        <f ca="1">IFERROR(__xludf.DUMMYFUNCTION("""COMPUTED_VALUE"""),137)</f>
        <v>137</v>
      </c>
      <c r="T188" s="1">
        <f ca="1">IFERROR(__xludf.DUMMYFUNCTION("""COMPUTED_VALUE"""),-5.52)</f>
        <v>-5.52</v>
      </c>
      <c r="U188" s="1">
        <f ca="1">IFERROR(__xludf.DUMMYFUNCTION("""COMPUTED_VALUE"""),298)</f>
        <v>298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IFERROR(__xludf.DUMMYFUNCTION("""COMPUTED_VALUE"""),"Sam Houston St.")</f>
        <v>Sam Houston St.</v>
      </c>
      <c r="C189" s="1" t="str">
        <f ca="1">IFERROR(__xludf.DUMMYFUNCTION("""COMPUTED_VALUE"""),"Slnd")</f>
        <v>Slnd</v>
      </c>
      <c r="D189" s="1" t="str">
        <f ca="1">IFERROR(__xludf.DUMMYFUNCTION("""COMPUTED_VALUE"""),"18-13")</f>
        <v>18-13</v>
      </c>
      <c r="E189" s="1">
        <f ca="1">IFERROR(__xludf.DUMMYFUNCTION("""COMPUTED_VALUE"""),-1.29)</f>
        <v>-1.29</v>
      </c>
      <c r="F189" s="1">
        <f ca="1">IFERROR(__xludf.DUMMYFUNCTION("""COMPUTED_VALUE"""),103.1)</f>
        <v>103.1</v>
      </c>
      <c r="G189" s="1">
        <f ca="1">IFERROR(__xludf.DUMMYFUNCTION("""COMPUTED_VALUE"""),173)</f>
        <v>173</v>
      </c>
      <c r="H189" s="1">
        <f ca="1">IFERROR(__xludf.DUMMYFUNCTION("""COMPUTED_VALUE"""),104.4)</f>
        <v>104.4</v>
      </c>
      <c r="I189" s="1">
        <f ca="1">IFERROR(__xludf.DUMMYFUNCTION("""COMPUTED_VALUE"""),196)</f>
        <v>196</v>
      </c>
      <c r="J189" s="1">
        <f ca="1">IFERROR(__xludf.DUMMYFUNCTION("""COMPUTED_VALUE"""),65.3)</f>
        <v>65.3</v>
      </c>
      <c r="K189" s="1">
        <f ca="1">IFERROR(__xludf.DUMMYFUNCTION("""COMPUTED_VALUE"""),172)</f>
        <v>172</v>
      </c>
      <c r="L189" s="1">
        <f ca="1">IFERROR(__xludf.DUMMYFUNCTION("""COMPUTED_VALUE"""),-0.03)</f>
        <v>-0.03</v>
      </c>
      <c r="M189" s="1">
        <f ca="1">IFERROR(__xludf.DUMMYFUNCTION("""COMPUTED_VALUE"""),258)</f>
        <v>258</v>
      </c>
      <c r="N189" s="1">
        <f ca="1">IFERROR(__xludf.DUMMYFUNCTION("""COMPUTED_VALUE"""),-5.21)</f>
        <v>-5.21</v>
      </c>
      <c r="O189" s="1">
        <f ca="1">IFERROR(__xludf.DUMMYFUNCTION("""COMPUTED_VALUE"""),285)</f>
        <v>285</v>
      </c>
      <c r="P189" s="1">
        <f ca="1">IFERROR(__xludf.DUMMYFUNCTION("""COMPUTED_VALUE"""),100.5)</f>
        <v>100.5</v>
      </c>
      <c r="Q189" s="1">
        <f ca="1">IFERROR(__xludf.DUMMYFUNCTION("""COMPUTED_VALUE"""),281)</f>
        <v>281</v>
      </c>
      <c r="R189" s="1">
        <f ca="1">IFERROR(__xludf.DUMMYFUNCTION("""COMPUTED_VALUE"""),105.7)</f>
        <v>105.7</v>
      </c>
      <c r="S189" s="1">
        <f ca="1">IFERROR(__xludf.DUMMYFUNCTION("""COMPUTED_VALUE"""),275)</f>
        <v>275</v>
      </c>
      <c r="T189" s="1" t="str">
        <f ca="1">IFERROR(__xludf.DUMMYFUNCTION("""COMPUTED_VALUE"""),"+4.05")</f>
        <v>+4.05</v>
      </c>
      <c r="U189" s="1">
        <f ca="1">IFERROR(__xludf.DUMMYFUNCTION("""COMPUTED_VALUE"""),58)</f>
        <v>58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IFERROR(__xludf.DUMMYFUNCTION("""COMPUTED_VALUE"""),"Massachusetts")</f>
        <v>Massachusetts</v>
      </c>
      <c r="C190" s="1" t="str">
        <f ca="1">IFERROR(__xludf.DUMMYFUNCTION("""COMPUTED_VALUE"""),"A10")</f>
        <v>A10</v>
      </c>
      <c r="D190" s="1" t="str">
        <f ca="1">IFERROR(__xludf.DUMMYFUNCTION("""COMPUTED_VALUE"""),"15-15")</f>
        <v>15-15</v>
      </c>
      <c r="E190" s="1">
        <f ca="1">IFERROR(__xludf.DUMMYFUNCTION("""COMPUTED_VALUE"""),-1.32)</f>
        <v>-1.32</v>
      </c>
      <c r="F190" s="1">
        <f ca="1">IFERROR(__xludf.DUMMYFUNCTION("""COMPUTED_VALUE"""),98.4)</f>
        <v>98.4</v>
      </c>
      <c r="G190" s="1">
        <f ca="1">IFERROR(__xludf.DUMMYFUNCTION("""COMPUTED_VALUE"""),263)</f>
        <v>263</v>
      </c>
      <c r="H190" s="1">
        <f ca="1">IFERROR(__xludf.DUMMYFUNCTION("""COMPUTED_VALUE"""),99.7)</f>
        <v>99.7</v>
      </c>
      <c r="I190" s="1">
        <f ca="1">IFERROR(__xludf.DUMMYFUNCTION("""COMPUTED_VALUE"""),95)</f>
        <v>95</v>
      </c>
      <c r="J190" s="1">
        <f ca="1">IFERROR(__xludf.DUMMYFUNCTION("""COMPUTED_VALUE"""),66.5)</f>
        <v>66.5</v>
      </c>
      <c r="K190" s="1">
        <f ca="1">IFERROR(__xludf.DUMMYFUNCTION("""COMPUTED_VALUE"""),105)</f>
        <v>105</v>
      </c>
      <c r="L190" s="1" t="str">
        <f ca="1">IFERROR(__xludf.DUMMYFUNCTION("""COMPUTED_VALUE"""),"+.044")</f>
        <v>+.044</v>
      </c>
      <c r="M190" s="1">
        <f ca="1">IFERROR(__xludf.DUMMYFUNCTION("""COMPUTED_VALUE"""),69)</f>
        <v>69</v>
      </c>
      <c r="N190" s="1" t="str">
        <f ca="1">IFERROR(__xludf.DUMMYFUNCTION("""COMPUTED_VALUE"""),"+0.94")</f>
        <v>+0.94</v>
      </c>
      <c r="O190" s="1">
        <f ca="1">IFERROR(__xludf.DUMMYFUNCTION("""COMPUTED_VALUE"""),132)</f>
        <v>132</v>
      </c>
      <c r="P190" s="1">
        <f ca="1">IFERROR(__xludf.DUMMYFUNCTION("""COMPUTED_VALUE"""),104.2)</f>
        <v>104.2</v>
      </c>
      <c r="Q190" s="1">
        <f ca="1">IFERROR(__xludf.DUMMYFUNCTION("""COMPUTED_VALUE"""),124)</f>
        <v>124</v>
      </c>
      <c r="R190" s="1">
        <f ca="1">IFERROR(__xludf.DUMMYFUNCTION("""COMPUTED_VALUE"""),103.3)</f>
        <v>103.3</v>
      </c>
      <c r="S190" s="1">
        <f ca="1">IFERROR(__xludf.DUMMYFUNCTION("""COMPUTED_VALUE"""),152)</f>
        <v>152</v>
      </c>
      <c r="T190" s="1">
        <f ca="1">IFERROR(__xludf.DUMMYFUNCTION("""COMPUTED_VALUE"""),-1.9)</f>
        <v>-1.9</v>
      </c>
      <c r="U190" s="1">
        <f ca="1">IFERROR(__xludf.DUMMYFUNCTION("""COMPUTED_VALUE"""),207)</f>
        <v>207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IFERROR(__xludf.DUMMYFUNCTION("""COMPUTED_VALUE"""),"Loyola MD")</f>
        <v>Loyola MD</v>
      </c>
      <c r="C191" s="1" t="str">
        <f ca="1">IFERROR(__xludf.DUMMYFUNCTION("""COMPUTED_VALUE"""),"MAAC")</f>
        <v>MAAC</v>
      </c>
      <c r="D191" s="1" t="str">
        <f ca="1">IFERROR(__xludf.DUMMYFUNCTION("""COMPUTED_VALUE"""),"15-15")</f>
        <v>15-15</v>
      </c>
      <c r="E191" s="1">
        <f ca="1">IFERROR(__xludf.DUMMYFUNCTION("""COMPUTED_VALUE"""),-1.53)</f>
        <v>-1.53</v>
      </c>
      <c r="F191" s="1">
        <f ca="1">IFERROR(__xludf.DUMMYFUNCTION("""COMPUTED_VALUE"""),103.4)</f>
        <v>103.4</v>
      </c>
      <c r="G191" s="1">
        <f ca="1">IFERROR(__xludf.DUMMYFUNCTION("""COMPUTED_VALUE"""),170)</f>
        <v>170</v>
      </c>
      <c r="H191" s="1">
        <f ca="1">IFERROR(__xludf.DUMMYFUNCTION("""COMPUTED_VALUE"""),105)</f>
        <v>105</v>
      </c>
      <c r="I191" s="1">
        <f ca="1">IFERROR(__xludf.DUMMYFUNCTION("""COMPUTED_VALUE"""),213)</f>
        <v>213</v>
      </c>
      <c r="J191" s="1">
        <f ca="1">IFERROR(__xludf.DUMMYFUNCTION("""COMPUTED_VALUE"""),64.8)</f>
        <v>64.8</v>
      </c>
      <c r="K191" s="1">
        <f ca="1">IFERROR(__xludf.DUMMYFUNCTION("""COMPUTED_VALUE"""),201)</f>
        <v>201</v>
      </c>
      <c r="L191" s="1">
        <f ca="1">IFERROR(__xludf.DUMMYFUNCTION("""COMPUTED_VALUE"""),-0.025)</f>
        <v>-2.5000000000000001E-2</v>
      </c>
      <c r="M191" s="1">
        <f ca="1">IFERROR(__xludf.DUMMYFUNCTION("""COMPUTED_VALUE"""),242)</f>
        <v>242</v>
      </c>
      <c r="N191" s="1">
        <f ca="1">IFERROR(__xludf.DUMMYFUNCTION("""COMPUTED_VALUE"""),-3.42)</f>
        <v>-3.42</v>
      </c>
      <c r="O191" s="1">
        <f ca="1">IFERROR(__xludf.DUMMYFUNCTION("""COMPUTED_VALUE"""),240)</f>
        <v>240</v>
      </c>
      <c r="P191" s="1">
        <f ca="1">IFERROR(__xludf.DUMMYFUNCTION("""COMPUTED_VALUE"""),99.8)</f>
        <v>99.8</v>
      </c>
      <c r="Q191" s="1">
        <f ca="1">IFERROR(__xludf.DUMMYFUNCTION("""COMPUTED_VALUE"""),304)</f>
        <v>304</v>
      </c>
      <c r="R191" s="1">
        <f ca="1">IFERROR(__xludf.DUMMYFUNCTION("""COMPUTED_VALUE"""),103.2)</f>
        <v>103.2</v>
      </c>
      <c r="S191" s="1">
        <f ca="1">IFERROR(__xludf.DUMMYFUNCTION("""COMPUTED_VALUE"""),150)</f>
        <v>150</v>
      </c>
      <c r="T191" s="1">
        <f ca="1">IFERROR(__xludf.DUMMYFUNCTION("""COMPUTED_VALUE"""),-4.01)</f>
        <v>-4.01</v>
      </c>
      <c r="U191" s="1">
        <f ca="1">IFERROR(__xludf.DUMMYFUNCTION("""COMPUTED_VALUE"""),263)</f>
        <v>263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IFERROR(__xludf.DUMMYFUNCTION("""COMPUTED_VALUE"""),"Yale")</f>
        <v>Yale</v>
      </c>
      <c r="C192" s="1" t="str">
        <f ca="1">IFERROR(__xludf.DUMMYFUNCTION("""COMPUTED_VALUE"""),"Ivy")</f>
        <v>Ivy</v>
      </c>
      <c r="D192" s="1" t="str">
        <f ca="1">IFERROR(__xludf.DUMMYFUNCTION("""COMPUTED_VALUE"""),"15-13")</f>
        <v>15-13</v>
      </c>
      <c r="E192" s="1">
        <f ca="1">IFERROR(__xludf.DUMMYFUNCTION("""COMPUTED_VALUE"""),-1.6)</f>
        <v>-1.6</v>
      </c>
      <c r="F192" s="1">
        <f ca="1">IFERROR(__xludf.DUMMYFUNCTION("""COMPUTED_VALUE"""),99.5)</f>
        <v>99.5</v>
      </c>
      <c r="G192" s="1">
        <f ca="1">IFERROR(__xludf.DUMMYFUNCTION("""COMPUTED_VALUE"""),242)</f>
        <v>242</v>
      </c>
      <c r="H192" s="1">
        <f ca="1">IFERROR(__xludf.DUMMYFUNCTION("""COMPUTED_VALUE"""),101.1)</f>
        <v>101.1</v>
      </c>
      <c r="I192" s="1">
        <f ca="1">IFERROR(__xludf.DUMMYFUNCTION("""COMPUTED_VALUE"""),121)</f>
        <v>121</v>
      </c>
      <c r="J192" s="1">
        <f ca="1">IFERROR(__xludf.DUMMYFUNCTION("""COMPUTED_VALUE"""),65.7)</f>
        <v>65.7</v>
      </c>
      <c r="K192" s="1">
        <f ca="1">IFERROR(__xludf.DUMMYFUNCTION("""COMPUTED_VALUE"""),155)</f>
        <v>155</v>
      </c>
      <c r="L192" s="1" t="str">
        <f ca="1">IFERROR(__xludf.DUMMYFUNCTION("""COMPUTED_VALUE"""),"+.033")</f>
        <v>+.033</v>
      </c>
      <c r="M192" s="1">
        <f ca="1">IFERROR(__xludf.DUMMYFUNCTION("""COMPUTED_VALUE"""),96)</f>
        <v>96</v>
      </c>
      <c r="N192" s="1">
        <f ca="1">IFERROR(__xludf.DUMMYFUNCTION("""COMPUTED_VALUE"""),-1.94)</f>
        <v>-1.94</v>
      </c>
      <c r="O192" s="1">
        <f ca="1">IFERROR(__xludf.DUMMYFUNCTION("""COMPUTED_VALUE"""),195)</f>
        <v>195</v>
      </c>
      <c r="P192" s="1">
        <f ca="1">IFERROR(__xludf.DUMMYFUNCTION("""COMPUTED_VALUE"""),103.2)</f>
        <v>103.2</v>
      </c>
      <c r="Q192" s="1">
        <f ca="1">IFERROR(__xludf.DUMMYFUNCTION("""COMPUTED_VALUE"""),165)</f>
        <v>165</v>
      </c>
      <c r="R192" s="1">
        <f ca="1">IFERROR(__xludf.DUMMYFUNCTION("""COMPUTED_VALUE"""),105.1)</f>
        <v>105.1</v>
      </c>
      <c r="S192" s="1">
        <f ca="1">IFERROR(__xludf.DUMMYFUNCTION("""COMPUTED_VALUE"""),239)</f>
        <v>239</v>
      </c>
      <c r="T192" s="1">
        <f ca="1">IFERROR(__xludf.DUMMYFUNCTION("""COMPUTED_VALUE"""),-1.11)</f>
        <v>-1.1100000000000001</v>
      </c>
      <c r="U192" s="1">
        <f ca="1">IFERROR(__xludf.DUMMYFUNCTION("""COMPUTED_VALUE"""),187)</f>
        <v>187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IFERROR(__xludf.DUMMYFUNCTION("""COMPUTED_VALUE"""),"Canisius")</f>
        <v>Canisius</v>
      </c>
      <c r="C193" s="1" t="str">
        <f ca="1">IFERROR(__xludf.DUMMYFUNCTION("""COMPUTED_VALUE"""),"MAAC")</f>
        <v>MAAC</v>
      </c>
      <c r="D193" s="1" t="str">
        <f ca="1">IFERROR(__xludf.DUMMYFUNCTION("""COMPUTED_VALUE"""),"15-15")</f>
        <v>15-15</v>
      </c>
      <c r="E193" s="1">
        <f ca="1">IFERROR(__xludf.DUMMYFUNCTION("""COMPUTED_VALUE"""),-1.61)</f>
        <v>-1.61</v>
      </c>
      <c r="F193" s="1">
        <f ca="1">IFERROR(__xludf.DUMMYFUNCTION("""COMPUTED_VALUE"""),103)</f>
        <v>103</v>
      </c>
      <c r="G193" s="1">
        <f ca="1">IFERROR(__xludf.DUMMYFUNCTION("""COMPUTED_VALUE"""),177)</f>
        <v>177</v>
      </c>
      <c r="H193" s="1">
        <f ca="1">IFERROR(__xludf.DUMMYFUNCTION("""COMPUTED_VALUE"""),104.6)</f>
        <v>104.6</v>
      </c>
      <c r="I193" s="1">
        <f ca="1">IFERROR(__xludf.DUMMYFUNCTION("""COMPUTED_VALUE"""),202)</f>
        <v>202</v>
      </c>
      <c r="J193" s="1">
        <f ca="1">IFERROR(__xludf.DUMMYFUNCTION("""COMPUTED_VALUE"""),64.7)</f>
        <v>64.7</v>
      </c>
      <c r="K193" s="1">
        <f ca="1">IFERROR(__xludf.DUMMYFUNCTION("""COMPUTED_VALUE"""),207)</f>
        <v>207</v>
      </c>
      <c r="L193" s="1">
        <f ca="1">IFERROR(__xludf.DUMMYFUNCTION("""COMPUTED_VALUE"""),-0.031)</f>
        <v>-3.1E-2</v>
      </c>
      <c r="M193" s="1">
        <f ca="1">IFERROR(__xludf.DUMMYFUNCTION("""COMPUTED_VALUE"""),261)</f>
        <v>261</v>
      </c>
      <c r="N193" s="1">
        <f ca="1">IFERROR(__xludf.DUMMYFUNCTION("""COMPUTED_VALUE"""),-3.72)</f>
        <v>-3.72</v>
      </c>
      <c r="O193" s="1">
        <f ca="1">IFERROR(__xludf.DUMMYFUNCTION("""COMPUTED_VALUE"""),245)</f>
        <v>245</v>
      </c>
      <c r="P193" s="1">
        <f ca="1">IFERROR(__xludf.DUMMYFUNCTION("""COMPUTED_VALUE"""),100.5)</f>
        <v>100.5</v>
      </c>
      <c r="Q193" s="1">
        <f ca="1">IFERROR(__xludf.DUMMYFUNCTION("""COMPUTED_VALUE"""),280)</f>
        <v>280</v>
      </c>
      <c r="R193" s="1">
        <f ca="1">IFERROR(__xludf.DUMMYFUNCTION("""COMPUTED_VALUE"""),104.2)</f>
        <v>104.2</v>
      </c>
      <c r="S193" s="1">
        <f ca="1">IFERROR(__xludf.DUMMYFUNCTION("""COMPUTED_VALUE"""),189)</f>
        <v>189</v>
      </c>
      <c r="T193" s="1">
        <f ca="1">IFERROR(__xludf.DUMMYFUNCTION("""COMPUTED_VALUE"""),-4.79)</f>
        <v>-4.79</v>
      </c>
      <c r="U193" s="1">
        <f ca="1">IFERROR(__xludf.DUMMYFUNCTION("""COMPUTED_VALUE"""),282)</f>
        <v>282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IFERROR(__xludf.DUMMYFUNCTION("""COMPUTED_VALUE"""),"Western Carolina")</f>
        <v>Western Carolina</v>
      </c>
      <c r="C194" s="1" t="str">
        <f ca="1">IFERROR(__xludf.DUMMYFUNCTION("""COMPUTED_VALUE"""),"SC")</f>
        <v>SC</v>
      </c>
      <c r="D194" s="1" t="str">
        <f ca="1">IFERROR(__xludf.DUMMYFUNCTION("""COMPUTED_VALUE"""),"18-15")</f>
        <v>18-15</v>
      </c>
      <c r="E194" s="1">
        <f ca="1">IFERROR(__xludf.DUMMYFUNCTION("""COMPUTED_VALUE"""),-1.81)</f>
        <v>-1.81</v>
      </c>
      <c r="F194" s="1">
        <f ca="1">IFERROR(__xludf.DUMMYFUNCTION("""COMPUTED_VALUE"""),98.7)</f>
        <v>98.7</v>
      </c>
      <c r="G194" s="1">
        <f ca="1">IFERROR(__xludf.DUMMYFUNCTION("""COMPUTED_VALUE"""),255)</f>
        <v>255</v>
      </c>
      <c r="H194" s="1">
        <f ca="1">IFERROR(__xludf.DUMMYFUNCTION("""COMPUTED_VALUE"""),100.5)</f>
        <v>100.5</v>
      </c>
      <c r="I194" s="1">
        <f ca="1">IFERROR(__xludf.DUMMYFUNCTION("""COMPUTED_VALUE"""),113)</f>
        <v>113</v>
      </c>
      <c r="J194" s="1">
        <f ca="1">IFERROR(__xludf.DUMMYFUNCTION("""COMPUTED_VALUE"""),68.1)</f>
        <v>68.099999999999994</v>
      </c>
      <c r="K194" s="1">
        <f ca="1">IFERROR(__xludf.DUMMYFUNCTION("""COMPUTED_VALUE"""),50)</f>
        <v>50</v>
      </c>
      <c r="L194" s="1" t="str">
        <f ca="1">IFERROR(__xludf.DUMMYFUNCTION("""COMPUTED_VALUE"""),"+.044")</f>
        <v>+.044</v>
      </c>
      <c r="M194" s="1">
        <f ca="1">IFERROR(__xludf.DUMMYFUNCTION("""COMPUTED_VALUE"""),70)</f>
        <v>70</v>
      </c>
      <c r="N194" s="1">
        <f ca="1">IFERROR(__xludf.DUMMYFUNCTION("""COMPUTED_VALUE"""),-2.73)</f>
        <v>-2.73</v>
      </c>
      <c r="O194" s="1">
        <f ca="1">IFERROR(__xludf.DUMMYFUNCTION("""COMPUTED_VALUE"""),219)</f>
        <v>219</v>
      </c>
      <c r="P194" s="1">
        <f ca="1">IFERROR(__xludf.DUMMYFUNCTION("""COMPUTED_VALUE"""),103.3)</f>
        <v>103.3</v>
      </c>
      <c r="Q194" s="1">
        <f ca="1">IFERROR(__xludf.DUMMYFUNCTION("""COMPUTED_VALUE"""),162)</f>
        <v>162</v>
      </c>
      <c r="R194" s="1">
        <f ca="1">IFERROR(__xludf.DUMMYFUNCTION("""COMPUTED_VALUE"""),106.1)</f>
        <v>106.1</v>
      </c>
      <c r="S194" s="1">
        <f ca="1">IFERROR(__xludf.DUMMYFUNCTION("""COMPUTED_VALUE"""),291)</f>
        <v>291</v>
      </c>
      <c r="T194" s="1" t="str">
        <f ca="1">IFERROR(__xludf.DUMMYFUNCTION("""COMPUTED_VALUE"""),"+3.51")</f>
        <v>+3.51</v>
      </c>
      <c r="U194" s="1">
        <f ca="1">IFERROR(__xludf.DUMMYFUNCTION("""COMPUTED_VALUE"""),63)</f>
        <v>63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IFERROR(__xludf.DUMMYFUNCTION("""COMPUTED_VALUE"""),"Penn")</f>
        <v>Penn</v>
      </c>
      <c r="C195" s="1" t="str">
        <f ca="1">IFERROR(__xludf.DUMMYFUNCTION("""COMPUTED_VALUE"""),"Ivy")</f>
        <v>Ivy</v>
      </c>
      <c r="D195" s="1" t="str">
        <f ca="1">IFERROR(__xludf.DUMMYFUNCTION("""COMPUTED_VALUE"""),"13-15")</f>
        <v>13-15</v>
      </c>
      <c r="E195" s="1">
        <f ca="1">IFERROR(__xludf.DUMMYFUNCTION("""COMPUTED_VALUE"""),-1.88)</f>
        <v>-1.88</v>
      </c>
      <c r="F195" s="1">
        <f ca="1">IFERROR(__xludf.DUMMYFUNCTION("""COMPUTED_VALUE"""),101.8)</f>
        <v>101.8</v>
      </c>
      <c r="G195" s="1">
        <f ca="1">IFERROR(__xludf.DUMMYFUNCTION("""COMPUTED_VALUE"""),202)</f>
        <v>202</v>
      </c>
      <c r="H195" s="1">
        <f ca="1">IFERROR(__xludf.DUMMYFUNCTION("""COMPUTED_VALUE"""),103.7)</f>
        <v>103.7</v>
      </c>
      <c r="I195" s="1">
        <f ca="1">IFERROR(__xludf.DUMMYFUNCTION("""COMPUTED_VALUE"""),178)</f>
        <v>178</v>
      </c>
      <c r="J195" s="1">
        <f ca="1">IFERROR(__xludf.DUMMYFUNCTION("""COMPUTED_VALUE"""),63.3)</f>
        <v>63.3</v>
      </c>
      <c r="K195" s="1">
        <f ca="1">IFERROR(__xludf.DUMMYFUNCTION("""COMPUTED_VALUE"""),269)</f>
        <v>269</v>
      </c>
      <c r="L195" s="1" t="str">
        <f ca="1">IFERROR(__xludf.DUMMYFUNCTION("""COMPUTED_VALUE"""),"+.007")</f>
        <v>+.007</v>
      </c>
      <c r="M195" s="1">
        <f ca="1">IFERROR(__xludf.DUMMYFUNCTION("""COMPUTED_VALUE"""),162)</f>
        <v>162</v>
      </c>
      <c r="N195" s="1">
        <f ca="1">IFERROR(__xludf.DUMMYFUNCTION("""COMPUTED_VALUE"""),-1.09)</f>
        <v>-1.0900000000000001</v>
      </c>
      <c r="O195" s="1">
        <f ca="1">IFERROR(__xludf.DUMMYFUNCTION("""COMPUTED_VALUE"""),172)</f>
        <v>172</v>
      </c>
      <c r="P195" s="1">
        <f ca="1">IFERROR(__xludf.DUMMYFUNCTION("""COMPUTED_VALUE"""),103.5)</f>
        <v>103.5</v>
      </c>
      <c r="Q195" s="1">
        <f ca="1">IFERROR(__xludf.DUMMYFUNCTION("""COMPUTED_VALUE"""),155)</f>
        <v>155</v>
      </c>
      <c r="R195" s="1">
        <f ca="1">IFERROR(__xludf.DUMMYFUNCTION("""COMPUTED_VALUE"""),104.6)</f>
        <v>104.6</v>
      </c>
      <c r="S195" s="1">
        <f ca="1">IFERROR(__xludf.DUMMYFUNCTION("""COMPUTED_VALUE"""),215)</f>
        <v>215</v>
      </c>
      <c r="T195" s="1" t="str">
        <f ca="1">IFERROR(__xludf.DUMMYFUNCTION("""COMPUTED_VALUE"""),"+0.67")</f>
        <v>+0.67</v>
      </c>
      <c r="U195" s="1">
        <f ca="1">IFERROR(__xludf.DUMMYFUNCTION("""COMPUTED_VALUE"""),139)</f>
        <v>139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IFERROR(__xludf.DUMMYFUNCTION("""COMPUTED_VALUE"""),"Florida Atlantic7")</f>
        <v>Florida Atlantic7</v>
      </c>
      <c r="C196" s="1" t="str">
        <f ca="1">IFERROR(__xludf.DUMMYFUNCTION("""COMPUTED_VALUE"""),"SB")</f>
        <v>SB</v>
      </c>
      <c r="D196" s="1" t="str">
        <f ca="1">IFERROR(__xludf.DUMMYFUNCTION("""COMPUTED_VALUE"""),"21-11")</f>
        <v>21-11</v>
      </c>
      <c r="E196" s="1">
        <f ca="1">IFERROR(__xludf.DUMMYFUNCTION("""COMPUTED_VALUE"""),-1.94)</f>
        <v>-1.94</v>
      </c>
      <c r="F196" s="1">
        <f ca="1">IFERROR(__xludf.DUMMYFUNCTION("""COMPUTED_VALUE"""),102.9)</f>
        <v>102.9</v>
      </c>
      <c r="G196" s="1">
        <f ca="1">IFERROR(__xludf.DUMMYFUNCTION("""COMPUTED_VALUE"""),181)</f>
        <v>181</v>
      </c>
      <c r="H196" s="1">
        <f ca="1">IFERROR(__xludf.DUMMYFUNCTION("""COMPUTED_VALUE"""),104.8)</f>
        <v>104.8</v>
      </c>
      <c r="I196" s="1">
        <f ca="1">IFERROR(__xludf.DUMMYFUNCTION("""COMPUTED_VALUE"""),209)</f>
        <v>209</v>
      </c>
      <c r="J196" s="1">
        <f ca="1">IFERROR(__xludf.DUMMYFUNCTION("""COMPUTED_VALUE"""),62.4)</f>
        <v>62.4</v>
      </c>
      <c r="K196" s="1">
        <f ca="1">IFERROR(__xludf.DUMMYFUNCTION("""COMPUTED_VALUE"""),303)</f>
        <v>303</v>
      </c>
      <c r="L196" s="1" t="str">
        <f ca="1">IFERROR(__xludf.DUMMYFUNCTION("""COMPUTED_VALUE"""),"+.134")</f>
        <v>+.134</v>
      </c>
      <c r="M196" s="1">
        <f ca="1">IFERROR(__xludf.DUMMYFUNCTION("""COMPUTED_VALUE"""),4)</f>
        <v>4</v>
      </c>
      <c r="N196" s="1">
        <f ca="1">IFERROR(__xludf.DUMMYFUNCTION("""COMPUTED_VALUE"""),-2.9)</f>
        <v>-2.9</v>
      </c>
      <c r="O196" s="1">
        <f ca="1">IFERROR(__xludf.DUMMYFUNCTION("""COMPUTED_VALUE"""),227)</f>
        <v>227</v>
      </c>
      <c r="P196" s="1">
        <f ca="1">IFERROR(__xludf.DUMMYFUNCTION("""COMPUTED_VALUE"""),103)</f>
        <v>103</v>
      </c>
      <c r="Q196" s="1">
        <f ca="1">IFERROR(__xludf.DUMMYFUNCTION("""COMPUTED_VALUE"""),175)</f>
        <v>175</v>
      </c>
      <c r="R196" s="1">
        <f ca="1">IFERROR(__xludf.DUMMYFUNCTION("""COMPUTED_VALUE"""),105.9)</f>
        <v>105.9</v>
      </c>
      <c r="S196" s="1">
        <f ca="1">IFERROR(__xludf.DUMMYFUNCTION("""COMPUTED_VALUE"""),286)</f>
        <v>286</v>
      </c>
      <c r="T196" s="1" t="str">
        <f ca="1">IFERROR(__xludf.DUMMYFUNCTION("""COMPUTED_VALUE"""),"+3.44")</f>
        <v>+3.44</v>
      </c>
      <c r="U196" s="1">
        <f ca="1">IFERROR(__xludf.DUMMYFUNCTION("""COMPUTED_VALUE"""),65)</f>
        <v>65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IFERROR(__xludf.DUMMYFUNCTION("""COMPUTED_VALUE"""),"Saint Joseph's")</f>
        <v>Saint Joseph's</v>
      </c>
      <c r="C197" s="1" t="str">
        <f ca="1">IFERROR(__xludf.DUMMYFUNCTION("""COMPUTED_VALUE"""),"A10")</f>
        <v>A10</v>
      </c>
      <c r="D197" s="2">
        <f ca="1">IFERROR(__xludf.DUMMYFUNCTION("""COMPUTED_VALUE"""),44887)</f>
        <v>44887</v>
      </c>
      <c r="E197" s="1">
        <f ca="1">IFERROR(__xludf.DUMMYFUNCTION("""COMPUTED_VALUE"""),-2.07)</f>
        <v>-2.0699999999999998</v>
      </c>
      <c r="F197" s="1">
        <f ca="1">IFERROR(__xludf.DUMMYFUNCTION("""COMPUTED_VALUE"""),106.1)</f>
        <v>106.1</v>
      </c>
      <c r="G197" s="1">
        <f ca="1">IFERROR(__xludf.DUMMYFUNCTION("""COMPUTED_VALUE"""),111)</f>
        <v>111</v>
      </c>
      <c r="H197" s="1">
        <f ca="1">IFERROR(__xludf.DUMMYFUNCTION("""COMPUTED_VALUE"""),108.2)</f>
        <v>108.2</v>
      </c>
      <c r="I197" s="1">
        <f ca="1">IFERROR(__xludf.DUMMYFUNCTION("""COMPUTED_VALUE"""),268)</f>
        <v>268</v>
      </c>
      <c r="J197" s="1">
        <f ca="1">IFERROR(__xludf.DUMMYFUNCTION("""COMPUTED_VALUE"""),62.8)</f>
        <v>62.8</v>
      </c>
      <c r="K197" s="1">
        <f ca="1">IFERROR(__xludf.DUMMYFUNCTION("""COMPUTED_VALUE"""),285)</f>
        <v>285</v>
      </c>
      <c r="L197" s="1" t="str">
        <f ca="1">IFERROR(__xludf.DUMMYFUNCTION("""COMPUTED_VALUE"""),"+.020")</f>
        <v>+.020</v>
      </c>
      <c r="M197" s="1">
        <f ca="1">IFERROR(__xludf.DUMMYFUNCTION("""COMPUTED_VALUE"""),133)</f>
        <v>133</v>
      </c>
      <c r="N197" s="1" t="str">
        <f ca="1">IFERROR(__xludf.DUMMYFUNCTION("""COMPUTED_VALUE"""),"+4.76")</f>
        <v>+4.76</v>
      </c>
      <c r="O197" s="1">
        <f ca="1">IFERROR(__xludf.DUMMYFUNCTION("""COMPUTED_VALUE"""),71)</f>
        <v>71</v>
      </c>
      <c r="P197" s="1">
        <f ca="1">IFERROR(__xludf.DUMMYFUNCTION("""COMPUTED_VALUE"""),105)</f>
        <v>105</v>
      </c>
      <c r="Q197" s="1">
        <f ca="1">IFERROR(__xludf.DUMMYFUNCTION("""COMPUTED_VALUE"""),95)</f>
        <v>95</v>
      </c>
      <c r="R197" s="1">
        <f ca="1">IFERROR(__xludf.DUMMYFUNCTION("""COMPUTED_VALUE"""),100.2)</f>
        <v>100.2</v>
      </c>
      <c r="S197" s="1">
        <f ca="1">IFERROR(__xludf.DUMMYFUNCTION("""COMPUTED_VALUE"""),51)</f>
        <v>51</v>
      </c>
      <c r="T197" s="1" t="str">
        <f ca="1">IFERROR(__xludf.DUMMYFUNCTION("""COMPUTED_VALUE"""),"+4.65")</f>
        <v>+4.65</v>
      </c>
      <c r="U197" s="1">
        <f ca="1">IFERROR(__xludf.DUMMYFUNCTION("""COMPUTED_VALUE"""),47)</f>
        <v>47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IFERROR(__xludf.DUMMYFUNCTION("""COMPUTED_VALUE"""),"Miami OH")</f>
        <v>Miami OH</v>
      </c>
      <c r="C198" s="1" t="str">
        <f ca="1">IFERROR(__xludf.DUMMYFUNCTION("""COMPUTED_VALUE"""),"MAC")</f>
        <v>MAC</v>
      </c>
      <c r="D198" s="1" t="str">
        <f ca="1">IFERROR(__xludf.DUMMYFUNCTION("""COMPUTED_VALUE"""),"16-17")</f>
        <v>16-17</v>
      </c>
      <c r="E198" s="1">
        <f ca="1">IFERROR(__xludf.DUMMYFUNCTION("""COMPUTED_VALUE"""),-2.11)</f>
        <v>-2.11</v>
      </c>
      <c r="F198" s="1">
        <f ca="1">IFERROR(__xludf.DUMMYFUNCTION("""COMPUTED_VALUE"""),105.5)</f>
        <v>105.5</v>
      </c>
      <c r="G198" s="1">
        <f ca="1">IFERROR(__xludf.DUMMYFUNCTION("""COMPUTED_VALUE"""),123)</f>
        <v>123</v>
      </c>
      <c r="H198" s="1">
        <f ca="1">IFERROR(__xludf.DUMMYFUNCTION("""COMPUTED_VALUE"""),107.6)</f>
        <v>107.6</v>
      </c>
      <c r="I198" s="1">
        <f ca="1">IFERROR(__xludf.DUMMYFUNCTION("""COMPUTED_VALUE"""),258)</f>
        <v>258</v>
      </c>
      <c r="J198" s="1">
        <f ca="1">IFERROR(__xludf.DUMMYFUNCTION("""COMPUTED_VALUE"""),62.5)</f>
        <v>62.5</v>
      </c>
      <c r="K198" s="1">
        <f ca="1">IFERROR(__xludf.DUMMYFUNCTION("""COMPUTED_VALUE"""),299)</f>
        <v>299</v>
      </c>
      <c r="L198" s="1" t="str">
        <f ca="1">IFERROR(__xludf.DUMMYFUNCTION("""COMPUTED_VALUE"""),"+.119")</f>
        <v>+.119</v>
      </c>
      <c r="M198" s="1">
        <f ca="1">IFERROR(__xludf.DUMMYFUNCTION("""COMPUTED_VALUE"""),8)</f>
        <v>8</v>
      </c>
      <c r="N198" s="1" t="str">
        <f ca="1">IFERROR(__xludf.DUMMYFUNCTION("""COMPUTED_VALUE"""),"+3.35")</f>
        <v>+3.35</v>
      </c>
      <c r="O198" s="1">
        <f ca="1">IFERROR(__xludf.DUMMYFUNCTION("""COMPUTED_VALUE"""),86)</f>
        <v>86</v>
      </c>
      <c r="P198" s="1">
        <f ca="1">IFERROR(__xludf.DUMMYFUNCTION("""COMPUTED_VALUE"""),104.9)</f>
        <v>104.9</v>
      </c>
      <c r="Q198" s="1">
        <f ca="1">IFERROR(__xludf.DUMMYFUNCTION("""COMPUTED_VALUE"""),97)</f>
        <v>97</v>
      </c>
      <c r="R198" s="1">
        <f ca="1">IFERROR(__xludf.DUMMYFUNCTION("""COMPUTED_VALUE"""),101.6)</f>
        <v>101.6</v>
      </c>
      <c r="S198" s="1">
        <f ca="1">IFERROR(__xludf.DUMMYFUNCTION("""COMPUTED_VALUE"""),87)</f>
        <v>87</v>
      </c>
      <c r="T198" s="1" t="str">
        <f ca="1">IFERROR(__xludf.DUMMYFUNCTION("""COMPUTED_VALUE"""),"+11.75")</f>
        <v>+11.75</v>
      </c>
      <c r="U198" s="1">
        <f ca="1">IFERROR(__xludf.DUMMYFUNCTION("""COMPUTED_VALUE"""),7)</f>
        <v>7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IFERROR(__xludf.DUMMYFUNCTION("""COMPUTED_VALUE"""),"Middle Tennessee")</f>
        <v>Middle Tennessee</v>
      </c>
      <c r="C199" s="1" t="str">
        <f ca="1">IFERROR(__xludf.DUMMYFUNCTION("""COMPUTED_VALUE"""),"SB")</f>
        <v>SB</v>
      </c>
      <c r="D199" s="1" t="str">
        <f ca="1">IFERROR(__xludf.DUMMYFUNCTION("""COMPUTED_VALUE"""),"16-16")</f>
        <v>16-16</v>
      </c>
      <c r="E199" s="1">
        <f ca="1">IFERROR(__xludf.DUMMYFUNCTION("""COMPUTED_VALUE"""),-2.19)</f>
        <v>-2.19</v>
      </c>
      <c r="F199" s="1">
        <f ca="1">IFERROR(__xludf.DUMMYFUNCTION("""COMPUTED_VALUE"""),98.5)</f>
        <v>98.5</v>
      </c>
      <c r="G199" s="1">
        <f ca="1">IFERROR(__xludf.DUMMYFUNCTION("""COMPUTED_VALUE"""),260)</f>
        <v>260</v>
      </c>
      <c r="H199" s="1">
        <f ca="1">IFERROR(__xludf.DUMMYFUNCTION("""COMPUTED_VALUE"""),100.7)</f>
        <v>100.7</v>
      </c>
      <c r="I199" s="1">
        <f ca="1">IFERROR(__xludf.DUMMYFUNCTION("""COMPUTED_VALUE"""),115)</f>
        <v>115</v>
      </c>
      <c r="J199" s="1">
        <f ca="1">IFERROR(__xludf.DUMMYFUNCTION("""COMPUTED_VALUE"""),65.6)</f>
        <v>65.599999999999994</v>
      </c>
      <c r="K199" s="1">
        <f ca="1">IFERROR(__xludf.DUMMYFUNCTION("""COMPUTED_VALUE"""),158)</f>
        <v>158</v>
      </c>
      <c r="L199" s="1">
        <f ca="1">IFERROR(__xludf.DUMMYFUNCTION("""COMPUTED_VALUE"""),-0.071)</f>
        <v>-7.0999999999999994E-2</v>
      </c>
      <c r="M199" s="1">
        <f ca="1">IFERROR(__xludf.DUMMYFUNCTION("""COMPUTED_VALUE"""),320)</f>
        <v>320</v>
      </c>
      <c r="N199" s="1">
        <f ca="1">IFERROR(__xludf.DUMMYFUNCTION("""COMPUTED_VALUE"""),-6.03)</f>
        <v>-6.03</v>
      </c>
      <c r="O199" s="1">
        <f ca="1">IFERROR(__xludf.DUMMYFUNCTION("""COMPUTED_VALUE"""),305)</f>
        <v>305</v>
      </c>
      <c r="P199" s="1">
        <f ca="1">IFERROR(__xludf.DUMMYFUNCTION("""COMPUTED_VALUE"""),100.7)</f>
        <v>100.7</v>
      </c>
      <c r="Q199" s="1">
        <f ca="1">IFERROR(__xludf.DUMMYFUNCTION("""COMPUTED_VALUE"""),270)</f>
        <v>270</v>
      </c>
      <c r="R199" s="1">
        <f ca="1">IFERROR(__xludf.DUMMYFUNCTION("""COMPUTED_VALUE"""),106.7)</f>
        <v>106.7</v>
      </c>
      <c r="S199" s="1">
        <f ca="1">IFERROR(__xludf.DUMMYFUNCTION("""COMPUTED_VALUE"""),323)</f>
        <v>323</v>
      </c>
      <c r="T199" s="1">
        <f ca="1">IFERROR(__xludf.DUMMYFUNCTION("""COMPUTED_VALUE"""),-2.45)</f>
        <v>-2.4500000000000002</v>
      </c>
      <c r="U199" s="1">
        <f ca="1">IFERROR(__xludf.DUMMYFUNCTION("""COMPUTED_VALUE"""),218)</f>
        <v>218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IFERROR(__xludf.DUMMYFUNCTION("""COMPUTED_VALUE"""),"Lehigh")</f>
        <v>Lehigh</v>
      </c>
      <c r="C200" s="1" t="str">
        <f ca="1">IFERROR(__xludf.DUMMYFUNCTION("""COMPUTED_VALUE"""),"Pat")</f>
        <v>Pat</v>
      </c>
      <c r="D200" s="1" t="str">
        <f ca="1">IFERROR(__xludf.DUMMYFUNCTION("""COMPUTED_VALUE"""),"16-15")</f>
        <v>16-15</v>
      </c>
      <c r="E200" s="1">
        <f ca="1">IFERROR(__xludf.DUMMYFUNCTION("""COMPUTED_VALUE"""),-2.2)</f>
        <v>-2.2000000000000002</v>
      </c>
      <c r="F200" s="1">
        <f ca="1">IFERROR(__xludf.DUMMYFUNCTION("""COMPUTED_VALUE"""),102.7)</f>
        <v>102.7</v>
      </c>
      <c r="G200" s="1">
        <f ca="1">IFERROR(__xludf.DUMMYFUNCTION("""COMPUTED_VALUE"""),185)</f>
        <v>185</v>
      </c>
      <c r="H200" s="1">
        <f ca="1">IFERROR(__xludf.DUMMYFUNCTION("""COMPUTED_VALUE"""),104.9)</f>
        <v>104.9</v>
      </c>
      <c r="I200" s="1">
        <f ca="1">IFERROR(__xludf.DUMMYFUNCTION("""COMPUTED_VALUE"""),212)</f>
        <v>212</v>
      </c>
      <c r="J200" s="1">
        <f ca="1">IFERROR(__xludf.DUMMYFUNCTION("""COMPUTED_VALUE"""),69.9)</f>
        <v>69.900000000000006</v>
      </c>
      <c r="K200" s="1">
        <f ca="1">IFERROR(__xludf.DUMMYFUNCTION("""COMPUTED_VALUE"""),20)</f>
        <v>20</v>
      </c>
      <c r="L200" s="1">
        <f ca="1">IFERROR(__xludf.DUMMYFUNCTION("""COMPUTED_VALUE"""),-0.029)</f>
        <v>-2.9000000000000001E-2</v>
      </c>
      <c r="M200" s="1">
        <f ca="1">IFERROR(__xludf.DUMMYFUNCTION("""COMPUTED_VALUE"""),253)</f>
        <v>253</v>
      </c>
      <c r="N200" s="1">
        <f ca="1">IFERROR(__xludf.DUMMYFUNCTION("""COMPUTED_VALUE"""),-5.22)</f>
        <v>-5.22</v>
      </c>
      <c r="O200" s="1">
        <f ca="1">IFERROR(__xludf.DUMMYFUNCTION("""COMPUTED_VALUE"""),286)</f>
        <v>286</v>
      </c>
      <c r="P200" s="1">
        <f ca="1">IFERROR(__xludf.DUMMYFUNCTION("""COMPUTED_VALUE"""),100.1)</f>
        <v>100.1</v>
      </c>
      <c r="Q200" s="1">
        <f ca="1">IFERROR(__xludf.DUMMYFUNCTION("""COMPUTED_VALUE"""),297)</f>
        <v>297</v>
      </c>
      <c r="R200" s="1">
        <f ca="1">IFERROR(__xludf.DUMMYFUNCTION("""COMPUTED_VALUE"""),105.3)</f>
        <v>105.3</v>
      </c>
      <c r="S200" s="1">
        <f ca="1">IFERROR(__xludf.DUMMYFUNCTION("""COMPUTED_VALUE"""),251)</f>
        <v>251</v>
      </c>
      <c r="T200" s="1">
        <f ca="1">IFERROR(__xludf.DUMMYFUNCTION("""COMPUTED_VALUE"""),-3.96)</f>
        <v>-3.96</v>
      </c>
      <c r="U200" s="1">
        <f ca="1">IFERROR(__xludf.DUMMYFUNCTION("""COMPUTED_VALUE"""),261)</f>
        <v>261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IFERROR(__xludf.DUMMYFUNCTION("""COMPUTED_VALUE"""),"Tulane")</f>
        <v>Tulane</v>
      </c>
      <c r="C201" s="1" t="str">
        <f ca="1">IFERROR(__xludf.DUMMYFUNCTION("""COMPUTED_VALUE"""),"CUSA")</f>
        <v>CUSA</v>
      </c>
      <c r="D201" s="1" t="str">
        <f ca="1">IFERROR(__xludf.DUMMYFUNCTION("""COMPUTED_VALUE"""),"13-17")</f>
        <v>13-17</v>
      </c>
      <c r="E201" s="1">
        <f ca="1">IFERROR(__xludf.DUMMYFUNCTION("""COMPUTED_VALUE"""),-2.34)</f>
        <v>-2.34</v>
      </c>
      <c r="F201" s="1">
        <f ca="1">IFERROR(__xludf.DUMMYFUNCTION("""COMPUTED_VALUE"""),102.4)</f>
        <v>102.4</v>
      </c>
      <c r="G201" s="1">
        <f ca="1">IFERROR(__xludf.DUMMYFUNCTION("""COMPUTED_VALUE"""),189)</f>
        <v>189</v>
      </c>
      <c r="H201" s="1">
        <f ca="1">IFERROR(__xludf.DUMMYFUNCTION("""COMPUTED_VALUE"""),104.7)</f>
        <v>104.7</v>
      </c>
      <c r="I201" s="1">
        <f ca="1">IFERROR(__xludf.DUMMYFUNCTION("""COMPUTED_VALUE"""),206)</f>
        <v>206</v>
      </c>
      <c r="J201" s="1">
        <f ca="1">IFERROR(__xludf.DUMMYFUNCTION("""COMPUTED_VALUE"""),64.7)</f>
        <v>64.7</v>
      </c>
      <c r="K201" s="1">
        <f ca="1">IFERROR(__xludf.DUMMYFUNCTION("""COMPUTED_VALUE"""),209)</f>
        <v>209</v>
      </c>
      <c r="L201" s="1">
        <f ca="1">IFERROR(__xludf.DUMMYFUNCTION("""COMPUTED_VALUE"""),-0.125)</f>
        <v>-0.125</v>
      </c>
      <c r="M201" s="1">
        <f ca="1">IFERROR(__xludf.DUMMYFUNCTION("""COMPUTED_VALUE"""),340)</f>
        <v>340</v>
      </c>
      <c r="N201" s="1">
        <f ca="1">IFERROR(__xludf.DUMMYFUNCTION("""COMPUTED_VALUE"""),-0.91)</f>
        <v>-0.91</v>
      </c>
      <c r="O201" s="1">
        <f ca="1">IFERROR(__xludf.DUMMYFUNCTION("""COMPUTED_VALUE"""),169)</f>
        <v>169</v>
      </c>
      <c r="P201" s="1">
        <f ca="1">IFERROR(__xludf.DUMMYFUNCTION("""COMPUTED_VALUE"""),102.6)</f>
        <v>102.6</v>
      </c>
      <c r="Q201" s="1">
        <f ca="1">IFERROR(__xludf.DUMMYFUNCTION("""COMPUTED_VALUE"""),197)</f>
        <v>197</v>
      </c>
      <c r="R201" s="1">
        <f ca="1">IFERROR(__xludf.DUMMYFUNCTION("""COMPUTED_VALUE"""),103.5)</f>
        <v>103.5</v>
      </c>
      <c r="S201" s="1">
        <f ca="1">IFERROR(__xludf.DUMMYFUNCTION("""COMPUTED_VALUE"""),159)</f>
        <v>159</v>
      </c>
      <c r="T201" s="1">
        <f ca="1">IFERROR(__xludf.DUMMYFUNCTION("""COMPUTED_VALUE"""),-13.09)</f>
        <v>-13.09</v>
      </c>
      <c r="U201" s="1">
        <f ca="1">IFERROR(__xludf.DUMMYFUNCTION("""COMPUTED_VALUE"""),344)</f>
        <v>344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IFERROR(__xludf.DUMMYFUNCTION("""COMPUTED_VALUE"""),"Cornell")</f>
        <v>Cornell</v>
      </c>
      <c r="C202" s="1" t="str">
        <f ca="1">IFERROR(__xludf.DUMMYFUNCTION("""COMPUTED_VALUE"""),"Ivy")</f>
        <v>Ivy</v>
      </c>
      <c r="D202" s="2">
        <f ca="1">IFERROR(__xludf.DUMMYFUNCTION("""COMPUTED_VALUE"""),44852)</f>
        <v>44852</v>
      </c>
      <c r="E202" s="1">
        <f ca="1">IFERROR(__xludf.DUMMYFUNCTION("""COMPUTED_VALUE"""),-2.42)</f>
        <v>-2.42</v>
      </c>
      <c r="F202" s="1">
        <f ca="1">IFERROR(__xludf.DUMMYFUNCTION("""COMPUTED_VALUE"""),105.2)</f>
        <v>105.2</v>
      </c>
      <c r="G202" s="1">
        <f ca="1">IFERROR(__xludf.DUMMYFUNCTION("""COMPUTED_VALUE"""),127)</f>
        <v>127</v>
      </c>
      <c r="H202" s="1">
        <f ca="1">IFERROR(__xludf.DUMMYFUNCTION("""COMPUTED_VALUE"""),107.6)</f>
        <v>107.6</v>
      </c>
      <c r="I202" s="1">
        <f ca="1">IFERROR(__xludf.DUMMYFUNCTION("""COMPUTED_VALUE"""),259)</f>
        <v>259</v>
      </c>
      <c r="J202" s="1">
        <f ca="1">IFERROR(__xludf.DUMMYFUNCTION("""COMPUTED_VALUE"""),65.1)</f>
        <v>65.099999999999994</v>
      </c>
      <c r="K202" s="1">
        <f ca="1">IFERROR(__xludf.DUMMYFUNCTION("""COMPUTED_VALUE"""),179)</f>
        <v>179</v>
      </c>
      <c r="L202" s="1">
        <f ca="1">IFERROR(__xludf.DUMMYFUNCTION("""COMPUTED_VALUE"""),-0.07)</f>
        <v>-7.0000000000000007E-2</v>
      </c>
      <c r="M202" s="1">
        <f ca="1">IFERROR(__xludf.DUMMYFUNCTION("""COMPUTED_VALUE"""),317)</f>
        <v>317</v>
      </c>
      <c r="N202" s="1">
        <f ca="1">IFERROR(__xludf.DUMMYFUNCTION("""COMPUTED_VALUE"""),-0.58)</f>
        <v>-0.57999999999999996</v>
      </c>
      <c r="O202" s="1">
        <f ca="1">IFERROR(__xludf.DUMMYFUNCTION("""COMPUTED_VALUE"""),163)</f>
        <v>163</v>
      </c>
      <c r="P202" s="1">
        <f ca="1">IFERROR(__xludf.DUMMYFUNCTION("""COMPUTED_VALUE"""),102.6)</f>
        <v>102.6</v>
      </c>
      <c r="Q202" s="1">
        <f ca="1">IFERROR(__xludf.DUMMYFUNCTION("""COMPUTED_VALUE"""),193)</f>
        <v>193</v>
      </c>
      <c r="R202" s="1">
        <f ca="1">IFERROR(__xludf.DUMMYFUNCTION("""COMPUTED_VALUE"""),103.2)</f>
        <v>103.2</v>
      </c>
      <c r="S202" s="1">
        <f ca="1">IFERROR(__xludf.DUMMYFUNCTION("""COMPUTED_VALUE"""),148)</f>
        <v>148</v>
      </c>
      <c r="T202" s="1" t="str">
        <f ca="1">IFERROR(__xludf.DUMMYFUNCTION("""COMPUTED_VALUE"""),"+1.44")</f>
        <v>+1.44</v>
      </c>
      <c r="U202" s="1">
        <f ca="1">IFERROR(__xludf.DUMMYFUNCTION("""COMPUTED_VALUE"""),113)</f>
        <v>113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IFERROR(__xludf.DUMMYFUNCTION("""COMPUTED_VALUE"""),"Bradley")</f>
        <v>Bradley</v>
      </c>
      <c r="C203" s="1" t="str">
        <f ca="1">IFERROR(__xludf.DUMMYFUNCTION("""COMPUTED_VALUE"""),"MVC")</f>
        <v>MVC</v>
      </c>
      <c r="D203" s="2">
        <f ca="1">IFERROR(__xludf.DUMMYFUNCTION("""COMPUTED_VALUE"""),44915)</f>
        <v>44915</v>
      </c>
      <c r="E203" s="1">
        <f ca="1">IFERROR(__xludf.DUMMYFUNCTION("""COMPUTED_VALUE"""),-2.45)</f>
        <v>-2.4500000000000002</v>
      </c>
      <c r="F203" s="1">
        <f ca="1">IFERROR(__xludf.DUMMYFUNCTION("""COMPUTED_VALUE"""),101.3)</f>
        <v>101.3</v>
      </c>
      <c r="G203" s="1">
        <f ca="1">IFERROR(__xludf.DUMMYFUNCTION("""COMPUTED_VALUE"""),211)</f>
        <v>211</v>
      </c>
      <c r="H203" s="1">
        <f ca="1">IFERROR(__xludf.DUMMYFUNCTION("""COMPUTED_VALUE"""),103.7)</f>
        <v>103.7</v>
      </c>
      <c r="I203" s="1">
        <f ca="1">IFERROR(__xludf.DUMMYFUNCTION("""COMPUTED_VALUE"""),180)</f>
        <v>180</v>
      </c>
      <c r="J203" s="1">
        <f ca="1">IFERROR(__xludf.DUMMYFUNCTION("""COMPUTED_VALUE"""),65.7)</f>
        <v>65.7</v>
      </c>
      <c r="K203" s="1">
        <f ca="1">IFERROR(__xludf.DUMMYFUNCTION("""COMPUTED_VALUE"""),152)</f>
        <v>152</v>
      </c>
      <c r="L203" s="1">
        <f ca="1">IFERROR(__xludf.DUMMYFUNCTION("""COMPUTED_VALUE"""),-0.033)</f>
        <v>-3.3000000000000002E-2</v>
      </c>
      <c r="M203" s="1">
        <f ca="1">IFERROR(__xludf.DUMMYFUNCTION("""COMPUTED_VALUE"""),266)</f>
        <v>266</v>
      </c>
      <c r="N203" s="1" t="str">
        <f ca="1">IFERROR(__xludf.DUMMYFUNCTION("""COMPUTED_VALUE"""),"+0.67")</f>
        <v>+0.67</v>
      </c>
      <c r="O203" s="1">
        <f ca="1">IFERROR(__xludf.DUMMYFUNCTION("""COMPUTED_VALUE"""),139)</f>
        <v>139</v>
      </c>
      <c r="P203" s="1">
        <f ca="1">IFERROR(__xludf.DUMMYFUNCTION("""COMPUTED_VALUE"""),103.5)</f>
        <v>103.5</v>
      </c>
      <c r="Q203" s="1">
        <f ca="1">IFERROR(__xludf.DUMMYFUNCTION("""COMPUTED_VALUE"""),154)</f>
        <v>154</v>
      </c>
      <c r="R203" s="1">
        <f ca="1">IFERROR(__xludf.DUMMYFUNCTION("""COMPUTED_VALUE"""),102.9)</f>
        <v>102.9</v>
      </c>
      <c r="S203" s="1">
        <f ca="1">IFERROR(__xludf.DUMMYFUNCTION("""COMPUTED_VALUE"""),129)</f>
        <v>129</v>
      </c>
      <c r="T203" s="1">
        <f ca="1">IFERROR(__xludf.DUMMYFUNCTION("""COMPUTED_VALUE"""),-4.11)</f>
        <v>-4.1100000000000003</v>
      </c>
      <c r="U203" s="1">
        <f ca="1">IFERROR(__xludf.DUMMYFUNCTION("""COMPUTED_VALUE"""),268)</f>
        <v>268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IFERROR(__xludf.DUMMYFUNCTION("""COMPUTED_VALUE"""),"Northeastern")</f>
        <v>Northeastern</v>
      </c>
      <c r="C204" s="1" t="str">
        <f ca="1">IFERROR(__xludf.DUMMYFUNCTION("""COMPUTED_VALUE"""),"CAA")</f>
        <v>CAA</v>
      </c>
      <c r="D204" s="2">
        <f ca="1">IFERROR(__xludf.DUMMYFUNCTION("""COMPUTED_VALUE"""),44885)</f>
        <v>44885</v>
      </c>
      <c r="E204" s="1">
        <f ca="1">IFERROR(__xludf.DUMMYFUNCTION("""COMPUTED_VALUE"""),-2.59)</f>
        <v>-2.59</v>
      </c>
      <c r="F204" s="1">
        <f ca="1">IFERROR(__xludf.DUMMYFUNCTION("""COMPUTED_VALUE"""),108.8)</f>
        <v>108.8</v>
      </c>
      <c r="G204" s="1">
        <f ca="1">IFERROR(__xludf.DUMMYFUNCTION("""COMPUTED_VALUE"""),79)</f>
        <v>79</v>
      </c>
      <c r="H204" s="1">
        <f ca="1">IFERROR(__xludf.DUMMYFUNCTION("""COMPUTED_VALUE"""),111.4)</f>
        <v>111.4</v>
      </c>
      <c r="I204" s="1">
        <f ca="1">IFERROR(__xludf.DUMMYFUNCTION("""COMPUTED_VALUE"""),313)</f>
        <v>313</v>
      </c>
      <c r="J204" s="1">
        <f ca="1">IFERROR(__xludf.DUMMYFUNCTION("""COMPUTED_VALUE"""),62.6)</f>
        <v>62.6</v>
      </c>
      <c r="K204" s="1">
        <f ca="1">IFERROR(__xludf.DUMMYFUNCTION("""COMPUTED_VALUE"""),294)</f>
        <v>294</v>
      </c>
      <c r="L204" s="1" t="str">
        <f ca="1">IFERROR(__xludf.DUMMYFUNCTION("""COMPUTED_VALUE"""),"+.023")</f>
        <v>+.023</v>
      </c>
      <c r="M204" s="1">
        <f ca="1">IFERROR(__xludf.DUMMYFUNCTION("""COMPUTED_VALUE"""),122)</f>
        <v>122</v>
      </c>
      <c r="N204" s="1" t="str">
        <f ca="1">IFERROR(__xludf.DUMMYFUNCTION("""COMPUTED_VALUE"""),"+2.43")</f>
        <v>+2.43</v>
      </c>
      <c r="O204" s="1">
        <f ca="1">IFERROR(__xludf.DUMMYFUNCTION("""COMPUTED_VALUE"""),98)</f>
        <v>98</v>
      </c>
      <c r="P204" s="1">
        <f ca="1">IFERROR(__xludf.DUMMYFUNCTION("""COMPUTED_VALUE"""),104)</f>
        <v>104</v>
      </c>
      <c r="Q204" s="1">
        <f ca="1">IFERROR(__xludf.DUMMYFUNCTION("""COMPUTED_VALUE"""),131)</f>
        <v>131</v>
      </c>
      <c r="R204" s="1">
        <f ca="1">IFERROR(__xludf.DUMMYFUNCTION("""COMPUTED_VALUE"""),101.6)</f>
        <v>101.6</v>
      </c>
      <c r="S204" s="1">
        <f ca="1">IFERROR(__xludf.DUMMYFUNCTION("""COMPUTED_VALUE"""),88)</f>
        <v>88</v>
      </c>
      <c r="T204" s="1" t="str">
        <f ca="1">IFERROR(__xludf.DUMMYFUNCTION("""COMPUTED_VALUE"""),"+2.39")</f>
        <v>+2.39</v>
      </c>
      <c r="U204" s="1">
        <f ca="1">IFERROR(__xludf.DUMMYFUNCTION("""COMPUTED_VALUE"""),86)</f>
        <v>86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IFERROR(__xludf.DUMMYFUNCTION("""COMPUTED_VALUE"""),"Arkansas St.")</f>
        <v>Arkansas St.</v>
      </c>
      <c r="C205" s="1" t="str">
        <f ca="1">IFERROR(__xludf.DUMMYFUNCTION("""COMPUTED_VALUE"""),"SB")</f>
        <v>SB</v>
      </c>
      <c r="D205" s="1" t="str">
        <f ca="1">IFERROR(__xludf.DUMMYFUNCTION("""COMPUTED_VALUE"""),"17-15")</f>
        <v>17-15</v>
      </c>
      <c r="E205" s="1">
        <f ca="1">IFERROR(__xludf.DUMMYFUNCTION("""COMPUTED_VALUE"""),-2.73)</f>
        <v>-2.73</v>
      </c>
      <c r="F205" s="1">
        <f ca="1">IFERROR(__xludf.DUMMYFUNCTION("""COMPUTED_VALUE"""),100.9)</f>
        <v>100.9</v>
      </c>
      <c r="G205" s="1">
        <f ca="1">IFERROR(__xludf.DUMMYFUNCTION("""COMPUTED_VALUE"""),217)</f>
        <v>217</v>
      </c>
      <c r="H205" s="1">
        <f ca="1">IFERROR(__xludf.DUMMYFUNCTION("""COMPUTED_VALUE"""),103.6)</f>
        <v>103.6</v>
      </c>
      <c r="I205" s="1">
        <f ca="1">IFERROR(__xludf.DUMMYFUNCTION("""COMPUTED_VALUE"""),177)</f>
        <v>177</v>
      </c>
      <c r="J205" s="1">
        <f ca="1">IFERROR(__xludf.DUMMYFUNCTION("""COMPUTED_VALUE"""),64.1)</f>
        <v>64.099999999999994</v>
      </c>
      <c r="K205" s="1">
        <f ca="1">IFERROR(__xludf.DUMMYFUNCTION("""COMPUTED_VALUE"""),239)</f>
        <v>239</v>
      </c>
      <c r="L205" s="1" t="str">
        <f ca="1">IFERROR(__xludf.DUMMYFUNCTION("""COMPUTED_VALUE"""),"+.002")</f>
        <v>+.002</v>
      </c>
      <c r="M205" s="1">
        <f ca="1">IFERROR(__xludf.DUMMYFUNCTION("""COMPUTED_VALUE"""),178)</f>
        <v>178</v>
      </c>
      <c r="N205" s="1">
        <f ca="1">IFERROR(__xludf.DUMMYFUNCTION("""COMPUTED_VALUE"""),-3.81)</f>
        <v>-3.81</v>
      </c>
      <c r="O205" s="1">
        <f ca="1">IFERROR(__xludf.DUMMYFUNCTION("""COMPUTED_VALUE"""),248)</f>
        <v>248</v>
      </c>
      <c r="P205" s="1">
        <f ca="1">IFERROR(__xludf.DUMMYFUNCTION("""COMPUTED_VALUE"""),101.8)</f>
        <v>101.8</v>
      </c>
      <c r="Q205" s="1">
        <f ca="1">IFERROR(__xludf.DUMMYFUNCTION("""COMPUTED_VALUE"""),229)</f>
        <v>229</v>
      </c>
      <c r="R205" s="1">
        <f ca="1">IFERROR(__xludf.DUMMYFUNCTION("""COMPUTED_VALUE"""),105.6)</f>
        <v>105.6</v>
      </c>
      <c r="S205" s="1">
        <f ca="1">IFERROR(__xludf.DUMMYFUNCTION("""COMPUTED_VALUE"""),265)</f>
        <v>265</v>
      </c>
      <c r="T205" s="1" t="str">
        <f ca="1">IFERROR(__xludf.DUMMYFUNCTION("""COMPUTED_VALUE"""),"+2.06")</f>
        <v>+2.06</v>
      </c>
      <c r="U205" s="1">
        <f ca="1">IFERROR(__xludf.DUMMYFUNCTION("""COMPUTED_VALUE"""),93)</f>
        <v>93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IFERROR(__xludf.DUMMYFUNCTION("""COMPUTED_VALUE"""),"Delaware")</f>
        <v>Delaware</v>
      </c>
      <c r="C206" s="1" t="str">
        <f ca="1">IFERROR(__xludf.DUMMYFUNCTION("""COMPUTED_VALUE"""),"CAA")</f>
        <v>CAA</v>
      </c>
      <c r="D206" s="1" t="str">
        <f ca="1">IFERROR(__xludf.DUMMYFUNCTION("""COMPUTED_VALUE"""),"14-17")</f>
        <v>14-17</v>
      </c>
      <c r="E206" s="1">
        <f ca="1">IFERROR(__xludf.DUMMYFUNCTION("""COMPUTED_VALUE"""),-3.1)</f>
        <v>-3.1</v>
      </c>
      <c r="F206" s="1">
        <f ca="1">IFERROR(__xludf.DUMMYFUNCTION("""COMPUTED_VALUE"""),100.4)</f>
        <v>100.4</v>
      </c>
      <c r="G206" s="1">
        <f ca="1">IFERROR(__xludf.DUMMYFUNCTION("""COMPUTED_VALUE"""),228)</f>
        <v>228</v>
      </c>
      <c r="H206" s="1">
        <f ca="1">IFERROR(__xludf.DUMMYFUNCTION("""COMPUTED_VALUE"""),103.5)</f>
        <v>103.5</v>
      </c>
      <c r="I206" s="1">
        <f ca="1">IFERROR(__xludf.DUMMYFUNCTION("""COMPUTED_VALUE"""),171)</f>
        <v>171</v>
      </c>
      <c r="J206" s="1">
        <f ca="1">IFERROR(__xludf.DUMMYFUNCTION("""COMPUTED_VALUE"""),63.4)</f>
        <v>63.4</v>
      </c>
      <c r="K206" s="1">
        <f ca="1">IFERROR(__xludf.DUMMYFUNCTION("""COMPUTED_VALUE"""),266)</f>
        <v>266</v>
      </c>
      <c r="L206" s="1" t="str">
        <f ca="1">IFERROR(__xludf.DUMMYFUNCTION("""COMPUTED_VALUE"""),"+.059")</f>
        <v>+.059</v>
      </c>
      <c r="M206" s="1">
        <f ca="1">IFERROR(__xludf.DUMMYFUNCTION("""COMPUTED_VALUE"""),42)</f>
        <v>42</v>
      </c>
      <c r="N206" s="1" t="str">
        <f ca="1">IFERROR(__xludf.DUMMYFUNCTION("""COMPUTED_VALUE"""),"+1.83")</f>
        <v>+1.83</v>
      </c>
      <c r="O206" s="1">
        <f ca="1">IFERROR(__xludf.DUMMYFUNCTION("""COMPUTED_VALUE"""),110)</f>
        <v>110</v>
      </c>
      <c r="P206" s="1">
        <f ca="1">IFERROR(__xludf.DUMMYFUNCTION("""COMPUTED_VALUE"""),105.7)</f>
        <v>105.7</v>
      </c>
      <c r="Q206" s="1">
        <f ca="1">IFERROR(__xludf.DUMMYFUNCTION("""COMPUTED_VALUE"""),79)</f>
        <v>79</v>
      </c>
      <c r="R206" s="1">
        <f ca="1">IFERROR(__xludf.DUMMYFUNCTION("""COMPUTED_VALUE"""),103.9)</f>
        <v>103.9</v>
      </c>
      <c r="S206" s="1">
        <f ca="1">IFERROR(__xludf.DUMMYFUNCTION("""COMPUTED_VALUE"""),176)</f>
        <v>176</v>
      </c>
      <c r="T206" s="1" t="str">
        <f ca="1">IFERROR(__xludf.DUMMYFUNCTION("""COMPUTED_VALUE"""),"+0.09")</f>
        <v>+0.09</v>
      </c>
      <c r="U206" s="1">
        <f ca="1">IFERROR(__xludf.DUMMYFUNCTION("""COMPUTED_VALUE"""),155)</f>
        <v>155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IFERROR(__xludf.DUMMYFUNCTION("""COMPUTED_VALUE"""),"DePaul")</f>
        <v>DePaul</v>
      </c>
      <c r="C207" s="1" t="str">
        <f ca="1">IFERROR(__xludf.DUMMYFUNCTION("""COMPUTED_VALUE"""),"BE")</f>
        <v>BE</v>
      </c>
      <c r="D207" s="2">
        <f ca="1">IFERROR(__xludf.DUMMYFUNCTION("""COMPUTED_VALUE"""),44766)</f>
        <v>44766</v>
      </c>
      <c r="E207" s="1">
        <f ca="1">IFERROR(__xludf.DUMMYFUNCTION("""COMPUTED_VALUE"""),-3.28)</f>
        <v>-3.28</v>
      </c>
      <c r="F207" s="1">
        <f ca="1">IFERROR(__xludf.DUMMYFUNCTION("""COMPUTED_VALUE"""),103.1)</f>
        <v>103.1</v>
      </c>
      <c r="G207" s="1">
        <f ca="1">IFERROR(__xludf.DUMMYFUNCTION("""COMPUTED_VALUE"""),174)</f>
        <v>174</v>
      </c>
      <c r="H207" s="1">
        <f ca="1">IFERROR(__xludf.DUMMYFUNCTION("""COMPUTED_VALUE"""),106.4)</f>
        <v>106.4</v>
      </c>
      <c r="I207" s="1">
        <f ca="1">IFERROR(__xludf.DUMMYFUNCTION("""COMPUTED_VALUE"""),239)</f>
        <v>239</v>
      </c>
      <c r="J207" s="1">
        <f ca="1">IFERROR(__xludf.DUMMYFUNCTION("""COMPUTED_VALUE"""),68.3)</f>
        <v>68.3</v>
      </c>
      <c r="K207" s="1">
        <f ca="1">IFERROR(__xludf.DUMMYFUNCTION("""COMPUTED_VALUE"""),46)</f>
        <v>46</v>
      </c>
      <c r="L207" s="1">
        <f ca="1">IFERROR(__xludf.DUMMYFUNCTION("""COMPUTED_VALUE"""),-0.043)</f>
        <v>-4.2999999999999997E-2</v>
      </c>
      <c r="M207" s="1">
        <f ca="1">IFERROR(__xludf.DUMMYFUNCTION("""COMPUTED_VALUE"""),284)</f>
        <v>284</v>
      </c>
      <c r="N207" s="1" t="str">
        <f ca="1">IFERROR(__xludf.DUMMYFUNCTION("""COMPUTED_VALUE"""),"+8.56")</f>
        <v>+8.56</v>
      </c>
      <c r="O207" s="1">
        <f ca="1">IFERROR(__xludf.DUMMYFUNCTION("""COMPUTED_VALUE"""),28)</f>
        <v>28</v>
      </c>
      <c r="P207" s="1">
        <f ca="1">IFERROR(__xludf.DUMMYFUNCTION("""COMPUTED_VALUE"""),107.6)</f>
        <v>107.6</v>
      </c>
      <c r="Q207" s="1">
        <f ca="1">IFERROR(__xludf.DUMMYFUNCTION("""COMPUTED_VALUE"""),33)</f>
        <v>33</v>
      </c>
      <c r="R207" s="1">
        <f ca="1">IFERROR(__xludf.DUMMYFUNCTION("""COMPUTED_VALUE"""),99)</f>
        <v>99</v>
      </c>
      <c r="S207" s="1">
        <f ca="1">IFERROR(__xludf.DUMMYFUNCTION("""COMPUTED_VALUE"""),17)</f>
        <v>17</v>
      </c>
      <c r="T207" s="1">
        <f ca="1">IFERROR(__xludf.DUMMYFUNCTION("""COMPUTED_VALUE"""),-5.78)</f>
        <v>-5.78</v>
      </c>
      <c r="U207" s="1">
        <f ca="1">IFERROR(__xludf.DUMMYFUNCTION("""COMPUTED_VALUE"""),306)</f>
        <v>306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IFERROR(__xludf.DUMMYFUNCTION("""COMPUTED_VALUE"""),"Loyola Marymount")</f>
        <v>Loyola Marymount</v>
      </c>
      <c r="C208" s="1" t="str">
        <f ca="1">IFERROR(__xludf.DUMMYFUNCTION("""COMPUTED_VALUE"""),"WCC")</f>
        <v>WCC</v>
      </c>
      <c r="D208" s="2">
        <f ca="1">IFERROR(__xludf.DUMMYFUNCTION("""COMPUTED_VALUE"""),44886)</f>
        <v>44886</v>
      </c>
      <c r="E208" s="1">
        <f ca="1">IFERROR(__xludf.DUMMYFUNCTION("""COMPUTED_VALUE"""),-3.32)</f>
        <v>-3.32</v>
      </c>
      <c r="F208" s="1">
        <f ca="1">IFERROR(__xludf.DUMMYFUNCTION("""COMPUTED_VALUE"""),102.1)</f>
        <v>102.1</v>
      </c>
      <c r="G208" s="1">
        <f ca="1">IFERROR(__xludf.DUMMYFUNCTION("""COMPUTED_VALUE"""),194)</f>
        <v>194</v>
      </c>
      <c r="H208" s="1">
        <f ca="1">IFERROR(__xludf.DUMMYFUNCTION("""COMPUTED_VALUE"""),105.4)</f>
        <v>105.4</v>
      </c>
      <c r="I208" s="1">
        <f ca="1">IFERROR(__xludf.DUMMYFUNCTION("""COMPUTED_VALUE"""),223)</f>
        <v>223</v>
      </c>
      <c r="J208" s="1">
        <f ca="1">IFERROR(__xludf.DUMMYFUNCTION("""COMPUTED_VALUE"""),66.2)</f>
        <v>66.2</v>
      </c>
      <c r="K208" s="1">
        <f ca="1">IFERROR(__xludf.DUMMYFUNCTION("""COMPUTED_VALUE"""),117)</f>
        <v>117</v>
      </c>
      <c r="L208" s="1">
        <f ca="1">IFERROR(__xludf.DUMMYFUNCTION("""COMPUTED_VALUE"""),-0.1)</f>
        <v>-0.1</v>
      </c>
      <c r="M208" s="1">
        <f ca="1">IFERROR(__xludf.DUMMYFUNCTION("""COMPUTED_VALUE"""),335)</f>
        <v>335</v>
      </c>
      <c r="N208" s="1" t="str">
        <f ca="1">IFERROR(__xludf.DUMMYFUNCTION("""COMPUTED_VALUE"""),"+0.31")</f>
        <v>+0.31</v>
      </c>
      <c r="O208" s="1">
        <f ca="1">IFERROR(__xludf.DUMMYFUNCTION("""COMPUTED_VALUE"""),147)</f>
        <v>147</v>
      </c>
      <c r="P208" s="1">
        <f ca="1">IFERROR(__xludf.DUMMYFUNCTION("""COMPUTED_VALUE"""),104)</f>
        <v>104</v>
      </c>
      <c r="Q208" s="1">
        <f ca="1">IFERROR(__xludf.DUMMYFUNCTION("""COMPUTED_VALUE"""),135)</f>
        <v>135</v>
      </c>
      <c r="R208" s="1">
        <f ca="1">IFERROR(__xludf.DUMMYFUNCTION("""COMPUTED_VALUE"""),103.7)</f>
        <v>103.7</v>
      </c>
      <c r="S208" s="1">
        <f ca="1">IFERROR(__xludf.DUMMYFUNCTION("""COMPUTED_VALUE"""),166)</f>
        <v>166</v>
      </c>
      <c r="T208" s="1">
        <f ca="1">IFERROR(__xludf.DUMMYFUNCTION("""COMPUTED_VALUE"""),-3.35)</f>
        <v>-3.35</v>
      </c>
      <c r="U208" s="1">
        <f ca="1">IFERROR(__xludf.DUMMYFUNCTION("""COMPUTED_VALUE"""),247)</f>
        <v>247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IFERROR(__xludf.DUMMYFUNCTION("""COMPUTED_VALUE"""),"VMI")</f>
        <v>VMI</v>
      </c>
      <c r="C209" s="1" t="str">
        <f ca="1">IFERROR(__xludf.DUMMYFUNCTION("""COMPUTED_VALUE"""),"BSth")</f>
        <v>BSth</v>
      </c>
      <c r="D209" s="1" t="str">
        <f ca="1">IFERROR(__xludf.DUMMYFUNCTION("""COMPUTED_VALUE"""),"18-13")</f>
        <v>18-13</v>
      </c>
      <c r="E209" s="1">
        <f ca="1">IFERROR(__xludf.DUMMYFUNCTION("""COMPUTED_VALUE"""),-3.34)</f>
        <v>-3.34</v>
      </c>
      <c r="F209" s="1">
        <f ca="1">IFERROR(__xludf.DUMMYFUNCTION("""COMPUTED_VALUE"""),110.6)</f>
        <v>110.6</v>
      </c>
      <c r="G209" s="1">
        <f ca="1">IFERROR(__xludf.DUMMYFUNCTION("""COMPUTED_VALUE"""),58)</f>
        <v>58</v>
      </c>
      <c r="H209" s="1">
        <f ca="1">IFERROR(__xludf.DUMMYFUNCTION("""COMPUTED_VALUE"""),113.9)</f>
        <v>113.9</v>
      </c>
      <c r="I209" s="1">
        <f ca="1">IFERROR(__xludf.DUMMYFUNCTION("""COMPUTED_VALUE"""),337)</f>
        <v>337</v>
      </c>
      <c r="J209" s="1">
        <f ca="1">IFERROR(__xludf.DUMMYFUNCTION("""COMPUTED_VALUE"""),74.7)</f>
        <v>74.7</v>
      </c>
      <c r="K209" s="1">
        <f ca="1">IFERROR(__xludf.DUMMYFUNCTION("""COMPUTED_VALUE"""),2)</f>
        <v>2</v>
      </c>
      <c r="L209" s="1">
        <f ca="1">IFERROR(__xludf.DUMMYFUNCTION("""COMPUTED_VALUE"""),-0.016)</f>
        <v>-1.6E-2</v>
      </c>
      <c r="M209" s="1">
        <f ca="1">IFERROR(__xludf.DUMMYFUNCTION("""COMPUTED_VALUE"""),224)</f>
        <v>224</v>
      </c>
      <c r="N209" s="1">
        <f ca="1">IFERROR(__xludf.DUMMYFUNCTION("""COMPUTED_VALUE"""),-5.88)</f>
        <v>-5.88</v>
      </c>
      <c r="O209" s="1">
        <f ca="1">IFERROR(__xludf.DUMMYFUNCTION("""COMPUTED_VALUE"""),298)</f>
        <v>298</v>
      </c>
      <c r="P209" s="1">
        <f ca="1">IFERROR(__xludf.DUMMYFUNCTION("""COMPUTED_VALUE"""),99.3)</f>
        <v>99.3</v>
      </c>
      <c r="Q209" s="1">
        <f ca="1">IFERROR(__xludf.DUMMYFUNCTION("""COMPUTED_VALUE"""),314)</f>
        <v>314</v>
      </c>
      <c r="R209" s="1">
        <f ca="1">IFERROR(__xludf.DUMMYFUNCTION("""COMPUTED_VALUE"""),105.1)</f>
        <v>105.1</v>
      </c>
      <c r="S209" s="1">
        <f ca="1">IFERROR(__xludf.DUMMYFUNCTION("""COMPUTED_VALUE"""),240)</f>
        <v>240</v>
      </c>
      <c r="T209" s="1">
        <f ca="1">IFERROR(__xludf.DUMMYFUNCTION("""COMPUTED_VALUE"""),-1.83)</f>
        <v>-1.83</v>
      </c>
      <c r="U209" s="1">
        <f ca="1">IFERROR(__xludf.DUMMYFUNCTION("""COMPUTED_VALUE"""),205)</f>
        <v>205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IFERROR(__xludf.DUMMYFUNCTION("""COMPUTED_VALUE"""),"Maine")</f>
        <v>Maine</v>
      </c>
      <c r="C210" s="1" t="str">
        <f ca="1">IFERROR(__xludf.DUMMYFUNCTION("""COMPUTED_VALUE"""),"AE")</f>
        <v>AE</v>
      </c>
      <c r="D210" s="1" t="str">
        <f ca="1">IFERROR(__xludf.DUMMYFUNCTION("""COMPUTED_VALUE"""),"15-15")</f>
        <v>15-15</v>
      </c>
      <c r="E210" s="1">
        <f ca="1">IFERROR(__xludf.DUMMYFUNCTION("""COMPUTED_VALUE"""),-3.46)</f>
        <v>-3.46</v>
      </c>
      <c r="F210" s="1">
        <f ca="1">IFERROR(__xludf.DUMMYFUNCTION("""COMPUTED_VALUE"""),104.8)</f>
        <v>104.8</v>
      </c>
      <c r="G210" s="1">
        <f ca="1">IFERROR(__xludf.DUMMYFUNCTION("""COMPUTED_VALUE"""),139)</f>
        <v>139</v>
      </c>
      <c r="H210" s="1">
        <f ca="1">IFERROR(__xludf.DUMMYFUNCTION("""COMPUTED_VALUE"""),108.2)</f>
        <v>108.2</v>
      </c>
      <c r="I210" s="1">
        <f ca="1">IFERROR(__xludf.DUMMYFUNCTION("""COMPUTED_VALUE"""),270)</f>
        <v>270</v>
      </c>
      <c r="J210" s="1">
        <f ca="1">IFERROR(__xludf.DUMMYFUNCTION("""COMPUTED_VALUE"""),64.7)</f>
        <v>64.7</v>
      </c>
      <c r="K210" s="1">
        <f ca="1">IFERROR(__xludf.DUMMYFUNCTION("""COMPUTED_VALUE"""),205)</f>
        <v>205</v>
      </c>
      <c r="L210" s="1">
        <f ca="1">IFERROR(__xludf.DUMMYFUNCTION("""COMPUTED_VALUE"""),-0.056)</f>
        <v>-5.6000000000000001E-2</v>
      </c>
      <c r="M210" s="1">
        <f ca="1">IFERROR(__xludf.DUMMYFUNCTION("""COMPUTED_VALUE"""),302)</f>
        <v>302</v>
      </c>
      <c r="N210" s="1">
        <f ca="1">IFERROR(__xludf.DUMMYFUNCTION("""COMPUTED_VALUE"""),-6.52)</f>
        <v>-6.52</v>
      </c>
      <c r="O210" s="1">
        <f ca="1">IFERROR(__xludf.DUMMYFUNCTION("""COMPUTED_VALUE"""),311)</f>
        <v>311</v>
      </c>
      <c r="P210" s="1">
        <f ca="1">IFERROR(__xludf.DUMMYFUNCTION("""COMPUTED_VALUE"""),99.5)</f>
        <v>99.5</v>
      </c>
      <c r="Q210" s="1">
        <f ca="1">IFERROR(__xludf.DUMMYFUNCTION("""COMPUTED_VALUE"""),311)</f>
        <v>311</v>
      </c>
      <c r="R210" s="1">
        <f ca="1">IFERROR(__xludf.DUMMYFUNCTION("""COMPUTED_VALUE"""),106)</f>
        <v>106</v>
      </c>
      <c r="S210" s="1">
        <f ca="1">IFERROR(__xludf.DUMMYFUNCTION("""COMPUTED_VALUE"""),289)</f>
        <v>289</v>
      </c>
      <c r="T210" s="1">
        <f ca="1">IFERROR(__xludf.DUMMYFUNCTION("""COMPUTED_VALUE"""),-1.6)</f>
        <v>-1.6</v>
      </c>
      <c r="U210" s="1">
        <f ca="1">IFERROR(__xludf.DUMMYFUNCTION("""COMPUTED_VALUE"""),200)</f>
        <v>200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IFERROR(__xludf.DUMMYFUNCTION("""COMPUTED_VALUE"""),"Drake")</f>
        <v>Drake</v>
      </c>
      <c r="C213" s="1" t="str">
        <f ca="1">IFERROR(__xludf.DUMMYFUNCTION("""COMPUTED_VALUE"""),"MVC")</f>
        <v>MVC</v>
      </c>
      <c r="D213" s="1" t="str">
        <f ca="1">IFERROR(__xludf.DUMMYFUNCTION("""COMPUTED_VALUE"""),"13-18")</f>
        <v>13-18</v>
      </c>
      <c r="E213" s="1">
        <f ca="1">IFERROR(__xludf.DUMMYFUNCTION("""COMPUTED_VALUE"""),-3.5)</f>
        <v>-3.5</v>
      </c>
      <c r="F213" s="1">
        <f ca="1">IFERROR(__xludf.DUMMYFUNCTION("""COMPUTED_VALUE"""),101.4)</f>
        <v>101.4</v>
      </c>
      <c r="G213" s="1">
        <f ca="1">IFERROR(__xludf.DUMMYFUNCTION("""COMPUTED_VALUE"""),207)</f>
        <v>207</v>
      </c>
      <c r="H213" s="1">
        <f ca="1">IFERROR(__xludf.DUMMYFUNCTION("""COMPUTED_VALUE"""),104.9)</f>
        <v>104.9</v>
      </c>
      <c r="I213" s="1">
        <f ca="1">IFERROR(__xludf.DUMMYFUNCTION("""COMPUTED_VALUE"""),211)</f>
        <v>211</v>
      </c>
      <c r="J213" s="1">
        <f ca="1">IFERROR(__xludf.DUMMYFUNCTION("""COMPUTED_VALUE"""),64.5)</f>
        <v>64.5</v>
      </c>
      <c r="K213" s="1">
        <f ca="1">IFERROR(__xludf.DUMMYFUNCTION("""COMPUTED_VALUE"""),220)</f>
        <v>220</v>
      </c>
      <c r="L213" s="1">
        <f ca="1">IFERROR(__xludf.DUMMYFUNCTION("""COMPUTED_VALUE"""),-0.01)</f>
        <v>-0.01</v>
      </c>
      <c r="M213" s="1">
        <f ca="1">IFERROR(__xludf.DUMMYFUNCTION("""COMPUTED_VALUE"""),205)</f>
        <v>205</v>
      </c>
      <c r="N213" s="1" t="str">
        <f ca="1">IFERROR(__xludf.DUMMYFUNCTION("""COMPUTED_VALUE"""),"+0.41")</f>
        <v>+0.41</v>
      </c>
      <c r="O213" s="1">
        <f ca="1">IFERROR(__xludf.DUMMYFUNCTION("""COMPUTED_VALUE"""),145)</f>
        <v>145</v>
      </c>
      <c r="P213" s="1">
        <f ca="1">IFERROR(__xludf.DUMMYFUNCTION("""COMPUTED_VALUE"""),103.1)</f>
        <v>103.1</v>
      </c>
      <c r="Q213" s="1">
        <f ca="1">IFERROR(__xludf.DUMMYFUNCTION("""COMPUTED_VALUE"""),170)</f>
        <v>170</v>
      </c>
      <c r="R213" s="1">
        <f ca="1">IFERROR(__xludf.DUMMYFUNCTION("""COMPUTED_VALUE"""),102.7)</f>
        <v>102.7</v>
      </c>
      <c r="S213" s="1">
        <f ca="1">IFERROR(__xludf.DUMMYFUNCTION("""COMPUTED_VALUE"""),118)</f>
        <v>118</v>
      </c>
      <c r="T213" s="1">
        <f ca="1">IFERROR(__xludf.DUMMYFUNCTION("""COMPUTED_VALUE"""),-3.32)</f>
        <v>-3.32</v>
      </c>
      <c r="U213" s="1">
        <f ca="1">IFERROR(__xludf.DUMMYFUNCTION("""COMPUTED_VALUE"""),245)</f>
        <v>245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IFERROR(__xludf.DUMMYFUNCTION("""COMPUTED_VALUE"""),"Mercer")</f>
        <v>Mercer</v>
      </c>
      <c r="C214" s="1" t="str">
        <f ca="1">IFERROR(__xludf.DUMMYFUNCTION("""COMPUTED_VALUE"""),"ASun")</f>
        <v>ASun</v>
      </c>
      <c r="D214" s="1" t="str">
        <f ca="1">IFERROR(__xludf.DUMMYFUNCTION("""COMPUTED_VALUE"""),"15-18")</f>
        <v>15-18</v>
      </c>
      <c r="E214" s="1">
        <f ca="1">IFERROR(__xludf.DUMMYFUNCTION("""COMPUTED_VALUE"""),-3.67)</f>
        <v>-3.67</v>
      </c>
      <c r="F214" s="1">
        <f ca="1">IFERROR(__xludf.DUMMYFUNCTION("""COMPUTED_VALUE"""),101.1)</f>
        <v>101.1</v>
      </c>
      <c r="G214" s="1">
        <f ca="1">IFERROR(__xludf.DUMMYFUNCTION("""COMPUTED_VALUE"""),213)</f>
        <v>213</v>
      </c>
      <c r="H214" s="1">
        <f ca="1">IFERROR(__xludf.DUMMYFUNCTION("""COMPUTED_VALUE"""),104.8)</f>
        <v>104.8</v>
      </c>
      <c r="I214" s="1">
        <f ca="1">IFERROR(__xludf.DUMMYFUNCTION("""COMPUTED_VALUE"""),210)</f>
        <v>210</v>
      </c>
      <c r="J214" s="1">
        <f ca="1">IFERROR(__xludf.DUMMYFUNCTION("""COMPUTED_VALUE"""),65.3)</f>
        <v>65.3</v>
      </c>
      <c r="K214" s="1">
        <f ca="1">IFERROR(__xludf.DUMMYFUNCTION("""COMPUTED_VALUE"""),173)</f>
        <v>173</v>
      </c>
      <c r="L214" s="1">
        <f ca="1">IFERROR(__xludf.DUMMYFUNCTION("""COMPUTED_VALUE"""),-0.001)</f>
        <v>-1E-3</v>
      </c>
      <c r="M214" s="1">
        <f ca="1">IFERROR(__xludf.DUMMYFUNCTION("""COMPUTED_VALUE"""),183)</f>
        <v>183</v>
      </c>
      <c r="N214" s="1">
        <f ca="1">IFERROR(__xludf.DUMMYFUNCTION("""COMPUTED_VALUE"""),-2.52)</f>
        <v>-2.52</v>
      </c>
      <c r="O214" s="1">
        <f ca="1">IFERROR(__xludf.DUMMYFUNCTION("""COMPUTED_VALUE"""),212)</f>
        <v>212</v>
      </c>
      <c r="P214" s="1">
        <f ca="1">IFERROR(__xludf.DUMMYFUNCTION("""COMPUTED_VALUE"""),101)</f>
        <v>101</v>
      </c>
      <c r="Q214" s="1">
        <f ca="1">IFERROR(__xludf.DUMMYFUNCTION("""COMPUTED_VALUE"""),258)</f>
        <v>258</v>
      </c>
      <c r="R214" s="1">
        <f ca="1">IFERROR(__xludf.DUMMYFUNCTION("""COMPUTED_VALUE"""),103.5)</f>
        <v>103.5</v>
      </c>
      <c r="S214" s="1">
        <f ca="1">IFERROR(__xludf.DUMMYFUNCTION("""COMPUTED_VALUE"""),158)</f>
        <v>158</v>
      </c>
      <c r="T214" s="1" t="str">
        <f ca="1">IFERROR(__xludf.DUMMYFUNCTION("""COMPUTED_VALUE"""),"+1.72")</f>
        <v>+1.72</v>
      </c>
      <c r="U214" s="1">
        <f ca="1">IFERROR(__xludf.DUMMYFUNCTION("""COMPUTED_VALUE"""),103)</f>
        <v>103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IFERROR(__xludf.DUMMYFUNCTION("""COMPUTED_VALUE"""),"Siena")</f>
        <v>Siena</v>
      </c>
      <c r="C215" s="1" t="str">
        <f ca="1">IFERROR(__xludf.DUMMYFUNCTION("""COMPUTED_VALUE"""),"MAAC")</f>
        <v>MAAC</v>
      </c>
      <c r="D215" s="1" t="str">
        <f ca="1">IFERROR(__xludf.DUMMYFUNCTION("""COMPUTED_VALUE"""),"13-18")</f>
        <v>13-18</v>
      </c>
      <c r="E215" s="1">
        <f ca="1">IFERROR(__xludf.DUMMYFUNCTION("""COMPUTED_VALUE"""),-3.77)</f>
        <v>-3.77</v>
      </c>
      <c r="F215" s="1">
        <f ca="1">IFERROR(__xludf.DUMMYFUNCTION("""COMPUTED_VALUE"""),99.1)</f>
        <v>99.1</v>
      </c>
      <c r="G215" s="1">
        <f ca="1">IFERROR(__xludf.DUMMYFUNCTION("""COMPUTED_VALUE"""),246)</f>
        <v>246</v>
      </c>
      <c r="H215" s="1">
        <f ca="1">IFERROR(__xludf.DUMMYFUNCTION("""COMPUTED_VALUE"""),102.9)</f>
        <v>102.9</v>
      </c>
      <c r="I215" s="1">
        <f ca="1">IFERROR(__xludf.DUMMYFUNCTION("""COMPUTED_VALUE"""),155)</f>
        <v>155</v>
      </c>
      <c r="J215" s="1">
        <f ca="1">IFERROR(__xludf.DUMMYFUNCTION("""COMPUTED_VALUE"""),67.9)</f>
        <v>67.900000000000006</v>
      </c>
      <c r="K215" s="1">
        <f ca="1">IFERROR(__xludf.DUMMYFUNCTION("""COMPUTED_VALUE"""),53)</f>
        <v>53</v>
      </c>
      <c r="L215" s="1">
        <f ca="1">IFERROR(__xludf.DUMMYFUNCTION("""COMPUTED_VALUE"""),-0.005)</f>
        <v>-5.0000000000000001E-3</v>
      </c>
      <c r="M215" s="1">
        <f ca="1">IFERROR(__xludf.DUMMYFUNCTION("""COMPUTED_VALUE"""),194)</f>
        <v>194</v>
      </c>
      <c r="N215" s="1">
        <f ca="1">IFERROR(__xludf.DUMMYFUNCTION("""COMPUTED_VALUE"""),-1.29)</f>
        <v>-1.29</v>
      </c>
      <c r="O215" s="1">
        <f ca="1">IFERROR(__xludf.DUMMYFUNCTION("""COMPUTED_VALUE"""),176)</f>
        <v>176</v>
      </c>
      <c r="P215" s="1">
        <f ca="1">IFERROR(__xludf.DUMMYFUNCTION("""COMPUTED_VALUE"""),102.4)</f>
        <v>102.4</v>
      </c>
      <c r="Q215" s="1">
        <f ca="1">IFERROR(__xludf.DUMMYFUNCTION("""COMPUTED_VALUE"""),204)</f>
        <v>204</v>
      </c>
      <c r="R215" s="1">
        <f ca="1">IFERROR(__xludf.DUMMYFUNCTION("""COMPUTED_VALUE"""),103.7)</f>
        <v>103.7</v>
      </c>
      <c r="S215" s="1">
        <f ca="1">IFERROR(__xludf.DUMMYFUNCTION("""COMPUTED_VALUE"""),167)</f>
        <v>167</v>
      </c>
      <c r="T215" s="1" t="str">
        <f ca="1">IFERROR(__xludf.DUMMYFUNCTION("""COMPUTED_VALUE"""),"+1.80")</f>
        <v>+1.80</v>
      </c>
      <c r="U215" s="1">
        <f ca="1">IFERROR(__xludf.DUMMYFUNCTION("""COMPUTED_VALUE"""),100)</f>
        <v>100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IFERROR(__xludf.DUMMYFUNCTION("""COMPUTED_VALUE"""),"UNC Wilmington")</f>
        <v>UNC Wilmington</v>
      </c>
      <c r="C216" s="1" t="str">
        <f ca="1">IFERROR(__xludf.DUMMYFUNCTION("""COMPUTED_VALUE"""),"CAA")</f>
        <v>CAA</v>
      </c>
      <c r="D216" s="1" t="str">
        <f ca="1">IFERROR(__xludf.DUMMYFUNCTION("""COMPUTED_VALUE"""),"13-18")</f>
        <v>13-18</v>
      </c>
      <c r="E216" s="1">
        <f ca="1">IFERROR(__xludf.DUMMYFUNCTION("""COMPUTED_VALUE"""),-3.82)</f>
        <v>-3.82</v>
      </c>
      <c r="F216" s="1">
        <f ca="1">IFERROR(__xludf.DUMMYFUNCTION("""COMPUTED_VALUE"""),102)</f>
        <v>102</v>
      </c>
      <c r="G216" s="1">
        <f ca="1">IFERROR(__xludf.DUMMYFUNCTION("""COMPUTED_VALUE"""),195)</f>
        <v>195</v>
      </c>
      <c r="H216" s="1">
        <f ca="1">IFERROR(__xludf.DUMMYFUNCTION("""COMPUTED_VALUE"""),105.9)</f>
        <v>105.9</v>
      </c>
      <c r="I216" s="1">
        <f ca="1">IFERROR(__xludf.DUMMYFUNCTION("""COMPUTED_VALUE"""),234)</f>
        <v>234</v>
      </c>
      <c r="J216" s="1">
        <f ca="1">IFERROR(__xludf.DUMMYFUNCTION("""COMPUTED_VALUE"""),61.8)</f>
        <v>61.8</v>
      </c>
      <c r="K216" s="1">
        <f ca="1">IFERROR(__xludf.DUMMYFUNCTION("""COMPUTED_VALUE"""),316)</f>
        <v>316</v>
      </c>
      <c r="L216" s="1" t="str">
        <f ca="1">IFERROR(__xludf.DUMMYFUNCTION("""COMPUTED_VALUE"""),"+.002")</f>
        <v>+.002</v>
      </c>
      <c r="M216" s="1">
        <f ca="1">IFERROR(__xludf.DUMMYFUNCTION("""COMPUTED_VALUE"""),176)</f>
        <v>176</v>
      </c>
      <c r="N216" s="1">
        <f ca="1">IFERROR(__xludf.DUMMYFUNCTION("""COMPUTED_VALUE"""),-1.09)</f>
        <v>-1.0900000000000001</v>
      </c>
      <c r="O216" s="1">
        <f ca="1">IFERROR(__xludf.DUMMYFUNCTION("""COMPUTED_VALUE"""),171)</f>
        <v>171</v>
      </c>
      <c r="P216" s="1">
        <f ca="1">IFERROR(__xludf.DUMMYFUNCTION("""COMPUTED_VALUE"""),103.4)</f>
        <v>103.4</v>
      </c>
      <c r="Q216" s="1">
        <f ca="1">IFERROR(__xludf.DUMMYFUNCTION("""COMPUTED_VALUE"""),161)</f>
        <v>161</v>
      </c>
      <c r="R216" s="1">
        <f ca="1">IFERROR(__xludf.DUMMYFUNCTION("""COMPUTED_VALUE"""),104.5)</f>
        <v>104.5</v>
      </c>
      <c r="S216" s="1">
        <f ca="1">IFERROR(__xludf.DUMMYFUNCTION("""COMPUTED_VALUE"""),207)</f>
        <v>207</v>
      </c>
      <c r="T216" s="1">
        <f ca="1">IFERROR(__xludf.DUMMYFUNCTION("""COMPUTED_VALUE"""),-5.44)</f>
        <v>-5.44</v>
      </c>
      <c r="U216" s="1">
        <f ca="1">IFERROR(__xludf.DUMMYFUNCTION("""COMPUTED_VALUE"""),295)</f>
        <v>295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IFERROR(__xludf.DUMMYFUNCTION("""COMPUTED_VALUE"""),"St. Francis NY")</f>
        <v>St. Francis NY</v>
      </c>
      <c r="C217" s="1" t="str">
        <f ca="1">IFERROR(__xludf.DUMMYFUNCTION("""COMPUTED_VALUE"""),"NEC")</f>
        <v>NEC</v>
      </c>
      <c r="D217" s="1" t="str">
        <f ca="1">IFERROR(__xludf.DUMMYFUNCTION("""COMPUTED_VALUE"""),"15-15")</f>
        <v>15-15</v>
      </c>
      <c r="E217" s="1">
        <f ca="1">IFERROR(__xludf.DUMMYFUNCTION("""COMPUTED_VALUE"""),-3.84)</f>
        <v>-3.84</v>
      </c>
      <c r="F217" s="1">
        <f ca="1">IFERROR(__xludf.DUMMYFUNCTION("""COMPUTED_VALUE"""),98.9)</f>
        <v>98.9</v>
      </c>
      <c r="G217" s="1">
        <f ca="1">IFERROR(__xludf.DUMMYFUNCTION("""COMPUTED_VALUE"""),252)</f>
        <v>252</v>
      </c>
      <c r="H217" s="1">
        <f ca="1">IFERROR(__xludf.DUMMYFUNCTION("""COMPUTED_VALUE"""),102.7)</f>
        <v>102.7</v>
      </c>
      <c r="I217" s="1">
        <f ca="1">IFERROR(__xludf.DUMMYFUNCTION("""COMPUTED_VALUE"""),151)</f>
        <v>151</v>
      </c>
      <c r="J217" s="1">
        <f ca="1">IFERROR(__xludf.DUMMYFUNCTION("""COMPUTED_VALUE"""),65.9)</f>
        <v>65.900000000000006</v>
      </c>
      <c r="K217" s="1">
        <f ca="1">IFERROR(__xludf.DUMMYFUNCTION("""COMPUTED_VALUE"""),145)</f>
        <v>145</v>
      </c>
      <c r="L217" s="1">
        <f ca="1">IFERROR(__xludf.DUMMYFUNCTION("""COMPUTED_VALUE"""),-0.016)</f>
        <v>-1.6E-2</v>
      </c>
      <c r="M217" s="1">
        <f ca="1">IFERROR(__xludf.DUMMYFUNCTION("""COMPUTED_VALUE"""),222)</f>
        <v>222</v>
      </c>
      <c r="N217" s="1">
        <f ca="1">IFERROR(__xludf.DUMMYFUNCTION("""COMPUTED_VALUE"""),-5.52)</f>
        <v>-5.52</v>
      </c>
      <c r="O217" s="1">
        <f ca="1">IFERROR(__xludf.DUMMYFUNCTION("""COMPUTED_VALUE"""),288)</f>
        <v>288</v>
      </c>
      <c r="P217" s="1">
        <f ca="1">IFERROR(__xludf.DUMMYFUNCTION("""COMPUTED_VALUE"""),100.6)</f>
        <v>100.6</v>
      </c>
      <c r="Q217" s="1">
        <f ca="1">IFERROR(__xludf.DUMMYFUNCTION("""COMPUTED_VALUE"""),277)</f>
        <v>277</v>
      </c>
      <c r="R217" s="1">
        <f ca="1">IFERROR(__xludf.DUMMYFUNCTION("""COMPUTED_VALUE"""),106.1)</f>
        <v>106.1</v>
      </c>
      <c r="S217" s="1">
        <f ca="1">IFERROR(__xludf.DUMMYFUNCTION("""COMPUTED_VALUE"""),294)</f>
        <v>294</v>
      </c>
      <c r="T217" s="1">
        <f ca="1">IFERROR(__xludf.DUMMYFUNCTION("""COMPUTED_VALUE"""),-5.89)</f>
        <v>-5.89</v>
      </c>
      <c r="U217" s="1">
        <f ca="1">IFERROR(__xludf.DUMMYFUNCTION("""COMPUTED_VALUE"""),307)</f>
        <v>307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IFERROR(__xludf.DUMMYFUNCTION("""COMPUTED_VALUE"""),"McNeese St.8")</f>
        <v>McNeese St.8</v>
      </c>
      <c r="C218" s="1" t="str">
        <f ca="1">IFERROR(__xludf.DUMMYFUNCTION("""COMPUTED_VALUE"""),"Slnd")</f>
        <v>Slnd</v>
      </c>
      <c r="D218" s="1" t="str">
        <f ca="1">IFERROR(__xludf.DUMMYFUNCTION("""COMPUTED_VALUE"""),"21-12")</f>
        <v>21-12</v>
      </c>
      <c r="E218" s="1">
        <f ca="1">IFERROR(__xludf.DUMMYFUNCTION("""COMPUTED_VALUE"""),-3.88)</f>
        <v>-3.88</v>
      </c>
      <c r="F218" s="1">
        <f ca="1">IFERROR(__xludf.DUMMYFUNCTION("""COMPUTED_VALUE"""),105.5)</f>
        <v>105.5</v>
      </c>
      <c r="G218" s="1">
        <f ca="1">IFERROR(__xludf.DUMMYFUNCTION("""COMPUTED_VALUE"""),122)</f>
        <v>122</v>
      </c>
      <c r="H218" s="1">
        <f ca="1">IFERROR(__xludf.DUMMYFUNCTION("""COMPUTED_VALUE"""),109.4)</f>
        <v>109.4</v>
      </c>
      <c r="I218" s="1">
        <f ca="1">IFERROR(__xludf.DUMMYFUNCTION("""COMPUTED_VALUE"""),288)</f>
        <v>288</v>
      </c>
      <c r="J218" s="1">
        <f ca="1">IFERROR(__xludf.DUMMYFUNCTION("""COMPUTED_VALUE"""),65.1)</f>
        <v>65.099999999999994</v>
      </c>
      <c r="K218" s="1">
        <f ca="1">IFERROR(__xludf.DUMMYFUNCTION("""COMPUTED_VALUE"""),180)</f>
        <v>180</v>
      </c>
      <c r="L218" s="1" t="str">
        <f ca="1">IFERROR(__xludf.DUMMYFUNCTION("""COMPUTED_VALUE"""),"+.083")</f>
        <v>+.083</v>
      </c>
      <c r="M218" s="1">
        <f ca="1">IFERROR(__xludf.DUMMYFUNCTION("""COMPUTED_VALUE"""),21)</f>
        <v>21</v>
      </c>
      <c r="N218" s="1">
        <f ca="1">IFERROR(__xludf.DUMMYFUNCTION("""COMPUTED_VALUE"""),-6.24)</f>
        <v>-6.24</v>
      </c>
      <c r="O218" s="1">
        <f ca="1">IFERROR(__xludf.DUMMYFUNCTION("""COMPUTED_VALUE"""),308)</f>
        <v>308</v>
      </c>
      <c r="P218" s="1">
        <f ca="1">IFERROR(__xludf.DUMMYFUNCTION("""COMPUTED_VALUE"""),99.8)</f>
        <v>99.8</v>
      </c>
      <c r="Q218" s="1">
        <f ca="1">IFERROR(__xludf.DUMMYFUNCTION("""COMPUTED_VALUE"""),305)</f>
        <v>305</v>
      </c>
      <c r="R218" s="1">
        <f ca="1">IFERROR(__xludf.DUMMYFUNCTION("""COMPUTED_VALUE"""),106)</f>
        <v>106</v>
      </c>
      <c r="S218" s="1">
        <f ca="1">IFERROR(__xludf.DUMMYFUNCTION("""COMPUTED_VALUE"""),290)</f>
        <v>290</v>
      </c>
      <c r="T218" s="1" t="str">
        <f ca="1">IFERROR(__xludf.DUMMYFUNCTION("""COMPUTED_VALUE"""),"+1.89")</f>
        <v>+1.89</v>
      </c>
      <c r="U218" s="1">
        <f ca="1">IFERROR(__xludf.DUMMYFUNCTION("""COMPUTED_VALUE"""),96)</f>
        <v>96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IFERROR(__xludf.DUMMYFUNCTION("""COMPUTED_VALUE"""),"Charlotte")</f>
        <v>Charlotte</v>
      </c>
      <c r="C219" s="1" t="str">
        <f ca="1">IFERROR(__xludf.DUMMYFUNCTION("""COMPUTED_VALUE"""),"A10")</f>
        <v>A10</v>
      </c>
      <c r="D219" s="2">
        <f ca="1">IFERROR(__xludf.DUMMYFUNCTION("""COMPUTED_VALUE"""),44854)</f>
        <v>44854</v>
      </c>
      <c r="E219" s="1">
        <f ca="1">IFERROR(__xludf.DUMMYFUNCTION("""COMPUTED_VALUE"""),-4.04)</f>
        <v>-4.04</v>
      </c>
      <c r="F219" s="1">
        <f ca="1">IFERROR(__xludf.DUMMYFUNCTION("""COMPUTED_VALUE"""),101.5)</f>
        <v>101.5</v>
      </c>
      <c r="G219" s="1">
        <f ca="1">IFERROR(__xludf.DUMMYFUNCTION("""COMPUTED_VALUE"""),206)</f>
        <v>206</v>
      </c>
      <c r="H219" s="1">
        <f ca="1">IFERROR(__xludf.DUMMYFUNCTION("""COMPUTED_VALUE"""),105.5)</f>
        <v>105.5</v>
      </c>
      <c r="I219" s="1">
        <f ca="1">IFERROR(__xludf.DUMMYFUNCTION("""COMPUTED_VALUE"""),228)</f>
        <v>228</v>
      </c>
      <c r="J219" s="1">
        <f ca="1">IFERROR(__xludf.DUMMYFUNCTION("""COMPUTED_VALUE"""),63.7)</f>
        <v>63.7</v>
      </c>
      <c r="K219" s="1">
        <f ca="1">IFERROR(__xludf.DUMMYFUNCTION("""COMPUTED_VALUE"""),254)</f>
        <v>254</v>
      </c>
      <c r="L219" s="1">
        <f ca="1">IFERROR(__xludf.DUMMYFUNCTION("""COMPUTED_VALUE"""),-0.009)</f>
        <v>-8.9999999999999993E-3</v>
      </c>
      <c r="M219" s="1">
        <f ca="1">IFERROR(__xludf.DUMMYFUNCTION("""COMPUTED_VALUE"""),204)</f>
        <v>204</v>
      </c>
      <c r="N219" s="1" t="str">
        <f ca="1">IFERROR(__xludf.DUMMYFUNCTION("""COMPUTED_VALUE"""),"+2.41")</f>
        <v>+2.41</v>
      </c>
      <c r="O219" s="1">
        <f ca="1">IFERROR(__xludf.DUMMYFUNCTION("""COMPUTED_VALUE"""),99)</f>
        <v>99</v>
      </c>
      <c r="P219" s="1">
        <f ca="1">IFERROR(__xludf.DUMMYFUNCTION("""COMPUTED_VALUE"""),103.8)</f>
        <v>103.8</v>
      </c>
      <c r="Q219" s="1">
        <f ca="1">IFERROR(__xludf.DUMMYFUNCTION("""COMPUTED_VALUE"""),143)</f>
        <v>143</v>
      </c>
      <c r="R219" s="1">
        <f ca="1">IFERROR(__xludf.DUMMYFUNCTION("""COMPUTED_VALUE"""),101.4)</f>
        <v>101.4</v>
      </c>
      <c r="S219" s="1">
        <f ca="1">IFERROR(__xludf.DUMMYFUNCTION("""COMPUTED_VALUE"""),79)</f>
        <v>79</v>
      </c>
      <c r="T219" s="1">
        <f ca="1">IFERROR(__xludf.DUMMYFUNCTION("""COMPUTED_VALUE"""),-0.73)</f>
        <v>-0.73</v>
      </c>
      <c r="U219" s="1">
        <f ca="1">IFERROR(__xludf.DUMMYFUNCTION("""COMPUTED_VALUE"""),177)</f>
        <v>177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IFERROR(__xludf.DUMMYFUNCTION("""COMPUTED_VALUE"""),"Hampton16")</f>
        <v>Hampton16</v>
      </c>
      <c r="C220" s="1" t="str">
        <f ca="1">IFERROR(__xludf.DUMMYFUNCTION("""COMPUTED_VALUE"""),"MEAC")</f>
        <v>MEAC</v>
      </c>
      <c r="D220" s="1" t="str">
        <f ca="1">IFERROR(__xludf.DUMMYFUNCTION("""COMPUTED_VALUE"""),"24-9")</f>
        <v>24-9</v>
      </c>
      <c r="E220" s="1">
        <f ca="1">IFERROR(__xludf.DUMMYFUNCTION("""COMPUTED_VALUE"""),-4.21)</f>
        <v>-4.21</v>
      </c>
      <c r="F220" s="1">
        <f ca="1">IFERROR(__xludf.DUMMYFUNCTION("""COMPUTED_VALUE"""),94.4)</f>
        <v>94.4</v>
      </c>
      <c r="G220" s="1">
        <f ca="1">IFERROR(__xludf.DUMMYFUNCTION("""COMPUTED_VALUE"""),304)</f>
        <v>304</v>
      </c>
      <c r="H220" s="1">
        <f ca="1">IFERROR(__xludf.DUMMYFUNCTION("""COMPUTED_VALUE"""),98.7)</f>
        <v>98.7</v>
      </c>
      <c r="I220" s="1">
        <f ca="1">IFERROR(__xludf.DUMMYFUNCTION("""COMPUTED_VALUE"""),81)</f>
        <v>81</v>
      </c>
      <c r="J220" s="1">
        <f ca="1">IFERROR(__xludf.DUMMYFUNCTION("""COMPUTED_VALUE"""),66.1)</f>
        <v>66.099999999999994</v>
      </c>
      <c r="K220" s="1">
        <f ca="1">IFERROR(__xludf.DUMMYFUNCTION("""COMPUTED_VALUE"""),129)</f>
        <v>129</v>
      </c>
      <c r="L220" s="1" t="str">
        <f ca="1">IFERROR(__xludf.DUMMYFUNCTION("""COMPUTED_VALUE"""),"+.108")</f>
        <v>+.108</v>
      </c>
      <c r="M220" s="1">
        <f ca="1">IFERROR(__xludf.DUMMYFUNCTION("""COMPUTED_VALUE"""),11)</f>
        <v>11</v>
      </c>
      <c r="N220" s="1">
        <f ca="1">IFERROR(__xludf.DUMMYFUNCTION("""COMPUTED_VALUE"""),-10.7)</f>
        <v>-10.7</v>
      </c>
      <c r="O220" s="1">
        <f ca="1">IFERROR(__xludf.DUMMYFUNCTION("""COMPUTED_VALUE"""),337)</f>
        <v>337</v>
      </c>
      <c r="P220" s="1">
        <f ca="1">IFERROR(__xludf.DUMMYFUNCTION("""COMPUTED_VALUE"""),97.4)</f>
        <v>97.4</v>
      </c>
      <c r="Q220" s="1">
        <f ca="1">IFERROR(__xludf.DUMMYFUNCTION("""COMPUTED_VALUE"""),331)</f>
        <v>331</v>
      </c>
      <c r="R220" s="1">
        <f ca="1">IFERROR(__xludf.DUMMYFUNCTION("""COMPUTED_VALUE"""),108.1)</f>
        <v>108.1</v>
      </c>
      <c r="S220" s="1">
        <f ca="1">IFERROR(__xludf.DUMMYFUNCTION("""COMPUTED_VALUE"""),338)</f>
        <v>338</v>
      </c>
      <c r="T220" s="1">
        <f ca="1">IFERROR(__xludf.DUMMYFUNCTION("""COMPUTED_VALUE"""),-4.84)</f>
        <v>-4.84</v>
      </c>
      <c r="U220" s="1">
        <f ca="1">IFERROR(__xludf.DUMMYFUNCTION("""COMPUTED_VALUE"""),283)</f>
        <v>283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IFERROR(__xludf.DUMMYFUNCTION("""COMPUTED_VALUE"""),"Stephen F. Austin")</f>
        <v>Stephen F. Austin</v>
      </c>
      <c r="C221" s="1" t="str">
        <f ca="1">IFERROR(__xludf.DUMMYFUNCTION("""COMPUTED_VALUE"""),"Slnd")</f>
        <v>Slnd</v>
      </c>
      <c r="D221" s="1" t="str">
        <f ca="1">IFERROR(__xludf.DUMMYFUNCTION("""COMPUTED_VALUE"""),"18-11")</f>
        <v>18-11</v>
      </c>
      <c r="E221" s="1">
        <f ca="1">IFERROR(__xludf.DUMMYFUNCTION("""COMPUTED_VALUE"""),-4.26)</f>
        <v>-4.26</v>
      </c>
      <c r="F221" s="1">
        <f ca="1">IFERROR(__xludf.DUMMYFUNCTION("""COMPUTED_VALUE"""),96.6)</f>
        <v>96.6</v>
      </c>
      <c r="G221" s="1">
        <f ca="1">IFERROR(__xludf.DUMMYFUNCTION("""COMPUTED_VALUE"""),282)</f>
        <v>282</v>
      </c>
      <c r="H221" s="1">
        <f ca="1">IFERROR(__xludf.DUMMYFUNCTION("""COMPUTED_VALUE"""),100.9)</f>
        <v>100.9</v>
      </c>
      <c r="I221" s="1">
        <f ca="1">IFERROR(__xludf.DUMMYFUNCTION("""COMPUTED_VALUE"""),117)</f>
        <v>117</v>
      </c>
      <c r="J221" s="1">
        <f ca="1">IFERROR(__xludf.DUMMYFUNCTION("""COMPUTED_VALUE"""),59)</f>
        <v>59</v>
      </c>
      <c r="K221" s="1">
        <f ca="1">IFERROR(__xludf.DUMMYFUNCTION("""COMPUTED_VALUE"""),343)</f>
        <v>343</v>
      </c>
      <c r="L221" s="1">
        <f ca="1">IFERROR(__xludf.DUMMYFUNCTION("""COMPUTED_VALUE"""),-0.039)</f>
        <v>-3.9E-2</v>
      </c>
      <c r="M221" s="1">
        <f ca="1">IFERROR(__xludf.DUMMYFUNCTION("""COMPUTED_VALUE"""),275)</f>
        <v>275</v>
      </c>
      <c r="N221" s="1">
        <f ca="1">IFERROR(__xludf.DUMMYFUNCTION("""COMPUTED_VALUE"""),-9.22)</f>
        <v>-9.2200000000000006</v>
      </c>
      <c r="O221" s="1">
        <f ca="1">IFERROR(__xludf.DUMMYFUNCTION("""COMPUTED_VALUE"""),326)</f>
        <v>326</v>
      </c>
      <c r="P221" s="1">
        <f ca="1">IFERROR(__xludf.DUMMYFUNCTION("""COMPUTED_VALUE"""),98.7)</f>
        <v>98.7</v>
      </c>
      <c r="Q221" s="1">
        <f ca="1">IFERROR(__xludf.DUMMYFUNCTION("""COMPUTED_VALUE"""),318)</f>
        <v>318</v>
      </c>
      <c r="R221" s="1">
        <f ca="1">IFERROR(__xludf.DUMMYFUNCTION("""COMPUTED_VALUE"""),107.9)</f>
        <v>107.9</v>
      </c>
      <c r="S221" s="1">
        <f ca="1">IFERROR(__xludf.DUMMYFUNCTION("""COMPUTED_VALUE"""),337)</f>
        <v>337</v>
      </c>
      <c r="T221" s="1">
        <f ca="1">IFERROR(__xludf.DUMMYFUNCTION("""COMPUTED_VALUE"""),-11.54)</f>
        <v>-11.54</v>
      </c>
      <c r="U221" s="1">
        <f ca="1">IFERROR(__xludf.DUMMYFUNCTION("""COMPUTED_VALUE"""),341)</f>
        <v>341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IFERROR(__xludf.DUMMYFUNCTION("""COMPUTED_VALUE"""),"Tennessee Tech")</f>
        <v>Tennessee Tech</v>
      </c>
      <c r="C222" s="1" t="str">
        <f ca="1">IFERROR(__xludf.DUMMYFUNCTION("""COMPUTED_VALUE"""),"OVC")</f>
        <v>OVC</v>
      </c>
      <c r="D222" s="1" t="str">
        <f ca="1">IFERROR(__xludf.DUMMYFUNCTION("""COMPUTED_VALUE"""),"20-13")</f>
        <v>20-13</v>
      </c>
      <c r="E222" s="1">
        <f ca="1">IFERROR(__xludf.DUMMYFUNCTION("""COMPUTED_VALUE"""),-4.36)</f>
        <v>-4.3600000000000003</v>
      </c>
      <c r="F222" s="1">
        <f ca="1">IFERROR(__xludf.DUMMYFUNCTION("""COMPUTED_VALUE"""),100.9)</f>
        <v>100.9</v>
      </c>
      <c r="G222" s="1">
        <f ca="1">IFERROR(__xludf.DUMMYFUNCTION("""COMPUTED_VALUE"""),218)</f>
        <v>218</v>
      </c>
      <c r="H222" s="1">
        <f ca="1">IFERROR(__xludf.DUMMYFUNCTION("""COMPUTED_VALUE"""),105.2)</f>
        <v>105.2</v>
      </c>
      <c r="I222" s="1">
        <f ca="1">IFERROR(__xludf.DUMMYFUNCTION("""COMPUTED_VALUE"""),217)</f>
        <v>217</v>
      </c>
      <c r="J222" s="1">
        <f ca="1">IFERROR(__xludf.DUMMYFUNCTION("""COMPUTED_VALUE"""),69.8)</f>
        <v>69.8</v>
      </c>
      <c r="K222" s="1">
        <f ca="1">IFERROR(__xludf.DUMMYFUNCTION("""COMPUTED_VALUE"""),24)</f>
        <v>24</v>
      </c>
      <c r="L222" s="1" t="str">
        <f ca="1">IFERROR(__xludf.DUMMYFUNCTION("""COMPUTED_VALUE"""),"+.058")</f>
        <v>+.058</v>
      </c>
      <c r="M222" s="1">
        <f ca="1">IFERROR(__xludf.DUMMYFUNCTION("""COMPUTED_VALUE"""),44)</f>
        <v>44</v>
      </c>
      <c r="N222" s="1">
        <f ca="1">IFERROR(__xludf.DUMMYFUNCTION("""COMPUTED_VALUE"""),-5.75)</f>
        <v>-5.75</v>
      </c>
      <c r="O222" s="1">
        <f ca="1">IFERROR(__xludf.DUMMYFUNCTION("""COMPUTED_VALUE"""),296)</f>
        <v>296</v>
      </c>
      <c r="P222" s="1">
        <f ca="1">IFERROR(__xludf.DUMMYFUNCTION("""COMPUTED_VALUE"""),100.1)</f>
        <v>100.1</v>
      </c>
      <c r="Q222" s="1">
        <f ca="1">IFERROR(__xludf.DUMMYFUNCTION("""COMPUTED_VALUE"""),298)</f>
        <v>298</v>
      </c>
      <c r="R222" s="1">
        <f ca="1">IFERROR(__xludf.DUMMYFUNCTION("""COMPUTED_VALUE"""),105.9)</f>
        <v>105.9</v>
      </c>
      <c r="S222" s="1">
        <f ca="1">IFERROR(__xludf.DUMMYFUNCTION("""COMPUTED_VALUE"""),285)</f>
        <v>285</v>
      </c>
      <c r="T222" s="1">
        <f ca="1">IFERROR(__xludf.DUMMYFUNCTION("""COMPUTED_VALUE"""),-7.36)</f>
        <v>-7.36</v>
      </c>
      <c r="U222" s="1">
        <f ca="1">IFERROR(__xludf.DUMMYFUNCTION("""COMPUTED_VALUE"""),322)</f>
        <v>322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IFERROR(__xludf.DUMMYFUNCTION("""COMPUTED_VALUE"""),"Charleston Southern")</f>
        <v>Charleston Southern</v>
      </c>
      <c r="C223" s="1" t="str">
        <f ca="1">IFERROR(__xludf.DUMMYFUNCTION("""COMPUTED_VALUE"""),"BSth")</f>
        <v>BSth</v>
      </c>
      <c r="D223" s="1" t="str">
        <f ca="1">IFERROR(__xludf.DUMMYFUNCTION("""COMPUTED_VALUE"""),"16-16")</f>
        <v>16-16</v>
      </c>
      <c r="E223" s="1">
        <f ca="1">IFERROR(__xludf.DUMMYFUNCTION("""COMPUTED_VALUE"""),-4.37)</f>
        <v>-4.37</v>
      </c>
      <c r="F223" s="1">
        <f ca="1">IFERROR(__xludf.DUMMYFUNCTION("""COMPUTED_VALUE"""),102.9)</f>
        <v>102.9</v>
      </c>
      <c r="G223" s="1">
        <f ca="1">IFERROR(__xludf.DUMMYFUNCTION("""COMPUTED_VALUE"""),180)</f>
        <v>180</v>
      </c>
      <c r="H223" s="1">
        <f ca="1">IFERROR(__xludf.DUMMYFUNCTION("""COMPUTED_VALUE"""),107.2)</f>
        <v>107.2</v>
      </c>
      <c r="I223" s="1">
        <f ca="1">IFERROR(__xludf.DUMMYFUNCTION("""COMPUTED_VALUE"""),252)</f>
        <v>252</v>
      </c>
      <c r="J223" s="1">
        <f ca="1">IFERROR(__xludf.DUMMYFUNCTION("""COMPUTED_VALUE"""),65.9)</f>
        <v>65.900000000000006</v>
      </c>
      <c r="K223" s="1">
        <f ca="1">IFERROR(__xludf.DUMMYFUNCTION("""COMPUTED_VALUE"""),147)</f>
        <v>147</v>
      </c>
      <c r="L223" s="1">
        <f ca="1">IFERROR(__xludf.DUMMYFUNCTION("""COMPUTED_VALUE"""),-0.06)</f>
        <v>-0.06</v>
      </c>
      <c r="M223" s="1">
        <f ca="1">IFERROR(__xludf.DUMMYFUNCTION("""COMPUTED_VALUE"""),308)</f>
        <v>308</v>
      </c>
      <c r="N223" s="1">
        <f ca="1">IFERROR(__xludf.DUMMYFUNCTION("""COMPUTED_VALUE"""),-3.98)</f>
        <v>-3.98</v>
      </c>
      <c r="O223" s="1">
        <f ca="1">IFERROR(__xludf.DUMMYFUNCTION("""COMPUTED_VALUE"""),253)</f>
        <v>253</v>
      </c>
      <c r="P223" s="1">
        <f ca="1">IFERROR(__xludf.DUMMYFUNCTION("""COMPUTED_VALUE"""),100.3)</f>
        <v>100.3</v>
      </c>
      <c r="Q223" s="1">
        <f ca="1">IFERROR(__xludf.DUMMYFUNCTION("""COMPUTED_VALUE"""),288)</f>
        <v>288</v>
      </c>
      <c r="R223" s="1">
        <f ca="1">IFERROR(__xludf.DUMMYFUNCTION("""COMPUTED_VALUE"""),104.3)</f>
        <v>104.3</v>
      </c>
      <c r="S223" s="1">
        <f ca="1">IFERROR(__xludf.DUMMYFUNCTION("""COMPUTED_VALUE"""),196)</f>
        <v>196</v>
      </c>
      <c r="T223" s="1" t="str">
        <f ca="1">IFERROR(__xludf.DUMMYFUNCTION("""COMPUTED_VALUE"""),"+2.44")</f>
        <v>+2.44</v>
      </c>
      <c r="U223" s="1">
        <f ca="1">IFERROR(__xludf.DUMMYFUNCTION("""COMPUTED_VALUE"""),85)</f>
        <v>85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IFERROR(__xludf.DUMMYFUNCTION("""COMPUTED_VALUE"""),"Appalachian St.")</f>
        <v>Appalachian St.</v>
      </c>
      <c r="C224" s="1" t="str">
        <f ca="1">IFERROR(__xludf.DUMMYFUNCTION("""COMPUTED_VALUE"""),"SC")</f>
        <v>SC</v>
      </c>
      <c r="D224" s="1" t="str">
        <f ca="1">IFERROR(__xludf.DUMMYFUNCTION("""COMPUTED_VALUE"""),"16-15")</f>
        <v>16-15</v>
      </c>
      <c r="E224" s="1">
        <f ca="1">IFERROR(__xludf.DUMMYFUNCTION("""COMPUTED_VALUE"""),-4.38)</f>
        <v>-4.38</v>
      </c>
      <c r="F224" s="1">
        <f ca="1">IFERROR(__xludf.DUMMYFUNCTION("""COMPUTED_VALUE"""),104.7)</f>
        <v>104.7</v>
      </c>
      <c r="G224" s="1">
        <f ca="1">IFERROR(__xludf.DUMMYFUNCTION("""COMPUTED_VALUE"""),143)</f>
        <v>143</v>
      </c>
      <c r="H224" s="1">
        <f ca="1">IFERROR(__xludf.DUMMYFUNCTION("""COMPUTED_VALUE"""),109)</f>
        <v>109</v>
      </c>
      <c r="I224" s="1">
        <f ca="1">IFERROR(__xludf.DUMMYFUNCTION("""COMPUTED_VALUE"""),283)</f>
        <v>283</v>
      </c>
      <c r="J224" s="1">
        <f ca="1">IFERROR(__xludf.DUMMYFUNCTION("""COMPUTED_VALUE"""),66)</f>
        <v>66</v>
      </c>
      <c r="K224" s="1">
        <f ca="1">IFERROR(__xludf.DUMMYFUNCTION("""COMPUTED_VALUE"""),134)</f>
        <v>134</v>
      </c>
      <c r="L224" s="1" t="str">
        <f ca="1">IFERROR(__xludf.DUMMYFUNCTION("""COMPUTED_VALUE"""),"+.044")</f>
        <v>+.044</v>
      </c>
      <c r="M224" s="1">
        <f ca="1">IFERROR(__xludf.DUMMYFUNCTION("""COMPUTED_VALUE"""),67)</f>
        <v>67</v>
      </c>
      <c r="N224" s="1">
        <f ca="1">IFERROR(__xludf.DUMMYFUNCTION("""COMPUTED_VALUE"""),-2.32)</f>
        <v>-2.3199999999999998</v>
      </c>
      <c r="O224" s="1">
        <f ca="1">IFERROR(__xludf.DUMMYFUNCTION("""COMPUTED_VALUE"""),209)</f>
        <v>209</v>
      </c>
      <c r="P224" s="1">
        <f ca="1">IFERROR(__xludf.DUMMYFUNCTION("""COMPUTED_VALUE"""),103.4)</f>
        <v>103.4</v>
      </c>
      <c r="Q224" s="1">
        <f ca="1">IFERROR(__xludf.DUMMYFUNCTION("""COMPUTED_VALUE"""),160)</f>
        <v>160</v>
      </c>
      <c r="R224" s="1">
        <f ca="1">IFERROR(__xludf.DUMMYFUNCTION("""COMPUTED_VALUE"""),105.7)</f>
        <v>105.7</v>
      </c>
      <c r="S224" s="1">
        <f ca="1">IFERROR(__xludf.DUMMYFUNCTION("""COMPUTED_VALUE"""),276)</f>
        <v>276</v>
      </c>
      <c r="T224" s="1" t="str">
        <f ca="1">IFERROR(__xludf.DUMMYFUNCTION("""COMPUTED_VALUE"""),"+5.92")</f>
        <v>+5.92</v>
      </c>
      <c r="U224" s="1">
        <f ca="1">IFERROR(__xludf.DUMMYFUNCTION("""COMPUTED_VALUE"""),37)</f>
        <v>37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IFERROR(__xludf.DUMMYFUNCTION("""COMPUTED_VALUE"""),"Southern Illinois")</f>
        <v>Southern Illinois</v>
      </c>
      <c r="C225" s="1" t="str">
        <f ca="1">IFERROR(__xludf.DUMMYFUNCTION("""COMPUTED_VALUE"""),"MVC")</f>
        <v>MVC</v>
      </c>
      <c r="D225" s="1" t="str">
        <f ca="1">IFERROR(__xludf.DUMMYFUNCTION("""COMPUTED_VALUE"""),"13-19")</f>
        <v>13-19</v>
      </c>
      <c r="E225" s="1">
        <f ca="1">IFERROR(__xludf.DUMMYFUNCTION("""COMPUTED_VALUE"""),-4.39)</f>
        <v>-4.3899999999999997</v>
      </c>
      <c r="F225" s="1">
        <f ca="1">IFERROR(__xludf.DUMMYFUNCTION("""COMPUTED_VALUE"""),97)</f>
        <v>97</v>
      </c>
      <c r="G225" s="1">
        <f ca="1">IFERROR(__xludf.DUMMYFUNCTION("""COMPUTED_VALUE"""),278)</f>
        <v>278</v>
      </c>
      <c r="H225" s="1">
        <f ca="1">IFERROR(__xludf.DUMMYFUNCTION("""COMPUTED_VALUE"""),101.4)</f>
        <v>101.4</v>
      </c>
      <c r="I225" s="1">
        <f ca="1">IFERROR(__xludf.DUMMYFUNCTION("""COMPUTED_VALUE"""),126)</f>
        <v>126</v>
      </c>
      <c r="J225" s="1">
        <f ca="1">IFERROR(__xludf.DUMMYFUNCTION("""COMPUTED_VALUE"""),63.2)</f>
        <v>63.2</v>
      </c>
      <c r="K225" s="1">
        <f ca="1">IFERROR(__xludf.DUMMYFUNCTION("""COMPUTED_VALUE"""),274)</f>
        <v>274</v>
      </c>
      <c r="L225" s="1" t="str">
        <f ca="1">IFERROR(__xludf.DUMMYFUNCTION("""COMPUTED_VALUE"""),"+.034")</f>
        <v>+.034</v>
      </c>
      <c r="M225" s="1">
        <f ca="1">IFERROR(__xludf.DUMMYFUNCTION("""COMPUTED_VALUE"""),90)</f>
        <v>90</v>
      </c>
      <c r="N225" s="1" t="str">
        <f ca="1">IFERROR(__xludf.DUMMYFUNCTION("""COMPUTED_VALUE"""),"+0.74")</f>
        <v>+0.74</v>
      </c>
      <c r="O225" s="1">
        <f ca="1">IFERROR(__xludf.DUMMYFUNCTION("""COMPUTED_VALUE"""),136)</f>
        <v>136</v>
      </c>
      <c r="P225" s="1">
        <f ca="1">IFERROR(__xludf.DUMMYFUNCTION("""COMPUTED_VALUE"""),104.3)</f>
        <v>104.3</v>
      </c>
      <c r="Q225" s="1">
        <f ca="1">IFERROR(__xludf.DUMMYFUNCTION("""COMPUTED_VALUE"""),119)</f>
        <v>119</v>
      </c>
      <c r="R225" s="1">
        <f ca="1">IFERROR(__xludf.DUMMYFUNCTION("""COMPUTED_VALUE"""),103.6)</f>
        <v>103.6</v>
      </c>
      <c r="S225" s="1">
        <f ca="1">IFERROR(__xludf.DUMMYFUNCTION("""COMPUTED_VALUE"""),163)</f>
        <v>163</v>
      </c>
      <c r="T225" s="1">
        <f ca="1">IFERROR(__xludf.DUMMYFUNCTION("""COMPUTED_VALUE"""),-3.32)</f>
        <v>-3.32</v>
      </c>
      <c r="U225" s="1">
        <f ca="1">IFERROR(__xludf.DUMMYFUNCTION("""COMPUTED_VALUE"""),246)</f>
        <v>246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IFERROR(__xludf.DUMMYFUNCTION("""COMPUTED_VALUE"""),"Columbia")</f>
        <v>Columbia</v>
      </c>
      <c r="C226" s="1" t="str">
        <f ca="1">IFERROR(__xludf.DUMMYFUNCTION("""COMPUTED_VALUE"""),"Ivy")</f>
        <v>Ivy</v>
      </c>
      <c r="D226" s="1" t="str">
        <f ca="1">IFERROR(__xludf.DUMMYFUNCTION("""COMPUTED_VALUE"""),"15-13")</f>
        <v>15-13</v>
      </c>
      <c r="E226" s="1">
        <f ca="1">IFERROR(__xludf.DUMMYFUNCTION("""COMPUTED_VALUE"""),-4.5)</f>
        <v>-4.5</v>
      </c>
      <c r="F226" s="1">
        <f ca="1">IFERROR(__xludf.DUMMYFUNCTION("""COMPUTED_VALUE"""),101.3)</f>
        <v>101.3</v>
      </c>
      <c r="G226" s="1">
        <f ca="1">IFERROR(__xludf.DUMMYFUNCTION("""COMPUTED_VALUE"""),209)</f>
        <v>209</v>
      </c>
      <c r="H226" s="1">
        <f ca="1">IFERROR(__xludf.DUMMYFUNCTION("""COMPUTED_VALUE"""),105.8)</f>
        <v>105.8</v>
      </c>
      <c r="I226" s="1">
        <f ca="1">IFERROR(__xludf.DUMMYFUNCTION("""COMPUTED_VALUE"""),231)</f>
        <v>231</v>
      </c>
      <c r="J226" s="1">
        <f ca="1">IFERROR(__xludf.DUMMYFUNCTION("""COMPUTED_VALUE"""),66.8)</f>
        <v>66.8</v>
      </c>
      <c r="K226" s="1">
        <f ca="1">IFERROR(__xludf.DUMMYFUNCTION("""COMPUTED_VALUE"""),90)</f>
        <v>90</v>
      </c>
      <c r="L226" s="1" t="str">
        <f ca="1">IFERROR(__xludf.DUMMYFUNCTION("""COMPUTED_VALUE"""),"+.038")</f>
        <v>+.038</v>
      </c>
      <c r="M226" s="1">
        <f ca="1">IFERROR(__xludf.DUMMYFUNCTION("""COMPUTED_VALUE"""),82)</f>
        <v>82</v>
      </c>
      <c r="N226" s="1">
        <f ca="1">IFERROR(__xludf.DUMMYFUNCTION("""COMPUTED_VALUE"""),-4.03)</f>
        <v>-4.03</v>
      </c>
      <c r="O226" s="1">
        <f ca="1">IFERROR(__xludf.DUMMYFUNCTION("""COMPUTED_VALUE"""),257)</f>
        <v>257</v>
      </c>
      <c r="P226" s="1">
        <f ca="1">IFERROR(__xludf.DUMMYFUNCTION("""COMPUTED_VALUE"""),102.2)</f>
        <v>102.2</v>
      </c>
      <c r="Q226" s="1">
        <f ca="1">IFERROR(__xludf.DUMMYFUNCTION("""COMPUTED_VALUE"""),213)</f>
        <v>213</v>
      </c>
      <c r="R226" s="1">
        <f ca="1">IFERROR(__xludf.DUMMYFUNCTION("""COMPUTED_VALUE"""),106.2)</f>
        <v>106.2</v>
      </c>
      <c r="S226" s="1">
        <f ca="1">IFERROR(__xludf.DUMMYFUNCTION("""COMPUTED_VALUE"""),303)</f>
        <v>303</v>
      </c>
      <c r="T226" s="1">
        <f ca="1">IFERROR(__xludf.DUMMYFUNCTION("""COMPUTED_VALUE"""),-6.31)</f>
        <v>-6.31</v>
      </c>
      <c r="U226" s="1">
        <f ca="1">IFERROR(__xludf.DUMMYFUNCTION("""COMPUTED_VALUE"""),316)</f>
        <v>316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IFERROR(__xludf.DUMMYFUNCTION("""COMPUTED_VALUE"""),"Arkansas Little Rock16")</f>
        <v>Arkansas Little Rock16</v>
      </c>
      <c r="C227" s="1" t="str">
        <f ca="1">IFERROR(__xludf.DUMMYFUNCTION("""COMPUTED_VALUE"""),"SB")</f>
        <v>SB</v>
      </c>
      <c r="D227" s="1" t="str">
        <f ca="1">IFERROR(__xludf.DUMMYFUNCTION("""COMPUTED_VALUE"""),"19-17")</f>
        <v>19-17</v>
      </c>
      <c r="E227" s="1">
        <f ca="1">IFERROR(__xludf.DUMMYFUNCTION("""COMPUTED_VALUE"""),-4.53)</f>
        <v>-4.53</v>
      </c>
      <c r="F227" s="1">
        <f ca="1">IFERROR(__xludf.DUMMYFUNCTION("""COMPUTED_VALUE"""),101.1)</f>
        <v>101.1</v>
      </c>
      <c r="G227" s="1">
        <f ca="1">IFERROR(__xludf.DUMMYFUNCTION("""COMPUTED_VALUE"""),215)</f>
        <v>215</v>
      </c>
      <c r="H227" s="1">
        <f ca="1">IFERROR(__xludf.DUMMYFUNCTION("""COMPUTED_VALUE"""),105.6)</f>
        <v>105.6</v>
      </c>
      <c r="I227" s="1">
        <f ca="1">IFERROR(__xludf.DUMMYFUNCTION("""COMPUTED_VALUE"""),229)</f>
        <v>229</v>
      </c>
      <c r="J227" s="1">
        <f ca="1">IFERROR(__xludf.DUMMYFUNCTION("""COMPUTED_VALUE"""),64.1)</f>
        <v>64.099999999999994</v>
      </c>
      <c r="K227" s="1">
        <f ca="1">IFERROR(__xludf.DUMMYFUNCTION("""COMPUTED_VALUE"""),236)</f>
        <v>236</v>
      </c>
      <c r="L227" s="1" t="str">
        <f ca="1">IFERROR(__xludf.DUMMYFUNCTION("""COMPUTED_VALUE"""),"+.032")</f>
        <v>+.032</v>
      </c>
      <c r="M227" s="1">
        <f ca="1">IFERROR(__xludf.DUMMYFUNCTION("""COMPUTED_VALUE"""),98)</f>
        <v>98</v>
      </c>
      <c r="N227" s="1">
        <f ca="1">IFERROR(__xludf.DUMMYFUNCTION("""COMPUTED_VALUE"""),-3.85)</f>
        <v>-3.85</v>
      </c>
      <c r="O227" s="1">
        <f ca="1">IFERROR(__xludf.DUMMYFUNCTION("""COMPUTED_VALUE"""),251)</f>
        <v>251</v>
      </c>
      <c r="P227" s="1">
        <f ca="1">IFERROR(__xludf.DUMMYFUNCTION("""COMPUTED_VALUE"""),102.2)</f>
        <v>102.2</v>
      </c>
      <c r="Q227" s="1">
        <f ca="1">IFERROR(__xludf.DUMMYFUNCTION("""COMPUTED_VALUE"""),211)</f>
        <v>211</v>
      </c>
      <c r="R227" s="1">
        <f ca="1">IFERROR(__xludf.DUMMYFUNCTION("""COMPUTED_VALUE"""),106.1)</f>
        <v>106.1</v>
      </c>
      <c r="S227" s="1">
        <f ca="1">IFERROR(__xludf.DUMMYFUNCTION("""COMPUTED_VALUE"""),293)</f>
        <v>293</v>
      </c>
      <c r="T227" s="1" t="str">
        <f ca="1">IFERROR(__xludf.DUMMYFUNCTION("""COMPUTED_VALUE"""),"+0.85")</f>
        <v>+0.85</v>
      </c>
      <c r="U227" s="1">
        <f ca="1">IFERROR(__xludf.DUMMYFUNCTION("""COMPUTED_VALUE"""),129)</f>
        <v>129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IFERROR(__xludf.DUMMYFUNCTION("""COMPUTED_VALUE"""),"Western Kentucky")</f>
        <v>Western Kentucky</v>
      </c>
      <c r="C228" s="1" t="str">
        <f ca="1">IFERROR(__xludf.DUMMYFUNCTION("""COMPUTED_VALUE"""),"SB")</f>
        <v>SB</v>
      </c>
      <c r="D228" s="1" t="str">
        <f ca="1">IFERROR(__xludf.DUMMYFUNCTION("""COMPUTED_VALUE"""),"16-16")</f>
        <v>16-16</v>
      </c>
      <c r="E228" s="1">
        <f ca="1">IFERROR(__xludf.DUMMYFUNCTION("""COMPUTED_VALUE"""),-4.57)</f>
        <v>-4.57</v>
      </c>
      <c r="F228" s="1">
        <f ca="1">IFERROR(__xludf.DUMMYFUNCTION("""COMPUTED_VALUE"""),100.5)</f>
        <v>100.5</v>
      </c>
      <c r="G228" s="1">
        <f ca="1">IFERROR(__xludf.DUMMYFUNCTION("""COMPUTED_VALUE"""),226)</f>
        <v>226</v>
      </c>
      <c r="H228" s="1">
        <f ca="1">IFERROR(__xludf.DUMMYFUNCTION("""COMPUTED_VALUE"""),105.1)</f>
        <v>105.1</v>
      </c>
      <c r="I228" s="1">
        <f ca="1">IFERROR(__xludf.DUMMYFUNCTION("""COMPUTED_VALUE"""),215)</f>
        <v>215</v>
      </c>
      <c r="J228" s="1">
        <f ca="1">IFERROR(__xludf.DUMMYFUNCTION("""COMPUTED_VALUE"""),66.8)</f>
        <v>66.8</v>
      </c>
      <c r="K228" s="1">
        <f ca="1">IFERROR(__xludf.DUMMYFUNCTION("""COMPUTED_VALUE"""),93)</f>
        <v>93</v>
      </c>
      <c r="L228" s="1" t="str">
        <f ca="1">IFERROR(__xludf.DUMMYFUNCTION("""COMPUTED_VALUE"""),"+.019")</f>
        <v>+.019</v>
      </c>
      <c r="M228" s="1">
        <f ca="1">IFERROR(__xludf.DUMMYFUNCTION("""COMPUTED_VALUE"""),135)</f>
        <v>135</v>
      </c>
      <c r="N228" s="1">
        <f ca="1">IFERROR(__xludf.DUMMYFUNCTION("""COMPUTED_VALUE"""),-4.3)</f>
        <v>-4.3</v>
      </c>
      <c r="O228" s="1">
        <f ca="1">IFERROR(__xludf.DUMMYFUNCTION("""COMPUTED_VALUE"""),262)</f>
        <v>262</v>
      </c>
      <c r="P228" s="1">
        <f ca="1">IFERROR(__xludf.DUMMYFUNCTION("""COMPUTED_VALUE"""),101.2)</f>
        <v>101.2</v>
      </c>
      <c r="Q228" s="1">
        <f ca="1">IFERROR(__xludf.DUMMYFUNCTION("""COMPUTED_VALUE"""),249)</f>
        <v>249</v>
      </c>
      <c r="R228" s="1">
        <f ca="1">IFERROR(__xludf.DUMMYFUNCTION("""COMPUTED_VALUE"""),105.5)</f>
        <v>105.5</v>
      </c>
      <c r="S228" s="1">
        <f ca="1">IFERROR(__xludf.DUMMYFUNCTION("""COMPUTED_VALUE"""),263)</f>
        <v>263</v>
      </c>
      <c r="T228" s="1" t="str">
        <f ca="1">IFERROR(__xludf.DUMMYFUNCTION("""COMPUTED_VALUE"""),"+1.98")</f>
        <v>+1.98</v>
      </c>
      <c r="U228" s="1">
        <f ca="1">IFERROR(__xludf.DUMMYFUNCTION("""COMPUTED_VALUE"""),94)</f>
        <v>94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IFERROR(__xludf.DUMMYFUNCTION("""COMPUTED_VALUE"""),"Georgia St.")</f>
        <v>Georgia St.</v>
      </c>
      <c r="C229" s="1" t="str">
        <f ca="1">IFERROR(__xludf.DUMMYFUNCTION("""COMPUTED_VALUE"""),"CAA")</f>
        <v>CAA</v>
      </c>
      <c r="D229" s="2">
        <f ca="1">IFERROR(__xludf.DUMMYFUNCTION("""COMPUTED_VALUE"""),44914)</f>
        <v>44914</v>
      </c>
      <c r="E229" s="1">
        <f ca="1">IFERROR(__xludf.DUMMYFUNCTION("""COMPUTED_VALUE"""),-4.58)</f>
        <v>-4.58</v>
      </c>
      <c r="F229" s="1">
        <f ca="1">IFERROR(__xludf.DUMMYFUNCTION("""COMPUTED_VALUE"""),94.9)</f>
        <v>94.9</v>
      </c>
      <c r="G229" s="1">
        <f ca="1">IFERROR(__xludf.DUMMYFUNCTION("""COMPUTED_VALUE"""),296)</f>
        <v>296</v>
      </c>
      <c r="H229" s="1">
        <f ca="1">IFERROR(__xludf.DUMMYFUNCTION("""COMPUTED_VALUE"""),99.5)</f>
        <v>99.5</v>
      </c>
      <c r="I229" s="1">
        <f ca="1">IFERROR(__xludf.DUMMYFUNCTION("""COMPUTED_VALUE"""),91)</f>
        <v>91</v>
      </c>
      <c r="J229" s="1">
        <f ca="1">IFERROR(__xludf.DUMMYFUNCTION("""COMPUTED_VALUE"""),63.7)</f>
        <v>63.7</v>
      </c>
      <c r="K229" s="1">
        <f ca="1">IFERROR(__xludf.DUMMYFUNCTION("""COMPUTED_VALUE"""),251)</f>
        <v>251</v>
      </c>
      <c r="L229" s="1">
        <f ca="1">IFERROR(__xludf.DUMMYFUNCTION("""COMPUTED_VALUE"""),-0.031)</f>
        <v>-3.1E-2</v>
      </c>
      <c r="M229" s="1">
        <f ca="1">IFERROR(__xludf.DUMMYFUNCTION("""COMPUTED_VALUE"""),259)</f>
        <v>259</v>
      </c>
      <c r="N229" s="1">
        <f ca="1">IFERROR(__xludf.DUMMYFUNCTION("""COMPUTED_VALUE"""),-1.79)</f>
        <v>-1.79</v>
      </c>
      <c r="O229" s="1">
        <f ca="1">IFERROR(__xludf.DUMMYFUNCTION("""COMPUTED_VALUE"""),192)</f>
        <v>192</v>
      </c>
      <c r="P229" s="1">
        <f ca="1">IFERROR(__xludf.DUMMYFUNCTION("""COMPUTED_VALUE"""),103.3)</f>
        <v>103.3</v>
      </c>
      <c r="Q229" s="1">
        <f ca="1">IFERROR(__xludf.DUMMYFUNCTION("""COMPUTED_VALUE"""),164)</f>
        <v>164</v>
      </c>
      <c r="R229" s="1">
        <f ca="1">IFERROR(__xludf.DUMMYFUNCTION("""COMPUTED_VALUE"""),105.1)</f>
        <v>105.1</v>
      </c>
      <c r="S229" s="1">
        <f ca="1">IFERROR(__xludf.DUMMYFUNCTION("""COMPUTED_VALUE"""),233)</f>
        <v>233</v>
      </c>
      <c r="T229" s="1">
        <f ca="1">IFERROR(__xludf.DUMMYFUNCTION("""COMPUTED_VALUE"""),-10.82)</f>
        <v>-10.82</v>
      </c>
      <c r="U229" s="1">
        <f ca="1">IFERROR(__xludf.DUMMYFUNCTION("""COMPUTED_VALUE"""),340)</f>
        <v>340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IFERROR(__xludf.DUMMYFUNCTION("""COMPUTED_VALUE"""),"UC Irvine")</f>
        <v>UC Irvine</v>
      </c>
      <c r="C230" s="1" t="str">
        <f ca="1">IFERROR(__xludf.DUMMYFUNCTION("""COMPUTED_VALUE"""),"BW")</f>
        <v>BW</v>
      </c>
      <c r="D230" s="1" t="str">
        <f ca="1">IFERROR(__xludf.DUMMYFUNCTION("""COMPUTED_VALUE"""),"13-19")</f>
        <v>13-19</v>
      </c>
      <c r="E230" s="1">
        <f ca="1">IFERROR(__xludf.DUMMYFUNCTION("""COMPUTED_VALUE"""),-4.62)</f>
        <v>-4.62</v>
      </c>
      <c r="F230" s="1">
        <f ca="1">IFERROR(__xludf.DUMMYFUNCTION("""COMPUTED_VALUE"""),102.6)</f>
        <v>102.6</v>
      </c>
      <c r="G230" s="1">
        <f ca="1">IFERROR(__xludf.DUMMYFUNCTION("""COMPUTED_VALUE"""),186)</f>
        <v>186</v>
      </c>
      <c r="H230" s="1">
        <f ca="1">IFERROR(__xludf.DUMMYFUNCTION("""COMPUTED_VALUE"""),107.2)</f>
        <v>107.2</v>
      </c>
      <c r="I230" s="1">
        <f ca="1">IFERROR(__xludf.DUMMYFUNCTION("""COMPUTED_VALUE"""),251)</f>
        <v>251</v>
      </c>
      <c r="J230" s="1">
        <f ca="1">IFERROR(__xludf.DUMMYFUNCTION("""COMPUTED_VALUE"""),69.8)</f>
        <v>69.8</v>
      </c>
      <c r="K230" s="1">
        <f ca="1">IFERROR(__xludf.DUMMYFUNCTION("""COMPUTED_VALUE"""),23)</f>
        <v>23</v>
      </c>
      <c r="L230" s="1">
        <f ca="1">IFERROR(__xludf.DUMMYFUNCTION("""COMPUTED_VALUE"""),-0.048)</f>
        <v>-4.8000000000000001E-2</v>
      </c>
      <c r="M230" s="1">
        <f ca="1">IFERROR(__xludf.DUMMYFUNCTION("""COMPUTED_VALUE"""),291)</f>
        <v>291</v>
      </c>
      <c r="N230" s="1">
        <f ca="1">IFERROR(__xludf.DUMMYFUNCTION("""COMPUTED_VALUE"""),-3.16)</f>
        <v>-3.16</v>
      </c>
      <c r="O230" s="1">
        <f ca="1">IFERROR(__xludf.DUMMYFUNCTION("""COMPUTED_VALUE"""),235)</f>
        <v>235</v>
      </c>
      <c r="P230" s="1">
        <f ca="1">IFERROR(__xludf.DUMMYFUNCTION("""COMPUTED_VALUE"""),101.4)</f>
        <v>101.4</v>
      </c>
      <c r="Q230" s="1">
        <f ca="1">IFERROR(__xludf.DUMMYFUNCTION("""COMPUTED_VALUE"""),246)</f>
        <v>246</v>
      </c>
      <c r="R230" s="1">
        <f ca="1">IFERROR(__xludf.DUMMYFUNCTION("""COMPUTED_VALUE"""),104.6)</f>
        <v>104.6</v>
      </c>
      <c r="S230" s="1">
        <f ca="1">IFERROR(__xludf.DUMMYFUNCTION("""COMPUTED_VALUE"""),213)</f>
        <v>213</v>
      </c>
      <c r="T230" s="1">
        <f ca="1">IFERROR(__xludf.DUMMYFUNCTION("""COMPUTED_VALUE"""),-4.04)</f>
        <v>-4.04</v>
      </c>
      <c r="U230" s="1">
        <f ca="1">IFERROR(__xludf.DUMMYFUNCTION("""COMPUTED_VALUE"""),264)</f>
        <v>264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IFERROR(__xludf.DUMMYFUNCTION("""COMPUTED_VALUE"""),"Denver")</f>
        <v>Denver</v>
      </c>
      <c r="C231" s="1" t="str">
        <f ca="1">IFERROR(__xludf.DUMMYFUNCTION("""COMPUTED_VALUE"""),"SB")</f>
        <v>SB</v>
      </c>
      <c r="D231" s="1" t="str">
        <f ca="1">IFERROR(__xludf.DUMMYFUNCTION("""COMPUTED_VALUE"""),"13-17")</f>
        <v>13-17</v>
      </c>
      <c r="E231" s="1">
        <f ca="1">IFERROR(__xludf.DUMMYFUNCTION("""COMPUTED_VALUE"""),-4.7)</f>
        <v>-4.7</v>
      </c>
      <c r="F231" s="1">
        <f ca="1">IFERROR(__xludf.DUMMYFUNCTION("""COMPUTED_VALUE"""),100)</f>
        <v>100</v>
      </c>
      <c r="G231" s="1">
        <f ca="1">IFERROR(__xludf.DUMMYFUNCTION("""COMPUTED_VALUE"""),236)</f>
        <v>236</v>
      </c>
      <c r="H231" s="1">
        <f ca="1">IFERROR(__xludf.DUMMYFUNCTION("""COMPUTED_VALUE"""),104.7)</f>
        <v>104.7</v>
      </c>
      <c r="I231" s="1">
        <f ca="1">IFERROR(__xludf.DUMMYFUNCTION("""COMPUTED_VALUE"""),203)</f>
        <v>203</v>
      </c>
      <c r="J231" s="1">
        <f ca="1">IFERROR(__xludf.DUMMYFUNCTION("""COMPUTED_VALUE"""),56.2)</f>
        <v>56.2</v>
      </c>
      <c r="K231" s="1">
        <f ca="1">IFERROR(__xludf.DUMMYFUNCTION("""COMPUTED_VALUE"""),345)</f>
        <v>345</v>
      </c>
      <c r="L231" s="1">
        <f ca="1">IFERROR(__xludf.DUMMYFUNCTION("""COMPUTED_VALUE"""),-0.056)</f>
        <v>-5.6000000000000001E-2</v>
      </c>
      <c r="M231" s="1">
        <f ca="1">IFERROR(__xludf.DUMMYFUNCTION("""COMPUTED_VALUE"""),304)</f>
        <v>304</v>
      </c>
      <c r="N231" s="1">
        <f ca="1">IFERROR(__xludf.DUMMYFUNCTION("""COMPUTED_VALUE"""),-4.78)</f>
        <v>-4.78</v>
      </c>
      <c r="O231" s="1">
        <f ca="1">IFERROR(__xludf.DUMMYFUNCTION("""COMPUTED_VALUE"""),273)</f>
        <v>273</v>
      </c>
      <c r="P231" s="1">
        <f ca="1">IFERROR(__xludf.DUMMYFUNCTION("""COMPUTED_VALUE"""),101.5)</f>
        <v>101.5</v>
      </c>
      <c r="Q231" s="1">
        <f ca="1">IFERROR(__xludf.DUMMYFUNCTION("""COMPUTED_VALUE"""),244)</f>
        <v>244</v>
      </c>
      <c r="R231" s="1">
        <f ca="1">IFERROR(__xludf.DUMMYFUNCTION("""COMPUTED_VALUE"""),106.2)</f>
        <v>106.2</v>
      </c>
      <c r="S231" s="1">
        <f ca="1">IFERROR(__xludf.DUMMYFUNCTION("""COMPUTED_VALUE"""),304)</f>
        <v>304</v>
      </c>
      <c r="T231" s="1">
        <f ca="1">IFERROR(__xludf.DUMMYFUNCTION("""COMPUTED_VALUE"""),-0.33)</f>
        <v>-0.33</v>
      </c>
      <c r="U231" s="1">
        <f ca="1">IFERROR(__xludf.DUMMYFUNCTION("""COMPUTED_VALUE"""),165)</f>
        <v>165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IFERROR(__xludf.DUMMYFUNCTION("""COMPUTED_VALUE"""),"North Florida")</f>
        <v>North Florida</v>
      </c>
      <c r="C232" s="1" t="str">
        <f ca="1">IFERROR(__xludf.DUMMYFUNCTION("""COMPUTED_VALUE"""),"ASun")</f>
        <v>ASun</v>
      </c>
      <c r="D232" s="1" t="str">
        <f ca="1">IFERROR(__xludf.DUMMYFUNCTION("""COMPUTED_VALUE"""),"15-19")</f>
        <v>15-19</v>
      </c>
      <c r="E232" s="1">
        <f ca="1">IFERROR(__xludf.DUMMYFUNCTION("""COMPUTED_VALUE"""),-4.79)</f>
        <v>-4.79</v>
      </c>
      <c r="F232" s="1">
        <f ca="1">IFERROR(__xludf.DUMMYFUNCTION("""COMPUTED_VALUE"""),99.7)</f>
        <v>99.7</v>
      </c>
      <c r="G232" s="1">
        <f ca="1">IFERROR(__xludf.DUMMYFUNCTION("""COMPUTED_VALUE"""),238)</f>
        <v>238</v>
      </c>
      <c r="H232" s="1">
        <f ca="1">IFERROR(__xludf.DUMMYFUNCTION("""COMPUTED_VALUE"""),104.5)</f>
        <v>104.5</v>
      </c>
      <c r="I232" s="1">
        <f ca="1">IFERROR(__xludf.DUMMYFUNCTION("""COMPUTED_VALUE"""),200)</f>
        <v>200</v>
      </c>
      <c r="J232" s="1">
        <f ca="1">IFERROR(__xludf.DUMMYFUNCTION("""COMPUTED_VALUE"""),65.3)</f>
        <v>65.3</v>
      </c>
      <c r="K232" s="1">
        <f ca="1">IFERROR(__xludf.DUMMYFUNCTION("""COMPUTED_VALUE"""),171)</f>
        <v>171</v>
      </c>
      <c r="L232" s="1" t="str">
        <f ca="1">IFERROR(__xludf.DUMMYFUNCTION("""COMPUTED_VALUE"""),"+.087")</f>
        <v>+.087</v>
      </c>
      <c r="M232" s="1">
        <f ca="1">IFERROR(__xludf.DUMMYFUNCTION("""COMPUTED_VALUE"""),17)</f>
        <v>17</v>
      </c>
      <c r="N232" s="1" t="str">
        <f ca="1">IFERROR(__xludf.DUMMYFUNCTION("""COMPUTED_VALUE"""),"+1.43")</f>
        <v>+1.43</v>
      </c>
      <c r="O232" s="1">
        <f ca="1">IFERROR(__xludf.DUMMYFUNCTION("""COMPUTED_VALUE"""),124)</f>
        <v>124</v>
      </c>
      <c r="P232" s="1">
        <f ca="1">IFERROR(__xludf.DUMMYFUNCTION("""COMPUTED_VALUE"""),102.9)</f>
        <v>102.9</v>
      </c>
      <c r="Q232" s="1">
        <f ca="1">IFERROR(__xludf.DUMMYFUNCTION("""COMPUTED_VALUE"""),178)</f>
        <v>178</v>
      </c>
      <c r="R232" s="1">
        <f ca="1">IFERROR(__xludf.DUMMYFUNCTION("""COMPUTED_VALUE"""),101.5)</f>
        <v>101.5</v>
      </c>
      <c r="S232" s="1">
        <f ca="1">IFERROR(__xludf.DUMMYFUNCTION("""COMPUTED_VALUE"""),83)</f>
        <v>83</v>
      </c>
      <c r="T232" s="1" t="str">
        <f ca="1">IFERROR(__xludf.DUMMYFUNCTION("""COMPUTED_VALUE"""),"+14.80")</f>
        <v>+14.80</v>
      </c>
      <c r="U232" s="1">
        <f ca="1">IFERROR(__xludf.DUMMYFUNCTION("""COMPUTED_VALUE"""),2)</f>
        <v>2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IFERROR(__xludf.DUMMYFUNCTION("""COMPUTED_VALUE"""),"Winthrop")</f>
        <v>Winthrop</v>
      </c>
      <c r="C233" s="1" t="str">
        <f ca="1">IFERROR(__xludf.DUMMYFUNCTION("""COMPUTED_VALUE"""),"BSth")</f>
        <v>BSth</v>
      </c>
      <c r="D233" s="1" t="str">
        <f ca="1">IFERROR(__xludf.DUMMYFUNCTION("""COMPUTED_VALUE"""),"13-17")</f>
        <v>13-17</v>
      </c>
      <c r="E233" s="1">
        <f ca="1">IFERROR(__xludf.DUMMYFUNCTION("""COMPUTED_VALUE"""),-4.85)</f>
        <v>-4.8499999999999996</v>
      </c>
      <c r="F233" s="1">
        <f ca="1">IFERROR(__xludf.DUMMYFUNCTION("""COMPUTED_VALUE"""),96.3)</f>
        <v>96.3</v>
      </c>
      <c r="G233" s="1">
        <f ca="1">IFERROR(__xludf.DUMMYFUNCTION("""COMPUTED_VALUE"""),287)</f>
        <v>287</v>
      </c>
      <c r="H233" s="1">
        <f ca="1">IFERROR(__xludf.DUMMYFUNCTION("""COMPUTED_VALUE"""),101.1)</f>
        <v>101.1</v>
      </c>
      <c r="I233" s="1">
        <f ca="1">IFERROR(__xludf.DUMMYFUNCTION("""COMPUTED_VALUE"""),122)</f>
        <v>122</v>
      </c>
      <c r="J233" s="1">
        <f ca="1">IFERROR(__xludf.DUMMYFUNCTION("""COMPUTED_VALUE"""),64.9)</f>
        <v>64.900000000000006</v>
      </c>
      <c r="K233" s="1">
        <f ca="1">IFERROR(__xludf.DUMMYFUNCTION("""COMPUTED_VALUE"""),196)</f>
        <v>196</v>
      </c>
      <c r="L233" s="1">
        <f ca="1">IFERROR(__xludf.DUMMYFUNCTION("""COMPUTED_VALUE"""),-0.04)</f>
        <v>-0.04</v>
      </c>
      <c r="M233" s="1">
        <f ca="1">IFERROR(__xludf.DUMMYFUNCTION("""COMPUTED_VALUE"""),277)</f>
        <v>277</v>
      </c>
      <c r="N233" s="1">
        <f ca="1">IFERROR(__xludf.DUMMYFUNCTION("""COMPUTED_VALUE"""),-3.02)</f>
        <v>-3.02</v>
      </c>
      <c r="O233" s="1">
        <f ca="1">IFERROR(__xludf.DUMMYFUNCTION("""COMPUTED_VALUE"""),230)</f>
        <v>230</v>
      </c>
      <c r="P233" s="1">
        <f ca="1">IFERROR(__xludf.DUMMYFUNCTION("""COMPUTED_VALUE"""),101.7)</f>
        <v>101.7</v>
      </c>
      <c r="Q233" s="1">
        <f ca="1">IFERROR(__xludf.DUMMYFUNCTION("""COMPUTED_VALUE"""),231)</f>
        <v>231</v>
      </c>
      <c r="R233" s="1">
        <f ca="1">IFERROR(__xludf.DUMMYFUNCTION("""COMPUTED_VALUE"""),104.7)</f>
        <v>104.7</v>
      </c>
      <c r="S233" s="1">
        <f ca="1">IFERROR(__xludf.DUMMYFUNCTION("""COMPUTED_VALUE"""),220)</f>
        <v>220</v>
      </c>
      <c r="T233" s="1" t="str">
        <f ca="1">IFERROR(__xludf.DUMMYFUNCTION("""COMPUTED_VALUE"""),"+5.41")</f>
        <v>+5.41</v>
      </c>
      <c r="U233" s="1">
        <f ca="1">IFERROR(__xludf.DUMMYFUNCTION("""COMPUTED_VALUE"""),42)</f>
        <v>42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IFERROR(__xludf.DUMMYFUNCTION("""COMPUTED_VALUE"""),"Houston")</f>
        <v>Houston</v>
      </c>
      <c r="C234" s="1" t="str">
        <f ca="1">IFERROR(__xludf.DUMMYFUNCTION("""COMPUTED_VALUE"""),"CUSA")</f>
        <v>CUSA</v>
      </c>
      <c r="D234" s="2">
        <f ca="1">IFERROR(__xludf.DUMMYFUNCTION("""COMPUTED_VALUE"""),44913)</f>
        <v>44913</v>
      </c>
      <c r="E234" s="1">
        <f ca="1">IFERROR(__xludf.DUMMYFUNCTION("""COMPUTED_VALUE"""),-5.04)</f>
        <v>-5.04</v>
      </c>
      <c r="F234" s="1">
        <f ca="1">IFERROR(__xludf.DUMMYFUNCTION("""COMPUTED_VALUE"""),101.4)</f>
        <v>101.4</v>
      </c>
      <c r="G234" s="1">
        <f ca="1">IFERROR(__xludf.DUMMYFUNCTION("""COMPUTED_VALUE"""),208)</f>
        <v>208</v>
      </c>
      <c r="H234" s="1">
        <f ca="1">IFERROR(__xludf.DUMMYFUNCTION("""COMPUTED_VALUE"""),106.4)</f>
        <v>106.4</v>
      </c>
      <c r="I234" s="1">
        <f ca="1">IFERROR(__xludf.DUMMYFUNCTION("""COMPUTED_VALUE"""),240)</f>
        <v>240</v>
      </c>
      <c r="J234" s="1">
        <f ca="1">IFERROR(__xludf.DUMMYFUNCTION("""COMPUTED_VALUE"""),65.5)</f>
        <v>65.5</v>
      </c>
      <c r="K234" s="1">
        <f ca="1">IFERROR(__xludf.DUMMYFUNCTION("""COMPUTED_VALUE"""),160)</f>
        <v>160</v>
      </c>
      <c r="L234" s="1" t="str">
        <f ca="1">IFERROR(__xludf.DUMMYFUNCTION("""COMPUTED_VALUE"""),"+.006")</f>
        <v>+.006</v>
      </c>
      <c r="M234" s="1">
        <f ca="1">IFERROR(__xludf.DUMMYFUNCTION("""COMPUTED_VALUE"""),164)</f>
        <v>164</v>
      </c>
      <c r="N234" s="1">
        <f ca="1">IFERROR(__xludf.DUMMYFUNCTION("""COMPUTED_VALUE"""),-0.24)</f>
        <v>-0.24</v>
      </c>
      <c r="O234" s="1">
        <f ca="1">IFERROR(__xludf.DUMMYFUNCTION("""COMPUTED_VALUE"""),157)</f>
        <v>157</v>
      </c>
      <c r="P234" s="1">
        <f ca="1">IFERROR(__xludf.DUMMYFUNCTION("""COMPUTED_VALUE"""),102.6)</f>
        <v>102.6</v>
      </c>
      <c r="Q234" s="1">
        <f ca="1">IFERROR(__xludf.DUMMYFUNCTION("""COMPUTED_VALUE"""),192)</f>
        <v>192</v>
      </c>
      <c r="R234" s="1">
        <f ca="1">IFERROR(__xludf.DUMMYFUNCTION("""COMPUTED_VALUE"""),102.9)</f>
        <v>102.9</v>
      </c>
      <c r="S234" s="1">
        <f ca="1">IFERROR(__xludf.DUMMYFUNCTION("""COMPUTED_VALUE"""),131)</f>
        <v>131</v>
      </c>
      <c r="T234" s="1">
        <f ca="1">IFERROR(__xludf.DUMMYFUNCTION("""COMPUTED_VALUE"""),-7.66)</f>
        <v>-7.66</v>
      </c>
      <c r="U234" s="1">
        <f ca="1">IFERROR(__xludf.DUMMYFUNCTION("""COMPUTED_VALUE"""),324)</f>
        <v>324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IFERROR(__xludf.DUMMYFUNCTION("""COMPUTED_VALUE"""),"Cal St. Northridge")</f>
        <v>Cal St. Northridge</v>
      </c>
      <c r="C235" s="1" t="str">
        <f ca="1">IFERROR(__xludf.DUMMYFUNCTION("""COMPUTED_VALUE"""),"BW")</f>
        <v>BW</v>
      </c>
      <c r="D235" s="1" t="str">
        <f ca="1">IFERROR(__xludf.DUMMYFUNCTION("""COMPUTED_VALUE"""),"14-18")</f>
        <v>14-18</v>
      </c>
      <c r="E235" s="1">
        <f ca="1">IFERROR(__xludf.DUMMYFUNCTION("""COMPUTED_VALUE"""),-5.08)</f>
        <v>-5.08</v>
      </c>
      <c r="F235" s="1">
        <f ca="1">IFERROR(__xludf.DUMMYFUNCTION("""COMPUTED_VALUE"""),100.6)</f>
        <v>100.6</v>
      </c>
      <c r="G235" s="1">
        <f ca="1">IFERROR(__xludf.DUMMYFUNCTION("""COMPUTED_VALUE"""),223)</f>
        <v>223</v>
      </c>
      <c r="H235" s="1">
        <f ca="1">IFERROR(__xludf.DUMMYFUNCTION("""COMPUTED_VALUE"""),105.7)</f>
        <v>105.7</v>
      </c>
      <c r="I235" s="1">
        <f ca="1">IFERROR(__xludf.DUMMYFUNCTION("""COMPUTED_VALUE"""),230)</f>
        <v>230</v>
      </c>
      <c r="J235" s="1">
        <f ca="1">IFERROR(__xludf.DUMMYFUNCTION("""COMPUTED_VALUE"""),67.7)</f>
        <v>67.7</v>
      </c>
      <c r="K235" s="1">
        <f ca="1">IFERROR(__xludf.DUMMYFUNCTION("""COMPUTED_VALUE"""),57)</f>
        <v>57</v>
      </c>
      <c r="L235" s="1" t="str">
        <f ca="1">IFERROR(__xludf.DUMMYFUNCTION("""COMPUTED_VALUE"""),"+.002")</f>
        <v>+.002</v>
      </c>
      <c r="M235" s="1">
        <f ca="1">IFERROR(__xludf.DUMMYFUNCTION("""COMPUTED_VALUE"""),175)</f>
        <v>175</v>
      </c>
      <c r="N235" s="1">
        <f ca="1">IFERROR(__xludf.DUMMYFUNCTION("""COMPUTED_VALUE"""),-1.57)</f>
        <v>-1.57</v>
      </c>
      <c r="O235" s="1">
        <f ca="1">IFERROR(__xludf.DUMMYFUNCTION("""COMPUTED_VALUE"""),184)</f>
        <v>184</v>
      </c>
      <c r="P235" s="1">
        <f ca="1">IFERROR(__xludf.DUMMYFUNCTION("""COMPUTED_VALUE"""),102.8)</f>
        <v>102.8</v>
      </c>
      <c r="Q235" s="1">
        <f ca="1">IFERROR(__xludf.DUMMYFUNCTION("""COMPUTED_VALUE"""),184)</f>
        <v>184</v>
      </c>
      <c r="R235" s="1">
        <f ca="1">IFERROR(__xludf.DUMMYFUNCTION("""COMPUTED_VALUE"""),104.4)</f>
        <v>104.4</v>
      </c>
      <c r="S235" s="1">
        <f ca="1">IFERROR(__xludf.DUMMYFUNCTION("""COMPUTED_VALUE"""),203)</f>
        <v>203</v>
      </c>
      <c r="T235" s="1" t="str">
        <f ca="1">IFERROR(__xludf.DUMMYFUNCTION("""COMPUTED_VALUE"""),"+0.95")</f>
        <v>+0.95</v>
      </c>
      <c r="U235" s="1">
        <f ca="1">IFERROR(__xludf.DUMMYFUNCTION("""COMPUTED_VALUE"""),125)</f>
        <v>125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IFERROR(__xludf.DUMMYFUNCTION("""COMPUTED_VALUE"""),"Pepperdine")</f>
        <v>Pepperdine</v>
      </c>
      <c r="C236" s="1" t="str">
        <f ca="1">IFERROR(__xludf.DUMMYFUNCTION("""COMPUTED_VALUE"""),"WCC")</f>
        <v>WCC</v>
      </c>
      <c r="D236" s="2">
        <f ca="1">IFERROR(__xludf.DUMMYFUNCTION("""COMPUTED_VALUE"""),44916)</f>
        <v>44916</v>
      </c>
      <c r="E236" s="1">
        <f ca="1">IFERROR(__xludf.DUMMYFUNCTION("""COMPUTED_VALUE"""),-5.09)</f>
        <v>-5.09</v>
      </c>
      <c r="F236" s="1">
        <f ca="1">IFERROR(__xludf.DUMMYFUNCTION("""COMPUTED_VALUE"""),104.6)</f>
        <v>104.6</v>
      </c>
      <c r="G236" s="1">
        <f ca="1">IFERROR(__xludf.DUMMYFUNCTION("""COMPUTED_VALUE"""),145)</f>
        <v>145</v>
      </c>
      <c r="H236" s="1">
        <f ca="1">IFERROR(__xludf.DUMMYFUNCTION("""COMPUTED_VALUE"""),109.7)</f>
        <v>109.7</v>
      </c>
      <c r="I236" s="1">
        <f ca="1">IFERROR(__xludf.DUMMYFUNCTION("""COMPUTED_VALUE"""),291)</f>
        <v>291</v>
      </c>
      <c r="J236" s="1">
        <f ca="1">IFERROR(__xludf.DUMMYFUNCTION("""COMPUTED_VALUE"""),65.4)</f>
        <v>65.400000000000006</v>
      </c>
      <c r="K236" s="1">
        <f ca="1">IFERROR(__xludf.DUMMYFUNCTION("""COMPUTED_VALUE"""),166)</f>
        <v>166</v>
      </c>
      <c r="L236" s="1" t="str">
        <f ca="1">IFERROR(__xludf.DUMMYFUNCTION("""COMPUTED_VALUE"""),"+.006")</f>
        <v>+.006</v>
      </c>
      <c r="M236" s="1">
        <f ca="1">IFERROR(__xludf.DUMMYFUNCTION("""COMPUTED_VALUE"""),163)</f>
        <v>163</v>
      </c>
      <c r="N236" s="1" t="str">
        <f ca="1">IFERROR(__xludf.DUMMYFUNCTION("""COMPUTED_VALUE"""),"+1.44")</f>
        <v>+1.44</v>
      </c>
      <c r="O236" s="1">
        <f ca="1">IFERROR(__xludf.DUMMYFUNCTION("""COMPUTED_VALUE"""),121)</f>
        <v>121</v>
      </c>
      <c r="P236" s="1">
        <f ca="1">IFERROR(__xludf.DUMMYFUNCTION("""COMPUTED_VALUE"""),104.5)</f>
        <v>104.5</v>
      </c>
      <c r="Q236" s="1">
        <f ca="1">IFERROR(__xludf.DUMMYFUNCTION("""COMPUTED_VALUE"""),112)</f>
        <v>112</v>
      </c>
      <c r="R236" s="1">
        <f ca="1">IFERROR(__xludf.DUMMYFUNCTION("""COMPUTED_VALUE"""),103)</f>
        <v>103</v>
      </c>
      <c r="S236" s="1">
        <f ca="1">IFERROR(__xludf.DUMMYFUNCTION("""COMPUTED_VALUE"""),139)</f>
        <v>139</v>
      </c>
      <c r="T236" s="1" t="str">
        <f ca="1">IFERROR(__xludf.DUMMYFUNCTION("""COMPUTED_VALUE"""),"+0.52")</f>
        <v>+0.52</v>
      </c>
      <c r="U236" s="1">
        <f ca="1">IFERROR(__xludf.DUMMYFUNCTION("""COMPUTED_VALUE"""),145)</f>
        <v>145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IFERROR(__xludf.DUMMYFUNCTION("""COMPUTED_VALUE"""),"Lafayette")</f>
        <v>Lafayette</v>
      </c>
      <c r="C237" s="1" t="str">
        <f ca="1">IFERROR(__xludf.DUMMYFUNCTION("""COMPUTED_VALUE"""),"Pat")</f>
        <v>Pat</v>
      </c>
      <c r="D237" s="1" t="str">
        <f ca="1">IFERROR(__xludf.DUMMYFUNCTION("""COMPUTED_VALUE"""),"13-19")</f>
        <v>13-19</v>
      </c>
      <c r="E237" s="1">
        <f ca="1">IFERROR(__xludf.DUMMYFUNCTION("""COMPUTED_VALUE"""),-5.21)</f>
        <v>-5.21</v>
      </c>
      <c r="F237" s="1">
        <f ca="1">IFERROR(__xludf.DUMMYFUNCTION("""COMPUTED_VALUE"""),103)</f>
        <v>103</v>
      </c>
      <c r="G237" s="1">
        <f ca="1">IFERROR(__xludf.DUMMYFUNCTION("""COMPUTED_VALUE"""),176)</f>
        <v>176</v>
      </c>
      <c r="H237" s="1">
        <f ca="1">IFERROR(__xludf.DUMMYFUNCTION("""COMPUTED_VALUE"""),108.2)</f>
        <v>108.2</v>
      </c>
      <c r="I237" s="1">
        <f ca="1">IFERROR(__xludf.DUMMYFUNCTION("""COMPUTED_VALUE"""),269)</f>
        <v>269</v>
      </c>
      <c r="J237" s="1">
        <f ca="1">IFERROR(__xludf.DUMMYFUNCTION("""COMPUTED_VALUE"""),64.4)</f>
        <v>64.400000000000006</v>
      </c>
      <c r="K237" s="1">
        <f ca="1">IFERROR(__xludf.DUMMYFUNCTION("""COMPUTED_VALUE"""),226)</f>
        <v>226</v>
      </c>
      <c r="L237" s="1">
        <f ca="1">IFERROR(__xludf.DUMMYFUNCTION("""COMPUTED_VALUE"""),-0.031)</f>
        <v>-3.1E-2</v>
      </c>
      <c r="M237" s="1">
        <f ca="1">IFERROR(__xludf.DUMMYFUNCTION("""COMPUTED_VALUE"""),263)</f>
        <v>263</v>
      </c>
      <c r="N237" s="1">
        <f ca="1">IFERROR(__xludf.DUMMYFUNCTION("""COMPUTED_VALUE"""),-2.94)</f>
        <v>-2.94</v>
      </c>
      <c r="O237" s="1">
        <f ca="1">IFERROR(__xludf.DUMMYFUNCTION("""COMPUTED_VALUE"""),228)</f>
        <v>228</v>
      </c>
      <c r="P237" s="1">
        <f ca="1">IFERROR(__xludf.DUMMYFUNCTION("""COMPUTED_VALUE"""),102)</f>
        <v>102</v>
      </c>
      <c r="Q237" s="1">
        <f ca="1">IFERROR(__xludf.DUMMYFUNCTION("""COMPUTED_VALUE"""),224)</f>
        <v>224</v>
      </c>
      <c r="R237" s="1">
        <f ca="1">IFERROR(__xludf.DUMMYFUNCTION("""COMPUTED_VALUE"""),104.9)</f>
        <v>104.9</v>
      </c>
      <c r="S237" s="1">
        <f ca="1">IFERROR(__xludf.DUMMYFUNCTION("""COMPUTED_VALUE"""),229)</f>
        <v>229</v>
      </c>
      <c r="T237" s="1">
        <f ca="1">IFERROR(__xludf.DUMMYFUNCTION("""COMPUTED_VALUE"""),-0.81)</f>
        <v>-0.81</v>
      </c>
      <c r="U237" s="1">
        <f ca="1">IFERROR(__xludf.DUMMYFUNCTION("""COMPUTED_VALUE"""),182)</f>
        <v>182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IFERROR(__xludf.DUMMYFUNCTION("""COMPUTED_VALUE"""),"William &amp; Mary")</f>
        <v>William &amp; Mary</v>
      </c>
      <c r="C238" s="1" t="str">
        <f ca="1">IFERROR(__xludf.DUMMYFUNCTION("""COMPUTED_VALUE"""),"CAA")</f>
        <v>CAA</v>
      </c>
      <c r="D238" s="2">
        <f ca="1">IFERROR(__xludf.DUMMYFUNCTION("""COMPUTED_VALUE"""),44856)</f>
        <v>44856</v>
      </c>
      <c r="E238" s="1">
        <f ca="1">IFERROR(__xludf.DUMMYFUNCTION("""COMPUTED_VALUE"""),-5.31)</f>
        <v>-5.31</v>
      </c>
      <c r="F238" s="1">
        <f ca="1">IFERROR(__xludf.DUMMYFUNCTION("""COMPUTED_VALUE"""),103)</f>
        <v>103</v>
      </c>
      <c r="G238" s="1">
        <f ca="1">IFERROR(__xludf.DUMMYFUNCTION("""COMPUTED_VALUE"""),175)</f>
        <v>175</v>
      </c>
      <c r="H238" s="1">
        <f ca="1">IFERROR(__xludf.DUMMYFUNCTION("""COMPUTED_VALUE"""),108.3)</f>
        <v>108.3</v>
      </c>
      <c r="I238" s="1">
        <f ca="1">IFERROR(__xludf.DUMMYFUNCTION("""COMPUTED_VALUE"""),273)</f>
        <v>273</v>
      </c>
      <c r="J238" s="1">
        <f ca="1">IFERROR(__xludf.DUMMYFUNCTION("""COMPUTED_VALUE"""),62.9)</f>
        <v>62.9</v>
      </c>
      <c r="K238" s="1">
        <f ca="1">IFERROR(__xludf.DUMMYFUNCTION("""COMPUTED_VALUE"""),282)</f>
        <v>282</v>
      </c>
      <c r="L238" s="1">
        <f ca="1">IFERROR(__xludf.DUMMYFUNCTION("""COMPUTED_VALUE"""),-0.056)</f>
        <v>-5.6000000000000001E-2</v>
      </c>
      <c r="M238" s="1">
        <f ca="1">IFERROR(__xludf.DUMMYFUNCTION("""COMPUTED_VALUE"""),303)</f>
        <v>303</v>
      </c>
      <c r="N238" s="1" t="str">
        <f ca="1">IFERROR(__xludf.DUMMYFUNCTION("""COMPUTED_VALUE"""),"+1.74")</f>
        <v>+1.74</v>
      </c>
      <c r="O238" s="1">
        <f ca="1">IFERROR(__xludf.DUMMYFUNCTION("""COMPUTED_VALUE"""),113)</f>
        <v>113</v>
      </c>
      <c r="P238" s="1">
        <f ca="1">IFERROR(__xludf.DUMMYFUNCTION("""COMPUTED_VALUE"""),104.2)</f>
        <v>104.2</v>
      </c>
      <c r="Q238" s="1">
        <f ca="1">IFERROR(__xludf.DUMMYFUNCTION("""COMPUTED_VALUE"""),123)</f>
        <v>123</v>
      </c>
      <c r="R238" s="1">
        <f ca="1">IFERROR(__xludf.DUMMYFUNCTION("""COMPUTED_VALUE"""),102.5)</f>
        <v>102.5</v>
      </c>
      <c r="S238" s="1">
        <f ca="1">IFERROR(__xludf.DUMMYFUNCTION("""COMPUTED_VALUE"""),112)</f>
        <v>112</v>
      </c>
      <c r="T238" s="1">
        <f ca="1">IFERROR(__xludf.DUMMYFUNCTION("""COMPUTED_VALUE"""),-2.65)</f>
        <v>-2.65</v>
      </c>
      <c r="U238" s="1">
        <f ca="1">IFERROR(__xludf.DUMMYFUNCTION("""COMPUTED_VALUE"""),226)</f>
        <v>226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IFERROR(__xludf.DUMMYFUNCTION("""COMPUTED_VALUE"""),"UTSA16")</f>
        <v>UTSA16</v>
      </c>
      <c r="C239" s="1" t="str">
        <f ca="1">IFERROR(__xludf.DUMMYFUNCTION("""COMPUTED_VALUE"""),"Slnd")</f>
        <v>Slnd</v>
      </c>
      <c r="D239" s="1" t="str">
        <f ca="1">IFERROR(__xludf.DUMMYFUNCTION("""COMPUTED_VALUE"""),"20-14")</f>
        <v>20-14</v>
      </c>
      <c r="E239" s="1">
        <f ca="1">IFERROR(__xludf.DUMMYFUNCTION("""COMPUTED_VALUE"""),-5.32)</f>
        <v>-5.32</v>
      </c>
      <c r="F239" s="1">
        <f ca="1">IFERROR(__xludf.DUMMYFUNCTION("""COMPUTED_VALUE"""),101.8)</f>
        <v>101.8</v>
      </c>
      <c r="G239" s="1">
        <f ca="1">IFERROR(__xludf.DUMMYFUNCTION("""COMPUTED_VALUE"""),201)</f>
        <v>201</v>
      </c>
      <c r="H239" s="1">
        <f ca="1">IFERROR(__xludf.DUMMYFUNCTION("""COMPUTED_VALUE"""),107.1)</f>
        <v>107.1</v>
      </c>
      <c r="I239" s="1">
        <f ca="1">IFERROR(__xludf.DUMMYFUNCTION("""COMPUTED_VALUE"""),248)</f>
        <v>248</v>
      </c>
      <c r="J239" s="1">
        <f ca="1">IFERROR(__xludf.DUMMYFUNCTION("""COMPUTED_VALUE"""),66.7)</f>
        <v>66.7</v>
      </c>
      <c r="K239" s="1">
        <f ca="1">IFERROR(__xludf.DUMMYFUNCTION("""COMPUTED_VALUE"""),98)</f>
        <v>98</v>
      </c>
      <c r="L239" s="1" t="str">
        <f ca="1">IFERROR(__xludf.DUMMYFUNCTION("""COMPUTED_VALUE"""),"+.085")</f>
        <v>+.085</v>
      </c>
      <c r="M239" s="1">
        <f ca="1">IFERROR(__xludf.DUMMYFUNCTION("""COMPUTED_VALUE"""),19)</f>
        <v>19</v>
      </c>
      <c r="N239" s="1">
        <f ca="1">IFERROR(__xludf.DUMMYFUNCTION("""COMPUTED_VALUE"""),-5.71)</f>
        <v>-5.71</v>
      </c>
      <c r="O239" s="1">
        <f ca="1">IFERROR(__xludf.DUMMYFUNCTION("""COMPUTED_VALUE"""),294)</f>
        <v>294</v>
      </c>
      <c r="P239" s="1">
        <f ca="1">IFERROR(__xludf.DUMMYFUNCTION("""COMPUTED_VALUE"""),100.3)</f>
        <v>100.3</v>
      </c>
      <c r="Q239" s="1">
        <f ca="1">IFERROR(__xludf.DUMMYFUNCTION("""COMPUTED_VALUE"""),286)</f>
        <v>286</v>
      </c>
      <c r="R239" s="1">
        <f ca="1">IFERROR(__xludf.DUMMYFUNCTION("""COMPUTED_VALUE"""),106.1)</f>
        <v>106.1</v>
      </c>
      <c r="S239" s="1">
        <f ca="1">IFERROR(__xludf.DUMMYFUNCTION("""COMPUTED_VALUE"""),292)</f>
        <v>292</v>
      </c>
      <c r="T239" s="1">
        <f ca="1">IFERROR(__xludf.DUMMYFUNCTION("""COMPUTED_VALUE"""),-1.85)</f>
        <v>-1.85</v>
      </c>
      <c r="U239" s="1">
        <f ca="1">IFERROR(__xludf.DUMMYFUNCTION("""COMPUTED_VALUE"""),206)</f>
        <v>206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IFERROR(__xludf.DUMMYFUNCTION("""COMPUTED_VALUE"""),"Holy Cross")</f>
        <v>Holy Cross</v>
      </c>
      <c r="C240" s="1" t="str">
        <f ca="1">IFERROR(__xludf.DUMMYFUNCTION("""COMPUTED_VALUE"""),"Pat")</f>
        <v>Pat</v>
      </c>
      <c r="D240" s="2">
        <f ca="1">IFERROR(__xludf.DUMMYFUNCTION("""COMPUTED_VALUE"""),44794)</f>
        <v>44794</v>
      </c>
      <c r="E240" s="1">
        <f ca="1">IFERROR(__xludf.DUMMYFUNCTION("""COMPUTED_VALUE"""),-5.32)</f>
        <v>-5.32</v>
      </c>
      <c r="F240" s="1">
        <f ca="1">IFERROR(__xludf.DUMMYFUNCTION("""COMPUTED_VALUE"""),101.6)</f>
        <v>101.6</v>
      </c>
      <c r="G240" s="1">
        <f ca="1">IFERROR(__xludf.DUMMYFUNCTION("""COMPUTED_VALUE"""),204)</f>
        <v>204</v>
      </c>
      <c r="H240" s="1">
        <f ca="1">IFERROR(__xludf.DUMMYFUNCTION("""COMPUTED_VALUE"""),106.9)</f>
        <v>106.9</v>
      </c>
      <c r="I240" s="1">
        <f ca="1">IFERROR(__xludf.DUMMYFUNCTION("""COMPUTED_VALUE"""),244)</f>
        <v>244</v>
      </c>
      <c r="J240" s="1">
        <f ca="1">IFERROR(__xludf.DUMMYFUNCTION("""COMPUTED_VALUE"""),64.7)</f>
        <v>64.7</v>
      </c>
      <c r="K240" s="1">
        <f ca="1">IFERROR(__xludf.DUMMYFUNCTION("""COMPUTED_VALUE"""),206)</f>
        <v>206</v>
      </c>
      <c r="L240" s="1">
        <f ca="1">IFERROR(__xludf.DUMMYFUNCTION("""COMPUTED_VALUE"""),-0.15)</f>
        <v>-0.15</v>
      </c>
      <c r="M240" s="1">
        <f ca="1">IFERROR(__xludf.DUMMYFUNCTION("""COMPUTED_VALUE"""),345)</f>
        <v>345</v>
      </c>
      <c r="N240" s="1">
        <f ca="1">IFERROR(__xludf.DUMMYFUNCTION("""COMPUTED_VALUE"""),-3.63)</f>
        <v>-3.63</v>
      </c>
      <c r="O240" s="1">
        <f ca="1">IFERROR(__xludf.DUMMYFUNCTION("""COMPUTED_VALUE"""),244)</f>
        <v>244</v>
      </c>
      <c r="P240" s="1">
        <f ca="1">IFERROR(__xludf.DUMMYFUNCTION("""COMPUTED_VALUE"""),101.6)</f>
        <v>101.6</v>
      </c>
      <c r="Q240" s="1">
        <f ca="1">IFERROR(__xludf.DUMMYFUNCTION("""COMPUTED_VALUE"""),237)</f>
        <v>237</v>
      </c>
      <c r="R240" s="1">
        <f ca="1">IFERROR(__xludf.DUMMYFUNCTION("""COMPUTED_VALUE"""),105.2)</f>
        <v>105.2</v>
      </c>
      <c r="S240" s="1">
        <f ca="1">IFERROR(__xludf.DUMMYFUNCTION("""COMPUTED_VALUE"""),248)</f>
        <v>248</v>
      </c>
      <c r="T240" s="1">
        <f ca="1">IFERROR(__xludf.DUMMYFUNCTION("""COMPUTED_VALUE"""),-0.37)</f>
        <v>-0.37</v>
      </c>
      <c r="U240" s="1">
        <f ca="1">IFERROR(__xludf.DUMMYFUNCTION("""COMPUTED_VALUE"""),167)</f>
        <v>167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IFERROR(__xludf.DUMMYFUNCTION("""COMPUTED_VALUE"""),"Wyoming")</f>
        <v>Wyoming</v>
      </c>
      <c r="C241" s="1" t="str">
        <f ca="1">IFERROR(__xludf.DUMMYFUNCTION("""COMPUTED_VALUE"""),"MWC")</f>
        <v>MWC</v>
      </c>
      <c r="D241" s="2">
        <f ca="1">IFERROR(__xludf.DUMMYFUNCTION("""COMPUTED_VALUE"""),44855)</f>
        <v>44855</v>
      </c>
      <c r="E241" s="1">
        <f ca="1">IFERROR(__xludf.DUMMYFUNCTION("""COMPUTED_VALUE"""),-5.4)</f>
        <v>-5.4</v>
      </c>
      <c r="F241" s="1">
        <f ca="1">IFERROR(__xludf.DUMMYFUNCTION("""COMPUTED_VALUE"""),98.5)</f>
        <v>98.5</v>
      </c>
      <c r="G241" s="1">
        <f ca="1">IFERROR(__xludf.DUMMYFUNCTION("""COMPUTED_VALUE"""),259)</f>
        <v>259</v>
      </c>
      <c r="H241" s="1">
        <f ca="1">IFERROR(__xludf.DUMMYFUNCTION("""COMPUTED_VALUE"""),103.9)</f>
        <v>103.9</v>
      </c>
      <c r="I241" s="1">
        <f ca="1">IFERROR(__xludf.DUMMYFUNCTION("""COMPUTED_VALUE"""),187)</f>
        <v>187</v>
      </c>
      <c r="J241" s="1">
        <f ca="1">IFERROR(__xludf.DUMMYFUNCTION("""COMPUTED_VALUE"""),66)</f>
        <v>66</v>
      </c>
      <c r="K241" s="1">
        <f ca="1">IFERROR(__xludf.DUMMYFUNCTION("""COMPUTED_VALUE"""),135)</f>
        <v>135</v>
      </c>
      <c r="L241" s="1">
        <f ca="1">IFERROR(__xludf.DUMMYFUNCTION("""COMPUTED_VALUE"""),-0.056)</f>
        <v>-5.6000000000000001E-2</v>
      </c>
      <c r="M241" s="1">
        <f ca="1">IFERROR(__xludf.DUMMYFUNCTION("""COMPUTED_VALUE"""),305)</f>
        <v>305</v>
      </c>
      <c r="N241" s="1" t="str">
        <f ca="1">IFERROR(__xludf.DUMMYFUNCTION("""COMPUTED_VALUE"""),"+3.73")</f>
        <v>+3.73</v>
      </c>
      <c r="O241" s="1">
        <f ca="1">IFERROR(__xludf.DUMMYFUNCTION("""COMPUTED_VALUE"""),81)</f>
        <v>81</v>
      </c>
      <c r="P241" s="1">
        <f ca="1">IFERROR(__xludf.DUMMYFUNCTION("""COMPUTED_VALUE"""),105.3)</f>
        <v>105.3</v>
      </c>
      <c r="Q241" s="1">
        <f ca="1">IFERROR(__xludf.DUMMYFUNCTION("""COMPUTED_VALUE"""),89)</f>
        <v>89</v>
      </c>
      <c r="R241" s="1">
        <f ca="1">IFERROR(__xludf.DUMMYFUNCTION("""COMPUTED_VALUE"""),101.6)</f>
        <v>101.6</v>
      </c>
      <c r="S241" s="1">
        <f ca="1">IFERROR(__xludf.DUMMYFUNCTION("""COMPUTED_VALUE"""),86)</f>
        <v>86</v>
      </c>
      <c r="T241" s="1">
        <f ca="1">IFERROR(__xludf.DUMMYFUNCTION("""COMPUTED_VALUE"""),-6.78)</f>
        <v>-6.78</v>
      </c>
      <c r="U241" s="1">
        <f ca="1">IFERROR(__xludf.DUMMYFUNCTION("""COMPUTED_VALUE"""),318)</f>
        <v>318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IFERROR(__xludf.DUMMYFUNCTION("""COMPUTED_VALUE"""),"Wagner")</f>
        <v>Wagner</v>
      </c>
      <c r="C242" s="1" t="str">
        <f ca="1">IFERROR(__xludf.DUMMYFUNCTION("""COMPUTED_VALUE"""),"NEC")</f>
        <v>NEC</v>
      </c>
      <c r="D242" s="1" t="str">
        <f ca="1">IFERROR(__xludf.DUMMYFUNCTION("""COMPUTED_VALUE"""),"13-17")</f>
        <v>13-17</v>
      </c>
      <c r="E242" s="1">
        <f ca="1">IFERROR(__xludf.DUMMYFUNCTION("""COMPUTED_VALUE"""),-5.41)</f>
        <v>-5.41</v>
      </c>
      <c r="F242" s="1">
        <f ca="1">IFERROR(__xludf.DUMMYFUNCTION("""COMPUTED_VALUE"""),100.4)</f>
        <v>100.4</v>
      </c>
      <c r="G242" s="1">
        <f ca="1">IFERROR(__xludf.DUMMYFUNCTION("""COMPUTED_VALUE"""),227)</f>
        <v>227</v>
      </c>
      <c r="H242" s="1">
        <f ca="1">IFERROR(__xludf.DUMMYFUNCTION("""COMPUTED_VALUE"""),105.9)</f>
        <v>105.9</v>
      </c>
      <c r="I242" s="1">
        <f ca="1">IFERROR(__xludf.DUMMYFUNCTION("""COMPUTED_VALUE"""),233)</f>
        <v>233</v>
      </c>
      <c r="J242" s="1">
        <f ca="1">IFERROR(__xludf.DUMMYFUNCTION("""COMPUTED_VALUE"""),66.3)</f>
        <v>66.3</v>
      </c>
      <c r="K242" s="1">
        <f ca="1">IFERROR(__xludf.DUMMYFUNCTION("""COMPUTED_VALUE"""),115)</f>
        <v>115</v>
      </c>
      <c r="L242" s="1" t="str">
        <f ca="1">IFERROR(__xludf.DUMMYFUNCTION("""COMPUTED_VALUE"""),"+.028")</f>
        <v>+.028</v>
      </c>
      <c r="M242" s="1">
        <f ca="1">IFERROR(__xludf.DUMMYFUNCTION("""COMPUTED_VALUE"""),110)</f>
        <v>110</v>
      </c>
      <c r="N242" s="1">
        <f ca="1">IFERROR(__xludf.DUMMYFUNCTION("""COMPUTED_VALUE"""),-2)</f>
        <v>-2</v>
      </c>
      <c r="O242" s="1">
        <f ca="1">IFERROR(__xludf.DUMMYFUNCTION("""COMPUTED_VALUE"""),198)</f>
        <v>198</v>
      </c>
      <c r="P242" s="1">
        <f ca="1">IFERROR(__xludf.DUMMYFUNCTION("""COMPUTED_VALUE"""),101.8)</f>
        <v>101.8</v>
      </c>
      <c r="Q242" s="1">
        <f ca="1">IFERROR(__xludf.DUMMYFUNCTION("""COMPUTED_VALUE"""),227)</f>
        <v>227</v>
      </c>
      <c r="R242" s="1">
        <f ca="1">IFERROR(__xludf.DUMMYFUNCTION("""COMPUTED_VALUE"""),103.8)</f>
        <v>103.8</v>
      </c>
      <c r="S242" s="1">
        <f ca="1">IFERROR(__xludf.DUMMYFUNCTION("""COMPUTED_VALUE"""),171)</f>
        <v>171</v>
      </c>
      <c r="T242" s="1" t="str">
        <f ca="1">IFERROR(__xludf.DUMMYFUNCTION("""COMPUTED_VALUE"""),"+3.17")</f>
        <v>+3.17</v>
      </c>
      <c r="U242" s="1">
        <f ca="1">IFERROR(__xludf.DUMMYFUNCTION("""COMPUTED_VALUE"""),67)</f>
        <v>67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IFERROR(__xludf.DUMMYFUNCTION("""COMPUTED_VALUE"""),"Liberty")</f>
        <v>Liberty</v>
      </c>
      <c r="C243" s="1" t="str">
        <f ca="1">IFERROR(__xludf.DUMMYFUNCTION("""COMPUTED_VALUE"""),"BSth")</f>
        <v>BSth</v>
      </c>
      <c r="D243" s="1" t="str">
        <f ca="1">IFERROR(__xludf.DUMMYFUNCTION("""COMPUTED_VALUE"""),"19-13")</f>
        <v>19-13</v>
      </c>
      <c r="E243" s="1">
        <f ca="1">IFERROR(__xludf.DUMMYFUNCTION("""COMPUTED_VALUE"""),-5.52)</f>
        <v>-5.52</v>
      </c>
      <c r="F243" s="1">
        <f ca="1">IFERROR(__xludf.DUMMYFUNCTION("""COMPUTED_VALUE"""),97.6)</f>
        <v>97.6</v>
      </c>
      <c r="G243" s="1">
        <f ca="1">IFERROR(__xludf.DUMMYFUNCTION("""COMPUTED_VALUE"""),272)</f>
        <v>272</v>
      </c>
      <c r="H243" s="1">
        <f ca="1">IFERROR(__xludf.DUMMYFUNCTION("""COMPUTED_VALUE"""),103.1)</f>
        <v>103.1</v>
      </c>
      <c r="I243" s="1">
        <f ca="1">IFERROR(__xludf.DUMMYFUNCTION("""COMPUTED_VALUE"""),164)</f>
        <v>164</v>
      </c>
      <c r="J243" s="1">
        <f ca="1">IFERROR(__xludf.DUMMYFUNCTION("""COMPUTED_VALUE"""),64.6)</f>
        <v>64.599999999999994</v>
      </c>
      <c r="K243" s="1">
        <f ca="1">IFERROR(__xludf.DUMMYFUNCTION("""COMPUTED_VALUE"""),213)</f>
        <v>213</v>
      </c>
      <c r="L243" s="1" t="str">
        <f ca="1">IFERROR(__xludf.DUMMYFUNCTION("""COMPUTED_VALUE"""),"+.087")</f>
        <v>+.087</v>
      </c>
      <c r="M243" s="1">
        <f ca="1">IFERROR(__xludf.DUMMYFUNCTION("""COMPUTED_VALUE"""),18)</f>
        <v>18</v>
      </c>
      <c r="N243" s="1">
        <f ca="1">IFERROR(__xludf.DUMMYFUNCTION("""COMPUTED_VALUE"""),-5.11)</f>
        <v>-5.1100000000000003</v>
      </c>
      <c r="O243" s="1">
        <f ca="1">IFERROR(__xludf.DUMMYFUNCTION("""COMPUTED_VALUE"""),284)</f>
        <v>284</v>
      </c>
      <c r="P243" s="1">
        <f ca="1">IFERROR(__xludf.DUMMYFUNCTION("""COMPUTED_VALUE"""),100.6)</f>
        <v>100.6</v>
      </c>
      <c r="Q243" s="1">
        <f ca="1">IFERROR(__xludf.DUMMYFUNCTION("""COMPUTED_VALUE"""),273)</f>
        <v>273</v>
      </c>
      <c r="R243" s="1">
        <f ca="1">IFERROR(__xludf.DUMMYFUNCTION("""COMPUTED_VALUE"""),105.7)</f>
        <v>105.7</v>
      </c>
      <c r="S243" s="1">
        <f ca="1">IFERROR(__xludf.DUMMYFUNCTION("""COMPUTED_VALUE"""),277)</f>
        <v>277</v>
      </c>
      <c r="T243" s="1" t="str">
        <f ca="1">IFERROR(__xludf.DUMMYFUNCTION("""COMPUTED_VALUE"""),"+1.22")</f>
        <v>+1.22</v>
      </c>
      <c r="U243" s="1">
        <f ca="1">IFERROR(__xludf.DUMMYFUNCTION("""COMPUTED_VALUE"""),117)</f>
        <v>117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IFERROR(__xludf.DUMMYFUNCTION("""COMPUTED_VALUE"""),"LSU")</f>
        <v>LSU</v>
      </c>
      <c r="C244" s="1" t="str">
        <f ca="1">IFERROR(__xludf.DUMMYFUNCTION("""COMPUTED_VALUE"""),"SEC")</f>
        <v>SEC</v>
      </c>
      <c r="D244" s="2">
        <f ca="1">IFERROR(__xludf.DUMMYFUNCTION("""COMPUTED_VALUE"""),44886)</f>
        <v>44886</v>
      </c>
      <c r="E244" s="1">
        <f ca="1">IFERROR(__xludf.DUMMYFUNCTION("""COMPUTED_VALUE"""),-5.68)</f>
        <v>-5.68</v>
      </c>
      <c r="F244" s="1">
        <f ca="1">IFERROR(__xludf.DUMMYFUNCTION("""COMPUTED_VALUE"""),95.6)</f>
        <v>95.6</v>
      </c>
      <c r="G244" s="1">
        <f ca="1">IFERROR(__xludf.DUMMYFUNCTION("""COMPUTED_VALUE"""),293)</f>
        <v>293</v>
      </c>
      <c r="H244" s="1">
        <f ca="1">IFERROR(__xludf.DUMMYFUNCTION("""COMPUTED_VALUE"""),101.2)</f>
        <v>101.2</v>
      </c>
      <c r="I244" s="1">
        <f ca="1">IFERROR(__xludf.DUMMYFUNCTION("""COMPUTED_VALUE"""),123)</f>
        <v>123</v>
      </c>
      <c r="J244" s="1">
        <f ca="1">IFERROR(__xludf.DUMMYFUNCTION("""COMPUTED_VALUE"""),64.7)</f>
        <v>64.7</v>
      </c>
      <c r="K244" s="1">
        <f ca="1">IFERROR(__xludf.DUMMYFUNCTION("""COMPUTED_VALUE"""),204)</f>
        <v>204</v>
      </c>
      <c r="L244" s="1">
        <f ca="1">IFERROR(__xludf.DUMMYFUNCTION("""COMPUTED_VALUE"""),-0.055)</f>
        <v>-5.5E-2</v>
      </c>
      <c r="M244" s="1">
        <f ca="1">IFERROR(__xludf.DUMMYFUNCTION("""COMPUTED_VALUE"""),301)</f>
        <v>301</v>
      </c>
      <c r="N244" s="1" t="str">
        <f ca="1">IFERROR(__xludf.DUMMYFUNCTION("""COMPUTED_VALUE"""),"+1.09")</f>
        <v>+1.09</v>
      </c>
      <c r="O244" s="1">
        <f ca="1">IFERROR(__xludf.DUMMYFUNCTION("""COMPUTED_VALUE"""),130)</f>
        <v>130</v>
      </c>
      <c r="P244" s="1">
        <f ca="1">IFERROR(__xludf.DUMMYFUNCTION("""COMPUTED_VALUE"""),103.8)</f>
        <v>103.8</v>
      </c>
      <c r="Q244" s="1">
        <f ca="1">IFERROR(__xludf.DUMMYFUNCTION("""COMPUTED_VALUE"""),141)</f>
        <v>141</v>
      </c>
      <c r="R244" s="1">
        <f ca="1">IFERROR(__xludf.DUMMYFUNCTION("""COMPUTED_VALUE"""),102.8)</f>
        <v>102.8</v>
      </c>
      <c r="S244" s="1">
        <f ca="1">IFERROR(__xludf.DUMMYFUNCTION("""COMPUTED_VALUE"""),122)</f>
        <v>122</v>
      </c>
      <c r="T244" s="1">
        <f ca="1">IFERROR(__xludf.DUMMYFUNCTION("""COMPUTED_VALUE"""),-8.78)</f>
        <v>-8.7799999999999994</v>
      </c>
      <c r="U244" s="1">
        <f ca="1">IFERROR(__xludf.DUMMYFUNCTION("""COMPUTED_VALUE"""),328)</f>
        <v>328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IFERROR(__xludf.DUMMYFUNCTION("""COMPUTED_VALUE"""),"Stony Brook")</f>
        <v>Stony Brook</v>
      </c>
      <c r="C245" s="1" t="str">
        <f ca="1">IFERROR(__xludf.DUMMYFUNCTION("""COMPUTED_VALUE"""),"AE")</f>
        <v>AE</v>
      </c>
      <c r="D245" s="1" t="str">
        <f ca="1">IFERROR(__xludf.DUMMYFUNCTION("""COMPUTED_VALUE"""),"15-17")</f>
        <v>15-17</v>
      </c>
      <c r="E245" s="1">
        <f ca="1">IFERROR(__xludf.DUMMYFUNCTION("""COMPUTED_VALUE"""),-5.69)</f>
        <v>-5.69</v>
      </c>
      <c r="F245" s="1">
        <f ca="1">IFERROR(__xludf.DUMMYFUNCTION("""COMPUTED_VALUE"""),93.7)</f>
        <v>93.7</v>
      </c>
      <c r="G245" s="1">
        <f ca="1">IFERROR(__xludf.DUMMYFUNCTION("""COMPUTED_VALUE"""),307)</f>
        <v>307</v>
      </c>
      <c r="H245" s="1">
        <f ca="1">IFERROR(__xludf.DUMMYFUNCTION("""COMPUTED_VALUE"""),99.4)</f>
        <v>99.4</v>
      </c>
      <c r="I245" s="1">
        <f ca="1">IFERROR(__xludf.DUMMYFUNCTION("""COMPUTED_VALUE"""),90)</f>
        <v>90</v>
      </c>
      <c r="J245" s="1">
        <f ca="1">IFERROR(__xludf.DUMMYFUNCTION("""COMPUTED_VALUE"""),62.3)</f>
        <v>62.3</v>
      </c>
      <c r="K245" s="1">
        <f ca="1">IFERROR(__xludf.DUMMYFUNCTION("""COMPUTED_VALUE"""),305)</f>
        <v>305</v>
      </c>
      <c r="L245" s="1">
        <f ca="1">IFERROR(__xludf.DUMMYFUNCTION("""COMPUTED_VALUE"""),-0.037)</f>
        <v>-3.6999999999999998E-2</v>
      </c>
      <c r="M245" s="1">
        <f ca="1">IFERROR(__xludf.DUMMYFUNCTION("""COMPUTED_VALUE"""),270)</f>
        <v>270</v>
      </c>
      <c r="N245" s="1">
        <f ca="1">IFERROR(__xludf.DUMMYFUNCTION("""COMPUTED_VALUE"""),-6.61)</f>
        <v>-6.61</v>
      </c>
      <c r="O245" s="1">
        <f ca="1">IFERROR(__xludf.DUMMYFUNCTION("""COMPUTED_VALUE"""),313)</f>
        <v>313</v>
      </c>
      <c r="P245" s="1">
        <f ca="1">IFERROR(__xludf.DUMMYFUNCTION("""COMPUTED_VALUE"""),100.2)</f>
        <v>100.2</v>
      </c>
      <c r="Q245" s="1">
        <f ca="1">IFERROR(__xludf.DUMMYFUNCTION("""COMPUTED_VALUE"""),292)</f>
        <v>292</v>
      </c>
      <c r="R245" s="1">
        <f ca="1">IFERROR(__xludf.DUMMYFUNCTION("""COMPUTED_VALUE"""),106.8)</f>
        <v>106.8</v>
      </c>
      <c r="S245" s="1">
        <f ca="1">IFERROR(__xludf.DUMMYFUNCTION("""COMPUTED_VALUE"""),324)</f>
        <v>324</v>
      </c>
      <c r="T245" s="1">
        <f ca="1">IFERROR(__xludf.DUMMYFUNCTION("""COMPUTED_VALUE"""),-4.63)</f>
        <v>-4.63</v>
      </c>
      <c r="U245" s="1">
        <f ca="1">IFERROR(__xludf.DUMMYFUNCTION("""COMPUTED_VALUE"""),277)</f>
        <v>277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IFERROR(__xludf.DUMMYFUNCTION("""COMPUTED_VALUE"""),"Auburn")</f>
        <v>Auburn</v>
      </c>
      <c r="C246" s="1" t="str">
        <f ca="1">IFERROR(__xludf.DUMMYFUNCTION("""COMPUTED_VALUE"""),"SEC")</f>
        <v>SEC</v>
      </c>
      <c r="D246" s="2">
        <f ca="1">IFERROR(__xludf.DUMMYFUNCTION("""COMPUTED_VALUE"""),44885)</f>
        <v>44885</v>
      </c>
      <c r="E246" s="1">
        <f ca="1">IFERROR(__xludf.DUMMYFUNCTION("""COMPUTED_VALUE"""),-5.75)</f>
        <v>-5.75</v>
      </c>
      <c r="F246" s="1">
        <f ca="1">IFERROR(__xludf.DUMMYFUNCTION("""COMPUTED_VALUE"""),96.9)</f>
        <v>96.9</v>
      </c>
      <c r="G246" s="1">
        <f ca="1">IFERROR(__xludf.DUMMYFUNCTION("""COMPUTED_VALUE"""),279)</f>
        <v>279</v>
      </c>
      <c r="H246" s="1">
        <f ca="1">IFERROR(__xludf.DUMMYFUNCTION("""COMPUTED_VALUE"""),102.7)</f>
        <v>102.7</v>
      </c>
      <c r="I246" s="1">
        <f ca="1">IFERROR(__xludf.DUMMYFUNCTION("""COMPUTED_VALUE"""),150)</f>
        <v>150</v>
      </c>
      <c r="J246" s="1">
        <f ca="1">IFERROR(__xludf.DUMMYFUNCTION("""COMPUTED_VALUE"""),64.4)</f>
        <v>64.400000000000006</v>
      </c>
      <c r="K246" s="1">
        <f ca="1">IFERROR(__xludf.DUMMYFUNCTION("""COMPUTED_VALUE"""),225)</f>
        <v>225</v>
      </c>
      <c r="L246" s="1" t="str">
        <f ca="1">IFERROR(__xludf.DUMMYFUNCTION("""COMPUTED_VALUE"""),"+.002")</f>
        <v>+.002</v>
      </c>
      <c r="M246" s="1">
        <f ca="1">IFERROR(__xludf.DUMMYFUNCTION("""COMPUTED_VALUE"""),177)</f>
        <v>177</v>
      </c>
      <c r="N246" s="1" t="str">
        <f ca="1">IFERROR(__xludf.DUMMYFUNCTION("""COMPUTED_VALUE"""),"+0.66")</f>
        <v>+0.66</v>
      </c>
      <c r="O246" s="1">
        <f ca="1">IFERROR(__xludf.DUMMYFUNCTION("""COMPUTED_VALUE"""),140)</f>
        <v>140</v>
      </c>
      <c r="P246" s="1">
        <f ca="1">IFERROR(__xludf.DUMMYFUNCTION("""COMPUTED_VALUE"""),102.4)</f>
        <v>102.4</v>
      </c>
      <c r="Q246" s="1">
        <f ca="1">IFERROR(__xludf.DUMMYFUNCTION("""COMPUTED_VALUE"""),205)</f>
        <v>205</v>
      </c>
      <c r="R246" s="1">
        <f ca="1">IFERROR(__xludf.DUMMYFUNCTION("""COMPUTED_VALUE"""),101.8)</f>
        <v>101.8</v>
      </c>
      <c r="S246" s="1">
        <f ca="1">IFERROR(__xludf.DUMMYFUNCTION("""COMPUTED_VALUE"""),91)</f>
        <v>91</v>
      </c>
      <c r="T246" s="1">
        <f ca="1">IFERROR(__xludf.DUMMYFUNCTION("""COMPUTED_VALUE"""),-11.7)</f>
        <v>-11.7</v>
      </c>
      <c r="U246" s="1">
        <f ca="1">IFERROR(__xludf.DUMMYFUNCTION("""COMPUTED_VALUE"""),342)</f>
        <v>342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IFERROR(__xludf.DUMMYFUNCTION("""COMPUTED_VALUE"""),"Nicholls St.")</f>
        <v>Nicholls St.</v>
      </c>
      <c r="C247" s="1" t="str">
        <f ca="1">IFERROR(__xludf.DUMMYFUNCTION("""COMPUTED_VALUE"""),"Slnd")</f>
        <v>Slnd</v>
      </c>
      <c r="D247" s="1" t="str">
        <f ca="1">IFERROR(__xludf.DUMMYFUNCTION("""COMPUTED_VALUE"""),"14-14")</f>
        <v>14-14</v>
      </c>
      <c r="E247" s="1">
        <f ca="1">IFERROR(__xludf.DUMMYFUNCTION("""COMPUTED_VALUE"""),-5.82)</f>
        <v>-5.82</v>
      </c>
      <c r="F247" s="1">
        <f ca="1">IFERROR(__xludf.DUMMYFUNCTION("""COMPUTED_VALUE"""),97.2)</f>
        <v>97.2</v>
      </c>
      <c r="G247" s="1">
        <f ca="1">IFERROR(__xludf.DUMMYFUNCTION("""COMPUTED_VALUE"""),274)</f>
        <v>274</v>
      </c>
      <c r="H247" s="1">
        <f ca="1">IFERROR(__xludf.DUMMYFUNCTION("""COMPUTED_VALUE"""),103)</f>
        <v>103</v>
      </c>
      <c r="I247" s="1">
        <f ca="1">IFERROR(__xludf.DUMMYFUNCTION("""COMPUTED_VALUE"""),159)</f>
        <v>159</v>
      </c>
      <c r="J247" s="1">
        <f ca="1">IFERROR(__xludf.DUMMYFUNCTION("""COMPUTED_VALUE"""),59.9)</f>
        <v>59.9</v>
      </c>
      <c r="K247" s="1">
        <f ca="1">IFERROR(__xludf.DUMMYFUNCTION("""COMPUTED_VALUE"""),332)</f>
        <v>332</v>
      </c>
      <c r="L247" s="1">
        <f ca="1">IFERROR(__xludf.DUMMYFUNCTION("""COMPUTED_VALUE"""),-0.051)</f>
        <v>-5.0999999999999997E-2</v>
      </c>
      <c r="M247" s="1">
        <f ca="1">IFERROR(__xludf.DUMMYFUNCTION("""COMPUTED_VALUE"""),298)</f>
        <v>298</v>
      </c>
      <c r="N247" s="1">
        <f ca="1">IFERROR(__xludf.DUMMYFUNCTION("""COMPUTED_VALUE"""),-4.82)</f>
        <v>-4.82</v>
      </c>
      <c r="O247" s="1">
        <f ca="1">IFERROR(__xludf.DUMMYFUNCTION("""COMPUTED_VALUE"""),277)</f>
        <v>277</v>
      </c>
      <c r="P247" s="1">
        <f ca="1">IFERROR(__xludf.DUMMYFUNCTION("""COMPUTED_VALUE"""),101.2)</f>
        <v>101.2</v>
      </c>
      <c r="Q247" s="1">
        <f ca="1">IFERROR(__xludf.DUMMYFUNCTION("""COMPUTED_VALUE"""),251)</f>
        <v>251</v>
      </c>
      <c r="R247" s="1">
        <f ca="1">IFERROR(__xludf.DUMMYFUNCTION("""COMPUTED_VALUE"""),106)</f>
        <v>106</v>
      </c>
      <c r="S247" s="1">
        <f ca="1">IFERROR(__xludf.DUMMYFUNCTION("""COMPUTED_VALUE"""),288)</f>
        <v>288</v>
      </c>
      <c r="T247" s="1" t="str">
        <f ca="1">IFERROR(__xludf.DUMMYFUNCTION("""COMPUTED_VALUE"""),"+8.48")</f>
        <v>+8.48</v>
      </c>
      <c r="U247" s="1">
        <f ca="1">IFERROR(__xludf.DUMMYFUNCTION("""COMPUTED_VALUE"""),15)</f>
        <v>15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IFERROR(__xludf.DUMMYFUNCTION("""COMPUTED_VALUE"""),"Louisiana Lafayette")</f>
        <v>Louisiana Lafayette</v>
      </c>
      <c r="C248" s="1" t="str">
        <f ca="1">IFERROR(__xludf.DUMMYFUNCTION("""COMPUTED_VALUE"""),"SB")</f>
        <v>SB</v>
      </c>
      <c r="D248" s="1" t="str">
        <f ca="1">IFERROR(__xludf.DUMMYFUNCTION("""COMPUTED_VALUE"""),"14-15")</f>
        <v>14-15</v>
      </c>
      <c r="E248" s="1">
        <f ca="1">IFERROR(__xludf.DUMMYFUNCTION("""COMPUTED_VALUE"""),-6)</f>
        <v>-6</v>
      </c>
      <c r="F248" s="1">
        <f ca="1">IFERROR(__xludf.DUMMYFUNCTION("""COMPUTED_VALUE"""),98.7)</f>
        <v>98.7</v>
      </c>
      <c r="G248" s="1">
        <f ca="1">IFERROR(__xludf.DUMMYFUNCTION("""COMPUTED_VALUE"""),256)</f>
        <v>256</v>
      </c>
      <c r="H248" s="1">
        <f ca="1">IFERROR(__xludf.DUMMYFUNCTION("""COMPUTED_VALUE"""),104.7)</f>
        <v>104.7</v>
      </c>
      <c r="I248" s="1">
        <f ca="1">IFERROR(__xludf.DUMMYFUNCTION("""COMPUTED_VALUE"""),204)</f>
        <v>204</v>
      </c>
      <c r="J248" s="1">
        <f ca="1">IFERROR(__xludf.DUMMYFUNCTION("""COMPUTED_VALUE"""),67.7)</f>
        <v>67.7</v>
      </c>
      <c r="K248" s="1">
        <f ca="1">IFERROR(__xludf.DUMMYFUNCTION("""COMPUTED_VALUE"""),58)</f>
        <v>58</v>
      </c>
      <c r="L248" s="1" t="str">
        <f ca="1">IFERROR(__xludf.DUMMYFUNCTION("""COMPUTED_VALUE"""),"+.031")</f>
        <v>+.031</v>
      </c>
      <c r="M248" s="1">
        <f ca="1">IFERROR(__xludf.DUMMYFUNCTION("""COMPUTED_VALUE"""),102)</f>
        <v>102</v>
      </c>
      <c r="N248" s="1">
        <f ca="1">IFERROR(__xludf.DUMMYFUNCTION("""COMPUTED_VALUE"""),-4.75)</f>
        <v>-4.75</v>
      </c>
      <c r="O248" s="1">
        <f ca="1">IFERROR(__xludf.DUMMYFUNCTION("""COMPUTED_VALUE"""),272)</f>
        <v>272</v>
      </c>
      <c r="P248" s="1">
        <f ca="1">IFERROR(__xludf.DUMMYFUNCTION("""COMPUTED_VALUE"""),101.6)</f>
        <v>101.6</v>
      </c>
      <c r="Q248" s="1">
        <f ca="1">IFERROR(__xludf.DUMMYFUNCTION("""COMPUTED_VALUE"""),234)</f>
        <v>234</v>
      </c>
      <c r="R248" s="1">
        <f ca="1">IFERROR(__xludf.DUMMYFUNCTION("""COMPUTED_VALUE"""),106.4)</f>
        <v>106.4</v>
      </c>
      <c r="S248" s="1">
        <f ca="1">IFERROR(__xludf.DUMMYFUNCTION("""COMPUTED_VALUE"""),310)</f>
        <v>310</v>
      </c>
      <c r="T248" s="1">
        <f ca="1">IFERROR(__xludf.DUMMYFUNCTION("""COMPUTED_VALUE"""),-0.21)</f>
        <v>-0.21</v>
      </c>
      <c r="U248" s="1">
        <f ca="1">IFERROR(__xludf.DUMMYFUNCTION("""COMPUTED_VALUE"""),161)</f>
        <v>161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IFERROR(__xludf.DUMMYFUNCTION("""COMPUTED_VALUE"""),"Illinois St.")</f>
        <v>Illinois St.</v>
      </c>
      <c r="C249" s="1" t="str">
        <f ca="1">IFERROR(__xludf.DUMMYFUNCTION("""COMPUTED_VALUE"""),"MVC")</f>
        <v>MVC</v>
      </c>
      <c r="D249" s="2">
        <f ca="1">IFERROR(__xludf.DUMMYFUNCTION("""COMPUTED_VALUE"""),44914)</f>
        <v>44914</v>
      </c>
      <c r="E249" s="1">
        <f ca="1">IFERROR(__xludf.DUMMYFUNCTION("""COMPUTED_VALUE"""),-6.01)</f>
        <v>-6.01</v>
      </c>
      <c r="F249" s="1">
        <f ca="1">IFERROR(__xludf.DUMMYFUNCTION("""COMPUTED_VALUE"""),96.4)</f>
        <v>96.4</v>
      </c>
      <c r="G249" s="1">
        <f ca="1">IFERROR(__xludf.DUMMYFUNCTION("""COMPUTED_VALUE"""),284)</f>
        <v>284</v>
      </c>
      <c r="H249" s="1">
        <f ca="1">IFERROR(__xludf.DUMMYFUNCTION("""COMPUTED_VALUE"""),102.5)</f>
        <v>102.5</v>
      </c>
      <c r="I249" s="1">
        <f ca="1">IFERROR(__xludf.DUMMYFUNCTION("""COMPUTED_VALUE"""),142)</f>
        <v>142</v>
      </c>
      <c r="J249" s="1">
        <f ca="1">IFERROR(__xludf.DUMMYFUNCTION("""COMPUTED_VALUE"""),62.3)</f>
        <v>62.3</v>
      </c>
      <c r="K249" s="1">
        <f ca="1">IFERROR(__xludf.DUMMYFUNCTION("""COMPUTED_VALUE"""),307)</f>
        <v>307</v>
      </c>
      <c r="L249" s="1">
        <f ca="1">IFERROR(__xludf.DUMMYFUNCTION("""COMPUTED_VALUE"""),-0.008)</f>
        <v>-8.0000000000000002E-3</v>
      </c>
      <c r="M249" s="1">
        <f ca="1">IFERROR(__xludf.DUMMYFUNCTION("""COMPUTED_VALUE"""),201)</f>
        <v>201</v>
      </c>
      <c r="N249" s="1">
        <f ca="1">IFERROR(__xludf.DUMMYFUNCTION("""COMPUTED_VALUE"""),-2.12)</f>
        <v>-2.12</v>
      </c>
      <c r="O249" s="1">
        <f ca="1">IFERROR(__xludf.DUMMYFUNCTION("""COMPUTED_VALUE"""),204)</f>
        <v>204</v>
      </c>
      <c r="P249" s="1">
        <f ca="1">IFERROR(__xludf.DUMMYFUNCTION("""COMPUTED_VALUE"""),102.5)</f>
        <v>102.5</v>
      </c>
      <c r="Q249" s="1">
        <f ca="1">IFERROR(__xludf.DUMMYFUNCTION("""COMPUTED_VALUE"""),202)</f>
        <v>202</v>
      </c>
      <c r="R249" s="1">
        <f ca="1">IFERROR(__xludf.DUMMYFUNCTION("""COMPUTED_VALUE"""),104.6)</f>
        <v>104.6</v>
      </c>
      <c r="S249" s="1">
        <f ca="1">IFERROR(__xludf.DUMMYFUNCTION("""COMPUTED_VALUE"""),212)</f>
        <v>212</v>
      </c>
      <c r="T249" s="1">
        <f ca="1">IFERROR(__xludf.DUMMYFUNCTION("""COMPUTED_VALUE"""),-10.49)</f>
        <v>-10.49</v>
      </c>
      <c r="U249" s="1">
        <f ca="1">IFERROR(__xludf.DUMMYFUNCTION("""COMPUTED_VALUE"""),339)</f>
        <v>339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IFERROR(__xludf.DUMMYFUNCTION("""COMPUTED_VALUE"""),"Brown")</f>
        <v>Brown</v>
      </c>
      <c r="C250" s="1" t="str">
        <f ca="1">IFERROR(__xludf.DUMMYFUNCTION("""COMPUTED_VALUE"""),"Ivy")</f>
        <v>Ivy</v>
      </c>
      <c r="D250" s="2">
        <f ca="1">IFERROR(__xludf.DUMMYFUNCTION("""COMPUTED_VALUE"""),44882)</f>
        <v>44882</v>
      </c>
      <c r="E250" s="1">
        <f ca="1">IFERROR(__xludf.DUMMYFUNCTION("""COMPUTED_VALUE"""),-6.48)</f>
        <v>-6.48</v>
      </c>
      <c r="F250" s="1">
        <f ca="1">IFERROR(__xludf.DUMMYFUNCTION("""COMPUTED_VALUE"""),102.9)</f>
        <v>102.9</v>
      </c>
      <c r="G250" s="1">
        <f ca="1">IFERROR(__xludf.DUMMYFUNCTION("""COMPUTED_VALUE"""),179)</f>
        <v>179</v>
      </c>
      <c r="H250" s="1">
        <f ca="1">IFERROR(__xludf.DUMMYFUNCTION("""COMPUTED_VALUE"""),109.4)</f>
        <v>109.4</v>
      </c>
      <c r="I250" s="1">
        <f ca="1">IFERROR(__xludf.DUMMYFUNCTION("""COMPUTED_VALUE"""),287)</f>
        <v>287</v>
      </c>
      <c r="J250" s="1">
        <f ca="1">IFERROR(__xludf.DUMMYFUNCTION("""COMPUTED_VALUE"""),68)</f>
        <v>68</v>
      </c>
      <c r="K250" s="1">
        <f ca="1">IFERROR(__xludf.DUMMYFUNCTION("""COMPUTED_VALUE"""),51)</f>
        <v>51</v>
      </c>
      <c r="L250" s="1">
        <f ca="1">IFERROR(__xludf.DUMMYFUNCTION("""COMPUTED_VALUE"""),-0.028)</f>
        <v>-2.8000000000000001E-2</v>
      </c>
      <c r="M250" s="1">
        <f ca="1">IFERROR(__xludf.DUMMYFUNCTION("""COMPUTED_VALUE"""),251)</f>
        <v>251</v>
      </c>
      <c r="N250" s="1">
        <f ca="1">IFERROR(__xludf.DUMMYFUNCTION("""COMPUTED_VALUE"""),-3.05)</f>
        <v>-3.05</v>
      </c>
      <c r="O250" s="1">
        <f ca="1">IFERROR(__xludf.DUMMYFUNCTION("""COMPUTED_VALUE"""),232)</f>
        <v>232</v>
      </c>
      <c r="P250" s="1">
        <f ca="1">IFERROR(__xludf.DUMMYFUNCTION("""COMPUTED_VALUE"""),101.6)</f>
        <v>101.6</v>
      </c>
      <c r="Q250" s="1">
        <f ca="1">IFERROR(__xludf.DUMMYFUNCTION("""COMPUTED_VALUE"""),232)</f>
        <v>232</v>
      </c>
      <c r="R250" s="1">
        <f ca="1">IFERROR(__xludf.DUMMYFUNCTION("""COMPUTED_VALUE"""),104.7)</f>
        <v>104.7</v>
      </c>
      <c r="S250" s="1">
        <f ca="1">IFERROR(__xludf.DUMMYFUNCTION("""COMPUTED_VALUE"""),217)</f>
        <v>217</v>
      </c>
      <c r="T250" s="1">
        <f ca="1">IFERROR(__xludf.DUMMYFUNCTION("""COMPUTED_VALUE"""),-4.38)</f>
        <v>-4.38</v>
      </c>
      <c r="U250" s="1">
        <f ca="1">IFERROR(__xludf.DUMMYFUNCTION("""COMPUTED_VALUE"""),273)</f>
        <v>273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IFERROR(__xludf.DUMMYFUNCTION("""COMPUTED_VALUE"""),"Eastern Kentucky")</f>
        <v>Eastern Kentucky</v>
      </c>
      <c r="C251" s="1" t="str">
        <f ca="1">IFERROR(__xludf.DUMMYFUNCTION("""COMPUTED_VALUE"""),"OVC")</f>
        <v>OVC</v>
      </c>
      <c r="D251" s="1" t="str">
        <f ca="1">IFERROR(__xludf.DUMMYFUNCTION("""COMPUTED_VALUE"""),"15-16")</f>
        <v>15-16</v>
      </c>
      <c r="E251" s="1">
        <f ca="1">IFERROR(__xludf.DUMMYFUNCTION("""COMPUTED_VALUE"""),-6.56)</f>
        <v>-6.56</v>
      </c>
      <c r="F251" s="1">
        <f ca="1">IFERROR(__xludf.DUMMYFUNCTION("""COMPUTED_VALUE"""),102.3)</f>
        <v>102.3</v>
      </c>
      <c r="G251" s="1">
        <f ca="1">IFERROR(__xludf.DUMMYFUNCTION("""COMPUTED_VALUE"""),190)</f>
        <v>190</v>
      </c>
      <c r="H251" s="1">
        <f ca="1">IFERROR(__xludf.DUMMYFUNCTION("""COMPUTED_VALUE"""),108.9)</f>
        <v>108.9</v>
      </c>
      <c r="I251" s="1">
        <f ca="1">IFERROR(__xludf.DUMMYFUNCTION("""COMPUTED_VALUE"""),279)</f>
        <v>279</v>
      </c>
      <c r="J251" s="1">
        <f ca="1">IFERROR(__xludf.DUMMYFUNCTION("""COMPUTED_VALUE"""),60.8)</f>
        <v>60.8</v>
      </c>
      <c r="K251" s="1">
        <f ca="1">IFERROR(__xludf.DUMMYFUNCTION("""COMPUTED_VALUE"""),329)</f>
        <v>329</v>
      </c>
      <c r="L251" s="1">
        <f ca="1">IFERROR(__xludf.DUMMYFUNCTION("""COMPUTED_VALUE"""),-0.026)</f>
        <v>-2.5999999999999999E-2</v>
      </c>
      <c r="M251" s="1">
        <f ca="1">IFERROR(__xludf.DUMMYFUNCTION("""COMPUTED_VALUE"""),245)</f>
        <v>245</v>
      </c>
      <c r="N251" s="1">
        <f ca="1">IFERROR(__xludf.DUMMYFUNCTION("""COMPUTED_VALUE"""),-6.28)</f>
        <v>-6.28</v>
      </c>
      <c r="O251" s="1">
        <f ca="1">IFERROR(__xludf.DUMMYFUNCTION("""COMPUTED_VALUE"""),309)</f>
        <v>309</v>
      </c>
      <c r="P251" s="1">
        <f ca="1">IFERROR(__xludf.DUMMYFUNCTION("""COMPUTED_VALUE"""),99.5)</f>
        <v>99.5</v>
      </c>
      <c r="Q251" s="1">
        <f ca="1">IFERROR(__xludf.DUMMYFUNCTION("""COMPUTED_VALUE"""),308)</f>
        <v>308</v>
      </c>
      <c r="R251" s="1">
        <f ca="1">IFERROR(__xludf.DUMMYFUNCTION("""COMPUTED_VALUE"""),105.8)</f>
        <v>105.8</v>
      </c>
      <c r="S251" s="1">
        <f ca="1">IFERROR(__xludf.DUMMYFUNCTION("""COMPUTED_VALUE"""),281)</f>
        <v>281</v>
      </c>
      <c r="T251" s="1">
        <f ca="1">IFERROR(__xludf.DUMMYFUNCTION("""COMPUTED_VALUE"""),-5.24)</f>
        <v>-5.24</v>
      </c>
      <c r="U251" s="1">
        <f ca="1">IFERROR(__xludf.DUMMYFUNCTION("""COMPUTED_VALUE"""),290)</f>
        <v>290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IFERROR(__xludf.DUMMYFUNCTION("""COMPUTED_VALUE"""),"Elon")</f>
        <v>Elon</v>
      </c>
      <c r="C252" s="1" t="str">
        <f ca="1">IFERROR(__xludf.DUMMYFUNCTION("""COMPUTED_VALUE"""),"SC")</f>
        <v>SC</v>
      </c>
      <c r="D252" s="1" t="str">
        <f ca="1">IFERROR(__xludf.DUMMYFUNCTION("""COMPUTED_VALUE"""),"14-17")</f>
        <v>14-17</v>
      </c>
      <c r="E252" s="1">
        <f ca="1">IFERROR(__xludf.DUMMYFUNCTION("""COMPUTED_VALUE"""),-6.6)</f>
        <v>-6.6</v>
      </c>
      <c r="F252" s="1">
        <f ca="1">IFERROR(__xludf.DUMMYFUNCTION("""COMPUTED_VALUE"""),104.3)</f>
        <v>104.3</v>
      </c>
      <c r="G252" s="1">
        <f ca="1">IFERROR(__xludf.DUMMYFUNCTION("""COMPUTED_VALUE"""),152)</f>
        <v>152</v>
      </c>
      <c r="H252" s="1">
        <f ca="1">IFERROR(__xludf.DUMMYFUNCTION("""COMPUTED_VALUE"""),110.9)</f>
        <v>110.9</v>
      </c>
      <c r="I252" s="1">
        <f ca="1">IFERROR(__xludf.DUMMYFUNCTION("""COMPUTED_VALUE"""),307)</f>
        <v>307</v>
      </c>
      <c r="J252" s="1">
        <f ca="1">IFERROR(__xludf.DUMMYFUNCTION("""COMPUTED_VALUE"""),67.1)</f>
        <v>67.099999999999994</v>
      </c>
      <c r="K252" s="1">
        <f ca="1">IFERROR(__xludf.DUMMYFUNCTION("""COMPUTED_VALUE"""),72)</f>
        <v>72</v>
      </c>
      <c r="L252" s="1">
        <f ca="1">IFERROR(__xludf.DUMMYFUNCTION("""COMPUTED_VALUE"""),-0.015)</f>
        <v>-1.4999999999999999E-2</v>
      </c>
      <c r="M252" s="1">
        <f ca="1">IFERROR(__xludf.DUMMYFUNCTION("""COMPUTED_VALUE"""),219)</f>
        <v>219</v>
      </c>
      <c r="N252" s="1">
        <f ca="1">IFERROR(__xludf.DUMMYFUNCTION("""COMPUTED_VALUE"""),-3.4)</f>
        <v>-3.4</v>
      </c>
      <c r="O252" s="1">
        <f ca="1">IFERROR(__xludf.DUMMYFUNCTION("""COMPUTED_VALUE"""),238)</f>
        <v>238</v>
      </c>
      <c r="P252" s="1">
        <f ca="1">IFERROR(__xludf.DUMMYFUNCTION("""COMPUTED_VALUE"""),102.2)</f>
        <v>102.2</v>
      </c>
      <c r="Q252" s="1">
        <f ca="1">IFERROR(__xludf.DUMMYFUNCTION("""COMPUTED_VALUE"""),209)</f>
        <v>209</v>
      </c>
      <c r="R252" s="1">
        <f ca="1">IFERROR(__xludf.DUMMYFUNCTION("""COMPUTED_VALUE"""),105.6)</f>
        <v>105.6</v>
      </c>
      <c r="S252" s="1">
        <f ca="1">IFERROR(__xludf.DUMMYFUNCTION("""COMPUTED_VALUE"""),270)</f>
        <v>270</v>
      </c>
      <c r="T252" s="1" t="str">
        <f ca="1">IFERROR(__xludf.DUMMYFUNCTION("""COMPUTED_VALUE"""),"+3.76")</f>
        <v>+3.76</v>
      </c>
      <c r="U252" s="1">
        <f ca="1">IFERROR(__xludf.DUMMYFUNCTION("""COMPUTED_VALUE"""),61)</f>
        <v>61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IFERROR(__xludf.DUMMYFUNCTION("""COMPUTED_VALUE"""),"Tennessee St.")</f>
        <v>Tennessee St.</v>
      </c>
      <c r="C255" s="1" t="str">
        <f ca="1">IFERROR(__xludf.DUMMYFUNCTION("""COMPUTED_VALUE"""),"OVC")</f>
        <v>OVC</v>
      </c>
      <c r="D255" s="1" t="str">
        <f ca="1">IFERROR(__xludf.DUMMYFUNCTION("""COMPUTED_VALUE"""),"14-16")</f>
        <v>14-16</v>
      </c>
      <c r="E255" s="1">
        <f ca="1">IFERROR(__xludf.DUMMYFUNCTION("""COMPUTED_VALUE"""),-6.71)</f>
        <v>-6.71</v>
      </c>
      <c r="F255" s="1">
        <f ca="1">IFERROR(__xludf.DUMMYFUNCTION("""COMPUTED_VALUE"""),102.1)</f>
        <v>102.1</v>
      </c>
      <c r="G255" s="1">
        <f ca="1">IFERROR(__xludf.DUMMYFUNCTION("""COMPUTED_VALUE"""),193)</f>
        <v>193</v>
      </c>
      <c r="H255" s="1">
        <f ca="1">IFERROR(__xludf.DUMMYFUNCTION("""COMPUTED_VALUE"""),108.8)</f>
        <v>108.8</v>
      </c>
      <c r="I255" s="1">
        <f ca="1">IFERROR(__xludf.DUMMYFUNCTION("""COMPUTED_VALUE"""),277)</f>
        <v>277</v>
      </c>
      <c r="J255" s="1">
        <f ca="1">IFERROR(__xludf.DUMMYFUNCTION("""COMPUTED_VALUE"""),64.1)</f>
        <v>64.099999999999994</v>
      </c>
      <c r="K255" s="1">
        <f ca="1">IFERROR(__xludf.DUMMYFUNCTION("""COMPUTED_VALUE"""),238)</f>
        <v>238</v>
      </c>
      <c r="L255" s="1" t="str">
        <f ca="1">IFERROR(__xludf.DUMMYFUNCTION("""COMPUTED_VALUE"""),"+.022")</f>
        <v>+.022</v>
      </c>
      <c r="M255" s="1">
        <f ca="1">IFERROR(__xludf.DUMMYFUNCTION("""COMPUTED_VALUE"""),126)</f>
        <v>126</v>
      </c>
      <c r="N255" s="1">
        <f ca="1">IFERROR(__xludf.DUMMYFUNCTION("""COMPUTED_VALUE"""),-3.82)</f>
        <v>-3.82</v>
      </c>
      <c r="O255" s="1">
        <f ca="1">IFERROR(__xludf.DUMMYFUNCTION("""COMPUTED_VALUE"""),250)</f>
        <v>250</v>
      </c>
      <c r="P255" s="1">
        <f ca="1">IFERROR(__xludf.DUMMYFUNCTION("""COMPUTED_VALUE"""),100.7)</f>
        <v>100.7</v>
      </c>
      <c r="Q255" s="1">
        <f ca="1">IFERROR(__xludf.DUMMYFUNCTION("""COMPUTED_VALUE"""),272)</f>
        <v>272</v>
      </c>
      <c r="R255" s="1">
        <f ca="1">IFERROR(__xludf.DUMMYFUNCTION("""COMPUTED_VALUE"""),104.5)</f>
        <v>104.5</v>
      </c>
      <c r="S255" s="1">
        <f ca="1">IFERROR(__xludf.DUMMYFUNCTION("""COMPUTED_VALUE"""),208)</f>
        <v>208</v>
      </c>
      <c r="T255" s="1" t="str">
        <f ca="1">IFERROR(__xludf.DUMMYFUNCTION("""COMPUTED_VALUE"""),"+2.92")</f>
        <v>+2.92</v>
      </c>
      <c r="U255" s="1">
        <f ca="1">IFERROR(__xludf.DUMMYFUNCTION("""COMPUTED_VALUE"""),74)</f>
        <v>74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IFERROR(__xludf.DUMMYFUNCTION("""COMPUTED_VALUE"""),"Bowling Green")</f>
        <v>Bowling Green</v>
      </c>
      <c r="C256" s="1" t="str">
        <f ca="1">IFERROR(__xludf.DUMMYFUNCTION("""COMPUTED_VALUE"""),"MAC")</f>
        <v>MAC</v>
      </c>
      <c r="D256" s="1" t="str">
        <f ca="1">IFERROR(__xludf.DUMMYFUNCTION("""COMPUTED_VALUE"""),"14-19")</f>
        <v>14-19</v>
      </c>
      <c r="E256" s="1">
        <f ca="1">IFERROR(__xludf.DUMMYFUNCTION("""COMPUTED_VALUE"""),-6.76)</f>
        <v>-6.76</v>
      </c>
      <c r="F256" s="1">
        <f ca="1">IFERROR(__xludf.DUMMYFUNCTION("""COMPUTED_VALUE"""),97.8)</f>
        <v>97.8</v>
      </c>
      <c r="G256" s="1">
        <f ca="1">IFERROR(__xludf.DUMMYFUNCTION("""COMPUTED_VALUE"""),269)</f>
        <v>269</v>
      </c>
      <c r="H256" s="1">
        <f ca="1">IFERROR(__xludf.DUMMYFUNCTION("""COMPUTED_VALUE"""),104.5)</f>
        <v>104.5</v>
      </c>
      <c r="I256" s="1">
        <f ca="1">IFERROR(__xludf.DUMMYFUNCTION("""COMPUTED_VALUE"""),201)</f>
        <v>201</v>
      </c>
      <c r="J256" s="1">
        <f ca="1">IFERROR(__xludf.DUMMYFUNCTION("""COMPUTED_VALUE"""),64.1)</f>
        <v>64.099999999999994</v>
      </c>
      <c r="K256" s="1">
        <f ca="1">IFERROR(__xludf.DUMMYFUNCTION("""COMPUTED_VALUE"""),237)</f>
        <v>237</v>
      </c>
      <c r="L256" s="1" t="str">
        <f ca="1">IFERROR(__xludf.DUMMYFUNCTION("""COMPUTED_VALUE"""),"+.018")</f>
        <v>+.018</v>
      </c>
      <c r="M256" s="1">
        <f ca="1">IFERROR(__xludf.DUMMYFUNCTION("""COMPUTED_VALUE"""),138)</f>
        <v>138</v>
      </c>
      <c r="N256" s="1">
        <f ca="1">IFERROR(__xludf.DUMMYFUNCTION("""COMPUTED_VALUE"""),-2.7)</f>
        <v>-2.7</v>
      </c>
      <c r="O256" s="1">
        <f ca="1">IFERROR(__xludf.DUMMYFUNCTION("""COMPUTED_VALUE"""),217)</f>
        <v>217</v>
      </c>
      <c r="P256" s="1">
        <f ca="1">IFERROR(__xludf.DUMMYFUNCTION("""COMPUTED_VALUE"""),101.5)</f>
        <v>101.5</v>
      </c>
      <c r="Q256" s="1">
        <f ca="1">IFERROR(__xludf.DUMMYFUNCTION("""COMPUTED_VALUE"""),240)</f>
        <v>240</v>
      </c>
      <c r="R256" s="1">
        <f ca="1">IFERROR(__xludf.DUMMYFUNCTION("""COMPUTED_VALUE"""),104.2)</f>
        <v>104.2</v>
      </c>
      <c r="S256" s="1">
        <f ca="1">IFERROR(__xludf.DUMMYFUNCTION("""COMPUTED_VALUE"""),190)</f>
        <v>190</v>
      </c>
      <c r="T256" s="1">
        <f ca="1">IFERROR(__xludf.DUMMYFUNCTION("""COMPUTED_VALUE"""),-2.59)</f>
        <v>-2.59</v>
      </c>
      <c r="U256" s="1">
        <f ca="1">IFERROR(__xludf.DUMMYFUNCTION("""COMPUTED_VALUE"""),221)</f>
        <v>221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IFERROR(__xludf.DUMMYFUNCTION("""COMPUTED_VALUE"""),"Albany")</f>
        <v>Albany</v>
      </c>
      <c r="C257" s="1" t="str">
        <f ca="1">IFERROR(__xludf.DUMMYFUNCTION("""COMPUTED_VALUE"""),"AE")</f>
        <v>AE</v>
      </c>
      <c r="D257" s="1" t="str">
        <f ca="1">IFERROR(__xludf.DUMMYFUNCTION("""COMPUTED_VALUE"""),"16-16")</f>
        <v>16-16</v>
      </c>
      <c r="E257" s="1">
        <f ca="1">IFERROR(__xludf.DUMMYFUNCTION("""COMPUTED_VALUE"""),-6.86)</f>
        <v>-6.86</v>
      </c>
      <c r="F257" s="1">
        <f ca="1">IFERROR(__xludf.DUMMYFUNCTION("""COMPUTED_VALUE"""),101.7)</f>
        <v>101.7</v>
      </c>
      <c r="G257" s="1">
        <f ca="1">IFERROR(__xludf.DUMMYFUNCTION("""COMPUTED_VALUE"""),203)</f>
        <v>203</v>
      </c>
      <c r="H257" s="1">
        <f ca="1">IFERROR(__xludf.DUMMYFUNCTION("""COMPUTED_VALUE"""),108.6)</f>
        <v>108.6</v>
      </c>
      <c r="I257" s="1">
        <f ca="1">IFERROR(__xludf.DUMMYFUNCTION("""COMPUTED_VALUE"""),276)</f>
        <v>276</v>
      </c>
      <c r="J257" s="1">
        <f ca="1">IFERROR(__xludf.DUMMYFUNCTION("""COMPUTED_VALUE"""),59.9)</f>
        <v>59.9</v>
      </c>
      <c r="K257" s="1">
        <f ca="1">IFERROR(__xludf.DUMMYFUNCTION("""COMPUTED_VALUE"""),333)</f>
        <v>333</v>
      </c>
      <c r="L257" s="1" t="str">
        <f ca="1">IFERROR(__xludf.DUMMYFUNCTION("""COMPUTED_VALUE"""),"+.025")</f>
        <v>+.025</v>
      </c>
      <c r="M257" s="1">
        <f ca="1">IFERROR(__xludf.DUMMYFUNCTION("""COMPUTED_VALUE"""),116)</f>
        <v>116</v>
      </c>
      <c r="N257" s="1">
        <f ca="1">IFERROR(__xludf.DUMMYFUNCTION("""COMPUTED_VALUE"""),-5.94)</f>
        <v>-5.94</v>
      </c>
      <c r="O257" s="1">
        <f ca="1">IFERROR(__xludf.DUMMYFUNCTION("""COMPUTED_VALUE"""),300)</f>
        <v>300</v>
      </c>
      <c r="P257" s="1">
        <f ca="1">IFERROR(__xludf.DUMMYFUNCTION("""COMPUTED_VALUE"""),99.2)</f>
        <v>99.2</v>
      </c>
      <c r="Q257" s="1">
        <f ca="1">IFERROR(__xludf.DUMMYFUNCTION("""COMPUTED_VALUE"""),315)</f>
        <v>315</v>
      </c>
      <c r="R257" s="1">
        <f ca="1">IFERROR(__xludf.DUMMYFUNCTION("""COMPUTED_VALUE"""),105.1)</f>
        <v>105.1</v>
      </c>
      <c r="S257" s="1">
        <f ca="1">IFERROR(__xludf.DUMMYFUNCTION("""COMPUTED_VALUE"""),235)</f>
        <v>235</v>
      </c>
      <c r="T257" s="1">
        <f ca="1">IFERROR(__xludf.DUMMYFUNCTION("""COMPUTED_VALUE"""),-2.14)</f>
        <v>-2.14</v>
      </c>
      <c r="U257" s="1">
        <f ca="1">IFERROR(__xludf.DUMMYFUNCTION("""COMPUTED_VALUE"""),211)</f>
        <v>211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IFERROR(__xludf.DUMMYFUNCTION("""COMPUTED_VALUE"""),"Lamar")</f>
        <v>Lamar</v>
      </c>
      <c r="C258" s="1" t="str">
        <f ca="1">IFERROR(__xludf.DUMMYFUNCTION("""COMPUTED_VALUE"""),"Slnd")</f>
        <v>Slnd</v>
      </c>
      <c r="D258" s="1" t="str">
        <f ca="1">IFERROR(__xludf.DUMMYFUNCTION("""COMPUTED_VALUE"""),"13-17")</f>
        <v>13-17</v>
      </c>
      <c r="E258" s="1">
        <f ca="1">IFERROR(__xludf.DUMMYFUNCTION("""COMPUTED_VALUE"""),-6.91)</f>
        <v>-6.91</v>
      </c>
      <c r="F258" s="1">
        <f ca="1">IFERROR(__xludf.DUMMYFUNCTION("""COMPUTED_VALUE"""),100.3)</f>
        <v>100.3</v>
      </c>
      <c r="G258" s="1">
        <f ca="1">IFERROR(__xludf.DUMMYFUNCTION("""COMPUTED_VALUE"""),231)</f>
        <v>231</v>
      </c>
      <c r="H258" s="1">
        <f ca="1">IFERROR(__xludf.DUMMYFUNCTION("""COMPUTED_VALUE"""),107.2)</f>
        <v>107.2</v>
      </c>
      <c r="I258" s="1">
        <f ca="1">IFERROR(__xludf.DUMMYFUNCTION("""COMPUTED_VALUE"""),250)</f>
        <v>250</v>
      </c>
      <c r="J258" s="1">
        <f ca="1">IFERROR(__xludf.DUMMYFUNCTION("""COMPUTED_VALUE"""),73.4)</f>
        <v>73.400000000000006</v>
      </c>
      <c r="K258" s="1">
        <f ca="1">IFERROR(__xludf.DUMMYFUNCTION("""COMPUTED_VALUE"""),3)</f>
        <v>3</v>
      </c>
      <c r="L258" s="1">
        <f ca="1">IFERROR(__xludf.DUMMYFUNCTION("""COMPUTED_VALUE"""),-0.126)</f>
        <v>-0.126</v>
      </c>
      <c r="M258" s="1">
        <f ca="1">IFERROR(__xludf.DUMMYFUNCTION("""COMPUTED_VALUE"""),341)</f>
        <v>341</v>
      </c>
      <c r="N258" s="1">
        <f ca="1">IFERROR(__xludf.DUMMYFUNCTION("""COMPUTED_VALUE"""),-6.5)</f>
        <v>-6.5</v>
      </c>
      <c r="O258" s="1">
        <f ca="1">IFERROR(__xludf.DUMMYFUNCTION("""COMPUTED_VALUE"""),310)</f>
        <v>310</v>
      </c>
      <c r="P258" s="1">
        <f ca="1">IFERROR(__xludf.DUMMYFUNCTION("""COMPUTED_VALUE"""),100.1)</f>
        <v>100.1</v>
      </c>
      <c r="Q258" s="1">
        <f ca="1">IFERROR(__xludf.DUMMYFUNCTION("""COMPUTED_VALUE"""),296)</f>
        <v>296</v>
      </c>
      <c r="R258" s="1">
        <f ca="1">IFERROR(__xludf.DUMMYFUNCTION("""COMPUTED_VALUE"""),106.6)</f>
        <v>106.6</v>
      </c>
      <c r="S258" s="1">
        <f ca="1">IFERROR(__xludf.DUMMYFUNCTION("""COMPUTED_VALUE"""),320)</f>
        <v>320</v>
      </c>
      <c r="T258" s="1">
        <f ca="1">IFERROR(__xludf.DUMMYFUNCTION("""COMPUTED_VALUE"""),-1.25)</f>
        <v>-1.25</v>
      </c>
      <c r="U258" s="1">
        <f ca="1">IFERROR(__xludf.DUMMYFUNCTION("""COMPUTED_VALUE"""),190)</f>
        <v>190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IFERROR(__xludf.DUMMYFUNCTION("""COMPUTED_VALUE"""),"Louisiana Tech")</f>
        <v>Louisiana Tech</v>
      </c>
      <c r="C259" s="1" t="str">
        <f ca="1">IFERROR(__xludf.DUMMYFUNCTION("""COMPUTED_VALUE"""),"WAC")</f>
        <v>WAC</v>
      </c>
      <c r="D259" s="2">
        <f ca="1">IFERROR(__xludf.DUMMYFUNCTION("""COMPUTED_VALUE"""),44915)</f>
        <v>44915</v>
      </c>
      <c r="E259" s="1">
        <f ca="1">IFERROR(__xludf.DUMMYFUNCTION("""COMPUTED_VALUE"""),-7.06)</f>
        <v>-7.06</v>
      </c>
      <c r="F259" s="1">
        <f ca="1">IFERROR(__xludf.DUMMYFUNCTION("""COMPUTED_VALUE"""),95.6)</f>
        <v>95.6</v>
      </c>
      <c r="G259" s="1">
        <f ca="1">IFERROR(__xludf.DUMMYFUNCTION("""COMPUTED_VALUE"""),292)</f>
        <v>292</v>
      </c>
      <c r="H259" s="1">
        <f ca="1">IFERROR(__xludf.DUMMYFUNCTION("""COMPUTED_VALUE"""),102.7)</f>
        <v>102.7</v>
      </c>
      <c r="I259" s="1">
        <f ca="1">IFERROR(__xludf.DUMMYFUNCTION("""COMPUTED_VALUE"""),148)</f>
        <v>148</v>
      </c>
      <c r="J259" s="1">
        <f ca="1">IFERROR(__xludf.DUMMYFUNCTION("""COMPUTED_VALUE"""),65.4)</f>
        <v>65.400000000000006</v>
      </c>
      <c r="K259" s="1">
        <f ca="1">IFERROR(__xludf.DUMMYFUNCTION("""COMPUTED_VALUE"""),165)</f>
        <v>165</v>
      </c>
      <c r="L259" s="1">
        <f ca="1">IFERROR(__xludf.DUMMYFUNCTION("""COMPUTED_VALUE"""),-0.006)</f>
        <v>-6.0000000000000001E-3</v>
      </c>
      <c r="M259" s="1">
        <f ca="1">IFERROR(__xludf.DUMMYFUNCTION("""COMPUTED_VALUE"""),197)</f>
        <v>197</v>
      </c>
      <c r="N259" s="1">
        <f ca="1">IFERROR(__xludf.DUMMYFUNCTION("""COMPUTED_VALUE"""),-1.32)</f>
        <v>-1.32</v>
      </c>
      <c r="O259" s="1">
        <f ca="1">IFERROR(__xludf.DUMMYFUNCTION("""COMPUTED_VALUE"""),179)</f>
        <v>179</v>
      </c>
      <c r="P259" s="1">
        <f ca="1">IFERROR(__xludf.DUMMYFUNCTION("""COMPUTED_VALUE"""),102.1)</f>
        <v>102.1</v>
      </c>
      <c r="Q259" s="1">
        <f ca="1">IFERROR(__xludf.DUMMYFUNCTION("""COMPUTED_VALUE"""),217)</f>
        <v>217</v>
      </c>
      <c r="R259" s="1">
        <f ca="1">IFERROR(__xludf.DUMMYFUNCTION("""COMPUTED_VALUE"""),103.4)</f>
        <v>103.4</v>
      </c>
      <c r="S259" s="1">
        <f ca="1">IFERROR(__xludf.DUMMYFUNCTION("""COMPUTED_VALUE"""),157)</f>
        <v>157</v>
      </c>
      <c r="T259" s="1">
        <f ca="1">IFERROR(__xludf.DUMMYFUNCTION("""COMPUTED_VALUE"""),-6.06)</f>
        <v>-6.06</v>
      </c>
      <c r="U259" s="1">
        <f ca="1">IFERROR(__xludf.DUMMYFUNCTION("""COMPUTED_VALUE"""),310)</f>
        <v>310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IFERROR(__xludf.DUMMYFUNCTION("""COMPUTED_VALUE"""),"UC Davis")</f>
        <v>UC Davis</v>
      </c>
      <c r="C260" s="1" t="str">
        <f ca="1">IFERROR(__xludf.DUMMYFUNCTION("""COMPUTED_VALUE"""),"BW")</f>
        <v>BW</v>
      </c>
      <c r="D260" s="2">
        <f ca="1">IFERROR(__xludf.DUMMYFUNCTION("""COMPUTED_VALUE"""),44854)</f>
        <v>44854</v>
      </c>
      <c r="E260" s="1">
        <f ca="1">IFERROR(__xludf.DUMMYFUNCTION("""COMPUTED_VALUE"""),-7.08)</f>
        <v>-7.08</v>
      </c>
      <c r="F260" s="1">
        <f ca="1">IFERROR(__xludf.DUMMYFUNCTION("""COMPUTED_VALUE"""),102.8)</f>
        <v>102.8</v>
      </c>
      <c r="G260" s="1">
        <f ca="1">IFERROR(__xludf.DUMMYFUNCTION("""COMPUTED_VALUE"""),182)</f>
        <v>182</v>
      </c>
      <c r="H260" s="1">
        <f ca="1">IFERROR(__xludf.DUMMYFUNCTION("""COMPUTED_VALUE"""),109.9)</f>
        <v>109.9</v>
      </c>
      <c r="I260" s="1">
        <f ca="1">IFERROR(__xludf.DUMMYFUNCTION("""COMPUTED_VALUE"""),297)</f>
        <v>297</v>
      </c>
      <c r="J260" s="1">
        <f ca="1">IFERROR(__xludf.DUMMYFUNCTION("""COMPUTED_VALUE"""),66.4)</f>
        <v>66.400000000000006</v>
      </c>
      <c r="K260" s="1">
        <f ca="1">IFERROR(__xludf.DUMMYFUNCTION("""COMPUTED_VALUE"""),109)</f>
        <v>109</v>
      </c>
      <c r="L260" s="1">
        <f ca="1">IFERROR(__xludf.DUMMYFUNCTION("""COMPUTED_VALUE"""),-0.094)</f>
        <v>-9.4E-2</v>
      </c>
      <c r="M260" s="1">
        <f ca="1">IFERROR(__xludf.DUMMYFUNCTION("""COMPUTED_VALUE"""),332)</f>
        <v>332</v>
      </c>
      <c r="N260" s="1">
        <f ca="1">IFERROR(__xludf.DUMMYFUNCTION("""COMPUTED_VALUE"""),-1.84)</f>
        <v>-1.84</v>
      </c>
      <c r="O260" s="1">
        <f ca="1">IFERROR(__xludf.DUMMYFUNCTION("""COMPUTED_VALUE"""),193)</f>
        <v>193</v>
      </c>
      <c r="P260" s="1">
        <f ca="1">IFERROR(__xludf.DUMMYFUNCTION("""COMPUTED_VALUE"""),102.3)</f>
        <v>102.3</v>
      </c>
      <c r="Q260" s="1">
        <f ca="1">IFERROR(__xludf.DUMMYFUNCTION("""COMPUTED_VALUE"""),207)</f>
        <v>207</v>
      </c>
      <c r="R260" s="1">
        <f ca="1">IFERROR(__xludf.DUMMYFUNCTION("""COMPUTED_VALUE"""),104.2)</f>
        <v>104.2</v>
      </c>
      <c r="S260" s="1">
        <f ca="1">IFERROR(__xludf.DUMMYFUNCTION("""COMPUTED_VALUE"""),187)</f>
        <v>187</v>
      </c>
      <c r="T260" s="1">
        <f ca="1">IFERROR(__xludf.DUMMYFUNCTION("""COMPUTED_VALUE"""),-0.44)</f>
        <v>-0.44</v>
      </c>
      <c r="U260" s="1">
        <f ca="1">IFERROR(__xludf.DUMMYFUNCTION("""COMPUTED_VALUE"""),170)</f>
        <v>170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IFERROR(__xludf.DUMMYFUNCTION("""COMPUTED_VALUE"""),"Morgan St.")</f>
        <v>Morgan St.</v>
      </c>
      <c r="C261" s="1" t="str">
        <f ca="1">IFERROR(__xludf.DUMMYFUNCTION("""COMPUTED_VALUE"""),"MEAC")</f>
        <v>MEAC</v>
      </c>
      <c r="D261" s="1" t="str">
        <f ca="1">IFERROR(__xludf.DUMMYFUNCTION("""COMPUTED_VALUE"""),"17-14")</f>
        <v>17-14</v>
      </c>
      <c r="E261" s="1">
        <f ca="1">IFERROR(__xludf.DUMMYFUNCTION("""COMPUTED_VALUE"""),-7.3)</f>
        <v>-7.3</v>
      </c>
      <c r="F261" s="1">
        <f ca="1">IFERROR(__xludf.DUMMYFUNCTION("""COMPUTED_VALUE"""),94.8)</f>
        <v>94.8</v>
      </c>
      <c r="G261" s="1">
        <f ca="1">IFERROR(__xludf.DUMMYFUNCTION("""COMPUTED_VALUE"""),298)</f>
        <v>298</v>
      </c>
      <c r="H261" s="1">
        <f ca="1">IFERROR(__xludf.DUMMYFUNCTION("""COMPUTED_VALUE"""),102.1)</f>
        <v>102.1</v>
      </c>
      <c r="I261" s="1">
        <f ca="1">IFERROR(__xludf.DUMMYFUNCTION("""COMPUTED_VALUE"""),136)</f>
        <v>136</v>
      </c>
      <c r="J261" s="1">
        <f ca="1">IFERROR(__xludf.DUMMYFUNCTION("""COMPUTED_VALUE"""),65.5)</f>
        <v>65.5</v>
      </c>
      <c r="K261" s="1">
        <f ca="1">IFERROR(__xludf.DUMMYFUNCTION("""COMPUTED_VALUE"""),164)</f>
        <v>164</v>
      </c>
      <c r="L261" s="1" t="str">
        <f ca="1">IFERROR(__xludf.DUMMYFUNCTION("""COMPUTED_VALUE"""),"+.042")</f>
        <v>+.042</v>
      </c>
      <c r="M261" s="1">
        <f ca="1">IFERROR(__xludf.DUMMYFUNCTION("""COMPUTED_VALUE"""),77)</f>
        <v>77</v>
      </c>
      <c r="N261" s="1">
        <f ca="1">IFERROR(__xludf.DUMMYFUNCTION("""COMPUTED_VALUE"""),-9.71)</f>
        <v>-9.7100000000000009</v>
      </c>
      <c r="O261" s="1">
        <f ca="1">IFERROR(__xludf.DUMMYFUNCTION("""COMPUTED_VALUE"""),329)</f>
        <v>329</v>
      </c>
      <c r="P261" s="1">
        <f ca="1">IFERROR(__xludf.DUMMYFUNCTION("""COMPUTED_VALUE"""),98.5)</f>
        <v>98.5</v>
      </c>
      <c r="Q261" s="1">
        <f ca="1">IFERROR(__xludf.DUMMYFUNCTION("""COMPUTED_VALUE"""),321)</f>
        <v>321</v>
      </c>
      <c r="R261" s="1">
        <f ca="1">IFERROR(__xludf.DUMMYFUNCTION("""COMPUTED_VALUE"""),108.2)</f>
        <v>108.2</v>
      </c>
      <c r="S261" s="1">
        <f ca="1">IFERROR(__xludf.DUMMYFUNCTION("""COMPUTED_VALUE"""),340)</f>
        <v>340</v>
      </c>
      <c r="T261" s="1" t="str">
        <f ca="1">IFERROR(__xludf.DUMMYFUNCTION("""COMPUTED_VALUE"""),"+0.61")</f>
        <v>+0.61</v>
      </c>
      <c r="U261" s="1">
        <f ca="1">IFERROR(__xludf.DUMMYFUNCTION("""COMPUTED_VALUE"""),142)</f>
        <v>142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IFERROR(__xludf.DUMMYFUNCTION("""COMPUTED_VALUE"""),"Campbell")</f>
        <v>Campbell</v>
      </c>
      <c r="C262" s="1" t="str">
        <f ca="1">IFERROR(__xludf.DUMMYFUNCTION("""COMPUTED_VALUE"""),"ASun")</f>
        <v>ASun</v>
      </c>
      <c r="D262" s="2">
        <f ca="1">IFERROR(__xludf.DUMMYFUNCTION("""COMPUTED_VALUE"""),44914)</f>
        <v>44914</v>
      </c>
      <c r="E262" s="1">
        <f ca="1">IFERROR(__xludf.DUMMYFUNCTION("""COMPUTED_VALUE"""),-7.71)</f>
        <v>-7.71</v>
      </c>
      <c r="F262" s="1">
        <f ca="1">IFERROR(__xludf.DUMMYFUNCTION("""COMPUTED_VALUE"""),97.8)</f>
        <v>97.8</v>
      </c>
      <c r="G262" s="1">
        <f ca="1">IFERROR(__xludf.DUMMYFUNCTION("""COMPUTED_VALUE"""),270)</f>
        <v>270</v>
      </c>
      <c r="H262" s="1">
        <f ca="1">IFERROR(__xludf.DUMMYFUNCTION("""COMPUTED_VALUE"""),105.5)</f>
        <v>105.5</v>
      </c>
      <c r="I262" s="1">
        <f ca="1">IFERROR(__xludf.DUMMYFUNCTION("""COMPUTED_VALUE"""),224)</f>
        <v>224</v>
      </c>
      <c r="J262" s="1">
        <f ca="1">IFERROR(__xludf.DUMMYFUNCTION("""COMPUTED_VALUE"""),64)</f>
        <v>64</v>
      </c>
      <c r="K262" s="1">
        <f ca="1">IFERROR(__xludf.DUMMYFUNCTION("""COMPUTED_VALUE"""),242)</f>
        <v>242</v>
      </c>
      <c r="L262" s="1">
        <f ca="1">IFERROR(__xludf.DUMMYFUNCTION("""COMPUTED_VALUE"""),-0.06)</f>
        <v>-0.06</v>
      </c>
      <c r="M262" s="1">
        <f ca="1">IFERROR(__xludf.DUMMYFUNCTION("""COMPUTED_VALUE"""),309)</f>
        <v>309</v>
      </c>
      <c r="N262" s="1">
        <f ca="1">IFERROR(__xludf.DUMMYFUNCTION("""COMPUTED_VALUE"""),-4.72)</f>
        <v>-4.72</v>
      </c>
      <c r="O262" s="1">
        <f ca="1">IFERROR(__xludf.DUMMYFUNCTION("""COMPUTED_VALUE"""),271)</f>
        <v>271</v>
      </c>
      <c r="P262" s="1">
        <f ca="1">IFERROR(__xludf.DUMMYFUNCTION("""COMPUTED_VALUE"""),100.6)</f>
        <v>100.6</v>
      </c>
      <c r="Q262" s="1">
        <f ca="1">IFERROR(__xludf.DUMMYFUNCTION("""COMPUTED_VALUE"""),275)</f>
        <v>275</v>
      </c>
      <c r="R262" s="1">
        <f ca="1">IFERROR(__xludf.DUMMYFUNCTION("""COMPUTED_VALUE"""),105.3)</f>
        <v>105.3</v>
      </c>
      <c r="S262" s="1">
        <f ca="1">IFERROR(__xludf.DUMMYFUNCTION("""COMPUTED_VALUE"""),250)</f>
        <v>250</v>
      </c>
      <c r="T262" s="1">
        <f ca="1">IFERROR(__xludf.DUMMYFUNCTION("""COMPUTED_VALUE"""),-5.61)</f>
        <v>-5.61</v>
      </c>
      <c r="U262" s="1">
        <f ca="1">IFERROR(__xludf.DUMMYFUNCTION("""COMPUTED_VALUE"""),301)</f>
        <v>301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IFERROR(__xludf.DUMMYFUNCTION("""COMPUTED_VALUE"""),"Mount St. Mary's")</f>
        <v>Mount St. Mary's</v>
      </c>
      <c r="C263" s="1" t="str">
        <f ca="1">IFERROR(__xludf.DUMMYFUNCTION("""COMPUTED_VALUE"""),"NEC")</f>
        <v>NEC</v>
      </c>
      <c r="D263" s="2">
        <f ca="1">IFERROR(__xludf.DUMMYFUNCTION("""COMPUTED_VALUE"""),44886)</f>
        <v>44886</v>
      </c>
      <c r="E263" s="1">
        <f ca="1">IFERROR(__xludf.DUMMYFUNCTION("""COMPUTED_VALUE"""),-7.75)</f>
        <v>-7.75</v>
      </c>
      <c r="F263" s="1">
        <f ca="1">IFERROR(__xludf.DUMMYFUNCTION("""COMPUTED_VALUE"""),94.9)</f>
        <v>94.9</v>
      </c>
      <c r="G263" s="1">
        <f ca="1">IFERROR(__xludf.DUMMYFUNCTION("""COMPUTED_VALUE"""),297)</f>
        <v>297</v>
      </c>
      <c r="H263" s="1">
        <f ca="1">IFERROR(__xludf.DUMMYFUNCTION("""COMPUTED_VALUE"""),102.6)</f>
        <v>102.6</v>
      </c>
      <c r="I263" s="1">
        <f ca="1">IFERROR(__xludf.DUMMYFUNCTION("""COMPUTED_VALUE"""),146)</f>
        <v>146</v>
      </c>
      <c r="J263" s="1">
        <f ca="1">IFERROR(__xludf.DUMMYFUNCTION("""COMPUTED_VALUE"""),64)</f>
        <v>64</v>
      </c>
      <c r="K263" s="1">
        <f ca="1">IFERROR(__xludf.DUMMYFUNCTION("""COMPUTED_VALUE"""),244)</f>
        <v>244</v>
      </c>
      <c r="L263" s="1">
        <f ca="1">IFERROR(__xludf.DUMMYFUNCTION("""COMPUTED_VALUE"""),-0.019)</f>
        <v>-1.9E-2</v>
      </c>
      <c r="M263" s="1">
        <f ca="1">IFERROR(__xludf.DUMMYFUNCTION("""COMPUTED_VALUE"""),229)</f>
        <v>229</v>
      </c>
      <c r="N263" s="1">
        <f ca="1">IFERROR(__xludf.DUMMYFUNCTION("""COMPUTED_VALUE"""),-2.05)</f>
        <v>-2.0499999999999998</v>
      </c>
      <c r="O263" s="1">
        <f ca="1">IFERROR(__xludf.DUMMYFUNCTION("""COMPUTED_VALUE"""),201)</f>
        <v>201</v>
      </c>
      <c r="P263" s="1">
        <f ca="1">IFERROR(__xludf.DUMMYFUNCTION("""COMPUTED_VALUE"""),101.9)</f>
        <v>101.9</v>
      </c>
      <c r="Q263" s="1">
        <f ca="1">IFERROR(__xludf.DUMMYFUNCTION("""COMPUTED_VALUE"""),225)</f>
        <v>225</v>
      </c>
      <c r="R263" s="1">
        <f ca="1">IFERROR(__xludf.DUMMYFUNCTION("""COMPUTED_VALUE"""),103.9)</f>
        <v>103.9</v>
      </c>
      <c r="S263" s="1">
        <f ca="1">IFERROR(__xludf.DUMMYFUNCTION("""COMPUTED_VALUE"""),178)</f>
        <v>178</v>
      </c>
      <c r="T263" s="1" t="str">
        <f ca="1">IFERROR(__xludf.DUMMYFUNCTION("""COMPUTED_VALUE"""),"+2.88")</f>
        <v>+2.88</v>
      </c>
      <c r="U263" s="1">
        <f ca="1">IFERROR(__xludf.DUMMYFUNCTION("""COMPUTED_VALUE"""),75)</f>
        <v>75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IFERROR(__xludf.DUMMYFUNCTION("""COMPUTED_VALUE"""),"Montana St.")</f>
        <v>Montana St.</v>
      </c>
      <c r="C264" s="1" t="str">
        <f ca="1">IFERROR(__xludf.DUMMYFUNCTION("""COMPUTED_VALUE"""),"BSky")</f>
        <v>BSky</v>
      </c>
      <c r="D264" s="1" t="str">
        <f ca="1">IFERROR(__xludf.DUMMYFUNCTION("""COMPUTED_VALUE"""),"13-18")</f>
        <v>13-18</v>
      </c>
      <c r="E264" s="1">
        <f ca="1">IFERROR(__xludf.DUMMYFUNCTION("""COMPUTED_VALUE"""),-7.8)</f>
        <v>-7.8</v>
      </c>
      <c r="F264" s="1">
        <f ca="1">IFERROR(__xludf.DUMMYFUNCTION("""COMPUTED_VALUE"""),100.2)</f>
        <v>100.2</v>
      </c>
      <c r="G264" s="1">
        <f ca="1">IFERROR(__xludf.DUMMYFUNCTION("""COMPUTED_VALUE"""),232)</f>
        <v>232</v>
      </c>
      <c r="H264" s="1">
        <f ca="1">IFERROR(__xludf.DUMMYFUNCTION("""COMPUTED_VALUE"""),108)</f>
        <v>108</v>
      </c>
      <c r="I264" s="1">
        <f ca="1">IFERROR(__xludf.DUMMYFUNCTION("""COMPUTED_VALUE"""),263)</f>
        <v>263</v>
      </c>
      <c r="J264" s="1">
        <f ca="1">IFERROR(__xludf.DUMMYFUNCTION("""COMPUTED_VALUE"""),64.3)</f>
        <v>64.3</v>
      </c>
      <c r="K264" s="1">
        <f ca="1">IFERROR(__xludf.DUMMYFUNCTION("""COMPUTED_VALUE"""),231)</f>
        <v>231</v>
      </c>
      <c r="L264" s="1" t="str">
        <f ca="1">IFERROR(__xludf.DUMMYFUNCTION("""COMPUTED_VALUE"""),"+.005")</f>
        <v>+.005</v>
      </c>
      <c r="M264" s="1">
        <f ca="1">IFERROR(__xludf.DUMMYFUNCTION("""COMPUTED_VALUE"""),166)</f>
        <v>166</v>
      </c>
      <c r="N264" s="1">
        <f ca="1">IFERROR(__xludf.DUMMYFUNCTION("""COMPUTED_VALUE"""),-2.72)</f>
        <v>-2.72</v>
      </c>
      <c r="O264" s="1">
        <f ca="1">IFERROR(__xludf.DUMMYFUNCTION("""COMPUTED_VALUE"""),218)</f>
        <v>218</v>
      </c>
      <c r="P264" s="1">
        <f ca="1">IFERROR(__xludf.DUMMYFUNCTION("""COMPUTED_VALUE"""),101.7)</f>
        <v>101.7</v>
      </c>
      <c r="Q264" s="1">
        <f ca="1">IFERROR(__xludf.DUMMYFUNCTION("""COMPUTED_VALUE"""),230)</f>
        <v>230</v>
      </c>
      <c r="R264" s="1">
        <f ca="1">IFERROR(__xludf.DUMMYFUNCTION("""COMPUTED_VALUE"""),104.4)</f>
        <v>104.4</v>
      </c>
      <c r="S264" s="1">
        <f ca="1">IFERROR(__xludf.DUMMYFUNCTION("""COMPUTED_VALUE"""),205)</f>
        <v>205</v>
      </c>
      <c r="T264" s="1">
        <f ca="1">IFERROR(__xludf.DUMMYFUNCTION("""COMPUTED_VALUE"""),-0.63)</f>
        <v>-0.63</v>
      </c>
      <c r="U264" s="1">
        <f ca="1">IFERROR(__xludf.DUMMYFUNCTION("""COMPUTED_VALUE"""),173)</f>
        <v>173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IFERROR(__xludf.DUMMYFUNCTION("""COMPUTED_VALUE"""),"Texas St.")</f>
        <v>Texas St.</v>
      </c>
      <c r="C265" s="1" t="str">
        <f ca="1">IFERROR(__xludf.DUMMYFUNCTION("""COMPUTED_VALUE"""),"Slnd")</f>
        <v>Slnd</v>
      </c>
      <c r="D265" s="1" t="str">
        <f ca="1">IFERROR(__xludf.DUMMYFUNCTION("""COMPUTED_VALUE"""),"16-16")</f>
        <v>16-16</v>
      </c>
      <c r="E265" s="1">
        <f ca="1">IFERROR(__xludf.DUMMYFUNCTION("""COMPUTED_VALUE"""),-7.96)</f>
        <v>-7.96</v>
      </c>
      <c r="F265" s="1">
        <f ca="1">IFERROR(__xludf.DUMMYFUNCTION("""COMPUTED_VALUE"""),100.3)</f>
        <v>100.3</v>
      </c>
      <c r="G265" s="1">
        <f ca="1">IFERROR(__xludf.DUMMYFUNCTION("""COMPUTED_VALUE"""),230)</f>
        <v>230</v>
      </c>
      <c r="H265" s="1">
        <f ca="1">IFERROR(__xludf.DUMMYFUNCTION("""COMPUTED_VALUE"""),108.3)</f>
        <v>108.3</v>
      </c>
      <c r="I265" s="1">
        <f ca="1">IFERROR(__xludf.DUMMYFUNCTION("""COMPUTED_VALUE"""),271)</f>
        <v>271</v>
      </c>
      <c r="J265" s="1">
        <f ca="1">IFERROR(__xludf.DUMMYFUNCTION("""COMPUTED_VALUE"""),72.9)</f>
        <v>72.900000000000006</v>
      </c>
      <c r="K265" s="1">
        <f ca="1">IFERROR(__xludf.DUMMYFUNCTION("""COMPUTED_VALUE"""),5)</f>
        <v>5</v>
      </c>
      <c r="L265" s="1" t="str">
        <f ca="1">IFERROR(__xludf.DUMMYFUNCTION("""COMPUTED_VALUE"""),"+.036")</f>
        <v>+.036</v>
      </c>
      <c r="M265" s="1">
        <f ca="1">IFERROR(__xludf.DUMMYFUNCTION("""COMPUTED_VALUE"""),86)</f>
        <v>86</v>
      </c>
      <c r="N265" s="1">
        <f ca="1">IFERROR(__xludf.DUMMYFUNCTION("""COMPUTED_VALUE"""),-7.32)</f>
        <v>-7.32</v>
      </c>
      <c r="O265" s="1">
        <f ca="1">IFERROR(__xludf.DUMMYFUNCTION("""COMPUTED_VALUE"""),318)</f>
        <v>318</v>
      </c>
      <c r="P265" s="1">
        <f ca="1">IFERROR(__xludf.DUMMYFUNCTION("""COMPUTED_VALUE"""),100.3)</f>
        <v>100.3</v>
      </c>
      <c r="Q265" s="1">
        <f ca="1">IFERROR(__xludf.DUMMYFUNCTION("""COMPUTED_VALUE"""),289)</f>
        <v>289</v>
      </c>
      <c r="R265" s="1">
        <f ca="1">IFERROR(__xludf.DUMMYFUNCTION("""COMPUTED_VALUE"""),107.6)</f>
        <v>107.6</v>
      </c>
      <c r="S265" s="1">
        <f ca="1">IFERROR(__xludf.DUMMYFUNCTION("""COMPUTED_VALUE"""),334)</f>
        <v>334</v>
      </c>
      <c r="T265" s="1">
        <f ca="1">IFERROR(__xludf.DUMMYFUNCTION("""COMPUTED_VALUE"""),-4.9)</f>
        <v>-4.9000000000000004</v>
      </c>
      <c r="U265" s="1">
        <f ca="1">IFERROR(__xludf.DUMMYFUNCTION("""COMPUTED_VALUE"""),284)</f>
        <v>284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IFERROR(__xludf.DUMMYFUNCTION("""COMPUTED_VALUE"""),"Youngstown St.")</f>
        <v>Youngstown St.</v>
      </c>
      <c r="C266" s="1" t="str">
        <f ca="1">IFERROR(__xludf.DUMMYFUNCTION("""COMPUTED_VALUE"""),"Horz")</f>
        <v>Horz</v>
      </c>
      <c r="D266" s="2">
        <f ca="1">IFERROR(__xludf.DUMMYFUNCTION("""COMPUTED_VALUE"""),44825)</f>
        <v>44825</v>
      </c>
      <c r="E266" s="1">
        <f ca="1">IFERROR(__xludf.DUMMYFUNCTION("""COMPUTED_VALUE"""),-7.96)</f>
        <v>-7.96</v>
      </c>
      <c r="F266" s="1">
        <f ca="1">IFERROR(__xludf.DUMMYFUNCTION("""COMPUTED_VALUE"""),100)</f>
        <v>100</v>
      </c>
      <c r="G266" s="1">
        <f ca="1">IFERROR(__xludf.DUMMYFUNCTION("""COMPUTED_VALUE"""),235)</f>
        <v>235</v>
      </c>
      <c r="H266" s="1">
        <f ca="1">IFERROR(__xludf.DUMMYFUNCTION("""COMPUTED_VALUE"""),108)</f>
        <v>108</v>
      </c>
      <c r="I266" s="1">
        <f ca="1">IFERROR(__xludf.DUMMYFUNCTION("""COMPUTED_VALUE"""),262)</f>
        <v>262</v>
      </c>
      <c r="J266" s="1">
        <f ca="1">IFERROR(__xludf.DUMMYFUNCTION("""COMPUTED_VALUE"""),68.5)</f>
        <v>68.5</v>
      </c>
      <c r="K266" s="1">
        <f ca="1">IFERROR(__xludf.DUMMYFUNCTION("""COMPUTED_VALUE"""),41)</f>
        <v>41</v>
      </c>
      <c r="L266" s="1">
        <f ca="1">IFERROR(__xludf.DUMMYFUNCTION("""COMPUTED_VALUE"""),-0.023)</f>
        <v>-2.3E-2</v>
      </c>
      <c r="M266" s="1">
        <f ca="1">IFERROR(__xludf.DUMMYFUNCTION("""COMPUTED_VALUE"""),238)</f>
        <v>238</v>
      </c>
      <c r="N266" s="1" t="str">
        <f ca="1">IFERROR(__xludf.DUMMYFUNCTION("""COMPUTED_VALUE"""),"+1.98")</f>
        <v>+1.98</v>
      </c>
      <c r="O266" s="1">
        <f ca="1">IFERROR(__xludf.DUMMYFUNCTION("""COMPUTED_VALUE"""),107)</f>
        <v>107</v>
      </c>
      <c r="P266" s="1">
        <f ca="1">IFERROR(__xludf.DUMMYFUNCTION("""COMPUTED_VALUE"""),104.3)</f>
        <v>104.3</v>
      </c>
      <c r="Q266" s="1">
        <f ca="1">IFERROR(__xludf.DUMMYFUNCTION("""COMPUTED_VALUE"""),120)</f>
        <v>120</v>
      </c>
      <c r="R266" s="1">
        <f ca="1">IFERROR(__xludf.DUMMYFUNCTION("""COMPUTED_VALUE"""),102.3)</f>
        <v>102.3</v>
      </c>
      <c r="S266" s="1">
        <f ca="1">IFERROR(__xludf.DUMMYFUNCTION("""COMPUTED_VALUE"""),107)</f>
        <v>107</v>
      </c>
      <c r="T266" s="1">
        <f ca="1">IFERROR(__xludf.DUMMYFUNCTION("""COMPUTED_VALUE"""),-3.92)</f>
        <v>-3.92</v>
      </c>
      <c r="U266" s="1">
        <f ca="1">IFERROR(__xludf.DUMMYFUNCTION("""COMPUTED_VALUE"""),260)</f>
        <v>260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IFERROR(__xludf.DUMMYFUNCTION("""COMPUTED_VALUE"""),"Presbyterian")</f>
        <v>Presbyterian</v>
      </c>
      <c r="C267" s="1" t="str">
        <f ca="1">IFERROR(__xludf.DUMMYFUNCTION("""COMPUTED_VALUE"""),"BSth")</f>
        <v>BSth</v>
      </c>
      <c r="D267" s="1" t="str">
        <f ca="1">IFERROR(__xludf.DUMMYFUNCTION("""COMPUTED_VALUE"""),"13-18")</f>
        <v>13-18</v>
      </c>
      <c r="E267" s="1">
        <f ca="1">IFERROR(__xludf.DUMMYFUNCTION("""COMPUTED_VALUE"""),-7.99)</f>
        <v>-7.99</v>
      </c>
      <c r="F267" s="1">
        <f ca="1">IFERROR(__xludf.DUMMYFUNCTION("""COMPUTED_VALUE"""),101.5)</f>
        <v>101.5</v>
      </c>
      <c r="G267" s="1">
        <f ca="1">IFERROR(__xludf.DUMMYFUNCTION("""COMPUTED_VALUE"""),205)</f>
        <v>205</v>
      </c>
      <c r="H267" s="1">
        <f ca="1">IFERROR(__xludf.DUMMYFUNCTION("""COMPUTED_VALUE"""),109.5)</f>
        <v>109.5</v>
      </c>
      <c r="I267" s="1">
        <f ca="1">IFERROR(__xludf.DUMMYFUNCTION("""COMPUTED_VALUE"""),289)</f>
        <v>289</v>
      </c>
      <c r="J267" s="1">
        <f ca="1">IFERROR(__xludf.DUMMYFUNCTION("""COMPUTED_VALUE"""),59)</f>
        <v>59</v>
      </c>
      <c r="K267" s="1">
        <f ca="1">IFERROR(__xludf.DUMMYFUNCTION("""COMPUTED_VALUE"""),342)</f>
        <v>342</v>
      </c>
      <c r="L267" s="1" t="str">
        <f ca="1">IFERROR(__xludf.DUMMYFUNCTION("""COMPUTED_VALUE"""),"+.047")</f>
        <v>+.047</v>
      </c>
      <c r="M267" s="1">
        <f ca="1">IFERROR(__xludf.DUMMYFUNCTION("""COMPUTED_VALUE"""),64)</f>
        <v>64</v>
      </c>
      <c r="N267" s="1">
        <f ca="1">IFERROR(__xludf.DUMMYFUNCTION("""COMPUTED_VALUE"""),-1.7)</f>
        <v>-1.7</v>
      </c>
      <c r="O267" s="1">
        <f ca="1">IFERROR(__xludf.DUMMYFUNCTION("""COMPUTED_VALUE"""),188)</f>
        <v>188</v>
      </c>
      <c r="P267" s="1">
        <f ca="1">IFERROR(__xludf.DUMMYFUNCTION("""COMPUTED_VALUE"""),101.8)</f>
        <v>101.8</v>
      </c>
      <c r="Q267" s="1">
        <f ca="1">IFERROR(__xludf.DUMMYFUNCTION("""COMPUTED_VALUE"""),226)</f>
        <v>226</v>
      </c>
      <c r="R267" s="1">
        <f ca="1">IFERROR(__xludf.DUMMYFUNCTION("""COMPUTED_VALUE"""),103.5)</f>
        <v>103.5</v>
      </c>
      <c r="S267" s="1">
        <f ca="1">IFERROR(__xludf.DUMMYFUNCTION("""COMPUTED_VALUE"""),162)</f>
        <v>162</v>
      </c>
      <c r="T267" s="1" t="str">
        <f ca="1">IFERROR(__xludf.DUMMYFUNCTION("""COMPUTED_VALUE"""),"+6.30")</f>
        <v>+6.30</v>
      </c>
      <c r="U267" s="1">
        <f ca="1">IFERROR(__xludf.DUMMYFUNCTION("""COMPUTED_VALUE"""),30)</f>
        <v>30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IFERROR(__xludf.DUMMYFUNCTION("""COMPUTED_VALUE"""),"Illinois Chicago")</f>
        <v>Illinois Chicago</v>
      </c>
      <c r="C268" s="1" t="str">
        <f ca="1">IFERROR(__xludf.DUMMYFUNCTION("""COMPUTED_VALUE"""),"Horz")</f>
        <v>Horz</v>
      </c>
      <c r="D268" s="2">
        <f ca="1">IFERROR(__xludf.DUMMYFUNCTION("""COMPUTED_VALUE"""),44766)</f>
        <v>44766</v>
      </c>
      <c r="E268" s="1">
        <f ca="1">IFERROR(__xludf.DUMMYFUNCTION("""COMPUTED_VALUE"""),-7.99)</f>
        <v>-7.99</v>
      </c>
      <c r="F268" s="1">
        <f ca="1">IFERROR(__xludf.DUMMYFUNCTION("""COMPUTED_VALUE"""),96.5)</f>
        <v>96.5</v>
      </c>
      <c r="G268" s="1">
        <f ca="1">IFERROR(__xludf.DUMMYFUNCTION("""COMPUTED_VALUE"""),283)</f>
        <v>283</v>
      </c>
      <c r="H268" s="1">
        <f ca="1">IFERROR(__xludf.DUMMYFUNCTION("""COMPUTED_VALUE"""),104.5)</f>
        <v>104.5</v>
      </c>
      <c r="I268" s="1">
        <f ca="1">IFERROR(__xludf.DUMMYFUNCTION("""COMPUTED_VALUE"""),199)</f>
        <v>199</v>
      </c>
      <c r="J268" s="1">
        <f ca="1">IFERROR(__xludf.DUMMYFUNCTION("""COMPUTED_VALUE"""),64.2)</f>
        <v>64.2</v>
      </c>
      <c r="K268" s="1">
        <f ca="1">IFERROR(__xludf.DUMMYFUNCTION("""COMPUTED_VALUE"""),234)</f>
        <v>234</v>
      </c>
      <c r="L268" s="1">
        <f ca="1">IFERROR(__xludf.DUMMYFUNCTION("""COMPUTED_VALUE"""),-0.041)</f>
        <v>-4.1000000000000002E-2</v>
      </c>
      <c r="M268" s="1">
        <f ca="1">IFERROR(__xludf.DUMMYFUNCTION("""COMPUTED_VALUE"""),281)</f>
        <v>281</v>
      </c>
      <c r="N268" s="1" t="str">
        <f ca="1">IFERROR(__xludf.DUMMYFUNCTION("""COMPUTED_VALUE"""),"+2.95")</f>
        <v>+2.95</v>
      </c>
      <c r="O268" s="1">
        <f ca="1">IFERROR(__xludf.DUMMYFUNCTION("""COMPUTED_VALUE"""),92)</f>
        <v>92</v>
      </c>
      <c r="P268" s="1">
        <f ca="1">IFERROR(__xludf.DUMMYFUNCTION("""COMPUTED_VALUE"""),105)</f>
        <v>105</v>
      </c>
      <c r="Q268" s="1">
        <f ca="1">IFERROR(__xludf.DUMMYFUNCTION("""COMPUTED_VALUE"""),94)</f>
        <v>94</v>
      </c>
      <c r="R268" s="1">
        <f ca="1">IFERROR(__xludf.DUMMYFUNCTION("""COMPUTED_VALUE"""),102)</f>
        <v>102</v>
      </c>
      <c r="S268" s="1">
        <f ca="1">IFERROR(__xludf.DUMMYFUNCTION("""COMPUTED_VALUE"""),97)</f>
        <v>97</v>
      </c>
      <c r="T268" s="1">
        <f ca="1">IFERROR(__xludf.DUMMYFUNCTION("""COMPUTED_VALUE"""),-0.01)</f>
        <v>-0.01</v>
      </c>
      <c r="U268" s="1">
        <f ca="1">IFERROR(__xludf.DUMMYFUNCTION("""COMPUTED_VALUE"""),156)</f>
        <v>156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IFERROR(__xludf.DUMMYFUNCTION("""COMPUTED_VALUE"""),"Utah Valley")</f>
        <v>Utah Valley</v>
      </c>
      <c r="C269" s="1" t="str">
        <f ca="1">IFERROR(__xludf.DUMMYFUNCTION("""COMPUTED_VALUE"""),"GWC")</f>
        <v>GWC</v>
      </c>
      <c r="D269" s="1" t="str">
        <f ca="1">IFERROR(__xludf.DUMMYFUNCTION("""COMPUTED_VALUE"""),"19-11")</f>
        <v>19-11</v>
      </c>
      <c r="E269" s="1">
        <f ca="1">IFERROR(__xludf.DUMMYFUNCTION("""COMPUTED_VALUE"""),-8.02)</f>
        <v>-8.02</v>
      </c>
      <c r="F269" s="1">
        <f ca="1">IFERROR(__xludf.DUMMYFUNCTION("""COMPUTED_VALUE"""),100.8)</f>
        <v>100.8</v>
      </c>
      <c r="G269" s="1">
        <f ca="1">IFERROR(__xludf.DUMMYFUNCTION("""COMPUTED_VALUE"""),220)</f>
        <v>220</v>
      </c>
      <c r="H269" s="1">
        <f ca="1">IFERROR(__xludf.DUMMYFUNCTION("""COMPUTED_VALUE"""),108.8)</f>
        <v>108.8</v>
      </c>
      <c r="I269" s="1">
        <f ca="1">IFERROR(__xludf.DUMMYFUNCTION("""COMPUTED_VALUE"""),278)</f>
        <v>278</v>
      </c>
      <c r="J269" s="1">
        <f ca="1">IFERROR(__xludf.DUMMYFUNCTION("""COMPUTED_VALUE"""),65.3)</f>
        <v>65.3</v>
      </c>
      <c r="K269" s="1">
        <f ca="1">IFERROR(__xludf.DUMMYFUNCTION("""COMPUTED_VALUE"""),169)</f>
        <v>169</v>
      </c>
      <c r="L269" s="1" t="str">
        <f ca="1">IFERROR(__xludf.DUMMYFUNCTION("""COMPUTED_VALUE"""),"+.011")</f>
        <v>+.011</v>
      </c>
      <c r="M269" s="1">
        <f ca="1">IFERROR(__xludf.DUMMYFUNCTION("""COMPUTED_VALUE"""),148)</f>
        <v>148</v>
      </c>
      <c r="N269" s="1">
        <f ca="1">IFERROR(__xludf.DUMMYFUNCTION("""COMPUTED_VALUE"""),-12.11)</f>
        <v>-12.11</v>
      </c>
      <c r="O269" s="1">
        <f ca="1">IFERROR(__xludf.DUMMYFUNCTION("""COMPUTED_VALUE"""),342)</f>
        <v>342</v>
      </c>
      <c r="P269" s="1">
        <f ca="1">IFERROR(__xludf.DUMMYFUNCTION("""COMPUTED_VALUE"""),96.9)</f>
        <v>96.9</v>
      </c>
      <c r="Q269" s="1">
        <f ca="1">IFERROR(__xludf.DUMMYFUNCTION("""COMPUTED_VALUE"""),334)</f>
        <v>334</v>
      </c>
      <c r="R269" s="1">
        <f ca="1">IFERROR(__xludf.DUMMYFUNCTION("""COMPUTED_VALUE"""),109.1)</f>
        <v>109.1</v>
      </c>
      <c r="S269" s="1">
        <f ca="1">IFERROR(__xludf.DUMMYFUNCTION("""COMPUTED_VALUE"""),343)</f>
        <v>343</v>
      </c>
      <c r="T269" s="1">
        <f ca="1">IFERROR(__xludf.DUMMYFUNCTION("""COMPUTED_VALUE"""),-4.53)</f>
        <v>-4.53</v>
      </c>
      <c r="U269" s="1">
        <f ca="1">IFERROR(__xludf.DUMMYFUNCTION("""COMPUTED_VALUE"""),275)</f>
        <v>275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IFERROR(__xludf.DUMMYFUNCTION("""COMPUTED_VALUE"""),"UT Arlington")</f>
        <v>UT Arlington</v>
      </c>
      <c r="C270" s="1" t="str">
        <f ca="1">IFERROR(__xludf.DUMMYFUNCTION("""COMPUTED_VALUE"""),"Slnd")</f>
        <v>Slnd</v>
      </c>
      <c r="D270" s="1" t="str">
        <f ca="1">IFERROR(__xludf.DUMMYFUNCTION("""COMPUTED_VALUE"""),"13-16")</f>
        <v>13-16</v>
      </c>
      <c r="E270" s="1">
        <f ca="1">IFERROR(__xludf.DUMMYFUNCTION("""COMPUTED_VALUE"""),-8.13)</f>
        <v>-8.1300000000000008</v>
      </c>
      <c r="F270" s="1">
        <f ca="1">IFERROR(__xludf.DUMMYFUNCTION("""COMPUTED_VALUE"""),96.7)</f>
        <v>96.7</v>
      </c>
      <c r="G270" s="1">
        <f ca="1">IFERROR(__xludf.DUMMYFUNCTION("""COMPUTED_VALUE"""),281)</f>
        <v>281</v>
      </c>
      <c r="H270" s="1">
        <f ca="1">IFERROR(__xludf.DUMMYFUNCTION("""COMPUTED_VALUE"""),104.8)</f>
        <v>104.8</v>
      </c>
      <c r="I270" s="1">
        <f ca="1">IFERROR(__xludf.DUMMYFUNCTION("""COMPUTED_VALUE"""),208)</f>
        <v>208</v>
      </c>
      <c r="J270" s="1">
        <f ca="1">IFERROR(__xludf.DUMMYFUNCTION("""COMPUTED_VALUE"""),67.1)</f>
        <v>67.099999999999994</v>
      </c>
      <c r="K270" s="1">
        <f ca="1">IFERROR(__xludf.DUMMYFUNCTION("""COMPUTED_VALUE"""),75)</f>
        <v>75</v>
      </c>
      <c r="L270" s="1">
        <f ca="1">IFERROR(__xludf.DUMMYFUNCTION("""COMPUTED_VALUE"""),-0.072)</f>
        <v>-7.1999999999999995E-2</v>
      </c>
      <c r="M270" s="1">
        <f ca="1">IFERROR(__xludf.DUMMYFUNCTION("""COMPUTED_VALUE"""),321)</f>
        <v>321</v>
      </c>
      <c r="N270" s="1">
        <f ca="1">IFERROR(__xludf.DUMMYFUNCTION("""COMPUTED_VALUE"""),-5.79)</f>
        <v>-5.79</v>
      </c>
      <c r="O270" s="1">
        <f ca="1">IFERROR(__xludf.DUMMYFUNCTION("""COMPUTED_VALUE"""),297)</f>
        <v>297</v>
      </c>
      <c r="P270" s="1">
        <f ca="1">IFERROR(__xludf.DUMMYFUNCTION("""COMPUTED_VALUE"""),100.3)</f>
        <v>100.3</v>
      </c>
      <c r="Q270" s="1">
        <f ca="1">IFERROR(__xludf.DUMMYFUNCTION("""COMPUTED_VALUE"""),287)</f>
        <v>287</v>
      </c>
      <c r="R270" s="1">
        <f ca="1">IFERROR(__xludf.DUMMYFUNCTION("""COMPUTED_VALUE"""),106.1)</f>
        <v>106.1</v>
      </c>
      <c r="S270" s="1">
        <f ca="1">IFERROR(__xludf.DUMMYFUNCTION("""COMPUTED_VALUE"""),297)</f>
        <v>297</v>
      </c>
      <c r="T270" s="1" t="str">
        <f ca="1">IFERROR(__xludf.DUMMYFUNCTION("""COMPUTED_VALUE"""),"+0.33")</f>
        <v>+0.33</v>
      </c>
      <c r="U270" s="1">
        <f ca="1">IFERROR(__xludf.DUMMYFUNCTION("""COMPUTED_VALUE"""),151)</f>
        <v>151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IFERROR(__xludf.DUMMYFUNCTION("""COMPUTED_VALUE"""),"Southeastern Louisiana")</f>
        <v>Southeastern Louisiana</v>
      </c>
      <c r="C271" s="1" t="str">
        <f ca="1">IFERROR(__xludf.DUMMYFUNCTION("""COMPUTED_VALUE"""),"Slnd")</f>
        <v>Slnd</v>
      </c>
      <c r="D271" s="1" t="str">
        <f ca="1">IFERROR(__xludf.DUMMYFUNCTION("""COMPUTED_VALUE"""),"15-14")</f>
        <v>15-14</v>
      </c>
      <c r="E271" s="1">
        <f ca="1">IFERROR(__xludf.DUMMYFUNCTION("""COMPUTED_VALUE"""),-8.49)</f>
        <v>-8.49</v>
      </c>
      <c r="F271" s="1">
        <f ca="1">IFERROR(__xludf.DUMMYFUNCTION("""COMPUTED_VALUE"""),98.8)</f>
        <v>98.8</v>
      </c>
      <c r="G271" s="1">
        <f ca="1">IFERROR(__xludf.DUMMYFUNCTION("""COMPUTED_VALUE"""),254)</f>
        <v>254</v>
      </c>
      <c r="H271" s="1">
        <f ca="1">IFERROR(__xludf.DUMMYFUNCTION("""COMPUTED_VALUE"""),107.3)</f>
        <v>107.3</v>
      </c>
      <c r="I271" s="1">
        <f ca="1">IFERROR(__xludf.DUMMYFUNCTION("""COMPUTED_VALUE"""),254)</f>
        <v>254</v>
      </c>
      <c r="J271" s="1">
        <f ca="1">IFERROR(__xludf.DUMMYFUNCTION("""COMPUTED_VALUE"""),64.6)</f>
        <v>64.599999999999994</v>
      </c>
      <c r="K271" s="1">
        <f ca="1">IFERROR(__xludf.DUMMYFUNCTION("""COMPUTED_VALUE"""),211)</f>
        <v>211</v>
      </c>
      <c r="L271" s="1" t="str">
        <f ca="1">IFERROR(__xludf.DUMMYFUNCTION("""COMPUTED_VALUE"""),"+.066")</f>
        <v>+.066</v>
      </c>
      <c r="M271" s="1">
        <f ca="1">IFERROR(__xludf.DUMMYFUNCTION("""COMPUTED_VALUE"""),30)</f>
        <v>30</v>
      </c>
      <c r="N271" s="1">
        <f ca="1">IFERROR(__xludf.DUMMYFUNCTION("""COMPUTED_VALUE"""),-5.74)</f>
        <v>-5.74</v>
      </c>
      <c r="O271" s="1">
        <f ca="1">IFERROR(__xludf.DUMMYFUNCTION("""COMPUTED_VALUE"""),295)</f>
        <v>295</v>
      </c>
      <c r="P271" s="1">
        <f ca="1">IFERROR(__xludf.DUMMYFUNCTION("""COMPUTED_VALUE"""),99.8)</f>
        <v>99.8</v>
      </c>
      <c r="Q271" s="1">
        <f ca="1">IFERROR(__xludf.DUMMYFUNCTION("""COMPUTED_VALUE"""),303)</f>
        <v>303</v>
      </c>
      <c r="R271" s="1">
        <f ca="1">IFERROR(__xludf.DUMMYFUNCTION("""COMPUTED_VALUE"""),105.6)</f>
        <v>105.6</v>
      </c>
      <c r="S271" s="1">
        <f ca="1">IFERROR(__xludf.DUMMYFUNCTION("""COMPUTED_VALUE"""),266)</f>
        <v>266</v>
      </c>
      <c r="T271" s="1" t="str">
        <f ca="1">IFERROR(__xludf.DUMMYFUNCTION("""COMPUTED_VALUE"""),"+4.63")</f>
        <v>+4.63</v>
      </c>
      <c r="U271" s="1">
        <f ca="1">IFERROR(__xludf.DUMMYFUNCTION("""COMPUTED_VALUE"""),48)</f>
        <v>48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IFERROR(__xludf.DUMMYFUNCTION("""COMPUTED_VALUE"""),"Cal St. Fullerton")</f>
        <v>Cal St. Fullerton</v>
      </c>
      <c r="C272" s="1" t="str">
        <f ca="1">IFERROR(__xludf.DUMMYFUNCTION("""COMPUTED_VALUE"""),"BW")</f>
        <v>BW</v>
      </c>
      <c r="D272" s="2">
        <f ca="1">IFERROR(__xludf.DUMMYFUNCTION("""COMPUTED_VALUE"""),44885)</f>
        <v>44885</v>
      </c>
      <c r="E272" s="1">
        <f ca="1">IFERROR(__xludf.DUMMYFUNCTION("""COMPUTED_VALUE"""),-8.53)</f>
        <v>-8.5299999999999994</v>
      </c>
      <c r="F272" s="1">
        <f ca="1">IFERROR(__xludf.DUMMYFUNCTION("""COMPUTED_VALUE"""),104.8)</f>
        <v>104.8</v>
      </c>
      <c r="G272" s="1">
        <f ca="1">IFERROR(__xludf.DUMMYFUNCTION("""COMPUTED_VALUE"""),138)</f>
        <v>138</v>
      </c>
      <c r="H272" s="1">
        <f ca="1">IFERROR(__xludf.DUMMYFUNCTION("""COMPUTED_VALUE"""),113.3)</f>
        <v>113.3</v>
      </c>
      <c r="I272" s="1">
        <f ca="1">IFERROR(__xludf.DUMMYFUNCTION("""COMPUTED_VALUE"""),332)</f>
        <v>332</v>
      </c>
      <c r="J272" s="1">
        <f ca="1">IFERROR(__xludf.DUMMYFUNCTION("""COMPUTED_VALUE"""),67.5)</f>
        <v>67.5</v>
      </c>
      <c r="K272" s="1">
        <f ca="1">IFERROR(__xludf.DUMMYFUNCTION("""COMPUTED_VALUE"""),64)</f>
        <v>64</v>
      </c>
      <c r="L272" s="1" t="str">
        <f ca="1">IFERROR(__xludf.DUMMYFUNCTION("""COMPUTED_VALUE"""),"+.018")</f>
        <v>+.018</v>
      </c>
      <c r="M272" s="1">
        <f ca="1">IFERROR(__xludf.DUMMYFUNCTION("""COMPUTED_VALUE"""),137)</f>
        <v>137</v>
      </c>
      <c r="N272" s="1">
        <f ca="1">IFERROR(__xludf.DUMMYFUNCTION("""COMPUTED_VALUE"""),-3.02)</f>
        <v>-3.02</v>
      </c>
      <c r="O272" s="1">
        <f ca="1">IFERROR(__xludf.DUMMYFUNCTION("""COMPUTED_VALUE"""),229)</f>
        <v>229</v>
      </c>
      <c r="P272" s="1">
        <f ca="1">IFERROR(__xludf.DUMMYFUNCTION("""COMPUTED_VALUE"""),101.3)</f>
        <v>101.3</v>
      </c>
      <c r="Q272" s="1">
        <f ca="1">IFERROR(__xludf.DUMMYFUNCTION("""COMPUTED_VALUE"""),248)</f>
        <v>248</v>
      </c>
      <c r="R272" s="1">
        <f ca="1">IFERROR(__xludf.DUMMYFUNCTION("""COMPUTED_VALUE"""),104.3)</f>
        <v>104.3</v>
      </c>
      <c r="S272" s="1">
        <f ca="1">IFERROR(__xludf.DUMMYFUNCTION("""COMPUTED_VALUE"""),197)</f>
        <v>197</v>
      </c>
      <c r="T272" s="1">
        <f ca="1">IFERROR(__xludf.DUMMYFUNCTION("""COMPUTED_VALUE"""),-3.29)</f>
        <v>-3.29</v>
      </c>
      <c r="U272" s="1">
        <f ca="1">IFERROR(__xludf.DUMMYFUNCTION("""COMPUTED_VALUE"""),242)</f>
        <v>242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IFERROR(__xludf.DUMMYFUNCTION("""COMPUTED_VALUE"""),"Wake Forest")</f>
        <v>Wake Forest</v>
      </c>
      <c r="C273" s="1" t="str">
        <f ca="1">IFERROR(__xludf.DUMMYFUNCTION("""COMPUTED_VALUE"""),"ACC")</f>
        <v>ACC</v>
      </c>
      <c r="D273" s="2">
        <f ca="1">IFERROR(__xludf.DUMMYFUNCTION("""COMPUTED_VALUE"""),44797)</f>
        <v>44797</v>
      </c>
      <c r="E273" s="1">
        <f ca="1">IFERROR(__xludf.DUMMYFUNCTION("""COMPUTED_VALUE"""),-8.64)</f>
        <v>-8.64</v>
      </c>
      <c r="F273" s="1">
        <f ca="1">IFERROR(__xludf.DUMMYFUNCTION("""COMPUTED_VALUE"""),100.4)</f>
        <v>100.4</v>
      </c>
      <c r="G273" s="1">
        <f ca="1">IFERROR(__xludf.DUMMYFUNCTION("""COMPUTED_VALUE"""),229)</f>
        <v>229</v>
      </c>
      <c r="H273" s="1">
        <f ca="1">IFERROR(__xludf.DUMMYFUNCTION("""COMPUTED_VALUE"""),109)</f>
        <v>109</v>
      </c>
      <c r="I273" s="1">
        <f ca="1">IFERROR(__xludf.DUMMYFUNCTION("""COMPUTED_VALUE"""),282)</f>
        <v>282</v>
      </c>
      <c r="J273" s="1">
        <f ca="1">IFERROR(__xludf.DUMMYFUNCTION("""COMPUTED_VALUE"""),68.9)</f>
        <v>68.900000000000006</v>
      </c>
      <c r="K273" s="1">
        <f ca="1">IFERROR(__xludf.DUMMYFUNCTION("""COMPUTED_VALUE"""),35)</f>
        <v>35</v>
      </c>
      <c r="L273" s="1" t="str">
        <f ca="1">IFERROR(__xludf.DUMMYFUNCTION("""COMPUTED_VALUE"""),"+.009")</f>
        <v>+.009</v>
      </c>
      <c r="M273" s="1">
        <f ca="1">IFERROR(__xludf.DUMMYFUNCTION("""COMPUTED_VALUE"""),154)</f>
        <v>154</v>
      </c>
      <c r="N273" s="1" t="str">
        <f ca="1">IFERROR(__xludf.DUMMYFUNCTION("""COMPUTED_VALUE"""),"+4.92")</f>
        <v>+4.92</v>
      </c>
      <c r="O273" s="1">
        <f ca="1">IFERROR(__xludf.DUMMYFUNCTION("""COMPUTED_VALUE"""),69)</f>
        <v>69</v>
      </c>
      <c r="P273" s="1">
        <f ca="1">IFERROR(__xludf.DUMMYFUNCTION("""COMPUTED_VALUE"""),105.5)</f>
        <v>105.5</v>
      </c>
      <c r="Q273" s="1">
        <f ca="1">IFERROR(__xludf.DUMMYFUNCTION("""COMPUTED_VALUE"""),83)</f>
        <v>83</v>
      </c>
      <c r="R273" s="1">
        <f ca="1">IFERROR(__xludf.DUMMYFUNCTION("""COMPUTED_VALUE"""),100.6)</f>
        <v>100.6</v>
      </c>
      <c r="S273" s="1">
        <f ca="1">IFERROR(__xludf.DUMMYFUNCTION("""COMPUTED_VALUE"""),63)</f>
        <v>63</v>
      </c>
      <c r="T273" s="1">
        <f ca="1">IFERROR(__xludf.DUMMYFUNCTION("""COMPUTED_VALUE"""),-6.27)</f>
        <v>-6.27</v>
      </c>
      <c r="U273" s="1">
        <f ca="1">IFERROR(__xludf.DUMMYFUNCTION("""COMPUTED_VALUE"""),314)</f>
        <v>314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IFERROR(__xludf.DUMMYFUNCTION("""COMPUTED_VALUE"""),"Southern Utah")</f>
        <v>Southern Utah</v>
      </c>
      <c r="C274" s="1" t="str">
        <f ca="1">IFERROR(__xludf.DUMMYFUNCTION("""COMPUTED_VALUE"""),"Sum")</f>
        <v>Sum</v>
      </c>
      <c r="D274" s="2">
        <f ca="1">IFERROR(__xludf.DUMMYFUNCTION("""COMPUTED_VALUE"""),44884)</f>
        <v>44884</v>
      </c>
      <c r="E274" s="1">
        <f ca="1">IFERROR(__xludf.DUMMYFUNCTION("""COMPUTED_VALUE"""),-8.93)</f>
        <v>-8.93</v>
      </c>
      <c r="F274" s="1">
        <f ca="1">IFERROR(__xludf.DUMMYFUNCTION("""COMPUTED_VALUE"""),100.6)</f>
        <v>100.6</v>
      </c>
      <c r="G274" s="1">
        <f ca="1">IFERROR(__xludf.DUMMYFUNCTION("""COMPUTED_VALUE"""),224)</f>
        <v>224</v>
      </c>
      <c r="H274" s="1">
        <f ca="1">IFERROR(__xludf.DUMMYFUNCTION("""COMPUTED_VALUE"""),109.5)</f>
        <v>109.5</v>
      </c>
      <c r="I274" s="1">
        <f ca="1">IFERROR(__xludf.DUMMYFUNCTION("""COMPUTED_VALUE"""),290)</f>
        <v>290</v>
      </c>
      <c r="J274" s="1">
        <f ca="1">IFERROR(__xludf.DUMMYFUNCTION("""COMPUTED_VALUE"""),66.3)</f>
        <v>66.3</v>
      </c>
      <c r="K274" s="1">
        <f ca="1">IFERROR(__xludf.DUMMYFUNCTION("""COMPUTED_VALUE"""),112)</f>
        <v>112</v>
      </c>
      <c r="L274" s="1">
        <f ca="1">IFERROR(__xludf.DUMMYFUNCTION("""COMPUTED_VALUE"""),-0.013)</f>
        <v>-1.2999999999999999E-2</v>
      </c>
      <c r="M274" s="1">
        <f ca="1">IFERROR(__xludf.DUMMYFUNCTION("""COMPUTED_VALUE"""),209)</f>
        <v>209</v>
      </c>
      <c r="N274" s="1">
        <f ca="1">IFERROR(__xludf.DUMMYFUNCTION("""COMPUTED_VALUE"""),-3.05)</f>
        <v>-3.05</v>
      </c>
      <c r="O274" s="1">
        <f ca="1">IFERROR(__xludf.DUMMYFUNCTION("""COMPUTED_VALUE"""),231)</f>
        <v>231</v>
      </c>
      <c r="P274" s="1">
        <f ca="1">IFERROR(__xludf.DUMMYFUNCTION("""COMPUTED_VALUE"""),104.1)</f>
        <v>104.1</v>
      </c>
      <c r="Q274" s="1">
        <f ca="1">IFERROR(__xludf.DUMMYFUNCTION("""COMPUTED_VALUE"""),128)</f>
        <v>128</v>
      </c>
      <c r="R274" s="1">
        <f ca="1">IFERROR(__xludf.DUMMYFUNCTION("""COMPUTED_VALUE"""),107.2)</f>
        <v>107.2</v>
      </c>
      <c r="S274" s="1">
        <f ca="1">IFERROR(__xludf.DUMMYFUNCTION("""COMPUTED_VALUE"""),330)</f>
        <v>330</v>
      </c>
      <c r="T274" s="1">
        <f ca="1">IFERROR(__xludf.DUMMYFUNCTION("""COMPUTED_VALUE"""),-4.27)</f>
        <v>-4.2699999999999996</v>
      </c>
      <c r="U274" s="1">
        <f ca="1">IFERROR(__xludf.DUMMYFUNCTION("""COMPUTED_VALUE"""),271)</f>
        <v>271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IFERROR(__xludf.DUMMYFUNCTION("""COMPUTED_VALUE"""),"Northwestern St.")</f>
        <v>Northwestern St.</v>
      </c>
      <c r="C275" s="1" t="str">
        <f ca="1">IFERROR(__xludf.DUMMYFUNCTION("""COMPUTED_VALUE"""),"Slnd")</f>
        <v>Slnd</v>
      </c>
      <c r="D275" s="1" t="str">
        <f ca="1">IFERROR(__xludf.DUMMYFUNCTION("""COMPUTED_VALUE"""),"18-14")</f>
        <v>18-14</v>
      </c>
      <c r="E275" s="1">
        <f ca="1">IFERROR(__xludf.DUMMYFUNCTION("""COMPUTED_VALUE"""),-8.98)</f>
        <v>-8.98</v>
      </c>
      <c r="F275" s="1">
        <f ca="1">IFERROR(__xludf.DUMMYFUNCTION("""COMPUTED_VALUE"""),101.1)</f>
        <v>101.1</v>
      </c>
      <c r="G275" s="1">
        <f ca="1">IFERROR(__xludf.DUMMYFUNCTION("""COMPUTED_VALUE"""),214)</f>
        <v>214</v>
      </c>
      <c r="H275" s="1">
        <f ca="1">IFERROR(__xludf.DUMMYFUNCTION("""COMPUTED_VALUE"""),110.1)</f>
        <v>110.1</v>
      </c>
      <c r="I275" s="1">
        <f ca="1">IFERROR(__xludf.DUMMYFUNCTION("""COMPUTED_VALUE"""),300)</f>
        <v>300</v>
      </c>
      <c r="J275" s="1">
        <f ca="1">IFERROR(__xludf.DUMMYFUNCTION("""COMPUTED_VALUE"""),71.1)</f>
        <v>71.099999999999994</v>
      </c>
      <c r="K275" s="1">
        <f ca="1">IFERROR(__xludf.DUMMYFUNCTION("""COMPUTED_VALUE"""),10)</f>
        <v>10</v>
      </c>
      <c r="L275" s="1" t="str">
        <f ca="1">IFERROR(__xludf.DUMMYFUNCTION("""COMPUTED_VALUE"""),"+.101")</f>
        <v>+.101</v>
      </c>
      <c r="M275" s="1">
        <f ca="1">IFERROR(__xludf.DUMMYFUNCTION("""COMPUTED_VALUE"""),13)</f>
        <v>13</v>
      </c>
      <c r="N275" s="1">
        <f ca="1">IFERROR(__xludf.DUMMYFUNCTION("""COMPUTED_VALUE"""),-8.15)</f>
        <v>-8.15</v>
      </c>
      <c r="O275" s="1">
        <f ca="1">IFERROR(__xludf.DUMMYFUNCTION("""COMPUTED_VALUE"""),321)</f>
        <v>321</v>
      </c>
      <c r="P275" s="1">
        <f ca="1">IFERROR(__xludf.DUMMYFUNCTION("""COMPUTED_VALUE"""),98.4)</f>
        <v>98.4</v>
      </c>
      <c r="Q275" s="1">
        <f ca="1">IFERROR(__xludf.DUMMYFUNCTION("""COMPUTED_VALUE"""),322)</f>
        <v>322</v>
      </c>
      <c r="R275" s="1">
        <f ca="1">IFERROR(__xludf.DUMMYFUNCTION("""COMPUTED_VALUE"""),106.5)</f>
        <v>106.5</v>
      </c>
      <c r="S275" s="1">
        <f ca="1">IFERROR(__xludf.DUMMYFUNCTION("""COMPUTED_VALUE"""),314)</f>
        <v>314</v>
      </c>
      <c r="T275" s="1">
        <f ca="1">IFERROR(__xludf.DUMMYFUNCTION("""COMPUTED_VALUE"""),-6.16)</f>
        <v>-6.16</v>
      </c>
      <c r="U275" s="1">
        <f ca="1">IFERROR(__xludf.DUMMYFUNCTION("""COMPUTED_VALUE"""),311)</f>
        <v>311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IFERROR(__xludf.DUMMYFUNCTION("""COMPUTED_VALUE"""),"Eastern Washington")</f>
        <v>Eastern Washington</v>
      </c>
      <c r="C276" s="1" t="str">
        <f ca="1">IFERROR(__xludf.DUMMYFUNCTION("""COMPUTED_VALUE"""),"BSky")</f>
        <v>BSky</v>
      </c>
      <c r="D276" s="2">
        <f ca="1">IFERROR(__xludf.DUMMYFUNCTION("""COMPUTED_VALUE"""),44854)</f>
        <v>44854</v>
      </c>
      <c r="E276" s="1">
        <f ca="1">IFERROR(__xludf.DUMMYFUNCTION("""COMPUTED_VALUE"""),-9.04)</f>
        <v>-9.0399999999999991</v>
      </c>
      <c r="F276" s="1">
        <f ca="1">IFERROR(__xludf.DUMMYFUNCTION("""COMPUTED_VALUE"""),99.1)</f>
        <v>99.1</v>
      </c>
      <c r="G276" s="1">
        <f ca="1">IFERROR(__xludf.DUMMYFUNCTION("""COMPUTED_VALUE"""),251)</f>
        <v>251</v>
      </c>
      <c r="H276" s="1">
        <f ca="1">IFERROR(__xludf.DUMMYFUNCTION("""COMPUTED_VALUE"""),108.1)</f>
        <v>108.1</v>
      </c>
      <c r="I276" s="1">
        <f ca="1">IFERROR(__xludf.DUMMYFUNCTION("""COMPUTED_VALUE"""),267)</f>
        <v>267</v>
      </c>
      <c r="J276" s="1">
        <f ca="1">IFERROR(__xludf.DUMMYFUNCTION("""COMPUTED_VALUE"""),63.7)</f>
        <v>63.7</v>
      </c>
      <c r="K276" s="1">
        <f ca="1">IFERROR(__xludf.DUMMYFUNCTION("""COMPUTED_VALUE"""),252)</f>
        <v>252</v>
      </c>
      <c r="L276" s="1">
        <f ca="1">IFERROR(__xludf.DUMMYFUNCTION("""COMPUTED_VALUE"""),-0.031)</f>
        <v>-3.1E-2</v>
      </c>
      <c r="M276" s="1">
        <f ca="1">IFERROR(__xludf.DUMMYFUNCTION("""COMPUTED_VALUE"""),262)</f>
        <v>262</v>
      </c>
      <c r="N276" s="1">
        <f ca="1">IFERROR(__xludf.DUMMYFUNCTION("""COMPUTED_VALUE"""),-2.02)</f>
        <v>-2.02</v>
      </c>
      <c r="O276" s="1">
        <f ca="1">IFERROR(__xludf.DUMMYFUNCTION("""COMPUTED_VALUE"""),199)</f>
        <v>199</v>
      </c>
      <c r="P276" s="1">
        <f ca="1">IFERROR(__xludf.DUMMYFUNCTION("""COMPUTED_VALUE"""),102.7)</f>
        <v>102.7</v>
      </c>
      <c r="Q276" s="1">
        <f ca="1">IFERROR(__xludf.DUMMYFUNCTION("""COMPUTED_VALUE"""),191)</f>
        <v>191</v>
      </c>
      <c r="R276" s="1">
        <f ca="1">IFERROR(__xludf.DUMMYFUNCTION("""COMPUTED_VALUE"""),104.7)</f>
        <v>104.7</v>
      </c>
      <c r="S276" s="1">
        <f ca="1">IFERROR(__xludf.DUMMYFUNCTION("""COMPUTED_VALUE"""),216)</f>
        <v>216</v>
      </c>
      <c r="T276" s="1" t="str">
        <f ca="1">IFERROR(__xludf.DUMMYFUNCTION("""COMPUTED_VALUE"""),"+1.97")</f>
        <v>+1.97</v>
      </c>
      <c r="U276" s="1">
        <f ca="1">IFERROR(__xludf.DUMMYFUNCTION("""COMPUTED_VALUE"""),95)</f>
        <v>95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IFERROR(__xludf.DUMMYFUNCTION("""COMPUTED_VALUE"""),"Savannah St.")</f>
        <v>Savannah St.</v>
      </c>
      <c r="C277" s="1" t="str">
        <f ca="1">IFERROR(__xludf.DUMMYFUNCTION("""COMPUTED_VALUE"""),"ind")</f>
        <v>ind</v>
      </c>
      <c r="D277" s="2">
        <f ca="1">IFERROR(__xludf.DUMMYFUNCTION("""COMPUTED_VALUE"""),44913)</f>
        <v>44913</v>
      </c>
      <c r="E277" s="1">
        <f ca="1">IFERROR(__xludf.DUMMYFUNCTION("""COMPUTED_VALUE"""),-9.14)</f>
        <v>-9.14</v>
      </c>
      <c r="F277" s="1">
        <f ca="1">IFERROR(__xludf.DUMMYFUNCTION("""COMPUTED_VALUE"""),91.1)</f>
        <v>91.1</v>
      </c>
      <c r="G277" s="1">
        <f ca="1">IFERROR(__xludf.DUMMYFUNCTION("""COMPUTED_VALUE"""),328)</f>
        <v>328</v>
      </c>
      <c r="H277" s="1">
        <f ca="1">IFERROR(__xludf.DUMMYFUNCTION("""COMPUTED_VALUE"""),100.3)</f>
        <v>100.3</v>
      </c>
      <c r="I277" s="1">
        <f ca="1">IFERROR(__xludf.DUMMYFUNCTION("""COMPUTED_VALUE"""),108)</f>
        <v>108</v>
      </c>
      <c r="J277" s="1">
        <f ca="1">IFERROR(__xludf.DUMMYFUNCTION("""COMPUTED_VALUE"""),62)</f>
        <v>62</v>
      </c>
      <c r="K277" s="1">
        <f ca="1">IFERROR(__xludf.DUMMYFUNCTION("""COMPUTED_VALUE"""),310)</f>
        <v>310</v>
      </c>
      <c r="L277" s="1" t="str">
        <f ca="1">IFERROR(__xludf.DUMMYFUNCTION("""COMPUTED_VALUE"""),"+.030")</f>
        <v>+.030</v>
      </c>
      <c r="M277" s="1">
        <f ca="1">IFERROR(__xludf.DUMMYFUNCTION("""COMPUTED_VALUE"""),104)</f>
        <v>104</v>
      </c>
      <c r="N277" s="1">
        <f ca="1">IFERROR(__xludf.DUMMYFUNCTION("""COMPUTED_VALUE"""),-0.26)</f>
        <v>-0.26</v>
      </c>
      <c r="O277" s="1">
        <f ca="1">IFERROR(__xludf.DUMMYFUNCTION("""COMPUTED_VALUE"""),158)</f>
        <v>158</v>
      </c>
      <c r="P277" s="1">
        <f ca="1">IFERROR(__xludf.DUMMYFUNCTION("""COMPUTED_VALUE"""),102.1)</f>
        <v>102.1</v>
      </c>
      <c r="Q277" s="1">
        <f ca="1">IFERROR(__xludf.DUMMYFUNCTION("""COMPUTED_VALUE"""),214)</f>
        <v>214</v>
      </c>
      <c r="R277" s="1">
        <f ca="1">IFERROR(__xludf.DUMMYFUNCTION("""COMPUTED_VALUE"""),102.4)</f>
        <v>102.4</v>
      </c>
      <c r="S277" s="1">
        <f ca="1">IFERROR(__xludf.DUMMYFUNCTION("""COMPUTED_VALUE"""),109)</f>
        <v>109</v>
      </c>
      <c r="T277" s="1" t="str">
        <f ca="1">IFERROR(__xludf.DUMMYFUNCTION("""COMPUTED_VALUE"""),"+2.11")</f>
        <v>+2.11</v>
      </c>
      <c r="U277" s="1">
        <f ca="1">IFERROR(__xludf.DUMMYFUNCTION("""COMPUTED_VALUE"""),91)</f>
        <v>91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IFERROR(__xludf.DUMMYFUNCTION("""COMPUTED_VALUE"""),"Sacred Heart")</f>
        <v>Sacred Heart</v>
      </c>
      <c r="C278" s="1" t="str">
        <f ca="1">IFERROR(__xludf.DUMMYFUNCTION("""COMPUTED_VALUE"""),"NEC")</f>
        <v>NEC</v>
      </c>
      <c r="D278" s="2">
        <f ca="1">IFERROR(__xludf.DUMMYFUNCTION("""COMPUTED_VALUE"""),44883)</f>
        <v>44883</v>
      </c>
      <c r="E278" s="1">
        <f ca="1">IFERROR(__xludf.DUMMYFUNCTION("""COMPUTED_VALUE"""),-9.35)</f>
        <v>-9.35</v>
      </c>
      <c r="F278" s="1">
        <f ca="1">IFERROR(__xludf.DUMMYFUNCTION("""COMPUTED_VALUE"""),99.2)</f>
        <v>99.2</v>
      </c>
      <c r="G278" s="1">
        <f ca="1">IFERROR(__xludf.DUMMYFUNCTION("""COMPUTED_VALUE"""),245)</f>
        <v>245</v>
      </c>
      <c r="H278" s="1">
        <f ca="1">IFERROR(__xludf.DUMMYFUNCTION("""COMPUTED_VALUE"""),108.6)</f>
        <v>108.6</v>
      </c>
      <c r="I278" s="1">
        <f ca="1">IFERROR(__xludf.DUMMYFUNCTION("""COMPUTED_VALUE"""),275)</f>
        <v>275</v>
      </c>
      <c r="J278" s="1">
        <f ca="1">IFERROR(__xludf.DUMMYFUNCTION("""COMPUTED_VALUE"""),65.4)</f>
        <v>65.400000000000006</v>
      </c>
      <c r="K278" s="1">
        <f ca="1">IFERROR(__xludf.DUMMYFUNCTION("""COMPUTED_VALUE"""),168)</f>
        <v>168</v>
      </c>
      <c r="L278" s="1">
        <f ca="1">IFERROR(__xludf.DUMMYFUNCTION("""COMPUTED_VALUE"""),-0.013)</f>
        <v>-1.2999999999999999E-2</v>
      </c>
      <c r="M278" s="1">
        <f ca="1">IFERROR(__xludf.DUMMYFUNCTION("""COMPUTED_VALUE"""),212)</f>
        <v>212</v>
      </c>
      <c r="N278" s="1">
        <f ca="1">IFERROR(__xludf.DUMMYFUNCTION("""COMPUTED_VALUE"""),-5.38)</f>
        <v>-5.38</v>
      </c>
      <c r="O278" s="1">
        <f ca="1">IFERROR(__xludf.DUMMYFUNCTION("""COMPUTED_VALUE"""),287)</f>
        <v>287</v>
      </c>
      <c r="P278" s="1">
        <f ca="1">IFERROR(__xludf.DUMMYFUNCTION("""COMPUTED_VALUE"""),99.4)</f>
        <v>99.4</v>
      </c>
      <c r="Q278" s="1">
        <f ca="1">IFERROR(__xludf.DUMMYFUNCTION("""COMPUTED_VALUE"""),312)</f>
        <v>312</v>
      </c>
      <c r="R278" s="1">
        <f ca="1">IFERROR(__xludf.DUMMYFUNCTION("""COMPUTED_VALUE"""),104.8)</f>
        <v>104.8</v>
      </c>
      <c r="S278" s="1">
        <f ca="1">IFERROR(__xludf.DUMMYFUNCTION("""COMPUTED_VALUE"""),224)</f>
        <v>224</v>
      </c>
      <c r="T278" s="1">
        <f ca="1">IFERROR(__xludf.DUMMYFUNCTION("""COMPUTED_VALUE"""),-2.67)</f>
        <v>-2.67</v>
      </c>
      <c r="U278" s="1">
        <f ca="1">IFERROR(__xludf.DUMMYFUNCTION("""COMPUTED_VALUE"""),227)</f>
        <v>227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IFERROR(__xludf.DUMMYFUNCTION("""COMPUTED_VALUE"""),"UC Riverside")</f>
        <v>UC Riverside</v>
      </c>
      <c r="C279" s="1" t="str">
        <f ca="1">IFERROR(__xludf.DUMMYFUNCTION("""COMPUTED_VALUE"""),"BW")</f>
        <v>BW</v>
      </c>
      <c r="D279" s="2">
        <f ca="1">IFERROR(__xludf.DUMMYFUNCTION("""COMPUTED_VALUE"""),44914)</f>
        <v>44914</v>
      </c>
      <c r="E279" s="1">
        <f ca="1">IFERROR(__xludf.DUMMYFUNCTION("""COMPUTED_VALUE"""),-9.36)</f>
        <v>-9.36</v>
      </c>
      <c r="F279" s="1">
        <f ca="1">IFERROR(__xludf.DUMMYFUNCTION("""COMPUTED_VALUE"""),97.8)</f>
        <v>97.8</v>
      </c>
      <c r="G279" s="1">
        <f ca="1">IFERROR(__xludf.DUMMYFUNCTION("""COMPUTED_VALUE"""),267)</f>
        <v>267</v>
      </c>
      <c r="H279" s="1">
        <f ca="1">IFERROR(__xludf.DUMMYFUNCTION("""COMPUTED_VALUE"""),107.2)</f>
        <v>107.2</v>
      </c>
      <c r="I279" s="1">
        <f ca="1">IFERROR(__xludf.DUMMYFUNCTION("""COMPUTED_VALUE"""),249)</f>
        <v>249</v>
      </c>
      <c r="J279" s="1">
        <f ca="1">IFERROR(__xludf.DUMMYFUNCTION("""COMPUTED_VALUE"""),64.8)</f>
        <v>64.8</v>
      </c>
      <c r="K279" s="1">
        <f ca="1">IFERROR(__xludf.DUMMYFUNCTION("""COMPUTED_VALUE"""),200)</f>
        <v>200</v>
      </c>
      <c r="L279" s="1" t="str">
        <f ca="1">IFERROR(__xludf.DUMMYFUNCTION("""COMPUTED_VALUE"""),"+.062")</f>
        <v>+.062</v>
      </c>
      <c r="M279" s="1">
        <f ca="1">IFERROR(__xludf.DUMMYFUNCTION("""COMPUTED_VALUE"""),35)</f>
        <v>35</v>
      </c>
      <c r="N279" s="1">
        <f ca="1">IFERROR(__xludf.DUMMYFUNCTION("""COMPUTED_VALUE"""),-1)</f>
        <v>-1</v>
      </c>
      <c r="O279" s="1">
        <f ca="1">IFERROR(__xludf.DUMMYFUNCTION("""COMPUTED_VALUE"""),170)</f>
        <v>170</v>
      </c>
      <c r="P279" s="1">
        <f ca="1">IFERROR(__xludf.DUMMYFUNCTION("""COMPUTED_VALUE"""),103.5)</f>
        <v>103.5</v>
      </c>
      <c r="Q279" s="1">
        <f ca="1">IFERROR(__xludf.DUMMYFUNCTION("""COMPUTED_VALUE"""),156)</f>
        <v>156</v>
      </c>
      <c r="R279" s="1">
        <f ca="1">IFERROR(__xludf.DUMMYFUNCTION("""COMPUTED_VALUE"""),104.5)</f>
        <v>104.5</v>
      </c>
      <c r="S279" s="1">
        <f ca="1">IFERROR(__xludf.DUMMYFUNCTION("""COMPUTED_VALUE"""),209)</f>
        <v>209</v>
      </c>
      <c r="T279" s="1" t="str">
        <f ca="1">IFERROR(__xludf.DUMMYFUNCTION("""COMPUTED_VALUE"""),"+0.76")</f>
        <v>+0.76</v>
      </c>
      <c r="U279" s="1">
        <f ca="1">IFERROR(__xludf.DUMMYFUNCTION("""COMPUTED_VALUE"""),134)</f>
        <v>134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IFERROR(__xludf.DUMMYFUNCTION("""COMPUTED_VALUE"""),"Chattanooga")</f>
        <v>Chattanooga</v>
      </c>
      <c r="C280" s="1" t="str">
        <f ca="1">IFERROR(__xludf.DUMMYFUNCTION("""COMPUTED_VALUE"""),"SC")</f>
        <v>SC</v>
      </c>
      <c r="D280" s="1" t="str">
        <f ca="1">IFERROR(__xludf.DUMMYFUNCTION("""COMPUTED_VALUE"""),"16-16")</f>
        <v>16-16</v>
      </c>
      <c r="E280" s="1">
        <f ca="1">IFERROR(__xludf.DUMMYFUNCTION("""COMPUTED_VALUE"""),-9.36)</f>
        <v>-9.36</v>
      </c>
      <c r="F280" s="1">
        <f ca="1">IFERROR(__xludf.DUMMYFUNCTION("""COMPUTED_VALUE"""),99.1)</f>
        <v>99.1</v>
      </c>
      <c r="G280" s="1">
        <f ca="1">IFERROR(__xludf.DUMMYFUNCTION("""COMPUTED_VALUE"""),249)</f>
        <v>249</v>
      </c>
      <c r="H280" s="1">
        <f ca="1">IFERROR(__xludf.DUMMYFUNCTION("""COMPUTED_VALUE"""),108.5)</f>
        <v>108.5</v>
      </c>
      <c r="I280" s="1">
        <f ca="1">IFERROR(__xludf.DUMMYFUNCTION("""COMPUTED_VALUE"""),274)</f>
        <v>274</v>
      </c>
      <c r="J280" s="1">
        <f ca="1">IFERROR(__xludf.DUMMYFUNCTION("""COMPUTED_VALUE"""),68.1)</f>
        <v>68.099999999999994</v>
      </c>
      <c r="K280" s="1">
        <f ca="1">IFERROR(__xludf.DUMMYFUNCTION("""COMPUTED_VALUE"""),49)</f>
        <v>49</v>
      </c>
      <c r="L280" s="1" t="str">
        <f ca="1">IFERROR(__xludf.DUMMYFUNCTION("""COMPUTED_VALUE"""),"+.135")</f>
        <v>+.135</v>
      </c>
      <c r="M280" s="1">
        <f ca="1">IFERROR(__xludf.DUMMYFUNCTION("""COMPUTED_VALUE"""),3)</f>
        <v>3</v>
      </c>
      <c r="N280" s="1">
        <f ca="1">IFERROR(__xludf.DUMMYFUNCTION("""COMPUTED_VALUE"""),-2.41)</f>
        <v>-2.41</v>
      </c>
      <c r="O280" s="1">
        <f ca="1">IFERROR(__xludf.DUMMYFUNCTION("""COMPUTED_VALUE"""),211)</f>
        <v>211</v>
      </c>
      <c r="P280" s="1">
        <f ca="1">IFERROR(__xludf.DUMMYFUNCTION("""COMPUTED_VALUE"""),102.8)</f>
        <v>102.8</v>
      </c>
      <c r="Q280" s="1">
        <f ca="1">IFERROR(__xludf.DUMMYFUNCTION("""COMPUTED_VALUE"""),185)</f>
        <v>185</v>
      </c>
      <c r="R280" s="1">
        <f ca="1">IFERROR(__xludf.DUMMYFUNCTION("""COMPUTED_VALUE"""),105.2)</f>
        <v>105.2</v>
      </c>
      <c r="S280" s="1">
        <f ca="1">IFERROR(__xludf.DUMMYFUNCTION("""COMPUTED_VALUE"""),244)</f>
        <v>244</v>
      </c>
      <c r="T280" s="1" t="str">
        <f ca="1">IFERROR(__xludf.DUMMYFUNCTION("""COMPUTED_VALUE"""),"+1.73")</f>
        <v>+1.73</v>
      </c>
      <c r="U280" s="1">
        <f ca="1">IFERROR(__xludf.DUMMYFUNCTION("""COMPUTED_VALUE"""),102)</f>
        <v>102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IFERROR(__xludf.DUMMYFUNCTION("""COMPUTED_VALUE"""),"Portland St.")</f>
        <v>Portland St.</v>
      </c>
      <c r="C281" s="1" t="str">
        <f ca="1">IFERROR(__xludf.DUMMYFUNCTION("""COMPUTED_VALUE"""),"BSky")</f>
        <v>BSky</v>
      </c>
      <c r="D281" s="1" t="str">
        <f ca="1">IFERROR(__xludf.DUMMYFUNCTION("""COMPUTED_VALUE"""),"14-16")</f>
        <v>14-16</v>
      </c>
      <c r="E281" s="1">
        <f ca="1">IFERROR(__xludf.DUMMYFUNCTION("""COMPUTED_VALUE"""),-9.51)</f>
        <v>-9.51</v>
      </c>
      <c r="F281" s="1">
        <f ca="1">IFERROR(__xludf.DUMMYFUNCTION("""COMPUTED_VALUE"""),104.2)</f>
        <v>104.2</v>
      </c>
      <c r="G281" s="1">
        <f ca="1">IFERROR(__xludf.DUMMYFUNCTION("""COMPUTED_VALUE"""),153)</f>
        <v>153</v>
      </c>
      <c r="H281" s="1">
        <f ca="1">IFERROR(__xludf.DUMMYFUNCTION("""COMPUTED_VALUE"""),113.7)</f>
        <v>113.7</v>
      </c>
      <c r="I281" s="1">
        <f ca="1">IFERROR(__xludf.DUMMYFUNCTION("""COMPUTED_VALUE"""),336)</f>
        <v>336</v>
      </c>
      <c r="J281" s="1">
        <f ca="1">IFERROR(__xludf.DUMMYFUNCTION("""COMPUTED_VALUE"""),66.8)</f>
        <v>66.8</v>
      </c>
      <c r="K281" s="1">
        <f ca="1">IFERROR(__xludf.DUMMYFUNCTION("""COMPUTED_VALUE"""),89)</f>
        <v>89</v>
      </c>
      <c r="L281" s="1" t="str">
        <f ca="1">IFERROR(__xludf.DUMMYFUNCTION("""COMPUTED_VALUE"""),"+.064")</f>
        <v>+.064</v>
      </c>
      <c r="M281" s="1">
        <f ca="1">IFERROR(__xludf.DUMMYFUNCTION("""COMPUTED_VALUE"""),31)</f>
        <v>31</v>
      </c>
      <c r="N281" s="1">
        <f ca="1">IFERROR(__xludf.DUMMYFUNCTION("""COMPUTED_VALUE"""),-5.54)</f>
        <v>-5.54</v>
      </c>
      <c r="O281" s="1">
        <f ca="1">IFERROR(__xludf.DUMMYFUNCTION("""COMPUTED_VALUE"""),289)</f>
        <v>289</v>
      </c>
      <c r="P281" s="1">
        <f ca="1">IFERROR(__xludf.DUMMYFUNCTION("""COMPUTED_VALUE"""),100.8)</f>
        <v>100.8</v>
      </c>
      <c r="Q281" s="1">
        <f ca="1">IFERROR(__xludf.DUMMYFUNCTION("""COMPUTED_VALUE"""),263)</f>
        <v>263</v>
      </c>
      <c r="R281" s="1">
        <f ca="1">IFERROR(__xludf.DUMMYFUNCTION("""COMPUTED_VALUE"""),106.4)</f>
        <v>106.4</v>
      </c>
      <c r="S281" s="1">
        <f ca="1">IFERROR(__xludf.DUMMYFUNCTION("""COMPUTED_VALUE"""),311)</f>
        <v>311</v>
      </c>
      <c r="T281" s="1">
        <f ca="1">IFERROR(__xludf.DUMMYFUNCTION("""COMPUTED_VALUE"""),-6.28)</f>
        <v>-6.28</v>
      </c>
      <c r="U281" s="1">
        <f ca="1">IFERROR(__xludf.DUMMYFUNCTION("""COMPUTED_VALUE"""),315)</f>
        <v>315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IFERROR(__xludf.DUMMYFUNCTION("""COMPUTED_VALUE"""),"Coppin St.")</f>
        <v>Coppin St.</v>
      </c>
      <c r="C282" s="1" t="str">
        <f ca="1">IFERROR(__xludf.DUMMYFUNCTION("""COMPUTED_VALUE"""),"MEAC")</f>
        <v>MEAC</v>
      </c>
      <c r="D282" s="1" t="str">
        <f ca="1">IFERROR(__xludf.DUMMYFUNCTION("""COMPUTED_VALUE"""),"16-14")</f>
        <v>16-14</v>
      </c>
      <c r="E282" s="1">
        <f ca="1">IFERROR(__xludf.DUMMYFUNCTION("""COMPUTED_VALUE"""),-9.6)</f>
        <v>-9.6</v>
      </c>
      <c r="F282" s="1">
        <f ca="1">IFERROR(__xludf.DUMMYFUNCTION("""COMPUTED_VALUE"""),98.5)</f>
        <v>98.5</v>
      </c>
      <c r="G282" s="1">
        <f ca="1">IFERROR(__xludf.DUMMYFUNCTION("""COMPUTED_VALUE"""),261)</f>
        <v>261</v>
      </c>
      <c r="H282" s="1">
        <f ca="1">IFERROR(__xludf.DUMMYFUNCTION("""COMPUTED_VALUE"""),108)</f>
        <v>108</v>
      </c>
      <c r="I282" s="1">
        <f ca="1">IFERROR(__xludf.DUMMYFUNCTION("""COMPUTED_VALUE"""),265)</f>
        <v>265</v>
      </c>
      <c r="J282" s="1">
        <f ca="1">IFERROR(__xludf.DUMMYFUNCTION("""COMPUTED_VALUE"""),68.2)</f>
        <v>68.2</v>
      </c>
      <c r="K282" s="1">
        <f ca="1">IFERROR(__xludf.DUMMYFUNCTION("""COMPUTED_VALUE"""),48)</f>
        <v>48</v>
      </c>
      <c r="L282" s="1" t="str">
        <f ca="1">IFERROR(__xludf.DUMMYFUNCTION("""COMPUTED_VALUE"""),"+.023")</f>
        <v>+.023</v>
      </c>
      <c r="M282" s="1">
        <f ca="1">IFERROR(__xludf.DUMMYFUNCTION("""COMPUTED_VALUE"""),123)</f>
        <v>123</v>
      </c>
      <c r="N282" s="1">
        <f ca="1">IFERROR(__xludf.DUMMYFUNCTION("""COMPUTED_VALUE"""),-10.64)</f>
        <v>-10.64</v>
      </c>
      <c r="O282" s="1">
        <f ca="1">IFERROR(__xludf.DUMMYFUNCTION("""COMPUTED_VALUE"""),336)</f>
        <v>336</v>
      </c>
      <c r="P282" s="1">
        <f ca="1">IFERROR(__xludf.DUMMYFUNCTION("""COMPUTED_VALUE"""),98)</f>
        <v>98</v>
      </c>
      <c r="Q282" s="1">
        <f ca="1">IFERROR(__xludf.DUMMYFUNCTION("""COMPUTED_VALUE"""),328)</f>
        <v>328</v>
      </c>
      <c r="R282" s="1">
        <f ca="1">IFERROR(__xludf.DUMMYFUNCTION("""COMPUTED_VALUE"""),108.6)</f>
        <v>108.6</v>
      </c>
      <c r="S282" s="1">
        <f ca="1">IFERROR(__xludf.DUMMYFUNCTION("""COMPUTED_VALUE"""),341)</f>
        <v>341</v>
      </c>
      <c r="T282" s="1" t="str">
        <f ca="1">IFERROR(__xludf.DUMMYFUNCTION("""COMPUTED_VALUE"""),"+3.82")</f>
        <v>+3.82</v>
      </c>
      <c r="U282" s="1">
        <f ca="1">IFERROR(__xludf.DUMMYFUNCTION("""COMPUTED_VALUE"""),60)</f>
        <v>60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IFERROR(__xludf.DUMMYFUNCTION("""COMPUTED_VALUE"""),"Seattle")</f>
        <v>Seattle</v>
      </c>
      <c r="C283" s="1" t="str">
        <f ca="1">IFERROR(__xludf.DUMMYFUNCTION("""COMPUTED_VALUE"""),"ind")</f>
        <v>ind</v>
      </c>
      <c r="D283" s="2">
        <f ca="1">IFERROR(__xludf.DUMMYFUNCTION("""COMPUTED_VALUE"""),44885)</f>
        <v>44885</v>
      </c>
      <c r="E283" s="1">
        <f ca="1">IFERROR(__xludf.DUMMYFUNCTION("""COMPUTED_VALUE"""),-9.7)</f>
        <v>-9.6999999999999993</v>
      </c>
      <c r="F283" s="1">
        <f ca="1">IFERROR(__xludf.DUMMYFUNCTION("""COMPUTED_VALUE"""),92.9)</f>
        <v>92.9</v>
      </c>
      <c r="G283" s="1">
        <f ca="1">IFERROR(__xludf.DUMMYFUNCTION("""COMPUTED_VALUE"""),315)</f>
        <v>315</v>
      </c>
      <c r="H283" s="1">
        <f ca="1">IFERROR(__xludf.DUMMYFUNCTION("""COMPUTED_VALUE"""),102.6)</f>
        <v>102.6</v>
      </c>
      <c r="I283" s="1">
        <f ca="1">IFERROR(__xludf.DUMMYFUNCTION("""COMPUTED_VALUE"""),147)</f>
        <v>147</v>
      </c>
      <c r="J283" s="1">
        <f ca="1">IFERROR(__xludf.DUMMYFUNCTION("""COMPUTED_VALUE"""),71.9)</f>
        <v>71.900000000000006</v>
      </c>
      <c r="K283" s="1">
        <f ca="1">IFERROR(__xludf.DUMMYFUNCTION("""COMPUTED_VALUE"""),6)</f>
        <v>6</v>
      </c>
      <c r="L283" s="1" t="str">
        <f ca="1">IFERROR(__xludf.DUMMYFUNCTION("""COMPUTED_VALUE"""),"+.047")</f>
        <v>+.047</v>
      </c>
      <c r="M283" s="1">
        <f ca="1">IFERROR(__xludf.DUMMYFUNCTION("""COMPUTED_VALUE"""),63)</f>
        <v>63</v>
      </c>
      <c r="N283" s="1">
        <f ca="1">IFERROR(__xludf.DUMMYFUNCTION("""COMPUTED_VALUE"""),-2.78)</f>
        <v>-2.78</v>
      </c>
      <c r="O283" s="1">
        <f ca="1">IFERROR(__xludf.DUMMYFUNCTION("""COMPUTED_VALUE"""),223)</f>
        <v>223</v>
      </c>
      <c r="P283" s="1">
        <f ca="1">IFERROR(__xludf.DUMMYFUNCTION("""COMPUTED_VALUE"""),102.6)</f>
        <v>102.6</v>
      </c>
      <c r="Q283" s="1">
        <f ca="1">IFERROR(__xludf.DUMMYFUNCTION("""COMPUTED_VALUE"""),196)</f>
        <v>196</v>
      </c>
      <c r="R283" s="1">
        <f ca="1">IFERROR(__xludf.DUMMYFUNCTION("""COMPUTED_VALUE"""),105.4)</f>
        <v>105.4</v>
      </c>
      <c r="S283" s="1">
        <f ca="1">IFERROR(__xludf.DUMMYFUNCTION("""COMPUTED_VALUE"""),252)</f>
        <v>252</v>
      </c>
      <c r="T283" s="1">
        <f ca="1">IFERROR(__xludf.DUMMYFUNCTION("""COMPUTED_VALUE"""),-2.51)</f>
        <v>-2.5099999999999998</v>
      </c>
      <c r="U283" s="1">
        <f ca="1">IFERROR(__xludf.DUMMYFUNCTION("""COMPUTED_VALUE"""),219)</f>
        <v>219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IFERROR(__xludf.DUMMYFUNCTION("""COMPUTED_VALUE"""),"Gardner Webb")</f>
        <v>Gardner Webb</v>
      </c>
      <c r="C284" s="1" t="str">
        <f ca="1">IFERROR(__xludf.DUMMYFUNCTION("""COMPUTED_VALUE"""),"BSth")</f>
        <v>BSth</v>
      </c>
      <c r="D284" s="2">
        <f ca="1">IFERROR(__xludf.DUMMYFUNCTION("""COMPUTED_VALUE"""),44886)</f>
        <v>44886</v>
      </c>
      <c r="E284" s="1">
        <f ca="1">IFERROR(__xludf.DUMMYFUNCTION("""COMPUTED_VALUE"""),-9.79)</f>
        <v>-9.7899999999999991</v>
      </c>
      <c r="F284" s="1">
        <f ca="1">IFERROR(__xludf.DUMMYFUNCTION("""COMPUTED_VALUE"""),95.2)</f>
        <v>95.2</v>
      </c>
      <c r="G284" s="1">
        <f ca="1">IFERROR(__xludf.DUMMYFUNCTION("""COMPUTED_VALUE"""),295)</f>
        <v>295</v>
      </c>
      <c r="H284" s="1">
        <f ca="1">IFERROR(__xludf.DUMMYFUNCTION("""COMPUTED_VALUE"""),105)</f>
        <v>105</v>
      </c>
      <c r="I284" s="1">
        <f ca="1">IFERROR(__xludf.DUMMYFUNCTION("""COMPUTED_VALUE"""),214)</f>
        <v>214</v>
      </c>
      <c r="J284" s="1">
        <f ca="1">IFERROR(__xludf.DUMMYFUNCTION("""COMPUTED_VALUE"""),63.3)</f>
        <v>63.3</v>
      </c>
      <c r="K284" s="1">
        <f ca="1">IFERROR(__xludf.DUMMYFUNCTION("""COMPUTED_VALUE"""),271)</f>
        <v>271</v>
      </c>
      <c r="L284" s="1">
        <f ca="1">IFERROR(__xludf.DUMMYFUNCTION("""COMPUTED_VALUE"""),-0.016)</f>
        <v>-1.6E-2</v>
      </c>
      <c r="M284" s="1">
        <f ca="1">IFERROR(__xludf.DUMMYFUNCTION("""COMPUTED_VALUE"""),223)</f>
        <v>223</v>
      </c>
      <c r="N284" s="1">
        <f ca="1">IFERROR(__xludf.DUMMYFUNCTION("""COMPUTED_VALUE"""),-1.31)</f>
        <v>-1.31</v>
      </c>
      <c r="O284" s="1">
        <f ca="1">IFERROR(__xludf.DUMMYFUNCTION("""COMPUTED_VALUE"""),178)</f>
        <v>178</v>
      </c>
      <c r="P284" s="1">
        <f ca="1">IFERROR(__xludf.DUMMYFUNCTION("""COMPUTED_VALUE"""),102.1)</f>
        <v>102.1</v>
      </c>
      <c r="Q284" s="1">
        <f ca="1">IFERROR(__xludf.DUMMYFUNCTION("""COMPUTED_VALUE"""),218)</f>
        <v>218</v>
      </c>
      <c r="R284" s="1">
        <f ca="1">IFERROR(__xludf.DUMMYFUNCTION("""COMPUTED_VALUE"""),103.4)</f>
        <v>103.4</v>
      </c>
      <c r="S284" s="1">
        <f ca="1">IFERROR(__xludf.DUMMYFUNCTION("""COMPUTED_VALUE"""),155)</f>
        <v>155</v>
      </c>
      <c r="T284" s="1" t="str">
        <f ca="1">IFERROR(__xludf.DUMMYFUNCTION("""COMPUTED_VALUE"""),"+6.82")</f>
        <v>+6.82</v>
      </c>
      <c r="U284" s="1">
        <f ca="1">IFERROR(__xludf.DUMMYFUNCTION("""COMPUTED_VALUE"""),24)</f>
        <v>24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IFERROR(__xludf.DUMMYFUNCTION("""COMPUTED_VALUE"""),"UMKC")</f>
        <v>UMKC</v>
      </c>
      <c r="C285" s="1" t="str">
        <f ca="1">IFERROR(__xludf.DUMMYFUNCTION("""COMPUTED_VALUE"""),"Sum")</f>
        <v>Sum</v>
      </c>
      <c r="D285" s="1" t="str">
        <f ca="1">IFERROR(__xludf.DUMMYFUNCTION("""COMPUTED_VALUE"""),"16-14")</f>
        <v>16-14</v>
      </c>
      <c r="E285" s="1">
        <f ca="1">IFERROR(__xludf.DUMMYFUNCTION("""COMPUTED_VALUE"""),-9.79)</f>
        <v>-9.7899999999999991</v>
      </c>
      <c r="F285" s="1">
        <f ca="1">IFERROR(__xludf.DUMMYFUNCTION("""COMPUTED_VALUE"""),101.9)</f>
        <v>101.9</v>
      </c>
      <c r="G285" s="1">
        <f ca="1">IFERROR(__xludf.DUMMYFUNCTION("""COMPUTED_VALUE"""),199)</f>
        <v>199</v>
      </c>
      <c r="H285" s="1">
        <f ca="1">IFERROR(__xludf.DUMMYFUNCTION("""COMPUTED_VALUE"""),111.6)</f>
        <v>111.6</v>
      </c>
      <c r="I285" s="1">
        <f ca="1">IFERROR(__xludf.DUMMYFUNCTION("""COMPUTED_VALUE"""),320)</f>
        <v>320</v>
      </c>
      <c r="J285" s="1">
        <f ca="1">IFERROR(__xludf.DUMMYFUNCTION("""COMPUTED_VALUE"""),63.8)</f>
        <v>63.8</v>
      </c>
      <c r="K285" s="1">
        <f ca="1">IFERROR(__xludf.DUMMYFUNCTION("""COMPUTED_VALUE"""),249)</f>
        <v>249</v>
      </c>
      <c r="L285" s="1" t="str">
        <f ca="1">IFERROR(__xludf.DUMMYFUNCTION("""COMPUTED_VALUE"""),"+.114")</f>
        <v>+.114</v>
      </c>
      <c r="M285" s="1">
        <f ca="1">IFERROR(__xludf.DUMMYFUNCTION("""COMPUTED_VALUE"""),10)</f>
        <v>10</v>
      </c>
      <c r="N285" s="1">
        <f ca="1">IFERROR(__xludf.DUMMYFUNCTION("""COMPUTED_VALUE"""),-4.96)</f>
        <v>-4.96</v>
      </c>
      <c r="O285" s="1">
        <f ca="1">IFERROR(__xludf.DUMMYFUNCTION("""COMPUTED_VALUE"""),280)</f>
        <v>280</v>
      </c>
      <c r="P285" s="1">
        <f ca="1">IFERROR(__xludf.DUMMYFUNCTION("""COMPUTED_VALUE"""),102.7)</f>
        <v>102.7</v>
      </c>
      <c r="Q285" s="1">
        <f ca="1">IFERROR(__xludf.DUMMYFUNCTION("""COMPUTED_VALUE"""),188)</f>
        <v>188</v>
      </c>
      <c r="R285" s="1">
        <f ca="1">IFERROR(__xludf.DUMMYFUNCTION("""COMPUTED_VALUE"""),107.7)</f>
        <v>107.7</v>
      </c>
      <c r="S285" s="1">
        <f ca="1">IFERROR(__xludf.DUMMYFUNCTION("""COMPUTED_VALUE"""),335)</f>
        <v>335</v>
      </c>
      <c r="T285" s="1">
        <f ca="1">IFERROR(__xludf.DUMMYFUNCTION("""COMPUTED_VALUE"""),-9.93)</f>
        <v>-9.93</v>
      </c>
      <c r="U285" s="1">
        <f ca="1">IFERROR(__xludf.DUMMYFUNCTION("""COMPUTED_VALUE"""),336)</f>
        <v>336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IFERROR(__xludf.DUMMYFUNCTION("""COMPUTED_VALUE"""),"Navy")</f>
        <v>Navy</v>
      </c>
      <c r="C286" s="1" t="str">
        <f ca="1">IFERROR(__xludf.DUMMYFUNCTION("""COMPUTED_VALUE"""),"Pat")</f>
        <v>Pat</v>
      </c>
      <c r="D286" s="2">
        <f ca="1">IFERROR(__xludf.DUMMYFUNCTION("""COMPUTED_VALUE"""),44885)</f>
        <v>44885</v>
      </c>
      <c r="E286" s="1">
        <f ca="1">IFERROR(__xludf.DUMMYFUNCTION("""COMPUTED_VALUE"""),-9.84)</f>
        <v>-9.84</v>
      </c>
      <c r="F286" s="1">
        <f ca="1">IFERROR(__xludf.DUMMYFUNCTION("""COMPUTED_VALUE"""),93.2)</f>
        <v>93.2</v>
      </c>
      <c r="G286" s="1">
        <f ca="1">IFERROR(__xludf.DUMMYFUNCTION("""COMPUTED_VALUE"""),309)</f>
        <v>309</v>
      </c>
      <c r="H286" s="1">
        <f ca="1">IFERROR(__xludf.DUMMYFUNCTION("""COMPUTED_VALUE"""),103)</f>
        <v>103</v>
      </c>
      <c r="I286" s="1">
        <f ca="1">IFERROR(__xludf.DUMMYFUNCTION("""COMPUTED_VALUE"""),160)</f>
        <v>160</v>
      </c>
      <c r="J286" s="1">
        <f ca="1">IFERROR(__xludf.DUMMYFUNCTION("""COMPUTED_VALUE"""),69.4)</f>
        <v>69.400000000000006</v>
      </c>
      <c r="K286" s="1">
        <f ca="1">IFERROR(__xludf.DUMMYFUNCTION("""COMPUTED_VALUE"""),30)</f>
        <v>30</v>
      </c>
      <c r="L286" s="1">
        <f ca="1">IFERROR(__xludf.DUMMYFUNCTION("""COMPUTED_VALUE"""),-0.039)</f>
        <v>-3.9E-2</v>
      </c>
      <c r="M286" s="1">
        <f ca="1">IFERROR(__xludf.DUMMYFUNCTION("""COMPUTED_VALUE"""),274)</f>
        <v>274</v>
      </c>
      <c r="N286" s="1">
        <f ca="1">IFERROR(__xludf.DUMMYFUNCTION("""COMPUTED_VALUE"""),-5)</f>
        <v>-5</v>
      </c>
      <c r="O286" s="1">
        <f ca="1">IFERROR(__xludf.DUMMYFUNCTION("""COMPUTED_VALUE"""),281)</f>
        <v>281</v>
      </c>
      <c r="P286" s="1">
        <f ca="1">IFERROR(__xludf.DUMMYFUNCTION("""COMPUTED_VALUE"""),101.6)</f>
        <v>101.6</v>
      </c>
      <c r="Q286" s="1">
        <f ca="1">IFERROR(__xludf.DUMMYFUNCTION("""COMPUTED_VALUE"""),235)</f>
        <v>235</v>
      </c>
      <c r="R286" s="1">
        <f ca="1">IFERROR(__xludf.DUMMYFUNCTION("""COMPUTED_VALUE"""),106.6)</f>
        <v>106.6</v>
      </c>
      <c r="S286" s="1">
        <f ca="1">IFERROR(__xludf.DUMMYFUNCTION("""COMPUTED_VALUE"""),319)</f>
        <v>319</v>
      </c>
      <c r="T286" s="1">
        <f ca="1">IFERROR(__xludf.DUMMYFUNCTION("""COMPUTED_VALUE"""),-5.12)</f>
        <v>-5.12</v>
      </c>
      <c r="U286" s="1">
        <f ca="1">IFERROR(__xludf.DUMMYFUNCTION("""COMPUTED_VALUE"""),288)</f>
        <v>288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IFERROR(__xludf.DUMMYFUNCTION("""COMPUTED_VALUE"""),"Central Michigan")</f>
        <v>Central Michigan</v>
      </c>
      <c r="C287" s="1" t="str">
        <f ca="1">IFERROR(__xludf.DUMMYFUNCTION("""COMPUTED_VALUE"""),"MAC")</f>
        <v>MAC</v>
      </c>
      <c r="D287" s="2">
        <f ca="1">IFERROR(__xludf.DUMMYFUNCTION("""COMPUTED_VALUE"""),44855)</f>
        <v>44855</v>
      </c>
      <c r="E287" s="1">
        <f ca="1">IFERROR(__xludf.DUMMYFUNCTION("""COMPUTED_VALUE"""),-10.04)</f>
        <v>-10.039999999999999</v>
      </c>
      <c r="F287" s="1">
        <f ca="1">IFERROR(__xludf.DUMMYFUNCTION("""COMPUTED_VALUE"""),92)</f>
        <v>92</v>
      </c>
      <c r="G287" s="1">
        <f ca="1">IFERROR(__xludf.DUMMYFUNCTION("""COMPUTED_VALUE"""),323)</f>
        <v>323</v>
      </c>
      <c r="H287" s="1">
        <f ca="1">IFERROR(__xludf.DUMMYFUNCTION("""COMPUTED_VALUE"""),102)</f>
        <v>102</v>
      </c>
      <c r="I287" s="1">
        <f ca="1">IFERROR(__xludf.DUMMYFUNCTION("""COMPUTED_VALUE"""),133)</f>
        <v>133</v>
      </c>
      <c r="J287" s="1">
        <f ca="1">IFERROR(__xludf.DUMMYFUNCTION("""COMPUTED_VALUE"""),63.1)</f>
        <v>63.1</v>
      </c>
      <c r="K287" s="1">
        <f ca="1">IFERROR(__xludf.DUMMYFUNCTION("""COMPUTED_VALUE"""),276)</f>
        <v>276</v>
      </c>
      <c r="L287" s="1">
        <f ca="1">IFERROR(__xludf.DUMMYFUNCTION("""COMPUTED_VALUE"""),-0.006)</f>
        <v>-6.0000000000000001E-3</v>
      </c>
      <c r="M287" s="1">
        <f ca="1">IFERROR(__xludf.DUMMYFUNCTION("""COMPUTED_VALUE"""),198)</f>
        <v>198</v>
      </c>
      <c r="N287" s="1">
        <f ca="1">IFERROR(__xludf.DUMMYFUNCTION("""COMPUTED_VALUE"""),-2.66)</f>
        <v>-2.66</v>
      </c>
      <c r="O287" s="1">
        <f ca="1">IFERROR(__xludf.DUMMYFUNCTION("""COMPUTED_VALUE"""),216)</f>
        <v>216</v>
      </c>
      <c r="P287" s="1">
        <f ca="1">IFERROR(__xludf.DUMMYFUNCTION("""COMPUTED_VALUE"""),101.6)</f>
        <v>101.6</v>
      </c>
      <c r="Q287" s="1">
        <f ca="1">IFERROR(__xludf.DUMMYFUNCTION("""COMPUTED_VALUE"""),238)</f>
        <v>238</v>
      </c>
      <c r="R287" s="1">
        <f ca="1">IFERROR(__xludf.DUMMYFUNCTION("""COMPUTED_VALUE"""),104.3)</f>
        <v>104.3</v>
      </c>
      <c r="S287" s="1">
        <f ca="1">IFERROR(__xludf.DUMMYFUNCTION("""COMPUTED_VALUE"""),192)</f>
        <v>192</v>
      </c>
      <c r="T287" s="1">
        <f ca="1">IFERROR(__xludf.DUMMYFUNCTION("""COMPUTED_VALUE"""),-0.6)</f>
        <v>-0.6</v>
      </c>
      <c r="U287" s="1">
        <f ca="1">IFERROR(__xludf.DUMMYFUNCTION("""COMPUTED_VALUE"""),171)</f>
        <v>171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IFERROR(__xludf.DUMMYFUNCTION("""COMPUTED_VALUE"""),"Northern Illinois")</f>
        <v>Northern Illinois</v>
      </c>
      <c r="C288" s="1" t="str">
        <f ca="1">IFERROR(__xludf.DUMMYFUNCTION("""COMPUTED_VALUE"""),"MAC")</f>
        <v>MAC</v>
      </c>
      <c r="D288" s="2">
        <f ca="1">IFERROR(__xludf.DUMMYFUNCTION("""COMPUTED_VALUE"""),44825)</f>
        <v>44825</v>
      </c>
      <c r="E288" s="1">
        <f ca="1">IFERROR(__xludf.DUMMYFUNCTION("""COMPUTED_VALUE"""),-10.09)</f>
        <v>-10.09</v>
      </c>
      <c r="F288" s="1">
        <f ca="1">IFERROR(__xludf.DUMMYFUNCTION("""COMPUTED_VALUE"""),99.1)</f>
        <v>99.1</v>
      </c>
      <c r="G288" s="1">
        <f ca="1">IFERROR(__xludf.DUMMYFUNCTION("""COMPUTED_VALUE"""),250)</f>
        <v>250</v>
      </c>
      <c r="H288" s="1">
        <f ca="1">IFERROR(__xludf.DUMMYFUNCTION("""COMPUTED_VALUE"""),109.2)</f>
        <v>109.2</v>
      </c>
      <c r="I288" s="1">
        <f ca="1">IFERROR(__xludf.DUMMYFUNCTION("""COMPUTED_VALUE"""),286)</f>
        <v>286</v>
      </c>
      <c r="J288" s="1">
        <f ca="1">IFERROR(__xludf.DUMMYFUNCTION("""COMPUTED_VALUE"""),67.5)</f>
        <v>67.5</v>
      </c>
      <c r="K288" s="1">
        <f ca="1">IFERROR(__xludf.DUMMYFUNCTION("""COMPUTED_VALUE"""),63)</f>
        <v>63</v>
      </c>
      <c r="L288" s="1">
        <f ca="1">IFERROR(__xludf.DUMMYFUNCTION("""COMPUTED_VALUE"""),-0.03)</f>
        <v>-0.03</v>
      </c>
      <c r="M288" s="1">
        <f ca="1">IFERROR(__xludf.DUMMYFUNCTION("""COMPUTED_VALUE"""),256)</f>
        <v>256</v>
      </c>
      <c r="N288" s="1">
        <f ca="1">IFERROR(__xludf.DUMMYFUNCTION("""COMPUTED_VALUE"""),-2.83)</f>
        <v>-2.83</v>
      </c>
      <c r="O288" s="1">
        <f ca="1">IFERROR(__xludf.DUMMYFUNCTION("""COMPUTED_VALUE"""),225)</f>
        <v>225</v>
      </c>
      <c r="P288" s="1">
        <f ca="1">IFERROR(__xludf.DUMMYFUNCTION("""COMPUTED_VALUE"""),100.8)</f>
        <v>100.8</v>
      </c>
      <c r="Q288" s="1">
        <f ca="1">IFERROR(__xludf.DUMMYFUNCTION("""COMPUTED_VALUE"""),265)</f>
        <v>265</v>
      </c>
      <c r="R288" s="1">
        <f ca="1">IFERROR(__xludf.DUMMYFUNCTION("""COMPUTED_VALUE"""),103.6)</f>
        <v>103.6</v>
      </c>
      <c r="S288" s="1">
        <f ca="1">IFERROR(__xludf.DUMMYFUNCTION("""COMPUTED_VALUE"""),165)</f>
        <v>165</v>
      </c>
      <c r="T288" s="1" t="str">
        <f ca="1">IFERROR(__xludf.DUMMYFUNCTION("""COMPUTED_VALUE"""),"+0.48")</f>
        <v>+0.48</v>
      </c>
      <c r="U288" s="1">
        <f ca="1">IFERROR(__xludf.DUMMYFUNCTION("""COMPUTED_VALUE"""),148)</f>
        <v>148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IFERROR(__xludf.DUMMYFUNCTION("""COMPUTED_VALUE"""),"Troy")</f>
        <v>Troy</v>
      </c>
      <c r="C289" s="1" t="str">
        <f ca="1">IFERROR(__xludf.DUMMYFUNCTION("""COMPUTED_VALUE"""),"SB")</f>
        <v>SB</v>
      </c>
      <c r="D289" s="2">
        <f ca="1">IFERROR(__xludf.DUMMYFUNCTION("""COMPUTED_VALUE"""),44794)</f>
        <v>44794</v>
      </c>
      <c r="E289" s="1">
        <f ca="1">IFERROR(__xludf.DUMMYFUNCTION("""COMPUTED_VALUE"""),-10.19)</f>
        <v>-10.19</v>
      </c>
      <c r="F289" s="1">
        <f ca="1">IFERROR(__xludf.DUMMYFUNCTION("""COMPUTED_VALUE"""),97.8)</f>
        <v>97.8</v>
      </c>
      <c r="G289" s="1">
        <f ca="1">IFERROR(__xludf.DUMMYFUNCTION("""COMPUTED_VALUE"""),266)</f>
        <v>266</v>
      </c>
      <c r="H289" s="1">
        <f ca="1">IFERROR(__xludf.DUMMYFUNCTION("""COMPUTED_VALUE"""),108)</f>
        <v>108</v>
      </c>
      <c r="I289" s="1">
        <f ca="1">IFERROR(__xludf.DUMMYFUNCTION("""COMPUTED_VALUE"""),264)</f>
        <v>264</v>
      </c>
      <c r="J289" s="1">
        <f ca="1">IFERROR(__xludf.DUMMYFUNCTION("""COMPUTED_VALUE"""),70.2)</f>
        <v>70.2</v>
      </c>
      <c r="K289" s="1">
        <f ca="1">IFERROR(__xludf.DUMMYFUNCTION("""COMPUTED_VALUE"""),18)</f>
        <v>18</v>
      </c>
      <c r="L289" s="1">
        <f ca="1">IFERROR(__xludf.DUMMYFUNCTION("""COMPUTED_VALUE"""),-0.038)</f>
        <v>-3.7999999999999999E-2</v>
      </c>
      <c r="M289" s="1">
        <f ca="1">IFERROR(__xludf.DUMMYFUNCTION("""COMPUTED_VALUE"""),273)</f>
        <v>273</v>
      </c>
      <c r="N289" s="1">
        <f ca="1">IFERROR(__xludf.DUMMYFUNCTION("""COMPUTED_VALUE"""),-2.04)</f>
        <v>-2.04</v>
      </c>
      <c r="O289" s="1">
        <f ca="1">IFERROR(__xludf.DUMMYFUNCTION("""COMPUTED_VALUE"""),200)</f>
        <v>200</v>
      </c>
      <c r="P289" s="1">
        <f ca="1">IFERROR(__xludf.DUMMYFUNCTION("""COMPUTED_VALUE"""),102.7)</f>
        <v>102.7</v>
      </c>
      <c r="Q289" s="1">
        <f ca="1">IFERROR(__xludf.DUMMYFUNCTION("""COMPUTED_VALUE"""),190)</f>
        <v>190</v>
      </c>
      <c r="R289" s="1">
        <f ca="1">IFERROR(__xludf.DUMMYFUNCTION("""COMPUTED_VALUE"""),104.7)</f>
        <v>104.7</v>
      </c>
      <c r="S289" s="1">
        <f ca="1">IFERROR(__xludf.DUMMYFUNCTION("""COMPUTED_VALUE"""),221)</f>
        <v>221</v>
      </c>
      <c r="T289" s="1" t="str">
        <f ca="1">IFERROR(__xludf.DUMMYFUNCTION("""COMPUTED_VALUE"""),"+6.07")</f>
        <v>+6.07</v>
      </c>
      <c r="U289" s="1">
        <f ca="1">IFERROR(__xludf.DUMMYFUNCTION("""COMPUTED_VALUE"""),34)</f>
        <v>34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IFERROR(__xludf.DUMMYFUNCTION("""COMPUTED_VALUE"""),"Texas Southern8")</f>
        <v>Texas Southern8</v>
      </c>
      <c r="C290" s="1" t="str">
        <f ca="1">IFERROR(__xludf.DUMMYFUNCTION("""COMPUTED_VALUE"""),"SWAC")</f>
        <v>SWAC</v>
      </c>
      <c r="D290" s="1" t="str">
        <f ca="1">IFERROR(__xludf.DUMMYFUNCTION("""COMPUTED_VALUE"""),"19-13")</f>
        <v>19-13</v>
      </c>
      <c r="E290" s="1">
        <f ca="1">IFERROR(__xludf.DUMMYFUNCTION("""COMPUTED_VALUE"""),-10.37)</f>
        <v>-10.37</v>
      </c>
      <c r="F290" s="1">
        <f ca="1">IFERROR(__xludf.DUMMYFUNCTION("""COMPUTED_VALUE"""),93.2)</f>
        <v>93.2</v>
      </c>
      <c r="G290" s="1">
        <f ca="1">IFERROR(__xludf.DUMMYFUNCTION("""COMPUTED_VALUE"""),311)</f>
        <v>311</v>
      </c>
      <c r="H290" s="1">
        <f ca="1">IFERROR(__xludf.DUMMYFUNCTION("""COMPUTED_VALUE"""),103.5)</f>
        <v>103.5</v>
      </c>
      <c r="I290" s="1">
        <f ca="1">IFERROR(__xludf.DUMMYFUNCTION("""COMPUTED_VALUE"""),175)</f>
        <v>175</v>
      </c>
      <c r="J290" s="1">
        <f ca="1">IFERROR(__xludf.DUMMYFUNCTION("""COMPUTED_VALUE"""),64.8)</f>
        <v>64.8</v>
      </c>
      <c r="K290" s="1">
        <f ca="1">IFERROR(__xludf.DUMMYFUNCTION("""COMPUTED_VALUE"""),197)</f>
        <v>197</v>
      </c>
      <c r="L290" s="1" t="str">
        <f ca="1">IFERROR(__xludf.DUMMYFUNCTION("""COMPUTED_VALUE"""),"+.137")</f>
        <v>+.137</v>
      </c>
      <c r="M290" s="1">
        <f ca="1">IFERROR(__xludf.DUMMYFUNCTION("""COMPUTED_VALUE"""),2)</f>
        <v>2</v>
      </c>
      <c r="N290" s="1">
        <f ca="1">IFERROR(__xludf.DUMMYFUNCTION("""COMPUTED_VALUE"""),-9.84)</f>
        <v>-9.84</v>
      </c>
      <c r="O290" s="1">
        <f ca="1">IFERROR(__xludf.DUMMYFUNCTION("""COMPUTED_VALUE"""),331)</f>
        <v>331</v>
      </c>
      <c r="P290" s="1">
        <f ca="1">IFERROR(__xludf.DUMMYFUNCTION("""COMPUTED_VALUE"""),96)</f>
        <v>96</v>
      </c>
      <c r="Q290" s="1">
        <f ca="1">IFERROR(__xludf.DUMMYFUNCTION("""COMPUTED_VALUE"""),339)</f>
        <v>339</v>
      </c>
      <c r="R290" s="1">
        <f ca="1">IFERROR(__xludf.DUMMYFUNCTION("""COMPUTED_VALUE"""),105.9)</f>
        <v>105.9</v>
      </c>
      <c r="S290" s="1">
        <f ca="1">IFERROR(__xludf.DUMMYFUNCTION("""COMPUTED_VALUE"""),284)</f>
        <v>284</v>
      </c>
      <c r="T290" s="1" t="str">
        <f ca="1">IFERROR(__xludf.DUMMYFUNCTION("""COMPUTED_VALUE"""),"+8.93")</f>
        <v>+8.93</v>
      </c>
      <c r="U290" s="1">
        <f ca="1">IFERROR(__xludf.DUMMYFUNCTION("""COMPUTED_VALUE"""),14)</f>
        <v>14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IFERROR(__xludf.DUMMYFUNCTION("""COMPUTED_VALUE"""),"Jackson St.")</f>
        <v>Jackson St.</v>
      </c>
      <c r="C291" s="1" t="str">
        <f ca="1">IFERROR(__xludf.DUMMYFUNCTION("""COMPUTED_VALUE"""),"SWAC")</f>
        <v>SWAC</v>
      </c>
      <c r="D291" s="1" t="str">
        <f ca="1">IFERROR(__xludf.DUMMYFUNCTION("""COMPUTED_VALUE"""),"17-15")</f>
        <v>17-15</v>
      </c>
      <c r="E291" s="1">
        <f ca="1">IFERROR(__xludf.DUMMYFUNCTION("""COMPUTED_VALUE"""),-10.49)</f>
        <v>-10.49</v>
      </c>
      <c r="F291" s="1">
        <f ca="1">IFERROR(__xludf.DUMMYFUNCTION("""COMPUTED_VALUE"""),95.7)</f>
        <v>95.7</v>
      </c>
      <c r="G291" s="1">
        <f ca="1">IFERROR(__xludf.DUMMYFUNCTION("""COMPUTED_VALUE"""),291)</f>
        <v>291</v>
      </c>
      <c r="H291" s="1">
        <f ca="1">IFERROR(__xludf.DUMMYFUNCTION("""COMPUTED_VALUE"""),106.1)</f>
        <v>106.1</v>
      </c>
      <c r="I291" s="1">
        <f ca="1">IFERROR(__xludf.DUMMYFUNCTION("""COMPUTED_VALUE"""),237)</f>
        <v>237</v>
      </c>
      <c r="J291" s="1">
        <f ca="1">IFERROR(__xludf.DUMMYFUNCTION("""COMPUTED_VALUE"""),63.2)</f>
        <v>63.2</v>
      </c>
      <c r="K291" s="1">
        <f ca="1">IFERROR(__xludf.DUMMYFUNCTION("""COMPUTED_VALUE"""),273)</f>
        <v>273</v>
      </c>
      <c r="L291" s="1">
        <f ca="1">IFERROR(__xludf.DUMMYFUNCTION("""COMPUTED_VALUE"""),-0.002)</f>
        <v>-2E-3</v>
      </c>
      <c r="M291" s="1">
        <f ca="1">IFERROR(__xludf.DUMMYFUNCTION("""COMPUTED_VALUE"""),187)</f>
        <v>187</v>
      </c>
      <c r="N291" s="1">
        <f ca="1">IFERROR(__xludf.DUMMYFUNCTION("""COMPUTED_VALUE"""),-12.38)</f>
        <v>-12.38</v>
      </c>
      <c r="O291" s="1">
        <f ca="1">IFERROR(__xludf.DUMMYFUNCTION("""COMPUTED_VALUE"""),343)</f>
        <v>343</v>
      </c>
      <c r="P291" s="1">
        <f ca="1">IFERROR(__xludf.DUMMYFUNCTION("""COMPUTED_VALUE"""),93.8)</f>
        <v>93.8</v>
      </c>
      <c r="Q291" s="1">
        <f ca="1">IFERROR(__xludf.DUMMYFUNCTION("""COMPUTED_VALUE"""),344)</f>
        <v>344</v>
      </c>
      <c r="R291" s="1">
        <f ca="1">IFERROR(__xludf.DUMMYFUNCTION("""COMPUTED_VALUE"""),106.2)</f>
        <v>106.2</v>
      </c>
      <c r="S291" s="1">
        <f ca="1">IFERROR(__xludf.DUMMYFUNCTION("""COMPUTED_VALUE"""),300)</f>
        <v>300</v>
      </c>
      <c r="T291" s="1" t="str">
        <f ca="1">IFERROR(__xludf.DUMMYFUNCTION("""COMPUTED_VALUE"""),"+7.49")</f>
        <v>+7.49</v>
      </c>
      <c r="U291" s="1">
        <f ca="1">IFERROR(__xludf.DUMMYFUNCTION("""COMPUTED_VALUE"""),20)</f>
        <v>20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IFERROR(__xludf.DUMMYFUNCTION("""COMPUTED_VALUE"""),"Towson")</f>
        <v>Towson</v>
      </c>
      <c r="C292" s="1" t="str">
        <f ca="1">IFERROR(__xludf.DUMMYFUNCTION("""COMPUTED_VALUE"""),"CAA")</f>
        <v>CAA</v>
      </c>
      <c r="D292" s="2">
        <f ca="1">IFERROR(__xludf.DUMMYFUNCTION("""COMPUTED_VALUE"""),44677)</f>
        <v>44677</v>
      </c>
      <c r="E292" s="1">
        <f ca="1">IFERROR(__xludf.DUMMYFUNCTION("""COMPUTED_VALUE"""),-10.51)</f>
        <v>-10.51</v>
      </c>
      <c r="F292" s="1">
        <f ca="1">IFERROR(__xludf.DUMMYFUNCTION("""COMPUTED_VALUE"""),105.8)</f>
        <v>105.8</v>
      </c>
      <c r="G292" s="1">
        <f ca="1">IFERROR(__xludf.DUMMYFUNCTION("""COMPUTED_VALUE"""),115)</f>
        <v>115</v>
      </c>
      <c r="H292" s="1">
        <f ca="1">IFERROR(__xludf.DUMMYFUNCTION("""COMPUTED_VALUE"""),116.3)</f>
        <v>116.3</v>
      </c>
      <c r="I292" s="1">
        <f ca="1">IFERROR(__xludf.DUMMYFUNCTION("""COMPUTED_VALUE"""),342)</f>
        <v>342</v>
      </c>
      <c r="J292" s="1">
        <f ca="1">IFERROR(__xludf.DUMMYFUNCTION("""COMPUTED_VALUE"""),65.1)</f>
        <v>65.099999999999994</v>
      </c>
      <c r="K292" s="1">
        <f ca="1">IFERROR(__xludf.DUMMYFUNCTION("""COMPUTED_VALUE"""),178)</f>
        <v>178</v>
      </c>
      <c r="L292" s="1">
        <f ca="1">IFERROR(__xludf.DUMMYFUNCTION("""COMPUTED_VALUE"""),-0.069)</f>
        <v>-6.9000000000000006E-2</v>
      </c>
      <c r="M292" s="1">
        <f ca="1">IFERROR(__xludf.DUMMYFUNCTION("""COMPUTED_VALUE"""),316)</f>
        <v>316</v>
      </c>
      <c r="N292" s="1" t="str">
        <f ca="1">IFERROR(__xludf.DUMMYFUNCTION("""COMPUTED_VALUE"""),"+0.39")</f>
        <v>+0.39</v>
      </c>
      <c r="O292" s="1">
        <f ca="1">IFERROR(__xludf.DUMMYFUNCTION("""COMPUTED_VALUE"""),146)</f>
        <v>146</v>
      </c>
      <c r="P292" s="1">
        <f ca="1">IFERROR(__xludf.DUMMYFUNCTION("""COMPUTED_VALUE"""),103.1)</f>
        <v>103.1</v>
      </c>
      <c r="Q292" s="1">
        <f ca="1">IFERROR(__xludf.DUMMYFUNCTION("""COMPUTED_VALUE"""),171)</f>
        <v>171</v>
      </c>
      <c r="R292" s="1">
        <f ca="1">IFERROR(__xludf.DUMMYFUNCTION("""COMPUTED_VALUE"""),102.7)</f>
        <v>102.7</v>
      </c>
      <c r="S292" s="1">
        <f ca="1">IFERROR(__xludf.DUMMYFUNCTION("""COMPUTED_VALUE"""),119)</f>
        <v>119</v>
      </c>
      <c r="T292" s="1">
        <f ca="1">IFERROR(__xludf.DUMMYFUNCTION("""COMPUTED_VALUE"""),-3.58)</f>
        <v>-3.58</v>
      </c>
      <c r="U292" s="1">
        <f ca="1">IFERROR(__xludf.DUMMYFUNCTION("""COMPUTED_VALUE"""),252)</f>
        <v>252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IFERROR(__xludf.DUMMYFUNCTION("""COMPUTED_VALUE"""),"Army")</f>
        <v>Army</v>
      </c>
      <c r="C293" s="1" t="str">
        <f ca="1">IFERROR(__xludf.DUMMYFUNCTION("""COMPUTED_VALUE"""),"Pat")</f>
        <v>Pat</v>
      </c>
      <c r="D293" s="2">
        <f ca="1">IFERROR(__xludf.DUMMYFUNCTION("""COMPUTED_VALUE"""),44884)</f>
        <v>44884</v>
      </c>
      <c r="E293" s="1">
        <f ca="1">IFERROR(__xludf.DUMMYFUNCTION("""COMPUTED_VALUE"""),-10.54)</f>
        <v>-10.54</v>
      </c>
      <c r="F293" s="1">
        <f ca="1">IFERROR(__xludf.DUMMYFUNCTION("""COMPUTED_VALUE"""),99.5)</f>
        <v>99.5</v>
      </c>
      <c r="G293" s="1">
        <f ca="1">IFERROR(__xludf.DUMMYFUNCTION("""COMPUTED_VALUE"""),243)</f>
        <v>243</v>
      </c>
      <c r="H293" s="1">
        <f ca="1">IFERROR(__xludf.DUMMYFUNCTION("""COMPUTED_VALUE"""),110)</f>
        <v>110</v>
      </c>
      <c r="I293" s="1">
        <f ca="1">IFERROR(__xludf.DUMMYFUNCTION("""COMPUTED_VALUE"""),299)</f>
        <v>299</v>
      </c>
      <c r="J293" s="1">
        <f ca="1">IFERROR(__xludf.DUMMYFUNCTION("""COMPUTED_VALUE"""),66.9)</f>
        <v>66.900000000000006</v>
      </c>
      <c r="K293" s="1">
        <f ca="1">IFERROR(__xludf.DUMMYFUNCTION("""COMPUTED_VALUE"""),86)</f>
        <v>86</v>
      </c>
      <c r="L293" s="1">
        <f ca="1">IFERROR(__xludf.DUMMYFUNCTION("""COMPUTED_VALUE"""),-0.03)</f>
        <v>-0.03</v>
      </c>
      <c r="M293" s="1">
        <f ca="1">IFERROR(__xludf.DUMMYFUNCTION("""COMPUTED_VALUE"""),257)</f>
        <v>257</v>
      </c>
      <c r="N293" s="1">
        <f ca="1">IFERROR(__xludf.DUMMYFUNCTION("""COMPUTED_VALUE"""),-5.08)</f>
        <v>-5.08</v>
      </c>
      <c r="O293" s="1">
        <f ca="1">IFERROR(__xludf.DUMMYFUNCTION("""COMPUTED_VALUE"""),282)</f>
        <v>282</v>
      </c>
      <c r="P293" s="1">
        <f ca="1">IFERROR(__xludf.DUMMYFUNCTION("""COMPUTED_VALUE"""),100.1)</f>
        <v>100.1</v>
      </c>
      <c r="Q293" s="1">
        <f ca="1">IFERROR(__xludf.DUMMYFUNCTION("""COMPUTED_VALUE"""),295)</f>
        <v>295</v>
      </c>
      <c r="R293" s="1">
        <f ca="1">IFERROR(__xludf.DUMMYFUNCTION("""COMPUTED_VALUE"""),105.2)</f>
        <v>105.2</v>
      </c>
      <c r="S293" s="1">
        <f ca="1">IFERROR(__xludf.DUMMYFUNCTION("""COMPUTED_VALUE"""),247)</f>
        <v>247</v>
      </c>
      <c r="T293" s="1">
        <f ca="1">IFERROR(__xludf.DUMMYFUNCTION("""COMPUTED_VALUE"""),-5.92)</f>
        <v>-5.92</v>
      </c>
      <c r="U293" s="1">
        <f ca="1">IFERROR(__xludf.DUMMYFUNCTION("""COMPUTED_VALUE"""),309)</f>
        <v>309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IFERROR(__xludf.DUMMYFUNCTION("""COMPUTED_VALUE"""),"St. Francis PA")</f>
        <v>St. Francis PA</v>
      </c>
      <c r="C294" s="1" t="str">
        <f ca="1">IFERROR(__xludf.DUMMYFUNCTION("""COMPUTED_VALUE"""),"NEC")</f>
        <v>NEC</v>
      </c>
      <c r="D294" s="2">
        <f ca="1">IFERROR(__xludf.DUMMYFUNCTION("""COMPUTED_VALUE"""),44825)</f>
        <v>44825</v>
      </c>
      <c r="E294" s="1">
        <f ca="1">IFERROR(__xludf.DUMMYFUNCTION("""COMPUTED_VALUE"""),-10.57)</f>
        <v>-10.57</v>
      </c>
      <c r="F294" s="1">
        <f ca="1">IFERROR(__xludf.DUMMYFUNCTION("""COMPUTED_VALUE"""),99.6)</f>
        <v>99.6</v>
      </c>
      <c r="G294" s="1">
        <f ca="1">IFERROR(__xludf.DUMMYFUNCTION("""COMPUTED_VALUE"""),240)</f>
        <v>240</v>
      </c>
      <c r="H294" s="1">
        <f ca="1">IFERROR(__xludf.DUMMYFUNCTION("""COMPUTED_VALUE"""),110.1)</f>
        <v>110.1</v>
      </c>
      <c r="I294" s="1">
        <f ca="1">IFERROR(__xludf.DUMMYFUNCTION("""COMPUTED_VALUE"""),301)</f>
        <v>301</v>
      </c>
      <c r="J294" s="1">
        <f ca="1">IFERROR(__xludf.DUMMYFUNCTION("""COMPUTED_VALUE"""),64.9)</f>
        <v>64.900000000000006</v>
      </c>
      <c r="K294" s="1">
        <f ca="1">IFERROR(__xludf.DUMMYFUNCTION("""COMPUTED_VALUE"""),195)</f>
        <v>195</v>
      </c>
      <c r="L294" s="1">
        <f ca="1">IFERROR(__xludf.DUMMYFUNCTION("""COMPUTED_VALUE"""),-0.016)</f>
        <v>-1.6E-2</v>
      </c>
      <c r="M294" s="1">
        <f ca="1">IFERROR(__xludf.DUMMYFUNCTION("""COMPUTED_VALUE"""),221)</f>
        <v>221</v>
      </c>
      <c r="N294" s="1">
        <f ca="1">IFERROR(__xludf.DUMMYFUNCTION("""COMPUTED_VALUE"""),-2.3)</f>
        <v>-2.2999999999999998</v>
      </c>
      <c r="O294" s="1">
        <f ca="1">IFERROR(__xludf.DUMMYFUNCTION("""COMPUTED_VALUE"""),208)</f>
        <v>208</v>
      </c>
      <c r="P294" s="1">
        <f ca="1">IFERROR(__xludf.DUMMYFUNCTION("""COMPUTED_VALUE"""),101.5)</f>
        <v>101.5</v>
      </c>
      <c r="Q294" s="1">
        <f ca="1">IFERROR(__xludf.DUMMYFUNCTION("""COMPUTED_VALUE"""),242)</f>
        <v>242</v>
      </c>
      <c r="R294" s="1">
        <f ca="1">IFERROR(__xludf.DUMMYFUNCTION("""COMPUTED_VALUE"""),103.8)</f>
        <v>103.8</v>
      </c>
      <c r="S294" s="1">
        <f ca="1">IFERROR(__xludf.DUMMYFUNCTION("""COMPUTED_VALUE"""),172)</f>
        <v>172</v>
      </c>
      <c r="T294" s="1" t="str">
        <f ca="1">IFERROR(__xludf.DUMMYFUNCTION("""COMPUTED_VALUE"""),"+2.79")</f>
        <v>+2.79</v>
      </c>
      <c r="U294" s="1">
        <f ca="1">IFERROR(__xludf.DUMMYFUNCTION("""COMPUTED_VALUE"""),77)</f>
        <v>77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IFERROR(__xludf.DUMMYFUNCTION("""COMPUTED_VALUE"""),"Monmouth")</f>
        <v>Monmouth</v>
      </c>
      <c r="C297" s="1" t="str">
        <f ca="1">IFERROR(__xludf.DUMMYFUNCTION("""COMPUTED_VALUE"""),"NEC")</f>
        <v>NEC</v>
      </c>
      <c r="D297" s="2">
        <f ca="1">IFERROR(__xludf.DUMMYFUNCTION("""COMPUTED_VALUE"""),44825)</f>
        <v>44825</v>
      </c>
      <c r="E297" s="1">
        <f ca="1">IFERROR(__xludf.DUMMYFUNCTION("""COMPUTED_VALUE"""),-10.57)</f>
        <v>-10.57</v>
      </c>
      <c r="F297" s="1">
        <f ca="1">IFERROR(__xludf.DUMMYFUNCTION("""COMPUTED_VALUE"""),94.5)</f>
        <v>94.5</v>
      </c>
      <c r="G297" s="1">
        <f ca="1">IFERROR(__xludf.DUMMYFUNCTION("""COMPUTED_VALUE"""),302)</f>
        <v>302</v>
      </c>
      <c r="H297" s="1">
        <f ca="1">IFERROR(__xludf.DUMMYFUNCTION("""COMPUTED_VALUE"""),105.1)</f>
        <v>105.1</v>
      </c>
      <c r="I297" s="1">
        <f ca="1">IFERROR(__xludf.DUMMYFUNCTION("""COMPUTED_VALUE"""),216)</f>
        <v>216</v>
      </c>
      <c r="J297" s="1">
        <f ca="1">IFERROR(__xludf.DUMMYFUNCTION("""COMPUTED_VALUE"""),62.6)</f>
        <v>62.6</v>
      </c>
      <c r="K297" s="1">
        <f ca="1">IFERROR(__xludf.DUMMYFUNCTION("""COMPUTED_VALUE"""),295)</f>
        <v>295</v>
      </c>
      <c r="L297" s="1">
        <f ca="1">IFERROR(__xludf.DUMMYFUNCTION("""COMPUTED_VALUE"""),-0.028)</f>
        <v>-2.8000000000000001E-2</v>
      </c>
      <c r="M297" s="1">
        <f ca="1">IFERROR(__xludf.DUMMYFUNCTION("""COMPUTED_VALUE"""),250)</f>
        <v>250</v>
      </c>
      <c r="N297" s="1">
        <f ca="1">IFERROR(__xludf.DUMMYFUNCTION("""COMPUTED_VALUE"""),-4.34)</f>
        <v>-4.34</v>
      </c>
      <c r="O297" s="1">
        <f ca="1">IFERROR(__xludf.DUMMYFUNCTION("""COMPUTED_VALUE"""),264)</f>
        <v>264</v>
      </c>
      <c r="P297" s="1">
        <f ca="1">IFERROR(__xludf.DUMMYFUNCTION("""COMPUTED_VALUE"""),100.7)</f>
        <v>100.7</v>
      </c>
      <c r="Q297" s="1">
        <f ca="1">IFERROR(__xludf.DUMMYFUNCTION("""COMPUTED_VALUE"""),268)</f>
        <v>268</v>
      </c>
      <c r="R297" s="1">
        <f ca="1">IFERROR(__xludf.DUMMYFUNCTION("""COMPUTED_VALUE"""),105.1)</f>
        <v>105.1</v>
      </c>
      <c r="S297" s="1">
        <f ca="1">IFERROR(__xludf.DUMMYFUNCTION("""COMPUTED_VALUE"""),232)</f>
        <v>232</v>
      </c>
      <c r="T297" s="1">
        <f ca="1">IFERROR(__xludf.DUMMYFUNCTION("""COMPUTED_VALUE"""),-0.74)</f>
        <v>-0.74</v>
      </c>
      <c r="U297" s="1">
        <f ca="1">IFERROR(__xludf.DUMMYFUNCTION("""COMPUTED_VALUE"""),178)</f>
        <v>178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IFERROR(__xludf.DUMMYFUNCTION("""COMPUTED_VALUE"""),"The Citadel")</f>
        <v>The Citadel</v>
      </c>
      <c r="C298" s="1" t="str">
        <f ca="1">IFERROR(__xludf.DUMMYFUNCTION("""COMPUTED_VALUE"""),"SC")</f>
        <v>SC</v>
      </c>
      <c r="D298" s="2">
        <f ca="1">IFERROR(__xludf.DUMMYFUNCTION("""COMPUTED_VALUE"""),44856)</f>
        <v>44856</v>
      </c>
      <c r="E298" s="1">
        <f ca="1">IFERROR(__xludf.DUMMYFUNCTION("""COMPUTED_VALUE"""),-10.61)</f>
        <v>-10.61</v>
      </c>
      <c r="F298" s="1">
        <f ca="1">IFERROR(__xludf.DUMMYFUNCTION("""COMPUTED_VALUE"""),100.9)</f>
        <v>100.9</v>
      </c>
      <c r="G298" s="1">
        <f ca="1">IFERROR(__xludf.DUMMYFUNCTION("""COMPUTED_VALUE"""),216)</f>
        <v>216</v>
      </c>
      <c r="H298" s="1">
        <f ca="1">IFERROR(__xludf.DUMMYFUNCTION("""COMPUTED_VALUE"""),111.6)</f>
        <v>111.6</v>
      </c>
      <c r="I298" s="1">
        <f ca="1">IFERROR(__xludf.DUMMYFUNCTION("""COMPUTED_VALUE"""),319)</f>
        <v>319</v>
      </c>
      <c r="J298" s="1">
        <f ca="1">IFERROR(__xludf.DUMMYFUNCTION("""COMPUTED_VALUE"""),61.9)</f>
        <v>61.9</v>
      </c>
      <c r="K298" s="1">
        <f ca="1">IFERROR(__xludf.DUMMYFUNCTION("""COMPUTED_VALUE"""),312)</f>
        <v>312</v>
      </c>
      <c r="L298" s="1">
        <f ca="1">IFERROR(__xludf.DUMMYFUNCTION("""COMPUTED_VALUE"""),-0.055)</f>
        <v>-5.5E-2</v>
      </c>
      <c r="M298" s="1">
        <f ca="1">IFERROR(__xludf.DUMMYFUNCTION("""COMPUTED_VALUE"""),300)</f>
        <v>300</v>
      </c>
      <c r="N298" s="1">
        <f ca="1">IFERROR(__xludf.DUMMYFUNCTION("""COMPUTED_VALUE"""),-2.08)</f>
        <v>-2.08</v>
      </c>
      <c r="O298" s="1">
        <f ca="1">IFERROR(__xludf.DUMMYFUNCTION("""COMPUTED_VALUE"""),202)</f>
        <v>202</v>
      </c>
      <c r="P298" s="1">
        <f ca="1">IFERROR(__xludf.DUMMYFUNCTION("""COMPUTED_VALUE"""),103.1)</f>
        <v>103.1</v>
      </c>
      <c r="Q298" s="1">
        <f ca="1">IFERROR(__xludf.DUMMYFUNCTION("""COMPUTED_VALUE"""),169)</f>
        <v>169</v>
      </c>
      <c r="R298" s="1">
        <f ca="1">IFERROR(__xludf.DUMMYFUNCTION("""COMPUTED_VALUE"""),105.2)</f>
        <v>105.2</v>
      </c>
      <c r="S298" s="1">
        <f ca="1">IFERROR(__xludf.DUMMYFUNCTION("""COMPUTED_VALUE"""),246)</f>
        <v>246</v>
      </c>
      <c r="T298" s="1" t="str">
        <f ca="1">IFERROR(__xludf.DUMMYFUNCTION("""COMPUTED_VALUE"""),"+1.31")</f>
        <v>+1.31</v>
      </c>
      <c r="U298" s="1">
        <f ca="1">IFERROR(__xludf.DUMMYFUNCTION("""COMPUTED_VALUE"""),114)</f>
        <v>114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IFERROR(__xludf.DUMMYFUNCTION("""COMPUTED_VALUE"""),"Eastern Michigan")</f>
        <v>Eastern Michigan</v>
      </c>
      <c r="C299" s="1" t="str">
        <f ca="1">IFERROR(__xludf.DUMMYFUNCTION("""COMPUTED_VALUE"""),"MAC")</f>
        <v>MAC</v>
      </c>
      <c r="D299" s="2">
        <f ca="1">IFERROR(__xludf.DUMMYFUNCTION("""COMPUTED_VALUE"""),44826)</f>
        <v>44826</v>
      </c>
      <c r="E299" s="1">
        <f ca="1">IFERROR(__xludf.DUMMYFUNCTION("""COMPUTED_VALUE"""),-10.75)</f>
        <v>-10.75</v>
      </c>
      <c r="F299" s="1">
        <f ca="1">IFERROR(__xludf.DUMMYFUNCTION("""COMPUTED_VALUE"""),89.5)</f>
        <v>89.5</v>
      </c>
      <c r="G299" s="1">
        <f ca="1">IFERROR(__xludf.DUMMYFUNCTION("""COMPUTED_VALUE"""),333)</f>
        <v>333</v>
      </c>
      <c r="H299" s="1">
        <f ca="1">IFERROR(__xludf.DUMMYFUNCTION("""COMPUTED_VALUE"""),100.3)</f>
        <v>100.3</v>
      </c>
      <c r="I299" s="1">
        <f ca="1">IFERROR(__xludf.DUMMYFUNCTION("""COMPUTED_VALUE"""),109)</f>
        <v>109</v>
      </c>
      <c r="J299" s="1">
        <f ca="1">IFERROR(__xludf.DUMMYFUNCTION("""COMPUTED_VALUE"""),66.1)</f>
        <v>66.099999999999994</v>
      </c>
      <c r="K299" s="1">
        <f ca="1">IFERROR(__xludf.DUMMYFUNCTION("""COMPUTED_VALUE"""),130)</f>
        <v>130</v>
      </c>
      <c r="L299" s="1">
        <f ca="1">IFERROR(__xludf.DUMMYFUNCTION("""COMPUTED_VALUE"""),-0.107)</f>
        <v>-0.107</v>
      </c>
      <c r="M299" s="1">
        <f ca="1">IFERROR(__xludf.DUMMYFUNCTION("""COMPUTED_VALUE"""),336)</f>
        <v>336</v>
      </c>
      <c r="N299" s="1">
        <f ca="1">IFERROR(__xludf.DUMMYFUNCTION("""COMPUTED_VALUE"""),-3.28)</f>
        <v>-3.28</v>
      </c>
      <c r="O299" s="1">
        <f ca="1">IFERROR(__xludf.DUMMYFUNCTION("""COMPUTED_VALUE"""),236)</f>
        <v>236</v>
      </c>
      <c r="P299" s="1">
        <f ca="1">IFERROR(__xludf.DUMMYFUNCTION("""COMPUTED_VALUE"""),101.1)</f>
        <v>101.1</v>
      </c>
      <c r="Q299" s="1">
        <f ca="1">IFERROR(__xludf.DUMMYFUNCTION("""COMPUTED_VALUE"""),256)</f>
        <v>256</v>
      </c>
      <c r="R299" s="1">
        <f ca="1">IFERROR(__xludf.DUMMYFUNCTION("""COMPUTED_VALUE"""),104.4)</f>
        <v>104.4</v>
      </c>
      <c r="S299" s="1">
        <f ca="1">IFERROR(__xludf.DUMMYFUNCTION("""COMPUTED_VALUE"""),200)</f>
        <v>200</v>
      </c>
      <c r="T299" s="1">
        <f ca="1">IFERROR(__xludf.DUMMYFUNCTION("""COMPUTED_VALUE"""),-1.76)</f>
        <v>-1.76</v>
      </c>
      <c r="U299" s="1">
        <f ca="1">IFERROR(__xludf.DUMMYFUNCTION("""COMPUTED_VALUE"""),202)</f>
        <v>202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IFERROR(__xludf.DUMMYFUNCTION("""COMPUTED_VALUE"""),"UNC Greensboro")</f>
        <v>UNC Greensboro</v>
      </c>
      <c r="C300" s="1" t="str">
        <f ca="1">IFERROR(__xludf.DUMMYFUNCTION("""COMPUTED_VALUE"""),"SC")</f>
        <v>SC</v>
      </c>
      <c r="D300" s="2">
        <f ca="1">IFERROR(__xludf.DUMMYFUNCTION("""COMPUTED_VALUE"""),44766)</f>
        <v>44766</v>
      </c>
      <c r="E300" s="1">
        <f ca="1">IFERROR(__xludf.DUMMYFUNCTION("""COMPUTED_VALUE"""),-10.86)</f>
        <v>-10.86</v>
      </c>
      <c r="F300" s="1">
        <f ca="1">IFERROR(__xludf.DUMMYFUNCTION("""COMPUTED_VALUE"""),99.6)</f>
        <v>99.6</v>
      </c>
      <c r="G300" s="1">
        <f ca="1">IFERROR(__xludf.DUMMYFUNCTION("""COMPUTED_VALUE"""),241)</f>
        <v>241</v>
      </c>
      <c r="H300" s="1">
        <f ca="1">IFERROR(__xludf.DUMMYFUNCTION("""COMPUTED_VALUE"""),110.4)</f>
        <v>110.4</v>
      </c>
      <c r="I300" s="1">
        <f ca="1">IFERROR(__xludf.DUMMYFUNCTION("""COMPUTED_VALUE"""),304)</f>
        <v>304</v>
      </c>
      <c r="J300" s="1">
        <f ca="1">IFERROR(__xludf.DUMMYFUNCTION("""COMPUTED_VALUE"""),69.5)</f>
        <v>69.5</v>
      </c>
      <c r="K300" s="1">
        <f ca="1">IFERROR(__xludf.DUMMYFUNCTION("""COMPUTED_VALUE"""),29)</f>
        <v>29</v>
      </c>
      <c r="L300" s="1">
        <f ca="1">IFERROR(__xludf.DUMMYFUNCTION("""COMPUTED_VALUE"""),-0.031)</f>
        <v>-3.1E-2</v>
      </c>
      <c r="M300" s="1">
        <f ca="1">IFERROR(__xludf.DUMMYFUNCTION("""COMPUTED_VALUE"""),264)</f>
        <v>264</v>
      </c>
      <c r="N300" s="1">
        <f ca="1">IFERROR(__xludf.DUMMYFUNCTION("""COMPUTED_VALUE"""),-0.32)</f>
        <v>-0.32</v>
      </c>
      <c r="O300" s="1">
        <f ca="1">IFERROR(__xludf.DUMMYFUNCTION("""COMPUTED_VALUE"""),161)</f>
        <v>161</v>
      </c>
      <c r="P300" s="1">
        <f ca="1">IFERROR(__xludf.DUMMYFUNCTION("""COMPUTED_VALUE"""),103.7)</f>
        <v>103.7</v>
      </c>
      <c r="Q300" s="1">
        <f ca="1">IFERROR(__xludf.DUMMYFUNCTION("""COMPUTED_VALUE"""),146)</f>
        <v>146</v>
      </c>
      <c r="R300" s="1">
        <f ca="1">IFERROR(__xludf.DUMMYFUNCTION("""COMPUTED_VALUE"""),104.1)</f>
        <v>104.1</v>
      </c>
      <c r="S300" s="1">
        <f ca="1">IFERROR(__xludf.DUMMYFUNCTION("""COMPUTED_VALUE"""),183)</f>
        <v>183</v>
      </c>
      <c r="T300" s="1" t="str">
        <f ca="1">IFERROR(__xludf.DUMMYFUNCTION("""COMPUTED_VALUE"""),"+10.16")</f>
        <v>+10.16</v>
      </c>
      <c r="U300" s="1">
        <f ca="1">IFERROR(__xludf.DUMMYFUNCTION("""COMPUTED_VALUE"""),11)</f>
        <v>11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IFERROR(__xludf.DUMMYFUNCTION("""COMPUTED_VALUE"""),"Florida Gulf Coast")</f>
        <v>Florida Gulf Coast</v>
      </c>
      <c r="C301" s="1" t="str">
        <f ca="1">IFERROR(__xludf.DUMMYFUNCTION("""COMPUTED_VALUE"""),"ASun")</f>
        <v>ASun</v>
      </c>
      <c r="D301" s="2">
        <f ca="1">IFERROR(__xludf.DUMMYFUNCTION("""COMPUTED_VALUE"""),44854)</f>
        <v>44854</v>
      </c>
      <c r="E301" s="1">
        <f ca="1">IFERROR(__xludf.DUMMYFUNCTION("""COMPUTED_VALUE"""),-11.11)</f>
        <v>-11.11</v>
      </c>
      <c r="F301" s="1">
        <f ca="1">IFERROR(__xludf.DUMMYFUNCTION("""COMPUTED_VALUE"""),94.7)</f>
        <v>94.7</v>
      </c>
      <c r="G301" s="1">
        <f ca="1">IFERROR(__xludf.DUMMYFUNCTION("""COMPUTED_VALUE"""),300)</f>
        <v>300</v>
      </c>
      <c r="H301" s="1">
        <f ca="1">IFERROR(__xludf.DUMMYFUNCTION("""COMPUTED_VALUE"""),105.8)</f>
        <v>105.8</v>
      </c>
      <c r="I301" s="1">
        <f ca="1">IFERROR(__xludf.DUMMYFUNCTION("""COMPUTED_VALUE"""),232)</f>
        <v>232</v>
      </c>
      <c r="J301" s="1">
        <f ca="1">IFERROR(__xludf.DUMMYFUNCTION("""COMPUTED_VALUE"""),67.5)</f>
        <v>67.5</v>
      </c>
      <c r="K301" s="1">
        <f ca="1">IFERROR(__xludf.DUMMYFUNCTION("""COMPUTED_VALUE"""),62)</f>
        <v>62</v>
      </c>
      <c r="L301" s="1">
        <f ca="1">IFERROR(__xludf.DUMMYFUNCTION("""COMPUTED_VALUE"""),-0.001)</f>
        <v>-1E-3</v>
      </c>
      <c r="M301" s="1">
        <f ca="1">IFERROR(__xludf.DUMMYFUNCTION("""COMPUTED_VALUE"""),185)</f>
        <v>185</v>
      </c>
      <c r="N301" s="1">
        <f ca="1">IFERROR(__xludf.DUMMYFUNCTION("""COMPUTED_VALUE"""),-3.74)</f>
        <v>-3.74</v>
      </c>
      <c r="O301" s="1">
        <f ca="1">IFERROR(__xludf.DUMMYFUNCTION("""COMPUTED_VALUE"""),246)</f>
        <v>246</v>
      </c>
      <c r="P301" s="1">
        <f ca="1">IFERROR(__xludf.DUMMYFUNCTION("""COMPUTED_VALUE"""),101.4)</f>
        <v>101.4</v>
      </c>
      <c r="Q301" s="1">
        <f ca="1">IFERROR(__xludf.DUMMYFUNCTION("""COMPUTED_VALUE"""),245)</f>
        <v>245</v>
      </c>
      <c r="R301" s="1">
        <f ca="1">IFERROR(__xludf.DUMMYFUNCTION("""COMPUTED_VALUE"""),105.2)</f>
        <v>105.2</v>
      </c>
      <c r="S301" s="1">
        <f ca="1">IFERROR(__xludf.DUMMYFUNCTION("""COMPUTED_VALUE"""),243)</f>
        <v>243</v>
      </c>
      <c r="T301" s="1">
        <f ca="1">IFERROR(__xludf.DUMMYFUNCTION("""COMPUTED_VALUE"""),-1.99)</f>
        <v>-1.99</v>
      </c>
      <c r="U301" s="1">
        <f ca="1">IFERROR(__xludf.DUMMYFUNCTION("""COMPUTED_VALUE"""),209)</f>
        <v>209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IFERROR(__xludf.DUMMYFUNCTION("""COMPUTED_VALUE"""),"FIU")</f>
        <v>FIU</v>
      </c>
      <c r="C302" s="1" t="str">
        <f ca="1">IFERROR(__xludf.DUMMYFUNCTION("""COMPUTED_VALUE"""),"SB")</f>
        <v>SB</v>
      </c>
      <c r="D302" s="2">
        <f ca="1">IFERROR(__xludf.DUMMYFUNCTION("""COMPUTED_VALUE"""),44884)</f>
        <v>44884</v>
      </c>
      <c r="E302" s="1">
        <f ca="1">IFERROR(__xludf.DUMMYFUNCTION("""COMPUTED_VALUE"""),-11.24)</f>
        <v>-11.24</v>
      </c>
      <c r="F302" s="1">
        <f ca="1">IFERROR(__xludf.DUMMYFUNCTION("""COMPUTED_VALUE"""),100.6)</f>
        <v>100.6</v>
      </c>
      <c r="G302" s="1">
        <f ca="1">IFERROR(__xludf.DUMMYFUNCTION("""COMPUTED_VALUE"""),222)</f>
        <v>222</v>
      </c>
      <c r="H302" s="1">
        <f ca="1">IFERROR(__xludf.DUMMYFUNCTION("""COMPUTED_VALUE"""),111.9)</f>
        <v>111.9</v>
      </c>
      <c r="I302" s="1">
        <f ca="1">IFERROR(__xludf.DUMMYFUNCTION("""COMPUTED_VALUE"""),321)</f>
        <v>321</v>
      </c>
      <c r="J302" s="1">
        <f ca="1">IFERROR(__xludf.DUMMYFUNCTION("""COMPUTED_VALUE"""),68.4)</f>
        <v>68.400000000000006</v>
      </c>
      <c r="K302" s="1">
        <f ca="1">IFERROR(__xludf.DUMMYFUNCTION("""COMPUTED_VALUE"""),43)</f>
        <v>43</v>
      </c>
      <c r="L302" s="1">
        <f ca="1">IFERROR(__xludf.DUMMYFUNCTION("""COMPUTED_VALUE"""),-0.013)</f>
        <v>-1.2999999999999999E-2</v>
      </c>
      <c r="M302" s="1">
        <f ca="1">IFERROR(__xludf.DUMMYFUNCTION("""COMPUTED_VALUE"""),210)</f>
        <v>210</v>
      </c>
      <c r="N302" s="1">
        <f ca="1">IFERROR(__xludf.DUMMYFUNCTION("""COMPUTED_VALUE"""),-5.59)</f>
        <v>-5.59</v>
      </c>
      <c r="O302" s="1">
        <f ca="1">IFERROR(__xludf.DUMMYFUNCTION("""COMPUTED_VALUE"""),291)</f>
        <v>291</v>
      </c>
      <c r="P302" s="1">
        <f ca="1">IFERROR(__xludf.DUMMYFUNCTION("""COMPUTED_VALUE"""),99.9)</f>
        <v>99.9</v>
      </c>
      <c r="Q302" s="1">
        <f ca="1">IFERROR(__xludf.DUMMYFUNCTION("""COMPUTED_VALUE"""),302)</f>
        <v>302</v>
      </c>
      <c r="R302" s="1">
        <f ca="1">IFERROR(__xludf.DUMMYFUNCTION("""COMPUTED_VALUE"""),105.5)</f>
        <v>105.5</v>
      </c>
      <c r="S302" s="1">
        <f ca="1">IFERROR(__xludf.DUMMYFUNCTION("""COMPUTED_VALUE"""),260)</f>
        <v>260</v>
      </c>
      <c r="T302" s="1">
        <f ca="1">IFERROR(__xludf.DUMMYFUNCTION("""COMPUTED_VALUE"""),-2.98)</f>
        <v>-2.98</v>
      </c>
      <c r="U302" s="1">
        <f ca="1">IFERROR(__xludf.DUMMYFUNCTION("""COMPUTED_VALUE"""),237)</f>
        <v>237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IFERROR(__xludf.DUMMYFUNCTION("""COMPUTED_VALUE"""),"New Hampshire")</f>
        <v>New Hampshire</v>
      </c>
      <c r="C303" s="1" t="str">
        <f ca="1">IFERROR(__xludf.DUMMYFUNCTION("""COMPUTED_VALUE"""),"AE")</f>
        <v>AE</v>
      </c>
      <c r="D303" s="2">
        <f ca="1">IFERROR(__xludf.DUMMYFUNCTION("""COMPUTED_VALUE"""),44913)</f>
        <v>44913</v>
      </c>
      <c r="E303" s="1">
        <f ca="1">IFERROR(__xludf.DUMMYFUNCTION("""COMPUTED_VALUE"""),-11.39)</f>
        <v>-11.39</v>
      </c>
      <c r="F303" s="1">
        <f ca="1">IFERROR(__xludf.DUMMYFUNCTION("""COMPUTED_VALUE"""),91.2)</f>
        <v>91.2</v>
      </c>
      <c r="G303" s="1">
        <f ca="1">IFERROR(__xludf.DUMMYFUNCTION("""COMPUTED_VALUE"""),327)</f>
        <v>327</v>
      </c>
      <c r="H303" s="1">
        <f ca="1">IFERROR(__xludf.DUMMYFUNCTION("""COMPUTED_VALUE"""),102.6)</f>
        <v>102.6</v>
      </c>
      <c r="I303" s="1">
        <f ca="1">IFERROR(__xludf.DUMMYFUNCTION("""COMPUTED_VALUE"""),144)</f>
        <v>144</v>
      </c>
      <c r="J303" s="1">
        <f ca="1">IFERROR(__xludf.DUMMYFUNCTION("""COMPUTED_VALUE"""),61.7)</f>
        <v>61.7</v>
      </c>
      <c r="K303" s="1">
        <f ca="1">IFERROR(__xludf.DUMMYFUNCTION("""COMPUTED_VALUE"""),317)</f>
        <v>317</v>
      </c>
      <c r="L303" s="1" t="str">
        <f ca="1">IFERROR(__xludf.DUMMYFUNCTION("""COMPUTED_VALUE"""),"+.030")</f>
        <v>+.030</v>
      </c>
      <c r="M303" s="1">
        <f ca="1">IFERROR(__xludf.DUMMYFUNCTION("""COMPUTED_VALUE"""),106)</f>
        <v>106</v>
      </c>
      <c r="N303" s="1">
        <f ca="1">IFERROR(__xludf.DUMMYFUNCTION("""COMPUTED_VALUE"""),-5.94)</f>
        <v>-5.94</v>
      </c>
      <c r="O303" s="1">
        <f ca="1">IFERROR(__xludf.DUMMYFUNCTION("""COMPUTED_VALUE"""),301)</f>
        <v>301</v>
      </c>
      <c r="P303" s="1">
        <f ca="1">IFERROR(__xludf.DUMMYFUNCTION("""COMPUTED_VALUE"""),100.4)</f>
        <v>100.4</v>
      </c>
      <c r="Q303" s="1">
        <f ca="1">IFERROR(__xludf.DUMMYFUNCTION("""COMPUTED_VALUE"""),283)</f>
        <v>283</v>
      </c>
      <c r="R303" s="1">
        <f ca="1">IFERROR(__xludf.DUMMYFUNCTION("""COMPUTED_VALUE"""),106.3)</f>
        <v>106.3</v>
      </c>
      <c r="S303" s="1">
        <f ca="1">IFERROR(__xludf.DUMMYFUNCTION("""COMPUTED_VALUE"""),307)</f>
        <v>307</v>
      </c>
      <c r="T303" s="1">
        <f ca="1">IFERROR(__xludf.DUMMYFUNCTION("""COMPUTED_VALUE"""),-2.71)</f>
        <v>-2.71</v>
      </c>
      <c r="U303" s="1">
        <f ca="1">IFERROR(__xludf.DUMMYFUNCTION("""COMPUTED_VALUE"""),228)</f>
        <v>228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IFERROR(__xludf.DUMMYFUNCTION("""COMPUTED_VALUE"""),"South Dakota")</f>
        <v>South Dakota</v>
      </c>
      <c r="C304" s="1" t="str">
        <f ca="1">IFERROR(__xludf.DUMMYFUNCTION("""COMPUTED_VALUE"""),"GWC")</f>
        <v>GWC</v>
      </c>
      <c r="D304" s="1" t="str">
        <f ca="1">IFERROR(__xludf.DUMMYFUNCTION("""COMPUTED_VALUE"""),"18-15")</f>
        <v>18-15</v>
      </c>
      <c r="E304" s="1">
        <f ca="1">IFERROR(__xludf.DUMMYFUNCTION("""COMPUTED_VALUE"""),-11.46)</f>
        <v>-11.46</v>
      </c>
      <c r="F304" s="1">
        <f ca="1">IFERROR(__xludf.DUMMYFUNCTION("""COMPUTED_VALUE"""),100.1)</f>
        <v>100.1</v>
      </c>
      <c r="G304" s="1">
        <f ca="1">IFERROR(__xludf.DUMMYFUNCTION("""COMPUTED_VALUE"""),233)</f>
        <v>233</v>
      </c>
      <c r="H304" s="1">
        <f ca="1">IFERROR(__xludf.DUMMYFUNCTION("""COMPUTED_VALUE"""),111.5)</f>
        <v>111.5</v>
      </c>
      <c r="I304" s="1">
        <f ca="1">IFERROR(__xludf.DUMMYFUNCTION("""COMPUTED_VALUE"""),318)</f>
        <v>318</v>
      </c>
      <c r="J304" s="1">
        <f ca="1">IFERROR(__xludf.DUMMYFUNCTION("""COMPUTED_VALUE"""),70.9)</f>
        <v>70.900000000000006</v>
      </c>
      <c r="K304" s="1">
        <f ca="1">IFERROR(__xludf.DUMMYFUNCTION("""COMPUTED_VALUE"""),13)</f>
        <v>13</v>
      </c>
      <c r="L304" s="1">
        <f ca="1">IFERROR(__xludf.DUMMYFUNCTION("""COMPUTED_VALUE"""),-0.031)</f>
        <v>-3.1E-2</v>
      </c>
      <c r="M304" s="1">
        <f ca="1">IFERROR(__xludf.DUMMYFUNCTION("""COMPUTED_VALUE"""),260)</f>
        <v>260</v>
      </c>
      <c r="N304" s="1">
        <f ca="1">IFERROR(__xludf.DUMMYFUNCTION("""COMPUTED_VALUE"""),-13.32)</f>
        <v>-13.32</v>
      </c>
      <c r="O304" s="1">
        <f ca="1">IFERROR(__xludf.DUMMYFUNCTION("""COMPUTED_VALUE"""),344)</f>
        <v>344</v>
      </c>
      <c r="P304" s="1">
        <f ca="1">IFERROR(__xludf.DUMMYFUNCTION("""COMPUTED_VALUE"""),96.3)</f>
        <v>96.3</v>
      </c>
      <c r="Q304" s="1">
        <f ca="1">IFERROR(__xludf.DUMMYFUNCTION("""COMPUTED_VALUE"""),335)</f>
        <v>335</v>
      </c>
      <c r="R304" s="1">
        <f ca="1">IFERROR(__xludf.DUMMYFUNCTION("""COMPUTED_VALUE"""),109.6)</f>
        <v>109.6</v>
      </c>
      <c r="S304" s="1">
        <f ca="1">IFERROR(__xludf.DUMMYFUNCTION("""COMPUTED_VALUE"""),345)</f>
        <v>345</v>
      </c>
      <c r="T304" s="1">
        <f ca="1">IFERROR(__xludf.DUMMYFUNCTION("""COMPUTED_VALUE"""),-7.07)</f>
        <v>-7.07</v>
      </c>
      <c r="U304" s="1">
        <f ca="1">IFERROR(__xludf.DUMMYFUNCTION("""COMPUTED_VALUE"""),319)</f>
        <v>319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IFERROR(__xludf.DUMMYFUNCTION("""COMPUTED_VALUE"""),"Hartford")</f>
        <v>Hartford</v>
      </c>
      <c r="C305" s="1" t="str">
        <f ca="1">IFERROR(__xludf.DUMMYFUNCTION("""COMPUTED_VALUE"""),"AE")</f>
        <v>AE</v>
      </c>
      <c r="D305" s="2">
        <f ca="1">IFERROR(__xludf.DUMMYFUNCTION("""COMPUTED_VALUE"""),44885)</f>
        <v>44885</v>
      </c>
      <c r="E305" s="1">
        <f ca="1">IFERROR(__xludf.DUMMYFUNCTION("""COMPUTED_VALUE"""),-11.68)</f>
        <v>-11.68</v>
      </c>
      <c r="F305" s="1">
        <f ca="1">IFERROR(__xludf.DUMMYFUNCTION("""COMPUTED_VALUE"""),92.8)</f>
        <v>92.8</v>
      </c>
      <c r="G305" s="1">
        <f ca="1">IFERROR(__xludf.DUMMYFUNCTION("""COMPUTED_VALUE"""),317)</f>
        <v>317</v>
      </c>
      <c r="H305" s="1">
        <f ca="1">IFERROR(__xludf.DUMMYFUNCTION("""COMPUTED_VALUE"""),104.5)</f>
        <v>104.5</v>
      </c>
      <c r="I305" s="1">
        <f ca="1">IFERROR(__xludf.DUMMYFUNCTION("""COMPUTED_VALUE"""),198)</f>
        <v>198</v>
      </c>
      <c r="J305" s="1">
        <f ca="1">IFERROR(__xludf.DUMMYFUNCTION("""COMPUTED_VALUE"""),63)</f>
        <v>63</v>
      </c>
      <c r="K305" s="1">
        <f ca="1">IFERROR(__xludf.DUMMYFUNCTION("""COMPUTED_VALUE"""),279)</f>
        <v>279</v>
      </c>
      <c r="L305" s="1">
        <f ca="1">IFERROR(__xludf.DUMMYFUNCTION("""COMPUTED_VALUE"""),-0.011)</f>
        <v>-1.0999999999999999E-2</v>
      </c>
      <c r="M305" s="1">
        <f ca="1">IFERROR(__xludf.DUMMYFUNCTION("""COMPUTED_VALUE"""),208)</f>
        <v>208</v>
      </c>
      <c r="N305" s="1">
        <f ca="1">IFERROR(__xludf.DUMMYFUNCTION("""COMPUTED_VALUE"""),-5.69)</f>
        <v>-5.69</v>
      </c>
      <c r="O305" s="1">
        <f ca="1">IFERROR(__xludf.DUMMYFUNCTION("""COMPUTED_VALUE"""),292)</f>
        <v>292</v>
      </c>
      <c r="P305" s="1">
        <f ca="1">IFERROR(__xludf.DUMMYFUNCTION("""COMPUTED_VALUE"""),100.1)</f>
        <v>100.1</v>
      </c>
      <c r="Q305" s="1">
        <f ca="1">IFERROR(__xludf.DUMMYFUNCTION("""COMPUTED_VALUE"""),299)</f>
        <v>299</v>
      </c>
      <c r="R305" s="1">
        <f ca="1">IFERROR(__xludf.DUMMYFUNCTION("""COMPUTED_VALUE"""),105.8)</f>
        <v>105.8</v>
      </c>
      <c r="S305" s="1">
        <f ca="1">IFERROR(__xludf.DUMMYFUNCTION("""COMPUTED_VALUE"""),279)</f>
        <v>279</v>
      </c>
      <c r="T305" s="1">
        <f ca="1">IFERROR(__xludf.DUMMYFUNCTION("""COMPUTED_VALUE"""),-1.34)</f>
        <v>-1.34</v>
      </c>
      <c r="U305" s="1">
        <f ca="1">IFERROR(__xludf.DUMMYFUNCTION("""COMPUTED_VALUE"""),195)</f>
        <v>195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IFERROR(__xludf.DUMMYFUNCTION("""COMPUTED_VALUE"""),"Fordham")</f>
        <v>Fordham</v>
      </c>
      <c r="C306" s="1" t="str">
        <f ca="1">IFERROR(__xludf.DUMMYFUNCTION("""COMPUTED_VALUE"""),"A10")</f>
        <v>A10</v>
      </c>
      <c r="D306" s="2">
        <f ca="1">IFERROR(__xludf.DUMMYFUNCTION("""COMPUTED_VALUE"""),44763)</f>
        <v>44763</v>
      </c>
      <c r="E306" s="1">
        <f ca="1">IFERROR(__xludf.DUMMYFUNCTION("""COMPUTED_VALUE"""),-11.72)</f>
        <v>-11.72</v>
      </c>
      <c r="F306" s="1">
        <f ca="1">IFERROR(__xludf.DUMMYFUNCTION("""COMPUTED_VALUE"""),98)</f>
        <v>98</v>
      </c>
      <c r="G306" s="1">
        <f ca="1">IFERROR(__xludf.DUMMYFUNCTION("""COMPUTED_VALUE"""),264)</f>
        <v>264</v>
      </c>
      <c r="H306" s="1">
        <f ca="1">IFERROR(__xludf.DUMMYFUNCTION("""COMPUTED_VALUE"""),109.8)</f>
        <v>109.8</v>
      </c>
      <c r="I306" s="1">
        <f ca="1">IFERROR(__xludf.DUMMYFUNCTION("""COMPUTED_VALUE"""),294)</f>
        <v>294</v>
      </c>
      <c r="J306" s="1">
        <f ca="1">IFERROR(__xludf.DUMMYFUNCTION("""COMPUTED_VALUE"""),66.2)</f>
        <v>66.2</v>
      </c>
      <c r="K306" s="1">
        <f ca="1">IFERROR(__xludf.DUMMYFUNCTION("""COMPUTED_VALUE"""),118)</f>
        <v>118</v>
      </c>
      <c r="L306" s="1" t="str">
        <f ca="1">IFERROR(__xludf.DUMMYFUNCTION("""COMPUTED_VALUE"""),"+.013")</f>
        <v>+.013</v>
      </c>
      <c r="M306" s="1">
        <f ca="1">IFERROR(__xludf.DUMMYFUNCTION("""COMPUTED_VALUE"""),146)</f>
        <v>146</v>
      </c>
      <c r="N306" s="1" t="str">
        <f ca="1">IFERROR(__xludf.DUMMYFUNCTION("""COMPUTED_VALUE"""),"+1.20")</f>
        <v>+1.20</v>
      </c>
      <c r="O306" s="1">
        <f ca="1">IFERROR(__xludf.DUMMYFUNCTION("""COMPUTED_VALUE"""),128)</f>
        <v>128</v>
      </c>
      <c r="P306" s="1">
        <f ca="1">IFERROR(__xludf.DUMMYFUNCTION("""COMPUTED_VALUE"""),104)</f>
        <v>104</v>
      </c>
      <c r="Q306" s="1">
        <f ca="1">IFERROR(__xludf.DUMMYFUNCTION("""COMPUTED_VALUE"""),133)</f>
        <v>133</v>
      </c>
      <c r="R306" s="1">
        <f ca="1">IFERROR(__xludf.DUMMYFUNCTION("""COMPUTED_VALUE"""),102.8)</f>
        <v>102.8</v>
      </c>
      <c r="S306" s="1">
        <f ca="1">IFERROR(__xludf.DUMMYFUNCTION("""COMPUTED_VALUE"""),124)</f>
        <v>124</v>
      </c>
      <c r="T306" s="1">
        <f ca="1">IFERROR(__xludf.DUMMYFUNCTION("""COMPUTED_VALUE"""),-5.56)</f>
        <v>-5.56</v>
      </c>
      <c r="U306" s="1">
        <f ca="1">IFERROR(__xludf.DUMMYFUNCTION("""COMPUTED_VALUE"""),300)</f>
        <v>300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IFERROR(__xludf.DUMMYFUNCTION("""COMPUTED_VALUE"""),"Bethune Cookman8")</f>
        <v>Bethune Cookman8</v>
      </c>
      <c r="C307" s="1" t="str">
        <f ca="1">IFERROR(__xludf.DUMMYFUNCTION("""COMPUTED_VALUE"""),"MEAC")</f>
        <v>MEAC</v>
      </c>
      <c r="D307" s="1" t="str">
        <f ca="1">IFERROR(__xludf.DUMMYFUNCTION("""COMPUTED_VALUE"""),"21-13")</f>
        <v>21-13</v>
      </c>
      <c r="E307" s="1">
        <f ca="1">IFERROR(__xludf.DUMMYFUNCTION("""COMPUTED_VALUE"""),-12.02)</f>
        <v>-12.02</v>
      </c>
      <c r="F307" s="1">
        <f ca="1">IFERROR(__xludf.DUMMYFUNCTION("""COMPUTED_VALUE"""),100)</f>
        <v>100</v>
      </c>
      <c r="G307" s="1">
        <f ca="1">IFERROR(__xludf.DUMMYFUNCTION("""COMPUTED_VALUE"""),234)</f>
        <v>234</v>
      </c>
      <c r="H307" s="1">
        <f ca="1">IFERROR(__xludf.DUMMYFUNCTION("""COMPUTED_VALUE"""),112.1)</f>
        <v>112.1</v>
      </c>
      <c r="I307" s="1">
        <f ca="1">IFERROR(__xludf.DUMMYFUNCTION("""COMPUTED_VALUE"""),322)</f>
        <v>322</v>
      </c>
      <c r="J307" s="1">
        <f ca="1">IFERROR(__xludf.DUMMYFUNCTION("""COMPUTED_VALUE"""),61)</f>
        <v>61</v>
      </c>
      <c r="K307" s="1">
        <f ca="1">IFERROR(__xludf.DUMMYFUNCTION("""COMPUTED_VALUE"""),327)</f>
        <v>327</v>
      </c>
      <c r="L307" s="1" t="str">
        <f ca="1">IFERROR(__xludf.DUMMYFUNCTION("""COMPUTED_VALUE"""),"+.148")</f>
        <v>+.148</v>
      </c>
      <c r="M307" s="1">
        <f ca="1">IFERROR(__xludf.DUMMYFUNCTION("""COMPUTED_VALUE"""),1)</f>
        <v>1</v>
      </c>
      <c r="N307" s="1">
        <f ca="1">IFERROR(__xludf.DUMMYFUNCTION("""COMPUTED_VALUE"""),-9.32)</f>
        <v>-9.32</v>
      </c>
      <c r="O307" s="1">
        <f ca="1">IFERROR(__xludf.DUMMYFUNCTION("""COMPUTED_VALUE"""),327)</f>
        <v>327</v>
      </c>
      <c r="P307" s="1">
        <f ca="1">IFERROR(__xludf.DUMMYFUNCTION("""COMPUTED_VALUE"""),97.3)</f>
        <v>97.3</v>
      </c>
      <c r="Q307" s="1">
        <f ca="1">IFERROR(__xludf.DUMMYFUNCTION("""COMPUTED_VALUE"""),332)</f>
        <v>332</v>
      </c>
      <c r="R307" s="1">
        <f ca="1">IFERROR(__xludf.DUMMYFUNCTION("""COMPUTED_VALUE"""),106.6)</f>
        <v>106.6</v>
      </c>
      <c r="S307" s="1">
        <f ca="1">IFERROR(__xludf.DUMMYFUNCTION("""COMPUTED_VALUE"""),318)</f>
        <v>318</v>
      </c>
      <c r="T307" s="1" t="str">
        <f ca="1">IFERROR(__xludf.DUMMYFUNCTION("""COMPUTED_VALUE"""),"+1.56")</f>
        <v>+1.56</v>
      </c>
      <c r="U307" s="1">
        <f ca="1">IFERROR(__xludf.DUMMYFUNCTION("""COMPUTED_VALUE"""),108)</f>
        <v>108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IFERROR(__xludf.DUMMYFUNCTION("""COMPUTED_VALUE"""),"Jacksonville St.")</f>
        <v>Jacksonville St.</v>
      </c>
      <c r="C308" s="1" t="str">
        <f ca="1">IFERROR(__xludf.DUMMYFUNCTION("""COMPUTED_VALUE"""),"OVC")</f>
        <v>OVC</v>
      </c>
      <c r="D308" s="2">
        <f ca="1">IFERROR(__xludf.DUMMYFUNCTION("""COMPUTED_VALUE"""),44706)</f>
        <v>44706</v>
      </c>
      <c r="E308" s="1">
        <f ca="1">IFERROR(__xludf.DUMMYFUNCTION("""COMPUTED_VALUE"""),-12.2)</f>
        <v>-12.2</v>
      </c>
      <c r="F308" s="1">
        <f ca="1">IFERROR(__xludf.DUMMYFUNCTION("""COMPUTED_VALUE"""),95.9)</f>
        <v>95.9</v>
      </c>
      <c r="G308" s="1">
        <f ca="1">IFERROR(__xludf.DUMMYFUNCTION("""COMPUTED_VALUE"""),290)</f>
        <v>290</v>
      </c>
      <c r="H308" s="1">
        <f ca="1">IFERROR(__xludf.DUMMYFUNCTION("""COMPUTED_VALUE"""),108.1)</f>
        <v>108.1</v>
      </c>
      <c r="I308" s="1">
        <f ca="1">IFERROR(__xludf.DUMMYFUNCTION("""COMPUTED_VALUE"""),266)</f>
        <v>266</v>
      </c>
      <c r="J308" s="1">
        <f ca="1">IFERROR(__xludf.DUMMYFUNCTION("""COMPUTED_VALUE"""),61.4)</f>
        <v>61.4</v>
      </c>
      <c r="K308" s="1">
        <f ca="1">IFERROR(__xludf.DUMMYFUNCTION("""COMPUTED_VALUE"""),323)</f>
        <v>323</v>
      </c>
      <c r="L308" s="1">
        <f ca="1">IFERROR(__xludf.DUMMYFUNCTION("""COMPUTED_VALUE"""),-0.078)</f>
        <v>-7.8E-2</v>
      </c>
      <c r="M308" s="1">
        <f ca="1">IFERROR(__xludf.DUMMYFUNCTION("""COMPUTED_VALUE"""),325)</f>
        <v>325</v>
      </c>
      <c r="N308" s="1">
        <f ca="1">IFERROR(__xludf.DUMMYFUNCTION("""COMPUTED_VALUE"""),-4.39)</f>
        <v>-4.3899999999999997</v>
      </c>
      <c r="O308" s="1">
        <f ca="1">IFERROR(__xludf.DUMMYFUNCTION("""COMPUTED_VALUE"""),265)</f>
        <v>265</v>
      </c>
      <c r="P308" s="1">
        <f ca="1">IFERROR(__xludf.DUMMYFUNCTION("""COMPUTED_VALUE"""),101.1)</f>
        <v>101.1</v>
      </c>
      <c r="Q308" s="1">
        <f ca="1">IFERROR(__xludf.DUMMYFUNCTION("""COMPUTED_VALUE"""),255)</f>
        <v>255</v>
      </c>
      <c r="R308" s="1">
        <f ca="1">IFERROR(__xludf.DUMMYFUNCTION("""COMPUTED_VALUE"""),105.5)</f>
        <v>105.5</v>
      </c>
      <c r="S308" s="1">
        <f ca="1">IFERROR(__xludf.DUMMYFUNCTION("""COMPUTED_VALUE"""),261)</f>
        <v>261</v>
      </c>
      <c r="T308" s="1">
        <f ca="1">IFERROR(__xludf.DUMMYFUNCTION("""COMPUTED_VALUE"""),-2.24)</f>
        <v>-2.2400000000000002</v>
      </c>
      <c r="U308" s="1">
        <f ca="1">IFERROR(__xludf.DUMMYFUNCTION("""COMPUTED_VALUE"""),213)</f>
        <v>213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IFERROR(__xludf.DUMMYFUNCTION("""COMPUTED_VALUE"""),"North Carolina A&amp;T")</f>
        <v>North Carolina A&amp;T</v>
      </c>
      <c r="C309" s="1" t="str">
        <f ca="1">IFERROR(__xludf.DUMMYFUNCTION("""COMPUTED_VALUE"""),"MEAC")</f>
        <v>MEAC</v>
      </c>
      <c r="D309" s="1" t="str">
        <f ca="1">IFERROR(__xludf.DUMMYFUNCTION("""COMPUTED_VALUE"""),"15-17")</f>
        <v>15-17</v>
      </c>
      <c r="E309" s="1">
        <f ca="1">IFERROR(__xludf.DUMMYFUNCTION("""COMPUTED_VALUE"""),-12.29)</f>
        <v>-12.29</v>
      </c>
      <c r="F309" s="1">
        <f ca="1">IFERROR(__xludf.DUMMYFUNCTION("""COMPUTED_VALUE"""),99.1)</f>
        <v>99.1</v>
      </c>
      <c r="G309" s="1">
        <f ca="1">IFERROR(__xludf.DUMMYFUNCTION("""COMPUTED_VALUE"""),248)</f>
        <v>248</v>
      </c>
      <c r="H309" s="1">
        <f ca="1">IFERROR(__xludf.DUMMYFUNCTION("""COMPUTED_VALUE"""),111.4)</f>
        <v>111.4</v>
      </c>
      <c r="I309" s="1">
        <f ca="1">IFERROR(__xludf.DUMMYFUNCTION("""COMPUTED_VALUE"""),312)</f>
        <v>312</v>
      </c>
      <c r="J309" s="1">
        <f ca="1">IFERROR(__xludf.DUMMYFUNCTION("""COMPUTED_VALUE"""),67.8)</f>
        <v>67.8</v>
      </c>
      <c r="K309" s="1">
        <f ca="1">IFERROR(__xludf.DUMMYFUNCTION("""COMPUTED_VALUE"""),54)</f>
        <v>54</v>
      </c>
      <c r="L309" s="1" t="str">
        <f ca="1">IFERROR(__xludf.DUMMYFUNCTION("""COMPUTED_VALUE"""),"+.048")</f>
        <v>+.048</v>
      </c>
      <c r="M309" s="1">
        <f ca="1">IFERROR(__xludf.DUMMYFUNCTION("""COMPUTED_VALUE"""),59)</f>
        <v>59</v>
      </c>
      <c r="N309" s="1">
        <f ca="1">IFERROR(__xludf.DUMMYFUNCTION("""COMPUTED_VALUE"""),-7.19)</f>
        <v>-7.19</v>
      </c>
      <c r="O309" s="1">
        <f ca="1">IFERROR(__xludf.DUMMYFUNCTION("""COMPUTED_VALUE"""),316)</f>
        <v>316</v>
      </c>
      <c r="P309" s="1">
        <f ca="1">IFERROR(__xludf.DUMMYFUNCTION("""COMPUTED_VALUE"""),98.8)</f>
        <v>98.8</v>
      </c>
      <c r="Q309" s="1">
        <f ca="1">IFERROR(__xludf.DUMMYFUNCTION("""COMPUTED_VALUE"""),317)</f>
        <v>317</v>
      </c>
      <c r="R309" s="1">
        <f ca="1">IFERROR(__xludf.DUMMYFUNCTION("""COMPUTED_VALUE"""),106)</f>
        <v>106</v>
      </c>
      <c r="S309" s="1">
        <f ca="1">IFERROR(__xludf.DUMMYFUNCTION("""COMPUTED_VALUE"""),287)</f>
        <v>287</v>
      </c>
      <c r="T309" s="1" t="str">
        <f ca="1">IFERROR(__xludf.DUMMYFUNCTION("""COMPUTED_VALUE"""),"+5.30")</f>
        <v>+5.30</v>
      </c>
      <c r="U309" s="1">
        <f ca="1">IFERROR(__xludf.DUMMYFUNCTION("""COMPUTED_VALUE"""),43)</f>
        <v>43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IFERROR(__xludf.DUMMYFUNCTION("""COMPUTED_VALUE"""),"San Diego")</f>
        <v>San Diego</v>
      </c>
      <c r="C310" s="1" t="str">
        <f ca="1">IFERROR(__xludf.DUMMYFUNCTION("""COMPUTED_VALUE"""),"WCC")</f>
        <v>WCC</v>
      </c>
      <c r="D310" s="2">
        <f ca="1">IFERROR(__xludf.DUMMYFUNCTION("""COMPUTED_VALUE"""),44736)</f>
        <v>44736</v>
      </c>
      <c r="E310" s="1">
        <f ca="1">IFERROR(__xludf.DUMMYFUNCTION("""COMPUTED_VALUE"""),-12.3)</f>
        <v>-12.3</v>
      </c>
      <c r="F310" s="1">
        <f ca="1">IFERROR(__xludf.DUMMYFUNCTION("""COMPUTED_VALUE"""),92.9)</f>
        <v>92.9</v>
      </c>
      <c r="G310" s="1">
        <f ca="1">IFERROR(__xludf.DUMMYFUNCTION("""COMPUTED_VALUE"""),314)</f>
        <v>314</v>
      </c>
      <c r="H310" s="1">
        <f ca="1">IFERROR(__xludf.DUMMYFUNCTION("""COMPUTED_VALUE"""),105.2)</f>
        <v>105.2</v>
      </c>
      <c r="I310" s="1">
        <f ca="1">IFERROR(__xludf.DUMMYFUNCTION("""COMPUTED_VALUE"""),218)</f>
        <v>218</v>
      </c>
      <c r="J310" s="1">
        <f ca="1">IFERROR(__xludf.DUMMYFUNCTION("""COMPUTED_VALUE"""),63.6)</f>
        <v>63.6</v>
      </c>
      <c r="K310" s="1">
        <f ca="1">IFERROR(__xludf.DUMMYFUNCTION("""COMPUTED_VALUE"""),257)</f>
        <v>257</v>
      </c>
      <c r="L310" s="1">
        <f ca="1">IFERROR(__xludf.DUMMYFUNCTION("""COMPUTED_VALUE"""),-0.029)</f>
        <v>-2.9000000000000001E-2</v>
      </c>
      <c r="M310" s="1">
        <f ca="1">IFERROR(__xludf.DUMMYFUNCTION("""COMPUTED_VALUE"""),254)</f>
        <v>254</v>
      </c>
      <c r="N310" s="1" t="str">
        <f ca="1">IFERROR(__xludf.DUMMYFUNCTION("""COMPUTED_VALUE"""),"+2.85")</f>
        <v>+2.85</v>
      </c>
      <c r="O310" s="1">
        <f ca="1">IFERROR(__xludf.DUMMYFUNCTION("""COMPUTED_VALUE"""),93)</f>
        <v>93</v>
      </c>
      <c r="P310" s="1">
        <f ca="1">IFERROR(__xludf.DUMMYFUNCTION("""COMPUTED_VALUE"""),106.7)</f>
        <v>106.7</v>
      </c>
      <c r="Q310" s="1">
        <f ca="1">IFERROR(__xludf.DUMMYFUNCTION("""COMPUTED_VALUE"""),52)</f>
        <v>52</v>
      </c>
      <c r="R310" s="1">
        <f ca="1">IFERROR(__xludf.DUMMYFUNCTION("""COMPUTED_VALUE"""),103.8)</f>
        <v>103.8</v>
      </c>
      <c r="S310" s="1">
        <f ca="1">IFERROR(__xludf.DUMMYFUNCTION("""COMPUTED_VALUE"""),174)</f>
        <v>174</v>
      </c>
      <c r="T310" s="1" t="str">
        <f ca="1">IFERROR(__xludf.DUMMYFUNCTION("""COMPUTED_VALUE"""),"+1.88")</f>
        <v>+1.88</v>
      </c>
      <c r="U310" s="1">
        <f ca="1">IFERROR(__xludf.DUMMYFUNCTION("""COMPUTED_VALUE"""),97)</f>
        <v>97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IFERROR(__xludf.DUMMYFUNCTION("""COMPUTED_VALUE"""),"South Alabama")</f>
        <v>South Alabama</v>
      </c>
      <c r="C311" s="1" t="str">
        <f ca="1">IFERROR(__xludf.DUMMYFUNCTION("""COMPUTED_VALUE"""),"SB")</f>
        <v>SB</v>
      </c>
      <c r="D311" s="2">
        <f ca="1">IFERROR(__xludf.DUMMYFUNCTION("""COMPUTED_VALUE"""),44911)</f>
        <v>44911</v>
      </c>
      <c r="E311" s="1">
        <f ca="1">IFERROR(__xludf.DUMMYFUNCTION("""COMPUTED_VALUE"""),-12.45)</f>
        <v>-12.45</v>
      </c>
      <c r="F311" s="1">
        <f ca="1">IFERROR(__xludf.DUMMYFUNCTION("""COMPUTED_VALUE"""),99.8)</f>
        <v>99.8</v>
      </c>
      <c r="G311" s="1">
        <f ca="1">IFERROR(__xludf.DUMMYFUNCTION("""COMPUTED_VALUE"""),237)</f>
        <v>237</v>
      </c>
      <c r="H311" s="1">
        <f ca="1">IFERROR(__xludf.DUMMYFUNCTION("""COMPUTED_VALUE"""),112.2)</f>
        <v>112.2</v>
      </c>
      <c r="I311" s="1">
        <f ca="1">IFERROR(__xludf.DUMMYFUNCTION("""COMPUTED_VALUE"""),324)</f>
        <v>324</v>
      </c>
      <c r="J311" s="1">
        <f ca="1">IFERROR(__xludf.DUMMYFUNCTION("""COMPUTED_VALUE"""),66.9)</f>
        <v>66.900000000000006</v>
      </c>
      <c r="K311" s="1">
        <f ca="1">IFERROR(__xludf.DUMMYFUNCTION("""COMPUTED_VALUE"""),84)</f>
        <v>84</v>
      </c>
      <c r="L311" s="1" t="str">
        <f ca="1">IFERROR(__xludf.DUMMYFUNCTION("""COMPUTED_VALUE"""),"+.041")</f>
        <v>+.041</v>
      </c>
      <c r="M311" s="1">
        <f ca="1">IFERROR(__xludf.DUMMYFUNCTION("""COMPUTED_VALUE"""),79)</f>
        <v>79</v>
      </c>
      <c r="N311" s="1">
        <f ca="1">IFERROR(__xludf.DUMMYFUNCTION("""COMPUTED_VALUE"""),-6.01)</f>
        <v>-6.01</v>
      </c>
      <c r="O311" s="1">
        <f ca="1">IFERROR(__xludf.DUMMYFUNCTION("""COMPUTED_VALUE"""),302)</f>
        <v>302</v>
      </c>
      <c r="P311" s="1">
        <f ca="1">IFERROR(__xludf.DUMMYFUNCTION("""COMPUTED_VALUE"""),99.4)</f>
        <v>99.4</v>
      </c>
      <c r="Q311" s="1">
        <f ca="1">IFERROR(__xludf.DUMMYFUNCTION("""COMPUTED_VALUE"""),313)</f>
        <v>313</v>
      </c>
      <c r="R311" s="1">
        <f ca="1">IFERROR(__xludf.DUMMYFUNCTION("""COMPUTED_VALUE"""),105.4)</f>
        <v>105.4</v>
      </c>
      <c r="S311" s="1">
        <f ca="1">IFERROR(__xludf.DUMMYFUNCTION("""COMPUTED_VALUE"""),255)</f>
        <v>255</v>
      </c>
      <c r="T311" s="1">
        <f ca="1">IFERROR(__xludf.DUMMYFUNCTION("""COMPUTED_VALUE"""),-3.69)</f>
        <v>-3.69</v>
      </c>
      <c r="U311" s="1">
        <f ca="1">IFERROR(__xludf.DUMMYFUNCTION("""COMPUTED_VALUE"""),255)</f>
        <v>255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IFERROR(__xludf.DUMMYFUNCTION("""COMPUTED_VALUE"""),"Southeast Missouri St.")</f>
        <v>Southeast Missouri St.</v>
      </c>
      <c r="C312" s="1" t="str">
        <f ca="1">IFERROR(__xludf.DUMMYFUNCTION("""COMPUTED_VALUE"""),"OVC")</f>
        <v>OVC</v>
      </c>
      <c r="D312" s="2">
        <f ca="1">IFERROR(__xludf.DUMMYFUNCTION("""COMPUTED_VALUE"""),44856)</f>
        <v>44856</v>
      </c>
      <c r="E312" s="1">
        <f ca="1">IFERROR(__xludf.DUMMYFUNCTION("""COMPUTED_VALUE"""),-12.51)</f>
        <v>-12.51</v>
      </c>
      <c r="F312" s="1">
        <f ca="1">IFERROR(__xludf.DUMMYFUNCTION("""COMPUTED_VALUE"""),97.8)</f>
        <v>97.8</v>
      </c>
      <c r="G312" s="1">
        <f ca="1">IFERROR(__xludf.DUMMYFUNCTION("""COMPUTED_VALUE"""),268)</f>
        <v>268</v>
      </c>
      <c r="H312" s="1">
        <f ca="1">IFERROR(__xludf.DUMMYFUNCTION("""COMPUTED_VALUE"""),110.3)</f>
        <v>110.3</v>
      </c>
      <c r="I312" s="1">
        <f ca="1">IFERROR(__xludf.DUMMYFUNCTION("""COMPUTED_VALUE"""),303)</f>
        <v>303</v>
      </c>
      <c r="J312" s="1">
        <f ca="1">IFERROR(__xludf.DUMMYFUNCTION("""COMPUTED_VALUE"""),66.1)</f>
        <v>66.099999999999994</v>
      </c>
      <c r="K312" s="1">
        <f ca="1">IFERROR(__xludf.DUMMYFUNCTION("""COMPUTED_VALUE"""),127)</f>
        <v>127</v>
      </c>
      <c r="L312" s="1">
        <f ca="1">IFERROR(__xludf.DUMMYFUNCTION("""COMPUTED_VALUE"""),-0.02)</f>
        <v>-0.02</v>
      </c>
      <c r="M312" s="1">
        <f ca="1">IFERROR(__xludf.DUMMYFUNCTION("""COMPUTED_VALUE"""),232)</f>
        <v>232</v>
      </c>
      <c r="N312" s="1">
        <f ca="1">IFERROR(__xludf.DUMMYFUNCTION("""COMPUTED_VALUE"""),-4.81)</f>
        <v>-4.8099999999999996</v>
      </c>
      <c r="O312" s="1">
        <f ca="1">IFERROR(__xludf.DUMMYFUNCTION("""COMPUTED_VALUE"""),274)</f>
        <v>274</v>
      </c>
      <c r="P312" s="1">
        <f ca="1">IFERROR(__xludf.DUMMYFUNCTION("""COMPUTED_VALUE"""),100.4)</f>
        <v>100.4</v>
      </c>
      <c r="Q312" s="1">
        <f ca="1">IFERROR(__xludf.DUMMYFUNCTION("""COMPUTED_VALUE"""),284)</f>
        <v>284</v>
      </c>
      <c r="R312" s="1">
        <f ca="1">IFERROR(__xludf.DUMMYFUNCTION("""COMPUTED_VALUE"""),105.2)</f>
        <v>105.2</v>
      </c>
      <c r="S312" s="1">
        <f ca="1">IFERROR(__xludf.DUMMYFUNCTION("""COMPUTED_VALUE"""),242)</f>
        <v>242</v>
      </c>
      <c r="T312" s="1">
        <f ca="1">IFERROR(__xludf.DUMMYFUNCTION("""COMPUTED_VALUE"""),-3.85)</f>
        <v>-3.85</v>
      </c>
      <c r="U312" s="1">
        <f ca="1">IFERROR(__xludf.DUMMYFUNCTION("""COMPUTED_VALUE"""),258)</f>
        <v>258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IFERROR(__xludf.DUMMYFUNCTION("""COMPUTED_VALUE"""),"Tennessee Martin")</f>
        <v>Tennessee Martin</v>
      </c>
      <c r="C313" s="1" t="str">
        <f ca="1">IFERROR(__xludf.DUMMYFUNCTION("""COMPUTED_VALUE"""),"OVC")</f>
        <v>OVC</v>
      </c>
      <c r="D313" s="2">
        <f ca="1">IFERROR(__xludf.DUMMYFUNCTION("""COMPUTED_VALUE"""),44916)</f>
        <v>44916</v>
      </c>
      <c r="E313" s="1">
        <f ca="1">IFERROR(__xludf.DUMMYFUNCTION("""COMPUTED_VALUE"""),-12.6)</f>
        <v>-12.6</v>
      </c>
      <c r="F313" s="1">
        <f ca="1">IFERROR(__xludf.DUMMYFUNCTION("""COMPUTED_VALUE"""),97.5)</f>
        <v>97.5</v>
      </c>
      <c r="G313" s="1">
        <f ca="1">IFERROR(__xludf.DUMMYFUNCTION("""COMPUTED_VALUE"""),273)</f>
        <v>273</v>
      </c>
      <c r="H313" s="1">
        <f ca="1">IFERROR(__xludf.DUMMYFUNCTION("""COMPUTED_VALUE"""),110.1)</f>
        <v>110.1</v>
      </c>
      <c r="I313" s="1">
        <f ca="1">IFERROR(__xludf.DUMMYFUNCTION("""COMPUTED_VALUE"""),302)</f>
        <v>302</v>
      </c>
      <c r="J313" s="1">
        <f ca="1">IFERROR(__xludf.DUMMYFUNCTION("""COMPUTED_VALUE"""),68)</f>
        <v>68</v>
      </c>
      <c r="K313" s="1">
        <f ca="1">IFERROR(__xludf.DUMMYFUNCTION("""COMPUTED_VALUE"""),52)</f>
        <v>52</v>
      </c>
      <c r="L313" s="1">
        <f ca="1">IFERROR(__xludf.DUMMYFUNCTION("""COMPUTED_VALUE"""),-0.002)</f>
        <v>-2E-3</v>
      </c>
      <c r="M313" s="1">
        <f ca="1">IFERROR(__xludf.DUMMYFUNCTION("""COMPUTED_VALUE"""),189)</f>
        <v>189</v>
      </c>
      <c r="N313" s="1">
        <f ca="1">IFERROR(__xludf.DUMMYFUNCTION("""COMPUTED_VALUE"""),-4.7)</f>
        <v>-4.7</v>
      </c>
      <c r="O313" s="1">
        <f ca="1">IFERROR(__xludf.DUMMYFUNCTION("""COMPUTED_VALUE"""),269)</f>
        <v>269</v>
      </c>
      <c r="P313" s="1">
        <f ca="1">IFERROR(__xludf.DUMMYFUNCTION("""COMPUTED_VALUE"""),100.7)</f>
        <v>100.7</v>
      </c>
      <c r="Q313" s="1">
        <f ca="1">IFERROR(__xludf.DUMMYFUNCTION("""COMPUTED_VALUE"""),267)</f>
        <v>267</v>
      </c>
      <c r="R313" s="1">
        <f ca="1">IFERROR(__xludf.DUMMYFUNCTION("""COMPUTED_VALUE"""),105.5)</f>
        <v>105.5</v>
      </c>
      <c r="S313" s="1">
        <f ca="1">IFERROR(__xludf.DUMMYFUNCTION("""COMPUTED_VALUE"""),258)</f>
        <v>258</v>
      </c>
      <c r="T313" s="1">
        <f ca="1">IFERROR(__xludf.DUMMYFUNCTION("""COMPUTED_VALUE"""),-2.92)</f>
        <v>-2.92</v>
      </c>
      <c r="U313" s="1">
        <f ca="1">IFERROR(__xludf.DUMMYFUNCTION("""COMPUTED_VALUE"""),236)</f>
        <v>236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IFERROR(__xludf.DUMMYFUNCTION("""COMPUTED_VALUE"""),"Norfolk St.")</f>
        <v>Norfolk St.</v>
      </c>
      <c r="C314" s="1" t="str">
        <f ca="1">IFERROR(__xludf.DUMMYFUNCTION("""COMPUTED_VALUE"""),"MEAC")</f>
        <v>MEAC</v>
      </c>
      <c r="D314" s="2">
        <f ca="1">IFERROR(__xludf.DUMMYFUNCTION("""COMPUTED_VALUE"""),44915)</f>
        <v>44915</v>
      </c>
      <c r="E314" s="1">
        <f ca="1">IFERROR(__xludf.DUMMYFUNCTION("""COMPUTED_VALUE"""),-12.65)</f>
        <v>-12.65</v>
      </c>
      <c r="F314" s="1">
        <f ca="1">IFERROR(__xludf.DUMMYFUNCTION("""COMPUTED_VALUE"""),97.1)</f>
        <v>97.1</v>
      </c>
      <c r="G314" s="1">
        <f ca="1">IFERROR(__xludf.DUMMYFUNCTION("""COMPUTED_VALUE"""),276)</f>
        <v>276</v>
      </c>
      <c r="H314" s="1">
        <f ca="1">IFERROR(__xludf.DUMMYFUNCTION("""COMPUTED_VALUE"""),109.8)</f>
        <v>109.8</v>
      </c>
      <c r="I314" s="1">
        <f ca="1">IFERROR(__xludf.DUMMYFUNCTION("""COMPUTED_VALUE"""),295)</f>
        <v>295</v>
      </c>
      <c r="J314" s="1">
        <f ca="1">IFERROR(__xludf.DUMMYFUNCTION("""COMPUTED_VALUE"""),68.7)</f>
        <v>68.7</v>
      </c>
      <c r="K314" s="1">
        <f ca="1">IFERROR(__xludf.DUMMYFUNCTION("""COMPUTED_VALUE"""),37)</f>
        <v>37</v>
      </c>
      <c r="L314" s="1">
        <f ca="1">IFERROR(__xludf.DUMMYFUNCTION("""COMPUTED_VALUE"""),-0.009)</f>
        <v>-8.9999999999999993E-3</v>
      </c>
      <c r="M314" s="1">
        <f ca="1">IFERROR(__xludf.DUMMYFUNCTION("""COMPUTED_VALUE"""),202)</f>
        <v>202</v>
      </c>
      <c r="N314" s="1">
        <f ca="1">IFERROR(__xludf.DUMMYFUNCTION("""COMPUTED_VALUE"""),-7.81)</f>
        <v>-7.81</v>
      </c>
      <c r="O314" s="1">
        <f ca="1">IFERROR(__xludf.DUMMYFUNCTION("""COMPUTED_VALUE"""),320)</f>
        <v>320</v>
      </c>
      <c r="P314" s="1">
        <f ca="1">IFERROR(__xludf.DUMMYFUNCTION("""COMPUTED_VALUE"""),98.4)</f>
        <v>98.4</v>
      </c>
      <c r="Q314" s="1">
        <f ca="1">IFERROR(__xludf.DUMMYFUNCTION("""COMPUTED_VALUE"""),323)</f>
        <v>323</v>
      </c>
      <c r="R314" s="1">
        <f ca="1">IFERROR(__xludf.DUMMYFUNCTION("""COMPUTED_VALUE"""),106.2)</f>
        <v>106.2</v>
      </c>
      <c r="S314" s="1">
        <f ca="1">IFERROR(__xludf.DUMMYFUNCTION("""COMPUTED_VALUE"""),301)</f>
        <v>301</v>
      </c>
      <c r="T314" s="1" t="str">
        <f ca="1">IFERROR(__xludf.DUMMYFUNCTION("""COMPUTED_VALUE"""),"+3.08")</f>
        <v>+3.08</v>
      </c>
      <c r="U314" s="1">
        <f ca="1">IFERROR(__xludf.DUMMYFUNCTION("""COMPUTED_VALUE"""),70)</f>
        <v>70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IFERROR(__xludf.DUMMYFUNCTION("""COMPUTED_VALUE"""),"North Dakota")</f>
        <v>North Dakota</v>
      </c>
      <c r="C315" s="1" t="str">
        <f ca="1">IFERROR(__xludf.DUMMYFUNCTION("""COMPUTED_VALUE"""),"GWC")</f>
        <v>GWC</v>
      </c>
      <c r="D315" s="1" t="str">
        <f ca="1">IFERROR(__xludf.DUMMYFUNCTION("""COMPUTED_VALUE"""),"19-15")</f>
        <v>19-15</v>
      </c>
      <c r="E315" s="1">
        <f ca="1">IFERROR(__xludf.DUMMYFUNCTION("""COMPUTED_VALUE"""),-12.82)</f>
        <v>-12.82</v>
      </c>
      <c r="F315" s="1">
        <f ca="1">IFERROR(__xludf.DUMMYFUNCTION("""COMPUTED_VALUE"""),92.7)</f>
        <v>92.7</v>
      </c>
      <c r="G315" s="1">
        <f ca="1">IFERROR(__xludf.DUMMYFUNCTION("""COMPUTED_VALUE"""),319)</f>
        <v>319</v>
      </c>
      <c r="H315" s="1">
        <f ca="1">IFERROR(__xludf.DUMMYFUNCTION("""COMPUTED_VALUE"""),105.5)</f>
        <v>105.5</v>
      </c>
      <c r="I315" s="1">
        <f ca="1">IFERROR(__xludf.DUMMYFUNCTION("""COMPUTED_VALUE"""),226)</f>
        <v>226</v>
      </c>
      <c r="J315" s="1">
        <f ca="1">IFERROR(__xludf.DUMMYFUNCTION("""COMPUTED_VALUE"""),66.6)</f>
        <v>66.599999999999994</v>
      </c>
      <c r="K315" s="1">
        <f ca="1">IFERROR(__xludf.DUMMYFUNCTION("""COMPUTED_VALUE"""),102)</f>
        <v>102</v>
      </c>
      <c r="L315" s="1" t="str">
        <f ca="1">IFERROR(__xludf.DUMMYFUNCTION("""COMPUTED_VALUE"""),"+.094")</f>
        <v>+.094</v>
      </c>
      <c r="M315" s="1">
        <f ca="1">IFERROR(__xludf.DUMMYFUNCTION("""COMPUTED_VALUE"""),14)</f>
        <v>14</v>
      </c>
      <c r="N315" s="1">
        <f ca="1">IFERROR(__xludf.DUMMYFUNCTION("""COMPUTED_VALUE"""),-10.41)</f>
        <v>-10.41</v>
      </c>
      <c r="O315" s="1">
        <f ca="1">IFERROR(__xludf.DUMMYFUNCTION("""COMPUTED_VALUE"""),335)</f>
        <v>335</v>
      </c>
      <c r="P315" s="1">
        <f ca="1">IFERROR(__xludf.DUMMYFUNCTION("""COMPUTED_VALUE"""),98.6)</f>
        <v>98.6</v>
      </c>
      <c r="Q315" s="1">
        <f ca="1">IFERROR(__xludf.DUMMYFUNCTION("""COMPUTED_VALUE"""),319)</f>
        <v>319</v>
      </c>
      <c r="R315" s="1">
        <f ca="1">IFERROR(__xludf.DUMMYFUNCTION("""COMPUTED_VALUE"""),109)</f>
        <v>109</v>
      </c>
      <c r="S315" s="1">
        <f ca="1">IFERROR(__xludf.DUMMYFUNCTION("""COMPUTED_VALUE"""),342)</f>
        <v>342</v>
      </c>
      <c r="T315" s="1">
        <f ca="1">IFERROR(__xludf.DUMMYFUNCTION("""COMPUTED_VALUE"""),-1.07)</f>
        <v>-1.07</v>
      </c>
      <c r="U315" s="1">
        <f ca="1">IFERROR(__xludf.DUMMYFUNCTION("""COMPUTED_VALUE"""),186)</f>
        <v>186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IFERROR(__xludf.DUMMYFUNCTION("""COMPUTED_VALUE"""),"Stetson")</f>
        <v>Stetson</v>
      </c>
      <c r="C316" s="1" t="str">
        <f ca="1">IFERROR(__xludf.DUMMYFUNCTION("""COMPUTED_VALUE"""),"ASun")</f>
        <v>ASun</v>
      </c>
      <c r="D316" s="2">
        <f ca="1">IFERROR(__xludf.DUMMYFUNCTION("""COMPUTED_VALUE"""),44796)</f>
        <v>44796</v>
      </c>
      <c r="E316" s="1">
        <f ca="1">IFERROR(__xludf.DUMMYFUNCTION("""COMPUTED_VALUE"""),-12.94)</f>
        <v>-12.94</v>
      </c>
      <c r="F316" s="1">
        <f ca="1">IFERROR(__xludf.DUMMYFUNCTION("""COMPUTED_VALUE"""),96.8)</f>
        <v>96.8</v>
      </c>
      <c r="G316" s="1">
        <f ca="1">IFERROR(__xludf.DUMMYFUNCTION("""COMPUTED_VALUE"""),280)</f>
        <v>280</v>
      </c>
      <c r="H316" s="1">
        <f ca="1">IFERROR(__xludf.DUMMYFUNCTION("""COMPUTED_VALUE"""),109.7)</f>
        <v>109.7</v>
      </c>
      <c r="I316" s="1">
        <f ca="1">IFERROR(__xludf.DUMMYFUNCTION("""COMPUTED_VALUE"""),292)</f>
        <v>292</v>
      </c>
      <c r="J316" s="1">
        <f ca="1">IFERROR(__xludf.DUMMYFUNCTION("""COMPUTED_VALUE"""),65.1)</f>
        <v>65.099999999999994</v>
      </c>
      <c r="K316" s="1">
        <f ca="1">IFERROR(__xludf.DUMMYFUNCTION("""COMPUTED_VALUE"""),177)</f>
        <v>177</v>
      </c>
      <c r="L316" s="1" t="str">
        <f ca="1">IFERROR(__xludf.DUMMYFUNCTION("""COMPUTED_VALUE"""),"+.007")</f>
        <v>+.007</v>
      </c>
      <c r="M316" s="1">
        <f ca="1">IFERROR(__xludf.DUMMYFUNCTION("""COMPUTED_VALUE"""),160)</f>
        <v>160</v>
      </c>
      <c r="N316" s="1">
        <f ca="1">IFERROR(__xludf.DUMMYFUNCTION("""COMPUTED_VALUE"""),-2.74)</f>
        <v>-2.74</v>
      </c>
      <c r="O316" s="1">
        <f ca="1">IFERROR(__xludf.DUMMYFUNCTION("""COMPUTED_VALUE"""),222)</f>
        <v>222</v>
      </c>
      <c r="P316" s="1">
        <f ca="1">IFERROR(__xludf.DUMMYFUNCTION("""COMPUTED_VALUE"""),100.9)</f>
        <v>100.9</v>
      </c>
      <c r="Q316" s="1">
        <f ca="1">IFERROR(__xludf.DUMMYFUNCTION("""COMPUTED_VALUE"""),261)</f>
        <v>261</v>
      </c>
      <c r="R316" s="1">
        <f ca="1">IFERROR(__xludf.DUMMYFUNCTION("""COMPUTED_VALUE"""),103.6)</f>
        <v>103.6</v>
      </c>
      <c r="S316" s="1">
        <f ca="1">IFERROR(__xludf.DUMMYFUNCTION("""COMPUTED_VALUE"""),164)</f>
        <v>164</v>
      </c>
      <c r="T316" s="1" t="str">
        <f ca="1">IFERROR(__xludf.DUMMYFUNCTION("""COMPUTED_VALUE"""),"+0.32")</f>
        <v>+0.32</v>
      </c>
      <c r="U316" s="1">
        <f ca="1">IFERROR(__xludf.DUMMYFUNCTION("""COMPUTED_VALUE"""),152)</f>
        <v>152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IFERROR(__xludf.DUMMYFUNCTION("""COMPUTED_VALUE"""),"Niagara")</f>
        <v>Niagara</v>
      </c>
      <c r="C317" s="1" t="str">
        <f ca="1">IFERROR(__xludf.DUMMYFUNCTION("""COMPUTED_VALUE"""),"MAAC")</f>
        <v>MAAC</v>
      </c>
      <c r="D317" s="2">
        <f ca="1">IFERROR(__xludf.DUMMYFUNCTION("""COMPUTED_VALUE"""),44827)</f>
        <v>44827</v>
      </c>
      <c r="E317" s="1">
        <f ca="1">IFERROR(__xludf.DUMMYFUNCTION("""COMPUTED_VALUE"""),-13.02)</f>
        <v>-13.02</v>
      </c>
      <c r="F317" s="1">
        <f ca="1">IFERROR(__xludf.DUMMYFUNCTION("""COMPUTED_VALUE"""),92.2)</f>
        <v>92.2</v>
      </c>
      <c r="G317" s="1">
        <f ca="1">IFERROR(__xludf.DUMMYFUNCTION("""COMPUTED_VALUE"""),321)</f>
        <v>321</v>
      </c>
      <c r="H317" s="1">
        <f ca="1">IFERROR(__xludf.DUMMYFUNCTION("""COMPUTED_VALUE"""),105.2)</f>
        <v>105.2</v>
      </c>
      <c r="I317" s="1">
        <f ca="1">IFERROR(__xludf.DUMMYFUNCTION("""COMPUTED_VALUE"""),219)</f>
        <v>219</v>
      </c>
      <c r="J317" s="1">
        <f ca="1">IFERROR(__xludf.DUMMYFUNCTION("""COMPUTED_VALUE"""),67.1)</f>
        <v>67.099999999999994</v>
      </c>
      <c r="K317" s="1">
        <f ca="1">IFERROR(__xludf.DUMMYFUNCTION("""COMPUTED_VALUE"""),73)</f>
        <v>73</v>
      </c>
      <c r="L317" s="1" t="str">
        <f ca="1">IFERROR(__xludf.DUMMYFUNCTION("""COMPUTED_VALUE"""),"+.021")</f>
        <v>+.021</v>
      </c>
      <c r="M317" s="1">
        <f ca="1">IFERROR(__xludf.DUMMYFUNCTION("""COMPUTED_VALUE"""),130)</f>
        <v>130</v>
      </c>
      <c r="N317" s="1">
        <f ca="1">IFERROR(__xludf.DUMMYFUNCTION("""COMPUTED_VALUE"""),-2.3)</f>
        <v>-2.2999999999999998</v>
      </c>
      <c r="O317" s="1">
        <f ca="1">IFERROR(__xludf.DUMMYFUNCTION("""COMPUTED_VALUE"""),207)</f>
        <v>207</v>
      </c>
      <c r="P317" s="1">
        <f ca="1">IFERROR(__xludf.DUMMYFUNCTION("""COMPUTED_VALUE"""),101)</f>
        <v>101</v>
      </c>
      <c r="Q317" s="1">
        <f ca="1">IFERROR(__xludf.DUMMYFUNCTION("""COMPUTED_VALUE"""),257)</f>
        <v>257</v>
      </c>
      <c r="R317" s="1">
        <f ca="1">IFERROR(__xludf.DUMMYFUNCTION("""COMPUTED_VALUE"""),103.3)</f>
        <v>103.3</v>
      </c>
      <c r="S317" s="1">
        <f ca="1">IFERROR(__xludf.DUMMYFUNCTION("""COMPUTED_VALUE"""),151)</f>
        <v>151</v>
      </c>
      <c r="T317" s="1">
        <f ca="1">IFERROR(__xludf.DUMMYFUNCTION("""COMPUTED_VALUE"""),-1.38)</f>
        <v>-1.38</v>
      </c>
      <c r="U317" s="1">
        <f ca="1">IFERROR(__xludf.DUMMYFUNCTION("""COMPUTED_VALUE"""),196)</f>
        <v>196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IFERROR(__xludf.DUMMYFUNCTION("""COMPUTED_VALUE"""),"Idaho St.")</f>
        <v>Idaho St.</v>
      </c>
      <c r="C318" s="1" t="str">
        <f ca="1">IFERROR(__xludf.DUMMYFUNCTION("""COMPUTED_VALUE"""),"BSky")</f>
        <v>BSky</v>
      </c>
      <c r="D318" s="2">
        <f ca="1">IFERROR(__xludf.DUMMYFUNCTION("""COMPUTED_VALUE"""),44824)</f>
        <v>44824</v>
      </c>
      <c r="E318" s="1">
        <f ca="1">IFERROR(__xludf.DUMMYFUNCTION("""COMPUTED_VALUE"""),-13.06)</f>
        <v>-13.06</v>
      </c>
      <c r="F318" s="1">
        <f ca="1">IFERROR(__xludf.DUMMYFUNCTION("""COMPUTED_VALUE"""),98.4)</f>
        <v>98.4</v>
      </c>
      <c r="G318" s="1">
        <f ca="1">IFERROR(__xludf.DUMMYFUNCTION("""COMPUTED_VALUE"""),262)</f>
        <v>262</v>
      </c>
      <c r="H318" s="1">
        <f ca="1">IFERROR(__xludf.DUMMYFUNCTION("""COMPUTED_VALUE"""),111.4)</f>
        <v>111.4</v>
      </c>
      <c r="I318" s="1">
        <f ca="1">IFERROR(__xludf.DUMMYFUNCTION("""COMPUTED_VALUE"""),316)</f>
        <v>316</v>
      </c>
      <c r="J318" s="1">
        <f ca="1">IFERROR(__xludf.DUMMYFUNCTION("""COMPUTED_VALUE"""),63.9)</f>
        <v>63.9</v>
      </c>
      <c r="K318" s="1">
        <f ca="1">IFERROR(__xludf.DUMMYFUNCTION("""COMPUTED_VALUE"""),246)</f>
        <v>246</v>
      </c>
      <c r="L318" s="1">
        <f ca="1">IFERROR(__xludf.DUMMYFUNCTION("""COMPUTED_VALUE"""),-0.002)</f>
        <v>-2E-3</v>
      </c>
      <c r="M318" s="1">
        <f ca="1">IFERROR(__xludf.DUMMYFUNCTION("""COMPUTED_VALUE"""),188)</f>
        <v>188</v>
      </c>
      <c r="N318" s="1">
        <f ca="1">IFERROR(__xludf.DUMMYFUNCTION("""COMPUTED_VALUE"""),-1.47)</f>
        <v>-1.47</v>
      </c>
      <c r="O318" s="1">
        <f ca="1">IFERROR(__xludf.DUMMYFUNCTION("""COMPUTED_VALUE"""),181)</f>
        <v>181</v>
      </c>
      <c r="P318" s="1">
        <f ca="1">IFERROR(__xludf.DUMMYFUNCTION("""COMPUTED_VALUE"""),104.1)</f>
        <v>104.1</v>
      </c>
      <c r="Q318" s="1">
        <f ca="1">IFERROR(__xludf.DUMMYFUNCTION("""COMPUTED_VALUE"""),130)</f>
        <v>130</v>
      </c>
      <c r="R318" s="1">
        <f ca="1">IFERROR(__xludf.DUMMYFUNCTION("""COMPUTED_VALUE"""),105.5)</f>
        <v>105.5</v>
      </c>
      <c r="S318" s="1">
        <f ca="1">IFERROR(__xludf.DUMMYFUNCTION("""COMPUTED_VALUE"""),262)</f>
        <v>262</v>
      </c>
      <c r="T318" s="1" t="str">
        <f ca="1">IFERROR(__xludf.DUMMYFUNCTION("""COMPUTED_VALUE"""),"+3.93")</f>
        <v>+3.93</v>
      </c>
      <c r="U318" s="1">
        <f ca="1">IFERROR(__xludf.DUMMYFUNCTION("""COMPUTED_VALUE"""),59)</f>
        <v>59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IFERROR(__xludf.DUMMYFUNCTION("""COMPUTED_VALUE"""),"Alabama St.16")</f>
        <v>Alabama St.16</v>
      </c>
      <c r="C319" s="1" t="str">
        <f ca="1">IFERROR(__xludf.DUMMYFUNCTION("""COMPUTED_VALUE"""),"SWAC")</f>
        <v>SWAC</v>
      </c>
      <c r="D319" s="1" t="str">
        <f ca="1">IFERROR(__xludf.DUMMYFUNCTION("""COMPUTED_VALUE"""),"17-18")</f>
        <v>17-18</v>
      </c>
      <c r="E319" s="1">
        <f ca="1">IFERROR(__xludf.DUMMYFUNCTION("""COMPUTED_VALUE"""),-13.19)</f>
        <v>-13.19</v>
      </c>
      <c r="F319" s="1">
        <f ca="1">IFERROR(__xludf.DUMMYFUNCTION("""COMPUTED_VALUE"""),92.8)</f>
        <v>92.8</v>
      </c>
      <c r="G319" s="1">
        <f ca="1">IFERROR(__xludf.DUMMYFUNCTION("""COMPUTED_VALUE"""),318)</f>
        <v>318</v>
      </c>
      <c r="H319" s="1">
        <f ca="1">IFERROR(__xludf.DUMMYFUNCTION("""COMPUTED_VALUE"""),106)</f>
        <v>106</v>
      </c>
      <c r="I319" s="1">
        <f ca="1">IFERROR(__xludf.DUMMYFUNCTION("""COMPUTED_VALUE"""),235)</f>
        <v>235</v>
      </c>
      <c r="J319" s="1">
        <f ca="1">IFERROR(__xludf.DUMMYFUNCTION("""COMPUTED_VALUE"""),63.6)</f>
        <v>63.6</v>
      </c>
      <c r="K319" s="1">
        <f ca="1">IFERROR(__xludf.DUMMYFUNCTION("""COMPUTED_VALUE"""),256)</f>
        <v>256</v>
      </c>
      <c r="L319" s="1" t="str">
        <f ca="1">IFERROR(__xludf.DUMMYFUNCTION("""COMPUTED_VALUE"""),"+.032")</f>
        <v>+.032</v>
      </c>
      <c r="M319" s="1">
        <f ca="1">IFERROR(__xludf.DUMMYFUNCTION("""COMPUTED_VALUE"""),100)</f>
        <v>100</v>
      </c>
      <c r="N319" s="1">
        <f ca="1">IFERROR(__xludf.DUMMYFUNCTION("""COMPUTED_VALUE"""),-11.26)</f>
        <v>-11.26</v>
      </c>
      <c r="O319" s="1">
        <f ca="1">IFERROR(__xludf.DUMMYFUNCTION("""COMPUTED_VALUE"""),338)</f>
        <v>338</v>
      </c>
      <c r="P319" s="1">
        <f ca="1">IFERROR(__xludf.DUMMYFUNCTION("""COMPUTED_VALUE"""),94.9)</f>
        <v>94.9</v>
      </c>
      <c r="Q319" s="1">
        <f ca="1">IFERROR(__xludf.DUMMYFUNCTION("""COMPUTED_VALUE"""),341)</f>
        <v>341</v>
      </c>
      <c r="R319" s="1">
        <f ca="1">IFERROR(__xludf.DUMMYFUNCTION("""COMPUTED_VALUE"""),106.1)</f>
        <v>106.1</v>
      </c>
      <c r="S319" s="1">
        <f ca="1">IFERROR(__xludf.DUMMYFUNCTION("""COMPUTED_VALUE"""),298)</f>
        <v>298</v>
      </c>
      <c r="T319" s="1" t="str">
        <f ca="1">IFERROR(__xludf.DUMMYFUNCTION("""COMPUTED_VALUE"""),"+6.29")</f>
        <v>+6.29</v>
      </c>
      <c r="U319" s="1">
        <f ca="1">IFERROR(__xludf.DUMMYFUNCTION("""COMPUTED_VALUE"""),31)</f>
        <v>31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IFERROR(__xludf.DUMMYFUNCTION("""COMPUTED_VALUE"""),"Eastern Illinois")</f>
        <v>Eastern Illinois</v>
      </c>
      <c r="C320" s="1" t="str">
        <f ca="1">IFERROR(__xludf.DUMMYFUNCTION("""COMPUTED_VALUE"""),"OVC")</f>
        <v>OVC</v>
      </c>
      <c r="D320" s="2">
        <f ca="1">IFERROR(__xludf.DUMMYFUNCTION("""COMPUTED_VALUE"""),44824)</f>
        <v>44824</v>
      </c>
      <c r="E320" s="1">
        <f ca="1">IFERROR(__xludf.DUMMYFUNCTION("""COMPUTED_VALUE"""),-13.32)</f>
        <v>-13.32</v>
      </c>
      <c r="F320" s="1">
        <f ca="1">IFERROR(__xludf.DUMMYFUNCTION("""COMPUTED_VALUE"""),93.1)</f>
        <v>93.1</v>
      </c>
      <c r="G320" s="1">
        <f ca="1">IFERROR(__xludf.DUMMYFUNCTION("""COMPUTED_VALUE"""),312)</f>
        <v>312</v>
      </c>
      <c r="H320" s="1">
        <f ca="1">IFERROR(__xludf.DUMMYFUNCTION("""COMPUTED_VALUE"""),106.4)</f>
        <v>106.4</v>
      </c>
      <c r="I320" s="1">
        <f ca="1">IFERROR(__xludf.DUMMYFUNCTION("""COMPUTED_VALUE"""),241)</f>
        <v>241</v>
      </c>
      <c r="J320" s="1">
        <f ca="1">IFERROR(__xludf.DUMMYFUNCTION("""COMPUTED_VALUE"""),62.7)</f>
        <v>62.7</v>
      </c>
      <c r="K320" s="1">
        <f ca="1">IFERROR(__xludf.DUMMYFUNCTION("""COMPUTED_VALUE"""),290)</f>
        <v>290</v>
      </c>
      <c r="L320" s="1">
        <f ca="1">IFERROR(__xludf.DUMMYFUNCTION("""COMPUTED_VALUE"""),-0.016)</f>
        <v>-1.6E-2</v>
      </c>
      <c r="M320" s="1">
        <f ca="1">IFERROR(__xludf.DUMMYFUNCTION("""COMPUTED_VALUE"""),220)</f>
        <v>220</v>
      </c>
      <c r="N320" s="1">
        <f ca="1">IFERROR(__xludf.DUMMYFUNCTION("""COMPUTED_VALUE"""),-4.11)</f>
        <v>-4.1100000000000003</v>
      </c>
      <c r="O320" s="1">
        <f ca="1">IFERROR(__xludf.DUMMYFUNCTION("""COMPUTED_VALUE"""),260)</f>
        <v>260</v>
      </c>
      <c r="P320" s="1">
        <f ca="1">IFERROR(__xludf.DUMMYFUNCTION("""COMPUTED_VALUE"""),102)</f>
        <v>102</v>
      </c>
      <c r="Q320" s="1">
        <f ca="1">IFERROR(__xludf.DUMMYFUNCTION("""COMPUTED_VALUE"""),222)</f>
        <v>222</v>
      </c>
      <c r="R320" s="1">
        <f ca="1">IFERROR(__xludf.DUMMYFUNCTION("""COMPUTED_VALUE"""),106.1)</f>
        <v>106.1</v>
      </c>
      <c r="S320" s="1">
        <f ca="1">IFERROR(__xludf.DUMMYFUNCTION("""COMPUTED_VALUE"""),296)</f>
        <v>296</v>
      </c>
      <c r="T320" s="1">
        <f ca="1">IFERROR(__xludf.DUMMYFUNCTION("""COMPUTED_VALUE"""),-1.13)</f>
        <v>-1.1299999999999999</v>
      </c>
      <c r="U320" s="1">
        <f ca="1">IFERROR(__xludf.DUMMYFUNCTION("""COMPUTED_VALUE"""),188)</f>
        <v>188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IFERROR(__xludf.DUMMYFUNCTION("""COMPUTED_VALUE"""),"Bryant")</f>
        <v>Bryant</v>
      </c>
      <c r="C321" s="1" t="str">
        <f ca="1">IFERROR(__xludf.DUMMYFUNCTION("""COMPUTED_VALUE"""),"NEC")</f>
        <v>NEC</v>
      </c>
      <c r="D321" s="2">
        <f ca="1">IFERROR(__xludf.DUMMYFUNCTION("""COMPUTED_VALUE"""),44825)</f>
        <v>44825</v>
      </c>
      <c r="E321" s="1">
        <f ca="1">IFERROR(__xludf.DUMMYFUNCTION("""COMPUTED_VALUE"""),-13.81)</f>
        <v>-13.81</v>
      </c>
      <c r="F321" s="1">
        <f ca="1">IFERROR(__xludf.DUMMYFUNCTION("""COMPUTED_VALUE"""),100.5)</f>
        <v>100.5</v>
      </c>
      <c r="G321" s="1">
        <f ca="1">IFERROR(__xludf.DUMMYFUNCTION("""COMPUTED_VALUE"""),225)</f>
        <v>225</v>
      </c>
      <c r="H321" s="1">
        <f ca="1">IFERROR(__xludf.DUMMYFUNCTION("""COMPUTED_VALUE"""),114.3)</f>
        <v>114.3</v>
      </c>
      <c r="I321" s="1">
        <f ca="1">IFERROR(__xludf.DUMMYFUNCTION("""COMPUTED_VALUE"""),339)</f>
        <v>339</v>
      </c>
      <c r="J321" s="1">
        <f ca="1">IFERROR(__xludf.DUMMYFUNCTION("""COMPUTED_VALUE"""),64.7)</f>
        <v>64.7</v>
      </c>
      <c r="K321" s="1">
        <f ca="1">IFERROR(__xludf.DUMMYFUNCTION("""COMPUTED_VALUE"""),208)</f>
        <v>208</v>
      </c>
      <c r="L321" s="1" t="str">
        <f ca="1">IFERROR(__xludf.DUMMYFUNCTION("""COMPUTED_VALUE"""),"+.033")</f>
        <v>+.033</v>
      </c>
      <c r="M321" s="1">
        <f ca="1">IFERROR(__xludf.DUMMYFUNCTION("""COMPUTED_VALUE"""),92)</f>
        <v>92</v>
      </c>
      <c r="N321" s="1">
        <f ca="1">IFERROR(__xludf.DUMMYFUNCTION("""COMPUTED_VALUE"""),-1.74)</f>
        <v>-1.74</v>
      </c>
      <c r="O321" s="1">
        <f ca="1">IFERROR(__xludf.DUMMYFUNCTION("""COMPUTED_VALUE"""),189)</f>
        <v>189</v>
      </c>
      <c r="P321" s="1">
        <f ca="1">IFERROR(__xludf.DUMMYFUNCTION("""COMPUTED_VALUE"""),102.6)</f>
        <v>102.6</v>
      </c>
      <c r="Q321" s="1">
        <f ca="1">IFERROR(__xludf.DUMMYFUNCTION("""COMPUTED_VALUE"""),195)</f>
        <v>195</v>
      </c>
      <c r="R321" s="1">
        <f ca="1">IFERROR(__xludf.DUMMYFUNCTION("""COMPUTED_VALUE"""),104.4)</f>
        <v>104.4</v>
      </c>
      <c r="S321" s="1">
        <f ca="1">IFERROR(__xludf.DUMMYFUNCTION("""COMPUTED_VALUE"""),201)</f>
        <v>201</v>
      </c>
      <c r="T321" s="1" t="str">
        <f ca="1">IFERROR(__xludf.DUMMYFUNCTION("""COMPUTED_VALUE"""),"+5.04")</f>
        <v>+5.04</v>
      </c>
      <c r="U321" s="1">
        <f ca="1">IFERROR(__xludf.DUMMYFUNCTION("""COMPUTED_VALUE"""),44)</f>
        <v>44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IFERROR(__xludf.DUMMYFUNCTION("""COMPUTED_VALUE"""),"Delaware St.")</f>
        <v>Delaware St.</v>
      </c>
      <c r="C322" s="1" t="str">
        <f ca="1">IFERROR(__xludf.DUMMYFUNCTION("""COMPUTED_VALUE"""),"MEAC")</f>
        <v>MEAC</v>
      </c>
      <c r="D322" s="2">
        <f ca="1">IFERROR(__xludf.DUMMYFUNCTION("""COMPUTED_VALUE"""),44825)</f>
        <v>44825</v>
      </c>
      <c r="E322" s="1">
        <f ca="1">IFERROR(__xludf.DUMMYFUNCTION("""COMPUTED_VALUE"""),-13.99)</f>
        <v>-13.99</v>
      </c>
      <c r="F322" s="1">
        <f ca="1">IFERROR(__xludf.DUMMYFUNCTION("""COMPUTED_VALUE"""),99.1)</f>
        <v>99.1</v>
      </c>
      <c r="G322" s="1">
        <f ca="1">IFERROR(__xludf.DUMMYFUNCTION("""COMPUTED_VALUE"""),247)</f>
        <v>247</v>
      </c>
      <c r="H322" s="1">
        <f ca="1">IFERROR(__xludf.DUMMYFUNCTION("""COMPUTED_VALUE"""),113.1)</f>
        <v>113.1</v>
      </c>
      <c r="I322" s="1">
        <f ca="1">IFERROR(__xludf.DUMMYFUNCTION("""COMPUTED_VALUE"""),329)</f>
        <v>329</v>
      </c>
      <c r="J322" s="1">
        <f ca="1">IFERROR(__xludf.DUMMYFUNCTION("""COMPUTED_VALUE"""),59.4)</f>
        <v>59.4</v>
      </c>
      <c r="K322" s="1">
        <f ca="1">IFERROR(__xludf.DUMMYFUNCTION("""COMPUTED_VALUE"""),337)</f>
        <v>337</v>
      </c>
      <c r="L322" s="1">
        <f ca="1">IFERROR(__xludf.DUMMYFUNCTION("""COMPUTED_VALUE"""),-0.063)</f>
        <v>-6.3E-2</v>
      </c>
      <c r="M322" s="1">
        <f ca="1">IFERROR(__xludf.DUMMYFUNCTION("""COMPUTED_VALUE"""),312)</f>
        <v>312</v>
      </c>
      <c r="N322" s="1">
        <f ca="1">IFERROR(__xludf.DUMMYFUNCTION("""COMPUTED_VALUE"""),-5.88)</f>
        <v>-5.88</v>
      </c>
      <c r="O322" s="1">
        <f ca="1">IFERROR(__xludf.DUMMYFUNCTION("""COMPUTED_VALUE"""),299)</f>
        <v>299</v>
      </c>
      <c r="P322" s="1">
        <f ca="1">IFERROR(__xludf.DUMMYFUNCTION("""COMPUTED_VALUE"""),99.5)</f>
        <v>99.5</v>
      </c>
      <c r="Q322" s="1">
        <f ca="1">IFERROR(__xludf.DUMMYFUNCTION("""COMPUTED_VALUE"""),310)</f>
        <v>310</v>
      </c>
      <c r="R322" s="1">
        <f ca="1">IFERROR(__xludf.DUMMYFUNCTION("""COMPUTED_VALUE"""),105.4)</f>
        <v>105.4</v>
      </c>
      <c r="S322" s="1">
        <f ca="1">IFERROR(__xludf.DUMMYFUNCTION("""COMPUTED_VALUE"""),254)</f>
        <v>254</v>
      </c>
      <c r="T322" s="1" t="str">
        <f ca="1">IFERROR(__xludf.DUMMYFUNCTION("""COMPUTED_VALUE"""),"+9.37")</f>
        <v>+9.37</v>
      </c>
      <c r="U322" s="1">
        <f ca="1">IFERROR(__xludf.DUMMYFUNCTION("""COMPUTED_VALUE"""),12)</f>
        <v>12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IFERROR(__xludf.DUMMYFUNCTION("""COMPUTED_VALUE"""),"Cal St. Bakersfield")</f>
        <v>Cal St. Bakersfield</v>
      </c>
      <c r="C323" s="1" t="str">
        <f ca="1">IFERROR(__xludf.DUMMYFUNCTION("""COMPUTED_VALUE"""),"ind")</f>
        <v>ind</v>
      </c>
      <c r="D323" s="2">
        <f ca="1">IFERROR(__xludf.DUMMYFUNCTION("""COMPUTED_VALUE"""),44823)</f>
        <v>44823</v>
      </c>
      <c r="E323" s="1">
        <f ca="1">IFERROR(__xludf.DUMMYFUNCTION("""COMPUTED_VALUE"""),-14.32)</f>
        <v>-14.32</v>
      </c>
      <c r="F323" s="1">
        <f ca="1">IFERROR(__xludf.DUMMYFUNCTION("""COMPUTED_VALUE"""),97.1)</f>
        <v>97.1</v>
      </c>
      <c r="G323" s="1">
        <f ca="1">IFERROR(__xludf.DUMMYFUNCTION("""COMPUTED_VALUE"""),277)</f>
        <v>277</v>
      </c>
      <c r="H323" s="1">
        <f ca="1">IFERROR(__xludf.DUMMYFUNCTION("""COMPUTED_VALUE"""),111.4)</f>
        <v>111.4</v>
      </c>
      <c r="I323" s="1">
        <f ca="1">IFERROR(__xludf.DUMMYFUNCTION("""COMPUTED_VALUE"""),314)</f>
        <v>314</v>
      </c>
      <c r="J323" s="1">
        <f ca="1">IFERROR(__xludf.DUMMYFUNCTION("""COMPUTED_VALUE"""),67.3)</f>
        <v>67.3</v>
      </c>
      <c r="K323" s="1">
        <f ca="1">IFERROR(__xludf.DUMMYFUNCTION("""COMPUTED_VALUE"""),69)</f>
        <v>69</v>
      </c>
      <c r="L323" s="1" t="str">
        <f ca="1">IFERROR(__xludf.DUMMYFUNCTION("""COMPUTED_VALUE"""),"+.038")</f>
        <v>+.038</v>
      </c>
      <c r="M323" s="1">
        <f ca="1">IFERROR(__xludf.DUMMYFUNCTION("""COMPUTED_VALUE"""),83)</f>
        <v>83</v>
      </c>
      <c r="N323" s="1">
        <f ca="1">IFERROR(__xludf.DUMMYFUNCTION("""COMPUTED_VALUE"""),-3.82)</f>
        <v>-3.82</v>
      </c>
      <c r="O323" s="1">
        <f ca="1">IFERROR(__xludf.DUMMYFUNCTION("""COMPUTED_VALUE"""),249)</f>
        <v>249</v>
      </c>
      <c r="P323" s="1">
        <f ca="1">IFERROR(__xludf.DUMMYFUNCTION("""COMPUTED_VALUE"""),102.5)</f>
        <v>102.5</v>
      </c>
      <c r="Q323" s="1">
        <f ca="1">IFERROR(__xludf.DUMMYFUNCTION("""COMPUTED_VALUE"""),198)</f>
        <v>198</v>
      </c>
      <c r="R323" s="1">
        <f ca="1">IFERROR(__xludf.DUMMYFUNCTION("""COMPUTED_VALUE"""),106.3)</f>
        <v>106.3</v>
      </c>
      <c r="S323" s="1">
        <f ca="1">IFERROR(__xludf.DUMMYFUNCTION("""COMPUTED_VALUE"""),308)</f>
        <v>308</v>
      </c>
      <c r="T323" s="1">
        <f ca="1">IFERROR(__xludf.DUMMYFUNCTION("""COMPUTED_VALUE"""),-2.87)</f>
        <v>-2.87</v>
      </c>
      <c r="U323" s="1">
        <f ca="1">IFERROR(__xludf.DUMMYFUNCTION("""COMPUTED_VALUE"""),234)</f>
        <v>234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IFERROR(__xludf.DUMMYFUNCTION("""COMPUTED_VALUE"""),"High Point")</f>
        <v>High Point</v>
      </c>
      <c r="C324" s="1" t="str">
        <f ca="1">IFERROR(__xludf.DUMMYFUNCTION("""COMPUTED_VALUE"""),"BSth")</f>
        <v>BSth</v>
      </c>
      <c r="D324" s="2">
        <f ca="1">IFERROR(__xludf.DUMMYFUNCTION("""COMPUTED_VALUE"""),44914)</f>
        <v>44914</v>
      </c>
      <c r="E324" s="1">
        <f ca="1">IFERROR(__xludf.DUMMYFUNCTION("""COMPUTED_VALUE"""),-14.43)</f>
        <v>-14.43</v>
      </c>
      <c r="F324" s="1">
        <f ca="1">IFERROR(__xludf.DUMMYFUNCTION("""COMPUTED_VALUE"""),94.5)</f>
        <v>94.5</v>
      </c>
      <c r="G324" s="1">
        <f ca="1">IFERROR(__xludf.DUMMYFUNCTION("""COMPUTED_VALUE"""),301)</f>
        <v>301</v>
      </c>
      <c r="H324" s="1">
        <f ca="1">IFERROR(__xludf.DUMMYFUNCTION("""COMPUTED_VALUE"""),109)</f>
        <v>109</v>
      </c>
      <c r="I324" s="1">
        <f ca="1">IFERROR(__xludf.DUMMYFUNCTION("""COMPUTED_VALUE"""),280)</f>
        <v>280</v>
      </c>
      <c r="J324" s="1">
        <f ca="1">IFERROR(__xludf.DUMMYFUNCTION("""COMPUTED_VALUE"""),66.8)</f>
        <v>66.8</v>
      </c>
      <c r="K324" s="1">
        <f ca="1">IFERROR(__xludf.DUMMYFUNCTION("""COMPUTED_VALUE"""),87)</f>
        <v>87</v>
      </c>
      <c r="L324" s="1" t="str">
        <f ca="1">IFERROR(__xludf.DUMMYFUNCTION("""COMPUTED_VALUE"""),"+.084")</f>
        <v>+.084</v>
      </c>
      <c r="M324" s="1">
        <f ca="1">IFERROR(__xludf.DUMMYFUNCTION("""COMPUTED_VALUE"""),20)</f>
        <v>20</v>
      </c>
      <c r="N324" s="1">
        <f ca="1">IFERROR(__xludf.DUMMYFUNCTION("""COMPUTED_VALUE"""),-4.06)</f>
        <v>-4.0599999999999996</v>
      </c>
      <c r="O324" s="1">
        <f ca="1">IFERROR(__xludf.DUMMYFUNCTION("""COMPUTED_VALUE"""),258)</f>
        <v>258</v>
      </c>
      <c r="P324" s="1">
        <f ca="1">IFERROR(__xludf.DUMMYFUNCTION("""COMPUTED_VALUE"""),100.8)</f>
        <v>100.8</v>
      </c>
      <c r="Q324" s="1">
        <f ca="1">IFERROR(__xludf.DUMMYFUNCTION("""COMPUTED_VALUE"""),266)</f>
        <v>266</v>
      </c>
      <c r="R324" s="1">
        <f ca="1">IFERROR(__xludf.DUMMYFUNCTION("""COMPUTED_VALUE"""),104.9)</f>
        <v>104.9</v>
      </c>
      <c r="S324" s="1">
        <f ca="1">IFERROR(__xludf.DUMMYFUNCTION("""COMPUTED_VALUE"""),228)</f>
        <v>228</v>
      </c>
      <c r="T324" s="1">
        <f ca="1">IFERROR(__xludf.DUMMYFUNCTION("""COMPUTED_VALUE"""),-0.66)</f>
        <v>-0.66</v>
      </c>
      <c r="U324" s="1">
        <f ca="1">IFERROR(__xludf.DUMMYFUNCTION("""COMPUTED_VALUE"""),175)</f>
        <v>175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IFERROR(__xludf.DUMMYFUNCTION("""COMPUTED_VALUE"""),"Mississippi Valley St.")</f>
        <v>Mississippi Valley St.</v>
      </c>
      <c r="C325" s="1" t="str">
        <f ca="1">IFERROR(__xludf.DUMMYFUNCTION("""COMPUTED_VALUE"""),"SWAC")</f>
        <v>SWAC</v>
      </c>
      <c r="D325" s="1" t="str">
        <f ca="1">IFERROR(__xludf.DUMMYFUNCTION("""COMPUTED_VALUE"""),"13-19")</f>
        <v>13-19</v>
      </c>
      <c r="E325" s="1">
        <f ca="1">IFERROR(__xludf.DUMMYFUNCTION("""COMPUTED_VALUE"""),-14.44)</f>
        <v>-14.44</v>
      </c>
      <c r="F325" s="1">
        <f ca="1">IFERROR(__xludf.DUMMYFUNCTION("""COMPUTED_VALUE"""),93.8)</f>
        <v>93.8</v>
      </c>
      <c r="G325" s="1">
        <f ca="1">IFERROR(__xludf.DUMMYFUNCTION("""COMPUTED_VALUE"""),306)</f>
        <v>306</v>
      </c>
      <c r="H325" s="1">
        <f ca="1">IFERROR(__xludf.DUMMYFUNCTION("""COMPUTED_VALUE"""),108.3)</f>
        <v>108.3</v>
      </c>
      <c r="I325" s="1">
        <f ca="1">IFERROR(__xludf.DUMMYFUNCTION("""COMPUTED_VALUE"""),272)</f>
        <v>272</v>
      </c>
      <c r="J325" s="1">
        <f ca="1">IFERROR(__xludf.DUMMYFUNCTION("""COMPUTED_VALUE"""),71.3)</f>
        <v>71.3</v>
      </c>
      <c r="K325" s="1">
        <f ca="1">IFERROR(__xludf.DUMMYFUNCTION("""COMPUTED_VALUE"""),8)</f>
        <v>8</v>
      </c>
      <c r="L325" s="1" t="str">
        <f ca="1">IFERROR(__xludf.DUMMYFUNCTION("""COMPUTED_VALUE"""),"+.036")</f>
        <v>+.036</v>
      </c>
      <c r="M325" s="1">
        <f ca="1">IFERROR(__xludf.DUMMYFUNCTION("""COMPUTED_VALUE"""),88)</f>
        <v>88</v>
      </c>
      <c r="N325" s="1">
        <f ca="1">IFERROR(__xludf.DUMMYFUNCTION("""COMPUTED_VALUE"""),-9.18)</f>
        <v>-9.18</v>
      </c>
      <c r="O325" s="1">
        <f ca="1">IFERROR(__xludf.DUMMYFUNCTION("""COMPUTED_VALUE"""),323)</f>
        <v>323</v>
      </c>
      <c r="P325" s="1">
        <f ca="1">IFERROR(__xludf.DUMMYFUNCTION("""COMPUTED_VALUE"""),96.3)</f>
        <v>96.3</v>
      </c>
      <c r="Q325" s="1">
        <f ca="1">IFERROR(__xludf.DUMMYFUNCTION("""COMPUTED_VALUE"""),336)</f>
        <v>336</v>
      </c>
      <c r="R325" s="1">
        <f ca="1">IFERROR(__xludf.DUMMYFUNCTION("""COMPUTED_VALUE"""),105.5)</f>
        <v>105.5</v>
      </c>
      <c r="S325" s="1">
        <f ca="1">IFERROR(__xludf.DUMMYFUNCTION("""COMPUTED_VALUE"""),259)</f>
        <v>259</v>
      </c>
      <c r="T325" s="1" t="str">
        <f ca="1">IFERROR(__xludf.DUMMYFUNCTION("""COMPUTED_VALUE"""),"+13.46")</f>
        <v>+13.46</v>
      </c>
      <c r="U325" s="1">
        <f ca="1">IFERROR(__xludf.DUMMYFUNCTION("""COMPUTED_VALUE"""),3)</f>
        <v>3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IFERROR(__xludf.DUMMYFUNCTION("""COMPUTED_VALUE"""),"NJIT")</f>
        <v>NJIT</v>
      </c>
      <c r="C326" s="1" t="str">
        <f ca="1">IFERROR(__xludf.DUMMYFUNCTION("""COMPUTED_VALUE"""),"GWC")</f>
        <v>GWC</v>
      </c>
      <c r="D326" s="1" t="str">
        <f ca="1">IFERROR(__xludf.DUMMYFUNCTION("""COMPUTED_VALUE"""),"15-15")</f>
        <v>15-15</v>
      </c>
      <c r="E326" s="1">
        <f ca="1">IFERROR(__xludf.DUMMYFUNCTION("""COMPUTED_VALUE"""),-14.44)</f>
        <v>-14.44</v>
      </c>
      <c r="F326" s="1">
        <f ca="1">IFERROR(__xludf.DUMMYFUNCTION("""COMPUTED_VALUE"""),92.9)</f>
        <v>92.9</v>
      </c>
      <c r="G326" s="1">
        <f ca="1">IFERROR(__xludf.DUMMYFUNCTION("""COMPUTED_VALUE"""),316)</f>
        <v>316</v>
      </c>
      <c r="H326" s="1">
        <f ca="1">IFERROR(__xludf.DUMMYFUNCTION("""COMPUTED_VALUE"""),107.3)</f>
        <v>107.3</v>
      </c>
      <c r="I326" s="1">
        <f ca="1">IFERROR(__xludf.DUMMYFUNCTION("""COMPUTED_VALUE"""),255)</f>
        <v>255</v>
      </c>
      <c r="J326" s="1">
        <f ca="1">IFERROR(__xludf.DUMMYFUNCTION("""COMPUTED_VALUE"""),65.5)</f>
        <v>65.5</v>
      </c>
      <c r="K326" s="1">
        <f ca="1">IFERROR(__xludf.DUMMYFUNCTION("""COMPUTED_VALUE"""),159)</f>
        <v>159</v>
      </c>
      <c r="L326" s="1" t="str">
        <f ca="1">IFERROR(__xludf.DUMMYFUNCTION("""COMPUTED_VALUE"""),"+.017")</f>
        <v>+.017</v>
      </c>
      <c r="M326" s="1">
        <f ca="1">IFERROR(__xludf.DUMMYFUNCTION("""COMPUTED_VALUE"""),139)</f>
        <v>139</v>
      </c>
      <c r="N326" s="1">
        <f ca="1">IFERROR(__xludf.DUMMYFUNCTION("""COMPUTED_VALUE"""),-11.33)</f>
        <v>-11.33</v>
      </c>
      <c r="O326" s="1">
        <f ca="1">IFERROR(__xludf.DUMMYFUNCTION("""COMPUTED_VALUE"""),340)</f>
        <v>340</v>
      </c>
      <c r="P326" s="1">
        <f ca="1">IFERROR(__xludf.DUMMYFUNCTION("""COMPUTED_VALUE"""),98.1)</f>
        <v>98.1</v>
      </c>
      <c r="Q326" s="1">
        <f ca="1">IFERROR(__xludf.DUMMYFUNCTION("""COMPUTED_VALUE"""),327)</f>
        <v>327</v>
      </c>
      <c r="R326" s="1">
        <f ca="1">IFERROR(__xludf.DUMMYFUNCTION("""COMPUTED_VALUE"""),109.4)</f>
        <v>109.4</v>
      </c>
      <c r="S326" s="1">
        <f ca="1">IFERROR(__xludf.DUMMYFUNCTION("""COMPUTED_VALUE"""),344)</f>
        <v>344</v>
      </c>
      <c r="T326" s="1">
        <f ca="1">IFERROR(__xludf.DUMMYFUNCTION("""COMPUTED_VALUE"""),-2.74)</f>
        <v>-2.74</v>
      </c>
      <c r="U326" s="1">
        <f ca="1">IFERROR(__xludf.DUMMYFUNCTION("""COMPUTED_VALUE"""),229)</f>
        <v>229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IFERROR(__xludf.DUMMYFUNCTION("""COMPUTED_VALUE"""),"Samford")</f>
        <v>Samford</v>
      </c>
      <c r="C327" s="1" t="str">
        <f ca="1">IFERROR(__xludf.DUMMYFUNCTION("""COMPUTED_VALUE"""),"SC")</f>
        <v>SC</v>
      </c>
      <c r="D327" s="2">
        <f ca="1">IFERROR(__xludf.DUMMYFUNCTION("""COMPUTED_VALUE"""),44914)</f>
        <v>44914</v>
      </c>
      <c r="E327" s="1">
        <f ca="1">IFERROR(__xludf.DUMMYFUNCTION("""COMPUTED_VALUE"""),-14.5)</f>
        <v>-14.5</v>
      </c>
      <c r="F327" s="1">
        <f ca="1">IFERROR(__xludf.DUMMYFUNCTION("""COMPUTED_VALUE"""),96.4)</f>
        <v>96.4</v>
      </c>
      <c r="G327" s="1">
        <f ca="1">IFERROR(__xludf.DUMMYFUNCTION("""COMPUTED_VALUE"""),285)</f>
        <v>285</v>
      </c>
      <c r="H327" s="1">
        <f ca="1">IFERROR(__xludf.DUMMYFUNCTION("""COMPUTED_VALUE"""),110.9)</f>
        <v>110.9</v>
      </c>
      <c r="I327" s="1">
        <f ca="1">IFERROR(__xludf.DUMMYFUNCTION("""COMPUTED_VALUE"""),308)</f>
        <v>308</v>
      </c>
      <c r="J327" s="1">
        <f ca="1">IFERROR(__xludf.DUMMYFUNCTION("""COMPUTED_VALUE"""),59.8)</f>
        <v>59.8</v>
      </c>
      <c r="K327" s="1">
        <f ca="1">IFERROR(__xludf.DUMMYFUNCTION("""COMPUTED_VALUE"""),334)</f>
        <v>334</v>
      </c>
      <c r="L327" s="1" t="str">
        <f ca="1">IFERROR(__xludf.DUMMYFUNCTION("""COMPUTED_VALUE"""),"+.075")</f>
        <v>+.075</v>
      </c>
      <c r="M327" s="1">
        <f ca="1">IFERROR(__xludf.DUMMYFUNCTION("""COMPUTED_VALUE"""),23)</f>
        <v>23</v>
      </c>
      <c r="N327" s="1">
        <f ca="1">IFERROR(__xludf.DUMMYFUNCTION("""COMPUTED_VALUE"""),-4.12)</f>
        <v>-4.12</v>
      </c>
      <c r="O327" s="1">
        <f ca="1">IFERROR(__xludf.DUMMYFUNCTION("""COMPUTED_VALUE"""),261)</f>
        <v>261</v>
      </c>
      <c r="P327" s="1">
        <f ca="1">IFERROR(__xludf.DUMMYFUNCTION("""COMPUTED_VALUE"""),101.5)</f>
        <v>101.5</v>
      </c>
      <c r="Q327" s="1">
        <f ca="1">IFERROR(__xludf.DUMMYFUNCTION("""COMPUTED_VALUE"""),243)</f>
        <v>243</v>
      </c>
      <c r="R327" s="1">
        <f ca="1">IFERROR(__xludf.DUMMYFUNCTION("""COMPUTED_VALUE"""),105.6)</f>
        <v>105.6</v>
      </c>
      <c r="S327" s="1">
        <f ca="1">IFERROR(__xludf.DUMMYFUNCTION("""COMPUTED_VALUE"""),268)</f>
        <v>268</v>
      </c>
      <c r="T327" s="1">
        <f ca="1">IFERROR(__xludf.DUMMYFUNCTION("""COMPUTED_VALUE"""),-4.05)</f>
        <v>-4.05</v>
      </c>
      <c r="U327" s="1">
        <f ca="1">IFERROR(__xludf.DUMMYFUNCTION("""COMPUTED_VALUE"""),265)</f>
        <v>265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IFERROR(__xludf.DUMMYFUNCTION("""COMPUTED_VALUE"""),"Manhattan")</f>
        <v>Manhattan</v>
      </c>
      <c r="C328" s="1" t="str">
        <f ca="1">IFERROR(__xludf.DUMMYFUNCTION("""COMPUTED_VALUE"""),"MAAC")</f>
        <v>MAAC</v>
      </c>
      <c r="D328" s="2">
        <f ca="1">IFERROR(__xludf.DUMMYFUNCTION("""COMPUTED_VALUE"""),44737)</f>
        <v>44737</v>
      </c>
      <c r="E328" s="1">
        <f ca="1">IFERROR(__xludf.DUMMYFUNCTION("""COMPUTED_VALUE"""),-14.69)</f>
        <v>-14.69</v>
      </c>
      <c r="F328" s="1">
        <f ca="1">IFERROR(__xludf.DUMMYFUNCTION("""COMPUTED_VALUE"""),96.4)</f>
        <v>96.4</v>
      </c>
      <c r="G328" s="1">
        <f ca="1">IFERROR(__xludf.DUMMYFUNCTION("""COMPUTED_VALUE"""),286)</f>
        <v>286</v>
      </c>
      <c r="H328" s="1">
        <f ca="1">IFERROR(__xludf.DUMMYFUNCTION("""COMPUTED_VALUE"""),111.1)</f>
        <v>111.1</v>
      </c>
      <c r="I328" s="1">
        <f ca="1">IFERROR(__xludf.DUMMYFUNCTION("""COMPUTED_VALUE"""),310)</f>
        <v>310</v>
      </c>
      <c r="J328" s="1">
        <f ca="1">IFERROR(__xludf.DUMMYFUNCTION("""COMPUTED_VALUE"""),62.4)</f>
        <v>62.4</v>
      </c>
      <c r="K328" s="1">
        <f ca="1">IFERROR(__xludf.DUMMYFUNCTION("""COMPUTED_VALUE"""),304)</f>
        <v>304</v>
      </c>
      <c r="L328" s="1" t="str">
        <f ca="1">IFERROR(__xludf.DUMMYFUNCTION("""COMPUTED_VALUE"""),"+.026")</f>
        <v>+.026</v>
      </c>
      <c r="M328" s="1">
        <f ca="1">IFERROR(__xludf.DUMMYFUNCTION("""COMPUTED_VALUE"""),114)</f>
        <v>114</v>
      </c>
      <c r="N328" s="1">
        <f ca="1">IFERROR(__xludf.DUMMYFUNCTION("""COMPUTED_VALUE"""),-1.5)</f>
        <v>-1.5</v>
      </c>
      <c r="O328" s="1">
        <f ca="1">IFERROR(__xludf.DUMMYFUNCTION("""COMPUTED_VALUE"""),183)</f>
        <v>183</v>
      </c>
      <c r="P328" s="1">
        <f ca="1">IFERROR(__xludf.DUMMYFUNCTION("""COMPUTED_VALUE"""),101.6)</f>
        <v>101.6</v>
      </c>
      <c r="Q328" s="1">
        <f ca="1">IFERROR(__xludf.DUMMYFUNCTION("""COMPUTED_VALUE"""),239)</f>
        <v>239</v>
      </c>
      <c r="R328" s="1">
        <f ca="1">IFERROR(__xludf.DUMMYFUNCTION("""COMPUTED_VALUE"""),103.1)</f>
        <v>103.1</v>
      </c>
      <c r="S328" s="1">
        <f ca="1">IFERROR(__xludf.DUMMYFUNCTION("""COMPUTED_VALUE"""),144)</f>
        <v>144</v>
      </c>
      <c r="T328" s="1">
        <f ca="1">IFERROR(__xludf.DUMMYFUNCTION("""COMPUTED_VALUE"""),-0.38)</f>
        <v>-0.38</v>
      </c>
      <c r="U328" s="1">
        <f ca="1">IFERROR(__xludf.DUMMYFUNCTION("""COMPUTED_VALUE"""),168)</f>
        <v>168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IFERROR(__xludf.DUMMYFUNCTION("""COMPUTED_VALUE"""),"North Carolina Central")</f>
        <v>North Carolina Central</v>
      </c>
      <c r="C329" s="1" t="str">
        <f ca="1">IFERROR(__xludf.DUMMYFUNCTION("""COMPUTED_VALUE"""),"ind")</f>
        <v>ind</v>
      </c>
      <c r="D329" s="1" t="str">
        <f ca="1">IFERROR(__xludf.DUMMYFUNCTION("""COMPUTED_VALUE"""),"15-15")</f>
        <v>15-15</v>
      </c>
      <c r="E329" s="1">
        <f ca="1">IFERROR(__xludf.DUMMYFUNCTION("""COMPUTED_VALUE"""),-15.03)</f>
        <v>-15.03</v>
      </c>
      <c r="F329" s="1">
        <f ca="1">IFERROR(__xludf.DUMMYFUNCTION("""COMPUTED_VALUE"""),96)</f>
        <v>96</v>
      </c>
      <c r="G329" s="1">
        <f ca="1">IFERROR(__xludf.DUMMYFUNCTION("""COMPUTED_VALUE"""),289)</f>
        <v>289</v>
      </c>
      <c r="H329" s="1">
        <f ca="1">IFERROR(__xludf.DUMMYFUNCTION("""COMPUTED_VALUE"""),111)</f>
        <v>111</v>
      </c>
      <c r="I329" s="1">
        <f ca="1">IFERROR(__xludf.DUMMYFUNCTION("""COMPUTED_VALUE"""),309)</f>
        <v>309</v>
      </c>
      <c r="J329" s="1">
        <f ca="1">IFERROR(__xludf.DUMMYFUNCTION("""COMPUTED_VALUE"""),65.6)</f>
        <v>65.599999999999994</v>
      </c>
      <c r="K329" s="1">
        <f ca="1">IFERROR(__xludf.DUMMYFUNCTION("""COMPUTED_VALUE"""),157)</f>
        <v>157</v>
      </c>
      <c r="L329" s="1" t="str">
        <f ca="1">IFERROR(__xludf.DUMMYFUNCTION("""COMPUTED_VALUE"""),"+.088")</f>
        <v>+.088</v>
      </c>
      <c r="M329" s="1">
        <f ca="1">IFERROR(__xludf.DUMMYFUNCTION("""COMPUTED_VALUE"""),16)</f>
        <v>16</v>
      </c>
      <c r="N329" s="1">
        <f ca="1">IFERROR(__xludf.DUMMYFUNCTION("""COMPUTED_VALUE"""),-9.19)</f>
        <v>-9.19</v>
      </c>
      <c r="O329" s="1">
        <f ca="1">IFERROR(__xludf.DUMMYFUNCTION("""COMPUTED_VALUE"""),325)</f>
        <v>325</v>
      </c>
      <c r="P329" s="1">
        <f ca="1">IFERROR(__xludf.DUMMYFUNCTION("""COMPUTED_VALUE"""),98.2)</f>
        <v>98.2</v>
      </c>
      <c r="Q329" s="1">
        <f ca="1">IFERROR(__xludf.DUMMYFUNCTION("""COMPUTED_VALUE"""),326)</f>
        <v>326</v>
      </c>
      <c r="R329" s="1">
        <f ca="1">IFERROR(__xludf.DUMMYFUNCTION("""COMPUTED_VALUE"""),107.4)</f>
        <v>107.4</v>
      </c>
      <c r="S329" s="1">
        <f ca="1">IFERROR(__xludf.DUMMYFUNCTION("""COMPUTED_VALUE"""),332)</f>
        <v>332</v>
      </c>
      <c r="T329" s="1">
        <f ca="1">IFERROR(__xludf.DUMMYFUNCTION("""COMPUTED_VALUE"""),-9.01)</f>
        <v>-9.01</v>
      </c>
      <c r="U329" s="1">
        <f ca="1">IFERROR(__xludf.DUMMYFUNCTION("""COMPUTED_VALUE"""),331)</f>
        <v>331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IFERROR(__xludf.DUMMYFUNCTION("""COMPUTED_VALUE"""),"Colgate")</f>
        <v>Colgate</v>
      </c>
      <c r="C330" s="1" t="str">
        <f ca="1">IFERROR(__xludf.DUMMYFUNCTION("""COMPUTED_VALUE"""),"Pat")</f>
        <v>Pat</v>
      </c>
      <c r="D330" s="2">
        <f ca="1">IFERROR(__xludf.DUMMYFUNCTION("""COMPUTED_VALUE"""),44765)</f>
        <v>44765</v>
      </c>
      <c r="E330" s="1">
        <f ca="1">IFERROR(__xludf.DUMMYFUNCTION("""COMPUTED_VALUE"""),-15.36)</f>
        <v>-15.36</v>
      </c>
      <c r="F330" s="1">
        <f ca="1">IFERROR(__xludf.DUMMYFUNCTION("""COMPUTED_VALUE"""),97.2)</f>
        <v>97.2</v>
      </c>
      <c r="G330" s="1">
        <f ca="1">IFERROR(__xludf.DUMMYFUNCTION("""COMPUTED_VALUE"""),275)</f>
        <v>275</v>
      </c>
      <c r="H330" s="1">
        <f ca="1">IFERROR(__xludf.DUMMYFUNCTION("""COMPUTED_VALUE"""),112.5)</f>
        <v>112.5</v>
      </c>
      <c r="I330" s="1">
        <f ca="1">IFERROR(__xludf.DUMMYFUNCTION("""COMPUTED_VALUE"""),325)</f>
        <v>325</v>
      </c>
      <c r="J330" s="1">
        <f ca="1">IFERROR(__xludf.DUMMYFUNCTION("""COMPUTED_VALUE"""),66)</f>
        <v>66</v>
      </c>
      <c r="K330" s="1">
        <f ca="1">IFERROR(__xludf.DUMMYFUNCTION("""COMPUTED_VALUE"""),140)</f>
        <v>140</v>
      </c>
      <c r="L330" s="1">
        <f ca="1">IFERROR(__xludf.DUMMYFUNCTION("""COMPUTED_VALUE"""),-0.029)</f>
        <v>-2.9000000000000001E-2</v>
      </c>
      <c r="M330" s="1">
        <f ca="1">IFERROR(__xludf.DUMMYFUNCTION("""COMPUTED_VALUE"""),255)</f>
        <v>255</v>
      </c>
      <c r="N330" s="1">
        <f ca="1">IFERROR(__xludf.DUMMYFUNCTION("""COMPUTED_VALUE"""),-4.39)</f>
        <v>-4.3899999999999997</v>
      </c>
      <c r="O330" s="1">
        <f ca="1">IFERROR(__xludf.DUMMYFUNCTION("""COMPUTED_VALUE"""),266)</f>
        <v>266</v>
      </c>
      <c r="P330" s="1">
        <f ca="1">IFERROR(__xludf.DUMMYFUNCTION("""COMPUTED_VALUE"""),101.2)</f>
        <v>101.2</v>
      </c>
      <c r="Q330" s="1">
        <f ca="1">IFERROR(__xludf.DUMMYFUNCTION("""COMPUTED_VALUE"""),250)</f>
        <v>250</v>
      </c>
      <c r="R330" s="1">
        <f ca="1">IFERROR(__xludf.DUMMYFUNCTION("""COMPUTED_VALUE"""),105.6)</f>
        <v>105.6</v>
      </c>
      <c r="S330" s="1">
        <f ca="1">IFERROR(__xludf.DUMMYFUNCTION("""COMPUTED_VALUE"""),271)</f>
        <v>271</v>
      </c>
      <c r="T330" s="1">
        <f ca="1">IFERROR(__xludf.DUMMYFUNCTION("""COMPUTED_VALUE"""),-4.71)</f>
        <v>-4.71</v>
      </c>
      <c r="U330" s="1">
        <f ca="1">IFERROR(__xludf.DUMMYFUNCTION("""COMPUTED_VALUE"""),278)</f>
        <v>278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IFERROR(__xludf.DUMMYFUNCTION("""COMPUTED_VALUE"""),"Binghamton")</f>
        <v>Binghamton</v>
      </c>
      <c r="C331" s="1" t="str">
        <f ca="1">IFERROR(__xludf.DUMMYFUNCTION("""COMPUTED_VALUE"""),"AE")</f>
        <v>AE</v>
      </c>
      <c r="D331" s="2">
        <f ca="1">IFERROR(__xludf.DUMMYFUNCTION("""COMPUTED_VALUE"""),44796)</f>
        <v>44796</v>
      </c>
      <c r="E331" s="1">
        <f ca="1">IFERROR(__xludf.DUMMYFUNCTION("""COMPUTED_VALUE"""),-15.89)</f>
        <v>-15.89</v>
      </c>
      <c r="F331" s="1">
        <f ca="1">IFERROR(__xludf.DUMMYFUNCTION("""COMPUTED_VALUE"""),97.7)</f>
        <v>97.7</v>
      </c>
      <c r="G331" s="1">
        <f ca="1">IFERROR(__xludf.DUMMYFUNCTION("""COMPUTED_VALUE"""),271)</f>
        <v>271</v>
      </c>
      <c r="H331" s="1">
        <f ca="1">IFERROR(__xludf.DUMMYFUNCTION("""COMPUTED_VALUE"""),113.6)</f>
        <v>113.6</v>
      </c>
      <c r="I331" s="1">
        <f ca="1">IFERROR(__xludf.DUMMYFUNCTION("""COMPUTED_VALUE"""),335)</f>
        <v>335</v>
      </c>
      <c r="J331" s="1">
        <f ca="1">IFERROR(__xludf.DUMMYFUNCTION("""COMPUTED_VALUE"""),61.6)</f>
        <v>61.6</v>
      </c>
      <c r="K331" s="1">
        <f ca="1">IFERROR(__xludf.DUMMYFUNCTION("""COMPUTED_VALUE"""),319)</f>
        <v>319</v>
      </c>
      <c r="L331" s="1">
        <f ca="1">IFERROR(__xludf.DUMMYFUNCTION("""COMPUTED_VALUE"""),-0.04)</f>
        <v>-0.04</v>
      </c>
      <c r="M331" s="1">
        <f ca="1">IFERROR(__xludf.DUMMYFUNCTION("""COMPUTED_VALUE"""),276)</f>
        <v>276</v>
      </c>
      <c r="N331" s="1">
        <f ca="1">IFERROR(__xludf.DUMMYFUNCTION("""COMPUTED_VALUE"""),-4.82)</f>
        <v>-4.82</v>
      </c>
      <c r="O331" s="1">
        <f ca="1">IFERROR(__xludf.DUMMYFUNCTION("""COMPUTED_VALUE"""),276)</f>
        <v>276</v>
      </c>
      <c r="P331" s="1">
        <f ca="1">IFERROR(__xludf.DUMMYFUNCTION("""COMPUTED_VALUE"""),100.3)</f>
        <v>100.3</v>
      </c>
      <c r="Q331" s="1">
        <f ca="1">IFERROR(__xludf.DUMMYFUNCTION("""COMPUTED_VALUE"""),290)</f>
        <v>290</v>
      </c>
      <c r="R331" s="1">
        <f ca="1">IFERROR(__xludf.DUMMYFUNCTION("""COMPUTED_VALUE"""),105.1)</f>
        <v>105.1</v>
      </c>
      <c r="S331" s="1">
        <f ca="1">IFERROR(__xludf.DUMMYFUNCTION("""COMPUTED_VALUE"""),236)</f>
        <v>236</v>
      </c>
      <c r="T331" s="1">
        <f ca="1">IFERROR(__xludf.DUMMYFUNCTION("""COMPUTED_VALUE"""),-0.26)</f>
        <v>-0.26</v>
      </c>
      <c r="U331" s="1">
        <f ca="1">IFERROR(__xludf.DUMMYFUNCTION("""COMPUTED_VALUE"""),162)</f>
        <v>162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IFERROR(__xludf.DUMMYFUNCTION("""COMPUTED_VALUE"""),"Texas A&amp;M Corpus Chris")</f>
        <v>Texas A&amp;M Corpus Chris</v>
      </c>
      <c r="C332" s="1" t="str">
        <f ca="1">IFERROR(__xludf.DUMMYFUNCTION("""COMPUTED_VALUE"""),"Slnd")</f>
        <v>Slnd</v>
      </c>
      <c r="D332" s="2">
        <f ca="1">IFERROR(__xludf.DUMMYFUNCTION("""COMPUTED_VALUE"""),44855)</f>
        <v>44855</v>
      </c>
      <c r="E332" s="1">
        <f ca="1">IFERROR(__xludf.DUMMYFUNCTION("""COMPUTED_VALUE"""),-16.12)</f>
        <v>-16.12</v>
      </c>
      <c r="F332" s="1">
        <f ca="1">IFERROR(__xludf.DUMMYFUNCTION("""COMPUTED_VALUE"""),92.9)</f>
        <v>92.9</v>
      </c>
      <c r="G332" s="1">
        <f ca="1">IFERROR(__xludf.DUMMYFUNCTION("""COMPUTED_VALUE"""),313)</f>
        <v>313</v>
      </c>
      <c r="H332" s="1">
        <f ca="1">IFERROR(__xludf.DUMMYFUNCTION("""COMPUTED_VALUE"""),109.1)</f>
        <v>109.1</v>
      </c>
      <c r="I332" s="1">
        <f ca="1">IFERROR(__xludf.DUMMYFUNCTION("""COMPUTED_VALUE"""),285)</f>
        <v>285</v>
      </c>
      <c r="J332" s="1">
        <f ca="1">IFERROR(__xludf.DUMMYFUNCTION("""COMPUTED_VALUE"""),64.5)</f>
        <v>64.5</v>
      </c>
      <c r="K332" s="1">
        <f ca="1">IFERROR(__xludf.DUMMYFUNCTION("""COMPUTED_VALUE"""),223)</f>
        <v>223</v>
      </c>
      <c r="L332" s="1" t="str">
        <f ca="1">IFERROR(__xludf.DUMMYFUNCTION("""COMPUTED_VALUE"""),"+.043")</f>
        <v>+.043</v>
      </c>
      <c r="M332" s="1">
        <f ca="1">IFERROR(__xludf.DUMMYFUNCTION("""COMPUTED_VALUE"""),75)</f>
        <v>75</v>
      </c>
      <c r="N332" s="1">
        <f ca="1">IFERROR(__xludf.DUMMYFUNCTION("""COMPUTED_VALUE"""),-2.74)</f>
        <v>-2.74</v>
      </c>
      <c r="O332" s="1">
        <f ca="1">IFERROR(__xludf.DUMMYFUNCTION("""COMPUTED_VALUE"""),221)</f>
        <v>221</v>
      </c>
      <c r="P332" s="1">
        <f ca="1">IFERROR(__xludf.DUMMYFUNCTION("""COMPUTED_VALUE"""),101.5)</f>
        <v>101.5</v>
      </c>
      <c r="Q332" s="1">
        <f ca="1">IFERROR(__xludf.DUMMYFUNCTION("""COMPUTED_VALUE"""),241)</f>
        <v>241</v>
      </c>
      <c r="R332" s="1">
        <f ca="1">IFERROR(__xludf.DUMMYFUNCTION("""COMPUTED_VALUE"""),104.3)</f>
        <v>104.3</v>
      </c>
      <c r="S332" s="1">
        <f ca="1">IFERROR(__xludf.DUMMYFUNCTION("""COMPUTED_VALUE"""),194)</f>
        <v>194</v>
      </c>
      <c r="T332" s="1" t="str">
        <f ca="1">IFERROR(__xludf.DUMMYFUNCTION("""COMPUTED_VALUE"""),"+5.68")</f>
        <v>+5.68</v>
      </c>
      <c r="U332" s="1">
        <f ca="1">IFERROR(__xludf.DUMMYFUNCTION("""COMPUTED_VALUE"""),40)</f>
        <v>40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IFERROR(__xludf.DUMMYFUNCTION("""COMPUTED_VALUE"""),"Kennesaw St.")</f>
        <v>Kennesaw St.</v>
      </c>
      <c r="C333" s="1" t="str">
        <f ca="1">IFERROR(__xludf.DUMMYFUNCTION("""COMPUTED_VALUE"""),"ASun")</f>
        <v>ASun</v>
      </c>
      <c r="D333" s="2">
        <f ca="1">IFERROR(__xludf.DUMMYFUNCTION("""COMPUTED_VALUE"""),44796)</f>
        <v>44796</v>
      </c>
      <c r="E333" s="1">
        <f ca="1">IFERROR(__xludf.DUMMYFUNCTION("""COMPUTED_VALUE"""),-16.36)</f>
        <v>-16.36</v>
      </c>
      <c r="F333" s="1">
        <f ca="1">IFERROR(__xludf.DUMMYFUNCTION("""COMPUTED_VALUE"""),98.5)</f>
        <v>98.5</v>
      </c>
      <c r="G333" s="1">
        <f ca="1">IFERROR(__xludf.DUMMYFUNCTION("""COMPUTED_VALUE"""),258)</f>
        <v>258</v>
      </c>
      <c r="H333" s="1">
        <f ca="1">IFERROR(__xludf.DUMMYFUNCTION("""COMPUTED_VALUE"""),114.9)</f>
        <v>114.9</v>
      </c>
      <c r="I333" s="1">
        <f ca="1">IFERROR(__xludf.DUMMYFUNCTION("""COMPUTED_VALUE"""),340)</f>
        <v>340</v>
      </c>
      <c r="J333" s="1">
        <f ca="1">IFERROR(__xludf.DUMMYFUNCTION("""COMPUTED_VALUE"""),63.6)</f>
        <v>63.6</v>
      </c>
      <c r="K333" s="1">
        <f ca="1">IFERROR(__xludf.DUMMYFUNCTION("""COMPUTED_VALUE"""),255)</f>
        <v>255</v>
      </c>
      <c r="L333" s="1">
        <f ca="1">IFERROR(__xludf.DUMMYFUNCTION("""COMPUTED_VALUE"""),0)</f>
        <v>0</v>
      </c>
      <c r="M333" s="1">
        <f ca="1">IFERROR(__xludf.DUMMYFUNCTION("""COMPUTED_VALUE"""),181)</f>
        <v>181</v>
      </c>
      <c r="N333" s="1">
        <f ca="1">IFERROR(__xludf.DUMMYFUNCTION("""COMPUTED_VALUE"""),-3.09)</f>
        <v>-3.09</v>
      </c>
      <c r="O333" s="1">
        <f ca="1">IFERROR(__xludf.DUMMYFUNCTION("""COMPUTED_VALUE"""),234)</f>
        <v>234</v>
      </c>
      <c r="P333" s="1">
        <f ca="1">IFERROR(__xludf.DUMMYFUNCTION("""COMPUTED_VALUE"""),100.7)</f>
        <v>100.7</v>
      </c>
      <c r="Q333" s="1">
        <f ca="1">IFERROR(__xludf.DUMMYFUNCTION("""COMPUTED_VALUE"""),269)</f>
        <v>269</v>
      </c>
      <c r="R333" s="1">
        <f ca="1">IFERROR(__xludf.DUMMYFUNCTION("""COMPUTED_VALUE"""),103.8)</f>
        <v>103.8</v>
      </c>
      <c r="S333" s="1">
        <f ca="1">IFERROR(__xludf.DUMMYFUNCTION("""COMPUTED_VALUE"""),173)</f>
        <v>173</v>
      </c>
      <c r="T333" s="1">
        <f ca="1">IFERROR(__xludf.DUMMYFUNCTION("""COMPUTED_VALUE"""),-3.39)</f>
        <v>-3.39</v>
      </c>
      <c r="U333" s="1">
        <f ca="1">IFERROR(__xludf.DUMMYFUNCTION("""COMPUTED_VALUE"""),248)</f>
        <v>248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IFERROR(__xludf.DUMMYFUNCTION("""COMPUTED_VALUE"""),"Longwood")</f>
        <v>Longwood</v>
      </c>
      <c r="C334" s="1" t="str">
        <f ca="1">IFERROR(__xludf.DUMMYFUNCTION("""COMPUTED_VALUE"""),"ind")</f>
        <v>ind</v>
      </c>
      <c r="D334" s="2">
        <f ca="1">IFERROR(__xludf.DUMMYFUNCTION("""COMPUTED_VALUE"""),44914)</f>
        <v>44914</v>
      </c>
      <c r="E334" s="1">
        <f ca="1">IFERROR(__xludf.DUMMYFUNCTION("""COMPUTED_VALUE"""),-16.42)</f>
        <v>-16.420000000000002</v>
      </c>
      <c r="F334" s="1">
        <f ca="1">IFERROR(__xludf.DUMMYFUNCTION("""COMPUTED_VALUE"""),102.2)</f>
        <v>102.2</v>
      </c>
      <c r="G334" s="1">
        <f ca="1">IFERROR(__xludf.DUMMYFUNCTION("""COMPUTED_VALUE"""),192)</f>
        <v>192</v>
      </c>
      <c r="H334" s="1">
        <f ca="1">IFERROR(__xludf.DUMMYFUNCTION("""COMPUTED_VALUE"""),118.6)</f>
        <v>118.6</v>
      </c>
      <c r="I334" s="1">
        <f ca="1">IFERROR(__xludf.DUMMYFUNCTION("""COMPUTED_VALUE"""),345)</f>
        <v>345</v>
      </c>
      <c r="J334" s="1">
        <f ca="1">IFERROR(__xludf.DUMMYFUNCTION("""COMPUTED_VALUE"""),69.9)</f>
        <v>69.900000000000006</v>
      </c>
      <c r="K334" s="1">
        <f ca="1">IFERROR(__xludf.DUMMYFUNCTION("""COMPUTED_VALUE"""),22)</f>
        <v>22</v>
      </c>
      <c r="L334" s="1" t="str">
        <f ca="1">IFERROR(__xludf.DUMMYFUNCTION("""COMPUTED_VALUE"""),"+.027")</f>
        <v>+.027</v>
      </c>
      <c r="M334" s="1">
        <f ca="1">IFERROR(__xludf.DUMMYFUNCTION("""COMPUTED_VALUE"""),113)</f>
        <v>113</v>
      </c>
      <c r="N334" s="1">
        <f ca="1">IFERROR(__xludf.DUMMYFUNCTION("""COMPUTED_VALUE"""),-4.86)</f>
        <v>-4.8600000000000003</v>
      </c>
      <c r="O334" s="1">
        <f ca="1">IFERROR(__xludf.DUMMYFUNCTION("""COMPUTED_VALUE"""),279)</f>
        <v>279</v>
      </c>
      <c r="P334" s="1">
        <f ca="1">IFERROR(__xludf.DUMMYFUNCTION("""COMPUTED_VALUE"""),100.2)</f>
        <v>100.2</v>
      </c>
      <c r="Q334" s="1">
        <f ca="1">IFERROR(__xludf.DUMMYFUNCTION("""COMPUTED_VALUE"""),293)</f>
        <v>293</v>
      </c>
      <c r="R334" s="1">
        <f ca="1">IFERROR(__xludf.DUMMYFUNCTION("""COMPUTED_VALUE"""),105)</f>
        <v>105</v>
      </c>
      <c r="S334" s="1">
        <f ca="1">IFERROR(__xludf.DUMMYFUNCTION("""COMPUTED_VALUE"""),231)</f>
        <v>231</v>
      </c>
      <c r="T334" s="1">
        <f ca="1">IFERROR(__xludf.DUMMYFUNCTION("""COMPUTED_VALUE"""),-2.28)</f>
        <v>-2.2799999999999998</v>
      </c>
      <c r="U334" s="1">
        <f ca="1">IFERROR(__xludf.DUMMYFUNCTION("""COMPUTED_VALUE"""),214)</f>
        <v>214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IFERROR(__xludf.DUMMYFUNCTION("""COMPUTED_VALUE"""),"USC Upstate")</f>
        <v>USC Upstate</v>
      </c>
      <c r="C335" s="1" t="str">
        <f ca="1">IFERROR(__xludf.DUMMYFUNCTION("""COMPUTED_VALUE"""),"ASun")</f>
        <v>ASun</v>
      </c>
      <c r="D335" s="2">
        <f ca="1">IFERROR(__xludf.DUMMYFUNCTION("""COMPUTED_VALUE"""),44706)</f>
        <v>44706</v>
      </c>
      <c r="E335" s="1">
        <f ca="1">IFERROR(__xludf.DUMMYFUNCTION("""COMPUTED_VALUE"""),-16.44)</f>
        <v>-16.440000000000001</v>
      </c>
      <c r="F335" s="1">
        <f ca="1">IFERROR(__xludf.DUMMYFUNCTION("""COMPUTED_VALUE"""),92.6)</f>
        <v>92.6</v>
      </c>
      <c r="G335" s="1">
        <f ca="1">IFERROR(__xludf.DUMMYFUNCTION("""COMPUTED_VALUE"""),320)</f>
        <v>320</v>
      </c>
      <c r="H335" s="1">
        <f ca="1">IFERROR(__xludf.DUMMYFUNCTION("""COMPUTED_VALUE"""),109.1)</f>
        <v>109.1</v>
      </c>
      <c r="I335" s="1">
        <f ca="1">IFERROR(__xludf.DUMMYFUNCTION("""COMPUTED_VALUE"""),284)</f>
        <v>284</v>
      </c>
      <c r="J335" s="1">
        <f ca="1">IFERROR(__xludf.DUMMYFUNCTION("""COMPUTED_VALUE"""),63)</f>
        <v>63</v>
      </c>
      <c r="K335" s="1">
        <f ca="1">IFERROR(__xludf.DUMMYFUNCTION("""COMPUTED_VALUE"""),280)</f>
        <v>280</v>
      </c>
      <c r="L335" s="1" t="str">
        <f ca="1">IFERROR(__xludf.DUMMYFUNCTION("""COMPUTED_VALUE"""),"+.016")</f>
        <v>+.016</v>
      </c>
      <c r="M335" s="1">
        <f ca="1">IFERROR(__xludf.DUMMYFUNCTION("""COMPUTED_VALUE"""),141)</f>
        <v>141</v>
      </c>
      <c r="N335" s="1" t="str">
        <f ca="1">IFERROR(__xludf.DUMMYFUNCTION("""COMPUTED_VALUE"""),"+0.14")</f>
        <v>+0.14</v>
      </c>
      <c r="O335" s="1">
        <f ca="1">IFERROR(__xludf.DUMMYFUNCTION("""COMPUTED_VALUE"""),152)</f>
        <v>152</v>
      </c>
      <c r="P335" s="1">
        <f ca="1">IFERROR(__xludf.DUMMYFUNCTION("""COMPUTED_VALUE"""),102.8)</f>
        <v>102.8</v>
      </c>
      <c r="Q335" s="1">
        <f ca="1">IFERROR(__xludf.DUMMYFUNCTION("""COMPUTED_VALUE"""),182)</f>
        <v>182</v>
      </c>
      <c r="R335" s="1">
        <f ca="1">IFERROR(__xludf.DUMMYFUNCTION("""COMPUTED_VALUE"""),102.7)</f>
        <v>102.7</v>
      </c>
      <c r="S335" s="1">
        <f ca="1">IFERROR(__xludf.DUMMYFUNCTION("""COMPUTED_VALUE"""),120)</f>
        <v>120</v>
      </c>
      <c r="T335" s="1" t="str">
        <f ca="1">IFERROR(__xludf.DUMMYFUNCTION("""COMPUTED_VALUE"""),"+8.13")</f>
        <v>+8.13</v>
      </c>
      <c r="U335" s="1">
        <f ca="1">IFERROR(__xludf.DUMMYFUNCTION("""COMPUTED_VALUE"""),18)</f>
        <v>18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IFERROR(__xludf.DUMMYFUNCTION("""COMPUTED_VALUE"""),"Sacramento St.")</f>
        <v>Sacramento St.</v>
      </c>
      <c r="C336" s="1" t="str">
        <f ca="1">IFERROR(__xludf.DUMMYFUNCTION("""COMPUTED_VALUE"""),"BSky")</f>
        <v>BSky</v>
      </c>
      <c r="D336" s="2">
        <f ca="1">IFERROR(__xludf.DUMMYFUNCTION("""COMPUTED_VALUE"""),44763)</f>
        <v>44763</v>
      </c>
      <c r="E336" s="1">
        <f ca="1">IFERROR(__xludf.DUMMYFUNCTION("""COMPUTED_VALUE"""),-16.49)</f>
        <v>-16.489999999999998</v>
      </c>
      <c r="F336" s="1">
        <f ca="1">IFERROR(__xludf.DUMMYFUNCTION("""COMPUTED_VALUE"""),93.5)</f>
        <v>93.5</v>
      </c>
      <c r="G336" s="1">
        <f ca="1">IFERROR(__xludf.DUMMYFUNCTION("""COMPUTED_VALUE"""),308)</f>
        <v>308</v>
      </c>
      <c r="H336" s="1">
        <f ca="1">IFERROR(__xludf.DUMMYFUNCTION("""COMPUTED_VALUE"""),109.9)</f>
        <v>109.9</v>
      </c>
      <c r="I336" s="1">
        <f ca="1">IFERROR(__xludf.DUMMYFUNCTION("""COMPUTED_VALUE"""),298)</f>
        <v>298</v>
      </c>
      <c r="J336" s="1">
        <f ca="1">IFERROR(__xludf.DUMMYFUNCTION("""COMPUTED_VALUE"""),63.3)</f>
        <v>63.3</v>
      </c>
      <c r="K336" s="1">
        <f ca="1">IFERROR(__xludf.DUMMYFUNCTION("""COMPUTED_VALUE"""),268)</f>
        <v>268</v>
      </c>
      <c r="L336" s="1">
        <f ca="1">IFERROR(__xludf.DUMMYFUNCTION("""COMPUTED_VALUE"""),-0.028)</f>
        <v>-2.8000000000000001E-2</v>
      </c>
      <c r="M336" s="1">
        <f ca="1">IFERROR(__xludf.DUMMYFUNCTION("""COMPUTED_VALUE"""),249)</f>
        <v>249</v>
      </c>
      <c r="N336" s="1">
        <f ca="1">IFERROR(__xludf.DUMMYFUNCTION("""COMPUTED_VALUE"""),-3.81)</f>
        <v>-3.81</v>
      </c>
      <c r="O336" s="1">
        <f ca="1">IFERROR(__xludf.DUMMYFUNCTION("""COMPUTED_VALUE"""),247)</f>
        <v>247</v>
      </c>
      <c r="P336" s="1">
        <f ca="1">IFERROR(__xludf.DUMMYFUNCTION("""COMPUTED_VALUE"""),102)</f>
        <v>102</v>
      </c>
      <c r="Q336" s="1">
        <f ca="1">IFERROR(__xludf.DUMMYFUNCTION("""COMPUTED_VALUE"""),221)</f>
        <v>221</v>
      </c>
      <c r="R336" s="1">
        <f ca="1">IFERROR(__xludf.DUMMYFUNCTION("""COMPUTED_VALUE"""),105.8)</f>
        <v>105.8</v>
      </c>
      <c r="S336" s="1">
        <f ca="1">IFERROR(__xludf.DUMMYFUNCTION("""COMPUTED_VALUE"""),282)</f>
        <v>282</v>
      </c>
      <c r="T336" s="1">
        <f ca="1">IFERROR(__xludf.DUMMYFUNCTION("""COMPUTED_VALUE"""),-3.31)</f>
        <v>-3.31</v>
      </c>
      <c r="U336" s="1">
        <f ca="1">IFERROR(__xludf.DUMMYFUNCTION("""COMPUTED_VALUE"""),243)</f>
        <v>243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IFERROR(__xludf.DUMMYFUNCTION("""COMPUTED_VALUE"""),"Dartmouth")</f>
        <v>Dartmouth</v>
      </c>
      <c r="C339" s="1" t="str">
        <f ca="1">IFERROR(__xludf.DUMMYFUNCTION("""COMPUTED_VALUE"""),"Ivy")</f>
        <v>Ivy</v>
      </c>
      <c r="D339" s="2">
        <f ca="1">IFERROR(__xludf.DUMMYFUNCTION("""COMPUTED_VALUE"""),44704)</f>
        <v>44704</v>
      </c>
      <c r="E339" s="1">
        <f ca="1">IFERROR(__xludf.DUMMYFUNCTION("""COMPUTED_VALUE"""),-16.61)</f>
        <v>-16.61</v>
      </c>
      <c r="F339" s="1">
        <f ca="1">IFERROR(__xludf.DUMMYFUNCTION("""COMPUTED_VALUE"""),90.8)</f>
        <v>90.8</v>
      </c>
      <c r="G339" s="1">
        <f ca="1">IFERROR(__xludf.DUMMYFUNCTION("""COMPUTED_VALUE"""),329)</f>
        <v>329</v>
      </c>
      <c r="H339" s="1">
        <f ca="1">IFERROR(__xludf.DUMMYFUNCTION("""COMPUTED_VALUE"""),107.4)</f>
        <v>107.4</v>
      </c>
      <c r="I339" s="1">
        <f ca="1">IFERROR(__xludf.DUMMYFUNCTION("""COMPUTED_VALUE"""),256)</f>
        <v>256</v>
      </c>
      <c r="J339" s="1">
        <f ca="1">IFERROR(__xludf.DUMMYFUNCTION("""COMPUTED_VALUE"""),65.2)</f>
        <v>65.2</v>
      </c>
      <c r="K339" s="1">
        <f ca="1">IFERROR(__xludf.DUMMYFUNCTION("""COMPUTED_VALUE"""),174)</f>
        <v>174</v>
      </c>
      <c r="L339" s="1">
        <f ca="1">IFERROR(__xludf.DUMMYFUNCTION("""COMPUTED_VALUE"""),-0.014)</f>
        <v>-1.4E-2</v>
      </c>
      <c r="M339" s="1">
        <f ca="1">IFERROR(__xludf.DUMMYFUNCTION("""COMPUTED_VALUE"""),216)</f>
        <v>216</v>
      </c>
      <c r="N339" s="1">
        <f ca="1">IFERROR(__xludf.DUMMYFUNCTION("""COMPUTED_VALUE"""),-1.34)</f>
        <v>-1.34</v>
      </c>
      <c r="O339" s="1">
        <f ca="1">IFERROR(__xludf.DUMMYFUNCTION("""COMPUTED_VALUE"""),180)</f>
        <v>180</v>
      </c>
      <c r="P339" s="1">
        <f ca="1">IFERROR(__xludf.DUMMYFUNCTION("""COMPUTED_VALUE"""),102.9)</f>
        <v>102.9</v>
      </c>
      <c r="Q339" s="1">
        <f ca="1">IFERROR(__xludf.DUMMYFUNCTION("""COMPUTED_VALUE"""),179)</f>
        <v>179</v>
      </c>
      <c r="R339" s="1">
        <f ca="1">IFERROR(__xludf.DUMMYFUNCTION("""COMPUTED_VALUE"""),104.3)</f>
        <v>104.3</v>
      </c>
      <c r="S339" s="1">
        <f ca="1">IFERROR(__xludf.DUMMYFUNCTION("""COMPUTED_VALUE"""),191)</f>
        <v>191</v>
      </c>
      <c r="T339" s="1">
        <f ca="1">IFERROR(__xludf.DUMMYFUNCTION("""COMPUTED_VALUE"""),-2.18)</f>
        <v>-2.1800000000000002</v>
      </c>
      <c r="U339" s="1">
        <f ca="1">IFERROR(__xludf.DUMMYFUNCTION("""COMPUTED_VALUE"""),212)</f>
        <v>212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IFERROR(__xludf.DUMMYFUNCTION("""COMPUTED_VALUE"""),"Marist")</f>
        <v>Marist</v>
      </c>
      <c r="C340" s="1" t="str">
        <f ca="1">IFERROR(__xludf.DUMMYFUNCTION("""COMPUTED_VALUE"""),"MAAC")</f>
        <v>MAAC</v>
      </c>
      <c r="D340" s="2">
        <f ca="1">IFERROR(__xludf.DUMMYFUNCTION("""COMPUTED_VALUE"""),44739)</f>
        <v>44739</v>
      </c>
      <c r="E340" s="1">
        <f ca="1">IFERROR(__xludf.DUMMYFUNCTION("""COMPUTED_VALUE"""),-16.63)</f>
        <v>-16.63</v>
      </c>
      <c r="F340" s="1">
        <f ca="1">IFERROR(__xludf.DUMMYFUNCTION("""COMPUTED_VALUE"""),94.8)</f>
        <v>94.8</v>
      </c>
      <c r="G340" s="1">
        <f ca="1">IFERROR(__xludf.DUMMYFUNCTION("""COMPUTED_VALUE"""),299)</f>
        <v>299</v>
      </c>
      <c r="H340" s="1">
        <f ca="1">IFERROR(__xludf.DUMMYFUNCTION("""COMPUTED_VALUE"""),111.4)</f>
        <v>111.4</v>
      </c>
      <c r="I340" s="1">
        <f ca="1">IFERROR(__xludf.DUMMYFUNCTION("""COMPUTED_VALUE"""),315)</f>
        <v>315</v>
      </c>
      <c r="J340" s="1">
        <f ca="1">IFERROR(__xludf.DUMMYFUNCTION("""COMPUTED_VALUE"""),64.8)</f>
        <v>64.8</v>
      </c>
      <c r="K340" s="1">
        <f ca="1">IFERROR(__xludf.DUMMYFUNCTION("""COMPUTED_VALUE"""),199)</f>
        <v>199</v>
      </c>
      <c r="L340" s="1" t="str">
        <f ca="1">IFERROR(__xludf.DUMMYFUNCTION("""COMPUTED_VALUE"""),"+.008")</f>
        <v>+.008</v>
      </c>
      <c r="M340" s="1">
        <f ca="1">IFERROR(__xludf.DUMMYFUNCTION("""COMPUTED_VALUE"""),158)</f>
        <v>158</v>
      </c>
      <c r="N340" s="1">
        <f ca="1">IFERROR(__xludf.DUMMYFUNCTION("""COMPUTED_VALUE"""),-0.67)</f>
        <v>-0.67</v>
      </c>
      <c r="O340" s="1">
        <f ca="1">IFERROR(__xludf.DUMMYFUNCTION("""COMPUTED_VALUE"""),165)</f>
        <v>165</v>
      </c>
      <c r="P340" s="1">
        <f ca="1">IFERROR(__xludf.DUMMYFUNCTION("""COMPUTED_VALUE"""),101.6)</f>
        <v>101.6</v>
      </c>
      <c r="Q340" s="1">
        <f ca="1">IFERROR(__xludf.DUMMYFUNCTION("""COMPUTED_VALUE"""),233)</f>
        <v>233</v>
      </c>
      <c r="R340" s="1">
        <f ca="1">IFERROR(__xludf.DUMMYFUNCTION("""COMPUTED_VALUE"""),102.3)</f>
        <v>102.3</v>
      </c>
      <c r="S340" s="1">
        <f ca="1">IFERROR(__xludf.DUMMYFUNCTION("""COMPUTED_VALUE"""),103)</f>
        <v>103</v>
      </c>
      <c r="T340" s="1" t="str">
        <f ca="1">IFERROR(__xludf.DUMMYFUNCTION("""COMPUTED_VALUE"""),"+1.21")</f>
        <v>+1.21</v>
      </c>
      <c r="U340" s="1">
        <f ca="1">IFERROR(__xludf.DUMMYFUNCTION("""COMPUTED_VALUE"""),118)</f>
        <v>118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IFERROR(__xludf.DUMMYFUNCTION("""COMPUTED_VALUE"""),"Alabama A&amp;M")</f>
        <v>Alabama A&amp;M</v>
      </c>
      <c r="C341" s="1" t="str">
        <f ca="1">IFERROR(__xludf.DUMMYFUNCTION("""COMPUTED_VALUE"""),"SWAC")</f>
        <v>SWAC</v>
      </c>
      <c r="D341" s="1" t="str">
        <f ca="1">IFERROR(__xludf.DUMMYFUNCTION("""COMPUTED_VALUE"""),"13-15")</f>
        <v>13-15</v>
      </c>
      <c r="E341" s="1">
        <f ca="1">IFERROR(__xludf.DUMMYFUNCTION("""COMPUTED_VALUE"""),-16.65)</f>
        <v>-16.649999999999999</v>
      </c>
      <c r="F341" s="1">
        <f ca="1">IFERROR(__xludf.DUMMYFUNCTION("""COMPUTED_VALUE"""),87)</f>
        <v>87</v>
      </c>
      <c r="G341" s="1">
        <f ca="1">IFERROR(__xludf.DUMMYFUNCTION("""COMPUTED_VALUE"""),339)</f>
        <v>339</v>
      </c>
      <c r="H341" s="1">
        <f ca="1">IFERROR(__xludf.DUMMYFUNCTION("""COMPUTED_VALUE"""),103.7)</f>
        <v>103.7</v>
      </c>
      <c r="I341" s="1">
        <f ca="1">IFERROR(__xludf.DUMMYFUNCTION("""COMPUTED_VALUE"""),179)</f>
        <v>179</v>
      </c>
      <c r="J341" s="1">
        <f ca="1">IFERROR(__xludf.DUMMYFUNCTION("""COMPUTED_VALUE"""),69.7)</f>
        <v>69.7</v>
      </c>
      <c r="K341" s="1">
        <f ca="1">IFERROR(__xludf.DUMMYFUNCTION("""COMPUTED_VALUE"""),26)</f>
        <v>26</v>
      </c>
      <c r="L341" s="1">
        <f ca="1">IFERROR(__xludf.DUMMYFUNCTION("""COMPUTED_VALUE"""),-0.001)</f>
        <v>-1E-3</v>
      </c>
      <c r="M341" s="1">
        <f ca="1">IFERROR(__xludf.DUMMYFUNCTION("""COMPUTED_VALUE"""),186)</f>
        <v>186</v>
      </c>
      <c r="N341" s="1">
        <f ca="1">IFERROR(__xludf.DUMMYFUNCTION("""COMPUTED_VALUE"""),-13.88)</f>
        <v>-13.88</v>
      </c>
      <c r="O341" s="1">
        <f ca="1">IFERROR(__xludf.DUMMYFUNCTION("""COMPUTED_VALUE"""),345)</f>
        <v>345</v>
      </c>
      <c r="P341" s="1">
        <f ca="1">IFERROR(__xludf.DUMMYFUNCTION("""COMPUTED_VALUE"""),93.1)</f>
        <v>93.1</v>
      </c>
      <c r="Q341" s="1">
        <f ca="1">IFERROR(__xludf.DUMMYFUNCTION("""COMPUTED_VALUE"""),345)</f>
        <v>345</v>
      </c>
      <c r="R341" s="1">
        <f ca="1">IFERROR(__xludf.DUMMYFUNCTION("""COMPUTED_VALUE"""),107)</f>
        <v>107</v>
      </c>
      <c r="S341" s="1">
        <f ca="1">IFERROR(__xludf.DUMMYFUNCTION("""COMPUTED_VALUE"""),328)</f>
        <v>328</v>
      </c>
      <c r="T341" s="1" t="str">
        <f ca="1">IFERROR(__xludf.DUMMYFUNCTION("""COMPUTED_VALUE"""),"+10.19")</f>
        <v>+10.19</v>
      </c>
      <c r="U341" s="1">
        <f ca="1">IFERROR(__xludf.DUMMYFUNCTION("""COMPUTED_VALUE"""),10)</f>
        <v>10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IFERROR(__xludf.DUMMYFUNCTION("""COMPUTED_VALUE"""),"Fairleigh Dickinson")</f>
        <v>Fairleigh Dickinson</v>
      </c>
      <c r="C342" s="1" t="str">
        <f ca="1">IFERROR(__xludf.DUMMYFUNCTION("""COMPUTED_VALUE"""),"NEC")</f>
        <v>NEC</v>
      </c>
      <c r="D342" s="2">
        <f ca="1">IFERROR(__xludf.DUMMYFUNCTION("""COMPUTED_VALUE"""),44705)</f>
        <v>44705</v>
      </c>
      <c r="E342" s="1">
        <f ca="1">IFERROR(__xludf.DUMMYFUNCTION("""COMPUTED_VALUE"""),-16.66)</f>
        <v>-16.66</v>
      </c>
      <c r="F342" s="1">
        <f ca="1">IFERROR(__xludf.DUMMYFUNCTION("""COMPUTED_VALUE"""),93.2)</f>
        <v>93.2</v>
      </c>
      <c r="G342" s="1">
        <f ca="1">IFERROR(__xludf.DUMMYFUNCTION("""COMPUTED_VALUE"""),310)</f>
        <v>310</v>
      </c>
      <c r="H342" s="1">
        <f ca="1">IFERROR(__xludf.DUMMYFUNCTION("""COMPUTED_VALUE"""),109.8)</f>
        <v>109.8</v>
      </c>
      <c r="I342" s="1">
        <f ca="1">IFERROR(__xludf.DUMMYFUNCTION("""COMPUTED_VALUE"""),296)</f>
        <v>296</v>
      </c>
      <c r="J342" s="1">
        <f ca="1">IFERROR(__xludf.DUMMYFUNCTION("""COMPUTED_VALUE"""),66.1)</f>
        <v>66.099999999999994</v>
      </c>
      <c r="K342" s="1">
        <f ca="1">IFERROR(__xludf.DUMMYFUNCTION("""COMPUTED_VALUE"""),123)</f>
        <v>123</v>
      </c>
      <c r="L342" s="1">
        <f ca="1">IFERROR(__xludf.DUMMYFUNCTION("""COMPUTED_VALUE"""),-0.025)</f>
        <v>-2.5000000000000001E-2</v>
      </c>
      <c r="M342" s="1">
        <f ca="1">IFERROR(__xludf.DUMMYFUNCTION("""COMPUTED_VALUE"""),241)</f>
        <v>241</v>
      </c>
      <c r="N342" s="1">
        <f ca="1">IFERROR(__xludf.DUMMYFUNCTION("""COMPUTED_VALUE"""),-4.81)</f>
        <v>-4.8099999999999996</v>
      </c>
      <c r="O342" s="1">
        <f ca="1">IFERROR(__xludf.DUMMYFUNCTION("""COMPUTED_VALUE"""),275)</f>
        <v>275</v>
      </c>
      <c r="P342" s="1">
        <f ca="1">IFERROR(__xludf.DUMMYFUNCTION("""COMPUTED_VALUE"""),100.8)</f>
        <v>100.8</v>
      </c>
      <c r="Q342" s="1">
        <f ca="1">IFERROR(__xludf.DUMMYFUNCTION("""COMPUTED_VALUE"""),264)</f>
        <v>264</v>
      </c>
      <c r="R342" s="1">
        <f ca="1">IFERROR(__xludf.DUMMYFUNCTION("""COMPUTED_VALUE"""),105.6)</f>
        <v>105.6</v>
      </c>
      <c r="S342" s="1">
        <f ca="1">IFERROR(__xludf.DUMMYFUNCTION("""COMPUTED_VALUE"""),269)</f>
        <v>269</v>
      </c>
      <c r="T342" s="1">
        <f ca="1">IFERROR(__xludf.DUMMYFUNCTION("""COMPUTED_VALUE"""),-2.32)</f>
        <v>-2.3199999999999998</v>
      </c>
      <c r="U342" s="1">
        <f ca="1">IFERROR(__xludf.DUMMYFUNCTION("""COMPUTED_VALUE"""),216)</f>
        <v>216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IFERROR(__xludf.DUMMYFUNCTION("""COMPUTED_VALUE"""),"Florida A&amp;M")</f>
        <v>Florida A&amp;M</v>
      </c>
      <c r="C343" s="1" t="str">
        <f ca="1">IFERROR(__xludf.DUMMYFUNCTION("""COMPUTED_VALUE"""),"MEAC")</f>
        <v>MEAC</v>
      </c>
      <c r="D343" s="2">
        <f ca="1">IFERROR(__xludf.DUMMYFUNCTION("""COMPUTED_VALUE"""),44915)</f>
        <v>44915</v>
      </c>
      <c r="E343" s="1">
        <f ca="1">IFERROR(__xludf.DUMMYFUNCTION("""COMPUTED_VALUE"""),-18.59)</f>
        <v>-18.59</v>
      </c>
      <c r="F343" s="1">
        <f ca="1">IFERROR(__xludf.DUMMYFUNCTION("""COMPUTED_VALUE"""),88.5)</f>
        <v>88.5</v>
      </c>
      <c r="G343" s="1">
        <f ca="1">IFERROR(__xludf.DUMMYFUNCTION("""COMPUTED_VALUE"""),335)</f>
        <v>335</v>
      </c>
      <c r="H343" s="1">
        <f ca="1">IFERROR(__xludf.DUMMYFUNCTION("""COMPUTED_VALUE"""),107.1)</f>
        <v>107.1</v>
      </c>
      <c r="I343" s="1">
        <f ca="1">IFERROR(__xludf.DUMMYFUNCTION("""COMPUTED_VALUE"""),247)</f>
        <v>247</v>
      </c>
      <c r="J343" s="1">
        <f ca="1">IFERROR(__xludf.DUMMYFUNCTION("""COMPUTED_VALUE"""),66.4)</f>
        <v>66.400000000000006</v>
      </c>
      <c r="K343" s="1">
        <f ca="1">IFERROR(__xludf.DUMMYFUNCTION("""COMPUTED_VALUE"""),108)</f>
        <v>108</v>
      </c>
      <c r="L343" s="1" t="str">
        <f ca="1">IFERROR(__xludf.DUMMYFUNCTION("""COMPUTED_VALUE"""),"+.006")</f>
        <v>+.006</v>
      </c>
      <c r="M343" s="1">
        <f ca="1">IFERROR(__xludf.DUMMYFUNCTION("""COMPUTED_VALUE"""),165)</f>
        <v>165</v>
      </c>
      <c r="N343" s="1">
        <f ca="1">IFERROR(__xludf.DUMMYFUNCTION("""COMPUTED_VALUE"""),-9.83)</f>
        <v>-9.83</v>
      </c>
      <c r="O343" s="1">
        <f ca="1">IFERROR(__xludf.DUMMYFUNCTION("""COMPUTED_VALUE"""),330)</f>
        <v>330</v>
      </c>
      <c r="P343" s="1">
        <f ca="1">IFERROR(__xludf.DUMMYFUNCTION("""COMPUTED_VALUE"""),97.1)</f>
        <v>97.1</v>
      </c>
      <c r="Q343" s="1">
        <f ca="1">IFERROR(__xludf.DUMMYFUNCTION("""COMPUTED_VALUE"""),333)</f>
        <v>333</v>
      </c>
      <c r="R343" s="1">
        <f ca="1">IFERROR(__xludf.DUMMYFUNCTION("""COMPUTED_VALUE"""),106.9)</f>
        <v>106.9</v>
      </c>
      <c r="S343" s="1">
        <f ca="1">IFERROR(__xludf.DUMMYFUNCTION("""COMPUTED_VALUE"""),326)</f>
        <v>326</v>
      </c>
      <c r="T343" s="1" t="str">
        <f ca="1">IFERROR(__xludf.DUMMYFUNCTION("""COMPUTED_VALUE"""),"+1.52")</f>
        <v>+1.52</v>
      </c>
      <c r="U343" s="1">
        <f ca="1">IFERROR(__xludf.DUMMYFUNCTION("""COMPUTED_VALUE"""),111)</f>
        <v>111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IFERROR(__xludf.DUMMYFUNCTION("""COMPUTED_VALUE"""),"Louisiana Monroe")</f>
        <v>Louisiana Monroe</v>
      </c>
      <c r="C344" s="1" t="str">
        <f ca="1">IFERROR(__xludf.DUMMYFUNCTION("""COMPUTED_VALUE"""),"SB")</f>
        <v>SB</v>
      </c>
      <c r="D344" s="2">
        <f ca="1">IFERROR(__xludf.DUMMYFUNCTION("""COMPUTED_VALUE"""),44766)</f>
        <v>44766</v>
      </c>
      <c r="E344" s="1">
        <f ca="1">IFERROR(__xludf.DUMMYFUNCTION("""COMPUTED_VALUE"""),-18.99)</f>
        <v>-18.989999999999998</v>
      </c>
      <c r="F344" s="1">
        <f ca="1">IFERROR(__xludf.DUMMYFUNCTION("""COMPUTED_VALUE"""),94.5)</f>
        <v>94.5</v>
      </c>
      <c r="G344" s="1">
        <f ca="1">IFERROR(__xludf.DUMMYFUNCTION("""COMPUTED_VALUE"""),303)</f>
        <v>303</v>
      </c>
      <c r="H344" s="1">
        <f ca="1">IFERROR(__xludf.DUMMYFUNCTION("""COMPUTED_VALUE"""),113.5)</f>
        <v>113.5</v>
      </c>
      <c r="I344" s="1">
        <f ca="1">IFERROR(__xludf.DUMMYFUNCTION("""COMPUTED_VALUE"""),334)</f>
        <v>334</v>
      </c>
      <c r="J344" s="1">
        <f ca="1">IFERROR(__xludf.DUMMYFUNCTION("""COMPUTED_VALUE"""),61.9)</f>
        <v>61.9</v>
      </c>
      <c r="K344" s="1">
        <f ca="1">IFERROR(__xludf.DUMMYFUNCTION("""COMPUTED_VALUE"""),313)</f>
        <v>313</v>
      </c>
      <c r="L344" s="1">
        <f ca="1">IFERROR(__xludf.DUMMYFUNCTION("""COMPUTED_VALUE"""),-0.023)</f>
        <v>-2.3E-2</v>
      </c>
      <c r="M344" s="1">
        <f ca="1">IFERROR(__xludf.DUMMYFUNCTION("""COMPUTED_VALUE"""),237)</f>
        <v>237</v>
      </c>
      <c r="N344" s="1">
        <f ca="1">IFERROR(__xludf.DUMMYFUNCTION("""COMPUTED_VALUE"""),-4.09)</f>
        <v>-4.09</v>
      </c>
      <c r="O344" s="1">
        <f ca="1">IFERROR(__xludf.DUMMYFUNCTION("""COMPUTED_VALUE"""),259)</f>
        <v>259</v>
      </c>
      <c r="P344" s="1">
        <f ca="1">IFERROR(__xludf.DUMMYFUNCTION("""COMPUTED_VALUE"""),100.7)</f>
        <v>100.7</v>
      </c>
      <c r="Q344" s="1">
        <f ca="1">IFERROR(__xludf.DUMMYFUNCTION("""COMPUTED_VALUE"""),271)</f>
        <v>271</v>
      </c>
      <c r="R344" s="1">
        <f ca="1">IFERROR(__xludf.DUMMYFUNCTION("""COMPUTED_VALUE"""),104.8)</f>
        <v>104.8</v>
      </c>
      <c r="S344" s="1">
        <f ca="1">IFERROR(__xludf.DUMMYFUNCTION("""COMPUTED_VALUE"""),223)</f>
        <v>223</v>
      </c>
      <c r="T344" s="1">
        <f ca="1">IFERROR(__xludf.DUMMYFUNCTION("""COMPUTED_VALUE"""),-1.33)</f>
        <v>-1.33</v>
      </c>
      <c r="U344" s="1">
        <f ca="1">IFERROR(__xludf.DUMMYFUNCTION("""COMPUTED_VALUE"""),193)</f>
        <v>193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IFERROR(__xludf.DUMMYFUNCTION("""COMPUTED_VALUE"""),"South Carolina St.")</f>
        <v>South Carolina St.</v>
      </c>
      <c r="C345" s="1" t="str">
        <f ca="1">IFERROR(__xludf.DUMMYFUNCTION("""COMPUTED_VALUE"""),"MEAC")</f>
        <v>MEAC</v>
      </c>
      <c r="D345" s="2">
        <f ca="1">IFERROR(__xludf.DUMMYFUNCTION("""COMPUTED_VALUE"""),44856)</f>
        <v>44856</v>
      </c>
      <c r="E345" s="1">
        <f ca="1">IFERROR(__xludf.DUMMYFUNCTION("""COMPUTED_VALUE"""),-19.21)</f>
        <v>-19.21</v>
      </c>
      <c r="F345" s="1">
        <f ca="1">IFERROR(__xludf.DUMMYFUNCTION("""COMPUTED_VALUE"""),91.7)</f>
        <v>91.7</v>
      </c>
      <c r="G345" s="1">
        <f ca="1">IFERROR(__xludf.DUMMYFUNCTION("""COMPUTED_VALUE"""),325)</f>
        <v>325</v>
      </c>
      <c r="H345" s="1">
        <f ca="1">IFERROR(__xludf.DUMMYFUNCTION("""COMPUTED_VALUE"""),110.9)</f>
        <v>110.9</v>
      </c>
      <c r="I345" s="1">
        <f ca="1">IFERROR(__xludf.DUMMYFUNCTION("""COMPUTED_VALUE"""),306)</f>
        <v>306</v>
      </c>
      <c r="J345" s="1">
        <f ca="1">IFERROR(__xludf.DUMMYFUNCTION("""COMPUTED_VALUE"""),66.3)</f>
        <v>66.3</v>
      </c>
      <c r="K345" s="1">
        <f ca="1">IFERROR(__xludf.DUMMYFUNCTION("""COMPUTED_VALUE"""),113)</f>
        <v>113</v>
      </c>
      <c r="L345" s="1">
        <f ca="1">IFERROR(__xludf.DUMMYFUNCTION("""COMPUTED_VALUE"""),-0.05)</f>
        <v>-0.05</v>
      </c>
      <c r="M345" s="1">
        <f ca="1">IFERROR(__xludf.DUMMYFUNCTION("""COMPUTED_VALUE"""),293)</f>
        <v>293</v>
      </c>
      <c r="N345" s="1">
        <f ca="1">IFERROR(__xludf.DUMMYFUNCTION("""COMPUTED_VALUE"""),-9.9)</f>
        <v>-9.9</v>
      </c>
      <c r="O345" s="1">
        <f ca="1">IFERROR(__xludf.DUMMYFUNCTION("""COMPUTED_VALUE"""),332)</f>
        <v>332</v>
      </c>
      <c r="P345" s="1">
        <f ca="1">IFERROR(__xludf.DUMMYFUNCTION("""COMPUTED_VALUE"""),98.3)</f>
        <v>98.3</v>
      </c>
      <c r="Q345" s="1">
        <f ca="1">IFERROR(__xludf.DUMMYFUNCTION("""COMPUTED_VALUE"""),324)</f>
        <v>324</v>
      </c>
      <c r="R345" s="1">
        <f ca="1">IFERROR(__xludf.DUMMYFUNCTION("""COMPUTED_VALUE"""),108.2)</f>
        <v>108.2</v>
      </c>
      <c r="S345" s="1">
        <f ca="1">IFERROR(__xludf.DUMMYFUNCTION("""COMPUTED_VALUE"""),339)</f>
        <v>339</v>
      </c>
      <c r="T345" s="1">
        <f ca="1">IFERROR(__xludf.DUMMYFUNCTION("""COMPUTED_VALUE"""),-1.07)</f>
        <v>-1.07</v>
      </c>
      <c r="U345" s="1">
        <f ca="1">IFERROR(__xludf.DUMMYFUNCTION("""COMPUTED_VALUE"""),185)</f>
        <v>185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IFERROR(__xludf.DUMMYFUNCTION("""COMPUTED_VALUE"""),"Georgia Southern")</f>
        <v>Georgia Southern</v>
      </c>
      <c r="C346" s="1" t="str">
        <f ca="1">IFERROR(__xludf.DUMMYFUNCTION("""COMPUTED_VALUE"""),"SC")</f>
        <v>SC</v>
      </c>
      <c r="D346" s="2">
        <f ca="1">IFERROR(__xludf.DUMMYFUNCTION("""COMPUTED_VALUE"""),44708)</f>
        <v>44708</v>
      </c>
      <c r="E346" s="1">
        <f ca="1">IFERROR(__xludf.DUMMYFUNCTION("""COMPUTED_VALUE"""),-19.33)</f>
        <v>-19.329999999999998</v>
      </c>
      <c r="F346" s="1">
        <f ca="1">IFERROR(__xludf.DUMMYFUNCTION("""COMPUTED_VALUE"""),89.7)</f>
        <v>89.7</v>
      </c>
      <c r="G346" s="1">
        <f ca="1">IFERROR(__xludf.DUMMYFUNCTION("""COMPUTED_VALUE"""),332)</f>
        <v>332</v>
      </c>
      <c r="H346" s="1">
        <f ca="1">IFERROR(__xludf.DUMMYFUNCTION("""COMPUTED_VALUE"""),109)</f>
        <v>109</v>
      </c>
      <c r="I346" s="1">
        <f ca="1">IFERROR(__xludf.DUMMYFUNCTION("""COMPUTED_VALUE"""),281)</f>
        <v>281</v>
      </c>
      <c r="J346" s="1">
        <f ca="1">IFERROR(__xludf.DUMMYFUNCTION("""COMPUTED_VALUE"""),66)</f>
        <v>66</v>
      </c>
      <c r="K346" s="1">
        <f ca="1">IFERROR(__xludf.DUMMYFUNCTION("""COMPUTED_VALUE"""),137)</f>
        <v>137</v>
      </c>
      <c r="L346" s="1">
        <f ca="1">IFERROR(__xludf.DUMMYFUNCTION("""COMPUTED_VALUE"""),-0.064)</f>
        <v>-6.4000000000000001E-2</v>
      </c>
      <c r="M346" s="1">
        <f ca="1">IFERROR(__xludf.DUMMYFUNCTION("""COMPUTED_VALUE"""),313)</f>
        <v>313</v>
      </c>
      <c r="N346" s="1">
        <f ca="1">IFERROR(__xludf.DUMMYFUNCTION("""COMPUTED_VALUE"""),-3.06)</f>
        <v>-3.06</v>
      </c>
      <c r="O346" s="1">
        <f ca="1">IFERROR(__xludf.DUMMYFUNCTION("""COMPUTED_VALUE"""),233)</f>
        <v>233</v>
      </c>
      <c r="P346" s="1">
        <f ca="1">IFERROR(__xludf.DUMMYFUNCTION("""COMPUTED_VALUE"""),103.4)</f>
        <v>103.4</v>
      </c>
      <c r="Q346" s="1">
        <f ca="1">IFERROR(__xludf.DUMMYFUNCTION("""COMPUTED_VALUE"""),159)</f>
        <v>159</v>
      </c>
      <c r="R346" s="1">
        <f ca="1">IFERROR(__xludf.DUMMYFUNCTION("""COMPUTED_VALUE"""),106.5)</f>
        <v>106.5</v>
      </c>
      <c r="S346" s="1">
        <f ca="1">IFERROR(__xludf.DUMMYFUNCTION("""COMPUTED_VALUE"""),313)</f>
        <v>313</v>
      </c>
      <c r="T346" s="1">
        <f ca="1">IFERROR(__xludf.DUMMYFUNCTION("""COMPUTED_VALUE"""),-3.02)</f>
        <v>-3.02</v>
      </c>
      <c r="U346" s="1">
        <f ca="1">IFERROR(__xludf.DUMMYFUNCTION("""COMPUTED_VALUE"""),238)</f>
        <v>238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IFERROR(__xludf.DUMMYFUNCTION("""COMPUTED_VALUE"""),"Grambling St.")</f>
        <v>Grambling St.</v>
      </c>
      <c r="C347" s="1" t="str">
        <f ca="1">IFERROR(__xludf.DUMMYFUNCTION("""COMPUTED_VALUE"""),"SWAC")</f>
        <v>SWAC</v>
      </c>
      <c r="D347" s="2">
        <f ca="1">IFERROR(__xludf.DUMMYFUNCTION("""COMPUTED_VALUE"""),44916)</f>
        <v>44916</v>
      </c>
      <c r="E347" s="1">
        <f ca="1">IFERROR(__xludf.DUMMYFUNCTION("""COMPUTED_VALUE"""),-19.64)</f>
        <v>-19.64</v>
      </c>
      <c r="F347" s="1">
        <f ca="1">IFERROR(__xludf.DUMMYFUNCTION("""COMPUTED_VALUE"""),87.4)</f>
        <v>87.4</v>
      </c>
      <c r="G347" s="1">
        <f ca="1">IFERROR(__xludf.DUMMYFUNCTION("""COMPUTED_VALUE"""),338)</f>
        <v>338</v>
      </c>
      <c r="H347" s="1">
        <f ca="1">IFERROR(__xludf.DUMMYFUNCTION("""COMPUTED_VALUE"""),107)</f>
        <v>107</v>
      </c>
      <c r="I347" s="1">
        <f ca="1">IFERROR(__xludf.DUMMYFUNCTION("""COMPUTED_VALUE"""),246)</f>
        <v>246</v>
      </c>
      <c r="J347" s="1">
        <f ca="1">IFERROR(__xludf.DUMMYFUNCTION("""COMPUTED_VALUE"""),66.1)</f>
        <v>66.099999999999994</v>
      </c>
      <c r="K347" s="1">
        <f ca="1">IFERROR(__xludf.DUMMYFUNCTION("""COMPUTED_VALUE"""),128)</f>
        <v>128</v>
      </c>
      <c r="L347" s="1" t="str">
        <f ca="1">IFERROR(__xludf.DUMMYFUNCTION("""COMPUTED_VALUE"""),"+.045")</f>
        <v>+.045</v>
      </c>
      <c r="M347" s="1">
        <f ca="1">IFERROR(__xludf.DUMMYFUNCTION("""COMPUTED_VALUE"""),66)</f>
        <v>66</v>
      </c>
      <c r="N347" s="1">
        <f ca="1">IFERROR(__xludf.DUMMYFUNCTION("""COMPUTED_VALUE"""),-11.81)</f>
        <v>-11.81</v>
      </c>
      <c r="O347" s="1">
        <f ca="1">IFERROR(__xludf.DUMMYFUNCTION("""COMPUTED_VALUE"""),341)</f>
        <v>341</v>
      </c>
      <c r="P347" s="1">
        <f ca="1">IFERROR(__xludf.DUMMYFUNCTION("""COMPUTED_VALUE"""),94.5)</f>
        <v>94.5</v>
      </c>
      <c r="Q347" s="1">
        <f ca="1">IFERROR(__xludf.DUMMYFUNCTION("""COMPUTED_VALUE"""),343)</f>
        <v>343</v>
      </c>
      <c r="R347" s="1">
        <f ca="1">IFERROR(__xludf.DUMMYFUNCTION("""COMPUTED_VALUE"""),106.4)</f>
        <v>106.4</v>
      </c>
      <c r="S347" s="1">
        <f ca="1">IFERROR(__xludf.DUMMYFUNCTION("""COMPUTED_VALUE"""),309)</f>
        <v>309</v>
      </c>
      <c r="T347" s="1" t="str">
        <f ca="1">IFERROR(__xludf.DUMMYFUNCTION("""COMPUTED_VALUE"""),"+3.12")</f>
        <v>+3.12</v>
      </c>
      <c r="U347" s="1">
        <f ca="1">IFERROR(__xludf.DUMMYFUNCTION("""COMPUTED_VALUE"""),69)</f>
        <v>69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IFERROR(__xludf.DUMMYFUNCTION("""COMPUTED_VALUE"""),"Western Illinois")</f>
        <v>Western Illinois</v>
      </c>
      <c r="C348" s="1" t="str">
        <f ca="1">IFERROR(__xludf.DUMMYFUNCTION("""COMPUTED_VALUE"""),"Sum")</f>
        <v>Sum</v>
      </c>
      <c r="D348" s="2">
        <f ca="1">IFERROR(__xludf.DUMMYFUNCTION("""COMPUTED_VALUE"""),44765)</f>
        <v>44765</v>
      </c>
      <c r="E348" s="1">
        <f ca="1">IFERROR(__xludf.DUMMYFUNCTION("""COMPUTED_VALUE"""),-20.01)</f>
        <v>-20.010000000000002</v>
      </c>
      <c r="F348" s="1">
        <f ca="1">IFERROR(__xludf.DUMMYFUNCTION("""COMPUTED_VALUE"""),87.6)</f>
        <v>87.6</v>
      </c>
      <c r="G348" s="1">
        <f ca="1">IFERROR(__xludf.DUMMYFUNCTION("""COMPUTED_VALUE"""),337)</f>
        <v>337</v>
      </c>
      <c r="H348" s="1">
        <f ca="1">IFERROR(__xludf.DUMMYFUNCTION("""COMPUTED_VALUE"""),107.6)</f>
        <v>107.6</v>
      </c>
      <c r="I348" s="1">
        <f ca="1">IFERROR(__xludf.DUMMYFUNCTION("""COMPUTED_VALUE"""),257)</f>
        <v>257</v>
      </c>
      <c r="J348" s="1">
        <f ca="1">IFERROR(__xludf.DUMMYFUNCTION("""COMPUTED_VALUE"""),61.2)</f>
        <v>61.2</v>
      </c>
      <c r="K348" s="1">
        <f ca="1">IFERROR(__xludf.DUMMYFUNCTION("""COMPUTED_VALUE"""),324)</f>
        <v>324</v>
      </c>
      <c r="L348" s="1" t="str">
        <f ca="1">IFERROR(__xludf.DUMMYFUNCTION("""COMPUTED_VALUE"""),"+.003")</f>
        <v>+.003</v>
      </c>
      <c r="M348" s="1">
        <f ca="1">IFERROR(__xludf.DUMMYFUNCTION("""COMPUTED_VALUE"""),172)</f>
        <v>172</v>
      </c>
      <c r="N348" s="1">
        <f ca="1">IFERROR(__xludf.DUMMYFUNCTION("""COMPUTED_VALUE"""),-3.54)</f>
        <v>-3.54</v>
      </c>
      <c r="O348" s="1">
        <f ca="1">IFERROR(__xludf.DUMMYFUNCTION("""COMPUTED_VALUE"""),242)</f>
        <v>242</v>
      </c>
      <c r="P348" s="1">
        <f ca="1">IFERROR(__xludf.DUMMYFUNCTION("""COMPUTED_VALUE"""),103.2)</f>
        <v>103.2</v>
      </c>
      <c r="Q348" s="1">
        <f ca="1">IFERROR(__xludf.DUMMYFUNCTION("""COMPUTED_VALUE"""),167)</f>
        <v>167</v>
      </c>
      <c r="R348" s="1">
        <f ca="1">IFERROR(__xludf.DUMMYFUNCTION("""COMPUTED_VALUE"""),106.7)</f>
        <v>106.7</v>
      </c>
      <c r="S348" s="1">
        <f ca="1">IFERROR(__xludf.DUMMYFUNCTION("""COMPUTED_VALUE"""),322)</f>
        <v>322</v>
      </c>
      <c r="T348" s="1">
        <f ca="1">IFERROR(__xludf.DUMMYFUNCTION("""COMPUTED_VALUE"""),-5.71)</f>
        <v>-5.71</v>
      </c>
      <c r="U348" s="1">
        <f ca="1">IFERROR(__xludf.DUMMYFUNCTION("""COMPUTED_VALUE"""),304)</f>
        <v>304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IFERROR(__xludf.DUMMYFUNCTION("""COMPUTED_VALUE"""),"Radford")</f>
        <v>Radford</v>
      </c>
      <c r="C349" s="1" t="str">
        <f ca="1">IFERROR(__xludf.DUMMYFUNCTION("""COMPUTED_VALUE"""),"BSth")</f>
        <v>BSth</v>
      </c>
      <c r="D349" s="2">
        <f ca="1">IFERROR(__xludf.DUMMYFUNCTION("""COMPUTED_VALUE"""),44705)</f>
        <v>44705</v>
      </c>
      <c r="E349" s="1">
        <f ca="1">IFERROR(__xludf.DUMMYFUNCTION("""COMPUTED_VALUE"""),-20.27)</f>
        <v>-20.27</v>
      </c>
      <c r="F349" s="1">
        <f ca="1">IFERROR(__xludf.DUMMYFUNCTION("""COMPUTED_VALUE"""),86.7)</f>
        <v>86.7</v>
      </c>
      <c r="G349" s="1">
        <f ca="1">IFERROR(__xludf.DUMMYFUNCTION("""COMPUTED_VALUE"""),341)</f>
        <v>341</v>
      </c>
      <c r="H349" s="1">
        <f ca="1">IFERROR(__xludf.DUMMYFUNCTION("""COMPUTED_VALUE"""),107)</f>
        <v>107</v>
      </c>
      <c r="I349" s="1">
        <f ca="1">IFERROR(__xludf.DUMMYFUNCTION("""COMPUTED_VALUE"""),245)</f>
        <v>245</v>
      </c>
      <c r="J349" s="1">
        <f ca="1">IFERROR(__xludf.DUMMYFUNCTION("""COMPUTED_VALUE"""),66.5)</f>
        <v>66.5</v>
      </c>
      <c r="K349" s="1">
        <f ca="1">IFERROR(__xludf.DUMMYFUNCTION("""COMPUTED_VALUE"""),103)</f>
        <v>103</v>
      </c>
      <c r="L349" s="1" t="str">
        <f ca="1">IFERROR(__xludf.DUMMYFUNCTION("""COMPUTED_VALUE"""),"+.008")</f>
        <v>+.008</v>
      </c>
      <c r="M349" s="1">
        <f ca="1">IFERROR(__xludf.DUMMYFUNCTION("""COMPUTED_VALUE"""),159)</f>
        <v>159</v>
      </c>
      <c r="N349" s="1">
        <f ca="1">IFERROR(__xludf.DUMMYFUNCTION("""COMPUTED_VALUE"""),-1.58)</f>
        <v>-1.58</v>
      </c>
      <c r="O349" s="1">
        <f ca="1">IFERROR(__xludf.DUMMYFUNCTION("""COMPUTED_VALUE"""),185)</f>
        <v>185</v>
      </c>
      <c r="P349" s="1">
        <f ca="1">IFERROR(__xludf.DUMMYFUNCTION("""COMPUTED_VALUE"""),102.5)</f>
        <v>102.5</v>
      </c>
      <c r="Q349" s="1">
        <f ca="1">IFERROR(__xludf.DUMMYFUNCTION("""COMPUTED_VALUE"""),199)</f>
        <v>199</v>
      </c>
      <c r="R349" s="1">
        <f ca="1">IFERROR(__xludf.DUMMYFUNCTION("""COMPUTED_VALUE"""),104.1)</f>
        <v>104.1</v>
      </c>
      <c r="S349" s="1">
        <f ca="1">IFERROR(__xludf.DUMMYFUNCTION("""COMPUTED_VALUE"""),184)</f>
        <v>184</v>
      </c>
      <c r="T349" s="1" t="str">
        <f ca="1">IFERROR(__xludf.DUMMYFUNCTION("""COMPUTED_VALUE"""),"+8.34")</f>
        <v>+8.34</v>
      </c>
      <c r="U349" s="1">
        <f ca="1">IFERROR(__xludf.DUMMYFUNCTION("""COMPUTED_VALUE"""),16)</f>
        <v>16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IFERROR(__xludf.DUMMYFUNCTION("""COMPUTED_VALUE"""),"Toledo")</f>
        <v>Toledo</v>
      </c>
      <c r="C350" s="1" t="str">
        <f ca="1">IFERROR(__xludf.DUMMYFUNCTION("""COMPUTED_VALUE"""),"MAC")</f>
        <v>MAC</v>
      </c>
      <c r="D350" s="2">
        <f ca="1">IFERROR(__xludf.DUMMYFUNCTION("""COMPUTED_VALUE"""),44679)</f>
        <v>44679</v>
      </c>
      <c r="E350" s="1">
        <f ca="1">IFERROR(__xludf.DUMMYFUNCTION("""COMPUTED_VALUE"""),-20.65)</f>
        <v>-20.65</v>
      </c>
      <c r="F350" s="1">
        <f ca="1">IFERROR(__xludf.DUMMYFUNCTION("""COMPUTED_VALUE"""),91.9)</f>
        <v>91.9</v>
      </c>
      <c r="G350" s="1">
        <f ca="1">IFERROR(__xludf.DUMMYFUNCTION("""COMPUTED_VALUE"""),324)</f>
        <v>324</v>
      </c>
      <c r="H350" s="1">
        <f ca="1">IFERROR(__xludf.DUMMYFUNCTION("""COMPUTED_VALUE"""),112.6)</f>
        <v>112.6</v>
      </c>
      <c r="I350" s="1">
        <f ca="1">IFERROR(__xludf.DUMMYFUNCTION("""COMPUTED_VALUE"""),327)</f>
        <v>327</v>
      </c>
      <c r="J350" s="1">
        <f ca="1">IFERROR(__xludf.DUMMYFUNCTION("""COMPUTED_VALUE"""),62.8)</f>
        <v>62.8</v>
      </c>
      <c r="K350" s="1">
        <f ca="1">IFERROR(__xludf.DUMMYFUNCTION("""COMPUTED_VALUE"""),288)</f>
        <v>288</v>
      </c>
      <c r="L350" s="1">
        <f ca="1">IFERROR(__xludf.DUMMYFUNCTION("""COMPUTED_VALUE"""),-0.037)</f>
        <v>-3.6999999999999998E-2</v>
      </c>
      <c r="M350" s="1">
        <f ca="1">IFERROR(__xludf.DUMMYFUNCTION("""COMPUTED_VALUE"""),271)</f>
        <v>271</v>
      </c>
      <c r="N350" s="1">
        <f ca="1">IFERROR(__xludf.DUMMYFUNCTION("""COMPUTED_VALUE"""),-1.21)</f>
        <v>-1.21</v>
      </c>
      <c r="O350" s="1">
        <f ca="1">IFERROR(__xludf.DUMMYFUNCTION("""COMPUTED_VALUE"""),173)</f>
        <v>173</v>
      </c>
      <c r="P350" s="1">
        <f ca="1">IFERROR(__xludf.DUMMYFUNCTION("""COMPUTED_VALUE"""),101.6)</f>
        <v>101.6</v>
      </c>
      <c r="Q350" s="1">
        <f ca="1">IFERROR(__xludf.DUMMYFUNCTION("""COMPUTED_VALUE"""),236)</f>
        <v>236</v>
      </c>
      <c r="R350" s="1">
        <f ca="1">IFERROR(__xludf.DUMMYFUNCTION("""COMPUTED_VALUE"""),102.8)</f>
        <v>102.8</v>
      </c>
      <c r="S350" s="1">
        <f ca="1">IFERROR(__xludf.DUMMYFUNCTION("""COMPUTED_VALUE"""),125)</f>
        <v>125</v>
      </c>
      <c r="T350" s="1" t="str">
        <f ca="1">IFERROR(__xludf.DUMMYFUNCTION("""COMPUTED_VALUE"""),"+1.83")</f>
        <v>+1.83</v>
      </c>
      <c r="U350" s="1">
        <f ca="1">IFERROR(__xludf.DUMMYFUNCTION("""COMPUTED_VALUE"""),99)</f>
        <v>99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IFERROR(__xludf.DUMMYFUNCTION("""COMPUTED_VALUE"""),"Texas Pan American")</f>
        <v>Texas Pan American</v>
      </c>
      <c r="C351" s="1" t="str">
        <f ca="1">IFERROR(__xludf.DUMMYFUNCTION("""COMPUTED_VALUE"""),"GWC")</f>
        <v>GWC</v>
      </c>
      <c r="D351" s="2">
        <f ca="1">IFERROR(__xludf.DUMMYFUNCTION("""COMPUTED_VALUE"""),44737)</f>
        <v>44737</v>
      </c>
      <c r="E351" s="1">
        <f ca="1">IFERROR(__xludf.DUMMYFUNCTION("""COMPUTED_VALUE"""),-20.94)</f>
        <v>-20.94</v>
      </c>
      <c r="F351" s="1">
        <f ca="1">IFERROR(__xludf.DUMMYFUNCTION("""COMPUTED_VALUE"""),94.1)</f>
        <v>94.1</v>
      </c>
      <c r="G351" s="1">
        <f ca="1">IFERROR(__xludf.DUMMYFUNCTION("""COMPUTED_VALUE"""),305)</f>
        <v>305</v>
      </c>
      <c r="H351" s="1">
        <f ca="1">IFERROR(__xludf.DUMMYFUNCTION("""COMPUTED_VALUE"""),115)</f>
        <v>115</v>
      </c>
      <c r="I351" s="1">
        <f ca="1">IFERROR(__xludf.DUMMYFUNCTION("""COMPUTED_VALUE"""),341)</f>
        <v>341</v>
      </c>
      <c r="J351" s="1">
        <f ca="1">IFERROR(__xludf.DUMMYFUNCTION("""COMPUTED_VALUE"""),64.8)</f>
        <v>64.8</v>
      </c>
      <c r="K351" s="1">
        <f ca="1">IFERROR(__xludf.DUMMYFUNCTION("""COMPUTED_VALUE"""),198)</f>
        <v>198</v>
      </c>
      <c r="L351" s="1">
        <f ca="1">IFERROR(__xludf.DUMMYFUNCTION("""COMPUTED_VALUE"""),-0.075)</f>
        <v>-7.4999999999999997E-2</v>
      </c>
      <c r="M351" s="1">
        <f ca="1">IFERROR(__xludf.DUMMYFUNCTION("""COMPUTED_VALUE"""),324)</f>
        <v>324</v>
      </c>
      <c r="N351" s="1">
        <f ca="1">IFERROR(__xludf.DUMMYFUNCTION("""COMPUTED_VALUE"""),-7.18)</f>
        <v>-7.18</v>
      </c>
      <c r="O351" s="1">
        <f ca="1">IFERROR(__xludf.DUMMYFUNCTION("""COMPUTED_VALUE"""),315)</f>
        <v>315</v>
      </c>
      <c r="P351" s="1">
        <f ca="1">IFERROR(__xludf.DUMMYFUNCTION("""COMPUTED_VALUE"""),100)</f>
        <v>100</v>
      </c>
      <c r="Q351" s="1">
        <f ca="1">IFERROR(__xludf.DUMMYFUNCTION("""COMPUTED_VALUE"""),301)</f>
        <v>301</v>
      </c>
      <c r="R351" s="1">
        <f ca="1">IFERROR(__xludf.DUMMYFUNCTION("""COMPUTED_VALUE"""),107.2)</f>
        <v>107.2</v>
      </c>
      <c r="S351" s="1">
        <f ca="1">IFERROR(__xludf.DUMMYFUNCTION("""COMPUTED_VALUE"""),331)</f>
        <v>331</v>
      </c>
      <c r="T351" s="1" t="str">
        <f ca="1">IFERROR(__xludf.DUMMYFUNCTION("""COMPUTED_VALUE"""),"+1.68")</f>
        <v>+1.68</v>
      </c>
      <c r="U351" s="1">
        <f ca="1">IFERROR(__xludf.DUMMYFUNCTION("""COMPUTED_VALUE"""),105)</f>
        <v>105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IFERROR(__xludf.DUMMYFUNCTION("""COMPUTED_VALUE"""),"Prairie View A&amp;M")</f>
        <v>Prairie View A&amp;M</v>
      </c>
      <c r="C352" s="1" t="str">
        <f ca="1">IFERROR(__xludf.DUMMYFUNCTION("""COMPUTED_VALUE"""),"SWAC")</f>
        <v>SWAC</v>
      </c>
      <c r="D352" s="2">
        <f ca="1">IFERROR(__xludf.DUMMYFUNCTION("""COMPUTED_VALUE"""),44856)</f>
        <v>44856</v>
      </c>
      <c r="E352" s="1">
        <f ca="1">IFERROR(__xludf.DUMMYFUNCTION("""COMPUTED_VALUE"""),-21.68)</f>
        <v>-21.68</v>
      </c>
      <c r="F352" s="1">
        <f ca="1">IFERROR(__xludf.DUMMYFUNCTION("""COMPUTED_VALUE"""),86)</f>
        <v>86</v>
      </c>
      <c r="G352" s="1">
        <f ca="1">IFERROR(__xludf.DUMMYFUNCTION("""COMPUTED_VALUE"""),343)</f>
        <v>343</v>
      </c>
      <c r="H352" s="1">
        <f ca="1">IFERROR(__xludf.DUMMYFUNCTION("""COMPUTED_VALUE"""),107.7)</f>
        <v>107.7</v>
      </c>
      <c r="I352" s="1">
        <f ca="1">IFERROR(__xludf.DUMMYFUNCTION("""COMPUTED_VALUE"""),260)</f>
        <v>260</v>
      </c>
      <c r="J352" s="1">
        <f ca="1">IFERROR(__xludf.DUMMYFUNCTION("""COMPUTED_VALUE"""),66.2)</f>
        <v>66.2</v>
      </c>
      <c r="K352" s="1">
        <f ca="1">IFERROR(__xludf.DUMMYFUNCTION("""COMPUTED_VALUE"""),119)</f>
        <v>119</v>
      </c>
      <c r="L352" s="1">
        <f ca="1">IFERROR(__xludf.DUMMYFUNCTION("""COMPUTED_VALUE"""),-0.025)</f>
        <v>-2.5000000000000001E-2</v>
      </c>
      <c r="M352" s="1">
        <f ca="1">IFERROR(__xludf.DUMMYFUNCTION("""COMPUTED_VALUE"""),243)</f>
        <v>243</v>
      </c>
      <c r="N352" s="1">
        <f ca="1">IFERROR(__xludf.DUMMYFUNCTION("""COMPUTED_VALUE"""),-10.06)</f>
        <v>-10.06</v>
      </c>
      <c r="O352" s="1">
        <f ca="1">IFERROR(__xludf.DUMMYFUNCTION("""COMPUTED_VALUE"""),334)</f>
        <v>334</v>
      </c>
      <c r="P352" s="1">
        <f ca="1">IFERROR(__xludf.DUMMYFUNCTION("""COMPUTED_VALUE"""),95.6)</f>
        <v>95.6</v>
      </c>
      <c r="Q352" s="1">
        <f ca="1">IFERROR(__xludf.DUMMYFUNCTION("""COMPUTED_VALUE"""),340)</f>
        <v>340</v>
      </c>
      <c r="R352" s="1">
        <f ca="1">IFERROR(__xludf.DUMMYFUNCTION("""COMPUTED_VALUE"""),105.7)</f>
        <v>105.7</v>
      </c>
      <c r="S352" s="1">
        <f ca="1">IFERROR(__xludf.DUMMYFUNCTION("""COMPUTED_VALUE"""),273)</f>
        <v>273</v>
      </c>
      <c r="T352" s="1" t="str">
        <f ca="1">IFERROR(__xludf.DUMMYFUNCTION("""COMPUTED_VALUE"""),"+10.89")</f>
        <v>+10.89</v>
      </c>
      <c r="U352" s="1">
        <f ca="1">IFERROR(__xludf.DUMMYFUNCTION("""COMPUTED_VALUE"""),8)</f>
        <v>8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IFERROR(__xludf.DUMMYFUNCTION("""COMPUTED_VALUE"""),"Maryland Eastern Shore")</f>
        <v>Maryland Eastern Shore</v>
      </c>
      <c r="C353" s="1" t="str">
        <f ca="1">IFERROR(__xludf.DUMMYFUNCTION("""COMPUTED_VALUE"""),"MEAC")</f>
        <v>MEAC</v>
      </c>
      <c r="D353" s="2">
        <f ca="1">IFERROR(__xludf.DUMMYFUNCTION("""COMPUTED_VALUE"""),44826)</f>
        <v>44826</v>
      </c>
      <c r="E353" s="1">
        <f ca="1">IFERROR(__xludf.DUMMYFUNCTION("""COMPUTED_VALUE"""),-22.02)</f>
        <v>-22.02</v>
      </c>
      <c r="F353" s="1">
        <f ca="1">IFERROR(__xludf.DUMMYFUNCTION("""COMPUTED_VALUE"""),92.1)</f>
        <v>92.1</v>
      </c>
      <c r="G353" s="1">
        <f ca="1">IFERROR(__xludf.DUMMYFUNCTION("""COMPUTED_VALUE"""),322)</f>
        <v>322</v>
      </c>
      <c r="H353" s="1">
        <f ca="1">IFERROR(__xludf.DUMMYFUNCTION("""COMPUTED_VALUE"""),114.1)</f>
        <v>114.1</v>
      </c>
      <c r="I353" s="1">
        <f ca="1">IFERROR(__xludf.DUMMYFUNCTION("""COMPUTED_VALUE"""),338)</f>
        <v>338</v>
      </c>
      <c r="J353" s="1">
        <f ca="1">IFERROR(__xludf.DUMMYFUNCTION("""COMPUTED_VALUE"""),68.8)</f>
        <v>68.8</v>
      </c>
      <c r="K353" s="1">
        <f ca="1">IFERROR(__xludf.DUMMYFUNCTION("""COMPUTED_VALUE"""),36)</f>
        <v>36</v>
      </c>
      <c r="L353" s="1" t="str">
        <f ca="1">IFERROR(__xludf.DUMMYFUNCTION("""COMPUTED_VALUE"""),"+.027")</f>
        <v>+.027</v>
      </c>
      <c r="M353" s="1">
        <f ca="1">IFERROR(__xludf.DUMMYFUNCTION("""COMPUTED_VALUE"""),112)</f>
        <v>112</v>
      </c>
      <c r="N353" s="1">
        <f ca="1">IFERROR(__xludf.DUMMYFUNCTION("""COMPUTED_VALUE"""),-8.32)</f>
        <v>-8.32</v>
      </c>
      <c r="O353" s="1">
        <f ca="1">IFERROR(__xludf.DUMMYFUNCTION("""COMPUTED_VALUE"""),322)</f>
        <v>322</v>
      </c>
      <c r="P353" s="1">
        <f ca="1">IFERROR(__xludf.DUMMYFUNCTION("""COMPUTED_VALUE"""),98.2)</f>
        <v>98.2</v>
      </c>
      <c r="Q353" s="1">
        <f ca="1">IFERROR(__xludf.DUMMYFUNCTION("""COMPUTED_VALUE"""),325)</f>
        <v>325</v>
      </c>
      <c r="R353" s="1">
        <f ca="1">IFERROR(__xludf.DUMMYFUNCTION("""COMPUTED_VALUE"""),106.6)</f>
        <v>106.6</v>
      </c>
      <c r="S353" s="1">
        <f ca="1">IFERROR(__xludf.DUMMYFUNCTION("""COMPUTED_VALUE"""),317)</f>
        <v>317</v>
      </c>
      <c r="T353" s="1" t="str">
        <f ca="1">IFERROR(__xludf.DUMMYFUNCTION("""COMPUTED_VALUE"""),"+3.29")</f>
        <v>+3.29</v>
      </c>
      <c r="U353" s="1">
        <f ca="1">IFERROR(__xludf.DUMMYFUNCTION("""COMPUTED_VALUE"""),66)</f>
        <v>66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IFERROR(__xludf.DUMMYFUNCTION("""COMPUTED_VALUE"""),"Central Arkansas")</f>
        <v>Central Arkansas</v>
      </c>
      <c r="C354" s="1" t="str">
        <f ca="1">IFERROR(__xludf.DUMMYFUNCTION("""COMPUTED_VALUE"""),"Slnd")</f>
        <v>Slnd</v>
      </c>
      <c r="D354" s="2">
        <f ca="1">IFERROR(__xludf.DUMMYFUNCTION("""COMPUTED_VALUE"""),44705)</f>
        <v>44705</v>
      </c>
      <c r="E354" s="1">
        <f ca="1">IFERROR(__xludf.DUMMYFUNCTION("""COMPUTED_VALUE"""),-22.05)</f>
        <v>-22.05</v>
      </c>
      <c r="F354" s="1">
        <f ca="1">IFERROR(__xludf.DUMMYFUNCTION("""COMPUTED_VALUE"""),90.5)</f>
        <v>90.5</v>
      </c>
      <c r="G354" s="1">
        <f ca="1">IFERROR(__xludf.DUMMYFUNCTION("""COMPUTED_VALUE"""),330)</f>
        <v>330</v>
      </c>
      <c r="H354" s="1">
        <f ca="1">IFERROR(__xludf.DUMMYFUNCTION("""COMPUTED_VALUE"""),112.6)</f>
        <v>112.6</v>
      </c>
      <c r="I354" s="1">
        <f ca="1">IFERROR(__xludf.DUMMYFUNCTION("""COMPUTED_VALUE"""),326)</f>
        <v>326</v>
      </c>
      <c r="J354" s="1">
        <f ca="1">IFERROR(__xludf.DUMMYFUNCTION("""COMPUTED_VALUE"""),69.6)</f>
        <v>69.599999999999994</v>
      </c>
      <c r="K354" s="1">
        <f ca="1">IFERROR(__xludf.DUMMYFUNCTION("""COMPUTED_VALUE"""),27)</f>
        <v>27</v>
      </c>
      <c r="L354" s="1">
        <f ca="1">IFERROR(__xludf.DUMMYFUNCTION("""COMPUTED_VALUE"""),-0.071)</f>
        <v>-7.0999999999999994E-2</v>
      </c>
      <c r="M354" s="1">
        <f ca="1">IFERROR(__xludf.DUMMYFUNCTION("""COMPUTED_VALUE"""),319)</f>
        <v>319</v>
      </c>
      <c r="N354" s="1">
        <f ca="1">IFERROR(__xludf.DUMMYFUNCTION("""COMPUTED_VALUE"""),-5.7)</f>
        <v>-5.7</v>
      </c>
      <c r="O354" s="1">
        <f ca="1">IFERROR(__xludf.DUMMYFUNCTION("""COMPUTED_VALUE"""),293)</f>
        <v>293</v>
      </c>
      <c r="P354" s="1">
        <f ca="1">IFERROR(__xludf.DUMMYFUNCTION("""COMPUTED_VALUE"""),100.6)</f>
        <v>100.6</v>
      </c>
      <c r="Q354" s="1">
        <f ca="1">IFERROR(__xludf.DUMMYFUNCTION("""COMPUTED_VALUE"""),274)</f>
        <v>274</v>
      </c>
      <c r="R354" s="1">
        <f ca="1">IFERROR(__xludf.DUMMYFUNCTION("""COMPUTED_VALUE"""),106.3)</f>
        <v>106.3</v>
      </c>
      <c r="S354" s="1">
        <f ca="1">IFERROR(__xludf.DUMMYFUNCTION("""COMPUTED_VALUE"""),306)</f>
        <v>306</v>
      </c>
      <c r="T354" s="1">
        <f ca="1">IFERROR(__xludf.DUMMYFUNCTION("""COMPUTED_VALUE"""),-0.79)</f>
        <v>-0.79</v>
      </c>
      <c r="U354" s="1">
        <f ca="1">IFERROR(__xludf.DUMMYFUNCTION("""COMPUTED_VALUE"""),180)</f>
        <v>180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IFERROR(__xludf.DUMMYFUNCTION("""COMPUTED_VALUE"""),"Houston Baptist")</f>
        <v>Houston Baptist</v>
      </c>
      <c r="C355" s="1" t="str">
        <f ca="1">IFERROR(__xludf.DUMMYFUNCTION("""COMPUTED_VALUE"""),"GWC")</f>
        <v>GWC</v>
      </c>
      <c r="D355" s="2">
        <f ca="1">IFERROR(__xludf.DUMMYFUNCTION("""COMPUTED_VALUE"""),44707)</f>
        <v>44707</v>
      </c>
      <c r="E355" s="1">
        <f ca="1">IFERROR(__xludf.DUMMYFUNCTION("""COMPUTED_VALUE"""),-22.15)</f>
        <v>-22.15</v>
      </c>
      <c r="F355" s="1">
        <f ca="1">IFERROR(__xludf.DUMMYFUNCTION("""COMPUTED_VALUE"""),91.2)</f>
        <v>91.2</v>
      </c>
      <c r="G355" s="1">
        <f ca="1">IFERROR(__xludf.DUMMYFUNCTION("""COMPUTED_VALUE"""),326)</f>
        <v>326</v>
      </c>
      <c r="H355" s="1">
        <f ca="1">IFERROR(__xludf.DUMMYFUNCTION("""COMPUTED_VALUE"""),113.3)</f>
        <v>113.3</v>
      </c>
      <c r="I355" s="1">
        <f ca="1">IFERROR(__xludf.DUMMYFUNCTION("""COMPUTED_VALUE"""),333)</f>
        <v>333</v>
      </c>
      <c r="J355" s="1">
        <f ca="1">IFERROR(__xludf.DUMMYFUNCTION("""COMPUTED_VALUE"""),70.5)</f>
        <v>70.5</v>
      </c>
      <c r="K355" s="1">
        <f ca="1">IFERROR(__xludf.DUMMYFUNCTION("""COMPUTED_VALUE"""),16)</f>
        <v>16</v>
      </c>
      <c r="L355" s="1" t="str">
        <f ca="1">IFERROR(__xludf.DUMMYFUNCTION("""COMPUTED_VALUE"""),"+.019")</f>
        <v>+.019</v>
      </c>
      <c r="M355" s="1">
        <f ca="1">IFERROR(__xludf.DUMMYFUNCTION("""COMPUTED_VALUE"""),134)</f>
        <v>134</v>
      </c>
      <c r="N355" s="1">
        <f ca="1">IFERROR(__xludf.DUMMYFUNCTION("""COMPUTED_VALUE"""),-9.97)</f>
        <v>-9.9700000000000006</v>
      </c>
      <c r="O355" s="1">
        <f ca="1">IFERROR(__xludf.DUMMYFUNCTION("""COMPUTED_VALUE"""),333)</f>
        <v>333</v>
      </c>
      <c r="P355" s="1">
        <f ca="1">IFERROR(__xludf.DUMMYFUNCTION("""COMPUTED_VALUE"""),97.9)</f>
        <v>97.9</v>
      </c>
      <c r="Q355" s="1">
        <f ca="1">IFERROR(__xludf.DUMMYFUNCTION("""COMPUTED_VALUE"""),329)</f>
        <v>329</v>
      </c>
      <c r="R355" s="1">
        <f ca="1">IFERROR(__xludf.DUMMYFUNCTION("""COMPUTED_VALUE"""),107.8)</f>
        <v>107.8</v>
      </c>
      <c r="S355" s="1">
        <f ca="1">IFERROR(__xludf.DUMMYFUNCTION("""COMPUTED_VALUE"""),336)</f>
        <v>336</v>
      </c>
      <c r="T355" s="1">
        <f ca="1">IFERROR(__xludf.DUMMYFUNCTION("""COMPUTED_VALUE"""),-3.9)</f>
        <v>-3.9</v>
      </c>
      <c r="U355" s="1">
        <f ca="1">IFERROR(__xludf.DUMMYFUNCTION("""COMPUTED_VALUE"""),259)</f>
        <v>259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IFERROR(__xludf.DUMMYFUNCTION("""COMPUTED_VALUE"""),"Arkansas Pine Bluff")</f>
        <v>Arkansas Pine Bluff</v>
      </c>
      <c r="C356" s="1" t="str">
        <f ca="1">IFERROR(__xludf.DUMMYFUNCTION("""COMPUTED_VALUE"""),"SWAC")</f>
        <v>SWAC</v>
      </c>
      <c r="D356" s="2">
        <f ca="1">IFERROR(__xludf.DUMMYFUNCTION("""COMPUTED_VALUE"""),44766)</f>
        <v>44766</v>
      </c>
      <c r="E356" s="1">
        <f ca="1">IFERROR(__xludf.DUMMYFUNCTION("""COMPUTED_VALUE"""),-22.25)</f>
        <v>-22.25</v>
      </c>
      <c r="F356" s="1">
        <f ca="1">IFERROR(__xludf.DUMMYFUNCTION("""COMPUTED_VALUE"""),88.9)</f>
        <v>88.9</v>
      </c>
      <c r="G356" s="1">
        <f ca="1">IFERROR(__xludf.DUMMYFUNCTION("""COMPUTED_VALUE"""),334)</f>
        <v>334</v>
      </c>
      <c r="H356" s="1">
        <f ca="1">IFERROR(__xludf.DUMMYFUNCTION("""COMPUTED_VALUE"""),111.2)</f>
        <v>111.2</v>
      </c>
      <c r="I356" s="1">
        <f ca="1">IFERROR(__xludf.DUMMYFUNCTION("""COMPUTED_VALUE"""),311)</f>
        <v>311</v>
      </c>
      <c r="J356" s="1">
        <f ca="1">IFERROR(__xludf.DUMMYFUNCTION("""COMPUTED_VALUE"""),65.7)</f>
        <v>65.7</v>
      </c>
      <c r="K356" s="1">
        <f ca="1">IFERROR(__xludf.DUMMYFUNCTION("""COMPUTED_VALUE"""),151)</f>
        <v>151</v>
      </c>
      <c r="L356" s="1" t="str">
        <f ca="1">IFERROR(__xludf.DUMMYFUNCTION("""COMPUTED_VALUE"""),"+.005")</f>
        <v>+.005</v>
      </c>
      <c r="M356" s="1">
        <f ca="1">IFERROR(__xludf.DUMMYFUNCTION("""COMPUTED_VALUE"""),167)</f>
        <v>167</v>
      </c>
      <c r="N356" s="1">
        <f ca="1">IFERROR(__xludf.DUMMYFUNCTION("""COMPUTED_VALUE"""),-7.76)</f>
        <v>-7.76</v>
      </c>
      <c r="O356" s="1">
        <f ca="1">IFERROR(__xludf.DUMMYFUNCTION("""COMPUTED_VALUE"""),319)</f>
        <v>319</v>
      </c>
      <c r="P356" s="1">
        <f ca="1">IFERROR(__xludf.DUMMYFUNCTION("""COMPUTED_VALUE"""),96.3)</f>
        <v>96.3</v>
      </c>
      <c r="Q356" s="1">
        <f ca="1">IFERROR(__xludf.DUMMYFUNCTION("""COMPUTED_VALUE"""),337)</f>
        <v>337</v>
      </c>
      <c r="R356" s="1">
        <f ca="1">IFERROR(__xludf.DUMMYFUNCTION("""COMPUTED_VALUE"""),104)</f>
        <v>104</v>
      </c>
      <c r="S356" s="1">
        <f ca="1">IFERROR(__xludf.DUMMYFUNCTION("""COMPUTED_VALUE"""),182)</f>
        <v>182</v>
      </c>
      <c r="T356" s="1" t="str">
        <f ca="1">IFERROR(__xludf.DUMMYFUNCTION("""COMPUTED_VALUE"""),"+10.84")</f>
        <v>+10.84</v>
      </c>
      <c r="U356" s="1">
        <f ca="1">IFERROR(__xludf.DUMMYFUNCTION("""COMPUTED_VALUE"""),9)</f>
        <v>9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IFERROR(__xludf.DUMMYFUNCTION("""COMPUTED_VALUE"""),"UMBC")</f>
        <v>UMBC</v>
      </c>
      <c r="C357" s="1" t="str">
        <f ca="1">IFERROR(__xludf.DUMMYFUNCTION("""COMPUTED_VALUE"""),"AE")</f>
        <v>AE</v>
      </c>
      <c r="D357" s="2">
        <f ca="1">IFERROR(__xludf.DUMMYFUNCTION("""COMPUTED_VALUE"""),44706)</f>
        <v>44706</v>
      </c>
      <c r="E357" s="1">
        <f ca="1">IFERROR(__xludf.DUMMYFUNCTION("""COMPUTED_VALUE"""),-22.38)</f>
        <v>-22.38</v>
      </c>
      <c r="F357" s="1">
        <f ca="1">IFERROR(__xludf.DUMMYFUNCTION("""COMPUTED_VALUE"""),96)</f>
        <v>96</v>
      </c>
      <c r="G357" s="1">
        <f ca="1">IFERROR(__xludf.DUMMYFUNCTION("""COMPUTED_VALUE"""),288)</f>
        <v>288</v>
      </c>
      <c r="H357" s="1">
        <f ca="1">IFERROR(__xludf.DUMMYFUNCTION("""COMPUTED_VALUE"""),118.3)</f>
        <v>118.3</v>
      </c>
      <c r="I357" s="1">
        <f ca="1">IFERROR(__xludf.DUMMYFUNCTION("""COMPUTED_VALUE"""),343)</f>
        <v>343</v>
      </c>
      <c r="J357" s="1">
        <f ca="1">IFERROR(__xludf.DUMMYFUNCTION("""COMPUTED_VALUE"""),66.9)</f>
        <v>66.900000000000006</v>
      </c>
      <c r="K357" s="1">
        <f ca="1">IFERROR(__xludf.DUMMYFUNCTION("""COMPUTED_VALUE"""),85)</f>
        <v>85</v>
      </c>
      <c r="L357" s="1" t="str">
        <f ca="1">IFERROR(__xludf.DUMMYFUNCTION("""COMPUTED_VALUE"""),"+.026")</f>
        <v>+.026</v>
      </c>
      <c r="M357" s="1">
        <f ca="1">IFERROR(__xludf.DUMMYFUNCTION("""COMPUTED_VALUE"""),115)</f>
        <v>115</v>
      </c>
      <c r="N357" s="1">
        <f ca="1">IFERROR(__xludf.DUMMYFUNCTION("""COMPUTED_VALUE"""),-4.32)</f>
        <v>-4.32</v>
      </c>
      <c r="O357" s="1">
        <f ca="1">IFERROR(__xludf.DUMMYFUNCTION("""COMPUTED_VALUE"""),263)</f>
        <v>263</v>
      </c>
      <c r="P357" s="1">
        <f ca="1">IFERROR(__xludf.DUMMYFUNCTION("""COMPUTED_VALUE"""),100.9)</f>
        <v>100.9</v>
      </c>
      <c r="Q357" s="1">
        <f ca="1">IFERROR(__xludf.DUMMYFUNCTION("""COMPUTED_VALUE"""),262)</f>
        <v>262</v>
      </c>
      <c r="R357" s="1">
        <f ca="1">IFERROR(__xludf.DUMMYFUNCTION("""COMPUTED_VALUE"""),105.2)</f>
        <v>105.2</v>
      </c>
      <c r="S357" s="1">
        <f ca="1">IFERROR(__xludf.DUMMYFUNCTION("""COMPUTED_VALUE"""),241)</f>
        <v>241</v>
      </c>
      <c r="T357" s="1" t="str">
        <f ca="1">IFERROR(__xludf.DUMMYFUNCTION("""COMPUTED_VALUE"""),"+0.86")</f>
        <v>+0.86</v>
      </c>
      <c r="U357" s="1">
        <f ca="1">IFERROR(__xludf.DUMMYFUNCTION("""COMPUTED_VALUE"""),128)</f>
        <v>128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IFERROR(__xludf.DUMMYFUNCTION("""COMPUTED_VALUE"""),"Howard")</f>
        <v>Howard</v>
      </c>
      <c r="C358" s="1" t="str">
        <f ca="1">IFERROR(__xludf.DUMMYFUNCTION("""COMPUTED_VALUE"""),"MEAC")</f>
        <v>MEAC</v>
      </c>
      <c r="D358" s="2">
        <f ca="1">IFERROR(__xludf.DUMMYFUNCTION("""COMPUTED_VALUE"""),44736)</f>
        <v>44736</v>
      </c>
      <c r="E358" s="1">
        <f ca="1">IFERROR(__xludf.DUMMYFUNCTION("""COMPUTED_VALUE"""),-24.24)</f>
        <v>-24.24</v>
      </c>
      <c r="F358" s="1">
        <f ca="1">IFERROR(__xludf.DUMMYFUNCTION("""COMPUTED_VALUE"""),87.9)</f>
        <v>87.9</v>
      </c>
      <c r="G358" s="1">
        <f ca="1">IFERROR(__xludf.DUMMYFUNCTION("""COMPUTED_VALUE"""),336)</f>
        <v>336</v>
      </c>
      <c r="H358" s="1">
        <f ca="1">IFERROR(__xludf.DUMMYFUNCTION("""COMPUTED_VALUE"""),112.2)</f>
        <v>112.2</v>
      </c>
      <c r="I358" s="1">
        <f ca="1">IFERROR(__xludf.DUMMYFUNCTION("""COMPUTED_VALUE"""),323)</f>
        <v>323</v>
      </c>
      <c r="J358" s="1">
        <f ca="1">IFERROR(__xludf.DUMMYFUNCTION("""COMPUTED_VALUE"""),64.6)</f>
        <v>64.599999999999994</v>
      </c>
      <c r="K358" s="1">
        <f ca="1">IFERROR(__xludf.DUMMYFUNCTION("""COMPUTED_VALUE"""),215)</f>
        <v>215</v>
      </c>
      <c r="L358" s="1" t="str">
        <f ca="1">IFERROR(__xludf.DUMMYFUNCTION("""COMPUTED_VALUE"""),"+.024")</f>
        <v>+.024</v>
      </c>
      <c r="M358" s="1">
        <f ca="1">IFERROR(__xludf.DUMMYFUNCTION("""COMPUTED_VALUE"""),121)</f>
        <v>121</v>
      </c>
      <c r="N358" s="1">
        <f ca="1">IFERROR(__xludf.DUMMYFUNCTION("""COMPUTED_VALUE"""),-9.19)</f>
        <v>-9.19</v>
      </c>
      <c r="O358" s="1">
        <f ca="1">IFERROR(__xludf.DUMMYFUNCTION("""COMPUTED_VALUE"""),324)</f>
        <v>324</v>
      </c>
      <c r="P358" s="1">
        <f ca="1">IFERROR(__xludf.DUMMYFUNCTION("""COMPUTED_VALUE"""),97.7)</f>
        <v>97.7</v>
      </c>
      <c r="Q358" s="1">
        <f ca="1">IFERROR(__xludf.DUMMYFUNCTION("""COMPUTED_VALUE"""),330)</f>
        <v>330</v>
      </c>
      <c r="R358" s="1">
        <f ca="1">IFERROR(__xludf.DUMMYFUNCTION("""COMPUTED_VALUE"""),106.9)</f>
        <v>106.9</v>
      </c>
      <c r="S358" s="1">
        <f ca="1">IFERROR(__xludf.DUMMYFUNCTION("""COMPUTED_VALUE"""),327)</f>
        <v>327</v>
      </c>
      <c r="T358" s="1">
        <f ca="1">IFERROR(__xludf.DUMMYFUNCTION("""COMPUTED_VALUE"""),-1.56)</f>
        <v>-1.56</v>
      </c>
      <c r="U358" s="1">
        <f ca="1">IFERROR(__xludf.DUMMYFUNCTION("""COMPUTED_VALUE"""),199)</f>
        <v>199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IFERROR(__xludf.DUMMYFUNCTION("""COMPUTED_VALUE"""),"Alcorn St.")</f>
        <v>Alcorn St.</v>
      </c>
      <c r="C359" s="1" t="str">
        <f ca="1">IFERROR(__xludf.DUMMYFUNCTION("""COMPUTED_VALUE"""),"SWAC")</f>
        <v>SWAC</v>
      </c>
      <c r="D359" s="2">
        <f ca="1">IFERROR(__xludf.DUMMYFUNCTION("""COMPUTED_VALUE"""),44675)</f>
        <v>44675</v>
      </c>
      <c r="E359" s="1">
        <f ca="1">IFERROR(__xludf.DUMMYFUNCTION("""COMPUTED_VALUE"""),-25.27)</f>
        <v>-25.27</v>
      </c>
      <c r="F359" s="1">
        <f ca="1">IFERROR(__xludf.DUMMYFUNCTION("""COMPUTED_VALUE"""),86.2)</f>
        <v>86.2</v>
      </c>
      <c r="G359" s="1">
        <f ca="1">IFERROR(__xludf.DUMMYFUNCTION("""COMPUTED_VALUE"""),342)</f>
        <v>342</v>
      </c>
      <c r="H359" s="1">
        <f ca="1">IFERROR(__xludf.DUMMYFUNCTION("""COMPUTED_VALUE"""),111.5)</f>
        <v>111.5</v>
      </c>
      <c r="I359" s="1">
        <f ca="1">IFERROR(__xludf.DUMMYFUNCTION("""COMPUTED_VALUE"""),317)</f>
        <v>317</v>
      </c>
      <c r="J359" s="1">
        <f ca="1">IFERROR(__xludf.DUMMYFUNCTION("""COMPUTED_VALUE"""),75.7)</f>
        <v>75.7</v>
      </c>
      <c r="K359" s="1">
        <f ca="1">IFERROR(__xludf.DUMMYFUNCTION("""COMPUTED_VALUE"""),1)</f>
        <v>1</v>
      </c>
      <c r="L359" s="1">
        <f ca="1">IFERROR(__xludf.DUMMYFUNCTION("""COMPUTED_VALUE"""),-0.019)</f>
        <v>-1.9E-2</v>
      </c>
      <c r="M359" s="1">
        <f ca="1">IFERROR(__xludf.DUMMYFUNCTION("""COMPUTED_VALUE"""),230)</f>
        <v>230</v>
      </c>
      <c r="N359" s="1">
        <f ca="1">IFERROR(__xludf.DUMMYFUNCTION("""COMPUTED_VALUE"""),-9.38)</f>
        <v>-9.3800000000000008</v>
      </c>
      <c r="O359" s="1">
        <f ca="1">IFERROR(__xludf.DUMMYFUNCTION("""COMPUTED_VALUE"""),328)</f>
        <v>328</v>
      </c>
      <c r="P359" s="1">
        <f ca="1">IFERROR(__xludf.DUMMYFUNCTION("""COMPUTED_VALUE"""),96.1)</f>
        <v>96.1</v>
      </c>
      <c r="Q359" s="1">
        <f ca="1">IFERROR(__xludf.DUMMYFUNCTION("""COMPUTED_VALUE"""),338)</f>
        <v>338</v>
      </c>
      <c r="R359" s="1">
        <f ca="1">IFERROR(__xludf.DUMMYFUNCTION("""COMPUTED_VALUE"""),105.4)</f>
        <v>105.4</v>
      </c>
      <c r="S359" s="1">
        <f ca="1">IFERROR(__xludf.DUMMYFUNCTION("""COMPUTED_VALUE"""),256)</f>
        <v>256</v>
      </c>
      <c r="T359" s="1" t="str">
        <f ca="1">IFERROR(__xludf.DUMMYFUNCTION("""COMPUTED_VALUE"""),"+12.93")</f>
        <v>+12.93</v>
      </c>
      <c r="U359" s="1">
        <f ca="1">IFERROR(__xludf.DUMMYFUNCTION("""COMPUTED_VALUE"""),4)</f>
        <v>4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IFERROR(__xludf.DUMMYFUNCTION("""COMPUTED_VALUE"""),"SIU Edwardsville")</f>
        <v>SIU Edwardsville</v>
      </c>
      <c r="C360" s="1" t="str">
        <f ca="1">IFERROR(__xludf.DUMMYFUNCTION("""COMPUTED_VALUE"""),"ind")</f>
        <v>ind</v>
      </c>
      <c r="D360" s="2">
        <f ca="1">IFERROR(__xludf.DUMMYFUNCTION("""COMPUTED_VALUE"""),44794)</f>
        <v>44794</v>
      </c>
      <c r="E360" s="1">
        <f ca="1">IFERROR(__xludf.DUMMYFUNCTION("""COMPUTED_VALUE"""),-26.31)</f>
        <v>-26.31</v>
      </c>
      <c r="F360" s="1">
        <f ca="1">IFERROR(__xludf.DUMMYFUNCTION("""COMPUTED_VALUE"""),86.9)</f>
        <v>86.9</v>
      </c>
      <c r="G360" s="1">
        <f ca="1">IFERROR(__xludf.DUMMYFUNCTION("""COMPUTED_VALUE"""),340)</f>
        <v>340</v>
      </c>
      <c r="H360" s="1">
        <f ca="1">IFERROR(__xludf.DUMMYFUNCTION("""COMPUTED_VALUE"""),113.2)</f>
        <v>113.2</v>
      </c>
      <c r="I360" s="1">
        <f ca="1">IFERROR(__xludf.DUMMYFUNCTION("""COMPUTED_VALUE"""),330)</f>
        <v>330</v>
      </c>
      <c r="J360" s="1">
        <f ca="1">IFERROR(__xludf.DUMMYFUNCTION("""COMPUTED_VALUE"""),68.3)</f>
        <v>68.3</v>
      </c>
      <c r="K360" s="1">
        <f ca="1">IFERROR(__xludf.DUMMYFUNCTION("""COMPUTED_VALUE"""),47)</f>
        <v>47</v>
      </c>
      <c r="L360" s="1" t="str">
        <f ca="1">IFERROR(__xludf.DUMMYFUNCTION("""COMPUTED_VALUE"""),"+.054")</f>
        <v>+.054</v>
      </c>
      <c r="M360" s="1">
        <f ca="1">IFERROR(__xludf.DUMMYFUNCTION("""COMPUTED_VALUE"""),48)</f>
        <v>48</v>
      </c>
      <c r="N360" s="1">
        <f ca="1">IFERROR(__xludf.DUMMYFUNCTION("""COMPUTED_VALUE"""),-3.55)</f>
        <v>-3.55</v>
      </c>
      <c r="O360" s="1">
        <f ca="1">IFERROR(__xludf.DUMMYFUNCTION("""COMPUTED_VALUE"""),243)</f>
        <v>243</v>
      </c>
      <c r="P360" s="1">
        <f ca="1">IFERROR(__xludf.DUMMYFUNCTION("""COMPUTED_VALUE"""),103)</f>
        <v>103</v>
      </c>
      <c r="Q360" s="1">
        <f ca="1">IFERROR(__xludf.DUMMYFUNCTION("""COMPUTED_VALUE"""),177)</f>
        <v>177</v>
      </c>
      <c r="R360" s="1">
        <f ca="1">IFERROR(__xludf.DUMMYFUNCTION("""COMPUTED_VALUE"""),106.5)</f>
        <v>106.5</v>
      </c>
      <c r="S360" s="1">
        <f ca="1">IFERROR(__xludf.DUMMYFUNCTION("""COMPUTED_VALUE"""),316)</f>
        <v>316</v>
      </c>
      <c r="T360" s="1">
        <f ca="1">IFERROR(__xludf.DUMMYFUNCTION("""COMPUTED_VALUE"""),-2.89)</f>
        <v>-2.89</v>
      </c>
      <c r="U360" s="1">
        <f ca="1">IFERROR(__xludf.DUMMYFUNCTION("""COMPUTED_VALUE"""),235)</f>
        <v>235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IFERROR(__xludf.DUMMYFUNCTION("""COMPUTED_VALUE"""),"Chicago St.")</f>
        <v>Chicago St.</v>
      </c>
      <c r="C361" s="1" t="str">
        <f ca="1">IFERROR(__xludf.DUMMYFUNCTION("""COMPUTED_VALUE"""),"GWC")</f>
        <v>GWC</v>
      </c>
      <c r="D361" s="2">
        <f ca="1">IFERROR(__xludf.DUMMYFUNCTION("""COMPUTED_VALUE"""),44738)</f>
        <v>44738</v>
      </c>
      <c r="E361" s="1">
        <f ca="1">IFERROR(__xludf.DUMMYFUNCTION("""COMPUTED_VALUE"""),-28.6)</f>
        <v>-28.6</v>
      </c>
      <c r="F361" s="1">
        <f ca="1">IFERROR(__xludf.DUMMYFUNCTION("""COMPUTED_VALUE"""),89.8)</f>
        <v>89.8</v>
      </c>
      <c r="G361" s="1">
        <f ca="1">IFERROR(__xludf.DUMMYFUNCTION("""COMPUTED_VALUE"""),331)</f>
        <v>331</v>
      </c>
      <c r="H361" s="1">
        <f ca="1">IFERROR(__xludf.DUMMYFUNCTION("""COMPUTED_VALUE"""),118.4)</f>
        <v>118.4</v>
      </c>
      <c r="I361" s="1">
        <f ca="1">IFERROR(__xludf.DUMMYFUNCTION("""COMPUTED_VALUE"""),344)</f>
        <v>344</v>
      </c>
      <c r="J361" s="1">
        <f ca="1">IFERROR(__xludf.DUMMYFUNCTION("""COMPUTED_VALUE"""),70.1)</f>
        <v>70.099999999999994</v>
      </c>
      <c r="K361" s="1">
        <f ca="1">IFERROR(__xludf.DUMMYFUNCTION("""COMPUTED_VALUE"""),19)</f>
        <v>19</v>
      </c>
      <c r="L361" s="1">
        <f ca="1">IFERROR(__xludf.DUMMYFUNCTION("""COMPUTED_VALUE"""),-0.005)</f>
        <v>-5.0000000000000001E-3</v>
      </c>
      <c r="M361" s="1">
        <f ca="1">IFERROR(__xludf.DUMMYFUNCTION("""COMPUTED_VALUE"""),195)</f>
        <v>195</v>
      </c>
      <c r="N361" s="1">
        <f ca="1">IFERROR(__xludf.DUMMYFUNCTION("""COMPUTED_VALUE"""),-5.58)</f>
        <v>-5.58</v>
      </c>
      <c r="O361" s="1">
        <f ca="1">IFERROR(__xludf.DUMMYFUNCTION("""COMPUTED_VALUE"""),290)</f>
        <v>290</v>
      </c>
      <c r="P361" s="1">
        <f ca="1">IFERROR(__xludf.DUMMYFUNCTION("""COMPUTED_VALUE"""),100.3)</f>
        <v>100.3</v>
      </c>
      <c r="Q361" s="1">
        <f ca="1">IFERROR(__xludf.DUMMYFUNCTION("""COMPUTED_VALUE"""),291)</f>
        <v>291</v>
      </c>
      <c r="R361" s="1">
        <f ca="1">IFERROR(__xludf.DUMMYFUNCTION("""COMPUTED_VALUE"""),105.8)</f>
        <v>105.8</v>
      </c>
      <c r="S361" s="1">
        <f ca="1">IFERROR(__xludf.DUMMYFUNCTION("""COMPUTED_VALUE"""),283)</f>
        <v>283</v>
      </c>
      <c r="T361" s="1" t="str">
        <f ca="1">IFERROR(__xludf.DUMMYFUNCTION("""COMPUTED_VALUE"""),"+4.72")</f>
        <v>+4.72</v>
      </c>
      <c r="U361" s="1">
        <f ca="1">IFERROR(__xludf.DUMMYFUNCTION("""COMPUTED_VALUE"""),46)</f>
        <v>46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IFERROR(__xludf.DUMMYFUNCTION("""COMPUTED_VALUE"""),"Centenary")</f>
        <v>Centenary</v>
      </c>
      <c r="C362" s="1" t="str">
        <f ca="1">IFERROR(__xludf.DUMMYFUNCTION("""COMPUTED_VALUE"""),"Sum")</f>
        <v>Sum</v>
      </c>
      <c r="D362" s="2">
        <f ca="1">IFERROR(__xludf.DUMMYFUNCTION("""COMPUTED_VALUE"""),44590)</f>
        <v>44590</v>
      </c>
      <c r="E362" s="1">
        <f ca="1">IFERROR(__xludf.DUMMYFUNCTION("""COMPUTED_VALUE"""),-29.25)</f>
        <v>-29.25</v>
      </c>
      <c r="F362" s="1">
        <f ca="1">IFERROR(__xludf.DUMMYFUNCTION("""COMPUTED_VALUE"""),84)</f>
        <v>84</v>
      </c>
      <c r="G362" s="1">
        <f ca="1">IFERROR(__xludf.DUMMYFUNCTION("""COMPUTED_VALUE"""),344)</f>
        <v>344</v>
      </c>
      <c r="H362" s="1">
        <f ca="1">IFERROR(__xludf.DUMMYFUNCTION("""COMPUTED_VALUE"""),113.2)</f>
        <v>113.2</v>
      </c>
      <c r="I362" s="1">
        <f ca="1">IFERROR(__xludf.DUMMYFUNCTION("""COMPUTED_VALUE"""),331)</f>
        <v>331</v>
      </c>
      <c r="J362" s="1">
        <f ca="1">IFERROR(__xludf.DUMMYFUNCTION("""COMPUTED_VALUE"""),68.7)</f>
        <v>68.7</v>
      </c>
      <c r="K362" s="1">
        <f ca="1">IFERROR(__xludf.DUMMYFUNCTION("""COMPUTED_VALUE"""),38)</f>
        <v>38</v>
      </c>
      <c r="L362" s="1">
        <f ca="1">IFERROR(__xludf.DUMMYFUNCTION("""COMPUTED_VALUE"""),-0.021)</f>
        <v>-2.1000000000000001E-2</v>
      </c>
      <c r="M362" s="1">
        <f ca="1">IFERROR(__xludf.DUMMYFUNCTION("""COMPUTED_VALUE"""),234)</f>
        <v>234</v>
      </c>
      <c r="N362" s="1">
        <f ca="1">IFERROR(__xludf.DUMMYFUNCTION("""COMPUTED_VALUE"""),-1.62)</f>
        <v>-1.62</v>
      </c>
      <c r="O362" s="1">
        <f ca="1">IFERROR(__xludf.DUMMYFUNCTION("""COMPUTED_VALUE"""),186)</f>
        <v>186</v>
      </c>
      <c r="P362" s="1">
        <f ca="1">IFERROR(__xludf.DUMMYFUNCTION("""COMPUTED_VALUE"""),104.9)</f>
        <v>104.9</v>
      </c>
      <c r="Q362" s="1">
        <f ca="1">IFERROR(__xludf.DUMMYFUNCTION("""COMPUTED_VALUE"""),98)</f>
        <v>98</v>
      </c>
      <c r="R362" s="1">
        <f ca="1">IFERROR(__xludf.DUMMYFUNCTION("""COMPUTED_VALUE"""),106.5)</f>
        <v>106.5</v>
      </c>
      <c r="S362" s="1">
        <f ca="1">IFERROR(__xludf.DUMMYFUNCTION("""COMPUTED_VALUE"""),315)</f>
        <v>315</v>
      </c>
      <c r="T362" s="1">
        <f ca="1">IFERROR(__xludf.DUMMYFUNCTION("""COMPUTED_VALUE"""),-1.33)</f>
        <v>-1.33</v>
      </c>
      <c r="U362" s="1">
        <f ca="1">IFERROR(__xludf.DUMMYFUNCTION("""COMPUTED_VALUE"""),192)</f>
        <v>192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IFERROR(__xludf.DUMMYFUNCTION("""COMPUTED_VALUE"""),"Southern")</f>
        <v>Southern</v>
      </c>
      <c r="C363" s="1" t="str">
        <f ca="1">IFERROR(__xludf.DUMMYFUNCTION("""COMPUTED_VALUE"""),"SWAC")</f>
        <v>SWAC</v>
      </c>
      <c r="D363" s="2">
        <f ca="1">IFERROR(__xludf.DUMMYFUNCTION("""COMPUTED_VALUE"""),44677)</f>
        <v>44677</v>
      </c>
      <c r="E363" s="1">
        <f ca="1">IFERROR(__xludf.DUMMYFUNCTION("""COMPUTED_VALUE"""),-30.44)</f>
        <v>-30.44</v>
      </c>
      <c r="F363" s="1">
        <f ca="1">IFERROR(__xludf.DUMMYFUNCTION("""COMPUTED_VALUE"""),82.3)</f>
        <v>82.3</v>
      </c>
      <c r="G363" s="1">
        <f ca="1">IFERROR(__xludf.DUMMYFUNCTION("""COMPUTED_VALUE"""),345)</f>
        <v>345</v>
      </c>
      <c r="H363" s="1">
        <f ca="1">IFERROR(__xludf.DUMMYFUNCTION("""COMPUTED_VALUE"""),112.7)</f>
        <v>112.7</v>
      </c>
      <c r="I363" s="1">
        <f ca="1">IFERROR(__xludf.DUMMYFUNCTION("""COMPUTED_VALUE"""),328)</f>
        <v>328</v>
      </c>
      <c r="J363" s="1">
        <f ca="1">IFERROR(__xludf.DUMMYFUNCTION("""COMPUTED_VALUE"""),64.6)</f>
        <v>64.599999999999994</v>
      </c>
      <c r="K363" s="1">
        <f ca="1">IFERROR(__xludf.DUMMYFUNCTION("""COMPUTED_VALUE"""),214)</f>
        <v>214</v>
      </c>
      <c r="L363" s="1">
        <f ca="1">IFERROR(__xludf.DUMMYFUNCTION("""COMPUTED_VALUE"""),-0.036)</f>
        <v>-3.5999999999999997E-2</v>
      </c>
      <c r="M363" s="1">
        <f ca="1">IFERROR(__xludf.DUMMYFUNCTION("""COMPUTED_VALUE"""),267)</f>
        <v>267</v>
      </c>
      <c r="N363" s="1">
        <f ca="1">IFERROR(__xludf.DUMMYFUNCTION("""COMPUTED_VALUE"""),-11.29)</f>
        <v>-11.29</v>
      </c>
      <c r="O363" s="1">
        <f ca="1">IFERROR(__xludf.DUMMYFUNCTION("""COMPUTED_VALUE"""),339)</f>
        <v>339</v>
      </c>
      <c r="P363" s="1">
        <f ca="1">IFERROR(__xludf.DUMMYFUNCTION("""COMPUTED_VALUE"""),94.8)</f>
        <v>94.8</v>
      </c>
      <c r="Q363" s="1">
        <f ca="1">IFERROR(__xludf.DUMMYFUNCTION("""COMPUTED_VALUE"""),342)</f>
        <v>342</v>
      </c>
      <c r="R363" s="1">
        <f ca="1">IFERROR(__xludf.DUMMYFUNCTION("""COMPUTED_VALUE"""),106.1)</f>
        <v>106.1</v>
      </c>
      <c r="S363" s="1">
        <f ca="1">IFERROR(__xludf.DUMMYFUNCTION("""COMPUTED_VALUE"""),295)</f>
        <v>295</v>
      </c>
      <c r="T363" s="1" t="str">
        <f ca="1">IFERROR(__xludf.DUMMYFUNCTION("""COMPUTED_VALUE"""),"+6.37")</f>
        <v>+6.37</v>
      </c>
      <c r="U363" s="1">
        <f ca="1">IFERROR(__xludf.DUMMYFUNCTION("""COMPUTED_VALUE"""),29)</f>
        <v>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363"/>
  <sheetViews>
    <sheetView topLeftCell="E1" workbookViewId="0">
      <selection activeCell="E2" sqref="A2:XFD2"/>
    </sheetView>
  </sheetViews>
  <sheetFormatPr baseColWidth="10" defaultColWidth="12.6640625" defaultRowHeight="15.75" customHeight="1" x14ac:dyDescent="0.15"/>
  <sheetData>
    <row r="1" spans="1:21" ht="13" x14ac:dyDescent="0.15">
      <c r="A1" s="3" t="str">
        <f ca="1">IFERROR(__xludf.DUMMYFUNCTION("IMPORThtML(""https://kenpom.com/index.php?y=2012"",""table"",1)"),"")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2</v>
      </c>
      <c r="H2" s="1" t="str">
        <f ca="1">IFERROR(__xludf.DUMMYFUNCTION("""COMPUTED_VALUE"""),"AdjD")</f>
        <v>AdjD</v>
      </c>
      <c r="I2" s="1" t="s">
        <v>3</v>
      </c>
      <c r="J2" s="1" t="str">
        <f ca="1">IFERROR(__xludf.DUMMYFUNCTION("""COMPUTED_VALUE"""),"AdjT")</f>
        <v>AdjT</v>
      </c>
      <c r="K2" s="1" t="s">
        <v>4</v>
      </c>
      <c r="L2" s="1" t="str">
        <f ca="1">IFERROR(__xludf.DUMMYFUNCTION("""COMPUTED_VALUE"""),"Luck")</f>
        <v>Luck</v>
      </c>
      <c r="M2" s="1" t="s">
        <v>5</v>
      </c>
      <c r="N2" s="1" t="s">
        <v>0</v>
      </c>
      <c r="O2" s="1" t="s">
        <v>6</v>
      </c>
      <c r="P2" s="1" t="str">
        <f ca="1">IFERROR(__xludf.DUMMYFUNCTION("""COMPUTED_VALUE"""),"OppO")</f>
        <v>OppO</v>
      </c>
      <c r="Q2" s="1" t="s">
        <v>7</v>
      </c>
      <c r="R2" s="1" t="str">
        <f ca="1">IFERROR(__xludf.DUMMYFUNCTION("""COMPUTED_VALUE"""),"OppD")</f>
        <v>OppD</v>
      </c>
      <c r="S2" s="1" t="s">
        <v>8</v>
      </c>
      <c r="T2" s="1" t="s">
        <v>1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IFERROR(__xludf.DUMMYFUNCTION("""COMPUTED_VALUE"""),"Kentucky1")</f>
        <v>Kentucky1</v>
      </c>
      <c r="C3" s="1" t="str">
        <f ca="1">IFERROR(__xludf.DUMMYFUNCTION("""COMPUTED_VALUE"""),"SEC")</f>
        <v>SEC</v>
      </c>
      <c r="D3" s="1" t="str">
        <f ca="1">IFERROR(__xludf.DUMMYFUNCTION("""COMPUTED_VALUE"""),"38-2")</f>
        <v>38-2</v>
      </c>
      <c r="E3" s="1" t="str">
        <f ca="1">IFERROR(__xludf.DUMMYFUNCTION("""COMPUTED_VALUE"""),"+32.59")</f>
        <v>+32.59</v>
      </c>
      <c r="F3" s="1">
        <f ca="1">IFERROR(__xludf.DUMMYFUNCTION("""COMPUTED_VALUE"""),122.2)</f>
        <v>122.2</v>
      </c>
      <c r="G3" s="1">
        <f ca="1">IFERROR(__xludf.DUMMYFUNCTION("""COMPUTED_VALUE"""),2)</f>
        <v>2</v>
      </c>
      <c r="H3" s="1">
        <f ca="1">IFERROR(__xludf.DUMMYFUNCTION("""COMPUTED_VALUE"""),89.6)</f>
        <v>89.6</v>
      </c>
      <c r="I3" s="1">
        <f ca="1">IFERROR(__xludf.DUMMYFUNCTION("""COMPUTED_VALUE"""),7)</f>
        <v>7</v>
      </c>
      <c r="J3" s="1">
        <f ca="1">IFERROR(__xludf.DUMMYFUNCTION("""COMPUTED_VALUE"""),65.4)</f>
        <v>65.400000000000006</v>
      </c>
      <c r="K3" s="1">
        <f ca="1">IFERROR(__xludf.DUMMYFUNCTION("""COMPUTED_VALUE"""),150)</f>
        <v>150</v>
      </c>
      <c r="L3" s="1" t="str">
        <f ca="1">IFERROR(__xludf.DUMMYFUNCTION("""COMPUTED_VALUE"""),"+.032")</f>
        <v>+.032</v>
      </c>
      <c r="M3" s="1">
        <f ca="1">IFERROR(__xludf.DUMMYFUNCTION("""COMPUTED_VALUE"""),86)</f>
        <v>86</v>
      </c>
      <c r="N3" s="1" t="str">
        <f ca="1">IFERROR(__xludf.DUMMYFUNCTION("""COMPUTED_VALUE"""),"+7.99")</f>
        <v>+7.99</v>
      </c>
      <c r="O3" s="1">
        <f ca="1">IFERROR(__xludf.DUMMYFUNCTION("""COMPUTED_VALUE"""),26)</f>
        <v>26</v>
      </c>
      <c r="P3" s="1">
        <f ca="1">IFERROR(__xludf.DUMMYFUNCTION("""COMPUTED_VALUE"""),106.8)</f>
        <v>106.8</v>
      </c>
      <c r="Q3" s="1">
        <f ca="1">IFERROR(__xludf.DUMMYFUNCTION("""COMPUTED_VALUE"""),35)</f>
        <v>35</v>
      </c>
      <c r="R3" s="1">
        <f ca="1">IFERROR(__xludf.DUMMYFUNCTION("""COMPUTED_VALUE"""),98.8)</f>
        <v>98.8</v>
      </c>
      <c r="S3" s="1">
        <f ca="1">IFERROR(__xludf.DUMMYFUNCTION("""COMPUTED_VALUE"""),12)</f>
        <v>12</v>
      </c>
      <c r="T3" s="1">
        <f ca="1">IFERROR(__xludf.DUMMYFUNCTION("""COMPUTED_VALUE"""),-1.06)</f>
        <v>-1.06</v>
      </c>
      <c r="U3" s="1">
        <f ca="1">IFERROR(__xludf.DUMMYFUNCTION("""COMPUTED_VALUE"""),189)</f>
        <v>189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IFERROR(__xludf.DUMMYFUNCTION("""COMPUTED_VALUE"""),"Ohio St.2")</f>
        <v>Ohio St.2</v>
      </c>
      <c r="C4" s="1" t="str">
        <f ca="1">IFERROR(__xludf.DUMMYFUNCTION("""COMPUTED_VALUE"""),"B10")</f>
        <v>B10</v>
      </c>
      <c r="D4" s="1" t="str">
        <f ca="1">IFERROR(__xludf.DUMMYFUNCTION("""COMPUTED_VALUE"""),"31-8")</f>
        <v>31-8</v>
      </c>
      <c r="E4" s="1" t="str">
        <f ca="1">IFERROR(__xludf.DUMMYFUNCTION("""COMPUTED_VALUE"""),"+30.07")</f>
        <v>+30.07</v>
      </c>
      <c r="F4" s="1">
        <f ca="1">IFERROR(__xludf.DUMMYFUNCTION("""COMPUTED_VALUE"""),118.1)</f>
        <v>118.1</v>
      </c>
      <c r="G4" s="1">
        <f ca="1">IFERROR(__xludf.DUMMYFUNCTION("""COMPUTED_VALUE"""),6)</f>
        <v>6</v>
      </c>
      <c r="H4" s="1">
        <f ca="1">IFERROR(__xludf.DUMMYFUNCTION("""COMPUTED_VALUE"""),88.1)</f>
        <v>88.1</v>
      </c>
      <c r="I4" s="1">
        <f ca="1">IFERROR(__xludf.DUMMYFUNCTION("""COMPUTED_VALUE"""),4)</f>
        <v>4</v>
      </c>
      <c r="J4" s="1">
        <f ca="1">IFERROR(__xludf.DUMMYFUNCTION("""COMPUTED_VALUE"""),66.9)</f>
        <v>66.900000000000006</v>
      </c>
      <c r="K4" s="1">
        <f ca="1">IFERROR(__xludf.DUMMYFUNCTION("""COMPUTED_VALUE"""),88)</f>
        <v>88</v>
      </c>
      <c r="L4" s="1">
        <f ca="1">IFERROR(__xludf.DUMMYFUNCTION("""COMPUTED_VALUE"""),-0.05)</f>
        <v>-0.05</v>
      </c>
      <c r="M4" s="1">
        <f ca="1">IFERROR(__xludf.DUMMYFUNCTION("""COMPUTED_VALUE"""),287)</f>
        <v>287</v>
      </c>
      <c r="N4" s="1" t="str">
        <f ca="1">IFERROR(__xludf.DUMMYFUNCTION("""COMPUTED_VALUE"""),"+10.10")</f>
        <v>+10.10</v>
      </c>
      <c r="O4" s="1">
        <f ca="1">IFERROR(__xludf.DUMMYFUNCTION("""COMPUTED_VALUE"""),4)</f>
        <v>4</v>
      </c>
      <c r="P4" s="1">
        <f ca="1">IFERROR(__xludf.DUMMYFUNCTION("""COMPUTED_VALUE"""),108.9)</f>
        <v>108.9</v>
      </c>
      <c r="Q4" s="1">
        <f ca="1">IFERROR(__xludf.DUMMYFUNCTION("""COMPUTED_VALUE"""),3)</f>
        <v>3</v>
      </c>
      <c r="R4" s="1">
        <f ca="1">IFERROR(__xludf.DUMMYFUNCTION("""COMPUTED_VALUE"""),98.8)</f>
        <v>98.8</v>
      </c>
      <c r="S4" s="1">
        <f ca="1">IFERROR(__xludf.DUMMYFUNCTION("""COMPUTED_VALUE"""),13)</f>
        <v>13</v>
      </c>
      <c r="T4" s="1">
        <f ca="1">IFERROR(__xludf.DUMMYFUNCTION("""COMPUTED_VALUE"""),-3.34)</f>
        <v>-3.34</v>
      </c>
      <c r="U4" s="1">
        <f ca="1">IFERROR(__xludf.DUMMYFUNCTION("""COMPUTED_VALUE"""),253)</f>
        <v>253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IFERROR(__xludf.DUMMYFUNCTION("""COMPUTED_VALUE"""),"Michigan St.1")</f>
        <v>Michigan St.1</v>
      </c>
      <c r="C5" s="1" t="str">
        <f ca="1">IFERROR(__xludf.DUMMYFUNCTION("""COMPUTED_VALUE"""),"B10")</f>
        <v>B10</v>
      </c>
      <c r="D5" s="1" t="str">
        <f ca="1">IFERROR(__xludf.DUMMYFUNCTION("""COMPUTED_VALUE"""),"29-8")</f>
        <v>29-8</v>
      </c>
      <c r="E5" s="1" t="str">
        <f ca="1">IFERROR(__xludf.DUMMYFUNCTION("""COMPUTED_VALUE"""),"+27.87")</f>
        <v>+27.87</v>
      </c>
      <c r="F5" s="1">
        <f ca="1">IFERROR(__xludf.DUMMYFUNCTION("""COMPUTED_VALUE"""),114.7)</f>
        <v>114.7</v>
      </c>
      <c r="G5" s="1">
        <f ca="1">IFERROR(__xludf.DUMMYFUNCTION("""COMPUTED_VALUE"""),17)</f>
        <v>17</v>
      </c>
      <c r="H5" s="1">
        <f ca="1">IFERROR(__xludf.DUMMYFUNCTION("""COMPUTED_VALUE"""),86.9)</f>
        <v>86.9</v>
      </c>
      <c r="I5" s="1">
        <f ca="1">IFERROR(__xludf.DUMMYFUNCTION("""COMPUTED_VALUE"""),2)</f>
        <v>2</v>
      </c>
      <c r="J5" s="1">
        <f ca="1">IFERROR(__xludf.DUMMYFUNCTION("""COMPUTED_VALUE"""),64.3)</f>
        <v>64.3</v>
      </c>
      <c r="K5" s="1">
        <f ca="1">IFERROR(__xludf.DUMMYFUNCTION("""COMPUTED_VALUE"""),209)</f>
        <v>209</v>
      </c>
      <c r="L5" s="1">
        <f ca="1">IFERROR(__xludf.DUMMYFUNCTION("""COMPUTED_VALUE"""),-0.027)</f>
        <v>-2.7E-2</v>
      </c>
      <c r="M5" s="1">
        <f ca="1">IFERROR(__xludf.DUMMYFUNCTION("""COMPUTED_VALUE"""),244)</f>
        <v>244</v>
      </c>
      <c r="N5" s="1" t="str">
        <f ca="1">IFERROR(__xludf.DUMMYFUNCTION("""COMPUTED_VALUE"""),"+10.21")</f>
        <v>+10.21</v>
      </c>
      <c r="O5" s="1">
        <f ca="1">IFERROR(__xludf.DUMMYFUNCTION("""COMPUTED_VALUE"""),3)</f>
        <v>3</v>
      </c>
      <c r="P5" s="1">
        <f ca="1">IFERROR(__xludf.DUMMYFUNCTION("""COMPUTED_VALUE"""),108.6)</f>
        <v>108.6</v>
      </c>
      <c r="Q5" s="1">
        <f ca="1">IFERROR(__xludf.DUMMYFUNCTION("""COMPUTED_VALUE"""),6)</f>
        <v>6</v>
      </c>
      <c r="R5" s="1">
        <f ca="1">IFERROR(__xludf.DUMMYFUNCTION("""COMPUTED_VALUE"""),98.4)</f>
        <v>98.4</v>
      </c>
      <c r="S5" s="1">
        <f ca="1">IFERROR(__xludf.DUMMYFUNCTION("""COMPUTED_VALUE"""),7)</f>
        <v>7</v>
      </c>
      <c r="T5" s="1">
        <f ca="1">IFERROR(__xludf.DUMMYFUNCTION("""COMPUTED_VALUE"""),-1.07)</f>
        <v>-1.07</v>
      </c>
      <c r="U5" s="1">
        <f ca="1">IFERROR(__xludf.DUMMYFUNCTION("""COMPUTED_VALUE"""),190)</f>
        <v>190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IFERROR(__xludf.DUMMYFUNCTION("""COMPUTED_VALUE"""),"Kansas2")</f>
        <v>Kansas2</v>
      </c>
      <c r="C6" s="1" t="str">
        <f ca="1">IFERROR(__xludf.DUMMYFUNCTION("""COMPUTED_VALUE"""),"B12")</f>
        <v>B12</v>
      </c>
      <c r="D6" s="1" t="str">
        <f ca="1">IFERROR(__xludf.DUMMYFUNCTION("""COMPUTED_VALUE"""),"32-7")</f>
        <v>32-7</v>
      </c>
      <c r="E6" s="1" t="str">
        <f ca="1">IFERROR(__xludf.DUMMYFUNCTION("""COMPUTED_VALUE"""),"+26.91")</f>
        <v>+26.91</v>
      </c>
      <c r="F6" s="1">
        <f ca="1">IFERROR(__xludf.DUMMYFUNCTION("""COMPUTED_VALUE"""),114)</f>
        <v>114</v>
      </c>
      <c r="G6" s="1">
        <f ca="1">IFERROR(__xludf.DUMMYFUNCTION("""COMPUTED_VALUE"""),23)</f>
        <v>23</v>
      </c>
      <c r="H6" s="1">
        <f ca="1">IFERROR(__xludf.DUMMYFUNCTION("""COMPUTED_VALUE"""),87.1)</f>
        <v>87.1</v>
      </c>
      <c r="I6" s="1">
        <f ca="1">IFERROR(__xludf.DUMMYFUNCTION("""COMPUTED_VALUE"""),3)</f>
        <v>3</v>
      </c>
      <c r="J6" s="1">
        <f ca="1">IFERROR(__xludf.DUMMYFUNCTION("""COMPUTED_VALUE"""),66.3)</f>
        <v>66.3</v>
      </c>
      <c r="K6" s="1">
        <f ca="1">IFERROR(__xludf.DUMMYFUNCTION("""COMPUTED_VALUE"""),111)</f>
        <v>111</v>
      </c>
      <c r="L6" s="1" t="str">
        <f ca="1">IFERROR(__xludf.DUMMYFUNCTION("""COMPUTED_VALUE"""),"+.027")</f>
        <v>+.027</v>
      </c>
      <c r="M6" s="1">
        <f ca="1">IFERROR(__xludf.DUMMYFUNCTION("""COMPUTED_VALUE"""),101)</f>
        <v>101</v>
      </c>
      <c r="N6" s="1" t="str">
        <f ca="1">IFERROR(__xludf.DUMMYFUNCTION("""COMPUTED_VALUE"""),"+11.15")</f>
        <v>+11.15</v>
      </c>
      <c r="O6" s="1">
        <f ca="1">IFERROR(__xludf.DUMMYFUNCTION("""COMPUTED_VALUE"""),1)</f>
        <v>1</v>
      </c>
      <c r="P6" s="1">
        <f ca="1">IFERROR(__xludf.DUMMYFUNCTION("""COMPUTED_VALUE"""),108.8)</f>
        <v>108.8</v>
      </c>
      <c r="Q6" s="1">
        <f ca="1">IFERROR(__xludf.DUMMYFUNCTION("""COMPUTED_VALUE"""),4)</f>
        <v>4</v>
      </c>
      <c r="R6" s="1">
        <f ca="1">IFERROR(__xludf.DUMMYFUNCTION("""COMPUTED_VALUE"""),97.6)</f>
        <v>97.6</v>
      </c>
      <c r="S6" s="1">
        <f ca="1">IFERROR(__xludf.DUMMYFUNCTION("""COMPUTED_VALUE"""),1)</f>
        <v>1</v>
      </c>
      <c r="T6" s="1" t="str">
        <f ca="1">IFERROR(__xludf.DUMMYFUNCTION("""COMPUTED_VALUE"""),"+5.21")</f>
        <v>+5.21</v>
      </c>
      <c r="U6" s="1">
        <f ca="1">IFERROR(__xludf.DUMMYFUNCTION("""COMPUTED_VALUE"""),38)</f>
        <v>38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IFERROR(__xludf.DUMMYFUNCTION("""COMPUTED_VALUE"""),"Syracuse1")</f>
        <v>Syracuse1</v>
      </c>
      <c r="C7" s="1" t="str">
        <f ca="1">IFERROR(__xludf.DUMMYFUNCTION("""COMPUTED_VALUE"""),"BE")</f>
        <v>BE</v>
      </c>
      <c r="D7" s="1" t="str">
        <f ca="1">IFERROR(__xludf.DUMMYFUNCTION("""COMPUTED_VALUE"""),"34-3")</f>
        <v>34-3</v>
      </c>
      <c r="E7" s="1" t="str">
        <f ca="1">IFERROR(__xludf.DUMMYFUNCTION("""COMPUTED_VALUE"""),"+26.04")</f>
        <v>+26.04</v>
      </c>
      <c r="F7" s="1">
        <f ca="1">IFERROR(__xludf.DUMMYFUNCTION("""COMPUTED_VALUE"""),117.7)</f>
        <v>117.7</v>
      </c>
      <c r="G7" s="1">
        <f ca="1">IFERROR(__xludf.DUMMYFUNCTION("""COMPUTED_VALUE"""),7)</f>
        <v>7</v>
      </c>
      <c r="H7" s="1">
        <f ca="1">IFERROR(__xludf.DUMMYFUNCTION("""COMPUTED_VALUE"""),91.7)</f>
        <v>91.7</v>
      </c>
      <c r="I7" s="1">
        <f ca="1">IFERROR(__xludf.DUMMYFUNCTION("""COMPUTED_VALUE"""),16)</f>
        <v>16</v>
      </c>
      <c r="J7" s="1">
        <f ca="1">IFERROR(__xludf.DUMMYFUNCTION("""COMPUTED_VALUE"""),64.4)</f>
        <v>64.400000000000006</v>
      </c>
      <c r="K7" s="1">
        <f ca="1">IFERROR(__xludf.DUMMYFUNCTION("""COMPUTED_VALUE"""),202)</f>
        <v>202</v>
      </c>
      <c r="L7" s="1" t="str">
        <f ca="1">IFERROR(__xludf.DUMMYFUNCTION("""COMPUTED_VALUE"""),"+.060")</f>
        <v>+.060</v>
      </c>
      <c r="M7" s="1">
        <f ca="1">IFERROR(__xludf.DUMMYFUNCTION("""COMPUTED_VALUE"""),37)</f>
        <v>37</v>
      </c>
      <c r="N7" s="1" t="str">
        <f ca="1">IFERROR(__xludf.DUMMYFUNCTION("""COMPUTED_VALUE"""),"+7.98")</f>
        <v>+7.98</v>
      </c>
      <c r="O7" s="1">
        <f ca="1">IFERROR(__xludf.DUMMYFUNCTION("""COMPUTED_VALUE"""),27)</f>
        <v>27</v>
      </c>
      <c r="P7" s="1">
        <f ca="1">IFERROR(__xludf.DUMMYFUNCTION("""COMPUTED_VALUE"""),107)</f>
        <v>107</v>
      </c>
      <c r="Q7" s="1">
        <f ca="1">IFERROR(__xludf.DUMMYFUNCTION("""COMPUTED_VALUE"""),29)</f>
        <v>29</v>
      </c>
      <c r="R7" s="1">
        <f ca="1">IFERROR(__xludf.DUMMYFUNCTION("""COMPUTED_VALUE"""),99)</f>
        <v>99</v>
      </c>
      <c r="S7" s="1">
        <f ca="1">IFERROR(__xludf.DUMMYFUNCTION("""COMPUTED_VALUE"""),19)</f>
        <v>19</v>
      </c>
      <c r="T7" s="1">
        <f ca="1">IFERROR(__xludf.DUMMYFUNCTION("""COMPUTED_VALUE"""),-2.11)</f>
        <v>-2.11</v>
      </c>
      <c r="U7" s="1">
        <f ca="1">IFERROR(__xludf.DUMMYFUNCTION("""COMPUTED_VALUE"""),216)</f>
        <v>216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IFERROR(__xludf.DUMMYFUNCTION("""COMPUTED_VALUE"""),"North Carolina1")</f>
        <v>North Carolina1</v>
      </c>
      <c r="C8" s="1" t="str">
        <f ca="1">IFERROR(__xludf.DUMMYFUNCTION("""COMPUTED_VALUE"""),"ACC")</f>
        <v>ACC</v>
      </c>
      <c r="D8" s="1" t="str">
        <f ca="1">IFERROR(__xludf.DUMMYFUNCTION("""COMPUTED_VALUE"""),"32-6")</f>
        <v>32-6</v>
      </c>
      <c r="E8" s="1" t="str">
        <f ca="1">IFERROR(__xludf.DUMMYFUNCTION("""COMPUTED_VALUE"""),"+25.44")</f>
        <v>+25.44</v>
      </c>
      <c r="F8" s="1">
        <f ca="1">IFERROR(__xludf.DUMMYFUNCTION("""COMPUTED_VALUE"""),116.1)</f>
        <v>116.1</v>
      </c>
      <c r="G8" s="1">
        <f ca="1">IFERROR(__xludf.DUMMYFUNCTION("""COMPUTED_VALUE"""),12)</f>
        <v>12</v>
      </c>
      <c r="H8" s="1">
        <f ca="1">IFERROR(__xludf.DUMMYFUNCTION("""COMPUTED_VALUE"""),90.7)</f>
        <v>90.7</v>
      </c>
      <c r="I8" s="1">
        <f ca="1">IFERROR(__xludf.DUMMYFUNCTION("""COMPUTED_VALUE"""),11)</f>
        <v>11</v>
      </c>
      <c r="J8" s="1">
        <f ca="1">IFERROR(__xludf.DUMMYFUNCTION("""COMPUTED_VALUE"""),70.9)</f>
        <v>70.900000000000006</v>
      </c>
      <c r="K8" s="1">
        <f ca="1">IFERROR(__xludf.DUMMYFUNCTION("""COMPUTED_VALUE"""),10)</f>
        <v>10</v>
      </c>
      <c r="L8" s="1" t="str">
        <f ca="1">IFERROR(__xludf.DUMMYFUNCTION("""COMPUTED_VALUE"""),"+.016")</f>
        <v>+.016</v>
      </c>
      <c r="M8" s="1">
        <f ca="1">IFERROR(__xludf.DUMMYFUNCTION("""COMPUTED_VALUE"""),134)</f>
        <v>134</v>
      </c>
      <c r="N8" s="1" t="str">
        <f ca="1">IFERROR(__xludf.DUMMYFUNCTION("""COMPUTED_VALUE"""),"+7.41")</f>
        <v>+7.41</v>
      </c>
      <c r="O8" s="1">
        <f ca="1">IFERROR(__xludf.DUMMYFUNCTION("""COMPUTED_VALUE"""),30)</f>
        <v>30</v>
      </c>
      <c r="P8" s="1">
        <f ca="1">IFERROR(__xludf.DUMMYFUNCTION("""COMPUTED_VALUE"""),107.2)</f>
        <v>107.2</v>
      </c>
      <c r="Q8" s="1">
        <f ca="1">IFERROR(__xludf.DUMMYFUNCTION("""COMPUTED_VALUE"""),27)</f>
        <v>27</v>
      </c>
      <c r="R8" s="1">
        <f ca="1">IFERROR(__xludf.DUMMYFUNCTION("""COMPUTED_VALUE"""),99.8)</f>
        <v>99.8</v>
      </c>
      <c r="S8" s="1">
        <f ca="1">IFERROR(__xludf.DUMMYFUNCTION("""COMPUTED_VALUE"""),40)</f>
        <v>40</v>
      </c>
      <c r="T8" s="1" t="str">
        <f ca="1">IFERROR(__xludf.DUMMYFUNCTION("""COMPUTED_VALUE"""),"+1.89")</f>
        <v>+1.89</v>
      </c>
      <c r="U8" s="1">
        <f ca="1">IFERROR(__xludf.DUMMYFUNCTION("""COMPUTED_VALUE"""),100)</f>
        <v>100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IFERROR(__xludf.DUMMYFUNCTION("""COMPUTED_VALUE"""),"Missouri2")</f>
        <v>Missouri2</v>
      </c>
      <c r="C9" s="1" t="str">
        <f ca="1">IFERROR(__xludf.DUMMYFUNCTION("""COMPUTED_VALUE"""),"B12")</f>
        <v>B12</v>
      </c>
      <c r="D9" s="1" t="str">
        <f ca="1">IFERROR(__xludf.DUMMYFUNCTION("""COMPUTED_VALUE"""),"30-5")</f>
        <v>30-5</v>
      </c>
      <c r="E9" s="1" t="str">
        <f ca="1">IFERROR(__xludf.DUMMYFUNCTION("""COMPUTED_VALUE"""),"+25.28")</f>
        <v>+25.28</v>
      </c>
      <c r="F9" s="1">
        <f ca="1">IFERROR(__xludf.DUMMYFUNCTION("""COMPUTED_VALUE"""),125.1)</f>
        <v>125.1</v>
      </c>
      <c r="G9" s="1">
        <f ca="1">IFERROR(__xludf.DUMMYFUNCTION("""COMPUTED_VALUE"""),1)</f>
        <v>1</v>
      </c>
      <c r="H9" s="1">
        <f ca="1">IFERROR(__xludf.DUMMYFUNCTION("""COMPUTED_VALUE"""),99.8)</f>
        <v>99.8</v>
      </c>
      <c r="I9" s="1">
        <f ca="1">IFERROR(__xludf.DUMMYFUNCTION("""COMPUTED_VALUE"""),111)</f>
        <v>111</v>
      </c>
      <c r="J9" s="1">
        <f ca="1">IFERROR(__xludf.DUMMYFUNCTION("""COMPUTED_VALUE"""),65.4)</f>
        <v>65.400000000000006</v>
      </c>
      <c r="K9" s="1">
        <f ca="1">IFERROR(__xludf.DUMMYFUNCTION("""COMPUTED_VALUE"""),152)</f>
        <v>152</v>
      </c>
      <c r="L9" s="1" t="str">
        <f ca="1">IFERROR(__xludf.DUMMYFUNCTION("""COMPUTED_VALUE"""),"+.017")</f>
        <v>+.017</v>
      </c>
      <c r="M9" s="1">
        <f ca="1">IFERROR(__xludf.DUMMYFUNCTION("""COMPUTED_VALUE"""),130)</f>
        <v>130</v>
      </c>
      <c r="N9" s="1" t="str">
        <f ca="1">IFERROR(__xludf.DUMMYFUNCTION("""COMPUTED_VALUE"""),"+5.80")</f>
        <v>+5.80</v>
      </c>
      <c r="O9" s="1">
        <f ca="1">IFERROR(__xludf.DUMMYFUNCTION("""COMPUTED_VALUE"""),51)</f>
        <v>51</v>
      </c>
      <c r="P9" s="1">
        <f ca="1">IFERROR(__xludf.DUMMYFUNCTION("""COMPUTED_VALUE"""),105.7)</f>
        <v>105.7</v>
      </c>
      <c r="Q9" s="1">
        <f ca="1">IFERROR(__xludf.DUMMYFUNCTION("""COMPUTED_VALUE"""),60)</f>
        <v>60</v>
      </c>
      <c r="R9" s="1">
        <f ca="1">IFERROR(__xludf.DUMMYFUNCTION("""COMPUTED_VALUE"""),99.9)</f>
        <v>99.9</v>
      </c>
      <c r="S9" s="1">
        <f ca="1">IFERROR(__xludf.DUMMYFUNCTION("""COMPUTED_VALUE"""),44)</f>
        <v>44</v>
      </c>
      <c r="T9" s="1">
        <f ca="1">IFERROR(__xludf.DUMMYFUNCTION("""COMPUTED_VALUE"""),-6.18)</f>
        <v>-6.18</v>
      </c>
      <c r="U9" s="1">
        <f ca="1">IFERROR(__xludf.DUMMYFUNCTION("""COMPUTED_VALUE"""),315)</f>
        <v>315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IFERROR(__xludf.DUMMYFUNCTION("""COMPUTED_VALUE"""),"Wisconsin4")</f>
        <v>Wisconsin4</v>
      </c>
      <c r="C10" s="1" t="str">
        <f ca="1">IFERROR(__xludf.DUMMYFUNCTION("""COMPUTED_VALUE"""),"B10")</f>
        <v>B10</v>
      </c>
      <c r="D10" s="1" t="str">
        <f ca="1">IFERROR(__xludf.DUMMYFUNCTION("""COMPUTED_VALUE"""),"26-10")</f>
        <v>26-10</v>
      </c>
      <c r="E10" s="1" t="str">
        <f ca="1">IFERROR(__xludf.DUMMYFUNCTION("""COMPUTED_VALUE"""),"+24.09")</f>
        <v>+24.09</v>
      </c>
      <c r="F10" s="1">
        <f ca="1">IFERROR(__xludf.DUMMYFUNCTION("""COMPUTED_VALUE"""),113.7)</f>
        <v>113.7</v>
      </c>
      <c r="G10" s="1">
        <f ca="1">IFERROR(__xludf.DUMMYFUNCTION("""COMPUTED_VALUE"""),25)</f>
        <v>25</v>
      </c>
      <c r="H10" s="1">
        <f ca="1">IFERROR(__xludf.DUMMYFUNCTION("""COMPUTED_VALUE"""),89.6)</f>
        <v>89.6</v>
      </c>
      <c r="I10" s="1">
        <f ca="1">IFERROR(__xludf.DUMMYFUNCTION("""COMPUTED_VALUE"""),8)</f>
        <v>8</v>
      </c>
      <c r="J10" s="1">
        <f ca="1">IFERROR(__xludf.DUMMYFUNCTION("""COMPUTED_VALUE"""),57.5)</f>
        <v>57.5</v>
      </c>
      <c r="K10" s="1">
        <f ca="1">IFERROR(__xludf.DUMMYFUNCTION("""COMPUTED_VALUE"""),345)</f>
        <v>345</v>
      </c>
      <c r="L10" s="1">
        <f ca="1">IFERROR(__xludf.DUMMYFUNCTION("""COMPUTED_VALUE"""),-0.018)</f>
        <v>-1.7999999999999999E-2</v>
      </c>
      <c r="M10" s="1">
        <f ca="1">IFERROR(__xludf.DUMMYFUNCTION("""COMPUTED_VALUE"""),216)</f>
        <v>216</v>
      </c>
      <c r="N10" s="1" t="str">
        <f ca="1">IFERROR(__xludf.DUMMYFUNCTION("""COMPUTED_VALUE"""),"+8.80")</f>
        <v>+8.80</v>
      </c>
      <c r="O10" s="1">
        <f ca="1">IFERROR(__xludf.DUMMYFUNCTION("""COMPUTED_VALUE"""),9)</f>
        <v>9</v>
      </c>
      <c r="P10" s="1">
        <f ca="1">IFERROR(__xludf.DUMMYFUNCTION("""COMPUTED_VALUE"""),107.6)</f>
        <v>107.6</v>
      </c>
      <c r="Q10" s="1">
        <f ca="1">IFERROR(__xludf.DUMMYFUNCTION("""COMPUTED_VALUE"""),15)</f>
        <v>15</v>
      </c>
      <c r="R10" s="1">
        <f ca="1">IFERROR(__xludf.DUMMYFUNCTION("""COMPUTED_VALUE"""),98.8)</f>
        <v>98.8</v>
      </c>
      <c r="S10" s="1">
        <f ca="1">IFERROR(__xludf.DUMMYFUNCTION("""COMPUTED_VALUE"""),11)</f>
        <v>11</v>
      </c>
      <c r="T10" s="1">
        <f ca="1">IFERROR(__xludf.DUMMYFUNCTION("""COMPUTED_VALUE"""),-3.88)</f>
        <v>-3.88</v>
      </c>
      <c r="U10" s="1">
        <f ca="1">IFERROR(__xludf.DUMMYFUNCTION("""COMPUTED_VALUE"""),262)</f>
        <v>262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IFERROR(__xludf.DUMMYFUNCTION("""COMPUTED_VALUE"""),"Indiana4")</f>
        <v>Indiana4</v>
      </c>
      <c r="C11" s="1" t="str">
        <f ca="1">IFERROR(__xludf.DUMMYFUNCTION("""COMPUTED_VALUE"""),"B10")</f>
        <v>B10</v>
      </c>
      <c r="D11" s="1" t="str">
        <f ca="1">IFERROR(__xludf.DUMMYFUNCTION("""COMPUTED_VALUE"""),"27-9")</f>
        <v>27-9</v>
      </c>
      <c r="E11" s="1" t="str">
        <f ca="1">IFERROR(__xludf.DUMMYFUNCTION("""COMPUTED_VALUE"""),"+22.55")</f>
        <v>+22.55</v>
      </c>
      <c r="F11" s="1">
        <f ca="1">IFERROR(__xludf.DUMMYFUNCTION("""COMPUTED_VALUE"""),120.2)</f>
        <v>120.2</v>
      </c>
      <c r="G11" s="1">
        <f ca="1">IFERROR(__xludf.DUMMYFUNCTION("""COMPUTED_VALUE"""),4)</f>
        <v>4</v>
      </c>
      <c r="H11" s="1">
        <f ca="1">IFERROR(__xludf.DUMMYFUNCTION("""COMPUTED_VALUE"""),97.6)</f>
        <v>97.6</v>
      </c>
      <c r="I11" s="1">
        <f ca="1">IFERROR(__xludf.DUMMYFUNCTION("""COMPUTED_VALUE"""),72)</f>
        <v>72</v>
      </c>
      <c r="J11" s="1">
        <f ca="1">IFERROR(__xludf.DUMMYFUNCTION("""COMPUTED_VALUE"""),66.7)</f>
        <v>66.7</v>
      </c>
      <c r="K11" s="1">
        <f ca="1">IFERROR(__xludf.DUMMYFUNCTION("""COMPUTED_VALUE"""),92)</f>
        <v>92</v>
      </c>
      <c r="L11" s="1" t="str">
        <f ca="1">IFERROR(__xludf.DUMMYFUNCTION("""COMPUTED_VALUE"""),"+.007")</f>
        <v>+.007</v>
      </c>
      <c r="M11" s="1">
        <f ca="1">IFERROR(__xludf.DUMMYFUNCTION("""COMPUTED_VALUE"""),155)</f>
        <v>155</v>
      </c>
      <c r="N11" s="1" t="str">
        <f ca="1">IFERROR(__xludf.DUMMYFUNCTION("""COMPUTED_VALUE"""),"+8.41")</f>
        <v>+8.41</v>
      </c>
      <c r="O11" s="1">
        <f ca="1">IFERROR(__xludf.DUMMYFUNCTION("""COMPUTED_VALUE"""),15)</f>
        <v>15</v>
      </c>
      <c r="P11" s="1">
        <f ca="1">IFERROR(__xludf.DUMMYFUNCTION("""COMPUTED_VALUE"""),107.4)</f>
        <v>107.4</v>
      </c>
      <c r="Q11" s="1">
        <f ca="1">IFERROR(__xludf.DUMMYFUNCTION("""COMPUTED_VALUE"""),19)</f>
        <v>19</v>
      </c>
      <c r="R11" s="1">
        <f ca="1">IFERROR(__xludf.DUMMYFUNCTION("""COMPUTED_VALUE"""),99)</f>
        <v>99</v>
      </c>
      <c r="S11" s="1">
        <f ca="1">IFERROR(__xludf.DUMMYFUNCTION("""COMPUTED_VALUE"""),16)</f>
        <v>16</v>
      </c>
      <c r="T11" s="1">
        <f ca="1">IFERROR(__xludf.DUMMYFUNCTION("""COMPUTED_VALUE"""),-4.96)</f>
        <v>-4.96</v>
      </c>
      <c r="U11" s="1">
        <f ca="1">IFERROR(__xludf.DUMMYFUNCTION("""COMPUTED_VALUE"""),295)</f>
        <v>295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IFERROR(__xludf.DUMMYFUNCTION("""COMPUTED_VALUE"""),"Florida7")</f>
        <v>Florida7</v>
      </c>
      <c r="C12" s="1" t="str">
        <f ca="1">IFERROR(__xludf.DUMMYFUNCTION("""COMPUTED_VALUE"""),"SEC")</f>
        <v>SEC</v>
      </c>
      <c r="D12" s="1" t="str">
        <f ca="1">IFERROR(__xludf.DUMMYFUNCTION("""COMPUTED_VALUE"""),"26-11")</f>
        <v>26-11</v>
      </c>
      <c r="E12" s="1" t="str">
        <f ca="1">IFERROR(__xludf.DUMMYFUNCTION("""COMPUTED_VALUE"""),"+22.47")</f>
        <v>+22.47</v>
      </c>
      <c r="F12" s="1">
        <f ca="1">IFERROR(__xludf.DUMMYFUNCTION("""COMPUTED_VALUE"""),120.4)</f>
        <v>120.4</v>
      </c>
      <c r="G12" s="1">
        <f ca="1">IFERROR(__xludf.DUMMYFUNCTION("""COMPUTED_VALUE"""),3)</f>
        <v>3</v>
      </c>
      <c r="H12" s="1">
        <f ca="1">IFERROR(__xludf.DUMMYFUNCTION("""COMPUTED_VALUE"""),98)</f>
        <v>98</v>
      </c>
      <c r="I12" s="1">
        <f ca="1">IFERROR(__xludf.DUMMYFUNCTION("""COMPUTED_VALUE"""),80)</f>
        <v>80</v>
      </c>
      <c r="J12" s="1">
        <f ca="1">IFERROR(__xludf.DUMMYFUNCTION("""COMPUTED_VALUE"""),64.2)</f>
        <v>64.2</v>
      </c>
      <c r="K12" s="1">
        <f ca="1">IFERROR(__xludf.DUMMYFUNCTION("""COMPUTED_VALUE"""),210)</f>
        <v>210</v>
      </c>
      <c r="L12" s="1">
        <f ca="1">IFERROR(__xludf.DUMMYFUNCTION("""COMPUTED_VALUE"""),-0.043)</f>
        <v>-4.2999999999999997E-2</v>
      </c>
      <c r="M12" s="1">
        <f ca="1">IFERROR(__xludf.DUMMYFUNCTION("""COMPUTED_VALUE"""),270)</f>
        <v>270</v>
      </c>
      <c r="N12" s="1" t="str">
        <f ca="1">IFERROR(__xludf.DUMMYFUNCTION("""COMPUTED_VALUE"""),"+7.18")</f>
        <v>+7.18</v>
      </c>
      <c r="O12" s="1">
        <f ca="1">IFERROR(__xludf.DUMMYFUNCTION("""COMPUTED_VALUE"""),34)</f>
        <v>34</v>
      </c>
      <c r="P12" s="1">
        <f ca="1">IFERROR(__xludf.DUMMYFUNCTION("""COMPUTED_VALUE"""),105.4)</f>
        <v>105.4</v>
      </c>
      <c r="Q12" s="1">
        <f ca="1">IFERROR(__xludf.DUMMYFUNCTION("""COMPUTED_VALUE"""),65)</f>
        <v>65</v>
      </c>
      <c r="R12" s="1">
        <f ca="1">IFERROR(__xludf.DUMMYFUNCTION("""COMPUTED_VALUE"""),98.2)</f>
        <v>98.2</v>
      </c>
      <c r="S12" s="1">
        <f ca="1">IFERROR(__xludf.DUMMYFUNCTION("""COMPUTED_VALUE"""),3)</f>
        <v>3</v>
      </c>
      <c r="T12" s="1">
        <f ca="1">IFERROR(__xludf.DUMMYFUNCTION("""COMPUTED_VALUE"""),-1.67)</f>
        <v>-1.67</v>
      </c>
      <c r="U12" s="1">
        <f ca="1">IFERROR(__xludf.DUMMYFUNCTION("""COMPUTED_VALUE"""),204)</f>
        <v>204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IFERROR(__xludf.DUMMYFUNCTION("""COMPUTED_VALUE"""),"Wichita St.5")</f>
        <v>Wichita St.5</v>
      </c>
      <c r="C13" s="1" t="str">
        <f ca="1">IFERROR(__xludf.DUMMYFUNCTION("""COMPUTED_VALUE"""),"MVC")</f>
        <v>MVC</v>
      </c>
      <c r="D13" s="1" t="str">
        <f ca="1">IFERROR(__xludf.DUMMYFUNCTION("""COMPUTED_VALUE"""),"27-6")</f>
        <v>27-6</v>
      </c>
      <c r="E13" s="1" t="str">
        <f ca="1">IFERROR(__xludf.DUMMYFUNCTION("""COMPUTED_VALUE"""),"+22.36")</f>
        <v>+22.36</v>
      </c>
      <c r="F13" s="1">
        <f ca="1">IFERROR(__xludf.DUMMYFUNCTION("""COMPUTED_VALUE"""),116.1)</f>
        <v>116.1</v>
      </c>
      <c r="G13" s="1">
        <f ca="1">IFERROR(__xludf.DUMMYFUNCTION("""COMPUTED_VALUE"""),11)</f>
        <v>11</v>
      </c>
      <c r="H13" s="1">
        <f ca="1">IFERROR(__xludf.DUMMYFUNCTION("""COMPUTED_VALUE"""),93.8)</f>
        <v>93.8</v>
      </c>
      <c r="I13" s="1">
        <f ca="1">IFERROR(__xludf.DUMMYFUNCTION("""COMPUTED_VALUE"""),26)</f>
        <v>26</v>
      </c>
      <c r="J13" s="1">
        <f ca="1">IFERROR(__xludf.DUMMYFUNCTION("""COMPUTED_VALUE"""),65.7)</f>
        <v>65.7</v>
      </c>
      <c r="K13" s="1">
        <f ca="1">IFERROR(__xludf.DUMMYFUNCTION("""COMPUTED_VALUE"""),134)</f>
        <v>134</v>
      </c>
      <c r="L13" s="1">
        <f ca="1">IFERROR(__xludf.DUMMYFUNCTION("""COMPUTED_VALUE"""),-0.017)</f>
        <v>-1.7000000000000001E-2</v>
      </c>
      <c r="M13" s="1">
        <f ca="1">IFERROR(__xludf.DUMMYFUNCTION("""COMPUTED_VALUE"""),213)</f>
        <v>213</v>
      </c>
      <c r="N13" s="1" t="str">
        <f ca="1">IFERROR(__xludf.DUMMYFUNCTION("""COMPUTED_VALUE"""),"+3.97")</f>
        <v>+3.97</v>
      </c>
      <c r="O13" s="1">
        <f ca="1">IFERROR(__xludf.DUMMYFUNCTION("""COMPUTED_VALUE"""),78)</f>
        <v>78</v>
      </c>
      <c r="P13" s="1">
        <f ca="1">IFERROR(__xludf.DUMMYFUNCTION("""COMPUTED_VALUE"""),105.1)</f>
        <v>105.1</v>
      </c>
      <c r="Q13" s="1">
        <f ca="1">IFERROR(__xludf.DUMMYFUNCTION("""COMPUTED_VALUE"""),73)</f>
        <v>73</v>
      </c>
      <c r="R13" s="1">
        <f ca="1">IFERROR(__xludf.DUMMYFUNCTION("""COMPUTED_VALUE"""),101.2)</f>
        <v>101.2</v>
      </c>
      <c r="S13" s="1">
        <f ca="1">IFERROR(__xludf.DUMMYFUNCTION("""COMPUTED_VALUE"""),92)</f>
        <v>92</v>
      </c>
      <c r="T13" s="1" t="str">
        <f ca="1">IFERROR(__xludf.DUMMYFUNCTION("""COMPUTED_VALUE"""),"+3.50")</f>
        <v>+3.50</v>
      </c>
      <c r="U13" s="1">
        <f ca="1">IFERROR(__xludf.DUMMYFUNCTION("""COMPUTED_VALUE"""),71)</f>
        <v>71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IFERROR(__xludf.DUMMYFUNCTION("""COMPUTED_VALUE"""),"Memphis8")</f>
        <v>Memphis8</v>
      </c>
      <c r="C14" s="1" t="str">
        <f ca="1">IFERROR(__xludf.DUMMYFUNCTION("""COMPUTED_VALUE"""),"CUSA")</f>
        <v>CUSA</v>
      </c>
      <c r="D14" s="1" t="str">
        <f ca="1">IFERROR(__xludf.DUMMYFUNCTION("""COMPUTED_VALUE"""),"26-9")</f>
        <v>26-9</v>
      </c>
      <c r="E14" s="1" t="str">
        <f ca="1">IFERROR(__xludf.DUMMYFUNCTION("""COMPUTED_VALUE"""),"+21.90")</f>
        <v>+21.90</v>
      </c>
      <c r="F14" s="1">
        <f ca="1">IFERROR(__xludf.DUMMYFUNCTION("""COMPUTED_VALUE"""),114.2)</f>
        <v>114.2</v>
      </c>
      <c r="G14" s="1">
        <f ca="1">IFERROR(__xludf.DUMMYFUNCTION("""COMPUTED_VALUE"""),22)</f>
        <v>22</v>
      </c>
      <c r="H14" s="1">
        <f ca="1">IFERROR(__xludf.DUMMYFUNCTION("""COMPUTED_VALUE"""),92.3)</f>
        <v>92.3</v>
      </c>
      <c r="I14" s="1">
        <f ca="1">IFERROR(__xludf.DUMMYFUNCTION("""COMPUTED_VALUE"""),17)</f>
        <v>17</v>
      </c>
      <c r="J14" s="1">
        <f ca="1">IFERROR(__xludf.DUMMYFUNCTION("""COMPUTED_VALUE"""),67.5)</f>
        <v>67.5</v>
      </c>
      <c r="K14" s="1">
        <f ca="1">IFERROR(__xludf.DUMMYFUNCTION("""COMPUTED_VALUE"""),60)</f>
        <v>60</v>
      </c>
      <c r="L14" s="1">
        <f ca="1">IFERROR(__xludf.DUMMYFUNCTION("""COMPUTED_VALUE"""),-0.064)</f>
        <v>-6.4000000000000001E-2</v>
      </c>
      <c r="M14" s="1">
        <f ca="1">IFERROR(__xludf.DUMMYFUNCTION("""COMPUTED_VALUE"""),307)</f>
        <v>307</v>
      </c>
      <c r="N14" s="1" t="str">
        <f ca="1">IFERROR(__xludf.DUMMYFUNCTION("""COMPUTED_VALUE"""),"+5.10")</f>
        <v>+5.10</v>
      </c>
      <c r="O14" s="1">
        <f ca="1">IFERROR(__xludf.DUMMYFUNCTION("""COMPUTED_VALUE"""),62)</f>
        <v>62</v>
      </c>
      <c r="P14" s="1">
        <f ca="1">IFERROR(__xludf.DUMMYFUNCTION("""COMPUTED_VALUE"""),104.9)</f>
        <v>104.9</v>
      </c>
      <c r="Q14" s="1">
        <f ca="1">IFERROR(__xludf.DUMMYFUNCTION("""COMPUTED_VALUE"""),78)</f>
        <v>78</v>
      </c>
      <c r="R14" s="1">
        <f ca="1">IFERROR(__xludf.DUMMYFUNCTION("""COMPUTED_VALUE"""),99.8)</f>
        <v>99.8</v>
      </c>
      <c r="S14" s="1">
        <f ca="1">IFERROR(__xludf.DUMMYFUNCTION("""COMPUTED_VALUE"""),41)</f>
        <v>41</v>
      </c>
      <c r="T14" s="1" t="str">
        <f ca="1">IFERROR(__xludf.DUMMYFUNCTION("""COMPUTED_VALUE"""),"+6.96")</f>
        <v>+6.96</v>
      </c>
      <c r="U14" s="1">
        <f ca="1">IFERROR(__xludf.DUMMYFUNCTION("""COMPUTED_VALUE"""),22)</f>
        <v>22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IFERROR(__xludf.DUMMYFUNCTION("""COMPUTED_VALUE"""),"Baylor3")</f>
        <v>Baylor3</v>
      </c>
      <c r="C15" s="1" t="str">
        <f ca="1">IFERROR(__xludf.DUMMYFUNCTION("""COMPUTED_VALUE"""),"B12")</f>
        <v>B12</v>
      </c>
      <c r="D15" s="1" t="str">
        <f ca="1">IFERROR(__xludf.DUMMYFUNCTION("""COMPUTED_VALUE"""),"30-8")</f>
        <v>30-8</v>
      </c>
      <c r="E15" s="1" t="str">
        <f ca="1">IFERROR(__xludf.DUMMYFUNCTION("""COMPUTED_VALUE"""),"+21.29")</f>
        <v>+21.29</v>
      </c>
      <c r="F15" s="1">
        <f ca="1">IFERROR(__xludf.DUMMYFUNCTION("""COMPUTED_VALUE"""),116)</f>
        <v>116</v>
      </c>
      <c r="G15" s="1">
        <f ca="1">IFERROR(__xludf.DUMMYFUNCTION("""COMPUTED_VALUE"""),13)</f>
        <v>13</v>
      </c>
      <c r="H15" s="1">
        <f ca="1">IFERROR(__xludf.DUMMYFUNCTION("""COMPUTED_VALUE"""),94.7)</f>
        <v>94.7</v>
      </c>
      <c r="I15" s="1">
        <f ca="1">IFERROR(__xludf.DUMMYFUNCTION("""COMPUTED_VALUE"""),34)</f>
        <v>34</v>
      </c>
      <c r="J15" s="1">
        <f ca="1">IFERROR(__xludf.DUMMYFUNCTION("""COMPUTED_VALUE"""),65.6)</f>
        <v>65.599999999999994</v>
      </c>
      <c r="K15" s="1">
        <f ca="1">IFERROR(__xludf.DUMMYFUNCTION("""COMPUTED_VALUE"""),138)</f>
        <v>138</v>
      </c>
      <c r="L15" s="1" t="str">
        <f ca="1">IFERROR(__xludf.DUMMYFUNCTION("""COMPUTED_VALUE"""),"+.059")</f>
        <v>+.059</v>
      </c>
      <c r="M15" s="1">
        <f ca="1">IFERROR(__xludf.DUMMYFUNCTION("""COMPUTED_VALUE"""),40)</f>
        <v>40</v>
      </c>
      <c r="N15" s="1" t="str">
        <f ca="1">IFERROR(__xludf.DUMMYFUNCTION("""COMPUTED_VALUE"""),"+9.61")</f>
        <v>+9.61</v>
      </c>
      <c r="O15" s="1">
        <f ca="1">IFERROR(__xludf.DUMMYFUNCTION("""COMPUTED_VALUE"""),7)</f>
        <v>7</v>
      </c>
      <c r="P15" s="1">
        <f ca="1">IFERROR(__xludf.DUMMYFUNCTION("""COMPUTED_VALUE"""),108.1)</f>
        <v>108.1</v>
      </c>
      <c r="Q15" s="1">
        <f ca="1">IFERROR(__xludf.DUMMYFUNCTION("""COMPUTED_VALUE"""),10)</f>
        <v>10</v>
      </c>
      <c r="R15" s="1">
        <f ca="1">IFERROR(__xludf.DUMMYFUNCTION("""COMPUTED_VALUE"""),98.5)</f>
        <v>98.5</v>
      </c>
      <c r="S15" s="1">
        <f ca="1">IFERROR(__xludf.DUMMYFUNCTION("""COMPUTED_VALUE"""),8)</f>
        <v>8</v>
      </c>
      <c r="T15" s="1">
        <f ca="1">IFERROR(__xludf.DUMMYFUNCTION("""COMPUTED_VALUE"""),-2.7)</f>
        <v>-2.7</v>
      </c>
      <c r="U15" s="1">
        <f ca="1">IFERROR(__xludf.DUMMYFUNCTION("""COMPUTED_VALUE"""),236)</f>
        <v>236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IFERROR(__xludf.DUMMYFUNCTION("""COMPUTED_VALUE"""),"Saint Louis9")</f>
        <v>Saint Louis9</v>
      </c>
      <c r="C16" s="1" t="str">
        <f ca="1">IFERROR(__xludf.DUMMYFUNCTION("""COMPUTED_VALUE"""),"A10")</f>
        <v>A10</v>
      </c>
      <c r="D16" s="1" t="str">
        <f ca="1">IFERROR(__xludf.DUMMYFUNCTION("""COMPUTED_VALUE"""),"26-8")</f>
        <v>26-8</v>
      </c>
      <c r="E16" s="1" t="str">
        <f ca="1">IFERROR(__xludf.DUMMYFUNCTION("""COMPUTED_VALUE"""),"+21.20")</f>
        <v>+21.20</v>
      </c>
      <c r="F16" s="1">
        <f ca="1">IFERROR(__xludf.DUMMYFUNCTION("""COMPUTED_VALUE"""),111.9)</f>
        <v>111.9</v>
      </c>
      <c r="G16" s="1">
        <f ca="1">IFERROR(__xludf.DUMMYFUNCTION("""COMPUTED_VALUE"""),34)</f>
        <v>34</v>
      </c>
      <c r="H16" s="1">
        <f ca="1">IFERROR(__xludf.DUMMYFUNCTION("""COMPUTED_VALUE"""),90.7)</f>
        <v>90.7</v>
      </c>
      <c r="I16" s="1">
        <f ca="1">IFERROR(__xludf.DUMMYFUNCTION("""COMPUTED_VALUE"""),12)</f>
        <v>12</v>
      </c>
      <c r="J16" s="1">
        <f ca="1">IFERROR(__xludf.DUMMYFUNCTION("""COMPUTED_VALUE"""),61.9)</f>
        <v>61.9</v>
      </c>
      <c r="K16" s="1">
        <f ca="1">IFERROR(__xludf.DUMMYFUNCTION("""COMPUTED_VALUE"""),303)</f>
        <v>303</v>
      </c>
      <c r="L16" s="1">
        <f ca="1">IFERROR(__xludf.DUMMYFUNCTION("""COMPUTED_VALUE"""),-0.056)</f>
        <v>-5.6000000000000001E-2</v>
      </c>
      <c r="M16" s="1">
        <f ca="1">IFERROR(__xludf.DUMMYFUNCTION("""COMPUTED_VALUE"""),301)</f>
        <v>301</v>
      </c>
      <c r="N16" s="1" t="str">
        <f ca="1">IFERROR(__xludf.DUMMYFUNCTION("""COMPUTED_VALUE"""),"+4.36")</f>
        <v>+4.36</v>
      </c>
      <c r="O16" s="1">
        <f ca="1">IFERROR(__xludf.DUMMYFUNCTION("""COMPUTED_VALUE"""),71)</f>
        <v>71</v>
      </c>
      <c r="P16" s="1">
        <f ca="1">IFERROR(__xludf.DUMMYFUNCTION("""COMPUTED_VALUE"""),105)</f>
        <v>105</v>
      </c>
      <c r="Q16" s="1">
        <f ca="1">IFERROR(__xludf.DUMMYFUNCTION("""COMPUTED_VALUE"""),76)</f>
        <v>76</v>
      </c>
      <c r="R16" s="1">
        <f ca="1">IFERROR(__xludf.DUMMYFUNCTION("""COMPUTED_VALUE"""),100.6)</f>
        <v>100.6</v>
      </c>
      <c r="S16" s="1">
        <f ca="1">IFERROR(__xludf.DUMMYFUNCTION("""COMPUTED_VALUE"""),69)</f>
        <v>69</v>
      </c>
      <c r="T16" s="1">
        <f ca="1">IFERROR(__xludf.DUMMYFUNCTION("""COMPUTED_VALUE"""),-2.55)</f>
        <v>-2.5499999999999998</v>
      </c>
      <c r="U16" s="1">
        <f ca="1">IFERROR(__xludf.DUMMYFUNCTION("""COMPUTED_VALUE"""),231)</f>
        <v>231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IFERROR(__xludf.DUMMYFUNCTION("""COMPUTED_VALUE"""),"Georgetown3")</f>
        <v>Georgetown3</v>
      </c>
      <c r="C17" s="1" t="str">
        <f ca="1">IFERROR(__xludf.DUMMYFUNCTION("""COMPUTED_VALUE"""),"BE")</f>
        <v>BE</v>
      </c>
      <c r="D17" s="1" t="str">
        <f ca="1">IFERROR(__xludf.DUMMYFUNCTION("""COMPUTED_VALUE"""),"24-9")</f>
        <v>24-9</v>
      </c>
      <c r="E17" s="1" t="str">
        <f ca="1">IFERROR(__xludf.DUMMYFUNCTION("""COMPUTED_VALUE"""),"+21.05")</f>
        <v>+21.05</v>
      </c>
      <c r="F17" s="1">
        <f ca="1">IFERROR(__xludf.DUMMYFUNCTION("""COMPUTED_VALUE"""),111.2)</f>
        <v>111.2</v>
      </c>
      <c r="G17" s="1">
        <f ca="1">IFERROR(__xludf.DUMMYFUNCTION("""COMPUTED_VALUE"""),45)</f>
        <v>45</v>
      </c>
      <c r="H17" s="1">
        <f ca="1">IFERROR(__xludf.DUMMYFUNCTION("""COMPUTED_VALUE"""),90.1)</f>
        <v>90.1</v>
      </c>
      <c r="I17" s="1">
        <f ca="1">IFERROR(__xludf.DUMMYFUNCTION("""COMPUTED_VALUE"""),9)</f>
        <v>9</v>
      </c>
      <c r="J17" s="1">
        <f ca="1">IFERROR(__xludf.DUMMYFUNCTION("""COMPUTED_VALUE"""),62.1)</f>
        <v>62.1</v>
      </c>
      <c r="K17" s="1">
        <f ca="1">IFERROR(__xludf.DUMMYFUNCTION("""COMPUTED_VALUE"""),294)</f>
        <v>294</v>
      </c>
      <c r="L17" s="1">
        <f ca="1">IFERROR(__xludf.DUMMYFUNCTION("""COMPUTED_VALUE"""),-0.014)</f>
        <v>-1.4E-2</v>
      </c>
      <c r="M17" s="1">
        <f ca="1">IFERROR(__xludf.DUMMYFUNCTION("""COMPUTED_VALUE"""),202)</f>
        <v>202</v>
      </c>
      <c r="N17" s="1" t="str">
        <f ca="1">IFERROR(__xludf.DUMMYFUNCTION("""COMPUTED_VALUE"""),"+8.32")</f>
        <v>+8.32</v>
      </c>
      <c r="O17" s="1">
        <f ca="1">IFERROR(__xludf.DUMMYFUNCTION("""COMPUTED_VALUE"""),18)</f>
        <v>18</v>
      </c>
      <c r="P17" s="1">
        <f ca="1">IFERROR(__xludf.DUMMYFUNCTION("""COMPUTED_VALUE"""),107.3)</f>
        <v>107.3</v>
      </c>
      <c r="Q17" s="1">
        <f ca="1">IFERROR(__xludf.DUMMYFUNCTION("""COMPUTED_VALUE"""),22)</f>
        <v>22</v>
      </c>
      <c r="R17" s="1">
        <f ca="1">IFERROR(__xludf.DUMMYFUNCTION("""COMPUTED_VALUE"""),99)</f>
        <v>99</v>
      </c>
      <c r="S17" s="1">
        <f ca="1">IFERROR(__xludf.DUMMYFUNCTION("""COMPUTED_VALUE"""),18)</f>
        <v>18</v>
      </c>
      <c r="T17" s="1">
        <f ca="1">IFERROR(__xludf.DUMMYFUNCTION("""COMPUTED_VALUE"""),-1.04)</f>
        <v>-1.04</v>
      </c>
      <c r="U17" s="1">
        <f ca="1">IFERROR(__xludf.DUMMYFUNCTION("""COMPUTED_VALUE"""),188)</f>
        <v>188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IFERROR(__xludf.DUMMYFUNCTION("""COMPUTED_VALUE"""),"Vanderbilt5")</f>
        <v>Vanderbilt5</v>
      </c>
      <c r="C18" s="1" t="str">
        <f ca="1">IFERROR(__xludf.DUMMYFUNCTION("""COMPUTED_VALUE"""),"SEC")</f>
        <v>SEC</v>
      </c>
      <c r="D18" s="1" t="str">
        <f ca="1">IFERROR(__xludf.DUMMYFUNCTION("""COMPUTED_VALUE"""),"25-11")</f>
        <v>25-11</v>
      </c>
      <c r="E18" s="1" t="str">
        <f ca="1">IFERROR(__xludf.DUMMYFUNCTION("""COMPUTED_VALUE"""),"+20.90")</f>
        <v>+20.90</v>
      </c>
      <c r="F18" s="1">
        <f ca="1">IFERROR(__xludf.DUMMYFUNCTION("""COMPUTED_VALUE"""),115.6)</f>
        <v>115.6</v>
      </c>
      <c r="G18" s="1">
        <f ca="1">IFERROR(__xludf.DUMMYFUNCTION("""COMPUTED_VALUE"""),14)</f>
        <v>14</v>
      </c>
      <c r="H18" s="1">
        <f ca="1">IFERROR(__xludf.DUMMYFUNCTION("""COMPUTED_VALUE"""),94.7)</f>
        <v>94.7</v>
      </c>
      <c r="I18" s="1">
        <f ca="1">IFERROR(__xludf.DUMMYFUNCTION("""COMPUTED_VALUE"""),35)</f>
        <v>35</v>
      </c>
      <c r="J18" s="1">
        <f ca="1">IFERROR(__xludf.DUMMYFUNCTION("""COMPUTED_VALUE"""),64.7)</f>
        <v>64.7</v>
      </c>
      <c r="K18" s="1">
        <f ca="1">IFERROR(__xludf.DUMMYFUNCTION("""COMPUTED_VALUE"""),188)</f>
        <v>188</v>
      </c>
      <c r="L18" s="1">
        <f ca="1">IFERROR(__xludf.DUMMYFUNCTION("""COMPUTED_VALUE"""),-0.048)</f>
        <v>-4.8000000000000001E-2</v>
      </c>
      <c r="M18" s="1">
        <f ca="1">IFERROR(__xludf.DUMMYFUNCTION("""COMPUTED_VALUE"""),280)</f>
        <v>280</v>
      </c>
      <c r="N18" s="1" t="str">
        <f ca="1">IFERROR(__xludf.DUMMYFUNCTION("""COMPUTED_VALUE"""),"+8.48")</f>
        <v>+8.48</v>
      </c>
      <c r="O18" s="1">
        <f ca="1">IFERROR(__xludf.DUMMYFUNCTION("""COMPUTED_VALUE"""),13)</f>
        <v>13</v>
      </c>
      <c r="P18" s="1">
        <f ca="1">IFERROR(__xludf.DUMMYFUNCTION("""COMPUTED_VALUE"""),107.7)</f>
        <v>107.7</v>
      </c>
      <c r="Q18" s="1">
        <f ca="1">IFERROR(__xludf.DUMMYFUNCTION("""COMPUTED_VALUE"""),14)</f>
        <v>14</v>
      </c>
      <c r="R18" s="1">
        <f ca="1">IFERROR(__xludf.DUMMYFUNCTION("""COMPUTED_VALUE"""),99.2)</f>
        <v>99.2</v>
      </c>
      <c r="S18" s="1">
        <f ca="1">IFERROR(__xludf.DUMMYFUNCTION("""COMPUTED_VALUE"""),24)</f>
        <v>24</v>
      </c>
      <c r="T18" s="1" t="str">
        <f ca="1">IFERROR(__xludf.DUMMYFUNCTION("""COMPUTED_VALUE"""),"+3.03")</f>
        <v>+3.03</v>
      </c>
      <c r="U18" s="1">
        <f ca="1">IFERROR(__xludf.DUMMYFUNCTION("""COMPUTED_VALUE"""),79)</f>
        <v>79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IFERROR(__xludf.DUMMYFUNCTION("""COMPUTED_VALUE"""),"Louisville4")</f>
        <v>Louisville4</v>
      </c>
      <c r="C19" s="1" t="str">
        <f ca="1">IFERROR(__xludf.DUMMYFUNCTION("""COMPUTED_VALUE"""),"BE")</f>
        <v>BE</v>
      </c>
      <c r="D19" s="1" t="str">
        <f ca="1">IFERROR(__xludf.DUMMYFUNCTION("""COMPUTED_VALUE"""),"30-10")</f>
        <v>30-10</v>
      </c>
      <c r="E19" s="1" t="str">
        <f ca="1">IFERROR(__xludf.DUMMYFUNCTION("""COMPUTED_VALUE"""),"+20.67")</f>
        <v>+20.67</v>
      </c>
      <c r="F19" s="1">
        <f ca="1">IFERROR(__xludf.DUMMYFUNCTION("""COMPUTED_VALUE"""),106.2)</f>
        <v>106.2</v>
      </c>
      <c r="G19" s="1">
        <f ca="1">IFERROR(__xludf.DUMMYFUNCTION("""COMPUTED_VALUE"""),112)</f>
        <v>112</v>
      </c>
      <c r="H19" s="1">
        <f ca="1">IFERROR(__xludf.DUMMYFUNCTION("""COMPUTED_VALUE"""),85.5)</f>
        <v>85.5</v>
      </c>
      <c r="I19" s="1">
        <f ca="1">IFERROR(__xludf.DUMMYFUNCTION("""COMPUTED_VALUE"""),1)</f>
        <v>1</v>
      </c>
      <c r="J19" s="1">
        <f ca="1">IFERROR(__xludf.DUMMYFUNCTION("""COMPUTED_VALUE"""),66.1)</f>
        <v>66.099999999999994</v>
      </c>
      <c r="K19" s="1">
        <f ca="1">IFERROR(__xludf.DUMMYFUNCTION("""COMPUTED_VALUE"""),115)</f>
        <v>115</v>
      </c>
      <c r="L19" s="1" t="str">
        <f ca="1">IFERROR(__xludf.DUMMYFUNCTION("""COMPUTED_VALUE"""),"+.031")</f>
        <v>+.031</v>
      </c>
      <c r="M19" s="1">
        <f ca="1">IFERROR(__xludf.DUMMYFUNCTION("""COMPUTED_VALUE"""),91)</f>
        <v>91</v>
      </c>
      <c r="N19" s="1" t="str">
        <f ca="1">IFERROR(__xludf.DUMMYFUNCTION("""COMPUTED_VALUE"""),"+10.06")</f>
        <v>+10.06</v>
      </c>
      <c r="O19" s="1">
        <f ca="1">IFERROR(__xludf.DUMMYFUNCTION("""COMPUTED_VALUE"""),5)</f>
        <v>5</v>
      </c>
      <c r="P19" s="1">
        <f ca="1">IFERROR(__xludf.DUMMYFUNCTION("""COMPUTED_VALUE"""),108.6)</f>
        <v>108.6</v>
      </c>
      <c r="Q19" s="1">
        <f ca="1">IFERROR(__xludf.DUMMYFUNCTION("""COMPUTED_VALUE"""),5)</f>
        <v>5</v>
      </c>
      <c r="R19" s="1">
        <f ca="1">IFERROR(__xludf.DUMMYFUNCTION("""COMPUTED_VALUE"""),98.6)</f>
        <v>98.6</v>
      </c>
      <c r="S19" s="1">
        <f ca="1">IFERROR(__xludf.DUMMYFUNCTION("""COMPUTED_VALUE"""),9)</f>
        <v>9</v>
      </c>
      <c r="T19" s="1" t="str">
        <f ca="1">IFERROR(__xludf.DUMMYFUNCTION("""COMPUTED_VALUE"""),"+0.11")</f>
        <v>+0.11</v>
      </c>
      <c r="U19" s="1">
        <f ca="1">IFERROR(__xludf.DUMMYFUNCTION("""COMPUTED_VALUE"""),149)</f>
        <v>149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IFERROR(__xludf.DUMMYFUNCTION("""COMPUTED_VALUE"""),"Marquette3")</f>
        <v>Marquette3</v>
      </c>
      <c r="C20" s="1" t="str">
        <f ca="1">IFERROR(__xludf.DUMMYFUNCTION("""COMPUTED_VALUE"""),"BE")</f>
        <v>BE</v>
      </c>
      <c r="D20" s="1" t="str">
        <f ca="1">IFERROR(__xludf.DUMMYFUNCTION("""COMPUTED_VALUE"""),"27-8")</f>
        <v>27-8</v>
      </c>
      <c r="E20" s="1" t="str">
        <f ca="1">IFERROR(__xludf.DUMMYFUNCTION("""COMPUTED_VALUE"""),"+20.22")</f>
        <v>+20.22</v>
      </c>
      <c r="F20" s="1">
        <f ca="1">IFERROR(__xludf.DUMMYFUNCTION("""COMPUTED_VALUE"""),111.5)</f>
        <v>111.5</v>
      </c>
      <c r="G20" s="1">
        <f ca="1">IFERROR(__xludf.DUMMYFUNCTION("""COMPUTED_VALUE"""),40)</f>
        <v>40</v>
      </c>
      <c r="H20" s="1">
        <f ca="1">IFERROR(__xludf.DUMMYFUNCTION("""COMPUTED_VALUE"""),91.3)</f>
        <v>91.3</v>
      </c>
      <c r="I20" s="1">
        <f ca="1">IFERROR(__xludf.DUMMYFUNCTION("""COMPUTED_VALUE"""),14)</f>
        <v>14</v>
      </c>
      <c r="J20" s="1">
        <f ca="1">IFERROR(__xludf.DUMMYFUNCTION("""COMPUTED_VALUE"""),70)</f>
        <v>70</v>
      </c>
      <c r="K20" s="1">
        <f ca="1">IFERROR(__xludf.DUMMYFUNCTION("""COMPUTED_VALUE"""),15)</f>
        <v>15</v>
      </c>
      <c r="L20" s="1" t="str">
        <f ca="1">IFERROR(__xludf.DUMMYFUNCTION("""COMPUTED_VALUE"""),"+.042")</f>
        <v>+.042</v>
      </c>
      <c r="M20" s="1">
        <f ca="1">IFERROR(__xludf.DUMMYFUNCTION("""COMPUTED_VALUE"""),67)</f>
        <v>67</v>
      </c>
      <c r="N20" s="1" t="str">
        <f ca="1">IFERROR(__xludf.DUMMYFUNCTION("""COMPUTED_VALUE"""),"+8.24")</f>
        <v>+8.24</v>
      </c>
      <c r="O20" s="1">
        <f ca="1">IFERROR(__xludf.DUMMYFUNCTION("""COMPUTED_VALUE"""),20)</f>
        <v>20</v>
      </c>
      <c r="P20" s="1">
        <f ca="1">IFERROR(__xludf.DUMMYFUNCTION("""COMPUTED_VALUE"""),106.6)</f>
        <v>106.6</v>
      </c>
      <c r="Q20" s="1">
        <f ca="1">IFERROR(__xludf.DUMMYFUNCTION("""COMPUTED_VALUE"""),39)</f>
        <v>39</v>
      </c>
      <c r="R20" s="1">
        <f ca="1">IFERROR(__xludf.DUMMYFUNCTION("""COMPUTED_VALUE"""),98.3)</f>
        <v>98.3</v>
      </c>
      <c r="S20" s="1">
        <f ca="1">IFERROR(__xludf.DUMMYFUNCTION("""COMPUTED_VALUE"""),6)</f>
        <v>6</v>
      </c>
      <c r="T20" s="1">
        <f ca="1">IFERROR(__xludf.DUMMYFUNCTION("""COMPUTED_VALUE"""),-0.95)</f>
        <v>-0.95</v>
      </c>
      <c r="U20" s="1">
        <f ca="1">IFERROR(__xludf.DUMMYFUNCTION("""COMPUTED_VALUE"""),187)</f>
        <v>187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IFERROR(__xludf.DUMMYFUNCTION("""COMPUTED_VALUE"""),"Duke2")</f>
        <v>Duke2</v>
      </c>
      <c r="C21" s="1" t="str">
        <f ca="1">IFERROR(__xludf.DUMMYFUNCTION("""COMPUTED_VALUE"""),"ACC")</f>
        <v>ACC</v>
      </c>
      <c r="D21" s="1" t="str">
        <f ca="1">IFERROR(__xludf.DUMMYFUNCTION("""COMPUTED_VALUE"""),"27-7")</f>
        <v>27-7</v>
      </c>
      <c r="E21" s="1" t="str">
        <f ca="1">IFERROR(__xludf.DUMMYFUNCTION("""COMPUTED_VALUE"""),"+19.70")</f>
        <v>+19.70</v>
      </c>
      <c r="F21" s="1">
        <f ca="1">IFERROR(__xludf.DUMMYFUNCTION("""COMPUTED_VALUE"""),117.7)</f>
        <v>117.7</v>
      </c>
      <c r="G21" s="1">
        <f ca="1">IFERROR(__xludf.DUMMYFUNCTION("""COMPUTED_VALUE"""),8)</f>
        <v>8</v>
      </c>
      <c r="H21" s="1">
        <f ca="1">IFERROR(__xludf.DUMMYFUNCTION("""COMPUTED_VALUE"""),98)</f>
        <v>98</v>
      </c>
      <c r="I21" s="1">
        <f ca="1">IFERROR(__xludf.DUMMYFUNCTION("""COMPUTED_VALUE"""),79)</f>
        <v>79</v>
      </c>
      <c r="J21" s="1">
        <f ca="1">IFERROR(__xludf.DUMMYFUNCTION("""COMPUTED_VALUE"""),66.4)</f>
        <v>66.400000000000006</v>
      </c>
      <c r="K21" s="1">
        <f ca="1">IFERROR(__xludf.DUMMYFUNCTION("""COMPUTED_VALUE"""),108)</f>
        <v>108</v>
      </c>
      <c r="L21" s="1" t="str">
        <f ca="1">IFERROR(__xludf.DUMMYFUNCTION("""COMPUTED_VALUE"""),"+.057")</f>
        <v>+.057</v>
      </c>
      <c r="M21" s="1">
        <f ca="1">IFERROR(__xludf.DUMMYFUNCTION("""COMPUTED_VALUE"""),45)</f>
        <v>45</v>
      </c>
      <c r="N21" s="1" t="str">
        <f ca="1">IFERROR(__xludf.DUMMYFUNCTION("""COMPUTED_VALUE"""),"+8.18")</f>
        <v>+8.18</v>
      </c>
      <c r="O21" s="1">
        <f ca="1">IFERROR(__xludf.DUMMYFUNCTION("""COMPUTED_VALUE"""),22)</f>
        <v>22</v>
      </c>
      <c r="P21" s="1">
        <f ca="1">IFERROR(__xludf.DUMMYFUNCTION("""COMPUTED_VALUE"""),107.3)</f>
        <v>107.3</v>
      </c>
      <c r="Q21" s="1">
        <f ca="1">IFERROR(__xludf.DUMMYFUNCTION("""COMPUTED_VALUE"""),25)</f>
        <v>25</v>
      </c>
      <c r="R21" s="1">
        <f ca="1">IFERROR(__xludf.DUMMYFUNCTION("""COMPUTED_VALUE"""),99.1)</f>
        <v>99.1</v>
      </c>
      <c r="S21" s="1">
        <f ca="1">IFERROR(__xludf.DUMMYFUNCTION("""COMPUTED_VALUE"""),23)</f>
        <v>23</v>
      </c>
      <c r="T21" s="1" t="str">
        <f ca="1">IFERROR(__xludf.DUMMYFUNCTION("""COMPUTED_VALUE"""),"+7.68")</f>
        <v>+7.68</v>
      </c>
      <c r="U21" s="1">
        <f ca="1">IFERROR(__xludf.DUMMYFUNCTION("""COMPUTED_VALUE"""),17)</f>
        <v>17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IFERROR(__xludf.DUMMYFUNCTION("""COMPUTED_VALUE"""),"New Mexico5")</f>
        <v>New Mexico5</v>
      </c>
      <c r="C22" s="1" t="str">
        <f ca="1">IFERROR(__xludf.DUMMYFUNCTION("""COMPUTED_VALUE"""),"MWC")</f>
        <v>MWC</v>
      </c>
      <c r="D22" s="1" t="str">
        <f ca="1">IFERROR(__xludf.DUMMYFUNCTION("""COMPUTED_VALUE"""),"28-7")</f>
        <v>28-7</v>
      </c>
      <c r="E22" s="1" t="str">
        <f ca="1">IFERROR(__xludf.DUMMYFUNCTION("""COMPUTED_VALUE"""),"+19.45")</f>
        <v>+19.45</v>
      </c>
      <c r="F22" s="1">
        <f ca="1">IFERROR(__xludf.DUMMYFUNCTION("""COMPUTED_VALUE"""),110.8)</f>
        <v>110.8</v>
      </c>
      <c r="G22" s="1">
        <f ca="1">IFERROR(__xludf.DUMMYFUNCTION("""COMPUTED_VALUE"""),51)</f>
        <v>51</v>
      </c>
      <c r="H22" s="1">
        <f ca="1">IFERROR(__xludf.DUMMYFUNCTION("""COMPUTED_VALUE"""),91.4)</f>
        <v>91.4</v>
      </c>
      <c r="I22" s="1">
        <f ca="1">IFERROR(__xludf.DUMMYFUNCTION("""COMPUTED_VALUE"""),15)</f>
        <v>15</v>
      </c>
      <c r="J22" s="1">
        <f ca="1">IFERROR(__xludf.DUMMYFUNCTION("""COMPUTED_VALUE"""),65.5)</f>
        <v>65.5</v>
      </c>
      <c r="K22" s="1">
        <f ca="1">IFERROR(__xludf.DUMMYFUNCTION("""COMPUTED_VALUE"""),141)</f>
        <v>141</v>
      </c>
      <c r="L22" s="1" t="str">
        <f ca="1">IFERROR(__xludf.DUMMYFUNCTION("""COMPUTED_VALUE"""),"+.003")</f>
        <v>+.003</v>
      </c>
      <c r="M22" s="1">
        <f ca="1">IFERROR(__xludf.DUMMYFUNCTION("""COMPUTED_VALUE"""),165)</f>
        <v>165</v>
      </c>
      <c r="N22" s="1" t="str">
        <f ca="1">IFERROR(__xludf.DUMMYFUNCTION("""COMPUTED_VALUE"""),"+2.65")</f>
        <v>+2.65</v>
      </c>
      <c r="O22" s="1">
        <f ca="1">IFERROR(__xludf.DUMMYFUNCTION("""COMPUTED_VALUE"""),106)</f>
        <v>106</v>
      </c>
      <c r="P22" s="1">
        <f ca="1">IFERROR(__xludf.DUMMYFUNCTION("""COMPUTED_VALUE"""),103.9)</f>
        <v>103.9</v>
      </c>
      <c r="Q22" s="1">
        <f ca="1">IFERROR(__xludf.DUMMYFUNCTION("""COMPUTED_VALUE"""),122)</f>
        <v>122</v>
      </c>
      <c r="R22" s="1">
        <f ca="1">IFERROR(__xludf.DUMMYFUNCTION("""COMPUTED_VALUE"""),101.3)</f>
        <v>101.3</v>
      </c>
      <c r="S22" s="1">
        <f ca="1">IFERROR(__xludf.DUMMYFUNCTION("""COMPUTED_VALUE"""),100)</f>
        <v>100</v>
      </c>
      <c r="T22" s="1">
        <f ca="1">IFERROR(__xludf.DUMMYFUNCTION("""COMPUTED_VALUE"""),-4.16)</f>
        <v>-4.16</v>
      </c>
      <c r="U22" s="1">
        <f ca="1">IFERROR(__xludf.DUMMYFUNCTION("""COMPUTED_VALUE"""),273)</f>
        <v>273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IFERROR(__xludf.DUMMYFUNCTION("""COMPUTED_VALUE"""),"Gonzaga7")</f>
        <v>Gonzaga7</v>
      </c>
      <c r="C23" s="1" t="str">
        <f ca="1">IFERROR(__xludf.DUMMYFUNCTION("""COMPUTED_VALUE"""),"WCC")</f>
        <v>WCC</v>
      </c>
      <c r="D23" s="1" t="str">
        <f ca="1">IFERROR(__xludf.DUMMYFUNCTION("""COMPUTED_VALUE"""),"26-7")</f>
        <v>26-7</v>
      </c>
      <c r="E23" s="1" t="str">
        <f ca="1">IFERROR(__xludf.DUMMYFUNCTION("""COMPUTED_VALUE"""),"+18.39")</f>
        <v>+18.39</v>
      </c>
      <c r="F23" s="1">
        <f ca="1">IFERROR(__xludf.DUMMYFUNCTION("""COMPUTED_VALUE"""),113.1)</f>
        <v>113.1</v>
      </c>
      <c r="G23" s="1">
        <f ca="1">IFERROR(__xludf.DUMMYFUNCTION("""COMPUTED_VALUE"""),30)</f>
        <v>30</v>
      </c>
      <c r="H23" s="1">
        <f ca="1">IFERROR(__xludf.DUMMYFUNCTION("""COMPUTED_VALUE"""),94.7)</f>
        <v>94.7</v>
      </c>
      <c r="I23" s="1">
        <f ca="1">IFERROR(__xludf.DUMMYFUNCTION("""COMPUTED_VALUE"""),33)</f>
        <v>33</v>
      </c>
      <c r="J23" s="1">
        <f ca="1">IFERROR(__xludf.DUMMYFUNCTION("""COMPUTED_VALUE"""),64.8)</f>
        <v>64.8</v>
      </c>
      <c r="K23" s="1">
        <f ca="1">IFERROR(__xludf.DUMMYFUNCTION("""COMPUTED_VALUE"""),183)</f>
        <v>183</v>
      </c>
      <c r="L23" s="1">
        <f ca="1">IFERROR(__xludf.DUMMYFUNCTION("""COMPUTED_VALUE"""),-0.018)</f>
        <v>-1.7999999999999999E-2</v>
      </c>
      <c r="M23" s="1">
        <f ca="1">IFERROR(__xludf.DUMMYFUNCTION("""COMPUTED_VALUE"""),218)</f>
        <v>218</v>
      </c>
      <c r="N23" s="1" t="str">
        <f ca="1">IFERROR(__xludf.DUMMYFUNCTION("""COMPUTED_VALUE"""),"+2.08")</f>
        <v>+2.08</v>
      </c>
      <c r="O23" s="1">
        <f ca="1">IFERROR(__xludf.DUMMYFUNCTION("""COMPUTED_VALUE"""),116)</f>
        <v>116</v>
      </c>
      <c r="P23" s="1">
        <f ca="1">IFERROR(__xludf.DUMMYFUNCTION("""COMPUTED_VALUE"""),104.9)</f>
        <v>104.9</v>
      </c>
      <c r="Q23" s="1">
        <f ca="1">IFERROR(__xludf.DUMMYFUNCTION("""COMPUTED_VALUE"""),81)</f>
        <v>81</v>
      </c>
      <c r="R23" s="1">
        <f ca="1">IFERROR(__xludf.DUMMYFUNCTION("""COMPUTED_VALUE"""),102.8)</f>
        <v>102.8</v>
      </c>
      <c r="S23" s="1">
        <f ca="1">IFERROR(__xludf.DUMMYFUNCTION("""COMPUTED_VALUE"""),158)</f>
        <v>158</v>
      </c>
      <c r="T23" s="1" t="str">
        <f ca="1">IFERROR(__xludf.DUMMYFUNCTION("""COMPUTED_VALUE"""),"+1.05")</f>
        <v>+1.05</v>
      </c>
      <c r="U23" s="1">
        <f ca="1">IFERROR(__xludf.DUMMYFUNCTION("""COMPUTED_VALUE"""),126)</f>
        <v>126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IFERROR(__xludf.DUMMYFUNCTION("""COMPUTED_VALUE"""),"Michigan4")</f>
        <v>Michigan4</v>
      </c>
      <c r="C24" s="1" t="str">
        <f ca="1">IFERROR(__xludf.DUMMYFUNCTION("""COMPUTED_VALUE"""),"B10")</f>
        <v>B10</v>
      </c>
      <c r="D24" s="1" t="str">
        <f ca="1">IFERROR(__xludf.DUMMYFUNCTION("""COMPUTED_VALUE"""),"24-10")</f>
        <v>24-10</v>
      </c>
      <c r="E24" s="1" t="str">
        <f ca="1">IFERROR(__xludf.DUMMYFUNCTION("""COMPUTED_VALUE"""),"+17.52")</f>
        <v>+17.52</v>
      </c>
      <c r="F24" s="1">
        <f ca="1">IFERROR(__xludf.DUMMYFUNCTION("""COMPUTED_VALUE"""),114.3)</f>
        <v>114.3</v>
      </c>
      <c r="G24" s="1">
        <f ca="1">IFERROR(__xludf.DUMMYFUNCTION("""COMPUTED_VALUE"""),19)</f>
        <v>19</v>
      </c>
      <c r="H24" s="1">
        <f ca="1">IFERROR(__xludf.DUMMYFUNCTION("""COMPUTED_VALUE"""),96.8)</f>
        <v>96.8</v>
      </c>
      <c r="I24" s="1">
        <f ca="1">IFERROR(__xludf.DUMMYFUNCTION("""COMPUTED_VALUE"""),56)</f>
        <v>56</v>
      </c>
      <c r="J24" s="1">
        <f ca="1">IFERROR(__xludf.DUMMYFUNCTION("""COMPUTED_VALUE"""),60.1)</f>
        <v>60.1</v>
      </c>
      <c r="K24" s="1">
        <f ca="1">IFERROR(__xludf.DUMMYFUNCTION("""COMPUTED_VALUE"""),330)</f>
        <v>330</v>
      </c>
      <c r="L24" s="1" t="str">
        <f ca="1">IFERROR(__xludf.DUMMYFUNCTION("""COMPUTED_VALUE"""),"+.058")</f>
        <v>+.058</v>
      </c>
      <c r="M24" s="1">
        <f ca="1">IFERROR(__xludf.DUMMYFUNCTION("""COMPUTED_VALUE"""),42)</f>
        <v>42</v>
      </c>
      <c r="N24" s="1" t="str">
        <f ca="1">IFERROR(__xludf.DUMMYFUNCTION("""COMPUTED_VALUE"""),"+10.65")</f>
        <v>+10.65</v>
      </c>
      <c r="O24" s="1">
        <f ca="1">IFERROR(__xludf.DUMMYFUNCTION("""COMPUTED_VALUE"""),2)</f>
        <v>2</v>
      </c>
      <c r="P24" s="1">
        <f ca="1">IFERROR(__xludf.DUMMYFUNCTION("""COMPUTED_VALUE"""),109)</f>
        <v>109</v>
      </c>
      <c r="Q24" s="1">
        <f ca="1">IFERROR(__xludf.DUMMYFUNCTION("""COMPUTED_VALUE"""),2)</f>
        <v>2</v>
      </c>
      <c r="R24" s="1">
        <f ca="1">IFERROR(__xludf.DUMMYFUNCTION("""COMPUTED_VALUE"""),98.3)</f>
        <v>98.3</v>
      </c>
      <c r="S24" s="1">
        <f ca="1">IFERROR(__xludf.DUMMYFUNCTION("""COMPUTED_VALUE"""),4)</f>
        <v>4</v>
      </c>
      <c r="T24" s="1">
        <f ca="1">IFERROR(__xludf.DUMMYFUNCTION("""COMPUTED_VALUE"""),-0.11)</f>
        <v>-0.11</v>
      </c>
      <c r="U24" s="1">
        <f ca="1">IFERROR(__xludf.DUMMYFUNCTION("""COMPUTED_VALUE"""),161)</f>
        <v>161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IFERROR(__xludf.DUMMYFUNCTION("""COMPUTED_VALUE"""),"Kansas St.8")</f>
        <v>Kansas St.8</v>
      </c>
      <c r="C25" s="1" t="str">
        <f ca="1">IFERROR(__xludf.DUMMYFUNCTION("""COMPUTED_VALUE"""),"B12")</f>
        <v>B12</v>
      </c>
      <c r="D25" s="1" t="str">
        <f ca="1">IFERROR(__xludf.DUMMYFUNCTION("""COMPUTED_VALUE"""),"22-11")</f>
        <v>22-11</v>
      </c>
      <c r="E25" s="1" t="str">
        <f ca="1">IFERROR(__xludf.DUMMYFUNCTION("""COMPUTED_VALUE"""),"+17.52")</f>
        <v>+17.52</v>
      </c>
      <c r="F25" s="1">
        <f ca="1">IFERROR(__xludf.DUMMYFUNCTION("""COMPUTED_VALUE"""),109.8)</f>
        <v>109.8</v>
      </c>
      <c r="G25" s="1">
        <f ca="1">IFERROR(__xludf.DUMMYFUNCTION("""COMPUTED_VALUE"""),59)</f>
        <v>59</v>
      </c>
      <c r="H25" s="1">
        <f ca="1">IFERROR(__xludf.DUMMYFUNCTION("""COMPUTED_VALUE"""),92.3)</f>
        <v>92.3</v>
      </c>
      <c r="I25" s="1">
        <f ca="1">IFERROR(__xludf.DUMMYFUNCTION("""COMPUTED_VALUE"""),18)</f>
        <v>18</v>
      </c>
      <c r="J25" s="1">
        <f ca="1">IFERROR(__xludf.DUMMYFUNCTION("""COMPUTED_VALUE"""),66.5)</f>
        <v>66.5</v>
      </c>
      <c r="K25" s="1">
        <f ca="1">IFERROR(__xludf.DUMMYFUNCTION("""COMPUTED_VALUE"""),97)</f>
        <v>97</v>
      </c>
      <c r="L25" s="1">
        <f ca="1">IFERROR(__xludf.DUMMYFUNCTION("""COMPUTED_VALUE"""),-0.024)</f>
        <v>-2.4E-2</v>
      </c>
      <c r="M25" s="1">
        <f ca="1">IFERROR(__xludf.DUMMYFUNCTION("""COMPUTED_VALUE"""),231)</f>
        <v>231</v>
      </c>
      <c r="N25" s="1" t="str">
        <f ca="1">IFERROR(__xludf.DUMMYFUNCTION("""COMPUTED_VALUE"""),"+7.98")</f>
        <v>+7.98</v>
      </c>
      <c r="O25" s="1">
        <f ca="1">IFERROR(__xludf.DUMMYFUNCTION("""COMPUTED_VALUE"""),28)</f>
        <v>28</v>
      </c>
      <c r="P25" s="1">
        <f ca="1">IFERROR(__xludf.DUMMYFUNCTION("""COMPUTED_VALUE"""),107)</f>
        <v>107</v>
      </c>
      <c r="Q25" s="1">
        <f ca="1">IFERROR(__xludf.DUMMYFUNCTION("""COMPUTED_VALUE"""),28)</f>
        <v>28</v>
      </c>
      <c r="R25" s="1">
        <f ca="1">IFERROR(__xludf.DUMMYFUNCTION("""COMPUTED_VALUE"""),99.1)</f>
        <v>99.1</v>
      </c>
      <c r="S25" s="1">
        <f ca="1">IFERROR(__xludf.DUMMYFUNCTION("""COMPUTED_VALUE"""),21)</f>
        <v>21</v>
      </c>
      <c r="T25" s="1">
        <f ca="1">IFERROR(__xludf.DUMMYFUNCTION("""COMPUTED_VALUE"""),-3.29)</f>
        <v>-3.29</v>
      </c>
      <c r="U25" s="1">
        <f ca="1">IFERROR(__xludf.DUMMYFUNCTION("""COMPUTED_VALUE"""),251)</f>
        <v>251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IFERROR(__xludf.DUMMYFUNCTION("""COMPUTED_VALUE"""),"Florida St.3")</f>
        <v>Florida St.3</v>
      </c>
      <c r="C26" s="1" t="str">
        <f ca="1">IFERROR(__xludf.DUMMYFUNCTION("""COMPUTED_VALUE"""),"ACC")</f>
        <v>ACC</v>
      </c>
      <c r="D26" s="1" t="str">
        <f ca="1">IFERROR(__xludf.DUMMYFUNCTION("""COMPUTED_VALUE"""),"25-10")</f>
        <v>25-10</v>
      </c>
      <c r="E26" s="1" t="str">
        <f ca="1">IFERROR(__xludf.DUMMYFUNCTION("""COMPUTED_VALUE"""),"+17.14")</f>
        <v>+17.14</v>
      </c>
      <c r="F26" s="1">
        <f ca="1">IFERROR(__xludf.DUMMYFUNCTION("""COMPUTED_VALUE"""),107.6)</f>
        <v>107.6</v>
      </c>
      <c r="G26" s="1">
        <f ca="1">IFERROR(__xludf.DUMMYFUNCTION("""COMPUTED_VALUE"""),89)</f>
        <v>89</v>
      </c>
      <c r="H26" s="1">
        <f ca="1">IFERROR(__xludf.DUMMYFUNCTION("""COMPUTED_VALUE"""),90.4)</f>
        <v>90.4</v>
      </c>
      <c r="I26" s="1">
        <f ca="1">IFERROR(__xludf.DUMMYFUNCTION("""COMPUTED_VALUE"""),10)</f>
        <v>10</v>
      </c>
      <c r="J26" s="1">
        <f ca="1">IFERROR(__xludf.DUMMYFUNCTION("""COMPUTED_VALUE"""),66.6)</f>
        <v>66.599999999999994</v>
      </c>
      <c r="K26" s="1">
        <f ca="1">IFERROR(__xludf.DUMMYFUNCTION("""COMPUTED_VALUE"""),95)</f>
        <v>95</v>
      </c>
      <c r="L26" s="1" t="str">
        <f ca="1">IFERROR(__xludf.DUMMYFUNCTION("""COMPUTED_VALUE"""),"+.034")</f>
        <v>+.034</v>
      </c>
      <c r="M26" s="1">
        <f ca="1">IFERROR(__xludf.DUMMYFUNCTION("""COMPUTED_VALUE"""),80)</f>
        <v>80</v>
      </c>
      <c r="N26" s="1" t="str">
        <f ca="1">IFERROR(__xludf.DUMMYFUNCTION("""COMPUTED_VALUE"""),"+7.54")</f>
        <v>+7.54</v>
      </c>
      <c r="O26" s="1">
        <f ca="1">IFERROR(__xludf.DUMMYFUNCTION("""COMPUTED_VALUE"""),29)</f>
        <v>29</v>
      </c>
      <c r="P26" s="1">
        <f ca="1">IFERROR(__xludf.DUMMYFUNCTION("""COMPUTED_VALUE"""),106.9)</f>
        <v>106.9</v>
      </c>
      <c r="Q26" s="1">
        <f ca="1">IFERROR(__xludf.DUMMYFUNCTION("""COMPUTED_VALUE"""),33)</f>
        <v>33</v>
      </c>
      <c r="R26" s="1">
        <f ca="1">IFERROR(__xludf.DUMMYFUNCTION("""COMPUTED_VALUE"""),99.4)</f>
        <v>99.4</v>
      </c>
      <c r="S26" s="1">
        <f ca="1">IFERROR(__xludf.DUMMYFUNCTION("""COMPUTED_VALUE"""),26)</f>
        <v>26</v>
      </c>
      <c r="T26" s="1" t="str">
        <f ca="1">IFERROR(__xludf.DUMMYFUNCTION("""COMPUTED_VALUE"""),"+0.82")</f>
        <v>+0.82</v>
      </c>
      <c r="U26" s="1">
        <f ca="1">IFERROR(__xludf.DUMMYFUNCTION("""COMPUTED_VALUE"""),132)</f>
        <v>132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IFERROR(__xludf.DUMMYFUNCTION("""COMPUTED_VALUE"""),"Belmont14")</f>
        <v>Belmont14</v>
      </c>
      <c r="C27" s="1" t="str">
        <f ca="1">IFERROR(__xludf.DUMMYFUNCTION("""COMPUTED_VALUE"""),"ASun")</f>
        <v>ASun</v>
      </c>
      <c r="D27" s="1" t="str">
        <f ca="1">IFERROR(__xludf.DUMMYFUNCTION("""COMPUTED_VALUE"""),"27-8")</f>
        <v>27-8</v>
      </c>
      <c r="E27" s="1" t="str">
        <f ca="1">IFERROR(__xludf.DUMMYFUNCTION("""COMPUTED_VALUE"""),"+16.96")</f>
        <v>+16.96</v>
      </c>
      <c r="F27" s="1">
        <f ca="1">IFERROR(__xludf.DUMMYFUNCTION("""COMPUTED_VALUE"""),117.1)</f>
        <v>117.1</v>
      </c>
      <c r="G27" s="1">
        <f ca="1">IFERROR(__xludf.DUMMYFUNCTION("""COMPUTED_VALUE"""),9)</f>
        <v>9</v>
      </c>
      <c r="H27" s="1">
        <f ca="1">IFERROR(__xludf.DUMMYFUNCTION("""COMPUTED_VALUE"""),100.1)</f>
        <v>100.1</v>
      </c>
      <c r="I27" s="1">
        <f ca="1">IFERROR(__xludf.DUMMYFUNCTION("""COMPUTED_VALUE"""),121)</f>
        <v>121</v>
      </c>
      <c r="J27" s="1">
        <f ca="1">IFERROR(__xludf.DUMMYFUNCTION("""COMPUTED_VALUE"""),67.2)</f>
        <v>67.2</v>
      </c>
      <c r="K27" s="1">
        <f ca="1">IFERROR(__xludf.DUMMYFUNCTION("""COMPUTED_VALUE"""),72)</f>
        <v>72</v>
      </c>
      <c r="L27" s="1">
        <f ca="1">IFERROR(__xludf.DUMMYFUNCTION("""COMPUTED_VALUE"""),-0.017)</f>
        <v>-1.7000000000000001E-2</v>
      </c>
      <c r="M27" s="1">
        <f ca="1">IFERROR(__xludf.DUMMYFUNCTION("""COMPUTED_VALUE"""),214)</f>
        <v>214</v>
      </c>
      <c r="N27" s="1">
        <f ca="1">IFERROR(__xludf.DUMMYFUNCTION("""COMPUTED_VALUE"""),-0.32)</f>
        <v>-0.32</v>
      </c>
      <c r="O27" s="1">
        <f ca="1">IFERROR(__xludf.DUMMYFUNCTION("""COMPUTED_VALUE"""),162)</f>
        <v>162</v>
      </c>
      <c r="P27" s="1">
        <f ca="1">IFERROR(__xludf.DUMMYFUNCTION("""COMPUTED_VALUE"""),103.4)</f>
        <v>103.4</v>
      </c>
      <c r="Q27" s="1">
        <f ca="1">IFERROR(__xludf.DUMMYFUNCTION("""COMPUTED_VALUE"""),148)</f>
        <v>148</v>
      </c>
      <c r="R27" s="1">
        <f ca="1">IFERROR(__xludf.DUMMYFUNCTION("""COMPUTED_VALUE"""),103.7)</f>
        <v>103.7</v>
      </c>
      <c r="S27" s="1">
        <f ca="1">IFERROR(__xludf.DUMMYFUNCTION("""COMPUTED_VALUE"""),182)</f>
        <v>182</v>
      </c>
      <c r="T27" s="1" t="str">
        <f ca="1">IFERROR(__xludf.DUMMYFUNCTION("""COMPUTED_VALUE"""),"+4.69")</f>
        <v>+4.69</v>
      </c>
      <c r="U27" s="1">
        <f ca="1">IFERROR(__xludf.DUMMYFUNCTION("""COMPUTED_VALUE"""),44)</f>
        <v>44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IFERROR(__xludf.DUMMYFUNCTION("""COMPUTED_VALUE"""),"Iowa St.8")</f>
        <v>Iowa St.8</v>
      </c>
      <c r="C28" s="1" t="str">
        <f ca="1">IFERROR(__xludf.DUMMYFUNCTION("""COMPUTED_VALUE"""),"B12")</f>
        <v>B12</v>
      </c>
      <c r="D28" s="1" t="str">
        <f ca="1">IFERROR(__xludf.DUMMYFUNCTION("""COMPUTED_VALUE"""),"23-11")</f>
        <v>23-11</v>
      </c>
      <c r="E28" s="1" t="str">
        <f ca="1">IFERROR(__xludf.DUMMYFUNCTION("""COMPUTED_VALUE"""),"+16.69")</f>
        <v>+16.69</v>
      </c>
      <c r="F28" s="1">
        <f ca="1">IFERROR(__xludf.DUMMYFUNCTION("""COMPUTED_VALUE"""),113.9)</f>
        <v>113.9</v>
      </c>
      <c r="G28" s="1">
        <f ca="1">IFERROR(__xludf.DUMMYFUNCTION("""COMPUTED_VALUE"""),24)</f>
        <v>24</v>
      </c>
      <c r="H28" s="1">
        <f ca="1">IFERROR(__xludf.DUMMYFUNCTION("""COMPUTED_VALUE"""),97.2)</f>
        <v>97.2</v>
      </c>
      <c r="I28" s="1">
        <f ca="1">IFERROR(__xludf.DUMMYFUNCTION("""COMPUTED_VALUE"""),66)</f>
        <v>66</v>
      </c>
      <c r="J28" s="1">
        <f ca="1">IFERROR(__xludf.DUMMYFUNCTION("""COMPUTED_VALUE"""),65.8)</f>
        <v>65.8</v>
      </c>
      <c r="K28" s="1">
        <f ca="1">IFERROR(__xludf.DUMMYFUNCTION("""COMPUTED_VALUE"""),128)</f>
        <v>128</v>
      </c>
      <c r="L28" s="1">
        <f ca="1">IFERROR(__xludf.DUMMYFUNCTION("""COMPUTED_VALUE"""),-0.004)</f>
        <v>-4.0000000000000001E-3</v>
      </c>
      <c r="M28" s="1">
        <f ca="1">IFERROR(__xludf.DUMMYFUNCTION("""COMPUTED_VALUE"""),184)</f>
        <v>184</v>
      </c>
      <c r="N28" s="1" t="str">
        <f ca="1">IFERROR(__xludf.DUMMYFUNCTION("""COMPUTED_VALUE"""),"+7.22")</f>
        <v>+7.22</v>
      </c>
      <c r="O28" s="1">
        <f ca="1">IFERROR(__xludf.DUMMYFUNCTION("""COMPUTED_VALUE"""),32)</f>
        <v>32</v>
      </c>
      <c r="P28" s="1">
        <f ca="1">IFERROR(__xludf.DUMMYFUNCTION("""COMPUTED_VALUE"""),107)</f>
        <v>107</v>
      </c>
      <c r="Q28" s="1">
        <f ca="1">IFERROR(__xludf.DUMMYFUNCTION("""COMPUTED_VALUE"""),30)</f>
        <v>30</v>
      </c>
      <c r="R28" s="1">
        <f ca="1">IFERROR(__xludf.DUMMYFUNCTION("""COMPUTED_VALUE"""),99.8)</f>
        <v>99.8</v>
      </c>
      <c r="S28" s="1">
        <f ca="1">IFERROR(__xludf.DUMMYFUNCTION("""COMPUTED_VALUE"""),39)</f>
        <v>39</v>
      </c>
      <c r="T28" s="1">
        <f ca="1">IFERROR(__xludf.DUMMYFUNCTION("""COMPUTED_VALUE"""),-4.08)</f>
        <v>-4.08</v>
      </c>
      <c r="U28" s="1">
        <f ca="1">IFERROR(__xludf.DUMMYFUNCTION("""COMPUTED_VALUE"""),271)</f>
        <v>271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IFERROR(__xludf.DUMMYFUNCTION("""COMPUTED_VALUE"""),"Alabama9")</f>
        <v>Alabama9</v>
      </c>
      <c r="C29" s="1" t="str">
        <f ca="1">IFERROR(__xludf.DUMMYFUNCTION("""COMPUTED_VALUE"""),"SEC")</f>
        <v>SEC</v>
      </c>
      <c r="D29" s="1" t="str">
        <f ca="1">IFERROR(__xludf.DUMMYFUNCTION("""COMPUTED_VALUE"""),"21-12")</f>
        <v>21-12</v>
      </c>
      <c r="E29" s="1" t="str">
        <f ca="1">IFERROR(__xludf.DUMMYFUNCTION("""COMPUTED_VALUE"""),"+16.69")</f>
        <v>+16.69</v>
      </c>
      <c r="F29" s="1">
        <f ca="1">IFERROR(__xludf.DUMMYFUNCTION("""COMPUTED_VALUE"""),106.1)</f>
        <v>106.1</v>
      </c>
      <c r="G29" s="1">
        <f ca="1">IFERROR(__xludf.DUMMYFUNCTION("""COMPUTED_VALUE"""),115)</f>
        <v>115</v>
      </c>
      <c r="H29" s="1">
        <f ca="1">IFERROR(__xludf.DUMMYFUNCTION("""COMPUTED_VALUE"""),89.5)</f>
        <v>89.5</v>
      </c>
      <c r="I29" s="1">
        <f ca="1">IFERROR(__xludf.DUMMYFUNCTION("""COMPUTED_VALUE"""),6)</f>
        <v>6</v>
      </c>
      <c r="J29" s="1">
        <f ca="1">IFERROR(__xludf.DUMMYFUNCTION("""COMPUTED_VALUE"""),61.9)</f>
        <v>61.9</v>
      </c>
      <c r="K29" s="1">
        <f ca="1">IFERROR(__xludf.DUMMYFUNCTION("""COMPUTED_VALUE"""),302)</f>
        <v>302</v>
      </c>
      <c r="L29" s="1">
        <f ca="1">IFERROR(__xludf.DUMMYFUNCTION("""COMPUTED_VALUE"""),-0.067)</f>
        <v>-6.7000000000000004E-2</v>
      </c>
      <c r="M29" s="1">
        <f ca="1">IFERROR(__xludf.DUMMYFUNCTION("""COMPUTED_VALUE"""),314)</f>
        <v>314</v>
      </c>
      <c r="N29" s="1" t="str">
        <f ca="1">IFERROR(__xludf.DUMMYFUNCTION("""COMPUTED_VALUE"""),"+7.07")</f>
        <v>+7.07</v>
      </c>
      <c r="O29" s="1">
        <f ca="1">IFERROR(__xludf.DUMMYFUNCTION("""COMPUTED_VALUE"""),35)</f>
        <v>35</v>
      </c>
      <c r="P29" s="1">
        <f ca="1">IFERROR(__xludf.DUMMYFUNCTION("""COMPUTED_VALUE"""),107.4)</f>
        <v>107.4</v>
      </c>
      <c r="Q29" s="1">
        <f ca="1">IFERROR(__xludf.DUMMYFUNCTION("""COMPUTED_VALUE"""),18)</f>
        <v>18</v>
      </c>
      <c r="R29" s="1">
        <f ca="1">IFERROR(__xludf.DUMMYFUNCTION("""COMPUTED_VALUE"""),100.3)</f>
        <v>100.3</v>
      </c>
      <c r="S29" s="1">
        <f ca="1">IFERROR(__xludf.DUMMYFUNCTION("""COMPUTED_VALUE"""),57)</f>
        <v>57</v>
      </c>
      <c r="T29" s="1" t="str">
        <f ca="1">IFERROR(__xludf.DUMMYFUNCTION("""COMPUTED_VALUE"""),"+3.98")</f>
        <v>+3.98</v>
      </c>
      <c r="U29" s="1">
        <f ca="1">IFERROR(__xludf.DUMMYFUNCTION("""COMPUTED_VALUE"""),62)</f>
        <v>62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IFERROR(__xludf.DUMMYFUNCTION("""COMPUTED_VALUE"""),"Creighton8")</f>
        <v>Creighton8</v>
      </c>
      <c r="C30" s="1" t="str">
        <f ca="1">IFERROR(__xludf.DUMMYFUNCTION("""COMPUTED_VALUE"""),"MVC")</f>
        <v>MVC</v>
      </c>
      <c r="D30" s="1" t="str">
        <f ca="1">IFERROR(__xludf.DUMMYFUNCTION("""COMPUTED_VALUE"""),"29-6")</f>
        <v>29-6</v>
      </c>
      <c r="E30" s="1" t="str">
        <f ca="1">IFERROR(__xludf.DUMMYFUNCTION("""COMPUTED_VALUE"""),"+16.47")</f>
        <v>+16.47</v>
      </c>
      <c r="F30" s="1">
        <f ca="1">IFERROR(__xludf.DUMMYFUNCTION("""COMPUTED_VALUE"""),119.2)</f>
        <v>119.2</v>
      </c>
      <c r="G30" s="1">
        <f ca="1">IFERROR(__xludf.DUMMYFUNCTION("""COMPUTED_VALUE"""),5)</f>
        <v>5</v>
      </c>
      <c r="H30" s="1">
        <f ca="1">IFERROR(__xludf.DUMMYFUNCTION("""COMPUTED_VALUE"""),102.7)</f>
        <v>102.7</v>
      </c>
      <c r="I30" s="1">
        <f ca="1">IFERROR(__xludf.DUMMYFUNCTION("""COMPUTED_VALUE"""),166)</f>
        <v>166</v>
      </c>
      <c r="J30" s="1">
        <f ca="1">IFERROR(__xludf.DUMMYFUNCTION("""COMPUTED_VALUE"""),65.9)</f>
        <v>65.900000000000006</v>
      </c>
      <c r="K30" s="1">
        <f ca="1">IFERROR(__xludf.DUMMYFUNCTION("""COMPUTED_VALUE"""),125)</f>
        <v>125</v>
      </c>
      <c r="L30" s="1" t="str">
        <f ca="1">IFERROR(__xludf.DUMMYFUNCTION("""COMPUTED_VALUE"""),"+.079")</f>
        <v>+.079</v>
      </c>
      <c r="M30" s="1">
        <f ca="1">IFERROR(__xludf.DUMMYFUNCTION("""COMPUTED_VALUE"""),20)</f>
        <v>20</v>
      </c>
      <c r="N30" s="1" t="str">
        <f ca="1">IFERROR(__xludf.DUMMYFUNCTION("""COMPUTED_VALUE"""),"+3.79")</f>
        <v>+3.79</v>
      </c>
      <c r="O30" s="1">
        <f ca="1">IFERROR(__xludf.DUMMYFUNCTION("""COMPUTED_VALUE"""),84)</f>
        <v>84</v>
      </c>
      <c r="P30" s="1">
        <f ca="1">IFERROR(__xludf.DUMMYFUNCTION("""COMPUTED_VALUE"""),104.9)</f>
        <v>104.9</v>
      </c>
      <c r="Q30" s="1">
        <f ca="1">IFERROR(__xludf.DUMMYFUNCTION("""COMPUTED_VALUE"""),79)</f>
        <v>79</v>
      </c>
      <c r="R30" s="1">
        <f ca="1">IFERROR(__xludf.DUMMYFUNCTION("""COMPUTED_VALUE"""),101.1)</f>
        <v>101.1</v>
      </c>
      <c r="S30" s="1">
        <f ca="1">IFERROR(__xludf.DUMMYFUNCTION("""COMPUTED_VALUE"""),87)</f>
        <v>87</v>
      </c>
      <c r="T30" s="1">
        <f ca="1">IFERROR(__xludf.DUMMYFUNCTION("""COMPUTED_VALUE"""),-0.47)</f>
        <v>-0.47</v>
      </c>
      <c r="U30" s="1">
        <f ca="1">IFERROR(__xludf.DUMMYFUNCTION("""COMPUTED_VALUE"""),173)</f>
        <v>173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IFERROR(__xludf.DUMMYFUNCTION("""COMPUTED_VALUE"""),"California12")</f>
        <v>California12</v>
      </c>
      <c r="C31" s="1" t="str">
        <f ca="1">IFERROR(__xludf.DUMMYFUNCTION("""COMPUTED_VALUE"""),"P12")</f>
        <v>P12</v>
      </c>
      <c r="D31" s="1" t="str">
        <f ca="1">IFERROR(__xludf.DUMMYFUNCTION("""COMPUTED_VALUE"""),"24-10")</f>
        <v>24-10</v>
      </c>
      <c r="E31" s="1" t="str">
        <f ca="1">IFERROR(__xludf.DUMMYFUNCTION("""COMPUTED_VALUE"""),"+16.37")</f>
        <v>+16.37</v>
      </c>
      <c r="F31" s="1">
        <f ca="1">IFERROR(__xludf.DUMMYFUNCTION("""COMPUTED_VALUE"""),111.3)</f>
        <v>111.3</v>
      </c>
      <c r="G31" s="1">
        <f ca="1">IFERROR(__xludf.DUMMYFUNCTION("""COMPUTED_VALUE"""),43)</f>
        <v>43</v>
      </c>
      <c r="H31" s="1">
        <f ca="1">IFERROR(__xludf.DUMMYFUNCTION("""COMPUTED_VALUE"""),94.9)</f>
        <v>94.9</v>
      </c>
      <c r="I31" s="1">
        <f ca="1">IFERROR(__xludf.DUMMYFUNCTION("""COMPUTED_VALUE"""),38)</f>
        <v>38</v>
      </c>
      <c r="J31" s="1">
        <f ca="1">IFERROR(__xludf.DUMMYFUNCTION("""COMPUTED_VALUE"""),65.7)</f>
        <v>65.7</v>
      </c>
      <c r="K31" s="1">
        <f ca="1">IFERROR(__xludf.DUMMYFUNCTION("""COMPUTED_VALUE"""),135)</f>
        <v>135</v>
      </c>
      <c r="L31" s="1">
        <f ca="1">IFERROR(__xludf.DUMMYFUNCTION("""COMPUTED_VALUE"""),-0.007)</f>
        <v>-7.0000000000000001E-3</v>
      </c>
      <c r="M31" s="1">
        <f ca="1">IFERROR(__xludf.DUMMYFUNCTION("""COMPUTED_VALUE"""),192)</f>
        <v>192</v>
      </c>
      <c r="N31" s="1" t="str">
        <f ca="1">IFERROR(__xludf.DUMMYFUNCTION("""COMPUTED_VALUE"""),"+3.61")</f>
        <v>+3.61</v>
      </c>
      <c r="O31" s="1">
        <f ca="1">IFERROR(__xludf.DUMMYFUNCTION("""COMPUTED_VALUE"""),89)</f>
        <v>89</v>
      </c>
      <c r="P31" s="1">
        <f ca="1">IFERROR(__xludf.DUMMYFUNCTION("""COMPUTED_VALUE"""),104.5)</f>
        <v>104.5</v>
      </c>
      <c r="Q31" s="1">
        <f ca="1">IFERROR(__xludf.DUMMYFUNCTION("""COMPUTED_VALUE"""),98)</f>
        <v>98</v>
      </c>
      <c r="R31" s="1">
        <f ca="1">IFERROR(__xludf.DUMMYFUNCTION("""COMPUTED_VALUE"""),100.9)</f>
        <v>100.9</v>
      </c>
      <c r="S31" s="1">
        <f ca="1">IFERROR(__xludf.DUMMYFUNCTION("""COMPUTED_VALUE"""),79)</f>
        <v>79</v>
      </c>
      <c r="T31" s="1">
        <f ca="1">IFERROR(__xludf.DUMMYFUNCTION("""COMPUTED_VALUE"""),-1.83)</f>
        <v>-1.83</v>
      </c>
      <c r="U31" s="1">
        <f ca="1">IFERROR(__xludf.DUMMYFUNCTION("""COMPUTED_VALUE"""),210)</f>
        <v>210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IFERROR(__xludf.DUMMYFUNCTION("""COMPUTED_VALUE"""),"Purdue10")</f>
        <v>Purdue10</v>
      </c>
      <c r="C32" s="1" t="str">
        <f ca="1">IFERROR(__xludf.DUMMYFUNCTION("""COMPUTED_VALUE"""),"B10")</f>
        <v>B10</v>
      </c>
      <c r="D32" s="1" t="str">
        <f ca="1">IFERROR(__xludf.DUMMYFUNCTION("""COMPUTED_VALUE"""),"22-13")</f>
        <v>22-13</v>
      </c>
      <c r="E32" s="1" t="str">
        <f ca="1">IFERROR(__xludf.DUMMYFUNCTION("""COMPUTED_VALUE"""),"+16.25")</f>
        <v>+16.25</v>
      </c>
      <c r="F32" s="1">
        <f ca="1">IFERROR(__xludf.DUMMYFUNCTION("""COMPUTED_VALUE"""),116.2)</f>
        <v>116.2</v>
      </c>
      <c r="G32" s="1">
        <f ca="1">IFERROR(__xludf.DUMMYFUNCTION("""COMPUTED_VALUE"""),10)</f>
        <v>10</v>
      </c>
      <c r="H32" s="1">
        <f ca="1">IFERROR(__xludf.DUMMYFUNCTION("""COMPUTED_VALUE"""),99.9)</f>
        <v>99.9</v>
      </c>
      <c r="I32" s="1">
        <f ca="1">IFERROR(__xludf.DUMMYFUNCTION("""COMPUTED_VALUE"""),114)</f>
        <v>114</v>
      </c>
      <c r="J32" s="1">
        <f ca="1">IFERROR(__xludf.DUMMYFUNCTION("""COMPUTED_VALUE"""),64.3)</f>
        <v>64.3</v>
      </c>
      <c r="K32" s="1">
        <f ca="1">IFERROR(__xludf.DUMMYFUNCTION("""COMPUTED_VALUE"""),204)</f>
        <v>204</v>
      </c>
      <c r="L32" s="1">
        <f ca="1">IFERROR(__xludf.DUMMYFUNCTION("""COMPUTED_VALUE"""),-0.003)</f>
        <v>-3.0000000000000001E-3</v>
      </c>
      <c r="M32" s="1">
        <f ca="1">IFERROR(__xludf.DUMMYFUNCTION("""COMPUTED_VALUE"""),179)</f>
        <v>179</v>
      </c>
      <c r="N32" s="1" t="str">
        <f ca="1">IFERROR(__xludf.DUMMYFUNCTION("""COMPUTED_VALUE"""),"+8.81")</f>
        <v>+8.81</v>
      </c>
      <c r="O32" s="1">
        <f ca="1">IFERROR(__xludf.DUMMYFUNCTION("""COMPUTED_VALUE"""),8)</f>
        <v>8</v>
      </c>
      <c r="P32" s="1">
        <f ca="1">IFERROR(__xludf.DUMMYFUNCTION("""COMPUTED_VALUE"""),108.4)</f>
        <v>108.4</v>
      </c>
      <c r="Q32" s="1">
        <f ca="1">IFERROR(__xludf.DUMMYFUNCTION("""COMPUTED_VALUE"""),9)</f>
        <v>9</v>
      </c>
      <c r="R32" s="1">
        <f ca="1">IFERROR(__xludf.DUMMYFUNCTION("""COMPUTED_VALUE"""),99.6)</f>
        <v>99.6</v>
      </c>
      <c r="S32" s="1">
        <f ca="1">IFERROR(__xludf.DUMMYFUNCTION("""COMPUTED_VALUE"""),32)</f>
        <v>32</v>
      </c>
      <c r="T32" s="1">
        <f ca="1">IFERROR(__xludf.DUMMYFUNCTION("""COMPUTED_VALUE"""),-2.64)</f>
        <v>-2.64</v>
      </c>
      <c r="U32" s="1">
        <f ca="1">IFERROR(__xludf.DUMMYFUNCTION("""COMPUTED_VALUE"""),234)</f>
        <v>234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IFERROR(__xludf.DUMMYFUNCTION("""COMPUTED_VALUE"""),"Cincinnati6")</f>
        <v>Cincinnati6</v>
      </c>
      <c r="C33" s="1" t="str">
        <f ca="1">IFERROR(__xludf.DUMMYFUNCTION("""COMPUTED_VALUE"""),"BE")</f>
        <v>BE</v>
      </c>
      <c r="D33" s="1" t="str">
        <f ca="1">IFERROR(__xludf.DUMMYFUNCTION("""COMPUTED_VALUE"""),"26-11")</f>
        <v>26-11</v>
      </c>
      <c r="E33" s="1" t="str">
        <f ca="1">IFERROR(__xludf.DUMMYFUNCTION("""COMPUTED_VALUE"""),"+16.03")</f>
        <v>+16.03</v>
      </c>
      <c r="F33" s="1">
        <f ca="1">IFERROR(__xludf.DUMMYFUNCTION("""COMPUTED_VALUE"""),109.5)</f>
        <v>109.5</v>
      </c>
      <c r="G33" s="1">
        <f ca="1">IFERROR(__xludf.DUMMYFUNCTION("""COMPUTED_VALUE"""),62)</f>
        <v>62</v>
      </c>
      <c r="H33" s="1">
        <f ca="1">IFERROR(__xludf.DUMMYFUNCTION("""COMPUTED_VALUE"""),93.5)</f>
        <v>93.5</v>
      </c>
      <c r="I33" s="1">
        <f ca="1">IFERROR(__xludf.DUMMYFUNCTION("""COMPUTED_VALUE"""),22)</f>
        <v>22</v>
      </c>
      <c r="J33" s="1">
        <f ca="1">IFERROR(__xludf.DUMMYFUNCTION("""COMPUTED_VALUE"""),62.9)</f>
        <v>62.9</v>
      </c>
      <c r="K33" s="1">
        <f ca="1">IFERROR(__xludf.DUMMYFUNCTION("""COMPUTED_VALUE"""),272)</f>
        <v>272</v>
      </c>
      <c r="L33" s="1" t="str">
        <f ca="1">IFERROR(__xludf.DUMMYFUNCTION("""COMPUTED_VALUE"""),"+.023")</f>
        <v>+.023</v>
      </c>
      <c r="M33" s="1">
        <f ca="1">IFERROR(__xludf.DUMMYFUNCTION("""COMPUTED_VALUE"""),115)</f>
        <v>115</v>
      </c>
      <c r="N33" s="1" t="str">
        <f ca="1">IFERROR(__xludf.DUMMYFUNCTION("""COMPUTED_VALUE"""),"+6.90")</f>
        <v>+6.90</v>
      </c>
      <c r="O33" s="1">
        <f ca="1">IFERROR(__xludf.DUMMYFUNCTION("""COMPUTED_VALUE"""),39)</f>
        <v>39</v>
      </c>
      <c r="P33" s="1">
        <f ca="1">IFERROR(__xludf.DUMMYFUNCTION("""COMPUTED_VALUE"""),105.7)</f>
        <v>105.7</v>
      </c>
      <c r="Q33" s="1">
        <f ca="1">IFERROR(__xludf.DUMMYFUNCTION("""COMPUTED_VALUE"""),61)</f>
        <v>61</v>
      </c>
      <c r="R33" s="1">
        <f ca="1">IFERROR(__xludf.DUMMYFUNCTION("""COMPUTED_VALUE"""),98.8)</f>
        <v>98.8</v>
      </c>
      <c r="S33" s="1">
        <f ca="1">IFERROR(__xludf.DUMMYFUNCTION("""COMPUTED_VALUE"""),10)</f>
        <v>10</v>
      </c>
      <c r="T33" s="1">
        <f ca="1">IFERROR(__xludf.DUMMYFUNCTION("""COMPUTED_VALUE"""),-9.17)</f>
        <v>-9.17</v>
      </c>
      <c r="U33" s="1">
        <f ca="1">IFERROR(__xludf.DUMMYFUNCTION("""COMPUTED_VALUE"""),338)</f>
        <v>338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IFERROR(__xludf.DUMMYFUNCTION("""COMPUTED_VALUE"""),"Texas11")</f>
        <v>Texas11</v>
      </c>
      <c r="C34" s="1" t="str">
        <f ca="1">IFERROR(__xludf.DUMMYFUNCTION("""COMPUTED_VALUE"""),"B12")</f>
        <v>B12</v>
      </c>
      <c r="D34" s="1" t="str">
        <f ca="1">IFERROR(__xludf.DUMMYFUNCTION("""COMPUTED_VALUE"""),"20-14")</f>
        <v>20-14</v>
      </c>
      <c r="E34" s="1" t="str">
        <f ca="1">IFERROR(__xludf.DUMMYFUNCTION("""COMPUTED_VALUE"""),"+15.90")</f>
        <v>+15.90</v>
      </c>
      <c r="F34" s="1">
        <f ca="1">IFERROR(__xludf.DUMMYFUNCTION("""COMPUTED_VALUE"""),112.9)</f>
        <v>112.9</v>
      </c>
      <c r="G34" s="1">
        <f ca="1">IFERROR(__xludf.DUMMYFUNCTION("""COMPUTED_VALUE"""),31)</f>
        <v>31</v>
      </c>
      <c r="H34" s="1">
        <f ca="1">IFERROR(__xludf.DUMMYFUNCTION("""COMPUTED_VALUE"""),97)</f>
        <v>97</v>
      </c>
      <c r="I34" s="1">
        <f ca="1">IFERROR(__xludf.DUMMYFUNCTION("""COMPUTED_VALUE"""),64)</f>
        <v>64</v>
      </c>
      <c r="J34" s="1">
        <f ca="1">IFERROR(__xludf.DUMMYFUNCTION("""COMPUTED_VALUE"""),64.9)</f>
        <v>64.900000000000006</v>
      </c>
      <c r="K34" s="1">
        <f ca="1">IFERROR(__xludf.DUMMYFUNCTION("""COMPUTED_VALUE"""),176)</f>
        <v>176</v>
      </c>
      <c r="L34" s="1">
        <f ca="1">IFERROR(__xludf.DUMMYFUNCTION("""COMPUTED_VALUE"""),-0.065)</f>
        <v>-6.5000000000000002E-2</v>
      </c>
      <c r="M34" s="1">
        <f ca="1">IFERROR(__xludf.DUMMYFUNCTION("""COMPUTED_VALUE"""),311)</f>
        <v>311</v>
      </c>
      <c r="N34" s="1" t="str">
        <f ca="1">IFERROR(__xludf.DUMMYFUNCTION("""COMPUTED_VALUE"""),"+8.45")</f>
        <v>+8.45</v>
      </c>
      <c r="O34" s="1">
        <f ca="1">IFERROR(__xludf.DUMMYFUNCTION("""COMPUTED_VALUE"""),14)</f>
        <v>14</v>
      </c>
      <c r="P34" s="1">
        <f ca="1">IFERROR(__xludf.DUMMYFUNCTION("""COMPUTED_VALUE"""),107.8)</f>
        <v>107.8</v>
      </c>
      <c r="Q34" s="1">
        <f ca="1">IFERROR(__xludf.DUMMYFUNCTION("""COMPUTED_VALUE"""),11)</f>
        <v>11</v>
      </c>
      <c r="R34" s="1">
        <f ca="1">IFERROR(__xludf.DUMMYFUNCTION("""COMPUTED_VALUE"""),99.4)</f>
        <v>99.4</v>
      </c>
      <c r="S34" s="1">
        <f ca="1">IFERROR(__xludf.DUMMYFUNCTION("""COMPUTED_VALUE"""),27)</f>
        <v>27</v>
      </c>
      <c r="T34" s="1">
        <f ca="1">IFERROR(__xludf.DUMMYFUNCTION("""COMPUTED_VALUE"""),-1.52)</f>
        <v>-1.52</v>
      </c>
      <c r="U34" s="1">
        <f ca="1">IFERROR(__xludf.DUMMYFUNCTION("""COMPUTED_VALUE"""),198)</f>
        <v>198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IFERROR(__xludf.DUMMYFUNCTION("""COMPUTED_VALUE"""),"Virginia10")</f>
        <v>Virginia10</v>
      </c>
      <c r="C35" s="1" t="str">
        <f ca="1">IFERROR(__xludf.DUMMYFUNCTION("""COMPUTED_VALUE"""),"ACC")</f>
        <v>ACC</v>
      </c>
      <c r="D35" s="1" t="str">
        <f ca="1">IFERROR(__xludf.DUMMYFUNCTION("""COMPUTED_VALUE"""),"22-10")</f>
        <v>22-10</v>
      </c>
      <c r="E35" s="1" t="str">
        <f ca="1">IFERROR(__xludf.DUMMYFUNCTION("""COMPUTED_VALUE"""),"+15.85")</f>
        <v>+15.85</v>
      </c>
      <c r="F35" s="1">
        <f ca="1">IFERROR(__xludf.DUMMYFUNCTION("""COMPUTED_VALUE"""),105.2)</f>
        <v>105.2</v>
      </c>
      <c r="G35" s="1">
        <f ca="1">IFERROR(__xludf.DUMMYFUNCTION("""COMPUTED_VALUE"""),133)</f>
        <v>133</v>
      </c>
      <c r="H35" s="1">
        <f ca="1">IFERROR(__xludf.DUMMYFUNCTION("""COMPUTED_VALUE"""),89.3)</f>
        <v>89.3</v>
      </c>
      <c r="I35" s="1">
        <f ca="1">IFERROR(__xludf.DUMMYFUNCTION("""COMPUTED_VALUE"""),5)</f>
        <v>5</v>
      </c>
      <c r="J35" s="1">
        <f ca="1">IFERROR(__xludf.DUMMYFUNCTION("""COMPUTED_VALUE"""),59.3)</f>
        <v>59.3</v>
      </c>
      <c r="K35" s="1">
        <f ca="1">IFERROR(__xludf.DUMMYFUNCTION("""COMPUTED_VALUE"""),339)</f>
        <v>339</v>
      </c>
      <c r="L35" s="1">
        <f ca="1">IFERROR(__xludf.DUMMYFUNCTION("""COMPUTED_VALUE"""),-0.024)</f>
        <v>-2.4E-2</v>
      </c>
      <c r="M35" s="1">
        <f ca="1">IFERROR(__xludf.DUMMYFUNCTION("""COMPUTED_VALUE"""),237)</f>
        <v>237</v>
      </c>
      <c r="N35" s="1" t="str">
        <f ca="1">IFERROR(__xludf.DUMMYFUNCTION("""COMPUTED_VALUE"""),"+4.05")</f>
        <v>+4.05</v>
      </c>
      <c r="O35" s="1">
        <f ca="1">IFERROR(__xludf.DUMMYFUNCTION("""COMPUTED_VALUE"""),76)</f>
        <v>76</v>
      </c>
      <c r="P35" s="1">
        <f ca="1">IFERROR(__xludf.DUMMYFUNCTION("""COMPUTED_VALUE"""),105)</f>
        <v>105</v>
      </c>
      <c r="Q35" s="1">
        <f ca="1">IFERROR(__xludf.DUMMYFUNCTION("""COMPUTED_VALUE"""),75)</f>
        <v>75</v>
      </c>
      <c r="R35" s="1">
        <f ca="1">IFERROR(__xludf.DUMMYFUNCTION("""COMPUTED_VALUE"""),101)</f>
        <v>101</v>
      </c>
      <c r="S35" s="1">
        <f ca="1">IFERROR(__xludf.DUMMYFUNCTION("""COMPUTED_VALUE"""),82)</f>
        <v>82</v>
      </c>
      <c r="T35" s="1">
        <f ca="1">IFERROR(__xludf.DUMMYFUNCTION("""COMPUTED_VALUE"""),-5.7)</f>
        <v>-5.7</v>
      </c>
      <c r="U35" s="1">
        <f ca="1">IFERROR(__xludf.DUMMYFUNCTION("""COMPUTED_VALUE"""),308)</f>
        <v>308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IFERROR(__xludf.DUMMYFUNCTION("""COMPUTED_VALUE"""),"Saint Mary's7")</f>
        <v>Saint Mary's7</v>
      </c>
      <c r="C36" s="1" t="str">
        <f ca="1">IFERROR(__xludf.DUMMYFUNCTION("""COMPUTED_VALUE"""),"WCC")</f>
        <v>WCC</v>
      </c>
      <c r="D36" s="1" t="str">
        <f ca="1">IFERROR(__xludf.DUMMYFUNCTION("""COMPUTED_VALUE"""),"27-6")</f>
        <v>27-6</v>
      </c>
      <c r="E36" s="1" t="str">
        <f ca="1">IFERROR(__xludf.DUMMYFUNCTION("""COMPUTED_VALUE"""),"+15.48")</f>
        <v>+15.48</v>
      </c>
      <c r="F36" s="1">
        <f ca="1">IFERROR(__xludf.DUMMYFUNCTION("""COMPUTED_VALUE"""),114.3)</f>
        <v>114.3</v>
      </c>
      <c r="G36" s="1">
        <f ca="1">IFERROR(__xludf.DUMMYFUNCTION("""COMPUTED_VALUE"""),20)</f>
        <v>20</v>
      </c>
      <c r="H36" s="1">
        <f ca="1">IFERROR(__xludf.DUMMYFUNCTION("""COMPUTED_VALUE"""),98.8)</f>
        <v>98.8</v>
      </c>
      <c r="I36" s="1">
        <f ca="1">IFERROR(__xludf.DUMMYFUNCTION("""COMPUTED_VALUE"""),91)</f>
        <v>91</v>
      </c>
      <c r="J36" s="1">
        <f ca="1">IFERROR(__xludf.DUMMYFUNCTION("""COMPUTED_VALUE"""),63.4)</f>
        <v>63.4</v>
      </c>
      <c r="K36" s="1">
        <f ca="1">IFERROR(__xludf.DUMMYFUNCTION("""COMPUTED_VALUE"""),258)</f>
        <v>258</v>
      </c>
      <c r="L36" s="1" t="str">
        <f ca="1">IFERROR(__xludf.DUMMYFUNCTION("""COMPUTED_VALUE"""),"+.036")</f>
        <v>+.036</v>
      </c>
      <c r="M36" s="1">
        <f ca="1">IFERROR(__xludf.DUMMYFUNCTION("""COMPUTED_VALUE"""),78)</f>
        <v>78</v>
      </c>
      <c r="N36" s="1" t="str">
        <f ca="1">IFERROR(__xludf.DUMMYFUNCTION("""COMPUTED_VALUE"""),"+0.17")</f>
        <v>+0.17</v>
      </c>
      <c r="O36" s="1">
        <f ca="1">IFERROR(__xludf.DUMMYFUNCTION("""COMPUTED_VALUE"""),150)</f>
        <v>150</v>
      </c>
      <c r="P36" s="1">
        <f ca="1">IFERROR(__xludf.DUMMYFUNCTION("""COMPUTED_VALUE"""),104.1)</f>
        <v>104.1</v>
      </c>
      <c r="Q36" s="1">
        <f ca="1">IFERROR(__xludf.DUMMYFUNCTION("""COMPUTED_VALUE"""),116)</f>
        <v>116</v>
      </c>
      <c r="R36" s="1">
        <f ca="1">IFERROR(__xludf.DUMMYFUNCTION("""COMPUTED_VALUE"""),103.9)</f>
        <v>103.9</v>
      </c>
      <c r="S36" s="1">
        <f ca="1">IFERROR(__xludf.DUMMYFUNCTION("""COMPUTED_VALUE"""),192)</f>
        <v>192</v>
      </c>
      <c r="T36" s="1">
        <f ca="1">IFERROR(__xludf.DUMMYFUNCTION("""COMPUTED_VALUE"""),-2.17)</f>
        <v>-2.17</v>
      </c>
      <c r="U36" s="1">
        <f ca="1">IFERROR(__xludf.DUMMYFUNCTION("""COMPUTED_VALUE"""),217)</f>
        <v>217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IFERROR(__xludf.DUMMYFUNCTION("""COMPUTED_VALUE"""),"Murray St.6")</f>
        <v>Murray St.6</v>
      </c>
      <c r="C37" s="1" t="str">
        <f ca="1">IFERROR(__xludf.DUMMYFUNCTION("""COMPUTED_VALUE"""),"OVC")</f>
        <v>OVC</v>
      </c>
      <c r="D37" s="1" t="str">
        <f ca="1">IFERROR(__xludf.DUMMYFUNCTION("""COMPUTED_VALUE"""),"31-2")</f>
        <v>31-2</v>
      </c>
      <c r="E37" s="1" t="str">
        <f ca="1">IFERROR(__xludf.DUMMYFUNCTION("""COMPUTED_VALUE"""),"+15.34")</f>
        <v>+15.34</v>
      </c>
      <c r="F37" s="1">
        <f ca="1">IFERROR(__xludf.DUMMYFUNCTION("""COMPUTED_VALUE"""),108.5)</f>
        <v>108.5</v>
      </c>
      <c r="G37" s="1">
        <f ca="1">IFERROR(__xludf.DUMMYFUNCTION("""COMPUTED_VALUE"""),80)</f>
        <v>80</v>
      </c>
      <c r="H37" s="1">
        <f ca="1">IFERROR(__xludf.DUMMYFUNCTION("""COMPUTED_VALUE"""),93.2)</f>
        <v>93.2</v>
      </c>
      <c r="I37" s="1">
        <f ca="1">IFERROR(__xludf.DUMMYFUNCTION("""COMPUTED_VALUE"""),20)</f>
        <v>20</v>
      </c>
      <c r="J37" s="1">
        <f ca="1">IFERROR(__xludf.DUMMYFUNCTION("""COMPUTED_VALUE"""),65)</f>
        <v>65</v>
      </c>
      <c r="K37" s="1">
        <f ca="1">IFERROR(__xludf.DUMMYFUNCTION("""COMPUTED_VALUE"""),172)</f>
        <v>172</v>
      </c>
      <c r="L37" s="1" t="str">
        <f ca="1">IFERROR(__xludf.DUMMYFUNCTION("""COMPUTED_VALUE"""),"+.031")</f>
        <v>+.031</v>
      </c>
      <c r="M37" s="1">
        <f ca="1">IFERROR(__xludf.DUMMYFUNCTION("""COMPUTED_VALUE"""),92)</f>
        <v>92</v>
      </c>
      <c r="N37" s="1">
        <f ca="1">IFERROR(__xludf.DUMMYFUNCTION("""COMPUTED_VALUE"""),-2.34)</f>
        <v>-2.34</v>
      </c>
      <c r="O37" s="1">
        <f ca="1">IFERROR(__xludf.DUMMYFUNCTION("""COMPUTED_VALUE"""),209)</f>
        <v>209</v>
      </c>
      <c r="P37" s="1">
        <f ca="1">IFERROR(__xludf.DUMMYFUNCTION("""COMPUTED_VALUE"""),102.9)</f>
        <v>102.9</v>
      </c>
      <c r="Q37" s="1">
        <f ca="1">IFERROR(__xludf.DUMMYFUNCTION("""COMPUTED_VALUE"""),162)</f>
        <v>162</v>
      </c>
      <c r="R37" s="1">
        <f ca="1">IFERROR(__xludf.DUMMYFUNCTION("""COMPUTED_VALUE"""),105.2)</f>
        <v>105.2</v>
      </c>
      <c r="S37" s="1">
        <f ca="1">IFERROR(__xludf.DUMMYFUNCTION("""COMPUTED_VALUE"""),269)</f>
        <v>269</v>
      </c>
      <c r="T37" s="1" t="str">
        <f ca="1">IFERROR(__xludf.DUMMYFUNCTION("""COMPUTED_VALUE"""),"+3.63")</f>
        <v>+3.63</v>
      </c>
      <c r="U37" s="1">
        <f ca="1">IFERROR(__xludf.DUMMYFUNCTION("""COMPUTED_VALUE"""),69)</f>
        <v>69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IFERROR(__xludf.DUMMYFUNCTION("""COMPUTED_VALUE"""),"Long Beach St.12")</f>
        <v>Long Beach St.12</v>
      </c>
      <c r="C38" s="1" t="str">
        <f ca="1">IFERROR(__xludf.DUMMYFUNCTION("""COMPUTED_VALUE"""),"BW")</f>
        <v>BW</v>
      </c>
      <c r="D38" s="1" t="str">
        <f ca="1">IFERROR(__xludf.DUMMYFUNCTION("""COMPUTED_VALUE"""),"25-9")</f>
        <v>25-9</v>
      </c>
      <c r="E38" s="1" t="str">
        <f ca="1">IFERROR(__xludf.DUMMYFUNCTION("""COMPUTED_VALUE"""),"+15.27")</f>
        <v>+15.27</v>
      </c>
      <c r="F38" s="1">
        <f ca="1">IFERROR(__xludf.DUMMYFUNCTION("""COMPUTED_VALUE"""),111.7)</f>
        <v>111.7</v>
      </c>
      <c r="G38" s="1">
        <f ca="1">IFERROR(__xludf.DUMMYFUNCTION("""COMPUTED_VALUE"""),38)</f>
        <v>38</v>
      </c>
      <c r="H38" s="1">
        <f ca="1">IFERROR(__xludf.DUMMYFUNCTION("""COMPUTED_VALUE"""),96.4)</f>
        <v>96.4</v>
      </c>
      <c r="I38" s="1">
        <f ca="1">IFERROR(__xludf.DUMMYFUNCTION("""COMPUTED_VALUE"""),53)</f>
        <v>53</v>
      </c>
      <c r="J38" s="1">
        <f ca="1">IFERROR(__xludf.DUMMYFUNCTION("""COMPUTED_VALUE"""),66.4)</f>
        <v>66.400000000000006</v>
      </c>
      <c r="K38" s="1">
        <f ca="1">IFERROR(__xludf.DUMMYFUNCTION("""COMPUTED_VALUE"""),109)</f>
        <v>109</v>
      </c>
      <c r="L38" s="1">
        <f ca="1">IFERROR(__xludf.DUMMYFUNCTION("""COMPUTED_VALUE"""),-0.047)</f>
        <v>-4.7E-2</v>
      </c>
      <c r="M38" s="1">
        <f ca="1">IFERROR(__xludf.DUMMYFUNCTION("""COMPUTED_VALUE"""),274)</f>
        <v>274</v>
      </c>
      <c r="N38" s="1" t="str">
        <f ca="1">IFERROR(__xludf.DUMMYFUNCTION("""COMPUTED_VALUE"""),"+1.25")</f>
        <v>+1.25</v>
      </c>
      <c r="O38" s="1">
        <f ca="1">IFERROR(__xludf.DUMMYFUNCTION("""COMPUTED_VALUE"""),127)</f>
        <v>127</v>
      </c>
      <c r="P38" s="1">
        <f ca="1">IFERROR(__xludf.DUMMYFUNCTION("""COMPUTED_VALUE"""),104)</f>
        <v>104</v>
      </c>
      <c r="Q38" s="1">
        <f ca="1">IFERROR(__xludf.DUMMYFUNCTION("""COMPUTED_VALUE"""),118)</f>
        <v>118</v>
      </c>
      <c r="R38" s="1">
        <f ca="1">IFERROR(__xludf.DUMMYFUNCTION("""COMPUTED_VALUE"""),102.8)</f>
        <v>102.8</v>
      </c>
      <c r="S38" s="1">
        <f ca="1">IFERROR(__xludf.DUMMYFUNCTION("""COMPUTED_VALUE"""),156)</f>
        <v>156</v>
      </c>
      <c r="T38" s="1" t="str">
        <f ca="1">IFERROR(__xludf.DUMMYFUNCTION("""COMPUTED_VALUE"""),"+14.84")</f>
        <v>+14.84</v>
      </c>
      <c r="U38" s="1">
        <f ca="1">IFERROR(__xludf.DUMMYFUNCTION("""COMPUTED_VALUE"""),2)</f>
        <v>2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IFERROR(__xludf.DUMMYFUNCTION("""COMPUTED_VALUE"""),"UNLV6")</f>
        <v>UNLV6</v>
      </c>
      <c r="C39" s="1" t="str">
        <f ca="1">IFERROR(__xludf.DUMMYFUNCTION("""COMPUTED_VALUE"""),"MWC")</f>
        <v>MWC</v>
      </c>
      <c r="D39" s="1" t="str">
        <f ca="1">IFERROR(__xludf.DUMMYFUNCTION("""COMPUTED_VALUE"""),"26-9")</f>
        <v>26-9</v>
      </c>
      <c r="E39" s="1" t="str">
        <f ca="1">IFERROR(__xludf.DUMMYFUNCTION("""COMPUTED_VALUE"""),"+14.97")</f>
        <v>+14.97</v>
      </c>
      <c r="F39" s="1">
        <f ca="1">IFERROR(__xludf.DUMMYFUNCTION("""COMPUTED_VALUE"""),109.2)</f>
        <v>109.2</v>
      </c>
      <c r="G39" s="1">
        <f ca="1">IFERROR(__xludf.DUMMYFUNCTION("""COMPUTED_VALUE"""),67)</f>
        <v>67</v>
      </c>
      <c r="H39" s="1">
        <f ca="1">IFERROR(__xludf.DUMMYFUNCTION("""COMPUTED_VALUE"""),94.2)</f>
        <v>94.2</v>
      </c>
      <c r="I39" s="1">
        <f ca="1">IFERROR(__xludf.DUMMYFUNCTION("""COMPUTED_VALUE"""),27)</f>
        <v>27</v>
      </c>
      <c r="J39" s="1">
        <f ca="1">IFERROR(__xludf.DUMMYFUNCTION("""COMPUTED_VALUE"""),68.7)</f>
        <v>68.7</v>
      </c>
      <c r="K39" s="1">
        <f ca="1">IFERROR(__xludf.DUMMYFUNCTION("""COMPUTED_VALUE"""),31)</f>
        <v>31</v>
      </c>
      <c r="L39" s="1" t="str">
        <f ca="1">IFERROR(__xludf.DUMMYFUNCTION("""COMPUTED_VALUE"""),"+.006")</f>
        <v>+.006</v>
      </c>
      <c r="M39" s="1">
        <f ca="1">IFERROR(__xludf.DUMMYFUNCTION("""COMPUTED_VALUE"""),158)</f>
        <v>158</v>
      </c>
      <c r="N39" s="1" t="str">
        <f ca="1">IFERROR(__xludf.DUMMYFUNCTION("""COMPUTED_VALUE"""),"+3.54")</f>
        <v>+3.54</v>
      </c>
      <c r="O39" s="1">
        <f ca="1">IFERROR(__xludf.DUMMYFUNCTION("""COMPUTED_VALUE"""),91)</f>
        <v>91</v>
      </c>
      <c r="P39" s="1">
        <f ca="1">IFERROR(__xludf.DUMMYFUNCTION("""COMPUTED_VALUE"""),104.5)</f>
        <v>104.5</v>
      </c>
      <c r="Q39" s="1">
        <f ca="1">IFERROR(__xludf.DUMMYFUNCTION("""COMPUTED_VALUE"""),100)</f>
        <v>100</v>
      </c>
      <c r="R39" s="1">
        <f ca="1">IFERROR(__xludf.DUMMYFUNCTION("""COMPUTED_VALUE"""),100.9)</f>
        <v>100.9</v>
      </c>
      <c r="S39" s="1">
        <f ca="1">IFERROR(__xludf.DUMMYFUNCTION("""COMPUTED_VALUE"""),80)</f>
        <v>80</v>
      </c>
      <c r="T39" s="1">
        <f ca="1">IFERROR(__xludf.DUMMYFUNCTION("""COMPUTED_VALUE"""),-0.24)</f>
        <v>-0.24</v>
      </c>
      <c r="U39" s="1">
        <f ca="1">IFERROR(__xludf.DUMMYFUNCTION("""COMPUTED_VALUE"""),164)</f>
        <v>164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IFERROR(__xludf.DUMMYFUNCTION("""COMPUTED_VALUE"""),"Connecticut9")</f>
        <v>Connecticut9</v>
      </c>
      <c r="C40" s="1" t="str">
        <f ca="1">IFERROR(__xludf.DUMMYFUNCTION("""COMPUTED_VALUE"""),"BE")</f>
        <v>BE</v>
      </c>
      <c r="D40" s="1" t="str">
        <f ca="1">IFERROR(__xludf.DUMMYFUNCTION("""COMPUTED_VALUE"""),"20-14")</f>
        <v>20-14</v>
      </c>
      <c r="E40" s="1" t="str">
        <f ca="1">IFERROR(__xludf.DUMMYFUNCTION("""COMPUTED_VALUE"""),"+14.53")</f>
        <v>+14.53</v>
      </c>
      <c r="F40" s="1">
        <f ca="1">IFERROR(__xludf.DUMMYFUNCTION("""COMPUTED_VALUE"""),111.3)</f>
        <v>111.3</v>
      </c>
      <c r="G40" s="1">
        <f ca="1">IFERROR(__xludf.DUMMYFUNCTION("""COMPUTED_VALUE"""),42)</f>
        <v>42</v>
      </c>
      <c r="H40" s="1">
        <f ca="1">IFERROR(__xludf.DUMMYFUNCTION("""COMPUTED_VALUE"""),96.8)</f>
        <v>96.8</v>
      </c>
      <c r="I40" s="1">
        <f ca="1">IFERROR(__xludf.DUMMYFUNCTION("""COMPUTED_VALUE"""),57)</f>
        <v>57</v>
      </c>
      <c r="J40" s="1">
        <f ca="1">IFERROR(__xludf.DUMMYFUNCTION("""COMPUTED_VALUE"""),63)</f>
        <v>63</v>
      </c>
      <c r="K40" s="1">
        <f ca="1">IFERROR(__xludf.DUMMYFUNCTION("""COMPUTED_VALUE"""),270)</f>
        <v>270</v>
      </c>
      <c r="L40" s="1">
        <f ca="1">IFERROR(__xludf.DUMMYFUNCTION("""COMPUTED_VALUE"""),-0.032)</f>
        <v>-3.2000000000000001E-2</v>
      </c>
      <c r="M40" s="1">
        <f ca="1">IFERROR(__xludf.DUMMYFUNCTION("""COMPUTED_VALUE"""),255)</f>
        <v>255</v>
      </c>
      <c r="N40" s="1" t="str">
        <f ca="1">IFERROR(__xludf.DUMMYFUNCTION("""COMPUTED_VALUE"""),"+8.25")</f>
        <v>+8.25</v>
      </c>
      <c r="O40" s="1">
        <f ca="1">IFERROR(__xludf.DUMMYFUNCTION("""COMPUTED_VALUE"""),19)</f>
        <v>19</v>
      </c>
      <c r="P40" s="1">
        <f ca="1">IFERROR(__xludf.DUMMYFUNCTION("""COMPUTED_VALUE"""),107.3)</f>
        <v>107.3</v>
      </c>
      <c r="Q40" s="1">
        <f ca="1">IFERROR(__xludf.DUMMYFUNCTION("""COMPUTED_VALUE"""),21)</f>
        <v>21</v>
      </c>
      <c r="R40" s="1">
        <f ca="1">IFERROR(__xludf.DUMMYFUNCTION("""COMPUTED_VALUE"""),99.1)</f>
        <v>99.1</v>
      </c>
      <c r="S40" s="1">
        <f ca="1">IFERROR(__xludf.DUMMYFUNCTION("""COMPUTED_VALUE"""),22)</f>
        <v>22</v>
      </c>
      <c r="T40" s="1">
        <f ca="1">IFERROR(__xludf.DUMMYFUNCTION("""COMPUTED_VALUE"""),-0.46)</f>
        <v>-0.46</v>
      </c>
      <c r="U40" s="1">
        <f ca="1">IFERROR(__xludf.DUMMYFUNCTION("""COMPUTED_VALUE"""),172)</f>
        <v>172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IFERROR(__xludf.DUMMYFUNCTION("""COMPUTED_VALUE"""),"Temple5")</f>
        <v>Temple5</v>
      </c>
      <c r="C41" s="1" t="str">
        <f ca="1">IFERROR(__xludf.DUMMYFUNCTION("""COMPUTED_VALUE"""),"A10")</f>
        <v>A10</v>
      </c>
      <c r="D41" s="1" t="str">
        <f ca="1">IFERROR(__xludf.DUMMYFUNCTION("""COMPUTED_VALUE"""),"24-8")</f>
        <v>24-8</v>
      </c>
      <c r="E41" s="1" t="str">
        <f ca="1">IFERROR(__xludf.DUMMYFUNCTION("""COMPUTED_VALUE"""),"+14.49")</f>
        <v>+14.49</v>
      </c>
      <c r="F41" s="1">
        <f ca="1">IFERROR(__xludf.DUMMYFUNCTION("""COMPUTED_VALUE"""),113.3)</f>
        <v>113.3</v>
      </c>
      <c r="G41" s="1">
        <f ca="1">IFERROR(__xludf.DUMMYFUNCTION("""COMPUTED_VALUE"""),28)</f>
        <v>28</v>
      </c>
      <c r="H41" s="1">
        <f ca="1">IFERROR(__xludf.DUMMYFUNCTION("""COMPUTED_VALUE"""),98.9)</f>
        <v>98.9</v>
      </c>
      <c r="I41" s="1">
        <f ca="1">IFERROR(__xludf.DUMMYFUNCTION("""COMPUTED_VALUE"""),92)</f>
        <v>92</v>
      </c>
      <c r="J41" s="1">
        <f ca="1">IFERROR(__xludf.DUMMYFUNCTION("""COMPUTED_VALUE"""),65.9)</f>
        <v>65.900000000000006</v>
      </c>
      <c r="K41" s="1">
        <f ca="1">IFERROR(__xludf.DUMMYFUNCTION("""COMPUTED_VALUE"""),126)</f>
        <v>126</v>
      </c>
      <c r="L41" s="1" t="str">
        <f ca="1">IFERROR(__xludf.DUMMYFUNCTION("""COMPUTED_VALUE"""),"+.055")</f>
        <v>+.055</v>
      </c>
      <c r="M41" s="1">
        <f ca="1">IFERROR(__xludf.DUMMYFUNCTION("""COMPUTED_VALUE"""),47)</f>
        <v>47</v>
      </c>
      <c r="N41" s="1" t="str">
        <f ca="1">IFERROR(__xludf.DUMMYFUNCTION("""COMPUTED_VALUE"""),"+6.10")</f>
        <v>+6.10</v>
      </c>
      <c r="O41" s="1">
        <f ca="1">IFERROR(__xludf.DUMMYFUNCTION("""COMPUTED_VALUE"""),45)</f>
        <v>45</v>
      </c>
      <c r="P41" s="1">
        <f ca="1">IFERROR(__xludf.DUMMYFUNCTION("""COMPUTED_VALUE"""),106.5)</f>
        <v>106.5</v>
      </c>
      <c r="Q41" s="1">
        <f ca="1">IFERROR(__xludf.DUMMYFUNCTION("""COMPUTED_VALUE"""),40)</f>
        <v>40</v>
      </c>
      <c r="R41" s="1">
        <f ca="1">IFERROR(__xludf.DUMMYFUNCTION("""COMPUTED_VALUE"""),100.4)</f>
        <v>100.4</v>
      </c>
      <c r="S41" s="1">
        <f ca="1">IFERROR(__xludf.DUMMYFUNCTION("""COMPUTED_VALUE"""),59)</f>
        <v>59</v>
      </c>
      <c r="T41" s="1" t="str">
        <f ca="1">IFERROR(__xludf.DUMMYFUNCTION("""COMPUTED_VALUE"""),"+6.20")</f>
        <v>+6.20</v>
      </c>
      <c r="U41" s="1">
        <f ca="1">IFERROR(__xludf.DUMMYFUNCTION("""COMPUTED_VALUE"""),27)</f>
        <v>27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IFERROR(__xludf.DUMMYFUNCTION("""COMPUTED_VALUE"""),"Stanford3")</f>
        <v>Stanford3</v>
      </c>
      <c r="C42" s="1" t="str">
        <f ca="1">IFERROR(__xludf.DUMMYFUNCTION("""COMPUTED_VALUE"""),"P12")</f>
        <v>P12</v>
      </c>
      <c r="D42" s="1" t="str">
        <f ca="1">IFERROR(__xludf.DUMMYFUNCTION("""COMPUTED_VALUE"""),"26-11")</f>
        <v>26-11</v>
      </c>
      <c r="E42" s="1" t="str">
        <f ca="1">IFERROR(__xludf.DUMMYFUNCTION("""COMPUTED_VALUE"""),"+14.36")</f>
        <v>+14.36</v>
      </c>
      <c r="F42" s="1">
        <f ca="1">IFERROR(__xludf.DUMMYFUNCTION("""COMPUTED_VALUE"""),106.7)</f>
        <v>106.7</v>
      </c>
      <c r="G42" s="1">
        <f ca="1">IFERROR(__xludf.DUMMYFUNCTION("""COMPUTED_VALUE"""),100)</f>
        <v>100</v>
      </c>
      <c r="H42" s="1">
        <f ca="1">IFERROR(__xludf.DUMMYFUNCTION("""COMPUTED_VALUE"""),92.4)</f>
        <v>92.4</v>
      </c>
      <c r="I42" s="1">
        <f ca="1">IFERROR(__xludf.DUMMYFUNCTION("""COMPUTED_VALUE"""),19)</f>
        <v>19</v>
      </c>
      <c r="J42" s="1">
        <f ca="1">IFERROR(__xludf.DUMMYFUNCTION("""COMPUTED_VALUE"""),67.2)</f>
        <v>67.2</v>
      </c>
      <c r="K42" s="1">
        <f ca="1">IFERROR(__xludf.DUMMYFUNCTION("""COMPUTED_VALUE"""),74)</f>
        <v>74</v>
      </c>
      <c r="L42" s="1">
        <f ca="1">IFERROR(__xludf.DUMMYFUNCTION("""COMPUTED_VALUE"""),-0.017)</f>
        <v>-1.7000000000000001E-2</v>
      </c>
      <c r="M42" s="1">
        <f ca="1">IFERROR(__xludf.DUMMYFUNCTION("""COMPUTED_VALUE"""),215)</f>
        <v>215</v>
      </c>
      <c r="N42" s="1" t="str">
        <f ca="1">IFERROR(__xludf.DUMMYFUNCTION("""COMPUTED_VALUE"""),"+2.50")</f>
        <v>+2.50</v>
      </c>
      <c r="O42" s="1">
        <f ca="1">IFERROR(__xludf.DUMMYFUNCTION("""COMPUTED_VALUE"""),109)</f>
        <v>109</v>
      </c>
      <c r="P42" s="1">
        <f ca="1">IFERROR(__xludf.DUMMYFUNCTION("""COMPUTED_VALUE"""),104.2)</f>
        <v>104.2</v>
      </c>
      <c r="Q42" s="1">
        <f ca="1">IFERROR(__xludf.DUMMYFUNCTION("""COMPUTED_VALUE"""),110)</f>
        <v>110</v>
      </c>
      <c r="R42" s="1">
        <f ca="1">IFERROR(__xludf.DUMMYFUNCTION("""COMPUTED_VALUE"""),101.7)</f>
        <v>101.7</v>
      </c>
      <c r="S42" s="1">
        <f ca="1">IFERROR(__xludf.DUMMYFUNCTION("""COMPUTED_VALUE"""),117)</f>
        <v>117</v>
      </c>
      <c r="T42" s="1">
        <f ca="1">IFERROR(__xludf.DUMMYFUNCTION("""COMPUTED_VALUE"""),-4.51)</f>
        <v>-4.51</v>
      </c>
      <c r="U42" s="1">
        <f ca="1">IFERROR(__xludf.DUMMYFUNCTION("""COMPUTED_VALUE"""),283)</f>
        <v>283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IFERROR(__xludf.DUMMYFUNCTION("""COMPUTED_VALUE"""),"Harvard12")</f>
        <v>Harvard12</v>
      </c>
      <c r="C45" s="1" t="str">
        <f ca="1">IFERROR(__xludf.DUMMYFUNCTION("""COMPUTED_VALUE"""),"Ivy")</f>
        <v>Ivy</v>
      </c>
      <c r="D45" s="1" t="str">
        <f ca="1">IFERROR(__xludf.DUMMYFUNCTION("""COMPUTED_VALUE"""),"26-5")</f>
        <v>26-5</v>
      </c>
      <c r="E45" s="1" t="str">
        <f ca="1">IFERROR(__xludf.DUMMYFUNCTION("""COMPUTED_VALUE"""),"+14.34")</f>
        <v>+14.34</v>
      </c>
      <c r="F45" s="1">
        <f ca="1">IFERROR(__xludf.DUMMYFUNCTION("""COMPUTED_VALUE"""),108.8)</f>
        <v>108.8</v>
      </c>
      <c r="G45" s="1">
        <f ca="1">IFERROR(__xludf.DUMMYFUNCTION("""COMPUTED_VALUE"""),72)</f>
        <v>72</v>
      </c>
      <c r="H45" s="1">
        <f ca="1">IFERROR(__xludf.DUMMYFUNCTION("""COMPUTED_VALUE"""),94.4)</f>
        <v>94.4</v>
      </c>
      <c r="I45" s="1">
        <f ca="1">IFERROR(__xludf.DUMMYFUNCTION("""COMPUTED_VALUE"""),29)</f>
        <v>29</v>
      </c>
      <c r="J45" s="1">
        <f ca="1">IFERROR(__xludf.DUMMYFUNCTION("""COMPUTED_VALUE"""),60.7)</f>
        <v>60.7</v>
      </c>
      <c r="K45" s="1">
        <f ca="1">IFERROR(__xludf.DUMMYFUNCTION("""COMPUTED_VALUE"""),325)</f>
        <v>325</v>
      </c>
      <c r="L45" s="1" t="str">
        <f ca="1">IFERROR(__xludf.DUMMYFUNCTION("""COMPUTED_VALUE"""),"+.027")</f>
        <v>+.027</v>
      </c>
      <c r="M45" s="1">
        <f ca="1">IFERROR(__xludf.DUMMYFUNCTION("""COMPUTED_VALUE"""),99)</f>
        <v>99</v>
      </c>
      <c r="N45" s="1">
        <f ca="1">IFERROR(__xludf.DUMMYFUNCTION("""COMPUTED_VALUE"""),-0.87)</f>
        <v>-0.87</v>
      </c>
      <c r="O45" s="1">
        <f ca="1">IFERROR(__xludf.DUMMYFUNCTION("""COMPUTED_VALUE"""),175)</f>
        <v>175</v>
      </c>
      <c r="P45" s="1">
        <f ca="1">IFERROR(__xludf.DUMMYFUNCTION("""COMPUTED_VALUE"""),101.4)</f>
        <v>101.4</v>
      </c>
      <c r="Q45" s="1">
        <f ca="1">IFERROR(__xludf.DUMMYFUNCTION("""COMPUTED_VALUE"""),245)</f>
        <v>245</v>
      </c>
      <c r="R45" s="1">
        <f ca="1">IFERROR(__xludf.DUMMYFUNCTION("""COMPUTED_VALUE"""),102.2)</f>
        <v>102.2</v>
      </c>
      <c r="S45" s="1">
        <f ca="1">IFERROR(__xludf.DUMMYFUNCTION("""COMPUTED_VALUE"""),134)</f>
        <v>134</v>
      </c>
      <c r="T45" s="1" t="str">
        <f ca="1">IFERROR(__xludf.DUMMYFUNCTION("""COMPUTED_VALUE"""),"+0.65")</f>
        <v>+0.65</v>
      </c>
      <c r="U45" s="1">
        <f ca="1">IFERROR(__xludf.DUMMYFUNCTION("""COMPUTED_VALUE"""),138)</f>
        <v>138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IFERROR(__xludf.DUMMYFUNCTION("""COMPUTED_VALUE"""),"Notre Dame7")</f>
        <v>Notre Dame7</v>
      </c>
      <c r="C46" s="1" t="str">
        <f ca="1">IFERROR(__xludf.DUMMYFUNCTION("""COMPUTED_VALUE"""),"BE")</f>
        <v>BE</v>
      </c>
      <c r="D46" s="1" t="str">
        <f ca="1">IFERROR(__xludf.DUMMYFUNCTION("""COMPUTED_VALUE"""),"22-12")</f>
        <v>22-12</v>
      </c>
      <c r="E46" s="1" t="str">
        <f ca="1">IFERROR(__xludf.DUMMYFUNCTION("""COMPUTED_VALUE"""),"+14.22")</f>
        <v>+14.22</v>
      </c>
      <c r="F46" s="1">
        <f ca="1">IFERROR(__xludf.DUMMYFUNCTION("""COMPUTED_VALUE"""),110.9)</f>
        <v>110.9</v>
      </c>
      <c r="G46" s="1">
        <f ca="1">IFERROR(__xludf.DUMMYFUNCTION("""COMPUTED_VALUE"""),50)</f>
        <v>50</v>
      </c>
      <c r="H46" s="1">
        <f ca="1">IFERROR(__xludf.DUMMYFUNCTION("""COMPUTED_VALUE"""),96.7)</f>
        <v>96.7</v>
      </c>
      <c r="I46" s="1">
        <f ca="1">IFERROR(__xludf.DUMMYFUNCTION("""COMPUTED_VALUE"""),55)</f>
        <v>55</v>
      </c>
      <c r="J46" s="1">
        <f ca="1">IFERROR(__xludf.DUMMYFUNCTION("""COMPUTED_VALUE"""),60.2)</f>
        <v>60.2</v>
      </c>
      <c r="K46" s="1">
        <f ca="1">IFERROR(__xludf.DUMMYFUNCTION("""COMPUTED_VALUE"""),329)</f>
        <v>329</v>
      </c>
      <c r="L46" s="1" t="str">
        <f ca="1">IFERROR(__xludf.DUMMYFUNCTION("""COMPUTED_VALUE"""),"+.032")</f>
        <v>+.032</v>
      </c>
      <c r="M46" s="1">
        <f ca="1">IFERROR(__xludf.DUMMYFUNCTION("""COMPUTED_VALUE"""),87)</f>
        <v>87</v>
      </c>
      <c r="N46" s="1" t="str">
        <f ca="1">IFERROR(__xludf.DUMMYFUNCTION("""COMPUTED_VALUE"""),"+6.94")</f>
        <v>+6.94</v>
      </c>
      <c r="O46" s="1">
        <f ca="1">IFERROR(__xludf.DUMMYFUNCTION("""COMPUTED_VALUE"""),37)</f>
        <v>37</v>
      </c>
      <c r="P46" s="1">
        <f ca="1">IFERROR(__xludf.DUMMYFUNCTION("""COMPUTED_VALUE"""),106.4)</f>
        <v>106.4</v>
      </c>
      <c r="Q46" s="1">
        <f ca="1">IFERROR(__xludf.DUMMYFUNCTION("""COMPUTED_VALUE"""),42)</f>
        <v>42</v>
      </c>
      <c r="R46" s="1">
        <f ca="1">IFERROR(__xludf.DUMMYFUNCTION("""COMPUTED_VALUE"""),99.4)</f>
        <v>99.4</v>
      </c>
      <c r="S46" s="1">
        <f ca="1">IFERROR(__xludf.DUMMYFUNCTION("""COMPUTED_VALUE"""),28)</f>
        <v>28</v>
      </c>
      <c r="T46" s="1">
        <f ca="1">IFERROR(__xludf.DUMMYFUNCTION("""COMPUTED_VALUE"""),-4.28)</f>
        <v>-4.28</v>
      </c>
      <c r="U46" s="1">
        <f ca="1">IFERROR(__xludf.DUMMYFUNCTION("""COMPUTED_VALUE"""),277)</f>
        <v>277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IFERROR(__xludf.DUMMYFUNCTION("""COMPUTED_VALUE"""),"N.C. State11")</f>
        <v>N.C. State11</v>
      </c>
      <c r="C47" s="1" t="str">
        <f ca="1">IFERROR(__xludf.DUMMYFUNCTION("""COMPUTED_VALUE"""),"ACC")</f>
        <v>ACC</v>
      </c>
      <c r="D47" s="1" t="str">
        <f ca="1">IFERROR(__xludf.DUMMYFUNCTION("""COMPUTED_VALUE"""),"24-13")</f>
        <v>24-13</v>
      </c>
      <c r="E47" s="1" t="str">
        <f ca="1">IFERROR(__xludf.DUMMYFUNCTION("""COMPUTED_VALUE"""),"+14.22")</f>
        <v>+14.22</v>
      </c>
      <c r="F47" s="1">
        <f ca="1">IFERROR(__xludf.DUMMYFUNCTION("""COMPUTED_VALUE"""),112.1)</f>
        <v>112.1</v>
      </c>
      <c r="G47" s="1">
        <f ca="1">IFERROR(__xludf.DUMMYFUNCTION("""COMPUTED_VALUE"""),32)</f>
        <v>32</v>
      </c>
      <c r="H47" s="1">
        <f ca="1">IFERROR(__xludf.DUMMYFUNCTION("""COMPUTED_VALUE"""),97.9)</f>
        <v>97.9</v>
      </c>
      <c r="I47" s="1">
        <f ca="1">IFERROR(__xludf.DUMMYFUNCTION("""COMPUTED_VALUE"""),78)</f>
        <v>78</v>
      </c>
      <c r="J47" s="1">
        <f ca="1">IFERROR(__xludf.DUMMYFUNCTION("""COMPUTED_VALUE"""),67)</f>
        <v>67</v>
      </c>
      <c r="K47" s="1">
        <f ca="1">IFERROR(__xludf.DUMMYFUNCTION("""COMPUTED_VALUE"""),83)</f>
        <v>83</v>
      </c>
      <c r="L47" s="1">
        <f ca="1">IFERROR(__xludf.DUMMYFUNCTION("""COMPUTED_VALUE"""),-0.004)</f>
        <v>-4.0000000000000001E-3</v>
      </c>
      <c r="M47" s="1">
        <f ca="1">IFERROR(__xludf.DUMMYFUNCTION("""COMPUTED_VALUE"""),183)</f>
        <v>183</v>
      </c>
      <c r="N47" s="1" t="str">
        <f ca="1">IFERROR(__xludf.DUMMYFUNCTION("""COMPUTED_VALUE"""),"+6.22")</f>
        <v>+6.22</v>
      </c>
      <c r="O47" s="1">
        <f ca="1">IFERROR(__xludf.DUMMYFUNCTION("""COMPUTED_VALUE"""),43)</f>
        <v>43</v>
      </c>
      <c r="P47" s="1">
        <f ca="1">IFERROR(__xludf.DUMMYFUNCTION("""COMPUTED_VALUE"""),105.9)</f>
        <v>105.9</v>
      </c>
      <c r="Q47" s="1">
        <f ca="1">IFERROR(__xludf.DUMMYFUNCTION("""COMPUTED_VALUE"""),53)</f>
        <v>53</v>
      </c>
      <c r="R47" s="1">
        <f ca="1">IFERROR(__xludf.DUMMYFUNCTION("""COMPUTED_VALUE"""),99.7)</f>
        <v>99.7</v>
      </c>
      <c r="S47" s="1">
        <f ca="1">IFERROR(__xludf.DUMMYFUNCTION("""COMPUTED_VALUE"""),36)</f>
        <v>36</v>
      </c>
      <c r="T47" s="1" t="str">
        <f ca="1">IFERROR(__xludf.DUMMYFUNCTION("""COMPUTED_VALUE"""),"+1.18")</f>
        <v>+1.18</v>
      </c>
      <c r="U47" s="1">
        <f ca="1">IFERROR(__xludf.DUMMYFUNCTION("""COMPUTED_VALUE"""),119)</f>
        <v>119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IFERROR(__xludf.DUMMYFUNCTION("""COMPUTED_VALUE"""),"West Virginia10")</f>
        <v>West Virginia10</v>
      </c>
      <c r="C48" s="1" t="str">
        <f ca="1">IFERROR(__xludf.DUMMYFUNCTION("""COMPUTED_VALUE"""),"BE")</f>
        <v>BE</v>
      </c>
      <c r="D48" s="1" t="str">
        <f ca="1">IFERROR(__xludf.DUMMYFUNCTION("""COMPUTED_VALUE"""),"19-14")</f>
        <v>19-14</v>
      </c>
      <c r="E48" s="1" t="str">
        <f ca="1">IFERROR(__xludf.DUMMYFUNCTION("""COMPUTED_VALUE"""),"+13.56")</f>
        <v>+13.56</v>
      </c>
      <c r="F48" s="1">
        <f ca="1">IFERROR(__xludf.DUMMYFUNCTION("""COMPUTED_VALUE"""),111.4)</f>
        <v>111.4</v>
      </c>
      <c r="G48" s="1">
        <f ca="1">IFERROR(__xludf.DUMMYFUNCTION("""COMPUTED_VALUE"""),41)</f>
        <v>41</v>
      </c>
      <c r="H48" s="1">
        <f ca="1">IFERROR(__xludf.DUMMYFUNCTION("""COMPUTED_VALUE"""),97.9)</f>
        <v>97.9</v>
      </c>
      <c r="I48" s="1">
        <f ca="1">IFERROR(__xludf.DUMMYFUNCTION("""COMPUTED_VALUE"""),77)</f>
        <v>77</v>
      </c>
      <c r="J48" s="1">
        <f ca="1">IFERROR(__xludf.DUMMYFUNCTION("""COMPUTED_VALUE"""),64)</f>
        <v>64</v>
      </c>
      <c r="K48" s="1">
        <f ca="1">IFERROR(__xludf.DUMMYFUNCTION("""COMPUTED_VALUE"""),226)</f>
        <v>226</v>
      </c>
      <c r="L48" s="1">
        <f ca="1">IFERROR(__xludf.DUMMYFUNCTION("""COMPUTED_VALUE"""),-0.019)</f>
        <v>-1.9E-2</v>
      </c>
      <c r="M48" s="1">
        <f ca="1">IFERROR(__xludf.DUMMYFUNCTION("""COMPUTED_VALUE"""),221)</f>
        <v>221</v>
      </c>
      <c r="N48" s="1" t="str">
        <f ca="1">IFERROR(__xludf.DUMMYFUNCTION("""COMPUTED_VALUE"""),"+8.32")</f>
        <v>+8.32</v>
      </c>
      <c r="O48" s="1">
        <f ca="1">IFERROR(__xludf.DUMMYFUNCTION("""COMPUTED_VALUE"""),17)</f>
        <v>17</v>
      </c>
      <c r="P48" s="1">
        <f ca="1">IFERROR(__xludf.DUMMYFUNCTION("""COMPUTED_VALUE"""),107.3)</f>
        <v>107.3</v>
      </c>
      <c r="Q48" s="1">
        <f ca="1">IFERROR(__xludf.DUMMYFUNCTION("""COMPUTED_VALUE"""),24)</f>
        <v>24</v>
      </c>
      <c r="R48" s="1">
        <f ca="1">IFERROR(__xludf.DUMMYFUNCTION("""COMPUTED_VALUE"""),99)</f>
        <v>99</v>
      </c>
      <c r="S48" s="1">
        <f ca="1">IFERROR(__xludf.DUMMYFUNCTION("""COMPUTED_VALUE"""),17)</f>
        <v>17</v>
      </c>
      <c r="T48" s="1" t="str">
        <f ca="1">IFERROR(__xludf.DUMMYFUNCTION("""COMPUTED_VALUE"""),"+2.04")</f>
        <v>+2.04</v>
      </c>
      <c r="U48" s="1">
        <f ca="1">IFERROR(__xludf.DUMMYFUNCTION("""COMPUTED_VALUE"""),96)</f>
        <v>96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IFERROR(__xludf.DUMMYFUNCTION("""COMPUTED_VALUE"""),"Drexel3")</f>
        <v>Drexel3</v>
      </c>
      <c r="C49" s="1" t="str">
        <f ca="1">IFERROR(__xludf.DUMMYFUNCTION("""COMPUTED_VALUE"""),"CAA")</f>
        <v>CAA</v>
      </c>
      <c r="D49" s="1" t="str">
        <f ca="1">IFERROR(__xludf.DUMMYFUNCTION("""COMPUTED_VALUE"""),"29-7")</f>
        <v>29-7</v>
      </c>
      <c r="E49" s="1" t="str">
        <f ca="1">IFERROR(__xludf.DUMMYFUNCTION("""COMPUTED_VALUE"""),"+13.53")</f>
        <v>+13.53</v>
      </c>
      <c r="F49" s="1">
        <f ca="1">IFERROR(__xludf.DUMMYFUNCTION("""COMPUTED_VALUE"""),109.9)</f>
        <v>109.9</v>
      </c>
      <c r="G49" s="1">
        <f ca="1">IFERROR(__xludf.DUMMYFUNCTION("""COMPUTED_VALUE"""),58)</f>
        <v>58</v>
      </c>
      <c r="H49" s="1">
        <f ca="1">IFERROR(__xludf.DUMMYFUNCTION("""COMPUTED_VALUE"""),96.4)</f>
        <v>96.4</v>
      </c>
      <c r="I49" s="1">
        <f ca="1">IFERROR(__xludf.DUMMYFUNCTION("""COMPUTED_VALUE"""),54)</f>
        <v>54</v>
      </c>
      <c r="J49" s="1">
        <f ca="1">IFERROR(__xludf.DUMMYFUNCTION("""COMPUTED_VALUE"""),60.4)</f>
        <v>60.4</v>
      </c>
      <c r="K49" s="1">
        <f ca="1">IFERROR(__xludf.DUMMYFUNCTION("""COMPUTED_VALUE"""),326)</f>
        <v>326</v>
      </c>
      <c r="L49" s="1" t="str">
        <f ca="1">IFERROR(__xludf.DUMMYFUNCTION("""COMPUTED_VALUE"""),"+.024")</f>
        <v>+.024</v>
      </c>
      <c r="M49" s="1">
        <f ca="1">IFERROR(__xludf.DUMMYFUNCTION("""COMPUTED_VALUE"""),112)</f>
        <v>112</v>
      </c>
      <c r="N49" s="1">
        <f ca="1">IFERROR(__xludf.DUMMYFUNCTION("""COMPUTED_VALUE"""),-2.05)</f>
        <v>-2.0499999999999998</v>
      </c>
      <c r="O49" s="1">
        <f ca="1">IFERROR(__xludf.DUMMYFUNCTION("""COMPUTED_VALUE"""),200)</f>
        <v>200</v>
      </c>
      <c r="P49" s="1">
        <f ca="1">IFERROR(__xludf.DUMMYFUNCTION("""COMPUTED_VALUE"""),100.7)</f>
        <v>100.7</v>
      </c>
      <c r="Q49" s="1">
        <f ca="1">IFERROR(__xludf.DUMMYFUNCTION("""COMPUTED_VALUE"""),276)</f>
        <v>276</v>
      </c>
      <c r="R49" s="1">
        <f ca="1">IFERROR(__xludf.DUMMYFUNCTION("""COMPUTED_VALUE"""),102.7)</f>
        <v>102.7</v>
      </c>
      <c r="S49" s="1">
        <f ca="1">IFERROR(__xludf.DUMMYFUNCTION("""COMPUTED_VALUE"""),152)</f>
        <v>152</v>
      </c>
      <c r="T49" s="1">
        <f ca="1">IFERROR(__xludf.DUMMYFUNCTION("""COMPUTED_VALUE"""),-2.31)</f>
        <v>-2.31</v>
      </c>
      <c r="U49" s="1">
        <f ca="1">IFERROR(__xludf.DUMMYFUNCTION("""COMPUTED_VALUE"""),228)</f>
        <v>228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IFERROR(__xludf.DUMMYFUNCTION("""COMPUTED_VALUE"""),"VCU12")</f>
        <v>VCU12</v>
      </c>
      <c r="C50" s="1" t="str">
        <f ca="1">IFERROR(__xludf.DUMMYFUNCTION("""COMPUTED_VALUE"""),"CAA")</f>
        <v>CAA</v>
      </c>
      <c r="D50" s="1" t="str">
        <f ca="1">IFERROR(__xludf.DUMMYFUNCTION("""COMPUTED_VALUE"""),"29-7")</f>
        <v>29-7</v>
      </c>
      <c r="E50" s="1" t="str">
        <f ca="1">IFERROR(__xludf.DUMMYFUNCTION("""COMPUTED_VALUE"""),"+13.45")</f>
        <v>+13.45</v>
      </c>
      <c r="F50" s="1">
        <f ca="1">IFERROR(__xludf.DUMMYFUNCTION("""COMPUTED_VALUE"""),106.9)</f>
        <v>106.9</v>
      </c>
      <c r="G50" s="1">
        <f ca="1">IFERROR(__xludf.DUMMYFUNCTION("""COMPUTED_VALUE"""),96)</f>
        <v>96</v>
      </c>
      <c r="H50" s="1">
        <f ca="1">IFERROR(__xludf.DUMMYFUNCTION("""COMPUTED_VALUE"""),93.5)</f>
        <v>93.5</v>
      </c>
      <c r="I50" s="1">
        <f ca="1">IFERROR(__xludf.DUMMYFUNCTION("""COMPUTED_VALUE"""),23)</f>
        <v>23</v>
      </c>
      <c r="J50" s="1">
        <f ca="1">IFERROR(__xludf.DUMMYFUNCTION("""COMPUTED_VALUE"""),65)</f>
        <v>65</v>
      </c>
      <c r="K50" s="1">
        <f ca="1">IFERROR(__xludf.DUMMYFUNCTION("""COMPUTED_VALUE"""),173)</f>
        <v>173</v>
      </c>
      <c r="L50" s="1" t="str">
        <f ca="1">IFERROR(__xludf.DUMMYFUNCTION("""COMPUTED_VALUE"""),"+.024")</f>
        <v>+.024</v>
      </c>
      <c r="M50" s="1">
        <f ca="1">IFERROR(__xludf.DUMMYFUNCTION("""COMPUTED_VALUE"""),109)</f>
        <v>109</v>
      </c>
      <c r="N50" s="1" t="str">
        <f ca="1">IFERROR(__xludf.DUMMYFUNCTION("""COMPUTED_VALUE"""),"+0.53")</f>
        <v>+0.53</v>
      </c>
      <c r="O50" s="1">
        <f ca="1">IFERROR(__xludf.DUMMYFUNCTION("""COMPUTED_VALUE"""),143)</f>
        <v>143</v>
      </c>
      <c r="P50" s="1">
        <f ca="1">IFERROR(__xludf.DUMMYFUNCTION("""COMPUTED_VALUE"""),101.9)</f>
        <v>101.9</v>
      </c>
      <c r="Q50" s="1">
        <f ca="1">IFERROR(__xludf.DUMMYFUNCTION("""COMPUTED_VALUE"""),213)</f>
        <v>213</v>
      </c>
      <c r="R50" s="1">
        <f ca="1">IFERROR(__xludf.DUMMYFUNCTION("""COMPUTED_VALUE"""),101.4)</f>
        <v>101.4</v>
      </c>
      <c r="S50" s="1">
        <f ca="1">IFERROR(__xludf.DUMMYFUNCTION("""COMPUTED_VALUE"""),105)</f>
        <v>105</v>
      </c>
      <c r="T50" s="1" t="str">
        <f ca="1">IFERROR(__xludf.DUMMYFUNCTION("""COMPUTED_VALUE"""),"+1.90")</f>
        <v>+1.90</v>
      </c>
      <c r="U50" s="1">
        <f ca="1">IFERROR(__xludf.DUMMYFUNCTION("""COMPUTED_VALUE"""),99)</f>
        <v>99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IFERROR(__xludf.DUMMYFUNCTION("""COMPUTED_VALUE"""),"Miami FL2")</f>
        <v>Miami FL2</v>
      </c>
      <c r="C51" s="1" t="str">
        <f ca="1">IFERROR(__xludf.DUMMYFUNCTION("""COMPUTED_VALUE"""),"ACC")</f>
        <v>ACC</v>
      </c>
      <c r="D51" s="1" t="str">
        <f ca="1">IFERROR(__xludf.DUMMYFUNCTION("""COMPUTED_VALUE"""),"20-13")</f>
        <v>20-13</v>
      </c>
      <c r="E51" s="1" t="str">
        <f ca="1">IFERROR(__xludf.DUMMYFUNCTION("""COMPUTED_VALUE"""),"+13.18")</f>
        <v>+13.18</v>
      </c>
      <c r="F51" s="1">
        <f ca="1">IFERROR(__xludf.DUMMYFUNCTION("""COMPUTED_VALUE"""),111)</f>
        <v>111</v>
      </c>
      <c r="G51" s="1">
        <f ca="1">IFERROR(__xludf.DUMMYFUNCTION("""COMPUTED_VALUE"""),47)</f>
        <v>47</v>
      </c>
      <c r="H51" s="1">
        <f ca="1">IFERROR(__xludf.DUMMYFUNCTION("""COMPUTED_VALUE"""),97.9)</f>
        <v>97.9</v>
      </c>
      <c r="I51" s="1">
        <f ca="1">IFERROR(__xludf.DUMMYFUNCTION("""COMPUTED_VALUE"""),76)</f>
        <v>76</v>
      </c>
      <c r="J51" s="1">
        <f ca="1">IFERROR(__xludf.DUMMYFUNCTION("""COMPUTED_VALUE"""),63.6)</f>
        <v>63.6</v>
      </c>
      <c r="K51" s="1">
        <f ca="1">IFERROR(__xludf.DUMMYFUNCTION("""COMPUTED_VALUE"""),249)</f>
        <v>249</v>
      </c>
      <c r="L51" s="1">
        <f ca="1">IFERROR(__xludf.DUMMYFUNCTION("""COMPUTED_VALUE"""),-0.038)</f>
        <v>-3.7999999999999999E-2</v>
      </c>
      <c r="M51" s="1">
        <f ca="1">IFERROR(__xludf.DUMMYFUNCTION("""COMPUTED_VALUE"""),260)</f>
        <v>260</v>
      </c>
      <c r="N51" s="1" t="str">
        <f ca="1">IFERROR(__xludf.DUMMYFUNCTION("""COMPUTED_VALUE"""),"+5.45")</f>
        <v>+5.45</v>
      </c>
      <c r="O51" s="1">
        <f ca="1">IFERROR(__xludf.DUMMYFUNCTION("""COMPUTED_VALUE"""),56)</f>
        <v>56</v>
      </c>
      <c r="P51" s="1">
        <f ca="1">IFERROR(__xludf.DUMMYFUNCTION("""COMPUTED_VALUE"""),105.3)</f>
        <v>105.3</v>
      </c>
      <c r="Q51" s="1">
        <f ca="1">IFERROR(__xludf.DUMMYFUNCTION("""COMPUTED_VALUE"""),69)</f>
        <v>69</v>
      </c>
      <c r="R51" s="1">
        <f ca="1">IFERROR(__xludf.DUMMYFUNCTION("""COMPUTED_VALUE"""),99.9)</f>
        <v>99.9</v>
      </c>
      <c r="S51" s="1">
        <f ca="1">IFERROR(__xludf.DUMMYFUNCTION("""COMPUTED_VALUE"""),43)</f>
        <v>43</v>
      </c>
      <c r="T51" s="1" t="str">
        <f ca="1">IFERROR(__xludf.DUMMYFUNCTION("""COMPUTED_VALUE"""),"+1.06")</f>
        <v>+1.06</v>
      </c>
      <c r="U51" s="1">
        <f ca="1">IFERROR(__xludf.DUMMYFUNCTION("""COMPUTED_VALUE"""),125)</f>
        <v>125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IFERROR(__xludf.DUMMYFUNCTION("""COMPUTED_VALUE"""),"South Florida12")</f>
        <v>South Florida12</v>
      </c>
      <c r="C52" s="1" t="str">
        <f ca="1">IFERROR(__xludf.DUMMYFUNCTION("""COMPUTED_VALUE"""),"BE")</f>
        <v>BE</v>
      </c>
      <c r="D52" s="1" t="str">
        <f ca="1">IFERROR(__xludf.DUMMYFUNCTION("""COMPUTED_VALUE"""),"22-14")</f>
        <v>22-14</v>
      </c>
      <c r="E52" s="1" t="str">
        <f ca="1">IFERROR(__xludf.DUMMYFUNCTION("""COMPUTED_VALUE"""),"+13.13")</f>
        <v>+13.13</v>
      </c>
      <c r="F52" s="1">
        <f ca="1">IFERROR(__xludf.DUMMYFUNCTION("""COMPUTED_VALUE"""),103.9)</f>
        <v>103.9</v>
      </c>
      <c r="G52" s="1">
        <f ca="1">IFERROR(__xludf.DUMMYFUNCTION("""COMPUTED_VALUE"""),151)</f>
        <v>151</v>
      </c>
      <c r="H52" s="1">
        <f ca="1">IFERROR(__xludf.DUMMYFUNCTION("""COMPUTED_VALUE"""),90.8)</f>
        <v>90.8</v>
      </c>
      <c r="I52" s="1">
        <f ca="1">IFERROR(__xludf.DUMMYFUNCTION("""COMPUTED_VALUE"""),13)</f>
        <v>13</v>
      </c>
      <c r="J52" s="1">
        <f ca="1">IFERROR(__xludf.DUMMYFUNCTION("""COMPUTED_VALUE"""),58.5)</f>
        <v>58.5</v>
      </c>
      <c r="K52" s="1">
        <f ca="1">IFERROR(__xludf.DUMMYFUNCTION("""COMPUTED_VALUE"""),343)</f>
        <v>343</v>
      </c>
      <c r="L52" s="1" t="str">
        <f ca="1">IFERROR(__xludf.DUMMYFUNCTION("""COMPUTED_VALUE"""),"+.040")</f>
        <v>+.040</v>
      </c>
      <c r="M52" s="1">
        <f ca="1">IFERROR(__xludf.DUMMYFUNCTION("""COMPUTED_VALUE"""),72)</f>
        <v>72</v>
      </c>
      <c r="N52" s="1" t="str">
        <f ca="1">IFERROR(__xludf.DUMMYFUNCTION("""COMPUTED_VALUE"""),"+8.17")</f>
        <v>+8.17</v>
      </c>
      <c r="O52" s="1">
        <f ca="1">IFERROR(__xludf.DUMMYFUNCTION("""COMPUTED_VALUE"""),23)</f>
        <v>23</v>
      </c>
      <c r="P52" s="1">
        <f ca="1">IFERROR(__xludf.DUMMYFUNCTION("""COMPUTED_VALUE"""),107.2)</f>
        <v>107.2</v>
      </c>
      <c r="Q52" s="1">
        <f ca="1">IFERROR(__xludf.DUMMYFUNCTION("""COMPUTED_VALUE"""),26)</f>
        <v>26</v>
      </c>
      <c r="R52" s="1">
        <f ca="1">IFERROR(__xludf.DUMMYFUNCTION("""COMPUTED_VALUE"""),99)</f>
        <v>99</v>
      </c>
      <c r="S52" s="1">
        <f ca="1">IFERROR(__xludf.DUMMYFUNCTION("""COMPUTED_VALUE"""),20)</f>
        <v>20</v>
      </c>
      <c r="T52" s="1" t="str">
        <f ca="1">IFERROR(__xludf.DUMMYFUNCTION("""COMPUTED_VALUE"""),"+1.27")</f>
        <v>+1.27</v>
      </c>
      <c r="U52" s="1">
        <f ca="1">IFERROR(__xludf.DUMMYFUNCTION("""COMPUTED_VALUE"""),116)</f>
        <v>116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IFERROR(__xludf.DUMMYFUNCTION("""COMPUTED_VALUE"""),"Middle Tennessee4")</f>
        <v>Middle Tennessee4</v>
      </c>
      <c r="C53" s="1" t="str">
        <f ca="1">IFERROR(__xludf.DUMMYFUNCTION("""COMPUTED_VALUE"""),"SB")</f>
        <v>SB</v>
      </c>
      <c r="D53" s="1" t="str">
        <f ca="1">IFERROR(__xludf.DUMMYFUNCTION("""COMPUTED_VALUE"""),"27-7")</f>
        <v>27-7</v>
      </c>
      <c r="E53" s="1" t="str">
        <f ca="1">IFERROR(__xludf.DUMMYFUNCTION("""COMPUTED_VALUE"""),"+12.92")</f>
        <v>+12.92</v>
      </c>
      <c r="F53" s="1">
        <f ca="1">IFERROR(__xludf.DUMMYFUNCTION("""COMPUTED_VALUE"""),108.5)</f>
        <v>108.5</v>
      </c>
      <c r="G53" s="1">
        <f ca="1">IFERROR(__xludf.DUMMYFUNCTION("""COMPUTED_VALUE"""),78)</f>
        <v>78</v>
      </c>
      <c r="H53" s="1">
        <f ca="1">IFERROR(__xludf.DUMMYFUNCTION("""COMPUTED_VALUE"""),95.6)</f>
        <v>95.6</v>
      </c>
      <c r="I53" s="1">
        <f ca="1">IFERROR(__xludf.DUMMYFUNCTION("""COMPUTED_VALUE"""),41)</f>
        <v>41</v>
      </c>
      <c r="J53" s="1">
        <f ca="1">IFERROR(__xludf.DUMMYFUNCTION("""COMPUTED_VALUE"""),65.4)</f>
        <v>65.400000000000006</v>
      </c>
      <c r="K53" s="1">
        <f ca="1">IFERROR(__xludf.DUMMYFUNCTION("""COMPUTED_VALUE"""),147)</f>
        <v>147</v>
      </c>
      <c r="L53" s="1">
        <f ca="1">IFERROR(__xludf.DUMMYFUNCTION("""COMPUTED_VALUE"""),-0.003)</f>
        <v>-3.0000000000000001E-3</v>
      </c>
      <c r="M53" s="1">
        <f ca="1">IFERROR(__xludf.DUMMYFUNCTION("""COMPUTED_VALUE"""),180)</f>
        <v>180</v>
      </c>
      <c r="N53" s="1">
        <f ca="1">IFERROR(__xludf.DUMMYFUNCTION("""COMPUTED_VALUE"""),-0.13)</f>
        <v>-0.13</v>
      </c>
      <c r="O53" s="1">
        <f ca="1">IFERROR(__xludf.DUMMYFUNCTION("""COMPUTED_VALUE"""),158)</f>
        <v>158</v>
      </c>
      <c r="P53" s="1">
        <f ca="1">IFERROR(__xludf.DUMMYFUNCTION("""COMPUTED_VALUE"""),103.1)</f>
        <v>103.1</v>
      </c>
      <c r="Q53" s="1">
        <f ca="1">IFERROR(__xludf.DUMMYFUNCTION("""COMPUTED_VALUE"""),154)</f>
        <v>154</v>
      </c>
      <c r="R53" s="1">
        <f ca="1">IFERROR(__xludf.DUMMYFUNCTION("""COMPUTED_VALUE"""),103.3)</f>
        <v>103.3</v>
      </c>
      <c r="S53" s="1">
        <f ca="1">IFERROR(__xludf.DUMMYFUNCTION("""COMPUTED_VALUE"""),166)</f>
        <v>166</v>
      </c>
      <c r="T53" s="1" t="str">
        <f ca="1">IFERROR(__xludf.DUMMYFUNCTION("""COMPUTED_VALUE"""),"+4.47")</f>
        <v>+4.47</v>
      </c>
      <c r="U53" s="1">
        <f ca="1">IFERROR(__xludf.DUMMYFUNCTION("""COMPUTED_VALUE"""),48)</f>
        <v>48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IFERROR(__xludf.DUMMYFUNCTION("""COMPUTED_VALUE"""),"BYU14")</f>
        <v>BYU14</v>
      </c>
      <c r="C54" s="1" t="str">
        <f ca="1">IFERROR(__xludf.DUMMYFUNCTION("""COMPUTED_VALUE"""),"WCC")</f>
        <v>WCC</v>
      </c>
      <c r="D54" s="1" t="str">
        <f ca="1">IFERROR(__xludf.DUMMYFUNCTION("""COMPUTED_VALUE"""),"26-9")</f>
        <v>26-9</v>
      </c>
      <c r="E54" s="1" t="str">
        <f ca="1">IFERROR(__xludf.DUMMYFUNCTION("""COMPUTED_VALUE"""),"+12.79")</f>
        <v>+12.79</v>
      </c>
      <c r="F54" s="1">
        <f ca="1">IFERROR(__xludf.DUMMYFUNCTION("""COMPUTED_VALUE"""),106.3)</f>
        <v>106.3</v>
      </c>
      <c r="G54" s="1">
        <f ca="1">IFERROR(__xludf.DUMMYFUNCTION("""COMPUTED_VALUE"""),111)</f>
        <v>111</v>
      </c>
      <c r="H54" s="1">
        <f ca="1">IFERROR(__xludf.DUMMYFUNCTION("""COMPUTED_VALUE"""),93.5)</f>
        <v>93.5</v>
      </c>
      <c r="I54" s="1">
        <f ca="1">IFERROR(__xludf.DUMMYFUNCTION("""COMPUTED_VALUE"""),21)</f>
        <v>21</v>
      </c>
      <c r="J54" s="1">
        <f ca="1">IFERROR(__xludf.DUMMYFUNCTION("""COMPUTED_VALUE"""),72.6)</f>
        <v>72.599999999999994</v>
      </c>
      <c r="K54" s="1">
        <f ca="1">IFERROR(__xludf.DUMMYFUNCTION("""COMPUTED_VALUE"""),5)</f>
        <v>5</v>
      </c>
      <c r="L54" s="1" t="str">
        <f ca="1">IFERROR(__xludf.DUMMYFUNCTION("""COMPUTED_VALUE"""),"+.020")</f>
        <v>+.020</v>
      </c>
      <c r="M54" s="1">
        <f ca="1">IFERROR(__xludf.DUMMYFUNCTION("""COMPUTED_VALUE"""),123)</f>
        <v>123</v>
      </c>
      <c r="N54" s="1" t="str">
        <f ca="1">IFERROR(__xludf.DUMMYFUNCTION("""COMPUTED_VALUE"""),"+1.31")</f>
        <v>+1.31</v>
      </c>
      <c r="O54" s="1">
        <f ca="1">IFERROR(__xludf.DUMMYFUNCTION("""COMPUTED_VALUE"""),125)</f>
        <v>125</v>
      </c>
      <c r="P54" s="1">
        <f ca="1">IFERROR(__xludf.DUMMYFUNCTION("""COMPUTED_VALUE"""),105.1)</f>
        <v>105.1</v>
      </c>
      <c r="Q54" s="1">
        <f ca="1">IFERROR(__xludf.DUMMYFUNCTION("""COMPUTED_VALUE"""),72)</f>
        <v>72</v>
      </c>
      <c r="R54" s="1">
        <f ca="1">IFERROR(__xludf.DUMMYFUNCTION("""COMPUTED_VALUE"""),103.8)</f>
        <v>103.8</v>
      </c>
      <c r="S54" s="1">
        <f ca="1">IFERROR(__xludf.DUMMYFUNCTION("""COMPUTED_VALUE"""),188)</f>
        <v>188</v>
      </c>
      <c r="T54" s="1" t="str">
        <f ca="1">IFERROR(__xludf.DUMMYFUNCTION("""COMPUTED_VALUE"""),"+0.38")</f>
        <v>+0.38</v>
      </c>
      <c r="U54" s="1">
        <f ca="1">IFERROR(__xludf.DUMMYFUNCTION("""COMPUTED_VALUE"""),145)</f>
        <v>145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IFERROR(__xludf.DUMMYFUNCTION("""COMPUTED_VALUE"""),"Arizona1")</f>
        <v>Arizona1</v>
      </c>
      <c r="C55" s="1" t="str">
        <f ca="1">IFERROR(__xludf.DUMMYFUNCTION("""COMPUTED_VALUE"""),"P12")</f>
        <v>P12</v>
      </c>
      <c r="D55" s="1" t="str">
        <f ca="1">IFERROR(__xludf.DUMMYFUNCTION("""COMPUTED_VALUE"""),"23-12")</f>
        <v>23-12</v>
      </c>
      <c r="E55" s="1" t="str">
        <f ca="1">IFERROR(__xludf.DUMMYFUNCTION("""COMPUTED_VALUE"""),"+12.77")</f>
        <v>+12.77</v>
      </c>
      <c r="F55" s="1">
        <f ca="1">IFERROR(__xludf.DUMMYFUNCTION("""COMPUTED_VALUE"""),107.6)</f>
        <v>107.6</v>
      </c>
      <c r="G55" s="1">
        <f ca="1">IFERROR(__xludf.DUMMYFUNCTION("""COMPUTED_VALUE"""),87)</f>
        <v>87</v>
      </c>
      <c r="H55" s="1">
        <f ca="1">IFERROR(__xludf.DUMMYFUNCTION("""COMPUTED_VALUE"""),94.9)</f>
        <v>94.9</v>
      </c>
      <c r="I55" s="1">
        <f ca="1">IFERROR(__xludf.DUMMYFUNCTION("""COMPUTED_VALUE"""),37)</f>
        <v>37</v>
      </c>
      <c r="J55" s="1">
        <f ca="1">IFERROR(__xludf.DUMMYFUNCTION("""COMPUTED_VALUE"""),64.3)</f>
        <v>64.3</v>
      </c>
      <c r="K55" s="1">
        <f ca="1">IFERROR(__xludf.DUMMYFUNCTION("""COMPUTED_VALUE"""),205)</f>
        <v>205</v>
      </c>
      <c r="L55" s="1">
        <f ca="1">IFERROR(__xludf.DUMMYFUNCTION("""COMPUTED_VALUE"""),-0.051)</f>
        <v>-5.0999999999999997E-2</v>
      </c>
      <c r="M55" s="1">
        <f ca="1">IFERROR(__xludf.DUMMYFUNCTION("""COMPUTED_VALUE"""),291)</f>
        <v>291</v>
      </c>
      <c r="N55" s="1" t="str">
        <f ca="1">IFERROR(__xludf.DUMMYFUNCTION("""COMPUTED_VALUE"""),"+3.71")</f>
        <v>+3.71</v>
      </c>
      <c r="O55" s="1">
        <f ca="1">IFERROR(__xludf.DUMMYFUNCTION("""COMPUTED_VALUE"""),86)</f>
        <v>86</v>
      </c>
      <c r="P55" s="1">
        <f ca="1">IFERROR(__xludf.DUMMYFUNCTION("""COMPUTED_VALUE"""),105.2)</f>
        <v>105.2</v>
      </c>
      <c r="Q55" s="1">
        <f ca="1">IFERROR(__xludf.DUMMYFUNCTION("""COMPUTED_VALUE"""),71)</f>
        <v>71</v>
      </c>
      <c r="R55" s="1">
        <f ca="1">IFERROR(__xludf.DUMMYFUNCTION("""COMPUTED_VALUE"""),101.5)</f>
        <v>101.5</v>
      </c>
      <c r="S55" s="1">
        <f ca="1">IFERROR(__xludf.DUMMYFUNCTION("""COMPUTED_VALUE"""),107)</f>
        <v>107</v>
      </c>
      <c r="T55" s="1" t="str">
        <f ca="1">IFERROR(__xludf.DUMMYFUNCTION("""COMPUTED_VALUE"""),"+1.30")</f>
        <v>+1.30</v>
      </c>
      <c r="U55" s="1">
        <f ca="1">IFERROR(__xludf.DUMMYFUNCTION("""COMPUTED_VALUE"""),115)</f>
        <v>115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IFERROR(__xludf.DUMMYFUNCTION("""COMPUTED_VALUE"""),"Minnesota6")</f>
        <v>Minnesota6</v>
      </c>
      <c r="C56" s="1" t="str">
        <f ca="1">IFERROR(__xludf.DUMMYFUNCTION("""COMPUTED_VALUE"""),"B10")</f>
        <v>B10</v>
      </c>
      <c r="D56" s="1" t="str">
        <f ca="1">IFERROR(__xludf.DUMMYFUNCTION("""COMPUTED_VALUE"""),"23-15")</f>
        <v>23-15</v>
      </c>
      <c r="E56" s="1" t="str">
        <f ca="1">IFERROR(__xludf.DUMMYFUNCTION("""COMPUTED_VALUE"""),"+12.77")</f>
        <v>+12.77</v>
      </c>
      <c r="F56" s="1">
        <f ca="1">IFERROR(__xludf.DUMMYFUNCTION("""COMPUTED_VALUE"""),108.5)</f>
        <v>108.5</v>
      </c>
      <c r="G56" s="1">
        <f ca="1">IFERROR(__xludf.DUMMYFUNCTION("""COMPUTED_VALUE"""),79)</f>
        <v>79</v>
      </c>
      <c r="H56" s="1">
        <f ca="1">IFERROR(__xludf.DUMMYFUNCTION("""COMPUTED_VALUE"""),95.8)</f>
        <v>95.8</v>
      </c>
      <c r="I56" s="1">
        <f ca="1">IFERROR(__xludf.DUMMYFUNCTION("""COMPUTED_VALUE"""),42)</f>
        <v>42</v>
      </c>
      <c r="J56" s="1">
        <f ca="1">IFERROR(__xludf.DUMMYFUNCTION("""COMPUTED_VALUE"""),63.9)</f>
        <v>63.9</v>
      </c>
      <c r="K56" s="1">
        <f ca="1">IFERROR(__xludf.DUMMYFUNCTION("""COMPUTED_VALUE"""),230)</f>
        <v>230</v>
      </c>
      <c r="L56" s="1" t="str">
        <f ca="1">IFERROR(__xludf.DUMMYFUNCTION("""COMPUTED_VALUE"""),"+.018")</f>
        <v>+.018</v>
      </c>
      <c r="M56" s="1">
        <f ca="1">IFERROR(__xludf.DUMMYFUNCTION("""COMPUTED_VALUE"""),127)</f>
        <v>127</v>
      </c>
      <c r="N56" s="1" t="str">
        <f ca="1">IFERROR(__xludf.DUMMYFUNCTION("""COMPUTED_VALUE"""),"+8.15")</f>
        <v>+8.15</v>
      </c>
      <c r="O56" s="1">
        <f ca="1">IFERROR(__xludf.DUMMYFUNCTION("""COMPUTED_VALUE"""),24)</f>
        <v>24</v>
      </c>
      <c r="P56" s="1">
        <f ca="1">IFERROR(__xludf.DUMMYFUNCTION("""COMPUTED_VALUE"""),107.8)</f>
        <v>107.8</v>
      </c>
      <c r="Q56" s="1">
        <f ca="1">IFERROR(__xludf.DUMMYFUNCTION("""COMPUTED_VALUE"""),12)</f>
        <v>12</v>
      </c>
      <c r="R56" s="1">
        <f ca="1">IFERROR(__xludf.DUMMYFUNCTION("""COMPUTED_VALUE"""),99.6)</f>
        <v>99.6</v>
      </c>
      <c r="S56" s="1">
        <f ca="1">IFERROR(__xludf.DUMMYFUNCTION("""COMPUTED_VALUE"""),35)</f>
        <v>35</v>
      </c>
      <c r="T56" s="1">
        <f ca="1">IFERROR(__xludf.DUMMYFUNCTION("""COMPUTED_VALUE"""),-5.15)</f>
        <v>-5.15</v>
      </c>
      <c r="U56" s="1">
        <f ca="1">IFERROR(__xludf.DUMMYFUNCTION("""COMPUTED_VALUE"""),298)</f>
        <v>298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IFERROR(__xludf.DUMMYFUNCTION("""COMPUTED_VALUE"""),"Xavier10")</f>
        <v>Xavier10</v>
      </c>
      <c r="C57" s="1" t="str">
        <f ca="1">IFERROR(__xludf.DUMMYFUNCTION("""COMPUTED_VALUE"""),"A10")</f>
        <v>A10</v>
      </c>
      <c r="D57" s="1" t="str">
        <f ca="1">IFERROR(__xludf.DUMMYFUNCTION("""COMPUTED_VALUE"""),"23-13")</f>
        <v>23-13</v>
      </c>
      <c r="E57" s="1" t="str">
        <f ca="1">IFERROR(__xludf.DUMMYFUNCTION("""COMPUTED_VALUE"""),"+12.59")</f>
        <v>+12.59</v>
      </c>
      <c r="F57" s="1">
        <f ca="1">IFERROR(__xludf.DUMMYFUNCTION("""COMPUTED_VALUE"""),108.7)</f>
        <v>108.7</v>
      </c>
      <c r="G57" s="1">
        <f ca="1">IFERROR(__xludf.DUMMYFUNCTION("""COMPUTED_VALUE"""),74)</f>
        <v>74</v>
      </c>
      <c r="H57" s="1">
        <f ca="1">IFERROR(__xludf.DUMMYFUNCTION("""COMPUTED_VALUE"""),96.1)</f>
        <v>96.1</v>
      </c>
      <c r="I57" s="1">
        <f ca="1">IFERROR(__xludf.DUMMYFUNCTION("""COMPUTED_VALUE"""),49)</f>
        <v>49</v>
      </c>
      <c r="J57" s="1">
        <f ca="1">IFERROR(__xludf.DUMMYFUNCTION("""COMPUTED_VALUE"""),66.4)</f>
        <v>66.400000000000006</v>
      </c>
      <c r="K57" s="1">
        <f ca="1">IFERROR(__xludf.DUMMYFUNCTION("""COMPUTED_VALUE"""),104)</f>
        <v>104</v>
      </c>
      <c r="L57" s="1" t="str">
        <f ca="1">IFERROR(__xludf.DUMMYFUNCTION("""COMPUTED_VALUE"""),"+.031")</f>
        <v>+.031</v>
      </c>
      <c r="M57" s="1">
        <f ca="1">IFERROR(__xludf.DUMMYFUNCTION("""COMPUTED_VALUE"""),89)</f>
        <v>89</v>
      </c>
      <c r="N57" s="1" t="str">
        <f ca="1">IFERROR(__xludf.DUMMYFUNCTION("""COMPUTED_VALUE"""),"+7.24")</f>
        <v>+7.24</v>
      </c>
      <c r="O57" s="1">
        <f ca="1">IFERROR(__xludf.DUMMYFUNCTION("""COMPUTED_VALUE"""),31)</f>
        <v>31</v>
      </c>
      <c r="P57" s="1">
        <f ca="1">IFERROR(__xludf.DUMMYFUNCTION("""COMPUTED_VALUE"""),107.4)</f>
        <v>107.4</v>
      </c>
      <c r="Q57" s="1">
        <f ca="1">IFERROR(__xludf.DUMMYFUNCTION("""COMPUTED_VALUE"""),20)</f>
        <v>20</v>
      </c>
      <c r="R57" s="1">
        <f ca="1">IFERROR(__xludf.DUMMYFUNCTION("""COMPUTED_VALUE"""),100.1)</f>
        <v>100.1</v>
      </c>
      <c r="S57" s="1">
        <f ca="1">IFERROR(__xludf.DUMMYFUNCTION("""COMPUTED_VALUE"""),48)</f>
        <v>48</v>
      </c>
      <c r="T57" s="1" t="str">
        <f ca="1">IFERROR(__xludf.DUMMYFUNCTION("""COMPUTED_VALUE"""),"+4.56")</f>
        <v>+4.56</v>
      </c>
      <c r="U57" s="1">
        <f ca="1">IFERROR(__xludf.DUMMYFUNCTION("""COMPUTED_VALUE"""),47)</f>
        <v>47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IFERROR(__xludf.DUMMYFUNCTION("""COMPUTED_VALUE"""),"Iona14")</f>
        <v>Iona14</v>
      </c>
      <c r="C58" s="1" t="str">
        <f ca="1">IFERROR(__xludf.DUMMYFUNCTION("""COMPUTED_VALUE"""),"MAAC")</f>
        <v>MAAC</v>
      </c>
      <c r="D58" s="1" t="str">
        <f ca="1">IFERROR(__xludf.DUMMYFUNCTION("""COMPUTED_VALUE"""),"25-8")</f>
        <v>25-8</v>
      </c>
      <c r="E58" s="1" t="str">
        <f ca="1">IFERROR(__xludf.DUMMYFUNCTION("""COMPUTED_VALUE"""),"+12.26")</f>
        <v>+12.26</v>
      </c>
      <c r="F58" s="1">
        <f ca="1">IFERROR(__xludf.DUMMYFUNCTION("""COMPUTED_VALUE"""),115.5)</f>
        <v>115.5</v>
      </c>
      <c r="G58" s="1">
        <f ca="1">IFERROR(__xludf.DUMMYFUNCTION("""COMPUTED_VALUE"""),15)</f>
        <v>15</v>
      </c>
      <c r="H58" s="1">
        <f ca="1">IFERROR(__xludf.DUMMYFUNCTION("""COMPUTED_VALUE"""),103.2)</f>
        <v>103.2</v>
      </c>
      <c r="I58" s="1">
        <f ca="1">IFERROR(__xludf.DUMMYFUNCTION("""COMPUTED_VALUE"""),181)</f>
        <v>181</v>
      </c>
      <c r="J58" s="1">
        <f ca="1">IFERROR(__xludf.DUMMYFUNCTION("""COMPUTED_VALUE"""),70)</f>
        <v>70</v>
      </c>
      <c r="K58" s="1">
        <f ca="1">IFERROR(__xludf.DUMMYFUNCTION("""COMPUTED_VALUE"""),17)</f>
        <v>17</v>
      </c>
      <c r="L58" s="1">
        <f ca="1">IFERROR(__xludf.DUMMYFUNCTION("""COMPUTED_VALUE"""),-0.011)</f>
        <v>-1.0999999999999999E-2</v>
      </c>
      <c r="M58" s="1">
        <f ca="1">IFERROR(__xludf.DUMMYFUNCTION("""COMPUTED_VALUE"""),197)</f>
        <v>197</v>
      </c>
      <c r="N58" s="1">
        <f ca="1">IFERROR(__xludf.DUMMYFUNCTION("""COMPUTED_VALUE"""),-1.04)</f>
        <v>-1.04</v>
      </c>
      <c r="O58" s="1">
        <f ca="1">IFERROR(__xludf.DUMMYFUNCTION("""COMPUTED_VALUE"""),178)</f>
        <v>178</v>
      </c>
      <c r="P58" s="1">
        <f ca="1">IFERROR(__xludf.DUMMYFUNCTION("""COMPUTED_VALUE"""),102.6)</f>
        <v>102.6</v>
      </c>
      <c r="Q58" s="1">
        <f ca="1">IFERROR(__xludf.DUMMYFUNCTION("""COMPUTED_VALUE"""),177)</f>
        <v>177</v>
      </c>
      <c r="R58" s="1">
        <f ca="1">IFERROR(__xludf.DUMMYFUNCTION("""COMPUTED_VALUE"""),103.7)</f>
        <v>103.7</v>
      </c>
      <c r="S58" s="1">
        <f ca="1">IFERROR(__xludf.DUMMYFUNCTION("""COMPUTED_VALUE"""),181)</f>
        <v>181</v>
      </c>
      <c r="T58" s="1" t="str">
        <f ca="1">IFERROR(__xludf.DUMMYFUNCTION("""COMPUTED_VALUE"""),"+4.87")</f>
        <v>+4.87</v>
      </c>
      <c r="U58" s="1">
        <f ca="1">IFERROR(__xludf.DUMMYFUNCTION("""COMPUTED_VALUE"""),42)</f>
        <v>42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IFERROR(__xludf.DUMMYFUNCTION("""COMPUTED_VALUE"""),"Seton Hall1")</f>
        <v>Seton Hall1</v>
      </c>
      <c r="C59" s="1" t="str">
        <f ca="1">IFERROR(__xludf.DUMMYFUNCTION("""COMPUTED_VALUE"""),"BE")</f>
        <v>BE</v>
      </c>
      <c r="D59" s="1" t="str">
        <f ca="1">IFERROR(__xludf.DUMMYFUNCTION("""COMPUTED_VALUE"""),"21-13")</f>
        <v>21-13</v>
      </c>
      <c r="E59" s="1" t="str">
        <f ca="1">IFERROR(__xludf.DUMMYFUNCTION("""COMPUTED_VALUE"""),"+12.19")</f>
        <v>+12.19</v>
      </c>
      <c r="F59" s="1">
        <f ca="1">IFERROR(__xludf.DUMMYFUNCTION("""COMPUTED_VALUE"""),106.7)</f>
        <v>106.7</v>
      </c>
      <c r="G59" s="1">
        <f ca="1">IFERROR(__xludf.DUMMYFUNCTION("""COMPUTED_VALUE"""),99)</f>
        <v>99</v>
      </c>
      <c r="H59" s="1">
        <f ca="1">IFERROR(__xludf.DUMMYFUNCTION("""COMPUTED_VALUE"""),94.6)</f>
        <v>94.6</v>
      </c>
      <c r="I59" s="1">
        <f ca="1">IFERROR(__xludf.DUMMYFUNCTION("""COMPUTED_VALUE"""),31)</f>
        <v>31</v>
      </c>
      <c r="J59" s="1">
        <f ca="1">IFERROR(__xludf.DUMMYFUNCTION("""COMPUTED_VALUE"""),64.8)</f>
        <v>64.8</v>
      </c>
      <c r="K59" s="1">
        <f ca="1">IFERROR(__xludf.DUMMYFUNCTION("""COMPUTED_VALUE"""),186)</f>
        <v>186</v>
      </c>
      <c r="L59" s="1" t="str">
        <f ca="1">IFERROR(__xludf.DUMMYFUNCTION("""COMPUTED_VALUE"""),"+.001")</f>
        <v>+.001</v>
      </c>
      <c r="M59" s="1">
        <f ca="1">IFERROR(__xludf.DUMMYFUNCTION("""COMPUTED_VALUE"""),171)</f>
        <v>171</v>
      </c>
      <c r="N59" s="1" t="str">
        <f ca="1">IFERROR(__xludf.DUMMYFUNCTION("""COMPUTED_VALUE"""),"+5.47")</f>
        <v>+5.47</v>
      </c>
      <c r="O59" s="1">
        <f ca="1">IFERROR(__xludf.DUMMYFUNCTION("""COMPUTED_VALUE"""),55)</f>
        <v>55</v>
      </c>
      <c r="P59" s="1">
        <f ca="1">IFERROR(__xludf.DUMMYFUNCTION("""COMPUTED_VALUE"""),105.9)</f>
        <v>105.9</v>
      </c>
      <c r="Q59" s="1">
        <f ca="1">IFERROR(__xludf.DUMMYFUNCTION("""COMPUTED_VALUE"""),52)</f>
        <v>52</v>
      </c>
      <c r="R59" s="1">
        <f ca="1">IFERROR(__xludf.DUMMYFUNCTION("""COMPUTED_VALUE"""),100.4)</f>
        <v>100.4</v>
      </c>
      <c r="S59" s="1">
        <f ca="1">IFERROR(__xludf.DUMMYFUNCTION("""COMPUTED_VALUE"""),62)</f>
        <v>62</v>
      </c>
      <c r="T59" s="1">
        <f ca="1">IFERROR(__xludf.DUMMYFUNCTION("""COMPUTED_VALUE"""),-3.76)</f>
        <v>-3.76</v>
      </c>
      <c r="U59" s="1">
        <f ca="1">IFERROR(__xludf.DUMMYFUNCTION("""COMPUTED_VALUE"""),258)</f>
        <v>258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IFERROR(__xludf.DUMMYFUNCTION("""COMPUTED_VALUE"""),"Washington1")</f>
        <v>Washington1</v>
      </c>
      <c r="C60" s="1" t="str">
        <f ca="1">IFERROR(__xludf.DUMMYFUNCTION("""COMPUTED_VALUE"""),"P12")</f>
        <v>P12</v>
      </c>
      <c r="D60" s="1" t="str">
        <f ca="1">IFERROR(__xludf.DUMMYFUNCTION("""COMPUTED_VALUE"""),"24-11")</f>
        <v>24-11</v>
      </c>
      <c r="E60" s="1" t="str">
        <f ca="1">IFERROR(__xludf.DUMMYFUNCTION("""COMPUTED_VALUE"""),"+11.97")</f>
        <v>+11.97</v>
      </c>
      <c r="F60" s="1">
        <f ca="1">IFERROR(__xludf.DUMMYFUNCTION("""COMPUTED_VALUE"""),109.5)</f>
        <v>109.5</v>
      </c>
      <c r="G60" s="1">
        <f ca="1">IFERROR(__xludf.DUMMYFUNCTION("""COMPUTED_VALUE"""),61)</f>
        <v>61</v>
      </c>
      <c r="H60" s="1">
        <f ca="1">IFERROR(__xludf.DUMMYFUNCTION("""COMPUTED_VALUE"""),97.5)</f>
        <v>97.5</v>
      </c>
      <c r="I60" s="1">
        <f ca="1">IFERROR(__xludf.DUMMYFUNCTION("""COMPUTED_VALUE"""),71)</f>
        <v>71</v>
      </c>
      <c r="J60" s="1">
        <f ca="1">IFERROR(__xludf.DUMMYFUNCTION("""COMPUTED_VALUE"""),69.1)</f>
        <v>69.099999999999994</v>
      </c>
      <c r="K60" s="1">
        <f ca="1">IFERROR(__xludf.DUMMYFUNCTION("""COMPUTED_VALUE"""),27)</f>
        <v>27</v>
      </c>
      <c r="L60" s="1" t="str">
        <f ca="1">IFERROR(__xludf.DUMMYFUNCTION("""COMPUTED_VALUE"""),"+.025")</f>
        <v>+.025</v>
      </c>
      <c r="M60" s="1">
        <f ca="1">IFERROR(__xludf.DUMMYFUNCTION("""COMPUTED_VALUE"""),107)</f>
        <v>107</v>
      </c>
      <c r="N60" s="1" t="str">
        <f ca="1">IFERROR(__xludf.DUMMYFUNCTION("""COMPUTED_VALUE"""),"+4.11")</f>
        <v>+4.11</v>
      </c>
      <c r="O60" s="1">
        <f ca="1">IFERROR(__xludf.DUMMYFUNCTION("""COMPUTED_VALUE"""),75)</f>
        <v>75</v>
      </c>
      <c r="P60" s="1">
        <f ca="1">IFERROR(__xludf.DUMMYFUNCTION("""COMPUTED_VALUE"""),105.6)</f>
        <v>105.6</v>
      </c>
      <c r="Q60" s="1">
        <f ca="1">IFERROR(__xludf.DUMMYFUNCTION("""COMPUTED_VALUE"""),62)</f>
        <v>62</v>
      </c>
      <c r="R60" s="1">
        <f ca="1">IFERROR(__xludf.DUMMYFUNCTION("""COMPUTED_VALUE"""),101.5)</f>
        <v>101.5</v>
      </c>
      <c r="S60" s="1">
        <f ca="1">IFERROR(__xludf.DUMMYFUNCTION("""COMPUTED_VALUE"""),110)</f>
        <v>110</v>
      </c>
      <c r="T60" s="1">
        <f ca="1">IFERROR(__xludf.DUMMYFUNCTION("""COMPUTED_VALUE"""),-0.07)</f>
        <v>-7.0000000000000007E-2</v>
      </c>
      <c r="U60" s="1">
        <f ca="1">IFERROR(__xludf.DUMMYFUNCTION("""COMPUTED_VALUE"""),159)</f>
        <v>159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IFERROR(__xludf.DUMMYFUNCTION("""COMPUTED_VALUE"""),"Ohio13")</f>
        <v>Ohio13</v>
      </c>
      <c r="C61" s="1" t="str">
        <f ca="1">IFERROR(__xludf.DUMMYFUNCTION("""COMPUTED_VALUE"""),"MAC")</f>
        <v>MAC</v>
      </c>
      <c r="D61" s="1" t="str">
        <f ca="1">IFERROR(__xludf.DUMMYFUNCTION("""COMPUTED_VALUE"""),"29-8")</f>
        <v>29-8</v>
      </c>
      <c r="E61" s="1" t="str">
        <f ca="1">IFERROR(__xludf.DUMMYFUNCTION("""COMPUTED_VALUE"""),"+11.88")</f>
        <v>+11.88</v>
      </c>
      <c r="F61" s="1">
        <f ca="1">IFERROR(__xludf.DUMMYFUNCTION("""COMPUTED_VALUE"""),106.6)</f>
        <v>106.6</v>
      </c>
      <c r="G61" s="1">
        <f ca="1">IFERROR(__xludf.DUMMYFUNCTION("""COMPUTED_VALUE"""),102)</f>
        <v>102</v>
      </c>
      <c r="H61" s="1">
        <f ca="1">IFERROR(__xludf.DUMMYFUNCTION("""COMPUTED_VALUE"""),94.7)</f>
        <v>94.7</v>
      </c>
      <c r="I61" s="1">
        <f ca="1">IFERROR(__xludf.DUMMYFUNCTION("""COMPUTED_VALUE"""),32)</f>
        <v>32</v>
      </c>
      <c r="J61" s="1">
        <f ca="1">IFERROR(__xludf.DUMMYFUNCTION("""COMPUTED_VALUE"""),66)</f>
        <v>66</v>
      </c>
      <c r="K61" s="1">
        <f ca="1">IFERROR(__xludf.DUMMYFUNCTION("""COMPUTED_VALUE"""),121)</f>
        <v>121</v>
      </c>
      <c r="L61" s="1" t="str">
        <f ca="1">IFERROR(__xludf.DUMMYFUNCTION("""COMPUTED_VALUE"""),"+.022")</f>
        <v>+.022</v>
      </c>
      <c r="M61" s="1">
        <f ca="1">IFERROR(__xludf.DUMMYFUNCTION("""COMPUTED_VALUE"""),116)</f>
        <v>116</v>
      </c>
      <c r="N61" s="1" t="str">
        <f ca="1">IFERROR(__xludf.DUMMYFUNCTION("""COMPUTED_VALUE"""),"+0.80")</f>
        <v>+0.80</v>
      </c>
      <c r="O61" s="1">
        <f ca="1">IFERROR(__xludf.DUMMYFUNCTION("""COMPUTED_VALUE"""),139)</f>
        <v>139</v>
      </c>
      <c r="P61" s="1">
        <f ca="1">IFERROR(__xludf.DUMMYFUNCTION("""COMPUTED_VALUE"""),103.6)</f>
        <v>103.6</v>
      </c>
      <c r="Q61" s="1">
        <f ca="1">IFERROR(__xludf.DUMMYFUNCTION("""COMPUTED_VALUE"""),135)</f>
        <v>135</v>
      </c>
      <c r="R61" s="1">
        <f ca="1">IFERROR(__xludf.DUMMYFUNCTION("""COMPUTED_VALUE"""),102.8)</f>
        <v>102.8</v>
      </c>
      <c r="S61" s="1">
        <f ca="1">IFERROR(__xludf.DUMMYFUNCTION("""COMPUTED_VALUE"""),157)</f>
        <v>157</v>
      </c>
      <c r="T61" s="1">
        <f ca="1">IFERROR(__xludf.DUMMYFUNCTION("""COMPUTED_VALUE"""),-2.97)</f>
        <v>-2.97</v>
      </c>
      <c r="U61" s="1">
        <f ca="1">IFERROR(__xludf.DUMMYFUNCTION("""COMPUTED_VALUE"""),242)</f>
        <v>242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IFERROR(__xludf.DUMMYFUNCTION("""COMPUTED_VALUE"""),"UCLA")</f>
        <v>UCLA</v>
      </c>
      <c r="C62" s="1" t="str">
        <f ca="1">IFERROR(__xludf.DUMMYFUNCTION("""COMPUTED_VALUE"""),"P12")</f>
        <v>P12</v>
      </c>
      <c r="D62" s="1" t="str">
        <f ca="1">IFERROR(__xludf.DUMMYFUNCTION("""COMPUTED_VALUE"""),"19-14")</f>
        <v>19-14</v>
      </c>
      <c r="E62" s="1" t="str">
        <f ca="1">IFERROR(__xludf.DUMMYFUNCTION("""COMPUTED_VALUE"""),"+11.85")</f>
        <v>+11.85</v>
      </c>
      <c r="F62" s="1">
        <f ca="1">IFERROR(__xludf.DUMMYFUNCTION("""COMPUTED_VALUE"""),108.8)</f>
        <v>108.8</v>
      </c>
      <c r="G62" s="1">
        <f ca="1">IFERROR(__xludf.DUMMYFUNCTION("""COMPUTED_VALUE"""),73)</f>
        <v>73</v>
      </c>
      <c r="H62" s="1">
        <f ca="1">IFERROR(__xludf.DUMMYFUNCTION("""COMPUTED_VALUE"""),96.9)</f>
        <v>96.9</v>
      </c>
      <c r="I62" s="1">
        <f ca="1">IFERROR(__xludf.DUMMYFUNCTION("""COMPUTED_VALUE"""),62)</f>
        <v>62</v>
      </c>
      <c r="J62" s="1">
        <f ca="1">IFERROR(__xludf.DUMMYFUNCTION("""COMPUTED_VALUE"""),64.7)</f>
        <v>64.7</v>
      </c>
      <c r="K62" s="1">
        <f ca="1">IFERROR(__xludf.DUMMYFUNCTION("""COMPUTED_VALUE"""),191)</f>
        <v>191</v>
      </c>
      <c r="L62" s="1">
        <f ca="1">IFERROR(__xludf.DUMMYFUNCTION("""COMPUTED_VALUE"""),-0.074)</f>
        <v>-7.3999999999999996E-2</v>
      </c>
      <c r="M62" s="1">
        <f ca="1">IFERROR(__xludf.DUMMYFUNCTION("""COMPUTED_VALUE"""),326)</f>
        <v>326</v>
      </c>
      <c r="N62" s="1" t="str">
        <f ca="1">IFERROR(__xludf.DUMMYFUNCTION("""COMPUTED_VALUE"""),"+3.96")</f>
        <v>+3.96</v>
      </c>
      <c r="O62" s="1">
        <f ca="1">IFERROR(__xludf.DUMMYFUNCTION("""COMPUTED_VALUE"""),79)</f>
        <v>79</v>
      </c>
      <c r="P62" s="1">
        <f ca="1">IFERROR(__xludf.DUMMYFUNCTION("""COMPUTED_VALUE"""),104.1)</f>
        <v>104.1</v>
      </c>
      <c r="Q62" s="1">
        <f ca="1">IFERROR(__xludf.DUMMYFUNCTION("""COMPUTED_VALUE"""),114)</f>
        <v>114</v>
      </c>
      <c r="R62" s="1">
        <f ca="1">IFERROR(__xludf.DUMMYFUNCTION("""COMPUTED_VALUE"""),100.2)</f>
        <v>100.2</v>
      </c>
      <c r="S62" s="1">
        <f ca="1">IFERROR(__xludf.DUMMYFUNCTION("""COMPUTED_VALUE"""),49)</f>
        <v>49</v>
      </c>
      <c r="T62" s="1">
        <f ca="1">IFERROR(__xludf.DUMMYFUNCTION("""COMPUTED_VALUE"""),-0.61)</f>
        <v>-0.61</v>
      </c>
      <c r="U62" s="1">
        <f ca="1">IFERROR(__xludf.DUMMYFUNCTION("""COMPUTED_VALUE"""),179)</f>
        <v>179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IFERROR(__xludf.DUMMYFUNCTION("""COMPUTED_VALUE"""),"Oregon3")</f>
        <v>Oregon3</v>
      </c>
      <c r="C63" s="1" t="str">
        <f ca="1">IFERROR(__xludf.DUMMYFUNCTION("""COMPUTED_VALUE"""),"P12")</f>
        <v>P12</v>
      </c>
      <c r="D63" s="1" t="str">
        <f ca="1">IFERROR(__xludf.DUMMYFUNCTION("""COMPUTED_VALUE"""),"24-10")</f>
        <v>24-10</v>
      </c>
      <c r="E63" s="1" t="str">
        <f ca="1">IFERROR(__xludf.DUMMYFUNCTION("""COMPUTED_VALUE"""),"+11.81")</f>
        <v>+11.81</v>
      </c>
      <c r="F63" s="1">
        <f ca="1">IFERROR(__xludf.DUMMYFUNCTION("""COMPUTED_VALUE"""),114.2)</f>
        <v>114.2</v>
      </c>
      <c r="G63" s="1">
        <f ca="1">IFERROR(__xludf.DUMMYFUNCTION("""COMPUTED_VALUE"""),21)</f>
        <v>21</v>
      </c>
      <c r="H63" s="1">
        <f ca="1">IFERROR(__xludf.DUMMYFUNCTION("""COMPUTED_VALUE"""),102.4)</f>
        <v>102.4</v>
      </c>
      <c r="I63" s="1">
        <f ca="1">IFERROR(__xludf.DUMMYFUNCTION("""COMPUTED_VALUE"""),159)</f>
        <v>159</v>
      </c>
      <c r="J63" s="1">
        <f ca="1">IFERROR(__xludf.DUMMYFUNCTION("""COMPUTED_VALUE"""),66.8)</f>
        <v>66.8</v>
      </c>
      <c r="K63" s="1">
        <f ca="1">IFERROR(__xludf.DUMMYFUNCTION("""COMPUTED_VALUE"""),90)</f>
        <v>90</v>
      </c>
      <c r="L63" s="1" t="str">
        <f ca="1">IFERROR(__xludf.DUMMYFUNCTION("""COMPUTED_VALUE"""),"+.039")</f>
        <v>+.039</v>
      </c>
      <c r="M63" s="1">
        <f ca="1">IFERROR(__xludf.DUMMYFUNCTION("""COMPUTED_VALUE"""),74)</f>
        <v>74</v>
      </c>
      <c r="N63" s="1" t="str">
        <f ca="1">IFERROR(__xludf.DUMMYFUNCTION("""COMPUTED_VALUE"""),"+3.43")</f>
        <v>+3.43</v>
      </c>
      <c r="O63" s="1">
        <f ca="1">IFERROR(__xludf.DUMMYFUNCTION("""COMPUTED_VALUE"""),92)</f>
        <v>92</v>
      </c>
      <c r="P63" s="1">
        <f ca="1">IFERROR(__xludf.DUMMYFUNCTION("""COMPUTED_VALUE"""),103.9)</f>
        <v>103.9</v>
      </c>
      <c r="Q63" s="1">
        <f ca="1">IFERROR(__xludf.DUMMYFUNCTION("""COMPUTED_VALUE"""),124)</f>
        <v>124</v>
      </c>
      <c r="R63" s="1">
        <f ca="1">IFERROR(__xludf.DUMMYFUNCTION("""COMPUTED_VALUE"""),100.5)</f>
        <v>100.5</v>
      </c>
      <c r="S63" s="1">
        <f ca="1">IFERROR(__xludf.DUMMYFUNCTION("""COMPUTED_VALUE"""),63)</f>
        <v>63</v>
      </c>
      <c r="T63" s="1">
        <f ca="1">IFERROR(__xludf.DUMMYFUNCTION("""COMPUTED_VALUE"""),-3.09)</f>
        <v>-3.09</v>
      </c>
      <c r="U63" s="1">
        <f ca="1">IFERROR(__xludf.DUMMYFUNCTION("""COMPUTED_VALUE"""),247)</f>
        <v>247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IFERROR(__xludf.DUMMYFUNCTION("""COMPUTED_VALUE"""),"St. Bonaventure14")</f>
        <v>St. Bonaventure14</v>
      </c>
      <c r="C64" s="1" t="str">
        <f ca="1">IFERROR(__xludf.DUMMYFUNCTION("""COMPUTED_VALUE"""),"A10")</f>
        <v>A10</v>
      </c>
      <c r="D64" s="1" t="str">
        <f ca="1">IFERROR(__xludf.DUMMYFUNCTION("""COMPUTED_VALUE"""),"20-12")</f>
        <v>20-12</v>
      </c>
      <c r="E64" s="1" t="str">
        <f ca="1">IFERROR(__xludf.DUMMYFUNCTION("""COMPUTED_VALUE"""),"+11.78")</f>
        <v>+11.78</v>
      </c>
      <c r="F64" s="1">
        <f ca="1">IFERROR(__xludf.DUMMYFUNCTION("""COMPUTED_VALUE"""),110.6)</f>
        <v>110.6</v>
      </c>
      <c r="G64" s="1">
        <f ca="1">IFERROR(__xludf.DUMMYFUNCTION("""COMPUTED_VALUE"""),53)</f>
        <v>53</v>
      </c>
      <c r="H64" s="1">
        <f ca="1">IFERROR(__xludf.DUMMYFUNCTION("""COMPUTED_VALUE"""),98.9)</f>
        <v>98.9</v>
      </c>
      <c r="I64" s="1">
        <f ca="1">IFERROR(__xludf.DUMMYFUNCTION("""COMPUTED_VALUE"""),93)</f>
        <v>93</v>
      </c>
      <c r="J64" s="1">
        <f ca="1">IFERROR(__xludf.DUMMYFUNCTION("""COMPUTED_VALUE"""),63)</f>
        <v>63</v>
      </c>
      <c r="K64" s="1">
        <f ca="1">IFERROR(__xludf.DUMMYFUNCTION("""COMPUTED_VALUE"""),269)</f>
        <v>269</v>
      </c>
      <c r="L64" s="1">
        <f ca="1">IFERROR(__xludf.DUMMYFUNCTION("""COMPUTED_VALUE"""),-0.024)</f>
        <v>-2.4E-2</v>
      </c>
      <c r="M64" s="1">
        <f ca="1">IFERROR(__xludf.DUMMYFUNCTION("""COMPUTED_VALUE"""),235)</f>
        <v>235</v>
      </c>
      <c r="N64" s="1" t="str">
        <f ca="1">IFERROR(__xludf.DUMMYFUNCTION("""COMPUTED_VALUE"""),"+3.83")</f>
        <v>+3.83</v>
      </c>
      <c r="O64" s="1">
        <f ca="1">IFERROR(__xludf.DUMMYFUNCTION("""COMPUTED_VALUE"""),83)</f>
        <v>83</v>
      </c>
      <c r="P64" s="1">
        <f ca="1">IFERROR(__xludf.DUMMYFUNCTION("""COMPUTED_VALUE"""),104.9)</f>
        <v>104.9</v>
      </c>
      <c r="Q64" s="1">
        <f ca="1">IFERROR(__xludf.DUMMYFUNCTION("""COMPUTED_VALUE"""),83)</f>
        <v>83</v>
      </c>
      <c r="R64" s="1">
        <f ca="1">IFERROR(__xludf.DUMMYFUNCTION("""COMPUTED_VALUE"""),101.1)</f>
        <v>101.1</v>
      </c>
      <c r="S64" s="1">
        <f ca="1">IFERROR(__xludf.DUMMYFUNCTION("""COMPUTED_VALUE"""),84)</f>
        <v>84</v>
      </c>
      <c r="T64" s="1" t="str">
        <f ca="1">IFERROR(__xludf.DUMMYFUNCTION("""COMPUTED_VALUE"""),"+0.10")</f>
        <v>+0.10</v>
      </c>
      <c r="U64" s="1">
        <f ca="1">IFERROR(__xludf.DUMMYFUNCTION("""COMPUTED_VALUE"""),150)</f>
        <v>150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IFERROR(__xludf.DUMMYFUNCTION("""COMPUTED_VALUE"""),"South Dakota St.14")</f>
        <v>South Dakota St.14</v>
      </c>
      <c r="C65" s="1" t="str">
        <f ca="1">IFERROR(__xludf.DUMMYFUNCTION("""COMPUTED_VALUE"""),"Sum")</f>
        <v>Sum</v>
      </c>
      <c r="D65" s="1" t="str">
        <f ca="1">IFERROR(__xludf.DUMMYFUNCTION("""COMPUTED_VALUE"""),"27-8")</f>
        <v>27-8</v>
      </c>
      <c r="E65" s="1" t="str">
        <f ca="1">IFERROR(__xludf.DUMMYFUNCTION("""COMPUTED_VALUE"""),"+11.62")</f>
        <v>+11.62</v>
      </c>
      <c r="F65" s="1">
        <f ca="1">IFERROR(__xludf.DUMMYFUNCTION("""COMPUTED_VALUE"""),113.7)</f>
        <v>113.7</v>
      </c>
      <c r="G65" s="1">
        <f ca="1">IFERROR(__xludf.DUMMYFUNCTION("""COMPUTED_VALUE"""),26)</f>
        <v>26</v>
      </c>
      <c r="H65" s="1">
        <f ca="1">IFERROR(__xludf.DUMMYFUNCTION("""COMPUTED_VALUE"""),102.1)</f>
        <v>102.1</v>
      </c>
      <c r="I65" s="1">
        <f ca="1">IFERROR(__xludf.DUMMYFUNCTION("""COMPUTED_VALUE"""),152)</f>
        <v>152</v>
      </c>
      <c r="J65" s="1">
        <f ca="1">IFERROR(__xludf.DUMMYFUNCTION("""COMPUTED_VALUE"""),64.8)</f>
        <v>64.8</v>
      </c>
      <c r="K65" s="1">
        <f ca="1">IFERROR(__xludf.DUMMYFUNCTION("""COMPUTED_VALUE"""),182)</f>
        <v>182</v>
      </c>
      <c r="L65" s="1" t="str">
        <f ca="1">IFERROR(__xludf.DUMMYFUNCTION("""COMPUTED_VALUE"""),"+.030")</f>
        <v>+.030</v>
      </c>
      <c r="M65" s="1">
        <f ca="1">IFERROR(__xludf.DUMMYFUNCTION("""COMPUTED_VALUE"""),93)</f>
        <v>93</v>
      </c>
      <c r="N65" s="1">
        <f ca="1">IFERROR(__xludf.DUMMYFUNCTION("""COMPUTED_VALUE"""),-1.92)</f>
        <v>-1.92</v>
      </c>
      <c r="O65" s="1">
        <f ca="1">IFERROR(__xludf.DUMMYFUNCTION("""COMPUTED_VALUE"""),198)</f>
        <v>198</v>
      </c>
      <c r="P65" s="1">
        <f ca="1">IFERROR(__xludf.DUMMYFUNCTION("""COMPUTED_VALUE"""),103.2)</f>
        <v>103.2</v>
      </c>
      <c r="Q65" s="1">
        <f ca="1">IFERROR(__xludf.DUMMYFUNCTION("""COMPUTED_VALUE"""),152)</f>
        <v>152</v>
      </c>
      <c r="R65" s="1">
        <f ca="1">IFERROR(__xludf.DUMMYFUNCTION("""COMPUTED_VALUE"""),105.1)</f>
        <v>105.1</v>
      </c>
      <c r="S65" s="1">
        <f ca="1">IFERROR(__xludf.DUMMYFUNCTION("""COMPUTED_VALUE"""),259)</f>
        <v>259</v>
      </c>
      <c r="T65" s="1" t="str">
        <f ca="1">IFERROR(__xludf.DUMMYFUNCTION("""COMPUTED_VALUE"""),"+2.04")</f>
        <v>+2.04</v>
      </c>
      <c r="U65" s="1">
        <f ca="1">IFERROR(__xludf.DUMMYFUNCTION("""COMPUTED_VALUE"""),97)</f>
        <v>97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IFERROR(__xludf.DUMMYFUNCTION("""COMPUTED_VALUE"""),"La Salle3")</f>
        <v>La Salle3</v>
      </c>
      <c r="C66" s="1" t="str">
        <f ca="1">IFERROR(__xludf.DUMMYFUNCTION("""COMPUTED_VALUE"""),"A10")</f>
        <v>A10</v>
      </c>
      <c r="D66" s="1" t="str">
        <f ca="1">IFERROR(__xludf.DUMMYFUNCTION("""COMPUTED_VALUE"""),"21-13")</f>
        <v>21-13</v>
      </c>
      <c r="E66" s="1" t="str">
        <f ca="1">IFERROR(__xludf.DUMMYFUNCTION("""COMPUTED_VALUE"""),"+11.50")</f>
        <v>+11.50</v>
      </c>
      <c r="F66" s="1">
        <f ca="1">IFERROR(__xludf.DUMMYFUNCTION("""COMPUTED_VALUE"""),107.3)</f>
        <v>107.3</v>
      </c>
      <c r="G66" s="1">
        <f ca="1">IFERROR(__xludf.DUMMYFUNCTION("""COMPUTED_VALUE"""),92)</f>
        <v>92</v>
      </c>
      <c r="H66" s="1">
        <f ca="1">IFERROR(__xludf.DUMMYFUNCTION("""COMPUTED_VALUE"""),95.8)</f>
        <v>95.8</v>
      </c>
      <c r="I66" s="1">
        <f ca="1">IFERROR(__xludf.DUMMYFUNCTION("""COMPUTED_VALUE"""),43)</f>
        <v>43</v>
      </c>
      <c r="J66" s="1">
        <f ca="1">IFERROR(__xludf.DUMMYFUNCTION("""COMPUTED_VALUE"""),67.7)</f>
        <v>67.7</v>
      </c>
      <c r="K66" s="1">
        <f ca="1">IFERROR(__xludf.DUMMYFUNCTION("""COMPUTED_VALUE"""),54)</f>
        <v>54</v>
      </c>
      <c r="L66" s="1">
        <f ca="1">IFERROR(__xludf.DUMMYFUNCTION("""COMPUTED_VALUE"""),-0.096)</f>
        <v>-9.6000000000000002E-2</v>
      </c>
      <c r="M66" s="1">
        <f ca="1">IFERROR(__xludf.DUMMYFUNCTION("""COMPUTED_VALUE"""),339)</f>
        <v>339</v>
      </c>
      <c r="N66" s="1" t="str">
        <f ca="1">IFERROR(__xludf.DUMMYFUNCTION("""COMPUTED_VALUE"""),"+1.91")</f>
        <v>+1.91</v>
      </c>
      <c r="O66" s="1">
        <f ca="1">IFERROR(__xludf.DUMMYFUNCTION("""COMPUTED_VALUE"""),119)</f>
        <v>119</v>
      </c>
      <c r="P66" s="1">
        <f ca="1">IFERROR(__xludf.DUMMYFUNCTION("""COMPUTED_VALUE"""),104.4)</f>
        <v>104.4</v>
      </c>
      <c r="Q66" s="1">
        <f ca="1">IFERROR(__xludf.DUMMYFUNCTION("""COMPUTED_VALUE"""),102)</f>
        <v>102</v>
      </c>
      <c r="R66" s="1">
        <f ca="1">IFERROR(__xludf.DUMMYFUNCTION("""COMPUTED_VALUE"""),102.5)</f>
        <v>102.5</v>
      </c>
      <c r="S66" s="1">
        <f ca="1">IFERROR(__xludf.DUMMYFUNCTION("""COMPUTED_VALUE"""),145)</f>
        <v>145</v>
      </c>
      <c r="T66" s="1">
        <f ca="1">IFERROR(__xludf.DUMMYFUNCTION("""COMPUTED_VALUE"""),-4.87)</f>
        <v>-4.87</v>
      </c>
      <c r="U66" s="1">
        <f ca="1">IFERROR(__xludf.DUMMYFUNCTION("""COMPUTED_VALUE"""),291)</f>
        <v>291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IFERROR(__xludf.DUMMYFUNCTION("""COMPUTED_VALUE"""),"Tennessee1")</f>
        <v>Tennessee1</v>
      </c>
      <c r="C67" s="1" t="str">
        <f ca="1">IFERROR(__xludf.DUMMYFUNCTION("""COMPUTED_VALUE"""),"SEC")</f>
        <v>SEC</v>
      </c>
      <c r="D67" s="1" t="str">
        <f ca="1">IFERROR(__xludf.DUMMYFUNCTION("""COMPUTED_VALUE"""),"19-15")</f>
        <v>19-15</v>
      </c>
      <c r="E67" s="1" t="str">
        <f ca="1">IFERROR(__xludf.DUMMYFUNCTION("""COMPUTED_VALUE"""),"+11.38")</f>
        <v>+11.38</v>
      </c>
      <c r="F67" s="1">
        <f ca="1">IFERROR(__xludf.DUMMYFUNCTION("""COMPUTED_VALUE"""),106.5)</f>
        <v>106.5</v>
      </c>
      <c r="G67" s="1">
        <f ca="1">IFERROR(__xludf.DUMMYFUNCTION("""COMPUTED_VALUE"""),106)</f>
        <v>106</v>
      </c>
      <c r="H67" s="1">
        <f ca="1">IFERROR(__xludf.DUMMYFUNCTION("""COMPUTED_VALUE"""),95.1)</f>
        <v>95.1</v>
      </c>
      <c r="I67" s="1">
        <f ca="1">IFERROR(__xludf.DUMMYFUNCTION("""COMPUTED_VALUE"""),40)</f>
        <v>40</v>
      </c>
      <c r="J67" s="1">
        <f ca="1">IFERROR(__xludf.DUMMYFUNCTION("""COMPUTED_VALUE"""),64.4)</f>
        <v>64.400000000000006</v>
      </c>
      <c r="K67" s="1">
        <f ca="1">IFERROR(__xludf.DUMMYFUNCTION("""COMPUTED_VALUE"""),201)</f>
        <v>201</v>
      </c>
      <c r="L67" s="1">
        <f ca="1">IFERROR(__xludf.DUMMYFUNCTION("""COMPUTED_VALUE"""),-0.04)</f>
        <v>-0.04</v>
      </c>
      <c r="M67" s="1">
        <f ca="1">IFERROR(__xludf.DUMMYFUNCTION("""COMPUTED_VALUE"""),264)</f>
        <v>264</v>
      </c>
      <c r="N67" s="1" t="str">
        <f ca="1">IFERROR(__xludf.DUMMYFUNCTION("""COMPUTED_VALUE"""),"+6.23")</f>
        <v>+6.23</v>
      </c>
      <c r="O67" s="1">
        <f ca="1">IFERROR(__xludf.DUMMYFUNCTION("""COMPUTED_VALUE"""),42)</f>
        <v>42</v>
      </c>
      <c r="P67" s="1">
        <f ca="1">IFERROR(__xludf.DUMMYFUNCTION("""COMPUTED_VALUE"""),106.9)</f>
        <v>106.9</v>
      </c>
      <c r="Q67" s="1">
        <f ca="1">IFERROR(__xludf.DUMMYFUNCTION("""COMPUTED_VALUE"""),32)</f>
        <v>32</v>
      </c>
      <c r="R67" s="1">
        <f ca="1">IFERROR(__xludf.DUMMYFUNCTION("""COMPUTED_VALUE"""),100.7)</f>
        <v>100.7</v>
      </c>
      <c r="S67" s="1">
        <f ca="1">IFERROR(__xludf.DUMMYFUNCTION("""COMPUTED_VALUE"""),71)</f>
        <v>71</v>
      </c>
      <c r="T67" s="1">
        <f ca="1">IFERROR(__xludf.DUMMYFUNCTION("""COMPUTED_VALUE"""),-0.31)</f>
        <v>-0.31</v>
      </c>
      <c r="U67" s="1">
        <f ca="1">IFERROR(__xludf.DUMMYFUNCTION("""COMPUTED_VALUE"""),167)</f>
        <v>167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IFERROR(__xludf.DUMMYFUNCTION("""COMPUTED_VALUE"""),"Pittsburgh")</f>
        <v>Pittsburgh</v>
      </c>
      <c r="C68" s="1" t="str">
        <f ca="1">IFERROR(__xludf.DUMMYFUNCTION("""COMPUTED_VALUE"""),"BE")</f>
        <v>BE</v>
      </c>
      <c r="D68" s="1" t="str">
        <f ca="1">IFERROR(__xludf.DUMMYFUNCTION("""COMPUTED_VALUE"""),"22-17")</f>
        <v>22-17</v>
      </c>
      <c r="E68" s="1" t="str">
        <f ca="1">IFERROR(__xludf.DUMMYFUNCTION("""COMPUTED_VALUE"""),"+11.34")</f>
        <v>+11.34</v>
      </c>
      <c r="F68" s="1">
        <f ca="1">IFERROR(__xludf.DUMMYFUNCTION("""COMPUTED_VALUE"""),113.4)</f>
        <v>113.4</v>
      </c>
      <c r="G68" s="1">
        <f ca="1">IFERROR(__xludf.DUMMYFUNCTION("""COMPUTED_VALUE"""),27)</f>
        <v>27</v>
      </c>
      <c r="H68" s="1">
        <f ca="1">IFERROR(__xludf.DUMMYFUNCTION("""COMPUTED_VALUE"""),102)</f>
        <v>102</v>
      </c>
      <c r="I68" s="1">
        <f ca="1">IFERROR(__xludf.DUMMYFUNCTION("""COMPUTED_VALUE"""),151)</f>
        <v>151</v>
      </c>
      <c r="J68" s="1">
        <f ca="1">IFERROR(__xludf.DUMMYFUNCTION("""COMPUTED_VALUE"""),62.3)</f>
        <v>62.3</v>
      </c>
      <c r="K68" s="1">
        <f ca="1">IFERROR(__xludf.DUMMYFUNCTION("""COMPUTED_VALUE"""),292)</f>
        <v>292</v>
      </c>
      <c r="L68" s="1">
        <f ca="1">IFERROR(__xludf.DUMMYFUNCTION("""COMPUTED_VALUE"""),-0.036)</f>
        <v>-3.5999999999999997E-2</v>
      </c>
      <c r="M68" s="1">
        <f ca="1">IFERROR(__xludf.DUMMYFUNCTION("""COMPUTED_VALUE"""),256)</f>
        <v>256</v>
      </c>
      <c r="N68" s="1" t="str">
        <f ca="1">IFERROR(__xludf.DUMMYFUNCTION("""COMPUTED_VALUE"""),"+6.05")</f>
        <v>+6.05</v>
      </c>
      <c r="O68" s="1">
        <f ca="1">IFERROR(__xludf.DUMMYFUNCTION("""COMPUTED_VALUE"""),47)</f>
        <v>47</v>
      </c>
      <c r="P68" s="1">
        <f ca="1">IFERROR(__xludf.DUMMYFUNCTION("""COMPUTED_VALUE"""),106.1)</f>
        <v>106.1</v>
      </c>
      <c r="Q68" s="1">
        <f ca="1">IFERROR(__xludf.DUMMYFUNCTION("""COMPUTED_VALUE"""),45)</f>
        <v>45</v>
      </c>
      <c r="R68" s="1">
        <f ca="1">IFERROR(__xludf.DUMMYFUNCTION("""COMPUTED_VALUE"""),100.1)</f>
        <v>100.1</v>
      </c>
      <c r="S68" s="1">
        <f ca="1">IFERROR(__xludf.DUMMYFUNCTION("""COMPUTED_VALUE"""),46)</f>
        <v>46</v>
      </c>
      <c r="T68" s="1">
        <f ca="1">IFERROR(__xludf.DUMMYFUNCTION("""COMPUTED_VALUE"""),-2.78)</f>
        <v>-2.78</v>
      </c>
      <c r="U68" s="1">
        <f ca="1">IFERROR(__xludf.DUMMYFUNCTION("""COMPUTED_VALUE"""),240)</f>
        <v>240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IFERROR(__xludf.DUMMYFUNCTION("""COMPUTED_VALUE"""),"New Mexico St.13")</f>
        <v>New Mexico St.13</v>
      </c>
      <c r="C69" s="1" t="str">
        <f ca="1">IFERROR(__xludf.DUMMYFUNCTION("""COMPUTED_VALUE"""),"WAC")</f>
        <v>WAC</v>
      </c>
      <c r="D69" s="1" t="str">
        <f ca="1">IFERROR(__xludf.DUMMYFUNCTION("""COMPUTED_VALUE"""),"26-10")</f>
        <v>26-10</v>
      </c>
      <c r="E69" s="1" t="str">
        <f ca="1">IFERROR(__xludf.DUMMYFUNCTION("""COMPUTED_VALUE"""),"+11.22")</f>
        <v>+11.22</v>
      </c>
      <c r="F69" s="1">
        <f ca="1">IFERROR(__xludf.DUMMYFUNCTION("""COMPUTED_VALUE"""),109.3)</f>
        <v>109.3</v>
      </c>
      <c r="G69" s="1">
        <f ca="1">IFERROR(__xludf.DUMMYFUNCTION("""COMPUTED_VALUE"""),65)</f>
        <v>65</v>
      </c>
      <c r="H69" s="1">
        <f ca="1">IFERROR(__xludf.DUMMYFUNCTION("""COMPUTED_VALUE"""),98.1)</f>
        <v>98.1</v>
      </c>
      <c r="I69" s="1">
        <f ca="1">IFERROR(__xludf.DUMMYFUNCTION("""COMPUTED_VALUE"""),81)</f>
        <v>81</v>
      </c>
      <c r="J69" s="1">
        <f ca="1">IFERROR(__xludf.DUMMYFUNCTION("""COMPUTED_VALUE"""),69.4)</f>
        <v>69.400000000000006</v>
      </c>
      <c r="K69" s="1">
        <f ca="1">IFERROR(__xludf.DUMMYFUNCTION("""COMPUTED_VALUE"""),23)</f>
        <v>23</v>
      </c>
      <c r="L69" s="1">
        <f ca="1">IFERROR(__xludf.DUMMYFUNCTION("""COMPUTED_VALUE"""),-0.041)</f>
        <v>-4.1000000000000002E-2</v>
      </c>
      <c r="M69" s="1">
        <f ca="1">IFERROR(__xludf.DUMMYFUNCTION("""COMPUTED_VALUE"""),266)</f>
        <v>266</v>
      </c>
      <c r="N69" s="1">
        <f ca="1">IFERROR(__xludf.DUMMYFUNCTION("""COMPUTED_VALUE"""),-0.88)</f>
        <v>-0.88</v>
      </c>
      <c r="O69" s="1">
        <f ca="1">IFERROR(__xludf.DUMMYFUNCTION("""COMPUTED_VALUE"""),176)</f>
        <v>176</v>
      </c>
      <c r="P69" s="1">
        <f ca="1">IFERROR(__xludf.DUMMYFUNCTION("""COMPUTED_VALUE"""),103.4)</f>
        <v>103.4</v>
      </c>
      <c r="Q69" s="1">
        <f ca="1">IFERROR(__xludf.DUMMYFUNCTION("""COMPUTED_VALUE"""),144)</f>
        <v>144</v>
      </c>
      <c r="R69" s="1">
        <f ca="1">IFERROR(__xludf.DUMMYFUNCTION("""COMPUTED_VALUE"""),104.3)</f>
        <v>104.3</v>
      </c>
      <c r="S69" s="1">
        <f ca="1">IFERROR(__xludf.DUMMYFUNCTION("""COMPUTED_VALUE"""),213)</f>
        <v>213</v>
      </c>
      <c r="T69" s="1">
        <f ca="1">IFERROR(__xludf.DUMMYFUNCTION("""COMPUTED_VALUE"""),-0.87)</f>
        <v>-0.87</v>
      </c>
      <c r="U69" s="1">
        <f ca="1">IFERROR(__xludf.DUMMYFUNCTION("""COMPUTED_VALUE"""),185)</f>
        <v>185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IFERROR(__xludf.DUMMYFUNCTION("""COMPUTED_VALUE"""),"San Diego St.6")</f>
        <v>San Diego St.6</v>
      </c>
      <c r="C70" s="1" t="str">
        <f ca="1">IFERROR(__xludf.DUMMYFUNCTION("""COMPUTED_VALUE"""),"MWC")</f>
        <v>MWC</v>
      </c>
      <c r="D70" s="1" t="str">
        <f ca="1">IFERROR(__xludf.DUMMYFUNCTION("""COMPUTED_VALUE"""),"26-8")</f>
        <v>26-8</v>
      </c>
      <c r="E70" s="1" t="str">
        <f ca="1">IFERROR(__xludf.DUMMYFUNCTION("""COMPUTED_VALUE"""),"+11.16")</f>
        <v>+11.16</v>
      </c>
      <c r="F70" s="1">
        <f ca="1">IFERROR(__xludf.DUMMYFUNCTION("""COMPUTED_VALUE"""),107)</f>
        <v>107</v>
      </c>
      <c r="G70" s="1">
        <f ca="1">IFERROR(__xludf.DUMMYFUNCTION("""COMPUTED_VALUE"""),95)</f>
        <v>95</v>
      </c>
      <c r="H70" s="1">
        <f ca="1">IFERROR(__xludf.DUMMYFUNCTION("""COMPUTED_VALUE"""),95.8)</f>
        <v>95.8</v>
      </c>
      <c r="I70" s="1">
        <f ca="1">IFERROR(__xludf.DUMMYFUNCTION("""COMPUTED_VALUE"""),44)</f>
        <v>44</v>
      </c>
      <c r="J70" s="1">
        <f ca="1">IFERROR(__xludf.DUMMYFUNCTION("""COMPUTED_VALUE"""),65.8)</f>
        <v>65.8</v>
      </c>
      <c r="K70" s="1">
        <f ca="1">IFERROR(__xludf.DUMMYFUNCTION("""COMPUTED_VALUE"""),130)</f>
        <v>130</v>
      </c>
      <c r="L70" s="1" t="str">
        <f ca="1">IFERROR(__xludf.DUMMYFUNCTION("""COMPUTED_VALUE"""),"+.059")</f>
        <v>+.059</v>
      </c>
      <c r="M70" s="1">
        <f ca="1">IFERROR(__xludf.DUMMYFUNCTION("""COMPUTED_VALUE"""),39)</f>
        <v>39</v>
      </c>
      <c r="N70" s="1" t="str">
        <f ca="1">IFERROR(__xludf.DUMMYFUNCTION("""COMPUTED_VALUE"""),"+3.33")</f>
        <v>+3.33</v>
      </c>
      <c r="O70" s="1">
        <f ca="1">IFERROR(__xludf.DUMMYFUNCTION("""COMPUTED_VALUE"""),94)</f>
        <v>94</v>
      </c>
      <c r="P70" s="1">
        <f ca="1">IFERROR(__xludf.DUMMYFUNCTION("""COMPUTED_VALUE"""),104.8)</f>
        <v>104.8</v>
      </c>
      <c r="Q70" s="1">
        <f ca="1">IFERROR(__xludf.DUMMYFUNCTION("""COMPUTED_VALUE"""),84)</f>
        <v>84</v>
      </c>
      <c r="R70" s="1">
        <f ca="1">IFERROR(__xludf.DUMMYFUNCTION("""COMPUTED_VALUE"""),101.5)</f>
        <v>101.5</v>
      </c>
      <c r="S70" s="1">
        <f ca="1">IFERROR(__xludf.DUMMYFUNCTION("""COMPUTED_VALUE"""),109)</f>
        <v>109</v>
      </c>
      <c r="T70" s="1">
        <f ca="1">IFERROR(__xludf.DUMMYFUNCTION("""COMPUTED_VALUE"""),-3.76)</f>
        <v>-3.76</v>
      </c>
      <c r="U70" s="1">
        <f ca="1">IFERROR(__xludf.DUMMYFUNCTION("""COMPUTED_VALUE"""),259)</f>
        <v>259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IFERROR(__xludf.DUMMYFUNCTION("""COMPUTED_VALUE"""),"Saint Joseph's2")</f>
        <v>Saint Joseph's2</v>
      </c>
      <c r="C71" s="1" t="str">
        <f ca="1">IFERROR(__xludf.DUMMYFUNCTION("""COMPUTED_VALUE"""),"A10")</f>
        <v>A10</v>
      </c>
      <c r="D71" s="1" t="str">
        <f ca="1">IFERROR(__xludf.DUMMYFUNCTION("""COMPUTED_VALUE"""),"20-14")</f>
        <v>20-14</v>
      </c>
      <c r="E71" s="1" t="str">
        <f ca="1">IFERROR(__xludf.DUMMYFUNCTION("""COMPUTED_VALUE"""),"+10.92")</f>
        <v>+10.92</v>
      </c>
      <c r="F71" s="1">
        <f ca="1">IFERROR(__xludf.DUMMYFUNCTION("""COMPUTED_VALUE"""),110.5)</f>
        <v>110.5</v>
      </c>
      <c r="G71" s="1">
        <f ca="1">IFERROR(__xludf.DUMMYFUNCTION("""COMPUTED_VALUE"""),54)</f>
        <v>54</v>
      </c>
      <c r="H71" s="1">
        <f ca="1">IFERROR(__xludf.DUMMYFUNCTION("""COMPUTED_VALUE"""),99.6)</f>
        <v>99.6</v>
      </c>
      <c r="I71" s="1">
        <f ca="1">IFERROR(__xludf.DUMMYFUNCTION("""COMPUTED_VALUE"""),109)</f>
        <v>109</v>
      </c>
      <c r="J71" s="1">
        <f ca="1">IFERROR(__xludf.DUMMYFUNCTION("""COMPUTED_VALUE"""),65)</f>
        <v>65</v>
      </c>
      <c r="K71" s="1">
        <f ca="1">IFERROR(__xludf.DUMMYFUNCTION("""COMPUTED_VALUE"""),174)</f>
        <v>174</v>
      </c>
      <c r="L71" s="1">
        <f ca="1">IFERROR(__xludf.DUMMYFUNCTION("""COMPUTED_VALUE"""),-0.052)</f>
        <v>-5.1999999999999998E-2</v>
      </c>
      <c r="M71" s="1">
        <f ca="1">IFERROR(__xludf.DUMMYFUNCTION("""COMPUTED_VALUE"""),293)</f>
        <v>293</v>
      </c>
      <c r="N71" s="1" t="str">
        <f ca="1">IFERROR(__xludf.DUMMYFUNCTION("""COMPUTED_VALUE"""),"+4.93")</f>
        <v>+4.93</v>
      </c>
      <c r="O71" s="1">
        <f ca="1">IFERROR(__xludf.DUMMYFUNCTION("""COMPUTED_VALUE"""),64)</f>
        <v>64</v>
      </c>
      <c r="P71" s="1">
        <f ca="1">IFERROR(__xludf.DUMMYFUNCTION("""COMPUTED_VALUE"""),105.9)</f>
        <v>105.9</v>
      </c>
      <c r="Q71" s="1">
        <f ca="1">IFERROR(__xludf.DUMMYFUNCTION("""COMPUTED_VALUE"""),48)</f>
        <v>48</v>
      </c>
      <c r="R71" s="1">
        <f ca="1">IFERROR(__xludf.DUMMYFUNCTION("""COMPUTED_VALUE"""),101)</f>
        <v>101</v>
      </c>
      <c r="S71" s="1">
        <f ca="1">IFERROR(__xludf.DUMMYFUNCTION("""COMPUTED_VALUE"""),83)</f>
        <v>83</v>
      </c>
      <c r="T71" s="1" t="str">
        <f ca="1">IFERROR(__xludf.DUMMYFUNCTION("""COMPUTED_VALUE"""),"+3.13")</f>
        <v>+3.13</v>
      </c>
      <c r="U71" s="1">
        <f ca="1">IFERROR(__xludf.DUMMYFUNCTION("""COMPUTED_VALUE"""),76)</f>
        <v>76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IFERROR(__xludf.DUMMYFUNCTION("""COMPUTED_VALUE"""),"Southern Miss9")</f>
        <v>Southern Miss9</v>
      </c>
      <c r="C72" s="1" t="str">
        <f ca="1">IFERROR(__xludf.DUMMYFUNCTION("""COMPUTED_VALUE"""),"CUSA")</f>
        <v>CUSA</v>
      </c>
      <c r="D72" s="1" t="str">
        <f ca="1">IFERROR(__xludf.DUMMYFUNCTION("""COMPUTED_VALUE"""),"25-9")</f>
        <v>25-9</v>
      </c>
      <c r="E72" s="1" t="str">
        <f ca="1">IFERROR(__xludf.DUMMYFUNCTION("""COMPUTED_VALUE"""),"+10.83")</f>
        <v>+10.83</v>
      </c>
      <c r="F72" s="1">
        <f ca="1">IFERROR(__xludf.DUMMYFUNCTION("""COMPUTED_VALUE"""),111.2)</f>
        <v>111.2</v>
      </c>
      <c r="G72" s="1">
        <f ca="1">IFERROR(__xludf.DUMMYFUNCTION("""COMPUTED_VALUE"""),44)</f>
        <v>44</v>
      </c>
      <c r="H72" s="1">
        <f ca="1">IFERROR(__xludf.DUMMYFUNCTION("""COMPUTED_VALUE"""),100.4)</f>
        <v>100.4</v>
      </c>
      <c r="I72" s="1">
        <f ca="1">IFERROR(__xludf.DUMMYFUNCTION("""COMPUTED_VALUE"""),125)</f>
        <v>125</v>
      </c>
      <c r="J72" s="1">
        <f ca="1">IFERROR(__xludf.DUMMYFUNCTION("""COMPUTED_VALUE"""),63.8)</f>
        <v>63.8</v>
      </c>
      <c r="K72" s="1">
        <f ca="1">IFERROR(__xludf.DUMMYFUNCTION("""COMPUTED_VALUE"""),238)</f>
        <v>238</v>
      </c>
      <c r="L72" s="1" t="str">
        <f ca="1">IFERROR(__xludf.DUMMYFUNCTION("""COMPUTED_VALUE"""),"+.041")</f>
        <v>+.041</v>
      </c>
      <c r="M72" s="1">
        <f ca="1">IFERROR(__xludf.DUMMYFUNCTION("""COMPUTED_VALUE"""),68)</f>
        <v>68</v>
      </c>
      <c r="N72" s="1" t="str">
        <f ca="1">IFERROR(__xludf.DUMMYFUNCTION("""COMPUTED_VALUE"""),"+4.41")</f>
        <v>+4.41</v>
      </c>
      <c r="O72" s="1">
        <f ca="1">IFERROR(__xludf.DUMMYFUNCTION("""COMPUTED_VALUE"""),69)</f>
        <v>69</v>
      </c>
      <c r="P72" s="1">
        <f ca="1">IFERROR(__xludf.DUMMYFUNCTION("""COMPUTED_VALUE"""),104.7)</f>
        <v>104.7</v>
      </c>
      <c r="Q72" s="1">
        <f ca="1">IFERROR(__xludf.DUMMYFUNCTION("""COMPUTED_VALUE"""),90)</f>
        <v>90</v>
      </c>
      <c r="R72" s="1">
        <f ca="1">IFERROR(__xludf.DUMMYFUNCTION("""COMPUTED_VALUE"""),100.3)</f>
        <v>100.3</v>
      </c>
      <c r="S72" s="1">
        <f ca="1">IFERROR(__xludf.DUMMYFUNCTION("""COMPUTED_VALUE"""),51)</f>
        <v>51</v>
      </c>
      <c r="T72" s="1" t="str">
        <f ca="1">IFERROR(__xludf.DUMMYFUNCTION("""COMPUTED_VALUE"""),"+2.32")</f>
        <v>+2.32</v>
      </c>
      <c r="U72" s="1">
        <f ca="1">IFERROR(__xludf.DUMMYFUNCTION("""COMPUTED_VALUE"""),90)</f>
        <v>90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IFERROR(__xludf.DUMMYFUNCTION("""COMPUTED_VALUE"""),"Dayton2")</f>
        <v>Dayton2</v>
      </c>
      <c r="C73" s="1" t="str">
        <f ca="1">IFERROR(__xludf.DUMMYFUNCTION("""COMPUTED_VALUE"""),"A10")</f>
        <v>A10</v>
      </c>
      <c r="D73" s="1" t="str">
        <f ca="1">IFERROR(__xludf.DUMMYFUNCTION("""COMPUTED_VALUE"""),"20-13")</f>
        <v>20-13</v>
      </c>
      <c r="E73" s="1" t="str">
        <f ca="1">IFERROR(__xludf.DUMMYFUNCTION("""COMPUTED_VALUE"""),"+10.78")</f>
        <v>+10.78</v>
      </c>
      <c r="F73" s="1">
        <f ca="1">IFERROR(__xludf.DUMMYFUNCTION("""COMPUTED_VALUE"""),113.3)</f>
        <v>113.3</v>
      </c>
      <c r="G73" s="1">
        <f ca="1">IFERROR(__xludf.DUMMYFUNCTION("""COMPUTED_VALUE"""),29)</f>
        <v>29</v>
      </c>
      <c r="H73" s="1">
        <f ca="1">IFERROR(__xludf.DUMMYFUNCTION("""COMPUTED_VALUE"""),102.5)</f>
        <v>102.5</v>
      </c>
      <c r="I73" s="1">
        <f ca="1">IFERROR(__xludf.DUMMYFUNCTION("""COMPUTED_VALUE"""),160)</f>
        <v>160</v>
      </c>
      <c r="J73" s="1">
        <f ca="1">IFERROR(__xludf.DUMMYFUNCTION("""COMPUTED_VALUE"""),64.2)</f>
        <v>64.2</v>
      </c>
      <c r="K73" s="1">
        <f ca="1">IFERROR(__xludf.DUMMYFUNCTION("""COMPUTED_VALUE"""),213)</f>
        <v>213</v>
      </c>
      <c r="L73" s="1">
        <f ca="1">IFERROR(__xludf.DUMMYFUNCTION("""COMPUTED_VALUE"""),-0.016)</f>
        <v>-1.6E-2</v>
      </c>
      <c r="M73" s="1">
        <f ca="1">IFERROR(__xludf.DUMMYFUNCTION("""COMPUTED_VALUE"""),207)</f>
        <v>207</v>
      </c>
      <c r="N73" s="1" t="str">
        <f ca="1">IFERROR(__xludf.DUMMYFUNCTION("""COMPUTED_VALUE"""),"+4.01")</f>
        <v>+4.01</v>
      </c>
      <c r="O73" s="1">
        <f ca="1">IFERROR(__xludf.DUMMYFUNCTION("""COMPUTED_VALUE"""),77)</f>
        <v>77</v>
      </c>
      <c r="P73" s="1">
        <f ca="1">IFERROR(__xludf.DUMMYFUNCTION("""COMPUTED_VALUE"""),104.6)</f>
        <v>104.6</v>
      </c>
      <c r="Q73" s="1">
        <f ca="1">IFERROR(__xludf.DUMMYFUNCTION("""COMPUTED_VALUE"""),95)</f>
        <v>95</v>
      </c>
      <c r="R73" s="1">
        <f ca="1">IFERROR(__xludf.DUMMYFUNCTION("""COMPUTED_VALUE"""),100.5)</f>
        <v>100.5</v>
      </c>
      <c r="S73" s="1">
        <f ca="1">IFERROR(__xludf.DUMMYFUNCTION("""COMPUTED_VALUE"""),65)</f>
        <v>65</v>
      </c>
      <c r="T73" s="1">
        <f ca="1">IFERROR(__xludf.DUMMYFUNCTION("""COMPUTED_VALUE"""),-0.09)</f>
        <v>-0.09</v>
      </c>
      <c r="U73" s="1">
        <f ca="1">IFERROR(__xludf.DUMMYFUNCTION("""COMPUTED_VALUE"""),160)</f>
        <v>160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IFERROR(__xludf.DUMMYFUNCTION("""COMPUTED_VALUE"""),"Akron5")</f>
        <v>Akron5</v>
      </c>
      <c r="C74" s="1" t="str">
        <f ca="1">IFERROR(__xludf.DUMMYFUNCTION("""COMPUTED_VALUE"""),"MAC")</f>
        <v>MAC</v>
      </c>
      <c r="D74" s="1" t="str">
        <f ca="1">IFERROR(__xludf.DUMMYFUNCTION("""COMPUTED_VALUE"""),"22-12")</f>
        <v>22-12</v>
      </c>
      <c r="E74" s="1" t="str">
        <f ca="1">IFERROR(__xludf.DUMMYFUNCTION("""COMPUTED_VALUE"""),"+10.66")</f>
        <v>+10.66</v>
      </c>
      <c r="F74" s="1">
        <f ca="1">IFERROR(__xludf.DUMMYFUNCTION("""COMPUTED_VALUE"""),108.3)</f>
        <v>108.3</v>
      </c>
      <c r="G74" s="1">
        <f ca="1">IFERROR(__xludf.DUMMYFUNCTION("""COMPUTED_VALUE"""),81)</f>
        <v>81</v>
      </c>
      <c r="H74" s="1">
        <f ca="1">IFERROR(__xludf.DUMMYFUNCTION("""COMPUTED_VALUE"""),97.7)</f>
        <v>97.7</v>
      </c>
      <c r="I74" s="1">
        <f ca="1">IFERROR(__xludf.DUMMYFUNCTION("""COMPUTED_VALUE"""),74)</f>
        <v>74</v>
      </c>
      <c r="J74" s="1">
        <f ca="1">IFERROR(__xludf.DUMMYFUNCTION("""COMPUTED_VALUE"""),66.4)</f>
        <v>66.400000000000006</v>
      </c>
      <c r="K74" s="1">
        <f ca="1">IFERROR(__xludf.DUMMYFUNCTION("""COMPUTED_VALUE"""),103)</f>
        <v>103</v>
      </c>
      <c r="L74" s="1">
        <f ca="1">IFERROR(__xludf.DUMMYFUNCTION("""COMPUTED_VALUE"""),-0.021)</f>
        <v>-2.1000000000000001E-2</v>
      </c>
      <c r="M74" s="1">
        <f ca="1">IFERROR(__xludf.DUMMYFUNCTION("""COMPUTED_VALUE"""),223)</f>
        <v>223</v>
      </c>
      <c r="N74" s="1" t="str">
        <f ca="1">IFERROR(__xludf.DUMMYFUNCTION("""COMPUTED_VALUE"""),"+2.81")</f>
        <v>+2.81</v>
      </c>
      <c r="O74" s="1">
        <f ca="1">IFERROR(__xludf.DUMMYFUNCTION("""COMPUTED_VALUE"""),103)</f>
        <v>103</v>
      </c>
      <c r="P74" s="1">
        <f ca="1">IFERROR(__xludf.DUMMYFUNCTION("""COMPUTED_VALUE"""),104.6)</f>
        <v>104.6</v>
      </c>
      <c r="Q74" s="1">
        <f ca="1">IFERROR(__xludf.DUMMYFUNCTION("""COMPUTED_VALUE"""),92)</f>
        <v>92</v>
      </c>
      <c r="R74" s="1">
        <f ca="1">IFERROR(__xludf.DUMMYFUNCTION("""COMPUTED_VALUE"""),101.8)</f>
        <v>101.8</v>
      </c>
      <c r="S74" s="1">
        <f ca="1">IFERROR(__xludf.DUMMYFUNCTION("""COMPUTED_VALUE"""),118)</f>
        <v>118</v>
      </c>
      <c r="T74" s="1" t="str">
        <f ca="1">IFERROR(__xludf.DUMMYFUNCTION("""COMPUTED_VALUE"""),"+3.86")</f>
        <v>+3.86</v>
      </c>
      <c r="U74" s="1">
        <f ca="1">IFERROR(__xludf.DUMMYFUNCTION("""COMPUTED_VALUE"""),65)</f>
        <v>65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IFERROR(__xludf.DUMMYFUNCTION("""COMPUTED_VALUE"""),"Davidson13")</f>
        <v>Davidson13</v>
      </c>
      <c r="C75" s="1" t="str">
        <f ca="1">IFERROR(__xludf.DUMMYFUNCTION("""COMPUTED_VALUE"""),"SC")</f>
        <v>SC</v>
      </c>
      <c r="D75" s="1" t="str">
        <f ca="1">IFERROR(__xludf.DUMMYFUNCTION("""COMPUTED_VALUE"""),"25-8")</f>
        <v>25-8</v>
      </c>
      <c r="E75" s="1" t="str">
        <f ca="1">IFERROR(__xludf.DUMMYFUNCTION("""COMPUTED_VALUE"""),"+10.65")</f>
        <v>+10.65</v>
      </c>
      <c r="F75" s="1">
        <f ca="1">IFERROR(__xludf.DUMMYFUNCTION("""COMPUTED_VALUE"""),112)</f>
        <v>112</v>
      </c>
      <c r="G75" s="1">
        <f ca="1">IFERROR(__xludf.DUMMYFUNCTION("""COMPUTED_VALUE"""),33)</f>
        <v>33</v>
      </c>
      <c r="H75" s="1">
        <f ca="1">IFERROR(__xludf.DUMMYFUNCTION("""COMPUTED_VALUE"""),101.4)</f>
        <v>101.4</v>
      </c>
      <c r="I75" s="1">
        <f ca="1">IFERROR(__xludf.DUMMYFUNCTION("""COMPUTED_VALUE"""),141)</f>
        <v>141</v>
      </c>
      <c r="J75" s="1">
        <f ca="1">IFERROR(__xludf.DUMMYFUNCTION("""COMPUTED_VALUE"""),67.4)</f>
        <v>67.400000000000006</v>
      </c>
      <c r="K75" s="1">
        <f ca="1">IFERROR(__xludf.DUMMYFUNCTION("""COMPUTED_VALUE"""),65)</f>
        <v>65</v>
      </c>
      <c r="L75" s="1" t="str">
        <f ca="1">IFERROR(__xludf.DUMMYFUNCTION("""COMPUTED_VALUE"""),"+.008")</f>
        <v>+.008</v>
      </c>
      <c r="M75" s="1">
        <f ca="1">IFERROR(__xludf.DUMMYFUNCTION("""COMPUTED_VALUE"""),151)</f>
        <v>151</v>
      </c>
      <c r="N75" s="1">
        <f ca="1">IFERROR(__xludf.DUMMYFUNCTION("""COMPUTED_VALUE"""),-3)</f>
        <v>-3</v>
      </c>
      <c r="O75" s="1">
        <f ca="1">IFERROR(__xludf.DUMMYFUNCTION("""COMPUTED_VALUE"""),230)</f>
        <v>230</v>
      </c>
      <c r="P75" s="1">
        <f ca="1">IFERROR(__xludf.DUMMYFUNCTION("""COMPUTED_VALUE"""),101.5)</f>
        <v>101.5</v>
      </c>
      <c r="Q75" s="1">
        <f ca="1">IFERROR(__xludf.DUMMYFUNCTION("""COMPUTED_VALUE"""),239)</f>
        <v>239</v>
      </c>
      <c r="R75" s="1">
        <f ca="1">IFERROR(__xludf.DUMMYFUNCTION("""COMPUTED_VALUE"""),104.5)</f>
        <v>104.5</v>
      </c>
      <c r="S75" s="1">
        <f ca="1">IFERROR(__xludf.DUMMYFUNCTION("""COMPUTED_VALUE"""),229)</f>
        <v>229</v>
      </c>
      <c r="T75" s="1" t="str">
        <f ca="1">IFERROR(__xludf.DUMMYFUNCTION("""COMPUTED_VALUE"""),"+8.78")</f>
        <v>+8.78</v>
      </c>
      <c r="U75" s="1">
        <f ca="1">IFERROR(__xludf.DUMMYFUNCTION("""COMPUTED_VALUE"""),11)</f>
        <v>11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IFERROR(__xludf.DUMMYFUNCTION("""COMPUTED_VALUE"""),"Northwestern4")</f>
        <v>Northwestern4</v>
      </c>
      <c r="C76" s="1" t="str">
        <f ca="1">IFERROR(__xludf.DUMMYFUNCTION("""COMPUTED_VALUE"""),"B10")</f>
        <v>B10</v>
      </c>
      <c r="D76" s="1" t="str">
        <f ca="1">IFERROR(__xludf.DUMMYFUNCTION("""COMPUTED_VALUE"""),"19-14")</f>
        <v>19-14</v>
      </c>
      <c r="E76" s="1" t="str">
        <f ca="1">IFERROR(__xludf.DUMMYFUNCTION("""COMPUTED_VALUE"""),"+10.53")</f>
        <v>+10.53</v>
      </c>
      <c r="F76" s="1">
        <f ca="1">IFERROR(__xludf.DUMMYFUNCTION("""COMPUTED_VALUE"""),114.8)</f>
        <v>114.8</v>
      </c>
      <c r="G76" s="1">
        <f ca="1">IFERROR(__xludf.DUMMYFUNCTION("""COMPUTED_VALUE"""),16)</f>
        <v>16</v>
      </c>
      <c r="H76" s="1">
        <f ca="1">IFERROR(__xludf.DUMMYFUNCTION("""COMPUTED_VALUE"""),104.3)</f>
        <v>104.3</v>
      </c>
      <c r="I76" s="1">
        <f ca="1">IFERROR(__xludf.DUMMYFUNCTION("""COMPUTED_VALUE"""),202)</f>
        <v>202</v>
      </c>
      <c r="J76" s="1">
        <f ca="1">IFERROR(__xludf.DUMMYFUNCTION("""COMPUTED_VALUE"""),62.5)</f>
        <v>62.5</v>
      </c>
      <c r="K76" s="1">
        <f ca="1">IFERROR(__xludf.DUMMYFUNCTION("""COMPUTED_VALUE"""),283)</f>
        <v>283</v>
      </c>
      <c r="L76" s="1" t="str">
        <f ca="1">IFERROR(__xludf.DUMMYFUNCTION("""COMPUTED_VALUE"""),"+.049")</f>
        <v>+.049</v>
      </c>
      <c r="M76" s="1">
        <f ca="1">IFERROR(__xludf.DUMMYFUNCTION("""COMPUTED_VALUE"""),57)</f>
        <v>57</v>
      </c>
      <c r="N76" s="1" t="str">
        <f ca="1">IFERROR(__xludf.DUMMYFUNCTION("""COMPUTED_VALUE"""),"+8.54")</f>
        <v>+8.54</v>
      </c>
      <c r="O76" s="1">
        <f ca="1">IFERROR(__xludf.DUMMYFUNCTION("""COMPUTED_VALUE"""),12)</f>
        <v>12</v>
      </c>
      <c r="P76" s="1">
        <f ca="1">IFERROR(__xludf.DUMMYFUNCTION("""COMPUTED_VALUE"""),107.5)</f>
        <v>107.5</v>
      </c>
      <c r="Q76" s="1">
        <f ca="1">IFERROR(__xludf.DUMMYFUNCTION("""COMPUTED_VALUE"""),16)</f>
        <v>16</v>
      </c>
      <c r="R76" s="1">
        <f ca="1">IFERROR(__xludf.DUMMYFUNCTION("""COMPUTED_VALUE"""),98.9)</f>
        <v>98.9</v>
      </c>
      <c r="S76" s="1">
        <f ca="1">IFERROR(__xludf.DUMMYFUNCTION("""COMPUTED_VALUE"""),14)</f>
        <v>14</v>
      </c>
      <c r="T76" s="1">
        <f ca="1">IFERROR(__xludf.DUMMYFUNCTION("""COMPUTED_VALUE"""),-1.79)</f>
        <v>-1.79</v>
      </c>
      <c r="U76" s="1">
        <f ca="1">IFERROR(__xludf.DUMMYFUNCTION("""COMPUTED_VALUE"""),207)</f>
        <v>207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IFERROR(__xludf.DUMMYFUNCTION("""COMPUTED_VALUE"""),"Denver")</f>
        <v>Denver</v>
      </c>
      <c r="C77" s="1" t="str">
        <f ca="1">IFERROR(__xludf.DUMMYFUNCTION("""COMPUTED_VALUE"""),"SB")</f>
        <v>SB</v>
      </c>
      <c r="D77" s="1" t="str">
        <f ca="1">IFERROR(__xludf.DUMMYFUNCTION("""COMPUTED_VALUE"""),"22-9")</f>
        <v>22-9</v>
      </c>
      <c r="E77" s="1" t="str">
        <f ca="1">IFERROR(__xludf.DUMMYFUNCTION("""COMPUTED_VALUE"""),"+10.41")</f>
        <v>+10.41</v>
      </c>
      <c r="F77" s="1">
        <f ca="1">IFERROR(__xludf.DUMMYFUNCTION("""COMPUTED_VALUE"""),110.9)</f>
        <v>110.9</v>
      </c>
      <c r="G77" s="1">
        <f ca="1">IFERROR(__xludf.DUMMYFUNCTION("""COMPUTED_VALUE"""),49)</f>
        <v>49</v>
      </c>
      <c r="H77" s="1">
        <f ca="1">IFERROR(__xludf.DUMMYFUNCTION("""COMPUTED_VALUE"""),100.5)</f>
        <v>100.5</v>
      </c>
      <c r="I77" s="1">
        <f ca="1">IFERROR(__xludf.DUMMYFUNCTION("""COMPUTED_VALUE"""),128)</f>
        <v>128</v>
      </c>
      <c r="J77" s="1">
        <f ca="1">IFERROR(__xludf.DUMMYFUNCTION("""COMPUTED_VALUE"""),60.2)</f>
        <v>60.2</v>
      </c>
      <c r="K77" s="1">
        <f ca="1">IFERROR(__xludf.DUMMYFUNCTION("""COMPUTED_VALUE"""),328)</f>
        <v>328</v>
      </c>
      <c r="L77" s="1">
        <f ca="1">IFERROR(__xludf.DUMMYFUNCTION("""COMPUTED_VALUE"""),-0.072)</f>
        <v>-7.1999999999999995E-2</v>
      </c>
      <c r="M77" s="1">
        <f ca="1">IFERROR(__xludf.DUMMYFUNCTION("""COMPUTED_VALUE"""),323)</f>
        <v>323</v>
      </c>
      <c r="N77" s="1">
        <f ca="1">IFERROR(__xludf.DUMMYFUNCTION("""COMPUTED_VALUE"""),-2.64)</f>
        <v>-2.64</v>
      </c>
      <c r="O77" s="1">
        <f ca="1">IFERROR(__xludf.DUMMYFUNCTION("""COMPUTED_VALUE"""),219)</f>
        <v>219</v>
      </c>
      <c r="P77" s="1">
        <f ca="1">IFERROR(__xludf.DUMMYFUNCTION("""COMPUTED_VALUE"""),101.6)</f>
        <v>101.6</v>
      </c>
      <c r="Q77" s="1">
        <f ca="1">IFERROR(__xludf.DUMMYFUNCTION("""COMPUTED_VALUE"""),236)</f>
        <v>236</v>
      </c>
      <c r="R77" s="1">
        <f ca="1">IFERROR(__xludf.DUMMYFUNCTION("""COMPUTED_VALUE"""),104.2)</f>
        <v>104.2</v>
      </c>
      <c r="S77" s="1">
        <f ca="1">IFERROR(__xludf.DUMMYFUNCTION("""COMPUTED_VALUE"""),208)</f>
        <v>208</v>
      </c>
      <c r="T77" s="1">
        <f ca="1">IFERROR(__xludf.DUMMYFUNCTION("""COMPUTED_VALUE"""),-0.32)</f>
        <v>-0.32</v>
      </c>
      <c r="U77" s="1">
        <f ca="1">IFERROR(__xludf.DUMMYFUNCTION("""COMPUTED_VALUE"""),169)</f>
        <v>169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IFERROR(__xludf.DUMMYFUNCTION("""COMPUTED_VALUE"""),"Massachusetts5")</f>
        <v>Massachusetts5</v>
      </c>
      <c r="C78" s="1" t="str">
        <f ca="1">IFERROR(__xludf.DUMMYFUNCTION("""COMPUTED_VALUE"""),"A10")</f>
        <v>A10</v>
      </c>
      <c r="D78" s="1" t="str">
        <f ca="1">IFERROR(__xludf.DUMMYFUNCTION("""COMPUTED_VALUE"""),"25-12")</f>
        <v>25-12</v>
      </c>
      <c r="E78" s="1" t="str">
        <f ca="1">IFERROR(__xludf.DUMMYFUNCTION("""COMPUTED_VALUE"""),"+9.83")</f>
        <v>+9.83</v>
      </c>
      <c r="F78" s="1">
        <f ca="1">IFERROR(__xludf.DUMMYFUNCTION("""COMPUTED_VALUE"""),106.2)</f>
        <v>106.2</v>
      </c>
      <c r="G78" s="1">
        <f ca="1">IFERROR(__xludf.DUMMYFUNCTION("""COMPUTED_VALUE"""),114)</f>
        <v>114</v>
      </c>
      <c r="H78" s="1">
        <f ca="1">IFERROR(__xludf.DUMMYFUNCTION("""COMPUTED_VALUE"""),96.3)</f>
        <v>96.3</v>
      </c>
      <c r="I78" s="1">
        <f ca="1">IFERROR(__xludf.DUMMYFUNCTION("""COMPUTED_VALUE"""),51)</f>
        <v>51</v>
      </c>
      <c r="J78" s="1">
        <f ca="1">IFERROR(__xludf.DUMMYFUNCTION("""COMPUTED_VALUE"""),73.2)</f>
        <v>73.2</v>
      </c>
      <c r="K78" s="1">
        <f ca="1">IFERROR(__xludf.DUMMYFUNCTION("""COMPUTED_VALUE"""),3)</f>
        <v>3</v>
      </c>
      <c r="L78" s="1" t="str">
        <f ca="1">IFERROR(__xludf.DUMMYFUNCTION("""COMPUTED_VALUE"""),"+.055")</f>
        <v>+.055</v>
      </c>
      <c r="M78" s="1">
        <f ca="1">IFERROR(__xludf.DUMMYFUNCTION("""COMPUTED_VALUE"""),50)</f>
        <v>50</v>
      </c>
      <c r="N78" s="1" t="str">
        <f ca="1">IFERROR(__xludf.DUMMYFUNCTION("""COMPUTED_VALUE"""),"+3.72")</f>
        <v>+3.72</v>
      </c>
      <c r="O78" s="1">
        <f ca="1">IFERROR(__xludf.DUMMYFUNCTION("""COMPUTED_VALUE"""),85)</f>
        <v>85</v>
      </c>
      <c r="P78" s="1">
        <f ca="1">IFERROR(__xludf.DUMMYFUNCTION("""COMPUTED_VALUE"""),105)</f>
        <v>105</v>
      </c>
      <c r="Q78" s="1">
        <f ca="1">IFERROR(__xludf.DUMMYFUNCTION("""COMPUTED_VALUE"""),77)</f>
        <v>77</v>
      </c>
      <c r="R78" s="1">
        <f ca="1">IFERROR(__xludf.DUMMYFUNCTION("""COMPUTED_VALUE"""),101.2)</f>
        <v>101.2</v>
      </c>
      <c r="S78" s="1">
        <f ca="1">IFERROR(__xludf.DUMMYFUNCTION("""COMPUTED_VALUE"""),97)</f>
        <v>97</v>
      </c>
      <c r="T78" s="1">
        <f ca="1">IFERROR(__xludf.DUMMYFUNCTION("""COMPUTED_VALUE"""),-4.83)</f>
        <v>-4.83</v>
      </c>
      <c r="U78" s="1">
        <f ca="1">IFERROR(__xludf.DUMMYFUNCTION("""COMPUTED_VALUE"""),289)</f>
        <v>289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IFERROR(__xludf.DUMMYFUNCTION("""COMPUTED_VALUE"""),"Northern Iowa7")</f>
        <v>Northern Iowa7</v>
      </c>
      <c r="C79" s="1" t="str">
        <f ca="1">IFERROR(__xludf.DUMMYFUNCTION("""COMPUTED_VALUE"""),"MVC")</f>
        <v>MVC</v>
      </c>
      <c r="D79" s="1" t="str">
        <f ca="1">IFERROR(__xludf.DUMMYFUNCTION("""COMPUTED_VALUE"""),"20-14")</f>
        <v>20-14</v>
      </c>
      <c r="E79" s="1" t="str">
        <f ca="1">IFERROR(__xludf.DUMMYFUNCTION("""COMPUTED_VALUE"""),"+9.57")</f>
        <v>+9.57</v>
      </c>
      <c r="F79" s="1">
        <f ca="1">IFERROR(__xludf.DUMMYFUNCTION("""COMPUTED_VALUE"""),106.9)</f>
        <v>106.9</v>
      </c>
      <c r="G79" s="1">
        <f ca="1">IFERROR(__xludf.DUMMYFUNCTION("""COMPUTED_VALUE"""),97)</f>
        <v>97</v>
      </c>
      <c r="H79" s="1">
        <f ca="1">IFERROR(__xludf.DUMMYFUNCTION("""COMPUTED_VALUE"""),97.3)</f>
        <v>97.3</v>
      </c>
      <c r="I79" s="1">
        <f ca="1">IFERROR(__xludf.DUMMYFUNCTION("""COMPUTED_VALUE"""),68)</f>
        <v>68</v>
      </c>
      <c r="J79" s="1">
        <f ca="1">IFERROR(__xludf.DUMMYFUNCTION("""COMPUTED_VALUE"""),61.6)</f>
        <v>61.6</v>
      </c>
      <c r="K79" s="1">
        <f ca="1">IFERROR(__xludf.DUMMYFUNCTION("""COMPUTED_VALUE"""),310)</f>
        <v>310</v>
      </c>
      <c r="L79" s="1" t="str">
        <f ca="1">IFERROR(__xludf.DUMMYFUNCTION("""COMPUTED_VALUE"""),"+.002")</f>
        <v>+.002</v>
      </c>
      <c r="M79" s="1">
        <f ca="1">IFERROR(__xludf.DUMMYFUNCTION("""COMPUTED_VALUE"""),169)</f>
        <v>169</v>
      </c>
      <c r="N79" s="1" t="str">
        <f ca="1">IFERROR(__xludf.DUMMYFUNCTION("""COMPUTED_VALUE"""),"+5.57")</f>
        <v>+5.57</v>
      </c>
      <c r="O79" s="1">
        <f ca="1">IFERROR(__xludf.DUMMYFUNCTION("""COMPUTED_VALUE"""),54)</f>
        <v>54</v>
      </c>
      <c r="P79" s="1">
        <f ca="1">IFERROR(__xludf.DUMMYFUNCTION("""COMPUTED_VALUE"""),106.7)</f>
        <v>106.7</v>
      </c>
      <c r="Q79" s="1">
        <f ca="1">IFERROR(__xludf.DUMMYFUNCTION("""COMPUTED_VALUE"""),37)</f>
        <v>37</v>
      </c>
      <c r="R79" s="1">
        <f ca="1">IFERROR(__xludf.DUMMYFUNCTION("""COMPUTED_VALUE"""),101.1)</f>
        <v>101.1</v>
      </c>
      <c r="S79" s="1">
        <f ca="1">IFERROR(__xludf.DUMMYFUNCTION("""COMPUTED_VALUE"""),89)</f>
        <v>89</v>
      </c>
      <c r="T79" s="1" t="str">
        <f ca="1">IFERROR(__xludf.DUMMYFUNCTION("""COMPUTED_VALUE"""),"+4.18")</f>
        <v>+4.18</v>
      </c>
      <c r="U79" s="1">
        <f ca="1">IFERROR(__xludf.DUMMYFUNCTION("""COMPUTED_VALUE"""),57)</f>
        <v>57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IFERROR(__xludf.DUMMYFUNCTION("""COMPUTED_VALUE"""),"Illinois")</f>
        <v>Illinois</v>
      </c>
      <c r="C80" s="1" t="str">
        <f ca="1">IFERROR(__xludf.DUMMYFUNCTION("""COMPUTED_VALUE"""),"B10")</f>
        <v>B10</v>
      </c>
      <c r="D80" s="1" t="str">
        <f ca="1">IFERROR(__xludf.DUMMYFUNCTION("""COMPUTED_VALUE"""),"17-15")</f>
        <v>17-15</v>
      </c>
      <c r="E80" s="1" t="str">
        <f ca="1">IFERROR(__xludf.DUMMYFUNCTION("""COMPUTED_VALUE"""),"+9.49")</f>
        <v>+9.49</v>
      </c>
      <c r="F80" s="1">
        <f ca="1">IFERROR(__xludf.DUMMYFUNCTION("""COMPUTED_VALUE"""),104.3)</f>
        <v>104.3</v>
      </c>
      <c r="G80" s="1">
        <f ca="1">IFERROR(__xludf.DUMMYFUNCTION("""COMPUTED_VALUE"""),145)</f>
        <v>145</v>
      </c>
      <c r="H80" s="1">
        <f ca="1">IFERROR(__xludf.DUMMYFUNCTION("""COMPUTED_VALUE"""),94.8)</f>
        <v>94.8</v>
      </c>
      <c r="I80" s="1">
        <f ca="1">IFERROR(__xludf.DUMMYFUNCTION("""COMPUTED_VALUE"""),36)</f>
        <v>36</v>
      </c>
      <c r="J80" s="1">
        <f ca="1">IFERROR(__xludf.DUMMYFUNCTION("""COMPUTED_VALUE"""),64.2)</f>
        <v>64.2</v>
      </c>
      <c r="K80" s="1">
        <f ca="1">IFERROR(__xludf.DUMMYFUNCTION("""COMPUTED_VALUE"""),217)</f>
        <v>217</v>
      </c>
      <c r="L80" s="1">
        <f ca="1">IFERROR(__xludf.DUMMYFUNCTION("""COMPUTED_VALUE"""),-0.005)</f>
        <v>-5.0000000000000001E-3</v>
      </c>
      <c r="M80" s="1">
        <f ca="1">IFERROR(__xludf.DUMMYFUNCTION("""COMPUTED_VALUE"""),187)</f>
        <v>187</v>
      </c>
      <c r="N80" s="1" t="str">
        <f ca="1">IFERROR(__xludf.DUMMYFUNCTION("""COMPUTED_VALUE"""),"+8.41")</f>
        <v>+8.41</v>
      </c>
      <c r="O80" s="1">
        <f ca="1">IFERROR(__xludf.DUMMYFUNCTION("""COMPUTED_VALUE"""),16)</f>
        <v>16</v>
      </c>
      <c r="P80" s="1">
        <f ca="1">IFERROR(__xludf.DUMMYFUNCTION("""COMPUTED_VALUE"""),109)</f>
        <v>109</v>
      </c>
      <c r="Q80" s="1">
        <f ca="1">IFERROR(__xludf.DUMMYFUNCTION("""COMPUTED_VALUE"""),1)</f>
        <v>1</v>
      </c>
      <c r="R80" s="1">
        <f ca="1">IFERROR(__xludf.DUMMYFUNCTION("""COMPUTED_VALUE"""),100.6)</f>
        <v>100.6</v>
      </c>
      <c r="S80" s="1">
        <f ca="1">IFERROR(__xludf.DUMMYFUNCTION("""COMPUTED_VALUE"""),66)</f>
        <v>66</v>
      </c>
      <c r="T80" s="1">
        <f ca="1">IFERROR(__xludf.DUMMYFUNCTION("""COMPUTED_VALUE"""),-2.2)</f>
        <v>-2.2000000000000002</v>
      </c>
      <c r="U80" s="1">
        <f ca="1">IFERROR(__xludf.DUMMYFUNCTION("""COMPUTED_VALUE"""),219)</f>
        <v>219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IFERROR(__xludf.DUMMYFUNCTION("""COMPUTED_VALUE"""),"Mississippi St.4")</f>
        <v>Mississippi St.4</v>
      </c>
      <c r="C81" s="1" t="str">
        <f ca="1">IFERROR(__xludf.DUMMYFUNCTION("""COMPUTED_VALUE"""),"SEC")</f>
        <v>SEC</v>
      </c>
      <c r="D81" s="1" t="str">
        <f ca="1">IFERROR(__xludf.DUMMYFUNCTION("""COMPUTED_VALUE"""),"21-12")</f>
        <v>21-12</v>
      </c>
      <c r="E81" s="1" t="str">
        <f ca="1">IFERROR(__xludf.DUMMYFUNCTION("""COMPUTED_VALUE"""),"+9.35")</f>
        <v>+9.35</v>
      </c>
      <c r="F81" s="1">
        <f ca="1">IFERROR(__xludf.DUMMYFUNCTION("""COMPUTED_VALUE"""),111.7)</f>
        <v>111.7</v>
      </c>
      <c r="G81" s="1">
        <f ca="1">IFERROR(__xludf.DUMMYFUNCTION("""COMPUTED_VALUE"""),37)</f>
        <v>37</v>
      </c>
      <c r="H81" s="1">
        <f ca="1">IFERROR(__xludf.DUMMYFUNCTION("""COMPUTED_VALUE"""),102.4)</f>
        <v>102.4</v>
      </c>
      <c r="I81" s="1">
        <f ca="1">IFERROR(__xludf.DUMMYFUNCTION("""COMPUTED_VALUE"""),158)</f>
        <v>158</v>
      </c>
      <c r="J81" s="1">
        <f ca="1">IFERROR(__xludf.DUMMYFUNCTION("""COMPUTED_VALUE"""),63.9)</f>
        <v>63.9</v>
      </c>
      <c r="K81" s="1">
        <f ca="1">IFERROR(__xludf.DUMMYFUNCTION("""COMPUTED_VALUE"""),233)</f>
        <v>233</v>
      </c>
      <c r="L81" s="1" t="str">
        <f ca="1">IFERROR(__xludf.DUMMYFUNCTION("""COMPUTED_VALUE"""),"+.007")</f>
        <v>+.007</v>
      </c>
      <c r="M81" s="1">
        <f ca="1">IFERROR(__xludf.DUMMYFUNCTION("""COMPUTED_VALUE"""),154)</f>
        <v>154</v>
      </c>
      <c r="N81" s="1" t="str">
        <f ca="1">IFERROR(__xludf.DUMMYFUNCTION("""COMPUTED_VALUE"""),"+3.39")</f>
        <v>+3.39</v>
      </c>
      <c r="O81" s="1">
        <f ca="1">IFERROR(__xludf.DUMMYFUNCTION("""COMPUTED_VALUE"""),93)</f>
        <v>93</v>
      </c>
      <c r="P81" s="1">
        <f ca="1">IFERROR(__xludf.DUMMYFUNCTION("""COMPUTED_VALUE"""),104.3)</f>
        <v>104.3</v>
      </c>
      <c r="Q81" s="1">
        <f ca="1">IFERROR(__xludf.DUMMYFUNCTION("""COMPUTED_VALUE"""),103)</f>
        <v>103</v>
      </c>
      <c r="R81" s="1">
        <f ca="1">IFERROR(__xludf.DUMMYFUNCTION("""COMPUTED_VALUE"""),101)</f>
        <v>101</v>
      </c>
      <c r="S81" s="1">
        <f ca="1">IFERROR(__xludf.DUMMYFUNCTION("""COMPUTED_VALUE"""),81)</f>
        <v>81</v>
      </c>
      <c r="T81" s="1">
        <f ca="1">IFERROR(__xludf.DUMMYFUNCTION("""COMPUTED_VALUE"""),-4.08)</f>
        <v>-4.08</v>
      </c>
      <c r="U81" s="1">
        <f ca="1">IFERROR(__xludf.DUMMYFUNCTION("""COMPUTED_VALUE"""),270)</f>
        <v>270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IFERROR(__xludf.DUMMYFUNCTION("""COMPUTED_VALUE"""),"Marshall5")</f>
        <v>Marshall5</v>
      </c>
      <c r="C82" s="1" t="str">
        <f ca="1">IFERROR(__xludf.DUMMYFUNCTION("""COMPUTED_VALUE"""),"CUSA")</f>
        <v>CUSA</v>
      </c>
      <c r="D82" s="1" t="str">
        <f ca="1">IFERROR(__xludf.DUMMYFUNCTION("""COMPUTED_VALUE"""),"21-14")</f>
        <v>21-14</v>
      </c>
      <c r="E82" s="1" t="str">
        <f ca="1">IFERROR(__xludf.DUMMYFUNCTION("""COMPUTED_VALUE"""),"+9.32")</f>
        <v>+9.32</v>
      </c>
      <c r="F82" s="1">
        <f ca="1">IFERROR(__xludf.DUMMYFUNCTION("""COMPUTED_VALUE"""),109.4)</f>
        <v>109.4</v>
      </c>
      <c r="G82" s="1">
        <f ca="1">IFERROR(__xludf.DUMMYFUNCTION("""COMPUTED_VALUE"""),63)</f>
        <v>63</v>
      </c>
      <c r="H82" s="1">
        <f ca="1">IFERROR(__xludf.DUMMYFUNCTION("""COMPUTED_VALUE"""),100.1)</f>
        <v>100.1</v>
      </c>
      <c r="I82" s="1">
        <f ca="1">IFERROR(__xludf.DUMMYFUNCTION("""COMPUTED_VALUE"""),120)</f>
        <v>120</v>
      </c>
      <c r="J82" s="1">
        <f ca="1">IFERROR(__xludf.DUMMYFUNCTION("""COMPUTED_VALUE"""),65.2)</f>
        <v>65.2</v>
      </c>
      <c r="K82" s="1">
        <f ca="1">IFERROR(__xludf.DUMMYFUNCTION("""COMPUTED_VALUE"""),164)</f>
        <v>164</v>
      </c>
      <c r="L82" s="1" t="str">
        <f ca="1">IFERROR(__xludf.DUMMYFUNCTION("""COMPUTED_VALUE"""),"+.026")</f>
        <v>+.026</v>
      </c>
      <c r="M82" s="1">
        <f ca="1">IFERROR(__xludf.DUMMYFUNCTION("""COMPUTED_VALUE"""),103)</f>
        <v>103</v>
      </c>
      <c r="N82" s="1" t="str">
        <f ca="1">IFERROR(__xludf.DUMMYFUNCTION("""COMPUTED_VALUE"""),"+5.94")</f>
        <v>+5.94</v>
      </c>
      <c r="O82" s="1">
        <f ca="1">IFERROR(__xludf.DUMMYFUNCTION("""COMPUTED_VALUE"""),48)</f>
        <v>48</v>
      </c>
      <c r="P82" s="1">
        <f ca="1">IFERROR(__xludf.DUMMYFUNCTION("""COMPUTED_VALUE"""),106)</f>
        <v>106</v>
      </c>
      <c r="Q82" s="1">
        <f ca="1">IFERROR(__xludf.DUMMYFUNCTION("""COMPUTED_VALUE"""),47)</f>
        <v>47</v>
      </c>
      <c r="R82" s="1">
        <f ca="1">IFERROR(__xludf.DUMMYFUNCTION("""COMPUTED_VALUE"""),100.1)</f>
        <v>100.1</v>
      </c>
      <c r="S82" s="1">
        <f ca="1">IFERROR(__xludf.DUMMYFUNCTION("""COMPUTED_VALUE"""),47)</f>
        <v>47</v>
      </c>
      <c r="T82" s="1" t="str">
        <f ca="1">IFERROR(__xludf.DUMMYFUNCTION("""COMPUTED_VALUE"""),"+4.25")</f>
        <v>+4.25</v>
      </c>
      <c r="U82" s="1">
        <f ca="1">IFERROR(__xludf.DUMMYFUNCTION("""COMPUTED_VALUE"""),54)</f>
        <v>54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IFERROR(__xludf.DUMMYFUNCTION("""COMPUTED_VALUE"""),"Lehigh15")</f>
        <v>Lehigh15</v>
      </c>
      <c r="C83" s="1" t="str">
        <f ca="1">IFERROR(__xludf.DUMMYFUNCTION("""COMPUTED_VALUE"""),"Pat")</f>
        <v>Pat</v>
      </c>
      <c r="D83" s="1" t="str">
        <f ca="1">IFERROR(__xludf.DUMMYFUNCTION("""COMPUTED_VALUE"""),"27-8")</f>
        <v>27-8</v>
      </c>
      <c r="E83" s="1" t="str">
        <f ca="1">IFERROR(__xludf.DUMMYFUNCTION("""COMPUTED_VALUE"""),"+9.29")</f>
        <v>+9.29</v>
      </c>
      <c r="F83" s="1">
        <f ca="1">IFERROR(__xludf.DUMMYFUNCTION("""COMPUTED_VALUE"""),108.6)</f>
        <v>108.6</v>
      </c>
      <c r="G83" s="1">
        <f ca="1">IFERROR(__xludf.DUMMYFUNCTION("""COMPUTED_VALUE"""),76)</f>
        <v>76</v>
      </c>
      <c r="H83" s="1">
        <f ca="1">IFERROR(__xludf.DUMMYFUNCTION("""COMPUTED_VALUE"""),99.3)</f>
        <v>99.3</v>
      </c>
      <c r="I83" s="1">
        <f ca="1">IFERROR(__xludf.DUMMYFUNCTION("""COMPUTED_VALUE"""),96)</f>
        <v>96</v>
      </c>
      <c r="J83" s="1">
        <f ca="1">IFERROR(__xludf.DUMMYFUNCTION("""COMPUTED_VALUE"""),67.6)</f>
        <v>67.599999999999994</v>
      </c>
      <c r="K83" s="1">
        <f ca="1">IFERROR(__xludf.DUMMYFUNCTION("""COMPUTED_VALUE"""),56)</f>
        <v>56</v>
      </c>
      <c r="L83" s="1">
        <f ca="1">IFERROR(__xludf.DUMMYFUNCTION("""COMPUTED_VALUE"""),-0.026)</f>
        <v>-2.5999999999999999E-2</v>
      </c>
      <c r="M83" s="1">
        <f ca="1">IFERROR(__xludf.DUMMYFUNCTION("""COMPUTED_VALUE"""),239)</f>
        <v>239</v>
      </c>
      <c r="N83" s="1">
        <f ca="1">IFERROR(__xludf.DUMMYFUNCTION("""COMPUTED_VALUE"""),-5.57)</f>
        <v>-5.57</v>
      </c>
      <c r="O83" s="1">
        <f ca="1">IFERROR(__xludf.DUMMYFUNCTION("""COMPUTED_VALUE"""),300)</f>
        <v>300</v>
      </c>
      <c r="P83" s="1">
        <f ca="1">IFERROR(__xludf.DUMMYFUNCTION("""COMPUTED_VALUE"""),100.3)</f>
        <v>100.3</v>
      </c>
      <c r="Q83" s="1">
        <f ca="1">IFERROR(__xludf.DUMMYFUNCTION("""COMPUTED_VALUE"""),293)</f>
        <v>293</v>
      </c>
      <c r="R83" s="1">
        <f ca="1">IFERROR(__xludf.DUMMYFUNCTION("""COMPUTED_VALUE"""),105.8)</f>
        <v>105.8</v>
      </c>
      <c r="S83" s="1">
        <f ca="1">IFERROR(__xludf.DUMMYFUNCTION("""COMPUTED_VALUE"""),295)</f>
        <v>295</v>
      </c>
      <c r="T83" s="1">
        <f ca="1">IFERROR(__xludf.DUMMYFUNCTION("""COMPUTED_VALUE"""),-5.17)</f>
        <v>-5.17</v>
      </c>
      <c r="U83" s="1">
        <f ca="1">IFERROR(__xludf.DUMMYFUNCTION("""COMPUTED_VALUE"""),299)</f>
        <v>299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IFERROR(__xludf.DUMMYFUNCTION("""COMPUTED_VALUE"""),"Cleveland St.6")</f>
        <v>Cleveland St.6</v>
      </c>
      <c r="C84" s="1" t="str">
        <f ca="1">IFERROR(__xludf.DUMMYFUNCTION("""COMPUTED_VALUE"""),"Horz")</f>
        <v>Horz</v>
      </c>
      <c r="D84" s="1" t="str">
        <f ca="1">IFERROR(__xludf.DUMMYFUNCTION("""COMPUTED_VALUE"""),"22-11")</f>
        <v>22-11</v>
      </c>
      <c r="E84" s="1" t="str">
        <f ca="1">IFERROR(__xludf.DUMMYFUNCTION("""COMPUTED_VALUE"""),"+9.22")</f>
        <v>+9.22</v>
      </c>
      <c r="F84" s="1">
        <f ca="1">IFERROR(__xludf.DUMMYFUNCTION("""COMPUTED_VALUE"""),105.5)</f>
        <v>105.5</v>
      </c>
      <c r="G84" s="1">
        <f ca="1">IFERROR(__xludf.DUMMYFUNCTION("""COMPUTED_VALUE"""),123)</f>
        <v>123</v>
      </c>
      <c r="H84" s="1">
        <f ca="1">IFERROR(__xludf.DUMMYFUNCTION("""COMPUTED_VALUE"""),96.3)</f>
        <v>96.3</v>
      </c>
      <c r="I84" s="1">
        <f ca="1">IFERROR(__xludf.DUMMYFUNCTION("""COMPUTED_VALUE"""),50)</f>
        <v>50</v>
      </c>
      <c r="J84" s="1">
        <f ca="1">IFERROR(__xludf.DUMMYFUNCTION("""COMPUTED_VALUE"""),63.8)</f>
        <v>63.8</v>
      </c>
      <c r="K84" s="1">
        <f ca="1">IFERROR(__xludf.DUMMYFUNCTION("""COMPUTED_VALUE"""),239)</f>
        <v>239</v>
      </c>
      <c r="L84" s="1" t="str">
        <f ca="1">IFERROR(__xludf.DUMMYFUNCTION("""COMPUTED_VALUE"""),"+.008")</f>
        <v>+.008</v>
      </c>
      <c r="M84" s="1">
        <f ca="1">IFERROR(__xludf.DUMMYFUNCTION("""COMPUTED_VALUE"""),152)</f>
        <v>152</v>
      </c>
      <c r="N84" s="1" t="str">
        <f ca="1">IFERROR(__xludf.DUMMYFUNCTION("""COMPUTED_VALUE"""),"+1.53")</f>
        <v>+1.53</v>
      </c>
      <c r="O84" s="1">
        <f ca="1">IFERROR(__xludf.DUMMYFUNCTION("""COMPUTED_VALUE"""),123)</f>
        <v>123</v>
      </c>
      <c r="P84" s="1">
        <f ca="1">IFERROR(__xludf.DUMMYFUNCTION("""COMPUTED_VALUE"""),102.9)</f>
        <v>102.9</v>
      </c>
      <c r="Q84" s="1">
        <f ca="1">IFERROR(__xludf.DUMMYFUNCTION("""COMPUTED_VALUE"""),165)</f>
        <v>165</v>
      </c>
      <c r="R84" s="1">
        <f ca="1">IFERROR(__xludf.DUMMYFUNCTION("""COMPUTED_VALUE"""),101.3)</f>
        <v>101.3</v>
      </c>
      <c r="S84" s="1">
        <f ca="1">IFERROR(__xludf.DUMMYFUNCTION("""COMPUTED_VALUE"""),102)</f>
        <v>102</v>
      </c>
      <c r="T84" s="1" t="str">
        <f ca="1">IFERROR(__xludf.DUMMYFUNCTION("""COMPUTED_VALUE"""),"+4.66")</f>
        <v>+4.66</v>
      </c>
      <c r="U84" s="1">
        <f ca="1">IFERROR(__xludf.DUMMYFUNCTION("""COMPUTED_VALUE"""),45)</f>
        <v>45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IFERROR(__xludf.DUMMYFUNCTION("""COMPUTED_VALUE"""),"Colorado11")</f>
        <v>Colorado11</v>
      </c>
      <c r="C87" s="1" t="str">
        <f ca="1">IFERROR(__xludf.DUMMYFUNCTION("""COMPUTED_VALUE"""),"P12")</f>
        <v>P12</v>
      </c>
      <c r="D87" s="1" t="str">
        <f ca="1">IFERROR(__xludf.DUMMYFUNCTION("""COMPUTED_VALUE"""),"24-12")</f>
        <v>24-12</v>
      </c>
      <c r="E87" s="1" t="str">
        <f ca="1">IFERROR(__xludf.DUMMYFUNCTION("""COMPUTED_VALUE"""),"+8.89")</f>
        <v>+8.89</v>
      </c>
      <c r="F87" s="1">
        <f ca="1">IFERROR(__xludf.DUMMYFUNCTION("""COMPUTED_VALUE"""),104.8)</f>
        <v>104.8</v>
      </c>
      <c r="G87" s="1">
        <f ca="1">IFERROR(__xludf.DUMMYFUNCTION("""COMPUTED_VALUE"""),137)</f>
        <v>137</v>
      </c>
      <c r="H87" s="1">
        <f ca="1">IFERROR(__xludf.DUMMYFUNCTION("""COMPUTED_VALUE"""),95.9)</f>
        <v>95.9</v>
      </c>
      <c r="I87" s="1">
        <f ca="1">IFERROR(__xludf.DUMMYFUNCTION("""COMPUTED_VALUE"""),46)</f>
        <v>46</v>
      </c>
      <c r="J87" s="1">
        <f ca="1">IFERROR(__xludf.DUMMYFUNCTION("""COMPUTED_VALUE"""),65.1)</f>
        <v>65.099999999999994</v>
      </c>
      <c r="K87" s="1">
        <f ca="1">IFERROR(__xludf.DUMMYFUNCTION("""COMPUTED_VALUE"""),170)</f>
        <v>170</v>
      </c>
      <c r="L87" s="1" t="str">
        <f ca="1">IFERROR(__xludf.DUMMYFUNCTION("""COMPUTED_VALUE"""),"+.081")</f>
        <v>+.081</v>
      </c>
      <c r="M87" s="1">
        <f ca="1">IFERROR(__xludf.DUMMYFUNCTION("""COMPUTED_VALUE"""),19)</f>
        <v>19</v>
      </c>
      <c r="N87" s="1" t="str">
        <f ca="1">IFERROR(__xludf.DUMMYFUNCTION("""COMPUTED_VALUE"""),"+5.35")</f>
        <v>+5.35</v>
      </c>
      <c r="O87" s="1">
        <f ca="1">IFERROR(__xludf.DUMMYFUNCTION("""COMPUTED_VALUE"""),59)</f>
        <v>59</v>
      </c>
      <c r="P87" s="1">
        <f ca="1">IFERROR(__xludf.DUMMYFUNCTION("""COMPUTED_VALUE"""),105.7)</f>
        <v>105.7</v>
      </c>
      <c r="Q87" s="1">
        <f ca="1">IFERROR(__xludf.DUMMYFUNCTION("""COMPUTED_VALUE"""),57)</f>
        <v>57</v>
      </c>
      <c r="R87" s="1">
        <f ca="1">IFERROR(__xludf.DUMMYFUNCTION("""COMPUTED_VALUE"""),100.4)</f>
        <v>100.4</v>
      </c>
      <c r="S87" s="1">
        <f ca="1">IFERROR(__xludf.DUMMYFUNCTION("""COMPUTED_VALUE"""),58)</f>
        <v>58</v>
      </c>
      <c r="T87" s="1" t="str">
        <f ca="1">IFERROR(__xludf.DUMMYFUNCTION("""COMPUTED_VALUE"""),"+0.06")</f>
        <v>+0.06</v>
      </c>
      <c r="U87" s="1">
        <f ca="1">IFERROR(__xludf.DUMMYFUNCTION("""COMPUTED_VALUE"""),154)</f>
        <v>154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IFERROR(__xludf.DUMMYFUNCTION("""COMPUTED_VALUE"""),"Clemson")</f>
        <v>Clemson</v>
      </c>
      <c r="C88" s="1" t="str">
        <f ca="1">IFERROR(__xludf.DUMMYFUNCTION("""COMPUTED_VALUE"""),"ACC")</f>
        <v>ACC</v>
      </c>
      <c r="D88" s="1" t="str">
        <f ca="1">IFERROR(__xludf.DUMMYFUNCTION("""COMPUTED_VALUE"""),"16-15")</f>
        <v>16-15</v>
      </c>
      <c r="E88" s="1" t="str">
        <f ca="1">IFERROR(__xludf.DUMMYFUNCTION("""COMPUTED_VALUE"""),"+8.65")</f>
        <v>+8.65</v>
      </c>
      <c r="F88" s="1">
        <f ca="1">IFERROR(__xludf.DUMMYFUNCTION("""COMPUTED_VALUE"""),105.5)</f>
        <v>105.5</v>
      </c>
      <c r="G88" s="1">
        <f ca="1">IFERROR(__xludf.DUMMYFUNCTION("""COMPUTED_VALUE"""),124)</f>
        <v>124</v>
      </c>
      <c r="H88" s="1">
        <f ca="1">IFERROR(__xludf.DUMMYFUNCTION("""COMPUTED_VALUE"""),96.8)</f>
        <v>96.8</v>
      </c>
      <c r="I88" s="1">
        <f ca="1">IFERROR(__xludf.DUMMYFUNCTION("""COMPUTED_VALUE"""),58)</f>
        <v>58</v>
      </c>
      <c r="J88" s="1">
        <f ca="1">IFERROR(__xludf.DUMMYFUNCTION("""COMPUTED_VALUE"""),63.1)</f>
        <v>63.1</v>
      </c>
      <c r="K88" s="1">
        <f ca="1">IFERROR(__xludf.DUMMYFUNCTION("""COMPUTED_VALUE"""),265)</f>
        <v>265</v>
      </c>
      <c r="L88" s="1">
        <f ca="1">IFERROR(__xludf.DUMMYFUNCTION("""COMPUTED_VALUE"""),-0.107)</f>
        <v>-0.107</v>
      </c>
      <c r="M88" s="1">
        <f ca="1">IFERROR(__xludf.DUMMYFUNCTION("""COMPUTED_VALUE"""),343)</f>
        <v>343</v>
      </c>
      <c r="N88" s="1" t="str">
        <f ca="1">IFERROR(__xludf.DUMMYFUNCTION("""COMPUTED_VALUE"""),"+1.66")</f>
        <v>+1.66</v>
      </c>
      <c r="O88" s="1">
        <f ca="1">IFERROR(__xludf.DUMMYFUNCTION("""COMPUTED_VALUE"""),121)</f>
        <v>121</v>
      </c>
      <c r="P88" s="1">
        <f ca="1">IFERROR(__xludf.DUMMYFUNCTION("""COMPUTED_VALUE"""),102.8)</f>
        <v>102.8</v>
      </c>
      <c r="Q88" s="1">
        <f ca="1">IFERROR(__xludf.DUMMYFUNCTION("""COMPUTED_VALUE"""),172)</f>
        <v>172</v>
      </c>
      <c r="R88" s="1">
        <f ca="1">IFERROR(__xludf.DUMMYFUNCTION("""COMPUTED_VALUE"""),101.1)</f>
        <v>101.1</v>
      </c>
      <c r="S88" s="1">
        <f ca="1">IFERROR(__xludf.DUMMYFUNCTION("""COMPUTED_VALUE"""),88)</f>
        <v>88</v>
      </c>
      <c r="T88" s="1">
        <f ca="1">IFERROR(__xludf.DUMMYFUNCTION("""COMPUTED_VALUE"""),-5.99)</f>
        <v>-5.99</v>
      </c>
      <c r="U88" s="1">
        <f ca="1">IFERROR(__xludf.DUMMYFUNCTION("""COMPUTED_VALUE"""),313)</f>
        <v>313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IFERROR(__xludf.DUMMYFUNCTION("""COMPUTED_VALUE"""),"Virginia Tech")</f>
        <v>Virginia Tech</v>
      </c>
      <c r="C89" s="1" t="str">
        <f ca="1">IFERROR(__xludf.DUMMYFUNCTION("""COMPUTED_VALUE"""),"ACC")</f>
        <v>ACC</v>
      </c>
      <c r="D89" s="1" t="str">
        <f ca="1">IFERROR(__xludf.DUMMYFUNCTION("""COMPUTED_VALUE"""),"16-17")</f>
        <v>16-17</v>
      </c>
      <c r="E89" s="1" t="str">
        <f ca="1">IFERROR(__xludf.DUMMYFUNCTION("""COMPUTED_VALUE"""),"+8.64")</f>
        <v>+8.64</v>
      </c>
      <c r="F89" s="1">
        <f ca="1">IFERROR(__xludf.DUMMYFUNCTION("""COMPUTED_VALUE"""),106.8)</f>
        <v>106.8</v>
      </c>
      <c r="G89" s="1">
        <f ca="1">IFERROR(__xludf.DUMMYFUNCTION("""COMPUTED_VALUE"""),98)</f>
        <v>98</v>
      </c>
      <c r="H89" s="1">
        <f ca="1">IFERROR(__xludf.DUMMYFUNCTION("""COMPUTED_VALUE"""),98.1)</f>
        <v>98.1</v>
      </c>
      <c r="I89" s="1">
        <f ca="1">IFERROR(__xludf.DUMMYFUNCTION("""COMPUTED_VALUE"""),83)</f>
        <v>83</v>
      </c>
      <c r="J89" s="1">
        <f ca="1">IFERROR(__xludf.DUMMYFUNCTION("""COMPUTED_VALUE"""),61.9)</f>
        <v>61.9</v>
      </c>
      <c r="K89" s="1">
        <f ca="1">IFERROR(__xludf.DUMMYFUNCTION("""COMPUTED_VALUE"""),301)</f>
        <v>301</v>
      </c>
      <c r="L89" s="1">
        <f ca="1">IFERROR(__xludf.DUMMYFUNCTION("""COMPUTED_VALUE"""),-0.092)</f>
        <v>-9.1999999999999998E-2</v>
      </c>
      <c r="M89" s="1">
        <f ca="1">IFERROR(__xludf.DUMMYFUNCTION("""COMPUTED_VALUE"""),335)</f>
        <v>335</v>
      </c>
      <c r="N89" s="1" t="str">
        <f ca="1">IFERROR(__xludf.DUMMYFUNCTION("""COMPUTED_VALUE"""),"+5.62")</f>
        <v>+5.62</v>
      </c>
      <c r="O89" s="1">
        <f ca="1">IFERROR(__xludf.DUMMYFUNCTION("""COMPUTED_VALUE"""),53)</f>
        <v>53</v>
      </c>
      <c r="P89" s="1">
        <f ca="1">IFERROR(__xludf.DUMMYFUNCTION("""COMPUTED_VALUE"""),105.3)</f>
        <v>105.3</v>
      </c>
      <c r="Q89" s="1">
        <f ca="1">IFERROR(__xludf.DUMMYFUNCTION("""COMPUTED_VALUE"""),70)</f>
        <v>70</v>
      </c>
      <c r="R89" s="1">
        <f ca="1">IFERROR(__xludf.DUMMYFUNCTION("""COMPUTED_VALUE"""),99.7)</f>
        <v>99.7</v>
      </c>
      <c r="S89" s="1">
        <f ca="1">IFERROR(__xludf.DUMMYFUNCTION("""COMPUTED_VALUE"""),37)</f>
        <v>37</v>
      </c>
      <c r="T89" s="1" t="str">
        <f ca="1">IFERROR(__xludf.DUMMYFUNCTION("""COMPUTED_VALUE"""),"+0.09")</f>
        <v>+0.09</v>
      </c>
      <c r="U89" s="1">
        <f ca="1">IFERROR(__xludf.DUMMYFUNCTION("""COMPUTED_VALUE"""),152)</f>
        <v>152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IFERROR(__xludf.DUMMYFUNCTION("""COMPUTED_VALUE"""),"Georgia St.")</f>
        <v>Georgia St.</v>
      </c>
      <c r="C90" s="1" t="str">
        <f ca="1">IFERROR(__xludf.DUMMYFUNCTION("""COMPUTED_VALUE"""),"CAA")</f>
        <v>CAA</v>
      </c>
      <c r="D90" s="1" t="str">
        <f ca="1">IFERROR(__xludf.DUMMYFUNCTION("""COMPUTED_VALUE"""),"22-12")</f>
        <v>22-12</v>
      </c>
      <c r="E90" s="1" t="str">
        <f ca="1">IFERROR(__xludf.DUMMYFUNCTION("""COMPUTED_VALUE"""),"+8.57")</f>
        <v>+8.57</v>
      </c>
      <c r="F90" s="1">
        <f ca="1">IFERROR(__xludf.DUMMYFUNCTION("""COMPUTED_VALUE"""),102.1)</f>
        <v>102.1</v>
      </c>
      <c r="G90" s="1">
        <f ca="1">IFERROR(__xludf.DUMMYFUNCTION("""COMPUTED_VALUE"""),180)</f>
        <v>180</v>
      </c>
      <c r="H90" s="1">
        <f ca="1">IFERROR(__xludf.DUMMYFUNCTION("""COMPUTED_VALUE"""),93.5)</f>
        <v>93.5</v>
      </c>
      <c r="I90" s="1">
        <f ca="1">IFERROR(__xludf.DUMMYFUNCTION("""COMPUTED_VALUE"""),24)</f>
        <v>24</v>
      </c>
      <c r="J90" s="1">
        <f ca="1">IFERROR(__xludf.DUMMYFUNCTION("""COMPUTED_VALUE"""),63.9)</f>
        <v>63.9</v>
      </c>
      <c r="K90" s="1">
        <f ca="1">IFERROR(__xludf.DUMMYFUNCTION("""COMPUTED_VALUE"""),231)</f>
        <v>231</v>
      </c>
      <c r="L90" s="1">
        <f ca="1">IFERROR(__xludf.DUMMYFUNCTION("""COMPUTED_VALUE"""),-0.075)</f>
        <v>-7.4999999999999997E-2</v>
      </c>
      <c r="M90" s="1">
        <f ca="1">IFERROR(__xludf.DUMMYFUNCTION("""COMPUTED_VALUE"""),328)</f>
        <v>328</v>
      </c>
      <c r="N90" s="1">
        <f ca="1">IFERROR(__xludf.DUMMYFUNCTION("""COMPUTED_VALUE"""),-3.85)</f>
        <v>-3.85</v>
      </c>
      <c r="O90" s="1">
        <f ca="1">IFERROR(__xludf.DUMMYFUNCTION("""COMPUTED_VALUE"""),251)</f>
        <v>251</v>
      </c>
      <c r="P90" s="1">
        <f ca="1">IFERROR(__xludf.DUMMYFUNCTION("""COMPUTED_VALUE"""),101.1)</f>
        <v>101.1</v>
      </c>
      <c r="Q90" s="1">
        <f ca="1">IFERROR(__xludf.DUMMYFUNCTION("""COMPUTED_VALUE"""),257)</f>
        <v>257</v>
      </c>
      <c r="R90" s="1">
        <f ca="1">IFERROR(__xludf.DUMMYFUNCTION("""COMPUTED_VALUE"""),104.9)</f>
        <v>104.9</v>
      </c>
      <c r="S90" s="1">
        <f ca="1">IFERROR(__xludf.DUMMYFUNCTION("""COMPUTED_VALUE"""),250)</f>
        <v>250</v>
      </c>
      <c r="T90" s="1">
        <f ca="1">IFERROR(__xludf.DUMMYFUNCTION("""COMPUTED_VALUE"""),-8.68)</f>
        <v>-8.68</v>
      </c>
      <c r="U90" s="1">
        <f ca="1">IFERROR(__xludf.DUMMYFUNCTION("""COMPUTED_VALUE"""),333)</f>
        <v>333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IFERROR(__xludf.DUMMYFUNCTION("""COMPUTED_VALUE"""),"Villanova")</f>
        <v>Villanova</v>
      </c>
      <c r="C91" s="1" t="str">
        <f ca="1">IFERROR(__xludf.DUMMYFUNCTION("""COMPUTED_VALUE"""),"BE")</f>
        <v>BE</v>
      </c>
      <c r="D91" s="1" t="str">
        <f ca="1">IFERROR(__xludf.DUMMYFUNCTION("""COMPUTED_VALUE"""),"13-19")</f>
        <v>13-19</v>
      </c>
      <c r="E91" s="1" t="str">
        <f ca="1">IFERROR(__xludf.DUMMYFUNCTION("""COMPUTED_VALUE"""),"+8.50")</f>
        <v>+8.50</v>
      </c>
      <c r="F91" s="1">
        <f ca="1">IFERROR(__xludf.DUMMYFUNCTION("""COMPUTED_VALUE"""),109.2)</f>
        <v>109.2</v>
      </c>
      <c r="G91" s="1">
        <f ca="1">IFERROR(__xludf.DUMMYFUNCTION("""COMPUTED_VALUE"""),68)</f>
        <v>68</v>
      </c>
      <c r="H91" s="1">
        <f ca="1">IFERROR(__xludf.DUMMYFUNCTION("""COMPUTED_VALUE"""),100.7)</f>
        <v>100.7</v>
      </c>
      <c r="I91" s="1">
        <f ca="1">IFERROR(__xludf.DUMMYFUNCTION("""COMPUTED_VALUE"""),132)</f>
        <v>132</v>
      </c>
      <c r="J91" s="1">
        <f ca="1">IFERROR(__xludf.DUMMYFUNCTION("""COMPUTED_VALUE"""),67.4)</f>
        <v>67.400000000000006</v>
      </c>
      <c r="K91" s="1">
        <f ca="1">IFERROR(__xludf.DUMMYFUNCTION("""COMPUTED_VALUE"""),64)</f>
        <v>64</v>
      </c>
      <c r="L91" s="1">
        <f ca="1">IFERROR(__xludf.DUMMYFUNCTION("""COMPUTED_VALUE"""),-0.095)</f>
        <v>-9.5000000000000001E-2</v>
      </c>
      <c r="M91" s="1">
        <f ca="1">IFERROR(__xludf.DUMMYFUNCTION("""COMPUTED_VALUE"""),338)</f>
        <v>338</v>
      </c>
      <c r="N91" s="1" t="str">
        <f ca="1">IFERROR(__xludf.DUMMYFUNCTION("""COMPUTED_VALUE"""),"+8.58")</f>
        <v>+8.58</v>
      </c>
      <c r="O91" s="1">
        <f ca="1">IFERROR(__xludf.DUMMYFUNCTION("""COMPUTED_VALUE"""),10)</f>
        <v>10</v>
      </c>
      <c r="P91" s="1">
        <f ca="1">IFERROR(__xludf.DUMMYFUNCTION("""COMPUTED_VALUE"""),106.9)</f>
        <v>106.9</v>
      </c>
      <c r="Q91" s="1">
        <f ca="1">IFERROR(__xludf.DUMMYFUNCTION("""COMPUTED_VALUE"""),34)</f>
        <v>34</v>
      </c>
      <c r="R91" s="1">
        <f ca="1">IFERROR(__xludf.DUMMYFUNCTION("""COMPUTED_VALUE"""),98.3)</f>
        <v>98.3</v>
      </c>
      <c r="S91" s="1">
        <f ca="1">IFERROR(__xludf.DUMMYFUNCTION("""COMPUTED_VALUE"""),5)</f>
        <v>5</v>
      </c>
      <c r="T91" s="1" t="str">
        <f ca="1">IFERROR(__xludf.DUMMYFUNCTION("""COMPUTED_VALUE"""),"+0.93")</f>
        <v>+0.93</v>
      </c>
      <c r="U91" s="1">
        <f ca="1">IFERROR(__xludf.DUMMYFUNCTION("""COMPUTED_VALUE"""),129)</f>
        <v>129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IFERROR(__xludf.DUMMYFUNCTION("""COMPUTED_VALUE"""),"Missouri St.")</f>
        <v>Missouri St.</v>
      </c>
      <c r="C92" s="1" t="str">
        <f ca="1">IFERROR(__xludf.DUMMYFUNCTION("""COMPUTED_VALUE"""),"MVC")</f>
        <v>MVC</v>
      </c>
      <c r="D92" s="1" t="str">
        <f ca="1">IFERROR(__xludf.DUMMYFUNCTION("""COMPUTED_VALUE"""),"16-16")</f>
        <v>16-16</v>
      </c>
      <c r="E92" s="1" t="str">
        <f ca="1">IFERROR(__xludf.DUMMYFUNCTION("""COMPUTED_VALUE"""),"+8.23")</f>
        <v>+8.23</v>
      </c>
      <c r="F92" s="1">
        <f ca="1">IFERROR(__xludf.DUMMYFUNCTION("""COMPUTED_VALUE"""),105.3)</f>
        <v>105.3</v>
      </c>
      <c r="G92" s="1">
        <f ca="1">IFERROR(__xludf.DUMMYFUNCTION("""COMPUTED_VALUE"""),129)</f>
        <v>129</v>
      </c>
      <c r="H92" s="1">
        <f ca="1">IFERROR(__xludf.DUMMYFUNCTION("""COMPUTED_VALUE"""),97.1)</f>
        <v>97.1</v>
      </c>
      <c r="I92" s="1">
        <f ca="1">IFERROR(__xludf.DUMMYFUNCTION("""COMPUTED_VALUE"""),65)</f>
        <v>65</v>
      </c>
      <c r="J92" s="1">
        <f ca="1">IFERROR(__xludf.DUMMYFUNCTION("""COMPUTED_VALUE"""),62.4)</f>
        <v>62.4</v>
      </c>
      <c r="K92" s="1">
        <f ca="1">IFERROR(__xludf.DUMMYFUNCTION("""COMPUTED_VALUE"""),287)</f>
        <v>287</v>
      </c>
      <c r="L92" s="1">
        <f ca="1">IFERROR(__xludf.DUMMYFUNCTION("""COMPUTED_VALUE"""),-0.093)</f>
        <v>-9.2999999999999999E-2</v>
      </c>
      <c r="M92" s="1">
        <f ca="1">IFERROR(__xludf.DUMMYFUNCTION("""COMPUTED_VALUE"""),336)</f>
        <v>336</v>
      </c>
      <c r="N92" s="1" t="str">
        <f ca="1">IFERROR(__xludf.DUMMYFUNCTION("""COMPUTED_VALUE"""),"+4.70")</f>
        <v>+4.70</v>
      </c>
      <c r="O92" s="1">
        <f ca="1">IFERROR(__xludf.DUMMYFUNCTION("""COMPUTED_VALUE"""),66)</f>
        <v>66</v>
      </c>
      <c r="P92" s="1">
        <f ca="1">IFERROR(__xludf.DUMMYFUNCTION("""COMPUTED_VALUE"""),105.9)</f>
        <v>105.9</v>
      </c>
      <c r="Q92" s="1">
        <f ca="1">IFERROR(__xludf.DUMMYFUNCTION("""COMPUTED_VALUE"""),49)</f>
        <v>49</v>
      </c>
      <c r="R92" s="1">
        <f ca="1">IFERROR(__xludf.DUMMYFUNCTION("""COMPUTED_VALUE"""),101.2)</f>
        <v>101.2</v>
      </c>
      <c r="S92" s="1">
        <f ca="1">IFERROR(__xludf.DUMMYFUNCTION("""COMPUTED_VALUE"""),95)</f>
        <v>95</v>
      </c>
      <c r="T92" s="1" t="str">
        <f ca="1">IFERROR(__xludf.DUMMYFUNCTION("""COMPUTED_VALUE"""),"+4.09")</f>
        <v>+4.09</v>
      </c>
      <c r="U92" s="1">
        <f ca="1">IFERROR(__xludf.DUMMYFUNCTION("""COMPUTED_VALUE"""),59)</f>
        <v>59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IFERROR(__xludf.DUMMYFUNCTION("""COMPUTED_VALUE"""),"Oregon St.")</f>
        <v>Oregon St.</v>
      </c>
      <c r="C93" s="1" t="str">
        <f ca="1">IFERROR(__xludf.DUMMYFUNCTION("""COMPUTED_VALUE"""),"P12")</f>
        <v>P12</v>
      </c>
      <c r="D93" s="1" t="str">
        <f ca="1">IFERROR(__xludf.DUMMYFUNCTION("""COMPUTED_VALUE"""),"21-15")</f>
        <v>21-15</v>
      </c>
      <c r="E93" s="1" t="str">
        <f ca="1">IFERROR(__xludf.DUMMYFUNCTION("""COMPUTED_VALUE"""),"+8.22")</f>
        <v>+8.22</v>
      </c>
      <c r="F93" s="1">
        <f ca="1">IFERROR(__xludf.DUMMYFUNCTION("""COMPUTED_VALUE"""),111)</f>
        <v>111</v>
      </c>
      <c r="G93" s="1">
        <f ca="1">IFERROR(__xludf.DUMMYFUNCTION("""COMPUTED_VALUE"""),48)</f>
        <v>48</v>
      </c>
      <c r="H93" s="1">
        <f ca="1">IFERROR(__xludf.DUMMYFUNCTION("""COMPUTED_VALUE"""),102.7)</f>
        <v>102.7</v>
      </c>
      <c r="I93" s="1">
        <f ca="1">IFERROR(__xludf.DUMMYFUNCTION("""COMPUTED_VALUE"""),170)</f>
        <v>170</v>
      </c>
      <c r="J93" s="1">
        <f ca="1">IFERROR(__xludf.DUMMYFUNCTION("""COMPUTED_VALUE"""),70)</f>
        <v>70</v>
      </c>
      <c r="K93" s="1">
        <f ca="1">IFERROR(__xludf.DUMMYFUNCTION("""COMPUTED_VALUE"""),18)</f>
        <v>18</v>
      </c>
      <c r="L93" s="1">
        <f ca="1">IFERROR(__xludf.DUMMYFUNCTION("""COMPUTED_VALUE"""),-0.059)</f>
        <v>-5.8999999999999997E-2</v>
      </c>
      <c r="M93" s="1">
        <f ca="1">IFERROR(__xludf.DUMMYFUNCTION("""COMPUTED_VALUE"""),304)</f>
        <v>304</v>
      </c>
      <c r="N93" s="1" t="str">
        <f ca="1">IFERROR(__xludf.DUMMYFUNCTION("""COMPUTED_VALUE"""),"+1.98")</f>
        <v>+1.98</v>
      </c>
      <c r="O93" s="1">
        <f ca="1">IFERROR(__xludf.DUMMYFUNCTION("""COMPUTED_VALUE"""),118)</f>
        <v>118</v>
      </c>
      <c r="P93" s="1">
        <f ca="1">IFERROR(__xludf.DUMMYFUNCTION("""COMPUTED_VALUE"""),103.8)</f>
        <v>103.8</v>
      </c>
      <c r="Q93" s="1">
        <f ca="1">IFERROR(__xludf.DUMMYFUNCTION("""COMPUTED_VALUE"""),127)</f>
        <v>127</v>
      </c>
      <c r="R93" s="1">
        <f ca="1">IFERROR(__xludf.DUMMYFUNCTION("""COMPUTED_VALUE"""),101.9)</f>
        <v>101.9</v>
      </c>
      <c r="S93" s="1">
        <f ca="1">IFERROR(__xludf.DUMMYFUNCTION("""COMPUTED_VALUE"""),121)</f>
        <v>121</v>
      </c>
      <c r="T93" s="1">
        <f ca="1">IFERROR(__xludf.DUMMYFUNCTION("""COMPUTED_VALUE"""),-8.02)</f>
        <v>-8.02</v>
      </c>
      <c r="U93" s="1">
        <f ca="1">IFERROR(__xludf.DUMMYFUNCTION("""COMPUTED_VALUE"""),332)</f>
        <v>332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IFERROR(__xludf.DUMMYFUNCTION("""COMPUTED_VALUE"""),"Colorado St.11")</f>
        <v>Colorado St.11</v>
      </c>
      <c r="C94" s="1" t="str">
        <f ca="1">IFERROR(__xludf.DUMMYFUNCTION("""COMPUTED_VALUE"""),"MWC")</f>
        <v>MWC</v>
      </c>
      <c r="D94" s="1" t="str">
        <f ca="1">IFERROR(__xludf.DUMMYFUNCTION("""COMPUTED_VALUE"""),"20-12")</f>
        <v>20-12</v>
      </c>
      <c r="E94" s="1" t="str">
        <f ca="1">IFERROR(__xludf.DUMMYFUNCTION("""COMPUTED_VALUE"""),"+8.17")</f>
        <v>+8.17</v>
      </c>
      <c r="F94" s="1">
        <f ca="1">IFERROR(__xludf.DUMMYFUNCTION("""COMPUTED_VALUE"""),111.9)</f>
        <v>111.9</v>
      </c>
      <c r="G94" s="1">
        <f ca="1">IFERROR(__xludf.DUMMYFUNCTION("""COMPUTED_VALUE"""),35)</f>
        <v>35</v>
      </c>
      <c r="H94" s="1">
        <f ca="1">IFERROR(__xludf.DUMMYFUNCTION("""COMPUTED_VALUE"""),103.7)</f>
        <v>103.7</v>
      </c>
      <c r="I94" s="1">
        <f ca="1">IFERROR(__xludf.DUMMYFUNCTION("""COMPUTED_VALUE"""),189)</f>
        <v>189</v>
      </c>
      <c r="J94" s="1">
        <f ca="1">IFERROR(__xludf.DUMMYFUNCTION("""COMPUTED_VALUE"""),63.6)</f>
        <v>63.6</v>
      </c>
      <c r="K94" s="1">
        <f ca="1">IFERROR(__xludf.DUMMYFUNCTION("""COMPUTED_VALUE"""),250)</f>
        <v>250</v>
      </c>
      <c r="L94" s="1" t="str">
        <f ca="1">IFERROR(__xludf.DUMMYFUNCTION("""COMPUTED_VALUE"""),"+.075")</f>
        <v>+.075</v>
      </c>
      <c r="M94" s="1">
        <f ca="1">IFERROR(__xludf.DUMMYFUNCTION("""COMPUTED_VALUE"""),21)</f>
        <v>21</v>
      </c>
      <c r="N94" s="1" t="str">
        <f ca="1">IFERROR(__xludf.DUMMYFUNCTION("""COMPUTED_VALUE"""),"+4.39")</f>
        <v>+4.39</v>
      </c>
      <c r="O94" s="1">
        <f ca="1">IFERROR(__xludf.DUMMYFUNCTION("""COMPUTED_VALUE"""),70)</f>
        <v>70</v>
      </c>
      <c r="P94" s="1">
        <f ca="1">IFERROR(__xludf.DUMMYFUNCTION("""COMPUTED_VALUE"""),104.7)</f>
        <v>104.7</v>
      </c>
      <c r="Q94" s="1">
        <f ca="1">IFERROR(__xludf.DUMMYFUNCTION("""COMPUTED_VALUE"""),87)</f>
        <v>87</v>
      </c>
      <c r="R94" s="1">
        <f ca="1">IFERROR(__xludf.DUMMYFUNCTION("""COMPUTED_VALUE"""),100.3)</f>
        <v>100.3</v>
      </c>
      <c r="S94" s="1">
        <f ca="1">IFERROR(__xludf.DUMMYFUNCTION("""COMPUTED_VALUE"""),56)</f>
        <v>56</v>
      </c>
      <c r="T94" s="1" t="str">
        <f ca="1">IFERROR(__xludf.DUMMYFUNCTION("""COMPUTED_VALUE"""),"+0.85")</f>
        <v>+0.85</v>
      </c>
      <c r="U94" s="1">
        <f ca="1">IFERROR(__xludf.DUMMYFUNCTION("""COMPUTED_VALUE"""),131)</f>
        <v>131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IFERROR(__xludf.DUMMYFUNCTION("""COMPUTED_VALUE"""),"Bucknell8")</f>
        <v>Bucknell8</v>
      </c>
      <c r="C95" s="1" t="str">
        <f ca="1">IFERROR(__xludf.DUMMYFUNCTION("""COMPUTED_VALUE"""),"Pat")</f>
        <v>Pat</v>
      </c>
      <c r="D95" s="1" t="str">
        <f ca="1">IFERROR(__xludf.DUMMYFUNCTION("""COMPUTED_VALUE"""),"25-10")</f>
        <v>25-10</v>
      </c>
      <c r="E95" s="1" t="str">
        <f ca="1">IFERROR(__xludf.DUMMYFUNCTION("""COMPUTED_VALUE"""),"+8.11")</f>
        <v>+8.11</v>
      </c>
      <c r="F95" s="1">
        <f ca="1">IFERROR(__xludf.DUMMYFUNCTION("""COMPUTED_VALUE"""),107.4)</f>
        <v>107.4</v>
      </c>
      <c r="G95" s="1">
        <f ca="1">IFERROR(__xludf.DUMMYFUNCTION("""COMPUTED_VALUE"""),90)</f>
        <v>90</v>
      </c>
      <c r="H95" s="1">
        <f ca="1">IFERROR(__xludf.DUMMYFUNCTION("""COMPUTED_VALUE"""),99.3)</f>
        <v>99.3</v>
      </c>
      <c r="I95" s="1">
        <f ca="1">IFERROR(__xludf.DUMMYFUNCTION("""COMPUTED_VALUE"""),97)</f>
        <v>97</v>
      </c>
      <c r="J95" s="1">
        <f ca="1">IFERROR(__xludf.DUMMYFUNCTION("""COMPUTED_VALUE"""),63.2)</f>
        <v>63.2</v>
      </c>
      <c r="K95" s="1">
        <f ca="1">IFERROR(__xludf.DUMMYFUNCTION("""COMPUTED_VALUE"""),262)</f>
        <v>262</v>
      </c>
      <c r="L95" s="1" t="str">
        <f ca="1">IFERROR(__xludf.DUMMYFUNCTION("""COMPUTED_VALUE"""),"+.007")</f>
        <v>+.007</v>
      </c>
      <c r="M95" s="1">
        <f ca="1">IFERROR(__xludf.DUMMYFUNCTION("""COMPUTED_VALUE"""),153)</f>
        <v>153</v>
      </c>
      <c r="N95" s="1">
        <f ca="1">IFERROR(__xludf.DUMMYFUNCTION("""COMPUTED_VALUE"""),-3.12)</f>
        <v>-3.12</v>
      </c>
      <c r="O95" s="1">
        <f ca="1">IFERROR(__xludf.DUMMYFUNCTION("""COMPUTED_VALUE"""),238)</f>
        <v>238</v>
      </c>
      <c r="P95" s="1">
        <f ca="1">IFERROR(__xludf.DUMMYFUNCTION("""COMPUTED_VALUE"""),101.5)</f>
        <v>101.5</v>
      </c>
      <c r="Q95" s="1">
        <f ca="1">IFERROR(__xludf.DUMMYFUNCTION("""COMPUTED_VALUE"""),240)</f>
        <v>240</v>
      </c>
      <c r="R95" s="1">
        <f ca="1">IFERROR(__xludf.DUMMYFUNCTION("""COMPUTED_VALUE"""),104.6)</f>
        <v>104.6</v>
      </c>
      <c r="S95" s="1">
        <f ca="1">IFERROR(__xludf.DUMMYFUNCTION("""COMPUTED_VALUE"""),233)</f>
        <v>233</v>
      </c>
      <c r="T95" s="1" t="str">
        <f ca="1">IFERROR(__xludf.DUMMYFUNCTION("""COMPUTED_VALUE"""),"+1.59")</f>
        <v>+1.59</v>
      </c>
      <c r="U95" s="1">
        <f ca="1">IFERROR(__xludf.DUMMYFUNCTION("""COMPUTED_VALUE"""),110)</f>
        <v>110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IFERROR(__xludf.DUMMYFUNCTION("""COMPUTED_VALUE"""),"Wyoming")</f>
        <v>Wyoming</v>
      </c>
      <c r="C96" s="1" t="str">
        <f ca="1">IFERROR(__xludf.DUMMYFUNCTION("""COMPUTED_VALUE"""),"MWC")</f>
        <v>MWC</v>
      </c>
      <c r="D96" s="1" t="str">
        <f ca="1">IFERROR(__xludf.DUMMYFUNCTION("""COMPUTED_VALUE"""),"21-12")</f>
        <v>21-12</v>
      </c>
      <c r="E96" s="1" t="str">
        <f ca="1">IFERROR(__xludf.DUMMYFUNCTION("""COMPUTED_VALUE"""),"+8.05")</f>
        <v>+8.05</v>
      </c>
      <c r="F96" s="1">
        <f ca="1">IFERROR(__xludf.DUMMYFUNCTION("""COMPUTED_VALUE"""),101.7)</f>
        <v>101.7</v>
      </c>
      <c r="G96" s="1">
        <f ca="1">IFERROR(__xludf.DUMMYFUNCTION("""COMPUTED_VALUE"""),192)</f>
        <v>192</v>
      </c>
      <c r="H96" s="1">
        <f ca="1">IFERROR(__xludf.DUMMYFUNCTION("""COMPUTED_VALUE"""),93.7)</f>
        <v>93.7</v>
      </c>
      <c r="I96" s="1">
        <f ca="1">IFERROR(__xludf.DUMMYFUNCTION("""COMPUTED_VALUE"""),25)</f>
        <v>25</v>
      </c>
      <c r="J96" s="1">
        <f ca="1">IFERROR(__xludf.DUMMYFUNCTION("""COMPUTED_VALUE"""),60)</f>
        <v>60</v>
      </c>
      <c r="K96" s="1">
        <f ca="1">IFERROR(__xludf.DUMMYFUNCTION("""COMPUTED_VALUE"""),331)</f>
        <v>331</v>
      </c>
      <c r="L96" s="1">
        <f ca="1">IFERROR(__xludf.DUMMYFUNCTION("""COMPUTED_VALUE"""),-0.03)</f>
        <v>-0.03</v>
      </c>
      <c r="M96" s="1">
        <f ca="1">IFERROR(__xludf.DUMMYFUNCTION("""COMPUTED_VALUE"""),250)</f>
        <v>250</v>
      </c>
      <c r="N96" s="1" t="str">
        <f ca="1">IFERROR(__xludf.DUMMYFUNCTION("""COMPUTED_VALUE"""),"+0.17")</f>
        <v>+0.17</v>
      </c>
      <c r="O96" s="1">
        <f ca="1">IFERROR(__xludf.DUMMYFUNCTION("""COMPUTED_VALUE"""),151)</f>
        <v>151</v>
      </c>
      <c r="P96" s="1">
        <f ca="1">IFERROR(__xludf.DUMMYFUNCTION("""COMPUTED_VALUE"""),103.6)</f>
        <v>103.6</v>
      </c>
      <c r="Q96" s="1">
        <f ca="1">IFERROR(__xludf.DUMMYFUNCTION("""COMPUTED_VALUE"""),136)</f>
        <v>136</v>
      </c>
      <c r="R96" s="1">
        <f ca="1">IFERROR(__xludf.DUMMYFUNCTION("""COMPUTED_VALUE"""),103.4)</f>
        <v>103.4</v>
      </c>
      <c r="S96" s="1">
        <f ca="1">IFERROR(__xludf.DUMMYFUNCTION("""COMPUTED_VALUE"""),170)</f>
        <v>170</v>
      </c>
      <c r="T96" s="1">
        <f ca="1">IFERROR(__xludf.DUMMYFUNCTION("""COMPUTED_VALUE"""),-9.1)</f>
        <v>-9.1</v>
      </c>
      <c r="U96" s="1">
        <f ca="1">IFERROR(__xludf.DUMMYFUNCTION("""COMPUTED_VALUE"""),337)</f>
        <v>337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IFERROR(__xludf.DUMMYFUNCTION("""COMPUTED_VALUE"""),"Oral Roberts4")</f>
        <v>Oral Roberts4</v>
      </c>
      <c r="C97" s="1" t="str">
        <f ca="1">IFERROR(__xludf.DUMMYFUNCTION("""COMPUTED_VALUE"""),"Sum")</f>
        <v>Sum</v>
      </c>
      <c r="D97" s="1" t="str">
        <f ca="1">IFERROR(__xludf.DUMMYFUNCTION("""COMPUTED_VALUE"""),"27-7")</f>
        <v>27-7</v>
      </c>
      <c r="E97" s="1" t="str">
        <f ca="1">IFERROR(__xludf.DUMMYFUNCTION("""COMPUTED_VALUE"""),"+8.04")</f>
        <v>+8.04</v>
      </c>
      <c r="F97" s="1">
        <f ca="1">IFERROR(__xludf.DUMMYFUNCTION("""COMPUTED_VALUE"""),111.8)</f>
        <v>111.8</v>
      </c>
      <c r="G97" s="1">
        <f ca="1">IFERROR(__xludf.DUMMYFUNCTION("""COMPUTED_VALUE"""),36)</f>
        <v>36</v>
      </c>
      <c r="H97" s="1">
        <f ca="1">IFERROR(__xludf.DUMMYFUNCTION("""COMPUTED_VALUE"""),103.7)</f>
        <v>103.7</v>
      </c>
      <c r="I97" s="1">
        <f ca="1">IFERROR(__xludf.DUMMYFUNCTION("""COMPUTED_VALUE"""),191)</f>
        <v>191</v>
      </c>
      <c r="J97" s="1">
        <f ca="1">IFERROR(__xludf.DUMMYFUNCTION("""COMPUTED_VALUE"""),63.2)</f>
        <v>63.2</v>
      </c>
      <c r="K97" s="1">
        <f ca="1">IFERROR(__xludf.DUMMYFUNCTION("""COMPUTED_VALUE"""),261)</f>
        <v>261</v>
      </c>
      <c r="L97" s="1" t="str">
        <f ca="1">IFERROR(__xludf.DUMMYFUNCTION("""COMPUTED_VALUE"""),"+.063")</f>
        <v>+.063</v>
      </c>
      <c r="M97" s="1">
        <f ca="1">IFERROR(__xludf.DUMMYFUNCTION("""COMPUTED_VALUE"""),33)</f>
        <v>33</v>
      </c>
      <c r="N97" s="1">
        <f ca="1">IFERROR(__xludf.DUMMYFUNCTION("""COMPUTED_VALUE"""),-2.41)</f>
        <v>-2.41</v>
      </c>
      <c r="O97" s="1">
        <f ca="1">IFERROR(__xludf.DUMMYFUNCTION("""COMPUTED_VALUE"""),212)</f>
        <v>212</v>
      </c>
      <c r="P97" s="1">
        <f ca="1">IFERROR(__xludf.DUMMYFUNCTION("""COMPUTED_VALUE"""),102.7)</f>
        <v>102.7</v>
      </c>
      <c r="Q97" s="1">
        <f ca="1">IFERROR(__xludf.DUMMYFUNCTION("""COMPUTED_VALUE"""),176)</f>
        <v>176</v>
      </c>
      <c r="R97" s="1">
        <f ca="1">IFERROR(__xludf.DUMMYFUNCTION("""COMPUTED_VALUE"""),105.1)</f>
        <v>105.1</v>
      </c>
      <c r="S97" s="1">
        <f ca="1">IFERROR(__xludf.DUMMYFUNCTION("""COMPUTED_VALUE"""),258)</f>
        <v>258</v>
      </c>
      <c r="T97" s="1" t="str">
        <f ca="1">IFERROR(__xludf.DUMMYFUNCTION("""COMPUTED_VALUE"""),"+0.56")</f>
        <v>+0.56</v>
      </c>
      <c r="U97" s="1">
        <f ca="1">IFERROR(__xludf.DUMMYFUNCTION("""COMPUTED_VALUE"""),140)</f>
        <v>140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IFERROR(__xludf.DUMMYFUNCTION("""COMPUTED_VALUE"""),"Buffalo")</f>
        <v>Buffalo</v>
      </c>
      <c r="C98" s="1" t="str">
        <f ca="1">IFERROR(__xludf.DUMMYFUNCTION("""COMPUTED_VALUE"""),"MAC")</f>
        <v>MAC</v>
      </c>
      <c r="D98" s="1" t="str">
        <f ca="1">IFERROR(__xludf.DUMMYFUNCTION("""COMPUTED_VALUE"""),"20-11")</f>
        <v>20-11</v>
      </c>
      <c r="E98" s="1" t="str">
        <f ca="1">IFERROR(__xludf.DUMMYFUNCTION("""COMPUTED_VALUE"""),"+7.92")</f>
        <v>+7.92</v>
      </c>
      <c r="F98" s="1">
        <f ca="1">IFERROR(__xludf.DUMMYFUNCTION("""COMPUTED_VALUE"""),107.3)</f>
        <v>107.3</v>
      </c>
      <c r="G98" s="1">
        <f ca="1">IFERROR(__xludf.DUMMYFUNCTION("""COMPUTED_VALUE"""),91)</f>
        <v>91</v>
      </c>
      <c r="H98" s="1">
        <f ca="1">IFERROR(__xludf.DUMMYFUNCTION("""COMPUTED_VALUE"""),99.4)</f>
        <v>99.4</v>
      </c>
      <c r="I98" s="1">
        <f ca="1">IFERROR(__xludf.DUMMYFUNCTION("""COMPUTED_VALUE"""),102)</f>
        <v>102</v>
      </c>
      <c r="J98" s="1">
        <f ca="1">IFERROR(__xludf.DUMMYFUNCTION("""COMPUTED_VALUE"""),67.3)</f>
        <v>67.3</v>
      </c>
      <c r="K98" s="1">
        <f ca="1">IFERROR(__xludf.DUMMYFUNCTION("""COMPUTED_VALUE"""),66)</f>
        <v>66</v>
      </c>
      <c r="L98" s="1">
        <f ca="1">IFERROR(__xludf.DUMMYFUNCTION("""COMPUTED_VALUE"""),0)</f>
        <v>0</v>
      </c>
      <c r="M98" s="1">
        <f ca="1">IFERROR(__xludf.DUMMYFUNCTION("""COMPUTED_VALUE"""),172)</f>
        <v>172</v>
      </c>
      <c r="N98" s="1" t="str">
        <f ca="1">IFERROR(__xludf.DUMMYFUNCTION("""COMPUTED_VALUE"""),"+2.00")</f>
        <v>+2.00</v>
      </c>
      <c r="O98" s="1">
        <f ca="1">IFERROR(__xludf.DUMMYFUNCTION("""COMPUTED_VALUE"""),117)</f>
        <v>117</v>
      </c>
      <c r="P98" s="1">
        <f ca="1">IFERROR(__xludf.DUMMYFUNCTION("""COMPUTED_VALUE"""),104.3)</f>
        <v>104.3</v>
      </c>
      <c r="Q98" s="1">
        <f ca="1">IFERROR(__xludf.DUMMYFUNCTION("""COMPUTED_VALUE"""),104)</f>
        <v>104</v>
      </c>
      <c r="R98" s="1">
        <f ca="1">IFERROR(__xludf.DUMMYFUNCTION("""COMPUTED_VALUE"""),102.3)</f>
        <v>102.3</v>
      </c>
      <c r="S98" s="1">
        <f ca="1">IFERROR(__xludf.DUMMYFUNCTION("""COMPUTED_VALUE"""),141)</f>
        <v>141</v>
      </c>
      <c r="T98" s="1" t="str">
        <f ca="1">IFERROR(__xludf.DUMMYFUNCTION("""COMPUTED_VALUE"""),"+2.92")</f>
        <v>+2.92</v>
      </c>
      <c r="U98" s="1">
        <f ca="1">IFERROR(__xludf.DUMMYFUNCTION("""COMPUTED_VALUE"""),83)</f>
        <v>83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IFERROR(__xludf.DUMMYFUNCTION("""COMPUTED_VALUE"""),"Illinois St.7")</f>
        <v>Illinois St.7</v>
      </c>
      <c r="C99" s="1" t="str">
        <f ca="1">IFERROR(__xludf.DUMMYFUNCTION("""COMPUTED_VALUE"""),"MVC")</f>
        <v>MVC</v>
      </c>
      <c r="D99" s="1" t="str">
        <f ca="1">IFERROR(__xludf.DUMMYFUNCTION("""COMPUTED_VALUE"""),"21-14")</f>
        <v>21-14</v>
      </c>
      <c r="E99" s="1" t="str">
        <f ca="1">IFERROR(__xludf.DUMMYFUNCTION("""COMPUTED_VALUE"""),"+7.79")</f>
        <v>+7.79</v>
      </c>
      <c r="F99" s="1">
        <f ca="1">IFERROR(__xludf.DUMMYFUNCTION("""COMPUTED_VALUE"""),109.3)</f>
        <v>109.3</v>
      </c>
      <c r="G99" s="1">
        <f ca="1">IFERROR(__xludf.DUMMYFUNCTION("""COMPUTED_VALUE"""),66)</f>
        <v>66</v>
      </c>
      <c r="H99" s="1">
        <f ca="1">IFERROR(__xludf.DUMMYFUNCTION("""COMPUTED_VALUE"""),101.5)</f>
        <v>101.5</v>
      </c>
      <c r="I99" s="1">
        <f ca="1">IFERROR(__xludf.DUMMYFUNCTION("""COMPUTED_VALUE"""),142)</f>
        <v>142</v>
      </c>
      <c r="J99" s="1">
        <f ca="1">IFERROR(__xludf.DUMMYFUNCTION("""COMPUTED_VALUE"""),63.4)</f>
        <v>63.4</v>
      </c>
      <c r="K99" s="1">
        <f ca="1">IFERROR(__xludf.DUMMYFUNCTION("""COMPUTED_VALUE"""),254)</f>
        <v>254</v>
      </c>
      <c r="L99" s="1" t="str">
        <f ca="1">IFERROR(__xludf.DUMMYFUNCTION("""COMPUTED_VALUE"""),"+.004")</f>
        <v>+.004</v>
      </c>
      <c r="M99" s="1">
        <f ca="1">IFERROR(__xludf.DUMMYFUNCTION("""COMPUTED_VALUE"""),163)</f>
        <v>163</v>
      </c>
      <c r="N99" s="1" t="str">
        <f ca="1">IFERROR(__xludf.DUMMYFUNCTION("""COMPUTED_VALUE"""),"+2.54")</f>
        <v>+2.54</v>
      </c>
      <c r="O99" s="1">
        <f ca="1">IFERROR(__xludf.DUMMYFUNCTION("""COMPUTED_VALUE"""),108)</f>
        <v>108</v>
      </c>
      <c r="P99" s="1">
        <f ca="1">IFERROR(__xludf.DUMMYFUNCTION("""COMPUTED_VALUE"""),104.4)</f>
        <v>104.4</v>
      </c>
      <c r="Q99" s="1">
        <f ca="1">IFERROR(__xludf.DUMMYFUNCTION("""COMPUTED_VALUE"""),101)</f>
        <v>101</v>
      </c>
      <c r="R99" s="1">
        <f ca="1">IFERROR(__xludf.DUMMYFUNCTION("""COMPUTED_VALUE"""),101.9)</f>
        <v>101.9</v>
      </c>
      <c r="S99" s="1">
        <f ca="1">IFERROR(__xludf.DUMMYFUNCTION("""COMPUTED_VALUE"""),122)</f>
        <v>122</v>
      </c>
      <c r="T99" s="1">
        <f ca="1">IFERROR(__xludf.DUMMYFUNCTION("""COMPUTED_VALUE"""),-7.47)</f>
        <v>-7.47</v>
      </c>
      <c r="U99" s="1">
        <f ca="1">IFERROR(__xludf.DUMMYFUNCTION("""COMPUTED_VALUE"""),328)</f>
        <v>328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IFERROR(__xludf.DUMMYFUNCTION("""COMPUTED_VALUE"""),"Tulsa")</f>
        <v>Tulsa</v>
      </c>
      <c r="C100" s="1" t="str">
        <f ca="1">IFERROR(__xludf.DUMMYFUNCTION("""COMPUTED_VALUE"""),"CUSA")</f>
        <v>CUSA</v>
      </c>
      <c r="D100" s="1" t="str">
        <f ca="1">IFERROR(__xludf.DUMMYFUNCTION("""COMPUTED_VALUE"""),"17-14")</f>
        <v>17-14</v>
      </c>
      <c r="E100" s="1" t="str">
        <f ca="1">IFERROR(__xludf.DUMMYFUNCTION("""COMPUTED_VALUE"""),"+7.75")</f>
        <v>+7.75</v>
      </c>
      <c r="F100" s="1">
        <f ca="1">IFERROR(__xludf.DUMMYFUNCTION("""COMPUTED_VALUE"""),106.3)</f>
        <v>106.3</v>
      </c>
      <c r="G100" s="1">
        <f ca="1">IFERROR(__xludf.DUMMYFUNCTION("""COMPUTED_VALUE"""),110)</f>
        <v>110</v>
      </c>
      <c r="H100" s="1">
        <f ca="1">IFERROR(__xludf.DUMMYFUNCTION("""COMPUTED_VALUE"""),98.5)</f>
        <v>98.5</v>
      </c>
      <c r="I100" s="1">
        <f ca="1">IFERROR(__xludf.DUMMYFUNCTION("""COMPUTED_VALUE"""),88)</f>
        <v>88</v>
      </c>
      <c r="J100" s="1">
        <f ca="1">IFERROR(__xludf.DUMMYFUNCTION("""COMPUTED_VALUE"""),63.8)</f>
        <v>63.8</v>
      </c>
      <c r="K100" s="1">
        <f ca="1">IFERROR(__xludf.DUMMYFUNCTION("""COMPUTED_VALUE"""),242)</f>
        <v>242</v>
      </c>
      <c r="L100" s="1">
        <f ca="1">IFERROR(__xludf.DUMMYFUNCTION("""COMPUTED_VALUE"""),-0.074)</f>
        <v>-7.3999999999999996E-2</v>
      </c>
      <c r="M100" s="1">
        <f ca="1">IFERROR(__xludf.DUMMYFUNCTION("""COMPUTED_VALUE"""),325)</f>
        <v>325</v>
      </c>
      <c r="N100" s="1" t="str">
        <f ca="1">IFERROR(__xludf.DUMMYFUNCTION("""COMPUTED_VALUE"""),"+2.32")</f>
        <v>+2.32</v>
      </c>
      <c r="O100" s="1">
        <f ca="1">IFERROR(__xludf.DUMMYFUNCTION("""COMPUTED_VALUE"""),113)</f>
        <v>113</v>
      </c>
      <c r="P100" s="1">
        <f ca="1">IFERROR(__xludf.DUMMYFUNCTION("""COMPUTED_VALUE"""),103.7)</f>
        <v>103.7</v>
      </c>
      <c r="Q100" s="1">
        <f ca="1">IFERROR(__xludf.DUMMYFUNCTION("""COMPUTED_VALUE"""),130)</f>
        <v>130</v>
      </c>
      <c r="R100" s="1">
        <f ca="1">IFERROR(__xludf.DUMMYFUNCTION("""COMPUTED_VALUE"""),101.4)</f>
        <v>101.4</v>
      </c>
      <c r="S100" s="1">
        <f ca="1">IFERROR(__xludf.DUMMYFUNCTION("""COMPUTED_VALUE"""),104)</f>
        <v>104</v>
      </c>
      <c r="T100" s="1" t="str">
        <f ca="1">IFERROR(__xludf.DUMMYFUNCTION("""COMPUTED_VALUE"""),"+1.71")</f>
        <v>+1.71</v>
      </c>
      <c r="U100" s="1">
        <f ca="1">IFERROR(__xludf.DUMMYFUNCTION("""COMPUTED_VALUE"""),106)</f>
        <v>106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IFERROR(__xludf.DUMMYFUNCTION("""COMPUTED_VALUE"""),"Mississippi2")</f>
        <v>Mississippi2</v>
      </c>
      <c r="C101" s="1" t="str">
        <f ca="1">IFERROR(__xludf.DUMMYFUNCTION("""COMPUTED_VALUE"""),"SEC")</f>
        <v>SEC</v>
      </c>
      <c r="D101" s="1" t="str">
        <f ca="1">IFERROR(__xludf.DUMMYFUNCTION("""COMPUTED_VALUE"""),"20-14")</f>
        <v>20-14</v>
      </c>
      <c r="E101" s="1" t="str">
        <f ca="1">IFERROR(__xludf.DUMMYFUNCTION("""COMPUTED_VALUE"""),"+7.75")</f>
        <v>+7.75</v>
      </c>
      <c r="F101" s="1">
        <f ca="1">IFERROR(__xludf.DUMMYFUNCTION("""COMPUTED_VALUE"""),104.7)</f>
        <v>104.7</v>
      </c>
      <c r="G101" s="1">
        <f ca="1">IFERROR(__xludf.DUMMYFUNCTION("""COMPUTED_VALUE"""),140)</f>
        <v>140</v>
      </c>
      <c r="H101" s="1">
        <f ca="1">IFERROR(__xludf.DUMMYFUNCTION("""COMPUTED_VALUE"""),96.9)</f>
        <v>96.9</v>
      </c>
      <c r="I101" s="1">
        <f ca="1">IFERROR(__xludf.DUMMYFUNCTION("""COMPUTED_VALUE"""),61)</f>
        <v>61</v>
      </c>
      <c r="J101" s="1">
        <f ca="1">IFERROR(__xludf.DUMMYFUNCTION("""COMPUTED_VALUE"""),65.4)</f>
        <v>65.400000000000006</v>
      </c>
      <c r="K101" s="1">
        <f ca="1">IFERROR(__xludf.DUMMYFUNCTION("""COMPUTED_VALUE"""),148)</f>
        <v>148</v>
      </c>
      <c r="L101" s="1" t="str">
        <f ca="1">IFERROR(__xludf.DUMMYFUNCTION("""COMPUTED_VALUE"""),"+.066")</f>
        <v>+.066</v>
      </c>
      <c r="M101" s="1">
        <f ca="1">IFERROR(__xludf.DUMMYFUNCTION("""COMPUTED_VALUE"""),28)</f>
        <v>28</v>
      </c>
      <c r="N101" s="1" t="str">
        <f ca="1">IFERROR(__xludf.DUMMYFUNCTION("""COMPUTED_VALUE"""),"+6.08")</f>
        <v>+6.08</v>
      </c>
      <c r="O101" s="1">
        <f ca="1">IFERROR(__xludf.DUMMYFUNCTION("""COMPUTED_VALUE"""),46)</f>
        <v>46</v>
      </c>
      <c r="P101" s="1">
        <f ca="1">IFERROR(__xludf.DUMMYFUNCTION("""COMPUTED_VALUE"""),105.7)</f>
        <v>105.7</v>
      </c>
      <c r="Q101" s="1">
        <f ca="1">IFERROR(__xludf.DUMMYFUNCTION("""COMPUTED_VALUE"""),58)</f>
        <v>58</v>
      </c>
      <c r="R101" s="1">
        <f ca="1">IFERROR(__xludf.DUMMYFUNCTION("""COMPUTED_VALUE"""),99.6)</f>
        <v>99.6</v>
      </c>
      <c r="S101" s="1">
        <f ca="1">IFERROR(__xludf.DUMMYFUNCTION("""COMPUTED_VALUE"""),33)</f>
        <v>33</v>
      </c>
      <c r="T101" s="1" t="str">
        <f ca="1">IFERROR(__xludf.DUMMYFUNCTION("""COMPUTED_VALUE"""),"+0.73")</f>
        <v>+0.73</v>
      </c>
      <c r="U101" s="1">
        <f ca="1">IFERROR(__xludf.DUMMYFUNCTION("""COMPUTED_VALUE"""),136)</f>
        <v>136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IFERROR(__xludf.DUMMYFUNCTION("""COMPUTED_VALUE"""),"Mercer")</f>
        <v>Mercer</v>
      </c>
      <c r="C102" s="1" t="str">
        <f ca="1">IFERROR(__xludf.DUMMYFUNCTION("""COMPUTED_VALUE"""),"ASun")</f>
        <v>ASun</v>
      </c>
      <c r="D102" s="1" t="str">
        <f ca="1">IFERROR(__xludf.DUMMYFUNCTION("""COMPUTED_VALUE"""),"27-11")</f>
        <v>27-11</v>
      </c>
      <c r="E102" s="1" t="str">
        <f ca="1">IFERROR(__xludf.DUMMYFUNCTION("""COMPUTED_VALUE"""),"+7.71")</f>
        <v>+7.71</v>
      </c>
      <c r="F102" s="1">
        <f ca="1">IFERROR(__xludf.DUMMYFUNCTION("""COMPUTED_VALUE"""),105.1)</f>
        <v>105.1</v>
      </c>
      <c r="G102" s="1">
        <f ca="1">IFERROR(__xludf.DUMMYFUNCTION("""COMPUTED_VALUE"""),134)</f>
        <v>134</v>
      </c>
      <c r="H102" s="1">
        <f ca="1">IFERROR(__xludf.DUMMYFUNCTION("""COMPUTED_VALUE"""),97.4)</f>
        <v>97.4</v>
      </c>
      <c r="I102" s="1">
        <f ca="1">IFERROR(__xludf.DUMMYFUNCTION("""COMPUTED_VALUE"""),69)</f>
        <v>69</v>
      </c>
      <c r="J102" s="1">
        <f ca="1">IFERROR(__xludf.DUMMYFUNCTION("""COMPUTED_VALUE"""),64.2)</f>
        <v>64.2</v>
      </c>
      <c r="K102" s="1">
        <f ca="1">IFERROR(__xludf.DUMMYFUNCTION("""COMPUTED_VALUE"""),214)</f>
        <v>214</v>
      </c>
      <c r="L102" s="1" t="str">
        <f ca="1">IFERROR(__xludf.DUMMYFUNCTION("""COMPUTED_VALUE"""),"+.020")</f>
        <v>+.020</v>
      </c>
      <c r="M102" s="1">
        <f ca="1">IFERROR(__xludf.DUMMYFUNCTION("""COMPUTED_VALUE"""),125)</f>
        <v>125</v>
      </c>
      <c r="N102" s="1">
        <f ca="1">IFERROR(__xludf.DUMMYFUNCTION("""COMPUTED_VALUE"""),-0.87)</f>
        <v>-0.87</v>
      </c>
      <c r="O102" s="1">
        <f ca="1">IFERROR(__xludf.DUMMYFUNCTION("""COMPUTED_VALUE"""),174)</f>
        <v>174</v>
      </c>
      <c r="P102" s="1">
        <f ca="1">IFERROR(__xludf.DUMMYFUNCTION("""COMPUTED_VALUE"""),103)</f>
        <v>103</v>
      </c>
      <c r="Q102" s="1">
        <f ca="1">IFERROR(__xludf.DUMMYFUNCTION("""COMPUTED_VALUE"""),156)</f>
        <v>156</v>
      </c>
      <c r="R102" s="1">
        <f ca="1">IFERROR(__xludf.DUMMYFUNCTION("""COMPUTED_VALUE"""),103.8)</f>
        <v>103.8</v>
      </c>
      <c r="S102" s="1">
        <f ca="1">IFERROR(__xludf.DUMMYFUNCTION("""COMPUTED_VALUE"""),189)</f>
        <v>189</v>
      </c>
      <c r="T102" s="1" t="str">
        <f ca="1">IFERROR(__xludf.DUMMYFUNCTION("""COMPUTED_VALUE"""),"+0.80")</f>
        <v>+0.80</v>
      </c>
      <c r="U102" s="1">
        <f ca="1">IFERROR(__xludf.DUMMYFUNCTION("""COMPUTED_VALUE"""),133)</f>
        <v>133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IFERROR(__xludf.DUMMYFUNCTION("""COMPUTED_VALUE"""),"Oklahoma St.")</f>
        <v>Oklahoma St.</v>
      </c>
      <c r="C103" s="1" t="str">
        <f ca="1">IFERROR(__xludf.DUMMYFUNCTION("""COMPUTED_VALUE"""),"B12")</f>
        <v>B12</v>
      </c>
      <c r="D103" s="1" t="str">
        <f ca="1">IFERROR(__xludf.DUMMYFUNCTION("""COMPUTED_VALUE"""),"15-18")</f>
        <v>15-18</v>
      </c>
      <c r="E103" s="1" t="str">
        <f ca="1">IFERROR(__xludf.DUMMYFUNCTION("""COMPUTED_VALUE"""),"+7.62")</f>
        <v>+7.62</v>
      </c>
      <c r="F103" s="1">
        <f ca="1">IFERROR(__xludf.DUMMYFUNCTION("""COMPUTED_VALUE"""),107.1)</f>
        <v>107.1</v>
      </c>
      <c r="G103" s="1">
        <f ca="1">IFERROR(__xludf.DUMMYFUNCTION("""COMPUTED_VALUE"""),94)</f>
        <v>94</v>
      </c>
      <c r="H103" s="1">
        <f ca="1">IFERROR(__xludf.DUMMYFUNCTION("""COMPUTED_VALUE"""),99.5)</f>
        <v>99.5</v>
      </c>
      <c r="I103" s="1">
        <f ca="1">IFERROR(__xludf.DUMMYFUNCTION("""COMPUTED_VALUE"""),106)</f>
        <v>106</v>
      </c>
      <c r="J103" s="1">
        <f ca="1">IFERROR(__xludf.DUMMYFUNCTION("""COMPUTED_VALUE"""),65.5)</f>
        <v>65.5</v>
      </c>
      <c r="K103" s="1">
        <f ca="1">IFERROR(__xludf.DUMMYFUNCTION("""COMPUTED_VALUE"""),143)</f>
        <v>143</v>
      </c>
      <c r="L103" s="1">
        <f ca="1">IFERROR(__xludf.DUMMYFUNCTION("""COMPUTED_VALUE"""),-0.016)</f>
        <v>-1.6E-2</v>
      </c>
      <c r="M103" s="1">
        <f ca="1">IFERROR(__xludf.DUMMYFUNCTION("""COMPUTED_VALUE"""),209)</f>
        <v>209</v>
      </c>
      <c r="N103" s="1" t="str">
        <f ca="1">IFERROR(__xludf.DUMMYFUNCTION("""COMPUTED_VALUE"""),"+9.87")</f>
        <v>+9.87</v>
      </c>
      <c r="O103" s="1">
        <f ca="1">IFERROR(__xludf.DUMMYFUNCTION("""COMPUTED_VALUE"""),6)</f>
        <v>6</v>
      </c>
      <c r="P103" s="1">
        <f ca="1">IFERROR(__xludf.DUMMYFUNCTION("""COMPUTED_VALUE"""),107.8)</f>
        <v>107.8</v>
      </c>
      <c r="Q103" s="1">
        <f ca="1">IFERROR(__xludf.DUMMYFUNCTION("""COMPUTED_VALUE"""),13)</f>
        <v>13</v>
      </c>
      <c r="R103" s="1">
        <f ca="1">IFERROR(__xludf.DUMMYFUNCTION("""COMPUTED_VALUE"""),97.9)</f>
        <v>97.9</v>
      </c>
      <c r="S103" s="1">
        <f ca="1">IFERROR(__xludf.DUMMYFUNCTION("""COMPUTED_VALUE"""),2)</f>
        <v>2</v>
      </c>
      <c r="T103" s="1" t="str">
        <f ca="1">IFERROR(__xludf.DUMMYFUNCTION("""COMPUTED_VALUE"""),"+3.38")</f>
        <v>+3.38</v>
      </c>
      <c r="U103" s="1">
        <f ca="1">IFERROR(__xludf.DUMMYFUNCTION("""COMPUTED_VALUE"""),73)</f>
        <v>73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IFERROR(__xludf.DUMMYFUNCTION("""COMPUTED_VALUE"""),"LSU6")</f>
        <v>LSU6</v>
      </c>
      <c r="C104" s="1" t="str">
        <f ca="1">IFERROR(__xludf.DUMMYFUNCTION("""COMPUTED_VALUE"""),"SEC")</f>
        <v>SEC</v>
      </c>
      <c r="D104" s="1" t="str">
        <f ca="1">IFERROR(__xludf.DUMMYFUNCTION("""COMPUTED_VALUE"""),"18-15")</f>
        <v>18-15</v>
      </c>
      <c r="E104" s="1" t="str">
        <f ca="1">IFERROR(__xludf.DUMMYFUNCTION("""COMPUTED_VALUE"""),"+7.34")</f>
        <v>+7.34</v>
      </c>
      <c r="F104" s="1">
        <f ca="1">IFERROR(__xludf.DUMMYFUNCTION("""COMPUTED_VALUE"""),101.8)</f>
        <v>101.8</v>
      </c>
      <c r="G104" s="1">
        <f ca="1">IFERROR(__xludf.DUMMYFUNCTION("""COMPUTED_VALUE"""),191)</f>
        <v>191</v>
      </c>
      <c r="H104" s="1">
        <f ca="1">IFERROR(__xludf.DUMMYFUNCTION("""COMPUTED_VALUE"""),94.5)</f>
        <v>94.5</v>
      </c>
      <c r="I104" s="1">
        <f ca="1">IFERROR(__xludf.DUMMYFUNCTION("""COMPUTED_VALUE"""),30)</f>
        <v>30</v>
      </c>
      <c r="J104" s="1">
        <f ca="1">IFERROR(__xludf.DUMMYFUNCTION("""COMPUTED_VALUE"""),65.1)</f>
        <v>65.099999999999994</v>
      </c>
      <c r="K104" s="1">
        <f ca="1">IFERROR(__xludf.DUMMYFUNCTION("""COMPUTED_VALUE"""),168)</f>
        <v>168</v>
      </c>
      <c r="L104" s="1" t="str">
        <f ca="1">IFERROR(__xludf.DUMMYFUNCTION("""COMPUTED_VALUE"""),"+.021")</f>
        <v>+.021</v>
      </c>
      <c r="M104" s="1">
        <f ca="1">IFERROR(__xludf.DUMMYFUNCTION("""COMPUTED_VALUE"""),120)</f>
        <v>120</v>
      </c>
      <c r="N104" s="1" t="str">
        <f ca="1">IFERROR(__xludf.DUMMYFUNCTION("""COMPUTED_VALUE"""),"+5.64")</f>
        <v>+5.64</v>
      </c>
      <c r="O104" s="1">
        <f ca="1">IFERROR(__xludf.DUMMYFUNCTION("""COMPUTED_VALUE"""),52)</f>
        <v>52</v>
      </c>
      <c r="P104" s="1">
        <f ca="1">IFERROR(__xludf.DUMMYFUNCTION("""COMPUTED_VALUE"""),105.9)</f>
        <v>105.9</v>
      </c>
      <c r="Q104" s="1">
        <f ca="1">IFERROR(__xludf.DUMMYFUNCTION("""COMPUTED_VALUE"""),51)</f>
        <v>51</v>
      </c>
      <c r="R104" s="1">
        <f ca="1">IFERROR(__xludf.DUMMYFUNCTION("""COMPUTED_VALUE"""),100.2)</f>
        <v>100.2</v>
      </c>
      <c r="S104" s="1">
        <f ca="1">IFERROR(__xludf.DUMMYFUNCTION("""COMPUTED_VALUE"""),50)</f>
        <v>50</v>
      </c>
      <c r="T104" s="1">
        <f ca="1">IFERROR(__xludf.DUMMYFUNCTION("""COMPUTED_VALUE"""),-1.87)</f>
        <v>-1.87</v>
      </c>
      <c r="U104" s="1">
        <f ca="1">IFERROR(__xludf.DUMMYFUNCTION("""COMPUTED_VALUE"""),212)</f>
        <v>212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IFERROR(__xludf.DUMMYFUNCTION("""COMPUTED_VALUE"""),"Washington St.")</f>
        <v>Washington St.</v>
      </c>
      <c r="C105" s="1" t="str">
        <f ca="1">IFERROR(__xludf.DUMMYFUNCTION("""COMPUTED_VALUE"""),"P12")</f>
        <v>P12</v>
      </c>
      <c r="D105" s="1" t="str">
        <f ca="1">IFERROR(__xludf.DUMMYFUNCTION("""COMPUTED_VALUE"""),"19-18")</f>
        <v>19-18</v>
      </c>
      <c r="E105" s="1" t="str">
        <f ca="1">IFERROR(__xludf.DUMMYFUNCTION("""COMPUTED_VALUE"""),"+7.33")</f>
        <v>+7.33</v>
      </c>
      <c r="F105" s="1">
        <f ca="1">IFERROR(__xludf.DUMMYFUNCTION("""COMPUTED_VALUE"""),109.7)</f>
        <v>109.7</v>
      </c>
      <c r="G105" s="1">
        <f ca="1">IFERROR(__xludf.DUMMYFUNCTION("""COMPUTED_VALUE"""),60)</f>
        <v>60</v>
      </c>
      <c r="H105" s="1">
        <f ca="1">IFERROR(__xludf.DUMMYFUNCTION("""COMPUTED_VALUE"""),102.4)</f>
        <v>102.4</v>
      </c>
      <c r="I105" s="1">
        <f ca="1">IFERROR(__xludf.DUMMYFUNCTION("""COMPUTED_VALUE"""),157)</f>
        <v>157</v>
      </c>
      <c r="J105" s="1">
        <f ca="1">IFERROR(__xludf.DUMMYFUNCTION("""COMPUTED_VALUE"""),62.8)</f>
        <v>62.8</v>
      </c>
      <c r="K105" s="1">
        <f ca="1">IFERROR(__xludf.DUMMYFUNCTION("""COMPUTED_VALUE"""),274)</f>
        <v>274</v>
      </c>
      <c r="L105" s="1">
        <f ca="1">IFERROR(__xludf.DUMMYFUNCTION("""COMPUTED_VALUE"""),-0.056)</f>
        <v>-5.6000000000000001E-2</v>
      </c>
      <c r="M105" s="1">
        <f ca="1">IFERROR(__xludf.DUMMYFUNCTION("""COMPUTED_VALUE"""),300)</f>
        <v>300</v>
      </c>
      <c r="N105" s="1" t="str">
        <f ca="1">IFERROR(__xludf.DUMMYFUNCTION("""COMPUTED_VALUE"""),"+4.25")</f>
        <v>+4.25</v>
      </c>
      <c r="O105" s="1">
        <f ca="1">IFERROR(__xludf.DUMMYFUNCTION("""COMPUTED_VALUE"""),73)</f>
        <v>73</v>
      </c>
      <c r="P105" s="1">
        <f ca="1">IFERROR(__xludf.DUMMYFUNCTION("""COMPUTED_VALUE"""),105.4)</f>
        <v>105.4</v>
      </c>
      <c r="Q105" s="1">
        <f ca="1">IFERROR(__xludf.DUMMYFUNCTION("""COMPUTED_VALUE"""),64)</f>
        <v>64</v>
      </c>
      <c r="R105" s="1">
        <f ca="1">IFERROR(__xludf.DUMMYFUNCTION("""COMPUTED_VALUE"""),101.2)</f>
        <v>101.2</v>
      </c>
      <c r="S105" s="1">
        <f ca="1">IFERROR(__xludf.DUMMYFUNCTION("""COMPUTED_VALUE"""),93)</f>
        <v>93</v>
      </c>
      <c r="T105" s="1">
        <f ca="1">IFERROR(__xludf.DUMMYFUNCTION("""COMPUTED_VALUE"""),-5.52)</f>
        <v>-5.52</v>
      </c>
      <c r="U105" s="1">
        <f ca="1">IFERROR(__xludf.DUMMYFUNCTION("""COMPUTED_VALUE"""),305)</f>
        <v>305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IFERROR(__xludf.DUMMYFUNCTION("""COMPUTED_VALUE"""),"Princeton")</f>
        <v>Princeton</v>
      </c>
      <c r="C106" s="1" t="str">
        <f ca="1">IFERROR(__xludf.DUMMYFUNCTION("""COMPUTED_VALUE"""),"Ivy")</f>
        <v>Ivy</v>
      </c>
      <c r="D106" s="1" t="str">
        <f ca="1">IFERROR(__xludf.DUMMYFUNCTION("""COMPUTED_VALUE"""),"20-12")</f>
        <v>20-12</v>
      </c>
      <c r="E106" s="1" t="str">
        <f ca="1">IFERROR(__xludf.DUMMYFUNCTION("""COMPUTED_VALUE"""),"+7.26")</f>
        <v>+7.26</v>
      </c>
      <c r="F106" s="1">
        <f ca="1">IFERROR(__xludf.DUMMYFUNCTION("""COMPUTED_VALUE"""),107.8)</f>
        <v>107.8</v>
      </c>
      <c r="G106" s="1">
        <f ca="1">IFERROR(__xludf.DUMMYFUNCTION("""COMPUTED_VALUE"""),86)</f>
        <v>86</v>
      </c>
      <c r="H106" s="1">
        <f ca="1">IFERROR(__xludf.DUMMYFUNCTION("""COMPUTED_VALUE"""),100.5)</f>
        <v>100.5</v>
      </c>
      <c r="I106" s="1">
        <f ca="1">IFERROR(__xludf.DUMMYFUNCTION("""COMPUTED_VALUE"""),129)</f>
        <v>129</v>
      </c>
      <c r="J106" s="1">
        <f ca="1">IFERROR(__xludf.DUMMYFUNCTION("""COMPUTED_VALUE"""),62.5)</f>
        <v>62.5</v>
      </c>
      <c r="K106" s="1">
        <f ca="1">IFERROR(__xludf.DUMMYFUNCTION("""COMPUTED_VALUE"""),284)</f>
        <v>284</v>
      </c>
      <c r="L106" s="1">
        <f ca="1">IFERROR(__xludf.DUMMYFUNCTION("""COMPUTED_VALUE"""),-0.018)</f>
        <v>-1.7999999999999999E-2</v>
      </c>
      <c r="M106" s="1">
        <f ca="1">IFERROR(__xludf.DUMMYFUNCTION("""COMPUTED_VALUE"""),217)</f>
        <v>217</v>
      </c>
      <c r="N106" s="1" t="str">
        <f ca="1">IFERROR(__xludf.DUMMYFUNCTION("""COMPUTED_VALUE"""),"+0.94")</f>
        <v>+0.94</v>
      </c>
      <c r="O106" s="1">
        <f ca="1">IFERROR(__xludf.DUMMYFUNCTION("""COMPUTED_VALUE"""),133)</f>
        <v>133</v>
      </c>
      <c r="P106" s="1">
        <f ca="1">IFERROR(__xludf.DUMMYFUNCTION("""COMPUTED_VALUE"""),102.9)</f>
        <v>102.9</v>
      </c>
      <c r="Q106" s="1">
        <f ca="1">IFERROR(__xludf.DUMMYFUNCTION("""COMPUTED_VALUE"""),161)</f>
        <v>161</v>
      </c>
      <c r="R106" s="1">
        <f ca="1">IFERROR(__xludf.DUMMYFUNCTION("""COMPUTED_VALUE"""),101.9)</f>
        <v>101.9</v>
      </c>
      <c r="S106" s="1">
        <f ca="1">IFERROR(__xludf.DUMMYFUNCTION("""COMPUTED_VALUE"""),127)</f>
        <v>127</v>
      </c>
      <c r="T106" s="1" t="str">
        <f ca="1">IFERROR(__xludf.DUMMYFUNCTION("""COMPUTED_VALUE"""),"+3.09")</f>
        <v>+3.09</v>
      </c>
      <c r="U106" s="1">
        <f ca="1">IFERROR(__xludf.DUMMYFUNCTION("""COMPUTED_VALUE"""),77)</f>
        <v>77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IFERROR(__xludf.DUMMYFUNCTION("""COMPUTED_VALUE"""),"Iowa7")</f>
        <v>Iowa7</v>
      </c>
      <c r="C107" s="1" t="str">
        <f ca="1">IFERROR(__xludf.DUMMYFUNCTION("""COMPUTED_VALUE"""),"B10")</f>
        <v>B10</v>
      </c>
      <c r="D107" s="1" t="str">
        <f ca="1">IFERROR(__xludf.DUMMYFUNCTION("""COMPUTED_VALUE"""),"18-17")</f>
        <v>18-17</v>
      </c>
      <c r="E107" s="1" t="str">
        <f ca="1">IFERROR(__xludf.DUMMYFUNCTION("""COMPUTED_VALUE"""),"+7.15")</f>
        <v>+7.15</v>
      </c>
      <c r="F107" s="1">
        <f ca="1">IFERROR(__xludf.DUMMYFUNCTION("""COMPUTED_VALUE"""),111.6)</f>
        <v>111.6</v>
      </c>
      <c r="G107" s="1">
        <f ca="1">IFERROR(__xludf.DUMMYFUNCTION("""COMPUTED_VALUE"""),39)</f>
        <v>39</v>
      </c>
      <c r="H107" s="1">
        <f ca="1">IFERROR(__xludf.DUMMYFUNCTION("""COMPUTED_VALUE"""),104.4)</f>
        <v>104.4</v>
      </c>
      <c r="I107" s="1">
        <f ca="1">IFERROR(__xludf.DUMMYFUNCTION("""COMPUTED_VALUE"""),205)</f>
        <v>205</v>
      </c>
      <c r="J107" s="1">
        <f ca="1">IFERROR(__xludf.DUMMYFUNCTION("""COMPUTED_VALUE"""),67.3)</f>
        <v>67.3</v>
      </c>
      <c r="K107" s="1">
        <f ca="1">IFERROR(__xludf.DUMMYFUNCTION("""COMPUTED_VALUE"""),70)</f>
        <v>70</v>
      </c>
      <c r="L107" s="1" t="str">
        <f ca="1">IFERROR(__xludf.DUMMYFUNCTION("""COMPUTED_VALUE"""),"+.011")</f>
        <v>+.011</v>
      </c>
      <c r="M107" s="1">
        <f ca="1">IFERROR(__xludf.DUMMYFUNCTION("""COMPUTED_VALUE"""),144)</f>
        <v>144</v>
      </c>
      <c r="N107" s="1" t="str">
        <f ca="1">IFERROR(__xludf.DUMMYFUNCTION("""COMPUTED_VALUE"""),"+7.01")</f>
        <v>+7.01</v>
      </c>
      <c r="O107" s="1">
        <f ca="1">IFERROR(__xludf.DUMMYFUNCTION("""COMPUTED_VALUE"""),36)</f>
        <v>36</v>
      </c>
      <c r="P107" s="1">
        <f ca="1">IFERROR(__xludf.DUMMYFUNCTION("""COMPUTED_VALUE"""),107.4)</f>
        <v>107.4</v>
      </c>
      <c r="Q107" s="1">
        <f ca="1">IFERROR(__xludf.DUMMYFUNCTION("""COMPUTED_VALUE"""),17)</f>
        <v>17</v>
      </c>
      <c r="R107" s="1">
        <f ca="1">IFERROR(__xludf.DUMMYFUNCTION("""COMPUTED_VALUE"""),100.4)</f>
        <v>100.4</v>
      </c>
      <c r="S107" s="1">
        <f ca="1">IFERROR(__xludf.DUMMYFUNCTION("""COMPUTED_VALUE"""),61)</f>
        <v>61</v>
      </c>
      <c r="T107" s="1">
        <f ca="1">IFERROR(__xludf.DUMMYFUNCTION("""COMPUTED_VALUE"""),-9.2)</f>
        <v>-9.1999999999999993</v>
      </c>
      <c r="U107" s="1">
        <f ca="1">IFERROR(__xludf.DUMMYFUNCTION("""COMPUTED_VALUE"""),339)</f>
        <v>339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IFERROR(__xludf.DUMMYFUNCTION("""COMPUTED_VALUE"""),"Wagner")</f>
        <v>Wagner</v>
      </c>
      <c r="C108" s="1" t="str">
        <f ca="1">IFERROR(__xludf.DUMMYFUNCTION("""COMPUTED_VALUE"""),"NEC")</f>
        <v>NEC</v>
      </c>
      <c r="D108" s="1" t="str">
        <f ca="1">IFERROR(__xludf.DUMMYFUNCTION("""COMPUTED_VALUE"""),"25-6")</f>
        <v>25-6</v>
      </c>
      <c r="E108" s="1" t="str">
        <f ca="1">IFERROR(__xludf.DUMMYFUNCTION("""COMPUTED_VALUE"""),"+7.14")</f>
        <v>+7.14</v>
      </c>
      <c r="F108" s="1">
        <f ca="1">IFERROR(__xludf.DUMMYFUNCTION("""COMPUTED_VALUE"""),104.8)</f>
        <v>104.8</v>
      </c>
      <c r="G108" s="1">
        <f ca="1">IFERROR(__xludf.DUMMYFUNCTION("""COMPUTED_VALUE"""),136)</f>
        <v>136</v>
      </c>
      <c r="H108" s="1">
        <f ca="1">IFERROR(__xludf.DUMMYFUNCTION("""COMPUTED_VALUE"""),97.6)</f>
        <v>97.6</v>
      </c>
      <c r="I108" s="1">
        <f ca="1">IFERROR(__xludf.DUMMYFUNCTION("""COMPUTED_VALUE"""),73)</f>
        <v>73</v>
      </c>
      <c r="J108" s="1">
        <f ca="1">IFERROR(__xludf.DUMMYFUNCTION("""COMPUTED_VALUE"""),67.1)</f>
        <v>67.099999999999994</v>
      </c>
      <c r="K108" s="1">
        <f ca="1">IFERROR(__xludf.DUMMYFUNCTION("""COMPUTED_VALUE"""),78)</f>
        <v>78</v>
      </c>
      <c r="L108" s="1" t="str">
        <f ca="1">IFERROR(__xludf.DUMMYFUNCTION("""COMPUTED_VALUE"""),"+.014")</f>
        <v>+.014</v>
      </c>
      <c r="M108" s="1">
        <f ca="1">IFERROR(__xludf.DUMMYFUNCTION("""COMPUTED_VALUE"""),139)</f>
        <v>139</v>
      </c>
      <c r="N108" s="1">
        <f ca="1">IFERROR(__xludf.DUMMYFUNCTION("""COMPUTED_VALUE"""),-5.7)</f>
        <v>-5.7</v>
      </c>
      <c r="O108" s="1">
        <f ca="1">IFERROR(__xludf.DUMMYFUNCTION("""COMPUTED_VALUE"""),304)</f>
        <v>304</v>
      </c>
      <c r="P108" s="1">
        <f ca="1">IFERROR(__xludf.DUMMYFUNCTION("""COMPUTED_VALUE"""),100.4)</f>
        <v>100.4</v>
      </c>
      <c r="Q108" s="1">
        <f ca="1">IFERROR(__xludf.DUMMYFUNCTION("""COMPUTED_VALUE"""),287)</f>
        <v>287</v>
      </c>
      <c r="R108" s="1">
        <f ca="1">IFERROR(__xludf.DUMMYFUNCTION("""COMPUTED_VALUE"""),106.1)</f>
        <v>106.1</v>
      </c>
      <c r="S108" s="1">
        <f ca="1">IFERROR(__xludf.DUMMYFUNCTION("""COMPUTED_VALUE"""),308)</f>
        <v>308</v>
      </c>
      <c r="T108" s="1" t="str">
        <f ca="1">IFERROR(__xludf.DUMMYFUNCTION("""COMPUTED_VALUE"""),"+1.11")</f>
        <v>+1.11</v>
      </c>
      <c r="U108" s="1">
        <f ca="1">IFERROR(__xludf.DUMMYFUNCTION("""COMPUTED_VALUE"""),122)</f>
        <v>122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IFERROR(__xludf.DUMMYFUNCTION("""COMPUTED_VALUE"""),"UCF6")</f>
        <v>UCF6</v>
      </c>
      <c r="C109" s="1" t="str">
        <f ca="1">IFERROR(__xludf.DUMMYFUNCTION("""COMPUTED_VALUE"""),"CUSA")</f>
        <v>CUSA</v>
      </c>
      <c r="D109" s="1" t="str">
        <f ca="1">IFERROR(__xludf.DUMMYFUNCTION("""COMPUTED_VALUE"""),"22-11")</f>
        <v>22-11</v>
      </c>
      <c r="E109" s="1" t="str">
        <f ca="1">IFERROR(__xludf.DUMMYFUNCTION("""COMPUTED_VALUE"""),"+7.11")</f>
        <v>+7.11</v>
      </c>
      <c r="F109" s="1">
        <f ca="1">IFERROR(__xludf.DUMMYFUNCTION("""COMPUTED_VALUE"""),106.5)</f>
        <v>106.5</v>
      </c>
      <c r="G109" s="1">
        <f ca="1">IFERROR(__xludf.DUMMYFUNCTION("""COMPUTED_VALUE"""),105)</f>
        <v>105</v>
      </c>
      <c r="H109" s="1">
        <f ca="1">IFERROR(__xludf.DUMMYFUNCTION("""COMPUTED_VALUE"""),99.4)</f>
        <v>99.4</v>
      </c>
      <c r="I109" s="1">
        <f ca="1">IFERROR(__xludf.DUMMYFUNCTION("""COMPUTED_VALUE"""),103)</f>
        <v>103</v>
      </c>
      <c r="J109" s="1">
        <f ca="1">IFERROR(__xludf.DUMMYFUNCTION("""COMPUTED_VALUE"""),63.1)</f>
        <v>63.1</v>
      </c>
      <c r="K109" s="1">
        <f ca="1">IFERROR(__xludf.DUMMYFUNCTION("""COMPUTED_VALUE"""),266)</f>
        <v>266</v>
      </c>
      <c r="L109" s="1" t="str">
        <f ca="1">IFERROR(__xludf.DUMMYFUNCTION("""COMPUTED_VALUE"""),"+.096")</f>
        <v>+.096</v>
      </c>
      <c r="M109" s="1">
        <f ca="1">IFERROR(__xludf.DUMMYFUNCTION("""COMPUTED_VALUE"""),12)</f>
        <v>12</v>
      </c>
      <c r="N109" s="1" t="str">
        <f ca="1">IFERROR(__xludf.DUMMYFUNCTION("""COMPUTED_VALUE"""),"+3.06")</f>
        <v>+3.06</v>
      </c>
      <c r="O109" s="1">
        <f ca="1">IFERROR(__xludf.DUMMYFUNCTION("""COMPUTED_VALUE"""),99)</f>
        <v>99</v>
      </c>
      <c r="P109" s="1">
        <f ca="1">IFERROR(__xludf.DUMMYFUNCTION("""COMPUTED_VALUE"""),103.9)</f>
        <v>103.9</v>
      </c>
      <c r="Q109" s="1">
        <f ca="1">IFERROR(__xludf.DUMMYFUNCTION("""COMPUTED_VALUE"""),121)</f>
        <v>121</v>
      </c>
      <c r="R109" s="1">
        <f ca="1">IFERROR(__xludf.DUMMYFUNCTION("""COMPUTED_VALUE"""),100.9)</f>
        <v>100.9</v>
      </c>
      <c r="S109" s="1">
        <f ca="1">IFERROR(__xludf.DUMMYFUNCTION("""COMPUTED_VALUE"""),77)</f>
        <v>77</v>
      </c>
      <c r="T109" s="1">
        <f ca="1">IFERROR(__xludf.DUMMYFUNCTION("""COMPUTED_VALUE"""),-4.44)</f>
        <v>-4.4400000000000004</v>
      </c>
      <c r="U109" s="1">
        <f ca="1">IFERROR(__xludf.DUMMYFUNCTION("""COMPUTED_VALUE"""),281)</f>
        <v>281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IFERROR(__xludf.DUMMYFUNCTION("""COMPUTED_VALUE"""),"Montana13")</f>
        <v>Montana13</v>
      </c>
      <c r="C110" s="1" t="str">
        <f ca="1">IFERROR(__xludf.DUMMYFUNCTION("""COMPUTED_VALUE"""),"BSky")</f>
        <v>BSky</v>
      </c>
      <c r="D110" s="1" t="str">
        <f ca="1">IFERROR(__xludf.DUMMYFUNCTION("""COMPUTED_VALUE"""),"25-7")</f>
        <v>25-7</v>
      </c>
      <c r="E110" s="1" t="str">
        <f ca="1">IFERROR(__xludf.DUMMYFUNCTION("""COMPUTED_VALUE"""),"+6.76")</f>
        <v>+6.76</v>
      </c>
      <c r="F110" s="1">
        <f ca="1">IFERROR(__xludf.DUMMYFUNCTION("""COMPUTED_VALUE"""),103.7)</f>
        <v>103.7</v>
      </c>
      <c r="G110" s="1">
        <f ca="1">IFERROR(__xludf.DUMMYFUNCTION("""COMPUTED_VALUE"""),155)</f>
        <v>155</v>
      </c>
      <c r="H110" s="1">
        <f ca="1">IFERROR(__xludf.DUMMYFUNCTION("""COMPUTED_VALUE"""),96.9)</f>
        <v>96.9</v>
      </c>
      <c r="I110" s="1">
        <f ca="1">IFERROR(__xludf.DUMMYFUNCTION("""COMPUTED_VALUE"""),63)</f>
        <v>63</v>
      </c>
      <c r="J110" s="1">
        <f ca="1">IFERROR(__xludf.DUMMYFUNCTION("""COMPUTED_VALUE"""),64.2)</f>
        <v>64.2</v>
      </c>
      <c r="K110" s="1">
        <f ca="1">IFERROR(__xludf.DUMMYFUNCTION("""COMPUTED_VALUE"""),211)</f>
        <v>211</v>
      </c>
      <c r="L110" s="1" t="str">
        <f ca="1">IFERROR(__xludf.DUMMYFUNCTION("""COMPUTED_VALUE"""),"+.064")</f>
        <v>+.064</v>
      </c>
      <c r="M110" s="1">
        <f ca="1">IFERROR(__xludf.DUMMYFUNCTION("""COMPUTED_VALUE"""),31)</f>
        <v>31</v>
      </c>
      <c r="N110" s="1">
        <f ca="1">IFERROR(__xludf.DUMMYFUNCTION("""COMPUTED_VALUE"""),-5.3)</f>
        <v>-5.3</v>
      </c>
      <c r="O110" s="1">
        <f ca="1">IFERROR(__xludf.DUMMYFUNCTION("""COMPUTED_VALUE"""),294)</f>
        <v>294</v>
      </c>
      <c r="P110" s="1">
        <f ca="1">IFERROR(__xludf.DUMMYFUNCTION("""COMPUTED_VALUE"""),102.5)</f>
        <v>102.5</v>
      </c>
      <c r="Q110" s="1">
        <f ca="1">IFERROR(__xludf.DUMMYFUNCTION("""COMPUTED_VALUE"""),183)</f>
        <v>183</v>
      </c>
      <c r="R110" s="1">
        <f ca="1">IFERROR(__xludf.DUMMYFUNCTION("""COMPUTED_VALUE"""),107.8)</f>
        <v>107.8</v>
      </c>
      <c r="S110" s="1">
        <f ca="1">IFERROR(__xludf.DUMMYFUNCTION("""COMPUTED_VALUE"""),344)</f>
        <v>344</v>
      </c>
      <c r="T110" s="1">
        <f ca="1">IFERROR(__xludf.DUMMYFUNCTION("""COMPUTED_VALUE"""),-0.72)</f>
        <v>-0.72</v>
      </c>
      <c r="U110" s="1">
        <f ca="1">IFERROR(__xludf.DUMMYFUNCTION("""COMPUTED_VALUE"""),181)</f>
        <v>181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IFERROR(__xludf.DUMMYFUNCTION("""COMPUTED_VALUE"""),"Oklahoma")</f>
        <v>Oklahoma</v>
      </c>
      <c r="C111" s="1" t="str">
        <f ca="1">IFERROR(__xludf.DUMMYFUNCTION("""COMPUTED_VALUE"""),"B12")</f>
        <v>B12</v>
      </c>
      <c r="D111" s="1" t="str">
        <f ca="1">IFERROR(__xludf.DUMMYFUNCTION("""COMPUTED_VALUE"""),"15-16")</f>
        <v>15-16</v>
      </c>
      <c r="E111" s="1" t="str">
        <f ca="1">IFERROR(__xludf.DUMMYFUNCTION("""COMPUTED_VALUE"""),"+6.64")</f>
        <v>+6.64</v>
      </c>
      <c r="F111" s="1">
        <f ca="1">IFERROR(__xludf.DUMMYFUNCTION("""COMPUTED_VALUE"""),105.4)</f>
        <v>105.4</v>
      </c>
      <c r="G111" s="1">
        <f ca="1">IFERROR(__xludf.DUMMYFUNCTION("""COMPUTED_VALUE"""),128)</f>
        <v>128</v>
      </c>
      <c r="H111" s="1">
        <f ca="1">IFERROR(__xludf.DUMMYFUNCTION("""COMPUTED_VALUE"""),98.8)</f>
        <v>98.8</v>
      </c>
      <c r="I111" s="1">
        <f ca="1">IFERROR(__xludf.DUMMYFUNCTION("""COMPUTED_VALUE"""),90)</f>
        <v>90</v>
      </c>
      <c r="J111" s="1">
        <f ca="1">IFERROR(__xludf.DUMMYFUNCTION("""COMPUTED_VALUE"""),66.6)</f>
        <v>66.599999999999994</v>
      </c>
      <c r="K111" s="1">
        <f ca="1">IFERROR(__xludf.DUMMYFUNCTION("""COMPUTED_VALUE"""),96)</f>
        <v>96</v>
      </c>
      <c r="L111" s="1">
        <f ca="1">IFERROR(__xludf.DUMMYFUNCTION("""COMPUTED_VALUE"""),-0.017)</f>
        <v>-1.7000000000000001E-2</v>
      </c>
      <c r="M111" s="1">
        <f ca="1">IFERROR(__xludf.DUMMYFUNCTION("""COMPUTED_VALUE"""),211)</f>
        <v>211</v>
      </c>
      <c r="N111" s="1" t="str">
        <f ca="1">IFERROR(__xludf.DUMMYFUNCTION("""COMPUTED_VALUE"""),"+6.61")</f>
        <v>+6.61</v>
      </c>
      <c r="O111" s="1">
        <f ca="1">IFERROR(__xludf.DUMMYFUNCTION("""COMPUTED_VALUE"""),41)</f>
        <v>41</v>
      </c>
      <c r="P111" s="1">
        <f ca="1">IFERROR(__xludf.DUMMYFUNCTION("""COMPUTED_VALUE"""),107.3)</f>
        <v>107.3</v>
      </c>
      <c r="Q111" s="1">
        <f ca="1">IFERROR(__xludf.DUMMYFUNCTION("""COMPUTED_VALUE"""),23)</f>
        <v>23</v>
      </c>
      <c r="R111" s="1">
        <f ca="1">IFERROR(__xludf.DUMMYFUNCTION("""COMPUTED_VALUE"""),100.7)</f>
        <v>100.7</v>
      </c>
      <c r="S111" s="1">
        <f ca="1">IFERROR(__xludf.DUMMYFUNCTION("""COMPUTED_VALUE"""),72)</f>
        <v>72</v>
      </c>
      <c r="T111" s="1">
        <f ca="1">IFERROR(__xludf.DUMMYFUNCTION("""COMPUTED_VALUE"""),-6.37)</f>
        <v>-6.37</v>
      </c>
      <c r="U111" s="1">
        <f ca="1">IFERROR(__xludf.DUMMYFUNCTION("""COMPUTED_VALUE"""),317)</f>
        <v>317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IFERROR(__xludf.DUMMYFUNCTION("""COMPUTED_VALUE"""),"Nevada5")</f>
        <v>Nevada5</v>
      </c>
      <c r="C112" s="1" t="str">
        <f ca="1">IFERROR(__xludf.DUMMYFUNCTION("""COMPUTED_VALUE"""),"WAC")</f>
        <v>WAC</v>
      </c>
      <c r="D112" s="1" t="str">
        <f ca="1">IFERROR(__xludf.DUMMYFUNCTION("""COMPUTED_VALUE"""),"28-7")</f>
        <v>28-7</v>
      </c>
      <c r="E112" s="1" t="str">
        <f ca="1">IFERROR(__xludf.DUMMYFUNCTION("""COMPUTED_VALUE"""),"+6.52")</f>
        <v>+6.52</v>
      </c>
      <c r="F112" s="1">
        <f ca="1">IFERROR(__xludf.DUMMYFUNCTION("""COMPUTED_VALUE"""),105.9)</f>
        <v>105.9</v>
      </c>
      <c r="G112" s="1">
        <f ca="1">IFERROR(__xludf.DUMMYFUNCTION("""COMPUTED_VALUE"""),118)</f>
        <v>118</v>
      </c>
      <c r="H112" s="1">
        <f ca="1">IFERROR(__xludf.DUMMYFUNCTION("""COMPUTED_VALUE"""),99.4)</f>
        <v>99.4</v>
      </c>
      <c r="I112" s="1">
        <f ca="1">IFERROR(__xludf.DUMMYFUNCTION("""COMPUTED_VALUE"""),100)</f>
        <v>100</v>
      </c>
      <c r="J112" s="1">
        <f ca="1">IFERROR(__xludf.DUMMYFUNCTION("""COMPUTED_VALUE"""),64.2)</f>
        <v>64.2</v>
      </c>
      <c r="K112" s="1">
        <f ca="1">IFERROR(__xludf.DUMMYFUNCTION("""COMPUTED_VALUE"""),215)</f>
        <v>215</v>
      </c>
      <c r="L112" s="1" t="str">
        <f ca="1">IFERROR(__xludf.DUMMYFUNCTION("""COMPUTED_VALUE"""),"+.126")</f>
        <v>+.126</v>
      </c>
      <c r="M112" s="1">
        <f ca="1">IFERROR(__xludf.DUMMYFUNCTION("""COMPUTED_VALUE"""),2)</f>
        <v>2</v>
      </c>
      <c r="N112" s="1">
        <f ca="1">IFERROR(__xludf.DUMMYFUNCTION("""COMPUTED_VALUE"""),-2.09)</f>
        <v>-2.09</v>
      </c>
      <c r="O112" s="1">
        <f ca="1">IFERROR(__xludf.DUMMYFUNCTION("""COMPUTED_VALUE"""),201)</f>
        <v>201</v>
      </c>
      <c r="P112" s="1">
        <f ca="1">IFERROR(__xludf.DUMMYFUNCTION("""COMPUTED_VALUE"""),102.6)</f>
        <v>102.6</v>
      </c>
      <c r="Q112" s="1">
        <f ca="1">IFERROR(__xludf.DUMMYFUNCTION("""COMPUTED_VALUE"""),181)</f>
        <v>181</v>
      </c>
      <c r="R112" s="1">
        <f ca="1">IFERROR(__xludf.DUMMYFUNCTION("""COMPUTED_VALUE"""),104.6)</f>
        <v>104.6</v>
      </c>
      <c r="S112" s="1">
        <f ca="1">IFERROR(__xludf.DUMMYFUNCTION("""COMPUTED_VALUE"""),238)</f>
        <v>238</v>
      </c>
      <c r="T112" s="1">
        <f ca="1">IFERROR(__xludf.DUMMYFUNCTION("""COMPUTED_VALUE"""),-5.97)</f>
        <v>-5.97</v>
      </c>
      <c r="U112" s="1">
        <f ca="1">IFERROR(__xludf.DUMMYFUNCTION("""COMPUTED_VALUE"""),312)</f>
        <v>312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IFERROR(__xludf.DUMMYFUNCTION("""COMPUTED_VALUE"""),"UC Santa Barbara")</f>
        <v>UC Santa Barbara</v>
      </c>
      <c r="C113" s="1" t="str">
        <f ca="1">IFERROR(__xludf.DUMMYFUNCTION("""COMPUTED_VALUE"""),"BW")</f>
        <v>BW</v>
      </c>
      <c r="D113" s="1" t="str">
        <f ca="1">IFERROR(__xludf.DUMMYFUNCTION("""COMPUTED_VALUE"""),"20-11")</f>
        <v>20-11</v>
      </c>
      <c r="E113" s="1" t="str">
        <f ca="1">IFERROR(__xludf.DUMMYFUNCTION("""COMPUTED_VALUE"""),"+6.37")</f>
        <v>+6.37</v>
      </c>
      <c r="F113" s="1">
        <f ca="1">IFERROR(__xludf.DUMMYFUNCTION("""COMPUTED_VALUE"""),111.1)</f>
        <v>111.1</v>
      </c>
      <c r="G113" s="1">
        <f ca="1">IFERROR(__xludf.DUMMYFUNCTION("""COMPUTED_VALUE"""),46)</f>
        <v>46</v>
      </c>
      <c r="H113" s="1">
        <f ca="1">IFERROR(__xludf.DUMMYFUNCTION("""COMPUTED_VALUE"""),104.7)</f>
        <v>104.7</v>
      </c>
      <c r="I113" s="1">
        <f ca="1">IFERROR(__xludf.DUMMYFUNCTION("""COMPUTED_VALUE"""),214)</f>
        <v>214</v>
      </c>
      <c r="J113" s="1">
        <f ca="1">IFERROR(__xludf.DUMMYFUNCTION("""COMPUTED_VALUE"""),63.6)</f>
        <v>63.6</v>
      </c>
      <c r="K113" s="1">
        <f ca="1">IFERROR(__xludf.DUMMYFUNCTION("""COMPUTED_VALUE"""),248)</f>
        <v>248</v>
      </c>
      <c r="L113" s="1">
        <f ca="1">IFERROR(__xludf.DUMMYFUNCTION("""COMPUTED_VALUE"""),-0.009)</f>
        <v>-8.9999999999999993E-3</v>
      </c>
      <c r="M113" s="1">
        <f ca="1">IFERROR(__xludf.DUMMYFUNCTION("""COMPUTED_VALUE"""),194)</f>
        <v>194</v>
      </c>
      <c r="N113" s="1">
        <f ca="1">IFERROR(__xludf.DUMMYFUNCTION("""COMPUTED_VALUE"""),-1.45)</f>
        <v>-1.45</v>
      </c>
      <c r="O113" s="1">
        <f ca="1">IFERROR(__xludf.DUMMYFUNCTION("""COMPUTED_VALUE"""),188)</f>
        <v>188</v>
      </c>
      <c r="P113" s="1">
        <f ca="1">IFERROR(__xludf.DUMMYFUNCTION("""COMPUTED_VALUE"""),102.8)</f>
        <v>102.8</v>
      </c>
      <c r="Q113" s="1">
        <f ca="1">IFERROR(__xludf.DUMMYFUNCTION("""COMPUTED_VALUE"""),167)</f>
        <v>167</v>
      </c>
      <c r="R113" s="1">
        <f ca="1">IFERROR(__xludf.DUMMYFUNCTION("""COMPUTED_VALUE"""),104.3)</f>
        <v>104.3</v>
      </c>
      <c r="S113" s="1">
        <f ca="1">IFERROR(__xludf.DUMMYFUNCTION("""COMPUTED_VALUE"""),212)</f>
        <v>212</v>
      </c>
      <c r="T113" s="1" t="str">
        <f ca="1">IFERROR(__xludf.DUMMYFUNCTION("""COMPUTED_VALUE"""),"+6.04")</f>
        <v>+6.04</v>
      </c>
      <c r="U113" s="1">
        <f ca="1">IFERROR(__xludf.DUMMYFUNCTION("""COMPUTED_VALUE"""),28)</f>
        <v>28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IFERROR(__xludf.DUMMYFUNCTION("""COMPUTED_VALUE"""),"Lamar16")</f>
        <v>Lamar16</v>
      </c>
      <c r="C114" s="1" t="str">
        <f ca="1">IFERROR(__xludf.DUMMYFUNCTION("""COMPUTED_VALUE"""),"Slnd")</f>
        <v>Slnd</v>
      </c>
      <c r="D114" s="1" t="str">
        <f ca="1">IFERROR(__xludf.DUMMYFUNCTION("""COMPUTED_VALUE"""),"23-12")</f>
        <v>23-12</v>
      </c>
      <c r="E114" s="1" t="str">
        <f ca="1">IFERROR(__xludf.DUMMYFUNCTION("""COMPUTED_VALUE"""),"+6.33")</f>
        <v>+6.33</v>
      </c>
      <c r="F114" s="1">
        <f ca="1">IFERROR(__xludf.DUMMYFUNCTION("""COMPUTED_VALUE"""),107.6)</f>
        <v>107.6</v>
      </c>
      <c r="G114" s="1">
        <f ca="1">IFERROR(__xludf.DUMMYFUNCTION("""COMPUTED_VALUE"""),88)</f>
        <v>88</v>
      </c>
      <c r="H114" s="1">
        <f ca="1">IFERROR(__xludf.DUMMYFUNCTION("""COMPUTED_VALUE"""),101.3)</f>
        <v>101.3</v>
      </c>
      <c r="I114" s="1">
        <f ca="1">IFERROR(__xludf.DUMMYFUNCTION("""COMPUTED_VALUE"""),138)</f>
        <v>138</v>
      </c>
      <c r="J114" s="1">
        <f ca="1">IFERROR(__xludf.DUMMYFUNCTION("""COMPUTED_VALUE"""),66)</f>
        <v>66</v>
      </c>
      <c r="K114" s="1">
        <f ca="1">IFERROR(__xludf.DUMMYFUNCTION("""COMPUTED_VALUE"""),123)</f>
        <v>123</v>
      </c>
      <c r="L114" s="1">
        <f ca="1">IFERROR(__xludf.DUMMYFUNCTION("""COMPUTED_VALUE"""),-0.028)</f>
        <v>-2.8000000000000001E-2</v>
      </c>
      <c r="M114" s="1">
        <f ca="1">IFERROR(__xludf.DUMMYFUNCTION("""COMPUTED_VALUE"""),246)</f>
        <v>246</v>
      </c>
      <c r="N114" s="1">
        <f ca="1">IFERROR(__xludf.DUMMYFUNCTION("""COMPUTED_VALUE"""),-3.98)</f>
        <v>-3.98</v>
      </c>
      <c r="O114" s="1">
        <f ca="1">IFERROR(__xludf.DUMMYFUNCTION("""COMPUTED_VALUE"""),252)</f>
        <v>252</v>
      </c>
      <c r="P114" s="1">
        <f ca="1">IFERROR(__xludf.DUMMYFUNCTION("""COMPUTED_VALUE"""),99.4)</f>
        <v>99.4</v>
      </c>
      <c r="Q114" s="1">
        <f ca="1">IFERROR(__xludf.DUMMYFUNCTION("""COMPUTED_VALUE"""),310)</f>
        <v>310</v>
      </c>
      <c r="R114" s="1">
        <f ca="1">IFERROR(__xludf.DUMMYFUNCTION("""COMPUTED_VALUE"""),103.4)</f>
        <v>103.4</v>
      </c>
      <c r="S114" s="1">
        <f ca="1">IFERROR(__xludf.DUMMYFUNCTION("""COMPUTED_VALUE"""),173)</f>
        <v>173</v>
      </c>
      <c r="T114" s="1" t="str">
        <f ca="1">IFERROR(__xludf.DUMMYFUNCTION("""COMPUTED_VALUE"""),"+5.21")</f>
        <v>+5.21</v>
      </c>
      <c r="U114" s="1">
        <f ca="1">IFERROR(__xludf.DUMMYFUNCTION("""COMPUTED_VALUE"""),37)</f>
        <v>37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IFERROR(__xludf.DUMMYFUNCTION("""COMPUTED_VALUE"""),"Richmond")</f>
        <v>Richmond</v>
      </c>
      <c r="C115" s="1" t="str">
        <f ca="1">IFERROR(__xludf.DUMMYFUNCTION("""COMPUTED_VALUE"""),"A10")</f>
        <v>A10</v>
      </c>
      <c r="D115" s="1" t="str">
        <f ca="1">IFERROR(__xludf.DUMMYFUNCTION("""COMPUTED_VALUE"""),"16-16")</f>
        <v>16-16</v>
      </c>
      <c r="E115" s="1" t="str">
        <f ca="1">IFERROR(__xludf.DUMMYFUNCTION("""COMPUTED_VALUE"""),"+6.13")</f>
        <v>+6.13</v>
      </c>
      <c r="F115" s="1">
        <f ca="1">IFERROR(__xludf.DUMMYFUNCTION("""COMPUTED_VALUE"""),109.3)</f>
        <v>109.3</v>
      </c>
      <c r="G115" s="1">
        <f ca="1">IFERROR(__xludf.DUMMYFUNCTION("""COMPUTED_VALUE"""),64)</f>
        <v>64</v>
      </c>
      <c r="H115" s="1">
        <f ca="1">IFERROR(__xludf.DUMMYFUNCTION("""COMPUTED_VALUE"""),103.2)</f>
        <v>103.2</v>
      </c>
      <c r="I115" s="1">
        <f ca="1">IFERROR(__xludf.DUMMYFUNCTION("""COMPUTED_VALUE"""),179)</f>
        <v>179</v>
      </c>
      <c r="J115" s="1">
        <f ca="1">IFERROR(__xludf.DUMMYFUNCTION("""COMPUTED_VALUE"""),62.8)</f>
        <v>62.8</v>
      </c>
      <c r="K115" s="1">
        <f ca="1">IFERROR(__xludf.DUMMYFUNCTION("""COMPUTED_VALUE"""),275)</f>
        <v>275</v>
      </c>
      <c r="L115" s="1">
        <f ca="1">IFERROR(__xludf.DUMMYFUNCTION("""COMPUTED_VALUE"""),-0.047)</f>
        <v>-4.7E-2</v>
      </c>
      <c r="M115" s="1">
        <f ca="1">IFERROR(__xludf.DUMMYFUNCTION("""COMPUTED_VALUE"""),276)</f>
        <v>276</v>
      </c>
      <c r="N115" s="1" t="str">
        <f ca="1">IFERROR(__xludf.DUMMYFUNCTION("""COMPUTED_VALUE"""),"+3.84")</f>
        <v>+3.84</v>
      </c>
      <c r="O115" s="1">
        <f ca="1">IFERROR(__xludf.DUMMYFUNCTION("""COMPUTED_VALUE"""),82)</f>
        <v>82</v>
      </c>
      <c r="P115" s="1">
        <f ca="1">IFERROR(__xludf.DUMMYFUNCTION("""COMPUTED_VALUE"""),104.9)</f>
        <v>104.9</v>
      </c>
      <c r="Q115" s="1">
        <f ca="1">IFERROR(__xludf.DUMMYFUNCTION("""COMPUTED_VALUE"""),80)</f>
        <v>80</v>
      </c>
      <c r="R115" s="1">
        <f ca="1">IFERROR(__xludf.DUMMYFUNCTION("""COMPUTED_VALUE"""),101.1)</f>
        <v>101.1</v>
      </c>
      <c r="S115" s="1">
        <f ca="1">IFERROR(__xludf.DUMMYFUNCTION("""COMPUTED_VALUE"""),85)</f>
        <v>85</v>
      </c>
      <c r="T115" s="1" t="str">
        <f ca="1">IFERROR(__xludf.DUMMYFUNCTION("""COMPUTED_VALUE"""),"+0.41")</f>
        <v>+0.41</v>
      </c>
      <c r="U115" s="1">
        <f ca="1">IFERROR(__xludf.DUMMYFUNCTION("""COMPUTED_VALUE"""),143)</f>
        <v>143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IFERROR(__xludf.DUMMYFUNCTION("""COMPUTED_VALUE"""),"George Mason")</f>
        <v>George Mason</v>
      </c>
      <c r="C116" s="1" t="str">
        <f ca="1">IFERROR(__xludf.DUMMYFUNCTION("""COMPUTED_VALUE"""),"CAA")</f>
        <v>CAA</v>
      </c>
      <c r="D116" s="1" t="str">
        <f ca="1">IFERROR(__xludf.DUMMYFUNCTION("""COMPUTED_VALUE"""),"24-9")</f>
        <v>24-9</v>
      </c>
      <c r="E116" s="1" t="str">
        <f ca="1">IFERROR(__xludf.DUMMYFUNCTION("""COMPUTED_VALUE"""),"+6.08")</f>
        <v>+6.08</v>
      </c>
      <c r="F116" s="1">
        <f ca="1">IFERROR(__xludf.DUMMYFUNCTION("""COMPUTED_VALUE"""),104.2)</f>
        <v>104.2</v>
      </c>
      <c r="G116" s="1">
        <f ca="1">IFERROR(__xludf.DUMMYFUNCTION("""COMPUTED_VALUE"""),146)</f>
        <v>146</v>
      </c>
      <c r="H116" s="1">
        <f ca="1">IFERROR(__xludf.DUMMYFUNCTION("""COMPUTED_VALUE"""),98.1)</f>
        <v>98.1</v>
      </c>
      <c r="I116" s="1">
        <f ca="1">IFERROR(__xludf.DUMMYFUNCTION("""COMPUTED_VALUE"""),82)</f>
        <v>82</v>
      </c>
      <c r="J116" s="1">
        <f ca="1">IFERROR(__xludf.DUMMYFUNCTION("""COMPUTED_VALUE"""),67.1)</f>
        <v>67.099999999999994</v>
      </c>
      <c r="K116" s="1">
        <f ca="1">IFERROR(__xludf.DUMMYFUNCTION("""COMPUTED_VALUE"""),82)</f>
        <v>82</v>
      </c>
      <c r="L116" s="1" t="str">
        <f ca="1">IFERROR(__xludf.DUMMYFUNCTION("""COMPUTED_VALUE"""),"+.048")</f>
        <v>+.048</v>
      </c>
      <c r="M116" s="1">
        <f ca="1">IFERROR(__xludf.DUMMYFUNCTION("""COMPUTED_VALUE"""),58)</f>
        <v>58</v>
      </c>
      <c r="N116" s="1">
        <f ca="1">IFERROR(__xludf.DUMMYFUNCTION("""COMPUTED_VALUE"""),-2.2)</f>
        <v>-2.2000000000000002</v>
      </c>
      <c r="O116" s="1">
        <f ca="1">IFERROR(__xludf.DUMMYFUNCTION("""COMPUTED_VALUE"""),204)</f>
        <v>204</v>
      </c>
      <c r="P116" s="1">
        <f ca="1">IFERROR(__xludf.DUMMYFUNCTION("""COMPUTED_VALUE"""),101)</f>
        <v>101</v>
      </c>
      <c r="Q116" s="1">
        <f ca="1">IFERROR(__xludf.DUMMYFUNCTION("""COMPUTED_VALUE"""),264)</f>
        <v>264</v>
      </c>
      <c r="R116" s="1">
        <f ca="1">IFERROR(__xludf.DUMMYFUNCTION("""COMPUTED_VALUE"""),103.2)</f>
        <v>103.2</v>
      </c>
      <c r="S116" s="1">
        <f ca="1">IFERROR(__xludf.DUMMYFUNCTION("""COMPUTED_VALUE"""),164)</f>
        <v>164</v>
      </c>
      <c r="T116" s="1">
        <f ca="1">IFERROR(__xludf.DUMMYFUNCTION("""COMPUTED_VALUE"""),-3.96)</f>
        <v>-3.96</v>
      </c>
      <c r="U116" s="1">
        <f ca="1">IFERROR(__xludf.DUMMYFUNCTION("""COMPUTED_VALUE"""),265)</f>
        <v>265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IFERROR(__xludf.DUMMYFUNCTION("""COMPUTED_VALUE"""),"Old Dominion")</f>
        <v>Old Dominion</v>
      </c>
      <c r="C117" s="1" t="str">
        <f ca="1">IFERROR(__xludf.DUMMYFUNCTION("""COMPUTED_VALUE"""),"CAA")</f>
        <v>CAA</v>
      </c>
      <c r="D117" s="1" t="str">
        <f ca="1">IFERROR(__xludf.DUMMYFUNCTION("""COMPUTED_VALUE"""),"22-14")</f>
        <v>22-14</v>
      </c>
      <c r="E117" s="1" t="str">
        <f ca="1">IFERROR(__xludf.DUMMYFUNCTION("""COMPUTED_VALUE"""),"+6.08")</f>
        <v>+6.08</v>
      </c>
      <c r="F117" s="1">
        <f ca="1">IFERROR(__xludf.DUMMYFUNCTION("""COMPUTED_VALUE"""),102)</f>
        <v>102</v>
      </c>
      <c r="G117" s="1">
        <f ca="1">IFERROR(__xludf.DUMMYFUNCTION("""COMPUTED_VALUE"""),183)</f>
        <v>183</v>
      </c>
      <c r="H117" s="1">
        <f ca="1">IFERROR(__xludf.DUMMYFUNCTION("""COMPUTED_VALUE"""),95.9)</f>
        <v>95.9</v>
      </c>
      <c r="I117" s="1">
        <f ca="1">IFERROR(__xludf.DUMMYFUNCTION("""COMPUTED_VALUE"""),47)</f>
        <v>47</v>
      </c>
      <c r="J117" s="1">
        <f ca="1">IFERROR(__xludf.DUMMYFUNCTION("""COMPUTED_VALUE"""),64.5)</f>
        <v>64.5</v>
      </c>
      <c r="K117" s="1">
        <f ca="1">IFERROR(__xludf.DUMMYFUNCTION("""COMPUTED_VALUE"""),197)</f>
        <v>197</v>
      </c>
      <c r="L117" s="1">
        <f ca="1">IFERROR(__xludf.DUMMYFUNCTION("""COMPUTED_VALUE"""),-0.006)</f>
        <v>-6.0000000000000001E-3</v>
      </c>
      <c r="M117" s="1">
        <f ca="1">IFERROR(__xludf.DUMMYFUNCTION("""COMPUTED_VALUE"""),189)</f>
        <v>189</v>
      </c>
      <c r="N117" s="1">
        <f ca="1">IFERROR(__xludf.DUMMYFUNCTION("""COMPUTED_VALUE"""),-0.01)</f>
        <v>-0.01</v>
      </c>
      <c r="O117" s="1">
        <f ca="1">IFERROR(__xludf.DUMMYFUNCTION("""COMPUTED_VALUE"""),157)</f>
        <v>157</v>
      </c>
      <c r="P117" s="1">
        <f ca="1">IFERROR(__xludf.DUMMYFUNCTION("""COMPUTED_VALUE"""),102.7)</f>
        <v>102.7</v>
      </c>
      <c r="Q117" s="1">
        <f ca="1">IFERROR(__xludf.DUMMYFUNCTION("""COMPUTED_VALUE"""),174)</f>
        <v>174</v>
      </c>
      <c r="R117" s="1">
        <f ca="1">IFERROR(__xludf.DUMMYFUNCTION("""COMPUTED_VALUE"""),102.7)</f>
        <v>102.7</v>
      </c>
      <c r="S117" s="1">
        <f ca="1">IFERROR(__xludf.DUMMYFUNCTION("""COMPUTED_VALUE"""),150)</f>
        <v>150</v>
      </c>
      <c r="T117" s="1" t="str">
        <f ca="1">IFERROR(__xludf.DUMMYFUNCTION("""COMPUTED_VALUE"""),"+4.47")</f>
        <v>+4.47</v>
      </c>
      <c r="U117" s="1">
        <f ca="1">IFERROR(__xludf.DUMMYFUNCTION("""COMPUTED_VALUE"""),49)</f>
        <v>49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IFERROR(__xludf.DUMMYFUNCTION("""COMPUTED_VALUE"""),"Georgia")</f>
        <v>Georgia</v>
      </c>
      <c r="C118" s="1" t="str">
        <f ca="1">IFERROR(__xludf.DUMMYFUNCTION("""COMPUTED_VALUE"""),"SEC")</f>
        <v>SEC</v>
      </c>
      <c r="D118" s="1" t="str">
        <f ca="1">IFERROR(__xludf.DUMMYFUNCTION("""COMPUTED_VALUE"""),"15-17")</f>
        <v>15-17</v>
      </c>
      <c r="E118" s="1" t="str">
        <f ca="1">IFERROR(__xludf.DUMMYFUNCTION("""COMPUTED_VALUE"""),"+5.97")</f>
        <v>+5.97</v>
      </c>
      <c r="F118" s="1">
        <f ca="1">IFERROR(__xludf.DUMMYFUNCTION("""COMPUTED_VALUE"""),104.7)</f>
        <v>104.7</v>
      </c>
      <c r="G118" s="1">
        <f ca="1">IFERROR(__xludf.DUMMYFUNCTION("""COMPUTED_VALUE"""),139)</f>
        <v>139</v>
      </c>
      <c r="H118" s="1">
        <f ca="1">IFERROR(__xludf.DUMMYFUNCTION("""COMPUTED_VALUE"""),98.7)</f>
        <v>98.7</v>
      </c>
      <c r="I118" s="1">
        <f ca="1">IFERROR(__xludf.DUMMYFUNCTION("""COMPUTED_VALUE"""),89)</f>
        <v>89</v>
      </c>
      <c r="J118" s="1">
        <f ca="1">IFERROR(__xludf.DUMMYFUNCTION("""COMPUTED_VALUE"""),61.5)</f>
        <v>61.5</v>
      </c>
      <c r="K118" s="1">
        <f ca="1">IFERROR(__xludf.DUMMYFUNCTION("""COMPUTED_VALUE"""),313)</f>
        <v>313</v>
      </c>
      <c r="L118" s="1" t="str">
        <f ca="1">IFERROR(__xludf.DUMMYFUNCTION("""COMPUTED_VALUE"""),"+.033")</f>
        <v>+.033</v>
      </c>
      <c r="M118" s="1">
        <f ca="1">IFERROR(__xludf.DUMMYFUNCTION("""COMPUTED_VALUE"""),83)</f>
        <v>83</v>
      </c>
      <c r="N118" s="1" t="str">
        <f ca="1">IFERROR(__xludf.DUMMYFUNCTION("""COMPUTED_VALUE"""),"+7.99")</f>
        <v>+7.99</v>
      </c>
      <c r="O118" s="1">
        <f ca="1">IFERROR(__xludf.DUMMYFUNCTION("""COMPUTED_VALUE"""),25)</f>
        <v>25</v>
      </c>
      <c r="P118" s="1">
        <f ca="1">IFERROR(__xludf.DUMMYFUNCTION("""COMPUTED_VALUE"""),106.9)</f>
        <v>106.9</v>
      </c>
      <c r="Q118" s="1">
        <f ca="1">IFERROR(__xludf.DUMMYFUNCTION("""COMPUTED_VALUE"""),31)</f>
        <v>31</v>
      </c>
      <c r="R118" s="1">
        <f ca="1">IFERROR(__xludf.DUMMYFUNCTION("""COMPUTED_VALUE"""),99)</f>
        <v>99</v>
      </c>
      <c r="S118" s="1">
        <f ca="1">IFERROR(__xludf.DUMMYFUNCTION("""COMPUTED_VALUE"""),15)</f>
        <v>15</v>
      </c>
      <c r="T118" s="1" t="str">
        <f ca="1">IFERROR(__xludf.DUMMYFUNCTION("""COMPUTED_VALUE"""),"+0.99")</f>
        <v>+0.99</v>
      </c>
      <c r="U118" s="1">
        <f ca="1">IFERROR(__xludf.DUMMYFUNCTION("""COMPUTED_VALUE"""),127)</f>
        <v>127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IFERROR(__xludf.DUMMYFUNCTION("""COMPUTED_VALUE"""),"Fairfield")</f>
        <v>Fairfield</v>
      </c>
      <c r="C119" s="1" t="str">
        <f ca="1">IFERROR(__xludf.DUMMYFUNCTION("""COMPUTED_VALUE"""),"MAAC")</f>
        <v>MAAC</v>
      </c>
      <c r="D119" s="1" t="str">
        <f ca="1">IFERROR(__xludf.DUMMYFUNCTION("""COMPUTED_VALUE"""),"22-15")</f>
        <v>22-15</v>
      </c>
      <c r="E119" s="1" t="str">
        <f ca="1">IFERROR(__xludf.DUMMYFUNCTION("""COMPUTED_VALUE"""),"+5.66")</f>
        <v>+5.66</v>
      </c>
      <c r="F119" s="1">
        <f ca="1">IFERROR(__xludf.DUMMYFUNCTION("""COMPUTED_VALUE"""),100.6)</f>
        <v>100.6</v>
      </c>
      <c r="G119" s="1">
        <f ca="1">IFERROR(__xludf.DUMMYFUNCTION("""COMPUTED_VALUE"""),218)</f>
        <v>218</v>
      </c>
      <c r="H119" s="1">
        <f ca="1">IFERROR(__xludf.DUMMYFUNCTION("""COMPUTED_VALUE"""),95)</f>
        <v>95</v>
      </c>
      <c r="I119" s="1">
        <f ca="1">IFERROR(__xludf.DUMMYFUNCTION("""COMPUTED_VALUE"""),39)</f>
        <v>39</v>
      </c>
      <c r="J119" s="1">
        <f ca="1">IFERROR(__xludf.DUMMYFUNCTION("""COMPUTED_VALUE"""),64)</f>
        <v>64</v>
      </c>
      <c r="K119" s="1">
        <f ca="1">IFERROR(__xludf.DUMMYFUNCTION("""COMPUTED_VALUE"""),225)</f>
        <v>225</v>
      </c>
      <c r="L119" s="1">
        <f ca="1">IFERROR(__xludf.DUMMYFUNCTION("""COMPUTED_VALUE"""),-0.066)</f>
        <v>-6.6000000000000003E-2</v>
      </c>
      <c r="M119" s="1">
        <f ca="1">IFERROR(__xludf.DUMMYFUNCTION("""COMPUTED_VALUE"""),313)</f>
        <v>313</v>
      </c>
      <c r="N119" s="1">
        <f ca="1">IFERROR(__xludf.DUMMYFUNCTION("""COMPUTED_VALUE"""),-1.42)</f>
        <v>-1.42</v>
      </c>
      <c r="O119" s="1">
        <f ca="1">IFERROR(__xludf.DUMMYFUNCTION("""COMPUTED_VALUE"""),186)</f>
        <v>186</v>
      </c>
      <c r="P119" s="1">
        <f ca="1">IFERROR(__xludf.DUMMYFUNCTION("""COMPUTED_VALUE"""),102.6)</f>
        <v>102.6</v>
      </c>
      <c r="Q119" s="1">
        <f ca="1">IFERROR(__xludf.DUMMYFUNCTION("""COMPUTED_VALUE"""),180)</f>
        <v>180</v>
      </c>
      <c r="R119" s="1">
        <f ca="1">IFERROR(__xludf.DUMMYFUNCTION("""COMPUTED_VALUE"""),104)</f>
        <v>104</v>
      </c>
      <c r="S119" s="1">
        <f ca="1">IFERROR(__xludf.DUMMYFUNCTION("""COMPUTED_VALUE"""),196)</f>
        <v>196</v>
      </c>
      <c r="T119" s="1" t="str">
        <f ca="1">IFERROR(__xludf.DUMMYFUNCTION("""COMPUTED_VALUE"""),"+3.69")</f>
        <v>+3.69</v>
      </c>
      <c r="U119" s="1">
        <f ca="1">IFERROR(__xludf.DUMMYFUNCTION("""COMPUTED_VALUE"""),67)</f>
        <v>67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IFERROR(__xludf.DUMMYFUNCTION("""COMPUTED_VALUE"""),"UNC Asheville16")</f>
        <v>UNC Asheville16</v>
      </c>
      <c r="C120" s="1" t="str">
        <f ca="1">IFERROR(__xludf.DUMMYFUNCTION("""COMPUTED_VALUE"""),"BSth")</f>
        <v>BSth</v>
      </c>
      <c r="D120" s="1" t="str">
        <f ca="1">IFERROR(__xludf.DUMMYFUNCTION("""COMPUTED_VALUE"""),"24-10")</f>
        <v>24-10</v>
      </c>
      <c r="E120" s="1" t="str">
        <f ca="1">IFERROR(__xludf.DUMMYFUNCTION("""COMPUTED_VALUE"""),"+5.50")</f>
        <v>+5.50</v>
      </c>
      <c r="F120" s="1">
        <f ca="1">IFERROR(__xludf.DUMMYFUNCTION("""COMPUTED_VALUE"""),110.4)</f>
        <v>110.4</v>
      </c>
      <c r="G120" s="1">
        <f ca="1">IFERROR(__xludf.DUMMYFUNCTION("""COMPUTED_VALUE"""),55)</f>
        <v>55</v>
      </c>
      <c r="H120" s="1">
        <f ca="1">IFERROR(__xludf.DUMMYFUNCTION("""COMPUTED_VALUE"""),104.9)</f>
        <v>104.9</v>
      </c>
      <c r="I120" s="1">
        <f ca="1">IFERROR(__xludf.DUMMYFUNCTION("""COMPUTED_VALUE"""),219)</f>
        <v>219</v>
      </c>
      <c r="J120" s="1">
        <f ca="1">IFERROR(__xludf.DUMMYFUNCTION("""COMPUTED_VALUE"""),68.2)</f>
        <v>68.2</v>
      </c>
      <c r="K120" s="1">
        <f ca="1">IFERROR(__xludf.DUMMYFUNCTION("""COMPUTED_VALUE"""),39)</f>
        <v>39</v>
      </c>
      <c r="L120" s="1">
        <f ca="1">IFERROR(__xludf.DUMMYFUNCTION("""COMPUTED_VALUE"""),-0.001)</f>
        <v>-1E-3</v>
      </c>
      <c r="M120" s="1">
        <f ca="1">IFERROR(__xludf.DUMMYFUNCTION("""COMPUTED_VALUE"""),173)</f>
        <v>173</v>
      </c>
      <c r="N120" s="1">
        <f ca="1">IFERROR(__xludf.DUMMYFUNCTION("""COMPUTED_VALUE"""),-4.12)</f>
        <v>-4.12</v>
      </c>
      <c r="O120" s="1">
        <f ca="1">IFERROR(__xludf.DUMMYFUNCTION("""COMPUTED_VALUE"""),261)</f>
        <v>261</v>
      </c>
      <c r="P120" s="1">
        <f ca="1">IFERROR(__xludf.DUMMYFUNCTION("""COMPUTED_VALUE"""),101.8)</f>
        <v>101.8</v>
      </c>
      <c r="Q120" s="1">
        <f ca="1">IFERROR(__xludf.DUMMYFUNCTION("""COMPUTED_VALUE"""),221)</f>
        <v>221</v>
      </c>
      <c r="R120" s="1">
        <f ca="1">IFERROR(__xludf.DUMMYFUNCTION("""COMPUTED_VALUE"""),105.9)</f>
        <v>105.9</v>
      </c>
      <c r="S120" s="1">
        <f ca="1">IFERROR(__xludf.DUMMYFUNCTION("""COMPUTED_VALUE"""),303)</f>
        <v>303</v>
      </c>
      <c r="T120" s="1" t="str">
        <f ca="1">IFERROR(__xludf.DUMMYFUNCTION("""COMPUTED_VALUE"""),"+7.91")</f>
        <v>+7.91</v>
      </c>
      <c r="U120" s="1">
        <f ca="1">IFERROR(__xludf.DUMMYFUNCTION("""COMPUTED_VALUE"""),16)</f>
        <v>16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IFERROR(__xludf.DUMMYFUNCTION("""COMPUTED_VALUE"""),"Detroit15")</f>
        <v>Detroit15</v>
      </c>
      <c r="C121" s="1" t="str">
        <f ca="1">IFERROR(__xludf.DUMMYFUNCTION("""COMPUTED_VALUE"""),"Horz")</f>
        <v>Horz</v>
      </c>
      <c r="D121" s="1" t="str">
        <f ca="1">IFERROR(__xludf.DUMMYFUNCTION("""COMPUTED_VALUE"""),"22-14")</f>
        <v>22-14</v>
      </c>
      <c r="E121" s="1" t="str">
        <f ca="1">IFERROR(__xludf.DUMMYFUNCTION("""COMPUTED_VALUE"""),"+5.48")</f>
        <v>+5.48</v>
      </c>
      <c r="F121" s="1">
        <f ca="1">IFERROR(__xludf.DUMMYFUNCTION("""COMPUTED_VALUE"""),108.1)</f>
        <v>108.1</v>
      </c>
      <c r="G121" s="1">
        <f ca="1">IFERROR(__xludf.DUMMYFUNCTION("""COMPUTED_VALUE"""),82)</f>
        <v>82</v>
      </c>
      <c r="H121" s="1">
        <f ca="1">IFERROR(__xludf.DUMMYFUNCTION("""COMPUTED_VALUE"""),102.6)</f>
        <v>102.6</v>
      </c>
      <c r="I121" s="1">
        <f ca="1">IFERROR(__xludf.DUMMYFUNCTION("""COMPUTED_VALUE"""),164)</f>
        <v>164</v>
      </c>
      <c r="J121" s="1">
        <f ca="1">IFERROR(__xludf.DUMMYFUNCTION("""COMPUTED_VALUE"""),67.1)</f>
        <v>67.099999999999994</v>
      </c>
      <c r="K121" s="1">
        <f ca="1">IFERROR(__xludf.DUMMYFUNCTION("""COMPUTED_VALUE"""),76)</f>
        <v>76</v>
      </c>
      <c r="L121" s="1">
        <f ca="1">IFERROR(__xludf.DUMMYFUNCTION("""COMPUTED_VALUE"""),-0.008)</f>
        <v>-8.0000000000000002E-3</v>
      </c>
      <c r="M121" s="1">
        <f ca="1">IFERROR(__xludf.DUMMYFUNCTION("""COMPUTED_VALUE"""),193)</f>
        <v>193</v>
      </c>
      <c r="N121" s="1" t="str">
        <f ca="1">IFERROR(__xludf.DUMMYFUNCTION("""COMPUTED_VALUE"""),"+0.35")</f>
        <v>+0.35</v>
      </c>
      <c r="O121" s="1">
        <f ca="1">IFERROR(__xludf.DUMMYFUNCTION("""COMPUTED_VALUE"""),144)</f>
        <v>144</v>
      </c>
      <c r="P121" s="1">
        <f ca="1">IFERROR(__xludf.DUMMYFUNCTION("""COMPUTED_VALUE"""),102.2)</f>
        <v>102.2</v>
      </c>
      <c r="Q121" s="1">
        <f ca="1">IFERROR(__xludf.DUMMYFUNCTION("""COMPUTED_VALUE"""),202)</f>
        <v>202</v>
      </c>
      <c r="R121" s="1">
        <f ca="1">IFERROR(__xludf.DUMMYFUNCTION("""COMPUTED_VALUE"""),101.8)</f>
        <v>101.8</v>
      </c>
      <c r="S121" s="1">
        <f ca="1">IFERROR(__xludf.DUMMYFUNCTION("""COMPUTED_VALUE"""),120)</f>
        <v>120</v>
      </c>
      <c r="T121" s="1" t="str">
        <f ca="1">IFERROR(__xludf.DUMMYFUNCTION("""COMPUTED_VALUE"""),"+1.14")</f>
        <v>+1.14</v>
      </c>
      <c r="U121" s="1">
        <f ca="1">IFERROR(__xludf.DUMMYFUNCTION("""COMPUTED_VALUE"""),120)</f>
        <v>120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IFERROR(__xludf.DUMMYFUNCTION("""COMPUTED_VALUE"""),"Butler")</f>
        <v>Butler</v>
      </c>
      <c r="C122" s="1" t="str">
        <f ca="1">IFERROR(__xludf.DUMMYFUNCTION("""COMPUTED_VALUE"""),"Horz")</f>
        <v>Horz</v>
      </c>
      <c r="D122" s="1" t="str">
        <f ca="1">IFERROR(__xludf.DUMMYFUNCTION("""COMPUTED_VALUE"""),"22-15")</f>
        <v>22-15</v>
      </c>
      <c r="E122" s="1" t="str">
        <f ca="1">IFERROR(__xludf.DUMMYFUNCTION("""COMPUTED_VALUE"""),"+5.31")</f>
        <v>+5.31</v>
      </c>
      <c r="F122" s="1">
        <f ca="1">IFERROR(__xludf.DUMMYFUNCTION("""COMPUTED_VALUE"""),99.7)</f>
        <v>99.7</v>
      </c>
      <c r="G122" s="1">
        <f ca="1">IFERROR(__xludf.DUMMYFUNCTION("""COMPUTED_VALUE"""),232)</f>
        <v>232</v>
      </c>
      <c r="H122" s="1">
        <f ca="1">IFERROR(__xludf.DUMMYFUNCTION("""COMPUTED_VALUE"""),94.4)</f>
        <v>94.4</v>
      </c>
      <c r="I122" s="1">
        <f ca="1">IFERROR(__xludf.DUMMYFUNCTION("""COMPUTED_VALUE"""),28)</f>
        <v>28</v>
      </c>
      <c r="J122" s="1">
        <f ca="1">IFERROR(__xludf.DUMMYFUNCTION("""COMPUTED_VALUE"""),64.1)</f>
        <v>64.099999999999994</v>
      </c>
      <c r="K122" s="1">
        <f ca="1">IFERROR(__xludf.DUMMYFUNCTION("""COMPUTED_VALUE"""),218)</f>
        <v>218</v>
      </c>
      <c r="L122" s="1" t="str">
        <f ca="1">IFERROR(__xludf.DUMMYFUNCTION("""COMPUTED_VALUE"""),"+.020")</f>
        <v>+.020</v>
      </c>
      <c r="M122" s="1">
        <f ca="1">IFERROR(__xludf.DUMMYFUNCTION("""COMPUTED_VALUE"""),121)</f>
        <v>121</v>
      </c>
      <c r="N122" s="1" t="str">
        <f ca="1">IFERROR(__xludf.DUMMYFUNCTION("""COMPUTED_VALUE"""),"+1.42")</f>
        <v>+1.42</v>
      </c>
      <c r="O122" s="1">
        <f ca="1">IFERROR(__xludf.DUMMYFUNCTION("""COMPUTED_VALUE"""),124)</f>
        <v>124</v>
      </c>
      <c r="P122" s="1">
        <f ca="1">IFERROR(__xludf.DUMMYFUNCTION("""COMPUTED_VALUE"""),103.1)</f>
        <v>103.1</v>
      </c>
      <c r="Q122" s="1">
        <f ca="1">IFERROR(__xludf.DUMMYFUNCTION("""COMPUTED_VALUE"""),155)</f>
        <v>155</v>
      </c>
      <c r="R122" s="1">
        <f ca="1">IFERROR(__xludf.DUMMYFUNCTION("""COMPUTED_VALUE"""),101.6)</f>
        <v>101.6</v>
      </c>
      <c r="S122" s="1">
        <f ca="1">IFERROR(__xludf.DUMMYFUNCTION("""COMPUTED_VALUE"""),116)</f>
        <v>116</v>
      </c>
      <c r="T122" s="1" t="str">
        <f ca="1">IFERROR(__xludf.DUMMYFUNCTION("""COMPUTED_VALUE"""),"+6.43")</f>
        <v>+6.43</v>
      </c>
      <c r="U122" s="1">
        <f ca="1">IFERROR(__xludf.DUMMYFUNCTION("""COMPUTED_VALUE"""),25)</f>
        <v>25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IFERROR(__xludf.DUMMYFUNCTION("""COMPUTED_VALUE"""),"Kent St.")</f>
        <v>Kent St.</v>
      </c>
      <c r="C123" s="1" t="str">
        <f ca="1">IFERROR(__xludf.DUMMYFUNCTION("""COMPUTED_VALUE"""),"MAC")</f>
        <v>MAC</v>
      </c>
      <c r="D123" s="1" t="str">
        <f ca="1">IFERROR(__xludf.DUMMYFUNCTION("""COMPUTED_VALUE"""),"21-12")</f>
        <v>21-12</v>
      </c>
      <c r="E123" s="1" t="str">
        <f ca="1">IFERROR(__xludf.DUMMYFUNCTION("""COMPUTED_VALUE"""),"+5.29")</f>
        <v>+5.29</v>
      </c>
      <c r="F123" s="1">
        <f ca="1">IFERROR(__xludf.DUMMYFUNCTION("""COMPUTED_VALUE"""),105.5)</f>
        <v>105.5</v>
      </c>
      <c r="G123" s="1">
        <f ca="1">IFERROR(__xludf.DUMMYFUNCTION("""COMPUTED_VALUE"""),122)</f>
        <v>122</v>
      </c>
      <c r="H123" s="1">
        <f ca="1">IFERROR(__xludf.DUMMYFUNCTION("""COMPUTED_VALUE"""),100.2)</f>
        <v>100.2</v>
      </c>
      <c r="I123" s="1">
        <f ca="1">IFERROR(__xludf.DUMMYFUNCTION("""COMPUTED_VALUE"""),122)</f>
        <v>122</v>
      </c>
      <c r="J123" s="1">
        <f ca="1">IFERROR(__xludf.DUMMYFUNCTION("""COMPUTED_VALUE"""),67.1)</f>
        <v>67.099999999999994</v>
      </c>
      <c r="K123" s="1">
        <f ca="1">IFERROR(__xludf.DUMMYFUNCTION("""COMPUTED_VALUE"""),75)</f>
        <v>75</v>
      </c>
      <c r="L123" s="1" t="str">
        <f ca="1">IFERROR(__xludf.DUMMYFUNCTION("""COMPUTED_VALUE"""),"+.005")</f>
        <v>+.005</v>
      </c>
      <c r="M123" s="1">
        <f ca="1">IFERROR(__xludf.DUMMYFUNCTION("""COMPUTED_VALUE"""),159)</f>
        <v>159</v>
      </c>
      <c r="N123" s="1" t="str">
        <f ca="1">IFERROR(__xludf.DUMMYFUNCTION("""COMPUTED_VALUE"""),"+0.01")</f>
        <v>+0.01</v>
      </c>
      <c r="O123" s="1">
        <f ca="1">IFERROR(__xludf.DUMMYFUNCTION("""COMPUTED_VALUE"""),155)</f>
        <v>155</v>
      </c>
      <c r="P123" s="1">
        <f ca="1">IFERROR(__xludf.DUMMYFUNCTION("""COMPUTED_VALUE"""),102.2)</f>
        <v>102.2</v>
      </c>
      <c r="Q123" s="1">
        <f ca="1">IFERROR(__xludf.DUMMYFUNCTION("""COMPUTED_VALUE"""),200)</f>
        <v>200</v>
      </c>
      <c r="R123" s="1">
        <f ca="1">IFERROR(__xludf.DUMMYFUNCTION("""COMPUTED_VALUE"""),102.2)</f>
        <v>102.2</v>
      </c>
      <c r="S123" s="1">
        <f ca="1">IFERROR(__xludf.DUMMYFUNCTION("""COMPUTED_VALUE"""),135)</f>
        <v>135</v>
      </c>
      <c r="T123" s="1">
        <f ca="1">IFERROR(__xludf.DUMMYFUNCTION("""COMPUTED_VALUE"""),-2.78)</f>
        <v>-2.78</v>
      </c>
      <c r="U123" s="1">
        <f ca="1">IFERROR(__xludf.DUMMYFUNCTION("""COMPUTED_VALUE"""),241)</f>
        <v>241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IFERROR(__xludf.DUMMYFUNCTION("""COMPUTED_VALUE"""),"Vermont16")</f>
        <v>Vermont16</v>
      </c>
      <c r="C124" s="1" t="str">
        <f ca="1">IFERROR(__xludf.DUMMYFUNCTION("""COMPUTED_VALUE"""),"AE")</f>
        <v>AE</v>
      </c>
      <c r="D124" s="1" t="str">
        <f ca="1">IFERROR(__xludf.DUMMYFUNCTION("""COMPUTED_VALUE"""),"24-12")</f>
        <v>24-12</v>
      </c>
      <c r="E124" s="1" t="str">
        <f ca="1">IFERROR(__xludf.DUMMYFUNCTION("""COMPUTED_VALUE"""),"+5.17")</f>
        <v>+5.17</v>
      </c>
      <c r="F124" s="1">
        <f ca="1">IFERROR(__xludf.DUMMYFUNCTION("""COMPUTED_VALUE"""),105.3)</f>
        <v>105.3</v>
      </c>
      <c r="G124" s="1">
        <f ca="1">IFERROR(__xludf.DUMMYFUNCTION("""COMPUTED_VALUE"""),131)</f>
        <v>131</v>
      </c>
      <c r="H124" s="1">
        <f ca="1">IFERROR(__xludf.DUMMYFUNCTION("""COMPUTED_VALUE"""),100.1)</f>
        <v>100.1</v>
      </c>
      <c r="I124" s="1">
        <f ca="1">IFERROR(__xludf.DUMMYFUNCTION("""COMPUTED_VALUE"""),119)</f>
        <v>119</v>
      </c>
      <c r="J124" s="1">
        <f ca="1">IFERROR(__xludf.DUMMYFUNCTION("""COMPUTED_VALUE"""),61.9)</f>
        <v>61.9</v>
      </c>
      <c r="K124" s="1">
        <f ca="1">IFERROR(__xludf.DUMMYFUNCTION("""COMPUTED_VALUE"""),300)</f>
        <v>300</v>
      </c>
      <c r="L124" s="1">
        <f ca="1">IFERROR(__xludf.DUMMYFUNCTION("""COMPUTED_VALUE"""),-0.024)</f>
        <v>-2.4E-2</v>
      </c>
      <c r="M124" s="1">
        <f ca="1">IFERROR(__xludf.DUMMYFUNCTION("""COMPUTED_VALUE"""),236)</f>
        <v>236</v>
      </c>
      <c r="N124" s="1">
        <f ca="1">IFERROR(__xludf.DUMMYFUNCTION("""COMPUTED_VALUE"""),-5.44)</f>
        <v>-5.44</v>
      </c>
      <c r="O124" s="1">
        <f ca="1">IFERROR(__xludf.DUMMYFUNCTION("""COMPUTED_VALUE"""),296)</f>
        <v>296</v>
      </c>
      <c r="P124" s="1">
        <f ca="1">IFERROR(__xludf.DUMMYFUNCTION("""COMPUTED_VALUE"""),99.1)</f>
        <v>99.1</v>
      </c>
      <c r="Q124" s="1">
        <f ca="1">IFERROR(__xludf.DUMMYFUNCTION("""COMPUTED_VALUE"""),319)</f>
        <v>319</v>
      </c>
      <c r="R124" s="1">
        <f ca="1">IFERROR(__xludf.DUMMYFUNCTION("""COMPUTED_VALUE"""),104.6)</f>
        <v>104.6</v>
      </c>
      <c r="S124" s="1">
        <f ca="1">IFERROR(__xludf.DUMMYFUNCTION("""COMPUTED_VALUE"""),232)</f>
        <v>232</v>
      </c>
      <c r="T124" s="1">
        <f ca="1">IFERROR(__xludf.DUMMYFUNCTION("""COMPUTED_VALUE"""),-1.55)</f>
        <v>-1.55</v>
      </c>
      <c r="U124" s="1">
        <f ca="1">IFERROR(__xludf.DUMMYFUNCTION("""COMPUTED_VALUE"""),201)</f>
        <v>201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IFERROR(__xludf.DUMMYFUNCTION("""COMPUTED_VALUE"""),"Evansville")</f>
        <v>Evansville</v>
      </c>
      <c r="C125" s="1" t="str">
        <f ca="1">IFERROR(__xludf.DUMMYFUNCTION("""COMPUTED_VALUE"""),"MVC")</f>
        <v>MVC</v>
      </c>
      <c r="D125" s="1" t="str">
        <f ca="1">IFERROR(__xludf.DUMMYFUNCTION("""COMPUTED_VALUE"""),"16-16")</f>
        <v>16-16</v>
      </c>
      <c r="E125" s="1" t="str">
        <f ca="1">IFERROR(__xludf.DUMMYFUNCTION("""COMPUTED_VALUE"""),"+5.17")</f>
        <v>+5.17</v>
      </c>
      <c r="F125" s="1">
        <f ca="1">IFERROR(__xludf.DUMMYFUNCTION("""COMPUTED_VALUE"""),110.7)</f>
        <v>110.7</v>
      </c>
      <c r="G125" s="1">
        <f ca="1">IFERROR(__xludf.DUMMYFUNCTION("""COMPUTED_VALUE"""),52)</f>
        <v>52</v>
      </c>
      <c r="H125" s="1">
        <f ca="1">IFERROR(__xludf.DUMMYFUNCTION("""COMPUTED_VALUE"""),105.6)</f>
        <v>105.6</v>
      </c>
      <c r="I125" s="1">
        <f ca="1">IFERROR(__xludf.DUMMYFUNCTION("""COMPUTED_VALUE"""),230)</f>
        <v>230</v>
      </c>
      <c r="J125" s="1">
        <f ca="1">IFERROR(__xludf.DUMMYFUNCTION("""COMPUTED_VALUE"""),66.4)</f>
        <v>66.400000000000006</v>
      </c>
      <c r="K125" s="1">
        <f ca="1">IFERROR(__xludf.DUMMYFUNCTION("""COMPUTED_VALUE"""),105)</f>
        <v>105</v>
      </c>
      <c r="L125" s="1">
        <f ca="1">IFERROR(__xludf.DUMMYFUNCTION("""COMPUTED_VALUE"""),-0.023)</f>
        <v>-2.3E-2</v>
      </c>
      <c r="M125" s="1">
        <f ca="1">IFERROR(__xludf.DUMMYFUNCTION("""COMPUTED_VALUE"""),229)</f>
        <v>229</v>
      </c>
      <c r="N125" s="1" t="str">
        <f ca="1">IFERROR(__xludf.DUMMYFUNCTION("""COMPUTED_VALUE"""),"+3.19")</f>
        <v>+3.19</v>
      </c>
      <c r="O125" s="1">
        <f ca="1">IFERROR(__xludf.DUMMYFUNCTION("""COMPUTED_VALUE"""),96)</f>
        <v>96</v>
      </c>
      <c r="P125" s="1">
        <f ca="1">IFERROR(__xludf.DUMMYFUNCTION("""COMPUTED_VALUE"""),104.6)</f>
        <v>104.6</v>
      </c>
      <c r="Q125" s="1">
        <f ca="1">IFERROR(__xludf.DUMMYFUNCTION("""COMPUTED_VALUE"""),93)</f>
        <v>93</v>
      </c>
      <c r="R125" s="1">
        <f ca="1">IFERROR(__xludf.DUMMYFUNCTION("""COMPUTED_VALUE"""),101.4)</f>
        <v>101.4</v>
      </c>
      <c r="S125" s="1">
        <f ca="1">IFERROR(__xludf.DUMMYFUNCTION("""COMPUTED_VALUE"""),106)</f>
        <v>106</v>
      </c>
      <c r="T125" s="1">
        <f ca="1">IFERROR(__xludf.DUMMYFUNCTION("""COMPUTED_VALUE"""),-3.35)</f>
        <v>-3.35</v>
      </c>
      <c r="U125" s="1">
        <f ca="1">IFERROR(__xludf.DUMMYFUNCTION("""COMPUTED_VALUE"""),255)</f>
        <v>255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IFERROR(__xludf.DUMMYFUNCTION("""COMPUTED_VALUE"""),"Rutgers")</f>
        <v>Rutgers</v>
      </c>
      <c r="C126" s="1" t="str">
        <f ca="1">IFERROR(__xludf.DUMMYFUNCTION("""COMPUTED_VALUE"""),"BE")</f>
        <v>BE</v>
      </c>
      <c r="D126" s="1" t="str">
        <f ca="1">IFERROR(__xludf.DUMMYFUNCTION("""COMPUTED_VALUE"""),"14-18")</f>
        <v>14-18</v>
      </c>
      <c r="E126" s="1" t="str">
        <f ca="1">IFERROR(__xludf.DUMMYFUNCTION("""COMPUTED_VALUE"""),"+5.14")</f>
        <v>+5.14</v>
      </c>
      <c r="F126" s="1">
        <f ca="1">IFERROR(__xludf.DUMMYFUNCTION("""COMPUTED_VALUE"""),102)</f>
        <v>102</v>
      </c>
      <c r="G126" s="1">
        <f ca="1">IFERROR(__xludf.DUMMYFUNCTION("""COMPUTED_VALUE"""),182)</f>
        <v>182</v>
      </c>
      <c r="H126" s="1">
        <f ca="1">IFERROR(__xludf.DUMMYFUNCTION("""COMPUTED_VALUE"""),96.9)</f>
        <v>96.9</v>
      </c>
      <c r="I126" s="1">
        <f ca="1">IFERROR(__xludf.DUMMYFUNCTION("""COMPUTED_VALUE"""),59)</f>
        <v>59</v>
      </c>
      <c r="J126" s="1">
        <f ca="1">IFERROR(__xludf.DUMMYFUNCTION("""COMPUTED_VALUE"""),65.3)</f>
        <v>65.3</v>
      </c>
      <c r="K126" s="1">
        <f ca="1">IFERROR(__xludf.DUMMYFUNCTION("""COMPUTED_VALUE"""),160)</f>
        <v>160</v>
      </c>
      <c r="L126" s="1">
        <f ca="1">IFERROR(__xludf.DUMMYFUNCTION("""COMPUTED_VALUE"""),-0.048)</f>
        <v>-4.8000000000000001E-2</v>
      </c>
      <c r="M126" s="1">
        <f ca="1">IFERROR(__xludf.DUMMYFUNCTION("""COMPUTED_VALUE"""),281)</f>
        <v>281</v>
      </c>
      <c r="N126" s="1" t="str">
        <f ca="1">IFERROR(__xludf.DUMMYFUNCTION("""COMPUTED_VALUE"""),"+5.92")</f>
        <v>+5.92</v>
      </c>
      <c r="O126" s="1">
        <f ca="1">IFERROR(__xludf.DUMMYFUNCTION("""COMPUTED_VALUE"""),49)</f>
        <v>49</v>
      </c>
      <c r="P126" s="1">
        <f ca="1">IFERROR(__xludf.DUMMYFUNCTION("""COMPUTED_VALUE"""),106.2)</f>
        <v>106.2</v>
      </c>
      <c r="Q126" s="1">
        <f ca="1">IFERROR(__xludf.DUMMYFUNCTION("""COMPUTED_VALUE"""),43)</f>
        <v>43</v>
      </c>
      <c r="R126" s="1">
        <f ca="1">IFERROR(__xludf.DUMMYFUNCTION("""COMPUTED_VALUE"""),100.3)</f>
        <v>100.3</v>
      </c>
      <c r="S126" s="1">
        <f ca="1">IFERROR(__xludf.DUMMYFUNCTION("""COMPUTED_VALUE"""),53)</f>
        <v>53</v>
      </c>
      <c r="T126" s="1">
        <f ca="1">IFERROR(__xludf.DUMMYFUNCTION("""COMPUTED_VALUE"""),-5.35)</f>
        <v>-5.35</v>
      </c>
      <c r="U126" s="1">
        <f ca="1">IFERROR(__xludf.DUMMYFUNCTION("""COMPUTED_VALUE"""),304)</f>
        <v>304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IFERROR(__xludf.DUMMYFUNCTION("""COMPUTED_VALUE"""),"UT Arlington8")</f>
        <v>UT Arlington8</v>
      </c>
      <c r="C129" s="1" t="str">
        <f ca="1">IFERROR(__xludf.DUMMYFUNCTION("""COMPUTED_VALUE"""),"Slnd")</f>
        <v>Slnd</v>
      </c>
      <c r="D129" s="1" t="str">
        <f ca="1">IFERROR(__xludf.DUMMYFUNCTION("""COMPUTED_VALUE"""),"24-9")</f>
        <v>24-9</v>
      </c>
      <c r="E129" s="1" t="str">
        <f ca="1">IFERROR(__xludf.DUMMYFUNCTION("""COMPUTED_VALUE"""),"+5.10")</f>
        <v>+5.10</v>
      </c>
      <c r="F129" s="1">
        <f ca="1">IFERROR(__xludf.DUMMYFUNCTION("""COMPUTED_VALUE"""),105.4)</f>
        <v>105.4</v>
      </c>
      <c r="G129" s="1">
        <f ca="1">IFERROR(__xludf.DUMMYFUNCTION("""COMPUTED_VALUE"""),127)</f>
        <v>127</v>
      </c>
      <c r="H129" s="1">
        <f ca="1">IFERROR(__xludf.DUMMYFUNCTION("""COMPUTED_VALUE"""),100.3)</f>
        <v>100.3</v>
      </c>
      <c r="I129" s="1">
        <f ca="1">IFERROR(__xludf.DUMMYFUNCTION("""COMPUTED_VALUE"""),124)</f>
        <v>124</v>
      </c>
      <c r="J129" s="1">
        <f ca="1">IFERROR(__xludf.DUMMYFUNCTION("""COMPUTED_VALUE"""),70.8)</f>
        <v>70.8</v>
      </c>
      <c r="K129" s="1">
        <f ca="1">IFERROR(__xludf.DUMMYFUNCTION("""COMPUTED_VALUE"""),11)</f>
        <v>11</v>
      </c>
      <c r="L129" s="1" t="str">
        <f ca="1">IFERROR(__xludf.DUMMYFUNCTION("""COMPUTED_VALUE"""),"+.021")</f>
        <v>+.021</v>
      </c>
      <c r="M129" s="1">
        <f ca="1">IFERROR(__xludf.DUMMYFUNCTION("""COMPUTED_VALUE"""),119)</f>
        <v>119</v>
      </c>
      <c r="N129" s="1">
        <f ca="1">IFERROR(__xludf.DUMMYFUNCTION("""COMPUTED_VALUE"""),-5.69)</f>
        <v>-5.69</v>
      </c>
      <c r="O129" s="1">
        <f ca="1">IFERROR(__xludf.DUMMYFUNCTION("""COMPUTED_VALUE"""),303)</f>
        <v>303</v>
      </c>
      <c r="P129" s="1">
        <f ca="1">IFERROR(__xludf.DUMMYFUNCTION("""COMPUTED_VALUE"""),99.4)</f>
        <v>99.4</v>
      </c>
      <c r="Q129" s="1">
        <f ca="1">IFERROR(__xludf.DUMMYFUNCTION("""COMPUTED_VALUE"""),311)</f>
        <v>311</v>
      </c>
      <c r="R129" s="1">
        <f ca="1">IFERROR(__xludf.DUMMYFUNCTION("""COMPUTED_VALUE"""),105.1)</f>
        <v>105.1</v>
      </c>
      <c r="S129" s="1">
        <f ca="1">IFERROR(__xludf.DUMMYFUNCTION("""COMPUTED_VALUE"""),262)</f>
        <v>262</v>
      </c>
      <c r="T129" s="1">
        <f ca="1">IFERROR(__xludf.DUMMYFUNCTION("""COMPUTED_VALUE"""),-1.8)</f>
        <v>-1.8</v>
      </c>
      <c r="U129" s="1">
        <f ca="1">IFERROR(__xludf.DUMMYFUNCTION("""COMPUTED_VALUE"""),208)</f>
        <v>208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IFERROR(__xludf.DUMMYFUNCTION("""COMPUTED_VALUE"""),"Texas A&amp;M")</f>
        <v>Texas A&amp;M</v>
      </c>
      <c r="C130" s="1" t="str">
        <f ca="1">IFERROR(__xludf.DUMMYFUNCTION("""COMPUTED_VALUE"""),"B12")</f>
        <v>B12</v>
      </c>
      <c r="D130" s="1" t="str">
        <f ca="1">IFERROR(__xludf.DUMMYFUNCTION("""COMPUTED_VALUE"""),"14-18")</f>
        <v>14-18</v>
      </c>
      <c r="E130" s="1" t="str">
        <f ca="1">IFERROR(__xludf.DUMMYFUNCTION("""COMPUTED_VALUE"""),"+5.07")</f>
        <v>+5.07</v>
      </c>
      <c r="F130" s="1">
        <f ca="1">IFERROR(__xludf.DUMMYFUNCTION("""COMPUTED_VALUE"""),101.4)</f>
        <v>101.4</v>
      </c>
      <c r="G130" s="1">
        <f ca="1">IFERROR(__xludf.DUMMYFUNCTION("""COMPUTED_VALUE"""),196)</f>
        <v>196</v>
      </c>
      <c r="H130" s="1">
        <f ca="1">IFERROR(__xludf.DUMMYFUNCTION("""COMPUTED_VALUE"""),96.4)</f>
        <v>96.4</v>
      </c>
      <c r="I130" s="1">
        <f ca="1">IFERROR(__xludf.DUMMYFUNCTION("""COMPUTED_VALUE"""),52)</f>
        <v>52</v>
      </c>
      <c r="J130" s="1">
        <f ca="1">IFERROR(__xludf.DUMMYFUNCTION("""COMPUTED_VALUE"""),61.4)</f>
        <v>61.4</v>
      </c>
      <c r="K130" s="1">
        <f ca="1">IFERROR(__xludf.DUMMYFUNCTION("""COMPUTED_VALUE"""),317)</f>
        <v>317</v>
      </c>
      <c r="L130" s="1">
        <f ca="1">IFERROR(__xludf.DUMMYFUNCTION("""COMPUTED_VALUE"""),-0.05)</f>
        <v>-0.05</v>
      </c>
      <c r="M130" s="1">
        <f ca="1">IFERROR(__xludf.DUMMYFUNCTION("""COMPUTED_VALUE"""),286)</f>
        <v>286</v>
      </c>
      <c r="N130" s="1" t="str">
        <f ca="1">IFERROR(__xludf.DUMMYFUNCTION("""COMPUTED_VALUE"""),"+6.92")</f>
        <v>+6.92</v>
      </c>
      <c r="O130" s="1">
        <f ca="1">IFERROR(__xludf.DUMMYFUNCTION("""COMPUTED_VALUE"""),38)</f>
        <v>38</v>
      </c>
      <c r="P130" s="1">
        <f ca="1">IFERROR(__xludf.DUMMYFUNCTION("""COMPUTED_VALUE"""),106.4)</f>
        <v>106.4</v>
      </c>
      <c r="Q130" s="1">
        <f ca="1">IFERROR(__xludf.DUMMYFUNCTION("""COMPUTED_VALUE"""),41)</f>
        <v>41</v>
      </c>
      <c r="R130" s="1">
        <f ca="1">IFERROR(__xludf.DUMMYFUNCTION("""COMPUTED_VALUE"""),99.4)</f>
        <v>99.4</v>
      </c>
      <c r="S130" s="1">
        <f ca="1">IFERROR(__xludf.DUMMYFUNCTION("""COMPUTED_VALUE"""),29)</f>
        <v>29</v>
      </c>
      <c r="T130" s="1">
        <f ca="1">IFERROR(__xludf.DUMMYFUNCTION("""COMPUTED_VALUE"""),-10.59)</f>
        <v>-10.59</v>
      </c>
      <c r="U130" s="1">
        <f ca="1">IFERROR(__xludf.DUMMYFUNCTION("""COMPUTED_VALUE"""),341)</f>
        <v>341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IFERROR(__xludf.DUMMYFUNCTION("""COMPUTED_VALUE"""),"Robert Morris")</f>
        <v>Robert Morris</v>
      </c>
      <c r="C131" s="1" t="str">
        <f ca="1">IFERROR(__xludf.DUMMYFUNCTION("""COMPUTED_VALUE"""),"NEC")</f>
        <v>NEC</v>
      </c>
      <c r="D131" s="1" t="str">
        <f ca="1">IFERROR(__xludf.DUMMYFUNCTION("""COMPUTED_VALUE"""),"26-11")</f>
        <v>26-11</v>
      </c>
      <c r="E131" s="1" t="str">
        <f ca="1">IFERROR(__xludf.DUMMYFUNCTION("""COMPUTED_VALUE"""),"+4.96")</f>
        <v>+4.96</v>
      </c>
      <c r="F131" s="1">
        <f ca="1">IFERROR(__xludf.DUMMYFUNCTION("""COMPUTED_VALUE"""),105.9)</f>
        <v>105.9</v>
      </c>
      <c r="G131" s="1">
        <f ca="1">IFERROR(__xludf.DUMMYFUNCTION("""COMPUTED_VALUE"""),119)</f>
        <v>119</v>
      </c>
      <c r="H131" s="1">
        <f ca="1">IFERROR(__xludf.DUMMYFUNCTION("""COMPUTED_VALUE"""),100.9)</f>
        <v>100.9</v>
      </c>
      <c r="I131" s="1">
        <f ca="1">IFERROR(__xludf.DUMMYFUNCTION("""COMPUTED_VALUE"""),135)</f>
        <v>135</v>
      </c>
      <c r="J131" s="1">
        <f ca="1">IFERROR(__xludf.DUMMYFUNCTION("""COMPUTED_VALUE"""),63)</f>
        <v>63</v>
      </c>
      <c r="K131" s="1">
        <f ca="1">IFERROR(__xludf.DUMMYFUNCTION("""COMPUTED_VALUE"""),268)</f>
        <v>268</v>
      </c>
      <c r="L131" s="1" t="str">
        <f ca="1">IFERROR(__xludf.DUMMYFUNCTION("""COMPUTED_VALUE"""),"+.040")</f>
        <v>+.040</v>
      </c>
      <c r="M131" s="1">
        <f ca="1">IFERROR(__xludf.DUMMYFUNCTION("""COMPUTED_VALUE"""),71)</f>
        <v>71</v>
      </c>
      <c r="N131" s="1">
        <f ca="1">IFERROR(__xludf.DUMMYFUNCTION("""COMPUTED_VALUE"""),-2.99)</f>
        <v>-2.99</v>
      </c>
      <c r="O131" s="1">
        <f ca="1">IFERROR(__xludf.DUMMYFUNCTION("""COMPUTED_VALUE"""),229)</f>
        <v>229</v>
      </c>
      <c r="P131" s="1">
        <f ca="1">IFERROR(__xludf.DUMMYFUNCTION("""COMPUTED_VALUE"""),101.2)</f>
        <v>101.2</v>
      </c>
      <c r="Q131" s="1">
        <f ca="1">IFERROR(__xludf.DUMMYFUNCTION("""COMPUTED_VALUE"""),251)</f>
        <v>251</v>
      </c>
      <c r="R131" s="1">
        <f ca="1">IFERROR(__xludf.DUMMYFUNCTION("""COMPUTED_VALUE"""),104.2)</f>
        <v>104.2</v>
      </c>
      <c r="S131" s="1">
        <f ca="1">IFERROR(__xludf.DUMMYFUNCTION("""COMPUTED_VALUE"""),203)</f>
        <v>203</v>
      </c>
      <c r="T131" s="1" t="str">
        <f ca="1">IFERROR(__xludf.DUMMYFUNCTION("""COMPUTED_VALUE"""),"+3.95")</f>
        <v>+3.95</v>
      </c>
      <c r="U131" s="1">
        <f ca="1">IFERROR(__xludf.DUMMYFUNCTION("""COMPUTED_VALUE"""),63)</f>
        <v>63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IFERROR(__xludf.DUMMYFUNCTION("""COMPUTED_VALUE"""),"Duquesne")</f>
        <v>Duquesne</v>
      </c>
      <c r="C132" s="1" t="str">
        <f ca="1">IFERROR(__xludf.DUMMYFUNCTION("""COMPUTED_VALUE"""),"A10")</f>
        <v>A10</v>
      </c>
      <c r="D132" s="1" t="str">
        <f ca="1">IFERROR(__xludf.DUMMYFUNCTION("""COMPUTED_VALUE"""),"16-15")</f>
        <v>16-15</v>
      </c>
      <c r="E132" s="1" t="str">
        <f ca="1">IFERROR(__xludf.DUMMYFUNCTION("""COMPUTED_VALUE"""),"+4.29")</f>
        <v>+4.29</v>
      </c>
      <c r="F132" s="1">
        <f ca="1">IFERROR(__xludf.DUMMYFUNCTION("""COMPUTED_VALUE"""),107.2)</f>
        <v>107.2</v>
      </c>
      <c r="G132" s="1">
        <f ca="1">IFERROR(__xludf.DUMMYFUNCTION("""COMPUTED_VALUE"""),93)</f>
        <v>93</v>
      </c>
      <c r="H132" s="1">
        <f ca="1">IFERROR(__xludf.DUMMYFUNCTION("""COMPUTED_VALUE"""),102.9)</f>
        <v>102.9</v>
      </c>
      <c r="I132" s="1">
        <f ca="1">IFERROR(__xludf.DUMMYFUNCTION("""COMPUTED_VALUE"""),176)</f>
        <v>176</v>
      </c>
      <c r="J132" s="1">
        <f ca="1">IFERROR(__xludf.DUMMYFUNCTION("""COMPUTED_VALUE"""),67.1)</f>
        <v>67.099999999999994</v>
      </c>
      <c r="K132" s="1">
        <f ca="1">IFERROR(__xludf.DUMMYFUNCTION("""COMPUTED_VALUE"""),77)</f>
        <v>77</v>
      </c>
      <c r="L132" s="1" t="str">
        <f ca="1">IFERROR(__xludf.DUMMYFUNCTION("""COMPUTED_VALUE"""),"+.026")</f>
        <v>+.026</v>
      </c>
      <c r="M132" s="1">
        <f ca="1">IFERROR(__xludf.DUMMYFUNCTION("""COMPUTED_VALUE"""),106)</f>
        <v>106</v>
      </c>
      <c r="N132" s="1" t="str">
        <f ca="1">IFERROR(__xludf.DUMMYFUNCTION("""COMPUTED_VALUE"""),"+5.15")</f>
        <v>+5.15</v>
      </c>
      <c r="O132" s="1">
        <f ca="1">IFERROR(__xludf.DUMMYFUNCTION("""COMPUTED_VALUE"""),61)</f>
        <v>61</v>
      </c>
      <c r="P132" s="1">
        <f ca="1">IFERROR(__xludf.DUMMYFUNCTION("""COMPUTED_VALUE"""),105.8)</f>
        <v>105.8</v>
      </c>
      <c r="Q132" s="1">
        <f ca="1">IFERROR(__xludf.DUMMYFUNCTION("""COMPUTED_VALUE"""),56)</f>
        <v>56</v>
      </c>
      <c r="R132" s="1">
        <f ca="1">IFERROR(__xludf.DUMMYFUNCTION("""COMPUTED_VALUE"""),100.6)</f>
        <v>100.6</v>
      </c>
      <c r="S132" s="1">
        <f ca="1">IFERROR(__xludf.DUMMYFUNCTION("""COMPUTED_VALUE"""),67)</f>
        <v>67</v>
      </c>
      <c r="T132" s="1" t="str">
        <f ca="1">IFERROR(__xludf.DUMMYFUNCTION("""COMPUTED_VALUE"""),"+0.59")</f>
        <v>+0.59</v>
      </c>
      <c r="U132" s="1">
        <f ca="1">IFERROR(__xludf.DUMMYFUNCTION("""COMPUTED_VALUE"""),139)</f>
        <v>139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IFERROR(__xludf.DUMMYFUNCTION("""COMPUTED_VALUE"""),"Utah St.")</f>
        <v>Utah St.</v>
      </c>
      <c r="C133" s="1" t="str">
        <f ca="1">IFERROR(__xludf.DUMMYFUNCTION("""COMPUTED_VALUE"""),"WAC")</f>
        <v>WAC</v>
      </c>
      <c r="D133" s="1" t="str">
        <f ca="1">IFERROR(__xludf.DUMMYFUNCTION("""COMPUTED_VALUE"""),"21-16")</f>
        <v>21-16</v>
      </c>
      <c r="E133" s="1" t="str">
        <f ca="1">IFERROR(__xludf.DUMMYFUNCTION("""COMPUTED_VALUE"""),"+4.24")</f>
        <v>+4.24</v>
      </c>
      <c r="F133" s="1">
        <f ca="1">IFERROR(__xludf.DUMMYFUNCTION("""COMPUTED_VALUE"""),107.9)</f>
        <v>107.9</v>
      </c>
      <c r="G133" s="1">
        <f ca="1">IFERROR(__xludf.DUMMYFUNCTION("""COMPUTED_VALUE"""),84)</f>
        <v>84</v>
      </c>
      <c r="H133" s="1">
        <f ca="1">IFERROR(__xludf.DUMMYFUNCTION("""COMPUTED_VALUE"""),103.7)</f>
        <v>103.7</v>
      </c>
      <c r="I133" s="1">
        <f ca="1">IFERROR(__xludf.DUMMYFUNCTION("""COMPUTED_VALUE"""),188)</f>
        <v>188</v>
      </c>
      <c r="J133" s="1">
        <f ca="1">IFERROR(__xludf.DUMMYFUNCTION("""COMPUTED_VALUE"""),61.9)</f>
        <v>61.9</v>
      </c>
      <c r="K133" s="1">
        <f ca="1">IFERROR(__xludf.DUMMYFUNCTION("""COMPUTED_VALUE"""),304)</f>
        <v>304</v>
      </c>
      <c r="L133" s="1">
        <f ca="1">IFERROR(__xludf.DUMMYFUNCTION("""COMPUTED_VALUE"""),-0.067)</f>
        <v>-6.7000000000000004E-2</v>
      </c>
      <c r="M133" s="1">
        <f ca="1">IFERROR(__xludf.DUMMYFUNCTION("""COMPUTED_VALUE"""),315)</f>
        <v>315</v>
      </c>
      <c r="N133" s="1">
        <f ca="1">IFERROR(__xludf.DUMMYFUNCTION("""COMPUTED_VALUE"""),-2.04)</f>
        <v>-2.04</v>
      </c>
      <c r="O133" s="1">
        <f ca="1">IFERROR(__xludf.DUMMYFUNCTION("""COMPUTED_VALUE"""),199)</f>
        <v>199</v>
      </c>
      <c r="P133" s="1">
        <f ca="1">IFERROR(__xludf.DUMMYFUNCTION("""COMPUTED_VALUE"""),102.8)</f>
        <v>102.8</v>
      </c>
      <c r="Q133" s="1">
        <f ca="1">IFERROR(__xludf.DUMMYFUNCTION("""COMPUTED_VALUE"""),171)</f>
        <v>171</v>
      </c>
      <c r="R133" s="1">
        <f ca="1">IFERROR(__xludf.DUMMYFUNCTION("""COMPUTED_VALUE"""),104.8)</f>
        <v>104.8</v>
      </c>
      <c r="S133" s="1">
        <f ca="1">IFERROR(__xludf.DUMMYFUNCTION("""COMPUTED_VALUE"""),249)</f>
        <v>249</v>
      </c>
      <c r="T133" s="1">
        <f ca="1">IFERROR(__xludf.DUMMYFUNCTION("""COMPUTED_VALUE"""),-2.1)</f>
        <v>-2.1</v>
      </c>
      <c r="U133" s="1">
        <f ca="1">IFERROR(__xludf.DUMMYFUNCTION("""COMPUTED_VALUE"""),215)</f>
        <v>215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IFERROR(__xludf.DUMMYFUNCTION("""COMPUTED_VALUE"""),"Providence")</f>
        <v>Providence</v>
      </c>
      <c r="C134" s="1" t="str">
        <f ca="1">IFERROR(__xludf.DUMMYFUNCTION("""COMPUTED_VALUE"""),"BE")</f>
        <v>BE</v>
      </c>
      <c r="D134" s="1" t="str">
        <f ca="1">IFERROR(__xludf.DUMMYFUNCTION("""COMPUTED_VALUE"""),"15-17")</f>
        <v>15-17</v>
      </c>
      <c r="E134" s="1" t="str">
        <f ca="1">IFERROR(__xludf.DUMMYFUNCTION("""COMPUTED_VALUE"""),"+4.09")</f>
        <v>+4.09</v>
      </c>
      <c r="F134" s="1">
        <f ca="1">IFERROR(__xludf.DUMMYFUNCTION("""COMPUTED_VALUE"""),110.1)</f>
        <v>110.1</v>
      </c>
      <c r="G134" s="1">
        <f ca="1">IFERROR(__xludf.DUMMYFUNCTION("""COMPUTED_VALUE"""),57)</f>
        <v>57</v>
      </c>
      <c r="H134" s="1">
        <f ca="1">IFERROR(__xludf.DUMMYFUNCTION("""COMPUTED_VALUE"""),106)</f>
        <v>106</v>
      </c>
      <c r="I134" s="1">
        <f ca="1">IFERROR(__xludf.DUMMYFUNCTION("""COMPUTED_VALUE"""),238)</f>
        <v>238</v>
      </c>
      <c r="J134" s="1">
        <f ca="1">IFERROR(__xludf.DUMMYFUNCTION("""COMPUTED_VALUE"""),65.2)</f>
        <v>65.2</v>
      </c>
      <c r="K134" s="1">
        <f ca="1">IFERROR(__xludf.DUMMYFUNCTION("""COMPUTED_VALUE"""),161)</f>
        <v>161</v>
      </c>
      <c r="L134" s="1">
        <f ca="1">IFERROR(__xludf.DUMMYFUNCTION("""COMPUTED_VALUE"""),-0.012)</f>
        <v>-1.2E-2</v>
      </c>
      <c r="M134" s="1">
        <f ca="1">IFERROR(__xludf.DUMMYFUNCTION("""COMPUTED_VALUE"""),198)</f>
        <v>198</v>
      </c>
      <c r="N134" s="1" t="str">
        <f ca="1">IFERROR(__xludf.DUMMYFUNCTION("""COMPUTED_VALUE"""),"+5.33")</f>
        <v>+5.33</v>
      </c>
      <c r="O134" s="1">
        <f ca="1">IFERROR(__xludf.DUMMYFUNCTION("""COMPUTED_VALUE"""),60)</f>
        <v>60</v>
      </c>
      <c r="P134" s="1">
        <f ca="1">IFERROR(__xludf.DUMMYFUNCTION("""COMPUTED_VALUE"""),104.7)</f>
        <v>104.7</v>
      </c>
      <c r="Q134" s="1">
        <f ca="1">IFERROR(__xludf.DUMMYFUNCTION("""COMPUTED_VALUE"""),89)</f>
        <v>89</v>
      </c>
      <c r="R134" s="1">
        <f ca="1">IFERROR(__xludf.DUMMYFUNCTION("""COMPUTED_VALUE"""),99.3)</f>
        <v>99.3</v>
      </c>
      <c r="S134" s="1">
        <f ca="1">IFERROR(__xludf.DUMMYFUNCTION("""COMPUTED_VALUE"""),25)</f>
        <v>25</v>
      </c>
      <c r="T134" s="1">
        <f ca="1">IFERROR(__xludf.DUMMYFUNCTION("""COMPUTED_VALUE"""),-10.96)</f>
        <v>-10.96</v>
      </c>
      <c r="U134" s="1">
        <f ca="1">IFERROR(__xludf.DUMMYFUNCTION("""COMPUTED_VALUE"""),342)</f>
        <v>342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IFERROR(__xludf.DUMMYFUNCTION("""COMPUTED_VALUE"""),"Arkansas")</f>
        <v>Arkansas</v>
      </c>
      <c r="C135" s="1" t="str">
        <f ca="1">IFERROR(__xludf.DUMMYFUNCTION("""COMPUTED_VALUE"""),"SEC")</f>
        <v>SEC</v>
      </c>
      <c r="D135" s="1" t="str">
        <f ca="1">IFERROR(__xludf.DUMMYFUNCTION("""COMPUTED_VALUE"""),"18-14")</f>
        <v>18-14</v>
      </c>
      <c r="E135" s="1" t="str">
        <f ca="1">IFERROR(__xludf.DUMMYFUNCTION("""COMPUTED_VALUE"""),"+4.07")</f>
        <v>+4.07</v>
      </c>
      <c r="F135" s="1">
        <f ca="1">IFERROR(__xludf.DUMMYFUNCTION("""COMPUTED_VALUE"""),106.4)</f>
        <v>106.4</v>
      </c>
      <c r="G135" s="1">
        <f ca="1">IFERROR(__xludf.DUMMYFUNCTION("""COMPUTED_VALUE"""),107)</f>
        <v>107</v>
      </c>
      <c r="H135" s="1">
        <f ca="1">IFERROR(__xludf.DUMMYFUNCTION("""COMPUTED_VALUE"""),102.4)</f>
        <v>102.4</v>
      </c>
      <c r="I135" s="1">
        <f ca="1">IFERROR(__xludf.DUMMYFUNCTION("""COMPUTED_VALUE"""),156)</f>
        <v>156</v>
      </c>
      <c r="J135" s="1">
        <f ca="1">IFERROR(__xludf.DUMMYFUNCTION("""COMPUTED_VALUE"""),69.5)</f>
        <v>69.5</v>
      </c>
      <c r="K135" s="1">
        <f ca="1">IFERROR(__xludf.DUMMYFUNCTION("""COMPUTED_VALUE"""),21)</f>
        <v>21</v>
      </c>
      <c r="L135" s="1" t="str">
        <f ca="1">IFERROR(__xludf.DUMMYFUNCTION("""COMPUTED_VALUE"""),"+.031")</f>
        <v>+.031</v>
      </c>
      <c r="M135" s="1">
        <f ca="1">IFERROR(__xludf.DUMMYFUNCTION("""COMPUTED_VALUE"""),90)</f>
        <v>90</v>
      </c>
      <c r="N135" s="1" t="str">
        <f ca="1">IFERROR(__xludf.DUMMYFUNCTION("""COMPUTED_VALUE"""),"+2.35")</f>
        <v>+2.35</v>
      </c>
      <c r="O135" s="1">
        <f ca="1">IFERROR(__xludf.DUMMYFUNCTION("""COMPUTED_VALUE"""),112)</f>
        <v>112</v>
      </c>
      <c r="P135" s="1">
        <f ca="1">IFERROR(__xludf.DUMMYFUNCTION("""COMPUTED_VALUE"""),103.2)</f>
        <v>103.2</v>
      </c>
      <c r="Q135" s="1">
        <f ca="1">IFERROR(__xludf.DUMMYFUNCTION("""COMPUTED_VALUE"""),153)</f>
        <v>153</v>
      </c>
      <c r="R135" s="1">
        <f ca="1">IFERROR(__xludf.DUMMYFUNCTION("""COMPUTED_VALUE"""),100.8)</f>
        <v>100.8</v>
      </c>
      <c r="S135" s="1">
        <f ca="1">IFERROR(__xludf.DUMMYFUNCTION("""COMPUTED_VALUE"""),75)</f>
        <v>75</v>
      </c>
      <c r="T135" s="1">
        <f ca="1">IFERROR(__xludf.DUMMYFUNCTION("""COMPUTED_VALUE"""),-7.09)</f>
        <v>-7.09</v>
      </c>
      <c r="U135" s="1">
        <f ca="1">IFERROR(__xludf.DUMMYFUNCTION("""COMPUTED_VALUE"""),325)</f>
        <v>325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IFERROR(__xludf.DUMMYFUNCTION("""COMPUTED_VALUE"""),"Manhattan")</f>
        <v>Manhattan</v>
      </c>
      <c r="C136" s="1" t="str">
        <f ca="1">IFERROR(__xludf.DUMMYFUNCTION("""COMPUTED_VALUE"""),"MAAC")</f>
        <v>MAAC</v>
      </c>
      <c r="D136" s="1" t="str">
        <f ca="1">IFERROR(__xludf.DUMMYFUNCTION("""COMPUTED_VALUE"""),"21-13")</f>
        <v>21-13</v>
      </c>
      <c r="E136" s="1" t="str">
        <f ca="1">IFERROR(__xludf.DUMMYFUNCTION("""COMPUTED_VALUE"""),"+3.91")</f>
        <v>+3.91</v>
      </c>
      <c r="F136" s="1">
        <f ca="1">IFERROR(__xludf.DUMMYFUNCTION("""COMPUTED_VALUE"""),103.3)</f>
        <v>103.3</v>
      </c>
      <c r="G136" s="1">
        <f ca="1">IFERROR(__xludf.DUMMYFUNCTION("""COMPUTED_VALUE"""),163)</f>
        <v>163</v>
      </c>
      <c r="H136" s="1">
        <f ca="1">IFERROR(__xludf.DUMMYFUNCTION("""COMPUTED_VALUE"""),99.4)</f>
        <v>99.4</v>
      </c>
      <c r="I136" s="1">
        <f ca="1">IFERROR(__xludf.DUMMYFUNCTION("""COMPUTED_VALUE"""),105)</f>
        <v>105</v>
      </c>
      <c r="J136" s="1">
        <f ca="1">IFERROR(__xludf.DUMMYFUNCTION("""COMPUTED_VALUE"""),67)</f>
        <v>67</v>
      </c>
      <c r="K136" s="1">
        <f ca="1">IFERROR(__xludf.DUMMYFUNCTION("""COMPUTED_VALUE"""),85)</f>
        <v>85</v>
      </c>
      <c r="L136" s="1">
        <f ca="1">IFERROR(__xludf.DUMMYFUNCTION("""COMPUTED_VALUE"""),-0.022)</f>
        <v>-2.1999999999999999E-2</v>
      </c>
      <c r="M136" s="1">
        <f ca="1">IFERROR(__xludf.DUMMYFUNCTION("""COMPUTED_VALUE"""),226)</f>
        <v>226</v>
      </c>
      <c r="N136" s="1">
        <f ca="1">IFERROR(__xludf.DUMMYFUNCTION("""COMPUTED_VALUE"""),-4.4)</f>
        <v>-4.4000000000000004</v>
      </c>
      <c r="O136" s="1">
        <f ca="1">IFERROR(__xludf.DUMMYFUNCTION("""COMPUTED_VALUE"""),270)</f>
        <v>270</v>
      </c>
      <c r="P136" s="1">
        <f ca="1">IFERROR(__xludf.DUMMYFUNCTION("""COMPUTED_VALUE"""),100.6)</f>
        <v>100.6</v>
      </c>
      <c r="Q136" s="1">
        <f ca="1">IFERROR(__xludf.DUMMYFUNCTION("""COMPUTED_VALUE"""),278)</f>
        <v>278</v>
      </c>
      <c r="R136" s="1">
        <f ca="1">IFERROR(__xludf.DUMMYFUNCTION("""COMPUTED_VALUE"""),105)</f>
        <v>105</v>
      </c>
      <c r="S136" s="1">
        <f ca="1">IFERROR(__xludf.DUMMYFUNCTION("""COMPUTED_VALUE"""),257)</f>
        <v>257</v>
      </c>
      <c r="T136" s="1">
        <f ca="1">IFERROR(__xludf.DUMMYFUNCTION("""COMPUTED_VALUE"""),-5.06)</f>
        <v>-5.0599999999999996</v>
      </c>
      <c r="U136" s="1">
        <f ca="1">IFERROR(__xludf.DUMMYFUNCTION("""COMPUTED_VALUE"""),297)</f>
        <v>297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IFERROR(__xludf.DUMMYFUNCTION("""COMPUTED_VALUE"""),"Loyola MD15")</f>
        <v>Loyola MD15</v>
      </c>
      <c r="C137" s="1" t="str">
        <f ca="1">IFERROR(__xludf.DUMMYFUNCTION("""COMPUTED_VALUE"""),"MAAC")</f>
        <v>MAAC</v>
      </c>
      <c r="D137" s="1" t="str">
        <f ca="1">IFERROR(__xludf.DUMMYFUNCTION("""COMPUTED_VALUE"""),"24-9")</f>
        <v>24-9</v>
      </c>
      <c r="E137" s="1" t="str">
        <f ca="1">IFERROR(__xludf.DUMMYFUNCTION("""COMPUTED_VALUE"""),"+3.91")</f>
        <v>+3.91</v>
      </c>
      <c r="F137" s="1">
        <f ca="1">IFERROR(__xludf.DUMMYFUNCTION("""COMPUTED_VALUE"""),103.9)</f>
        <v>103.9</v>
      </c>
      <c r="G137" s="1">
        <f ca="1">IFERROR(__xludf.DUMMYFUNCTION("""COMPUTED_VALUE"""),150)</f>
        <v>150</v>
      </c>
      <c r="H137" s="1">
        <f ca="1">IFERROR(__xludf.DUMMYFUNCTION("""COMPUTED_VALUE"""),100)</f>
        <v>100</v>
      </c>
      <c r="I137" s="1">
        <f ca="1">IFERROR(__xludf.DUMMYFUNCTION("""COMPUTED_VALUE"""),116)</f>
        <v>116</v>
      </c>
      <c r="J137" s="1">
        <f ca="1">IFERROR(__xludf.DUMMYFUNCTION("""COMPUTED_VALUE"""),63.6)</f>
        <v>63.6</v>
      </c>
      <c r="K137" s="1">
        <f ca="1">IFERROR(__xludf.DUMMYFUNCTION("""COMPUTED_VALUE"""),251)</f>
        <v>251</v>
      </c>
      <c r="L137" s="1" t="str">
        <f ca="1">IFERROR(__xludf.DUMMYFUNCTION("""COMPUTED_VALUE"""),"+.114")</f>
        <v>+.114</v>
      </c>
      <c r="M137" s="1">
        <f ca="1">IFERROR(__xludf.DUMMYFUNCTION("""COMPUTED_VALUE"""),6)</f>
        <v>6</v>
      </c>
      <c r="N137" s="1">
        <f ca="1">IFERROR(__xludf.DUMMYFUNCTION("""COMPUTED_VALUE"""),-2.7)</f>
        <v>-2.7</v>
      </c>
      <c r="O137" s="1">
        <f ca="1">IFERROR(__xludf.DUMMYFUNCTION("""COMPUTED_VALUE"""),223)</f>
        <v>223</v>
      </c>
      <c r="P137" s="1">
        <f ca="1">IFERROR(__xludf.DUMMYFUNCTION("""COMPUTED_VALUE"""),101.8)</f>
        <v>101.8</v>
      </c>
      <c r="Q137" s="1">
        <f ca="1">IFERROR(__xludf.DUMMYFUNCTION("""COMPUTED_VALUE"""),224)</f>
        <v>224</v>
      </c>
      <c r="R137" s="1">
        <f ca="1">IFERROR(__xludf.DUMMYFUNCTION("""COMPUTED_VALUE"""),104.5)</f>
        <v>104.5</v>
      </c>
      <c r="S137" s="1">
        <f ca="1">IFERROR(__xludf.DUMMYFUNCTION("""COMPUTED_VALUE"""),227)</f>
        <v>227</v>
      </c>
      <c r="T137" s="1">
        <f ca="1">IFERROR(__xludf.DUMMYFUNCTION("""COMPUTED_VALUE"""),-0.69)</f>
        <v>-0.69</v>
      </c>
      <c r="U137" s="1">
        <f ca="1">IFERROR(__xludf.DUMMYFUNCTION("""COMPUTED_VALUE"""),180)</f>
        <v>180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IFERROR(__xludf.DUMMYFUNCTION("""COMPUTED_VALUE"""),"UAB")</f>
        <v>UAB</v>
      </c>
      <c r="C138" s="1" t="str">
        <f ca="1">IFERROR(__xludf.DUMMYFUNCTION("""COMPUTED_VALUE"""),"CUSA")</f>
        <v>CUSA</v>
      </c>
      <c r="D138" s="1" t="str">
        <f ca="1">IFERROR(__xludf.DUMMYFUNCTION("""COMPUTED_VALUE"""),"15-16")</f>
        <v>15-16</v>
      </c>
      <c r="E138" s="1" t="str">
        <f ca="1">IFERROR(__xludf.DUMMYFUNCTION("""COMPUTED_VALUE"""),"+3.89")</f>
        <v>+3.89</v>
      </c>
      <c r="F138" s="1">
        <f ca="1">IFERROR(__xludf.DUMMYFUNCTION("""COMPUTED_VALUE"""),101.2)</f>
        <v>101.2</v>
      </c>
      <c r="G138" s="1">
        <f ca="1">IFERROR(__xludf.DUMMYFUNCTION("""COMPUTED_VALUE"""),201)</f>
        <v>201</v>
      </c>
      <c r="H138" s="1">
        <f ca="1">IFERROR(__xludf.DUMMYFUNCTION("""COMPUTED_VALUE"""),97.3)</f>
        <v>97.3</v>
      </c>
      <c r="I138" s="1">
        <f ca="1">IFERROR(__xludf.DUMMYFUNCTION("""COMPUTED_VALUE"""),67)</f>
        <v>67</v>
      </c>
      <c r="J138" s="1">
        <f ca="1">IFERROR(__xludf.DUMMYFUNCTION("""COMPUTED_VALUE"""),61.1)</f>
        <v>61.1</v>
      </c>
      <c r="K138" s="1">
        <f ca="1">IFERROR(__xludf.DUMMYFUNCTION("""COMPUTED_VALUE"""),320)</f>
        <v>320</v>
      </c>
      <c r="L138" s="1" t="str">
        <f ca="1">IFERROR(__xludf.DUMMYFUNCTION("""COMPUTED_VALUE"""),"+.020")</f>
        <v>+.020</v>
      </c>
      <c r="M138" s="1">
        <f ca="1">IFERROR(__xludf.DUMMYFUNCTION("""COMPUTED_VALUE"""),124)</f>
        <v>124</v>
      </c>
      <c r="N138" s="1" t="str">
        <f ca="1">IFERROR(__xludf.DUMMYFUNCTION("""COMPUTED_VALUE"""),"+4.69")</f>
        <v>+4.69</v>
      </c>
      <c r="O138" s="1">
        <f ca="1">IFERROR(__xludf.DUMMYFUNCTION("""COMPUTED_VALUE"""),67)</f>
        <v>67</v>
      </c>
      <c r="P138" s="1">
        <f ca="1">IFERROR(__xludf.DUMMYFUNCTION("""COMPUTED_VALUE"""),105.8)</f>
        <v>105.8</v>
      </c>
      <c r="Q138" s="1">
        <f ca="1">IFERROR(__xludf.DUMMYFUNCTION("""COMPUTED_VALUE"""),54)</f>
        <v>54</v>
      </c>
      <c r="R138" s="1">
        <f ca="1">IFERROR(__xludf.DUMMYFUNCTION("""COMPUTED_VALUE"""),101.1)</f>
        <v>101.1</v>
      </c>
      <c r="S138" s="1">
        <f ca="1">IFERROR(__xludf.DUMMYFUNCTION("""COMPUTED_VALUE"""),91)</f>
        <v>91</v>
      </c>
      <c r="T138" s="1" t="str">
        <f ca="1">IFERROR(__xludf.DUMMYFUNCTION("""COMPUTED_VALUE"""),"+3.25")</f>
        <v>+3.25</v>
      </c>
      <c r="U138" s="1">
        <f ca="1">IFERROR(__xludf.DUMMYFUNCTION("""COMPUTED_VALUE"""),74)</f>
        <v>74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IFERROR(__xludf.DUMMYFUNCTION("""COMPUTED_VALUE"""),"Weber St.")</f>
        <v>Weber St.</v>
      </c>
      <c r="C139" s="1" t="str">
        <f ca="1">IFERROR(__xludf.DUMMYFUNCTION("""COMPUTED_VALUE"""),"BSky")</f>
        <v>BSky</v>
      </c>
      <c r="D139" s="1" t="str">
        <f ca="1">IFERROR(__xludf.DUMMYFUNCTION("""COMPUTED_VALUE"""),"25-7")</f>
        <v>25-7</v>
      </c>
      <c r="E139" s="1" t="str">
        <f ca="1">IFERROR(__xludf.DUMMYFUNCTION("""COMPUTED_VALUE"""),"+3.77")</f>
        <v>+3.77</v>
      </c>
      <c r="F139" s="1">
        <f ca="1">IFERROR(__xludf.DUMMYFUNCTION("""COMPUTED_VALUE"""),110.2)</f>
        <v>110.2</v>
      </c>
      <c r="G139" s="1">
        <f ca="1">IFERROR(__xludf.DUMMYFUNCTION("""COMPUTED_VALUE"""),56)</f>
        <v>56</v>
      </c>
      <c r="H139" s="1">
        <f ca="1">IFERROR(__xludf.DUMMYFUNCTION("""COMPUTED_VALUE"""),106.5)</f>
        <v>106.5</v>
      </c>
      <c r="I139" s="1">
        <f ca="1">IFERROR(__xludf.DUMMYFUNCTION("""COMPUTED_VALUE"""),250)</f>
        <v>250</v>
      </c>
      <c r="J139" s="1">
        <f ca="1">IFERROR(__xludf.DUMMYFUNCTION("""COMPUTED_VALUE"""),65.5)</f>
        <v>65.5</v>
      </c>
      <c r="K139" s="1">
        <f ca="1">IFERROR(__xludf.DUMMYFUNCTION("""COMPUTED_VALUE"""),139)</f>
        <v>139</v>
      </c>
      <c r="L139" s="1" t="str">
        <f ca="1">IFERROR(__xludf.DUMMYFUNCTION("""COMPUTED_VALUE"""),"+.110")</f>
        <v>+.110</v>
      </c>
      <c r="M139" s="1">
        <f ca="1">IFERROR(__xludf.DUMMYFUNCTION("""COMPUTED_VALUE"""),8)</f>
        <v>8</v>
      </c>
      <c r="N139" s="1">
        <f ca="1">IFERROR(__xludf.DUMMYFUNCTION("""COMPUTED_VALUE"""),-5.3)</f>
        <v>-5.3</v>
      </c>
      <c r="O139" s="1">
        <f ca="1">IFERROR(__xludf.DUMMYFUNCTION("""COMPUTED_VALUE"""),293)</f>
        <v>293</v>
      </c>
      <c r="P139" s="1">
        <f ca="1">IFERROR(__xludf.DUMMYFUNCTION("""COMPUTED_VALUE"""),101.1)</f>
        <v>101.1</v>
      </c>
      <c r="Q139" s="1">
        <f ca="1">IFERROR(__xludf.DUMMYFUNCTION("""COMPUTED_VALUE"""),254)</f>
        <v>254</v>
      </c>
      <c r="R139" s="1">
        <f ca="1">IFERROR(__xludf.DUMMYFUNCTION("""COMPUTED_VALUE"""),106.4)</f>
        <v>106.4</v>
      </c>
      <c r="S139" s="1">
        <f ca="1">IFERROR(__xludf.DUMMYFUNCTION("""COMPUTED_VALUE"""),320)</f>
        <v>320</v>
      </c>
      <c r="T139" s="1">
        <f ca="1">IFERROR(__xludf.DUMMYFUNCTION("""COMPUTED_VALUE"""),-0.32)</f>
        <v>-0.32</v>
      </c>
      <c r="U139" s="1">
        <f ca="1">IFERROR(__xludf.DUMMYFUNCTION("""COMPUTED_VALUE"""),168)</f>
        <v>168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IFERROR(__xludf.DUMMYFUNCTION("""COMPUTED_VALUE"""),"Bowling Green")</f>
        <v>Bowling Green</v>
      </c>
      <c r="C140" s="1" t="str">
        <f ca="1">IFERROR(__xludf.DUMMYFUNCTION("""COMPUTED_VALUE"""),"MAC")</f>
        <v>MAC</v>
      </c>
      <c r="D140" s="1" t="str">
        <f ca="1">IFERROR(__xludf.DUMMYFUNCTION("""COMPUTED_VALUE"""),"16-16")</f>
        <v>16-16</v>
      </c>
      <c r="E140" s="1" t="str">
        <f ca="1">IFERROR(__xludf.DUMMYFUNCTION("""COMPUTED_VALUE"""),"+3.75")</f>
        <v>+3.75</v>
      </c>
      <c r="F140" s="1">
        <f ca="1">IFERROR(__xludf.DUMMYFUNCTION("""COMPUTED_VALUE"""),103.8)</f>
        <v>103.8</v>
      </c>
      <c r="G140" s="1">
        <f ca="1">IFERROR(__xludf.DUMMYFUNCTION("""COMPUTED_VALUE"""),153)</f>
        <v>153</v>
      </c>
      <c r="H140" s="1">
        <f ca="1">IFERROR(__xludf.DUMMYFUNCTION("""COMPUTED_VALUE"""),100)</f>
        <v>100</v>
      </c>
      <c r="I140" s="1">
        <f ca="1">IFERROR(__xludf.DUMMYFUNCTION("""COMPUTED_VALUE"""),117)</f>
        <v>117</v>
      </c>
      <c r="J140" s="1">
        <f ca="1">IFERROR(__xludf.DUMMYFUNCTION("""COMPUTED_VALUE"""),63.9)</f>
        <v>63.9</v>
      </c>
      <c r="K140" s="1">
        <f ca="1">IFERROR(__xludf.DUMMYFUNCTION("""COMPUTED_VALUE"""),235)</f>
        <v>235</v>
      </c>
      <c r="L140" s="1">
        <f ca="1">IFERROR(__xludf.DUMMYFUNCTION("""COMPUTED_VALUE"""),-0.065)</f>
        <v>-6.5000000000000002E-2</v>
      </c>
      <c r="M140" s="1">
        <f ca="1">IFERROR(__xludf.DUMMYFUNCTION("""COMPUTED_VALUE"""),310)</f>
        <v>310</v>
      </c>
      <c r="N140" s="1" t="str">
        <f ca="1">IFERROR(__xludf.DUMMYFUNCTION("""COMPUTED_VALUE"""),"+1.16")</f>
        <v>+1.16</v>
      </c>
      <c r="O140" s="1">
        <f ca="1">IFERROR(__xludf.DUMMYFUNCTION("""COMPUTED_VALUE"""),129)</f>
        <v>129</v>
      </c>
      <c r="P140" s="1">
        <f ca="1">IFERROR(__xludf.DUMMYFUNCTION("""COMPUTED_VALUE"""),103.6)</f>
        <v>103.6</v>
      </c>
      <c r="Q140" s="1">
        <f ca="1">IFERROR(__xludf.DUMMYFUNCTION("""COMPUTED_VALUE"""),134)</f>
        <v>134</v>
      </c>
      <c r="R140" s="1">
        <f ca="1">IFERROR(__xludf.DUMMYFUNCTION("""COMPUTED_VALUE"""),102.4)</f>
        <v>102.4</v>
      </c>
      <c r="S140" s="1">
        <f ca="1">IFERROR(__xludf.DUMMYFUNCTION("""COMPUTED_VALUE"""),144)</f>
        <v>144</v>
      </c>
      <c r="T140" s="1" t="str">
        <f ca="1">IFERROR(__xludf.DUMMYFUNCTION("""COMPUTED_VALUE"""),"+1.66")</f>
        <v>+1.66</v>
      </c>
      <c r="U140" s="1">
        <f ca="1">IFERROR(__xludf.DUMMYFUNCTION("""COMPUTED_VALUE"""),107)</f>
        <v>107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IFERROR(__xludf.DUMMYFUNCTION("""COMPUTED_VALUE"""),"Penn St.")</f>
        <v>Penn St.</v>
      </c>
      <c r="C141" s="1" t="str">
        <f ca="1">IFERROR(__xludf.DUMMYFUNCTION("""COMPUTED_VALUE"""),"B10")</f>
        <v>B10</v>
      </c>
      <c r="D141" s="2">
        <f ca="1">IFERROR(__xludf.DUMMYFUNCTION("""COMPUTED_VALUE"""),44915)</f>
        <v>44915</v>
      </c>
      <c r="E141" s="1" t="str">
        <f ca="1">IFERROR(__xludf.DUMMYFUNCTION("""COMPUTED_VALUE"""),"+3.38")</f>
        <v>+3.38</v>
      </c>
      <c r="F141" s="1">
        <f ca="1">IFERROR(__xludf.DUMMYFUNCTION("""COMPUTED_VALUE"""),102.9)</f>
        <v>102.9</v>
      </c>
      <c r="G141" s="1">
        <f ca="1">IFERROR(__xludf.DUMMYFUNCTION("""COMPUTED_VALUE"""),168)</f>
        <v>168</v>
      </c>
      <c r="H141" s="1">
        <f ca="1">IFERROR(__xludf.DUMMYFUNCTION("""COMPUTED_VALUE"""),99.5)</f>
        <v>99.5</v>
      </c>
      <c r="I141" s="1">
        <f ca="1">IFERROR(__xludf.DUMMYFUNCTION("""COMPUTED_VALUE"""),107)</f>
        <v>107</v>
      </c>
      <c r="J141" s="1">
        <f ca="1">IFERROR(__xludf.DUMMYFUNCTION("""COMPUTED_VALUE"""),63.1)</f>
        <v>63.1</v>
      </c>
      <c r="K141" s="1">
        <f ca="1">IFERROR(__xludf.DUMMYFUNCTION("""COMPUTED_VALUE"""),264)</f>
        <v>264</v>
      </c>
      <c r="L141" s="1">
        <f ca="1">IFERROR(__xludf.DUMMYFUNCTION("""COMPUTED_VALUE"""),-0.024)</f>
        <v>-2.4E-2</v>
      </c>
      <c r="M141" s="1">
        <f ca="1">IFERROR(__xludf.DUMMYFUNCTION("""COMPUTED_VALUE"""),232)</f>
        <v>232</v>
      </c>
      <c r="N141" s="1" t="str">
        <f ca="1">IFERROR(__xludf.DUMMYFUNCTION("""COMPUTED_VALUE"""),"+8.23")</f>
        <v>+8.23</v>
      </c>
      <c r="O141" s="1">
        <f ca="1">IFERROR(__xludf.DUMMYFUNCTION("""COMPUTED_VALUE"""),21)</f>
        <v>21</v>
      </c>
      <c r="P141" s="1">
        <f ca="1">IFERROR(__xludf.DUMMYFUNCTION("""COMPUTED_VALUE"""),108.5)</f>
        <v>108.5</v>
      </c>
      <c r="Q141" s="1">
        <f ca="1">IFERROR(__xludf.DUMMYFUNCTION("""COMPUTED_VALUE"""),7)</f>
        <v>7</v>
      </c>
      <c r="R141" s="1">
        <f ca="1">IFERROR(__xludf.DUMMYFUNCTION("""COMPUTED_VALUE"""),100.3)</f>
        <v>100.3</v>
      </c>
      <c r="S141" s="1">
        <f ca="1">IFERROR(__xludf.DUMMYFUNCTION("""COMPUTED_VALUE"""),54)</f>
        <v>54</v>
      </c>
      <c r="T141" s="1">
        <f ca="1">IFERROR(__xludf.DUMMYFUNCTION("""COMPUTED_VALUE"""),-3.35)</f>
        <v>-3.35</v>
      </c>
      <c r="U141" s="1">
        <f ca="1">IFERROR(__xludf.DUMMYFUNCTION("""COMPUTED_VALUE"""),254)</f>
        <v>254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IFERROR(__xludf.DUMMYFUNCTION("""COMPUTED_VALUE"""),"Maryland")</f>
        <v>Maryland</v>
      </c>
      <c r="C142" s="1" t="str">
        <f ca="1">IFERROR(__xludf.DUMMYFUNCTION("""COMPUTED_VALUE"""),"ACC")</f>
        <v>ACC</v>
      </c>
      <c r="D142" s="1" t="str">
        <f ca="1">IFERROR(__xludf.DUMMYFUNCTION("""COMPUTED_VALUE"""),"17-15")</f>
        <v>17-15</v>
      </c>
      <c r="E142" s="1" t="str">
        <f ca="1">IFERROR(__xludf.DUMMYFUNCTION("""COMPUTED_VALUE"""),"+3.37")</f>
        <v>+3.37</v>
      </c>
      <c r="F142" s="1">
        <f ca="1">IFERROR(__xludf.DUMMYFUNCTION("""COMPUTED_VALUE"""),106.7)</f>
        <v>106.7</v>
      </c>
      <c r="G142" s="1">
        <f ca="1">IFERROR(__xludf.DUMMYFUNCTION("""COMPUTED_VALUE"""),101)</f>
        <v>101</v>
      </c>
      <c r="H142" s="1">
        <f ca="1">IFERROR(__xludf.DUMMYFUNCTION("""COMPUTED_VALUE"""),103.4)</f>
        <v>103.4</v>
      </c>
      <c r="I142" s="1">
        <f ca="1">IFERROR(__xludf.DUMMYFUNCTION("""COMPUTED_VALUE"""),183)</f>
        <v>183</v>
      </c>
      <c r="J142" s="1">
        <f ca="1">IFERROR(__xludf.DUMMYFUNCTION("""COMPUTED_VALUE"""),66.2)</f>
        <v>66.2</v>
      </c>
      <c r="K142" s="1">
        <f ca="1">IFERROR(__xludf.DUMMYFUNCTION("""COMPUTED_VALUE"""),114)</f>
        <v>114</v>
      </c>
      <c r="L142" s="1" t="str">
        <f ca="1">IFERROR(__xludf.DUMMYFUNCTION("""COMPUTED_VALUE"""),"+.092")</f>
        <v>+.092</v>
      </c>
      <c r="M142" s="1">
        <f ca="1">IFERROR(__xludf.DUMMYFUNCTION("""COMPUTED_VALUE"""),15)</f>
        <v>15</v>
      </c>
      <c r="N142" s="1" t="str">
        <f ca="1">IFERROR(__xludf.DUMMYFUNCTION("""COMPUTED_VALUE"""),"+5.05")</f>
        <v>+5.05</v>
      </c>
      <c r="O142" s="1">
        <f ca="1">IFERROR(__xludf.DUMMYFUNCTION("""COMPUTED_VALUE"""),63)</f>
        <v>63</v>
      </c>
      <c r="P142" s="1">
        <f ca="1">IFERROR(__xludf.DUMMYFUNCTION("""COMPUTED_VALUE"""),105.3)</f>
        <v>105.3</v>
      </c>
      <c r="Q142" s="1">
        <f ca="1">IFERROR(__xludf.DUMMYFUNCTION("""COMPUTED_VALUE"""),66)</f>
        <v>66</v>
      </c>
      <c r="R142" s="1">
        <f ca="1">IFERROR(__xludf.DUMMYFUNCTION("""COMPUTED_VALUE"""),100.3)</f>
        <v>100.3</v>
      </c>
      <c r="S142" s="1">
        <f ca="1">IFERROR(__xludf.DUMMYFUNCTION("""COMPUTED_VALUE"""),55)</f>
        <v>55</v>
      </c>
      <c r="T142" s="1">
        <f ca="1">IFERROR(__xludf.DUMMYFUNCTION("""COMPUTED_VALUE"""),-3.31)</f>
        <v>-3.31</v>
      </c>
      <c r="U142" s="1">
        <f ca="1">IFERROR(__xludf.DUMMYFUNCTION("""COMPUTED_VALUE"""),252)</f>
        <v>252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IFERROR(__xludf.DUMMYFUNCTION("""COMPUTED_VALUE"""),"East Carolina")</f>
        <v>East Carolina</v>
      </c>
      <c r="C143" s="1" t="str">
        <f ca="1">IFERROR(__xludf.DUMMYFUNCTION("""COMPUTED_VALUE"""),"CUSA")</f>
        <v>CUSA</v>
      </c>
      <c r="D143" s="1" t="str">
        <f ca="1">IFERROR(__xludf.DUMMYFUNCTION("""COMPUTED_VALUE"""),"15-16")</f>
        <v>15-16</v>
      </c>
      <c r="E143" s="1" t="str">
        <f ca="1">IFERROR(__xludf.DUMMYFUNCTION("""COMPUTED_VALUE"""),"+3.23")</f>
        <v>+3.23</v>
      </c>
      <c r="F143" s="1">
        <f ca="1">IFERROR(__xludf.DUMMYFUNCTION("""COMPUTED_VALUE"""),104.6)</f>
        <v>104.6</v>
      </c>
      <c r="G143" s="1">
        <f ca="1">IFERROR(__xludf.DUMMYFUNCTION("""COMPUTED_VALUE"""),141)</f>
        <v>141</v>
      </c>
      <c r="H143" s="1">
        <f ca="1">IFERROR(__xludf.DUMMYFUNCTION("""COMPUTED_VALUE"""),101.4)</f>
        <v>101.4</v>
      </c>
      <c r="I143" s="1">
        <f ca="1">IFERROR(__xludf.DUMMYFUNCTION("""COMPUTED_VALUE"""),140)</f>
        <v>140</v>
      </c>
      <c r="J143" s="1">
        <f ca="1">IFERROR(__xludf.DUMMYFUNCTION("""COMPUTED_VALUE"""),65.1)</f>
        <v>65.099999999999994</v>
      </c>
      <c r="K143" s="1">
        <f ca="1">IFERROR(__xludf.DUMMYFUNCTION("""COMPUTED_VALUE"""),167)</f>
        <v>167</v>
      </c>
      <c r="L143" s="1">
        <f ca="1">IFERROR(__xludf.DUMMYFUNCTION("""COMPUTED_VALUE"""),-0.093)</f>
        <v>-9.2999999999999999E-2</v>
      </c>
      <c r="M143" s="1">
        <f ca="1">IFERROR(__xludf.DUMMYFUNCTION("""COMPUTED_VALUE"""),337)</f>
        <v>337</v>
      </c>
      <c r="N143" s="1" t="str">
        <f ca="1">IFERROR(__xludf.DUMMYFUNCTION("""COMPUTED_VALUE"""),"+2.38")</f>
        <v>+2.38</v>
      </c>
      <c r="O143" s="1">
        <f ca="1">IFERROR(__xludf.DUMMYFUNCTION("""COMPUTED_VALUE"""),111)</f>
        <v>111</v>
      </c>
      <c r="P143" s="1">
        <f ca="1">IFERROR(__xludf.DUMMYFUNCTION("""COMPUTED_VALUE"""),103.6)</f>
        <v>103.6</v>
      </c>
      <c r="Q143" s="1">
        <f ca="1">IFERROR(__xludf.DUMMYFUNCTION("""COMPUTED_VALUE"""),133)</f>
        <v>133</v>
      </c>
      <c r="R143" s="1">
        <f ca="1">IFERROR(__xludf.DUMMYFUNCTION("""COMPUTED_VALUE"""),101.2)</f>
        <v>101.2</v>
      </c>
      <c r="S143" s="1">
        <f ca="1">IFERROR(__xludf.DUMMYFUNCTION("""COMPUTED_VALUE"""),96)</f>
        <v>96</v>
      </c>
      <c r="T143" s="1">
        <f ca="1">IFERROR(__xludf.DUMMYFUNCTION("""COMPUTED_VALUE"""),-4.57)</f>
        <v>-4.57</v>
      </c>
      <c r="U143" s="1">
        <f ca="1">IFERROR(__xludf.DUMMYFUNCTION("""COMPUTED_VALUE"""),285)</f>
        <v>285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IFERROR(__xludf.DUMMYFUNCTION("""COMPUTED_VALUE"""),"USC Upstate")</f>
        <v>USC Upstate</v>
      </c>
      <c r="C144" s="1" t="str">
        <f ca="1">IFERROR(__xludf.DUMMYFUNCTION("""COMPUTED_VALUE"""),"ASun")</f>
        <v>ASun</v>
      </c>
      <c r="D144" s="1" t="str">
        <f ca="1">IFERROR(__xludf.DUMMYFUNCTION("""COMPUTED_VALUE"""),"21-13")</f>
        <v>21-13</v>
      </c>
      <c r="E144" s="1" t="str">
        <f ca="1">IFERROR(__xludf.DUMMYFUNCTION("""COMPUTED_VALUE"""),"+3.22")</f>
        <v>+3.22</v>
      </c>
      <c r="F144" s="1">
        <f ca="1">IFERROR(__xludf.DUMMYFUNCTION("""COMPUTED_VALUE"""),103.1)</f>
        <v>103.1</v>
      </c>
      <c r="G144" s="1">
        <f ca="1">IFERROR(__xludf.DUMMYFUNCTION("""COMPUTED_VALUE"""),167)</f>
        <v>167</v>
      </c>
      <c r="H144" s="1">
        <f ca="1">IFERROR(__xludf.DUMMYFUNCTION("""COMPUTED_VALUE"""),99.9)</f>
        <v>99.9</v>
      </c>
      <c r="I144" s="1">
        <f ca="1">IFERROR(__xludf.DUMMYFUNCTION("""COMPUTED_VALUE"""),112)</f>
        <v>112</v>
      </c>
      <c r="J144" s="1">
        <f ca="1">IFERROR(__xludf.DUMMYFUNCTION("""COMPUTED_VALUE"""),67)</f>
        <v>67</v>
      </c>
      <c r="K144" s="1">
        <f ca="1">IFERROR(__xludf.DUMMYFUNCTION("""COMPUTED_VALUE"""),86)</f>
        <v>86</v>
      </c>
      <c r="L144" s="1" t="str">
        <f ca="1">IFERROR(__xludf.DUMMYFUNCTION("""COMPUTED_VALUE"""),"+.032")</f>
        <v>+.032</v>
      </c>
      <c r="M144" s="1">
        <f ca="1">IFERROR(__xludf.DUMMYFUNCTION("""COMPUTED_VALUE"""),88)</f>
        <v>88</v>
      </c>
      <c r="N144" s="1">
        <f ca="1">IFERROR(__xludf.DUMMYFUNCTION("""COMPUTED_VALUE"""),-0.63)</f>
        <v>-0.63</v>
      </c>
      <c r="O144" s="1">
        <f ca="1">IFERROR(__xludf.DUMMYFUNCTION("""COMPUTED_VALUE"""),168)</f>
        <v>168</v>
      </c>
      <c r="P144" s="1">
        <f ca="1">IFERROR(__xludf.DUMMYFUNCTION("""COMPUTED_VALUE"""),103.6)</f>
        <v>103.6</v>
      </c>
      <c r="Q144" s="1">
        <f ca="1">IFERROR(__xludf.DUMMYFUNCTION("""COMPUTED_VALUE"""),137)</f>
        <v>137</v>
      </c>
      <c r="R144" s="1">
        <f ca="1">IFERROR(__xludf.DUMMYFUNCTION("""COMPUTED_VALUE"""),104.2)</f>
        <v>104.2</v>
      </c>
      <c r="S144" s="1">
        <f ca="1">IFERROR(__xludf.DUMMYFUNCTION("""COMPUTED_VALUE"""),206)</f>
        <v>206</v>
      </c>
      <c r="T144" s="1" t="str">
        <f ca="1">IFERROR(__xludf.DUMMYFUNCTION("""COMPUTED_VALUE"""),"+1.07")</f>
        <v>+1.07</v>
      </c>
      <c r="U144" s="1">
        <f ca="1">IFERROR(__xludf.DUMMYFUNCTION("""COMPUTED_VALUE"""),124)</f>
        <v>124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IFERROR(__xludf.DUMMYFUNCTION("""COMPUTED_VALUE"""),"Indiana St.")</f>
        <v>Indiana St.</v>
      </c>
      <c r="C145" s="1" t="str">
        <f ca="1">IFERROR(__xludf.DUMMYFUNCTION("""COMPUTED_VALUE"""),"MVC")</f>
        <v>MVC</v>
      </c>
      <c r="D145" s="1" t="str">
        <f ca="1">IFERROR(__xludf.DUMMYFUNCTION("""COMPUTED_VALUE"""),"18-15")</f>
        <v>18-15</v>
      </c>
      <c r="E145" s="1" t="str">
        <f ca="1">IFERROR(__xludf.DUMMYFUNCTION("""COMPUTED_VALUE"""),"+3.09")</f>
        <v>+3.09</v>
      </c>
      <c r="F145" s="1">
        <f ca="1">IFERROR(__xludf.DUMMYFUNCTION("""COMPUTED_VALUE"""),102)</f>
        <v>102</v>
      </c>
      <c r="G145" s="1">
        <f ca="1">IFERROR(__xludf.DUMMYFUNCTION("""COMPUTED_VALUE"""),184)</f>
        <v>184</v>
      </c>
      <c r="H145" s="1">
        <f ca="1">IFERROR(__xludf.DUMMYFUNCTION("""COMPUTED_VALUE"""),98.9)</f>
        <v>98.9</v>
      </c>
      <c r="I145" s="1">
        <f ca="1">IFERROR(__xludf.DUMMYFUNCTION("""COMPUTED_VALUE"""),94)</f>
        <v>94</v>
      </c>
      <c r="J145" s="1">
        <f ca="1">IFERROR(__xludf.DUMMYFUNCTION("""COMPUTED_VALUE"""),64)</f>
        <v>64</v>
      </c>
      <c r="K145" s="1">
        <f ca="1">IFERROR(__xludf.DUMMYFUNCTION("""COMPUTED_VALUE"""),227)</f>
        <v>227</v>
      </c>
      <c r="L145" s="1" t="str">
        <f ca="1">IFERROR(__xludf.DUMMYFUNCTION("""COMPUTED_VALUE"""),"+.060")</f>
        <v>+.060</v>
      </c>
      <c r="M145" s="1">
        <f ca="1">IFERROR(__xludf.DUMMYFUNCTION("""COMPUTED_VALUE"""),36)</f>
        <v>36</v>
      </c>
      <c r="N145" s="1" t="str">
        <f ca="1">IFERROR(__xludf.DUMMYFUNCTION("""COMPUTED_VALUE"""),"+3.16")</f>
        <v>+3.16</v>
      </c>
      <c r="O145" s="1">
        <f ca="1">IFERROR(__xludf.DUMMYFUNCTION("""COMPUTED_VALUE"""),97)</f>
        <v>97</v>
      </c>
      <c r="P145" s="1">
        <f ca="1">IFERROR(__xludf.DUMMYFUNCTION("""COMPUTED_VALUE"""),104.8)</f>
        <v>104.8</v>
      </c>
      <c r="Q145" s="1">
        <f ca="1">IFERROR(__xludf.DUMMYFUNCTION("""COMPUTED_VALUE"""),85)</f>
        <v>85</v>
      </c>
      <c r="R145" s="1">
        <f ca="1">IFERROR(__xludf.DUMMYFUNCTION("""COMPUTED_VALUE"""),101.6)</f>
        <v>101.6</v>
      </c>
      <c r="S145" s="1">
        <f ca="1">IFERROR(__xludf.DUMMYFUNCTION("""COMPUTED_VALUE"""),115)</f>
        <v>115</v>
      </c>
      <c r="T145" s="1">
        <f ca="1">IFERROR(__xludf.DUMMYFUNCTION("""COMPUTED_VALUE"""),-1.86)</f>
        <v>-1.86</v>
      </c>
      <c r="U145" s="1">
        <f ca="1">IFERROR(__xludf.DUMMYFUNCTION("""COMPUTED_VALUE"""),211)</f>
        <v>211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IFERROR(__xludf.DUMMYFUNCTION("""COMPUTED_VALUE"""),"Valparaiso7")</f>
        <v>Valparaiso7</v>
      </c>
      <c r="C146" s="1" t="str">
        <f ca="1">IFERROR(__xludf.DUMMYFUNCTION("""COMPUTED_VALUE"""),"Horz")</f>
        <v>Horz</v>
      </c>
      <c r="D146" s="1" t="str">
        <f ca="1">IFERROR(__xludf.DUMMYFUNCTION("""COMPUTED_VALUE"""),"22-12")</f>
        <v>22-12</v>
      </c>
      <c r="E146" s="1" t="str">
        <f ca="1">IFERROR(__xludf.DUMMYFUNCTION("""COMPUTED_VALUE"""),"+3.07")</f>
        <v>+3.07</v>
      </c>
      <c r="F146" s="1">
        <f ca="1">IFERROR(__xludf.DUMMYFUNCTION("""COMPUTED_VALUE"""),106)</f>
        <v>106</v>
      </c>
      <c r="G146" s="1">
        <f ca="1">IFERROR(__xludf.DUMMYFUNCTION("""COMPUTED_VALUE"""),117)</f>
        <v>117</v>
      </c>
      <c r="H146" s="1">
        <f ca="1">IFERROR(__xludf.DUMMYFUNCTION("""COMPUTED_VALUE"""),102.9)</f>
        <v>102.9</v>
      </c>
      <c r="I146" s="1">
        <f ca="1">IFERROR(__xludf.DUMMYFUNCTION("""COMPUTED_VALUE"""),175)</f>
        <v>175</v>
      </c>
      <c r="J146" s="1">
        <f ca="1">IFERROR(__xludf.DUMMYFUNCTION("""COMPUTED_VALUE"""),63.9)</f>
        <v>63.9</v>
      </c>
      <c r="K146" s="1">
        <f ca="1">IFERROR(__xludf.DUMMYFUNCTION("""COMPUTED_VALUE"""),234)</f>
        <v>234</v>
      </c>
      <c r="L146" s="1" t="str">
        <f ca="1">IFERROR(__xludf.DUMMYFUNCTION("""COMPUTED_VALUE"""),"+.101")</f>
        <v>+.101</v>
      </c>
      <c r="M146" s="1">
        <f ca="1">IFERROR(__xludf.DUMMYFUNCTION("""COMPUTED_VALUE"""),10)</f>
        <v>10</v>
      </c>
      <c r="N146" s="1" t="str">
        <f ca="1">IFERROR(__xludf.DUMMYFUNCTION("""COMPUTED_VALUE"""),"+0.67")</f>
        <v>+0.67</v>
      </c>
      <c r="O146" s="1">
        <f ca="1">IFERROR(__xludf.DUMMYFUNCTION("""COMPUTED_VALUE"""),141)</f>
        <v>141</v>
      </c>
      <c r="P146" s="1">
        <f ca="1">IFERROR(__xludf.DUMMYFUNCTION("""COMPUTED_VALUE"""),102.7)</f>
        <v>102.7</v>
      </c>
      <c r="Q146" s="1">
        <f ca="1">IFERROR(__xludf.DUMMYFUNCTION("""COMPUTED_VALUE"""),173)</f>
        <v>173</v>
      </c>
      <c r="R146" s="1">
        <f ca="1">IFERROR(__xludf.DUMMYFUNCTION("""COMPUTED_VALUE"""),102.1)</f>
        <v>102.1</v>
      </c>
      <c r="S146" s="1">
        <f ca="1">IFERROR(__xludf.DUMMYFUNCTION("""COMPUTED_VALUE"""),129)</f>
        <v>129</v>
      </c>
      <c r="T146" s="1" t="str">
        <f ca="1">IFERROR(__xludf.DUMMYFUNCTION("""COMPUTED_VALUE"""),"+2.25")</f>
        <v>+2.25</v>
      </c>
      <c r="U146" s="1">
        <f ca="1">IFERROR(__xludf.DUMMYFUNCTION("""COMPUTED_VALUE"""),93)</f>
        <v>93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IFERROR(__xludf.DUMMYFUNCTION("""COMPUTED_VALUE"""),"Penn")</f>
        <v>Penn</v>
      </c>
      <c r="C147" s="1" t="str">
        <f ca="1">IFERROR(__xludf.DUMMYFUNCTION("""COMPUTED_VALUE"""),"Ivy")</f>
        <v>Ivy</v>
      </c>
      <c r="D147" s="1" t="str">
        <f ca="1">IFERROR(__xludf.DUMMYFUNCTION("""COMPUTED_VALUE"""),"20-13")</f>
        <v>20-13</v>
      </c>
      <c r="E147" s="1" t="str">
        <f ca="1">IFERROR(__xludf.DUMMYFUNCTION("""COMPUTED_VALUE"""),"+2.88")</f>
        <v>+2.88</v>
      </c>
      <c r="F147" s="1">
        <f ca="1">IFERROR(__xludf.DUMMYFUNCTION("""COMPUTED_VALUE"""),104)</f>
        <v>104</v>
      </c>
      <c r="G147" s="1">
        <f ca="1">IFERROR(__xludf.DUMMYFUNCTION("""COMPUTED_VALUE"""),148)</f>
        <v>148</v>
      </c>
      <c r="H147" s="1">
        <f ca="1">IFERROR(__xludf.DUMMYFUNCTION("""COMPUTED_VALUE"""),101.1)</f>
        <v>101.1</v>
      </c>
      <c r="I147" s="1">
        <f ca="1">IFERROR(__xludf.DUMMYFUNCTION("""COMPUTED_VALUE"""),137)</f>
        <v>137</v>
      </c>
      <c r="J147" s="1">
        <f ca="1">IFERROR(__xludf.DUMMYFUNCTION("""COMPUTED_VALUE"""),62)</f>
        <v>62</v>
      </c>
      <c r="K147" s="1">
        <f ca="1">IFERROR(__xludf.DUMMYFUNCTION("""COMPUTED_VALUE"""),298)</f>
        <v>298</v>
      </c>
      <c r="L147" s="1" t="str">
        <f ca="1">IFERROR(__xludf.DUMMYFUNCTION("""COMPUTED_VALUE"""),"+.058")</f>
        <v>+.058</v>
      </c>
      <c r="M147" s="1">
        <f ca="1">IFERROR(__xludf.DUMMYFUNCTION("""COMPUTED_VALUE"""),41)</f>
        <v>41</v>
      </c>
      <c r="N147" s="1">
        <f ca="1">IFERROR(__xludf.DUMMYFUNCTION("""COMPUTED_VALUE"""),-0.38)</f>
        <v>-0.38</v>
      </c>
      <c r="O147" s="1">
        <f ca="1">IFERROR(__xludf.DUMMYFUNCTION("""COMPUTED_VALUE"""),163)</f>
        <v>163</v>
      </c>
      <c r="P147" s="1">
        <f ca="1">IFERROR(__xludf.DUMMYFUNCTION("""COMPUTED_VALUE"""),102.9)</f>
        <v>102.9</v>
      </c>
      <c r="Q147" s="1">
        <f ca="1">IFERROR(__xludf.DUMMYFUNCTION("""COMPUTED_VALUE"""),164)</f>
        <v>164</v>
      </c>
      <c r="R147" s="1">
        <f ca="1">IFERROR(__xludf.DUMMYFUNCTION("""COMPUTED_VALUE"""),103.2)</f>
        <v>103.2</v>
      </c>
      <c r="S147" s="1">
        <f ca="1">IFERROR(__xludf.DUMMYFUNCTION("""COMPUTED_VALUE"""),165)</f>
        <v>165</v>
      </c>
      <c r="T147" s="1" t="str">
        <f ca="1">IFERROR(__xludf.DUMMYFUNCTION("""COMPUTED_VALUE"""),"+1.73")</f>
        <v>+1.73</v>
      </c>
      <c r="U147" s="1">
        <f ca="1">IFERROR(__xludf.DUMMYFUNCTION("""COMPUTED_VALUE"""),103)</f>
        <v>103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IFERROR(__xludf.DUMMYFUNCTION("""COMPUTED_VALUE"""),"Loyola Marymount")</f>
        <v>Loyola Marymount</v>
      </c>
      <c r="C148" s="1" t="str">
        <f ca="1">IFERROR(__xludf.DUMMYFUNCTION("""COMPUTED_VALUE"""),"WCC")</f>
        <v>WCC</v>
      </c>
      <c r="D148" s="1" t="str">
        <f ca="1">IFERROR(__xludf.DUMMYFUNCTION("""COMPUTED_VALUE"""),"21-13")</f>
        <v>21-13</v>
      </c>
      <c r="E148" s="1" t="str">
        <f ca="1">IFERROR(__xludf.DUMMYFUNCTION("""COMPUTED_VALUE"""),"+2.73")</f>
        <v>+2.73</v>
      </c>
      <c r="F148" s="1">
        <f ca="1">IFERROR(__xludf.DUMMYFUNCTION("""COMPUTED_VALUE"""),102.1)</f>
        <v>102.1</v>
      </c>
      <c r="G148" s="1">
        <f ca="1">IFERROR(__xludf.DUMMYFUNCTION("""COMPUTED_VALUE"""),178)</f>
        <v>178</v>
      </c>
      <c r="H148" s="1">
        <f ca="1">IFERROR(__xludf.DUMMYFUNCTION("""COMPUTED_VALUE"""),99.4)</f>
        <v>99.4</v>
      </c>
      <c r="I148" s="1">
        <f ca="1">IFERROR(__xludf.DUMMYFUNCTION("""COMPUTED_VALUE"""),104)</f>
        <v>104</v>
      </c>
      <c r="J148" s="1">
        <f ca="1">IFERROR(__xludf.DUMMYFUNCTION("""COMPUTED_VALUE"""),66.1)</f>
        <v>66.099999999999994</v>
      </c>
      <c r="K148" s="1">
        <f ca="1">IFERROR(__xludf.DUMMYFUNCTION("""COMPUTED_VALUE"""),116)</f>
        <v>116</v>
      </c>
      <c r="L148" s="1" t="str">
        <f ca="1">IFERROR(__xludf.DUMMYFUNCTION("""COMPUTED_VALUE"""),"+.057")</f>
        <v>+.057</v>
      </c>
      <c r="M148" s="1">
        <f ca="1">IFERROR(__xludf.DUMMYFUNCTION("""COMPUTED_VALUE"""),44)</f>
        <v>44</v>
      </c>
      <c r="N148" s="1" t="str">
        <f ca="1">IFERROR(__xludf.DUMMYFUNCTION("""COMPUTED_VALUE"""),"+0.26")</f>
        <v>+0.26</v>
      </c>
      <c r="O148" s="1">
        <f ca="1">IFERROR(__xludf.DUMMYFUNCTION("""COMPUTED_VALUE"""),147)</f>
        <v>147</v>
      </c>
      <c r="P148" s="1">
        <f ca="1">IFERROR(__xludf.DUMMYFUNCTION("""COMPUTED_VALUE"""),104.2)</f>
        <v>104.2</v>
      </c>
      <c r="Q148" s="1">
        <f ca="1">IFERROR(__xludf.DUMMYFUNCTION("""COMPUTED_VALUE"""),108)</f>
        <v>108</v>
      </c>
      <c r="R148" s="1">
        <f ca="1">IFERROR(__xludf.DUMMYFUNCTION("""COMPUTED_VALUE"""),104)</f>
        <v>104</v>
      </c>
      <c r="S148" s="1">
        <f ca="1">IFERROR(__xludf.DUMMYFUNCTION("""COMPUTED_VALUE"""),195)</f>
        <v>195</v>
      </c>
      <c r="T148" s="1">
        <f ca="1">IFERROR(__xludf.DUMMYFUNCTION("""COMPUTED_VALUE"""),-0.84)</f>
        <v>-0.84</v>
      </c>
      <c r="U148" s="1">
        <f ca="1">IFERROR(__xludf.DUMMYFUNCTION("""COMPUTED_VALUE"""),184)</f>
        <v>184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IFERROR(__xludf.DUMMYFUNCTION("""COMPUTED_VALUE"""),"Drake")</f>
        <v>Drake</v>
      </c>
      <c r="C149" s="1" t="str">
        <f ca="1">IFERROR(__xludf.DUMMYFUNCTION("""COMPUTED_VALUE"""),"MVC")</f>
        <v>MVC</v>
      </c>
      <c r="D149" s="1" t="str">
        <f ca="1">IFERROR(__xludf.DUMMYFUNCTION("""COMPUTED_VALUE"""),"18-16")</f>
        <v>18-16</v>
      </c>
      <c r="E149" s="1" t="str">
        <f ca="1">IFERROR(__xludf.DUMMYFUNCTION("""COMPUTED_VALUE"""),"+2.63")</f>
        <v>+2.63</v>
      </c>
      <c r="F149" s="1">
        <f ca="1">IFERROR(__xludf.DUMMYFUNCTION("""COMPUTED_VALUE"""),101.1)</f>
        <v>101.1</v>
      </c>
      <c r="G149" s="1">
        <f ca="1">IFERROR(__xludf.DUMMYFUNCTION("""COMPUTED_VALUE"""),205)</f>
        <v>205</v>
      </c>
      <c r="H149" s="1">
        <f ca="1">IFERROR(__xludf.DUMMYFUNCTION("""COMPUTED_VALUE"""),98.5)</f>
        <v>98.5</v>
      </c>
      <c r="I149" s="1">
        <f ca="1">IFERROR(__xludf.DUMMYFUNCTION("""COMPUTED_VALUE"""),87)</f>
        <v>87</v>
      </c>
      <c r="J149" s="1">
        <f ca="1">IFERROR(__xludf.DUMMYFUNCTION("""COMPUTED_VALUE"""),65.8)</f>
        <v>65.8</v>
      </c>
      <c r="K149" s="1">
        <f ca="1">IFERROR(__xludf.DUMMYFUNCTION("""COMPUTED_VALUE"""),132)</f>
        <v>132</v>
      </c>
      <c r="L149" s="1" t="str">
        <f ca="1">IFERROR(__xludf.DUMMYFUNCTION("""COMPUTED_VALUE"""),"+.036")</f>
        <v>+.036</v>
      </c>
      <c r="M149" s="1">
        <f ca="1">IFERROR(__xludf.DUMMYFUNCTION("""COMPUTED_VALUE"""),77)</f>
        <v>77</v>
      </c>
      <c r="N149" s="1" t="str">
        <f ca="1">IFERROR(__xludf.DUMMYFUNCTION("""COMPUTED_VALUE"""),"+3.10")</f>
        <v>+3.10</v>
      </c>
      <c r="O149" s="1">
        <f ca="1">IFERROR(__xludf.DUMMYFUNCTION("""COMPUTED_VALUE"""),98)</f>
        <v>98</v>
      </c>
      <c r="P149" s="1">
        <f ca="1">IFERROR(__xludf.DUMMYFUNCTION("""COMPUTED_VALUE"""),104.7)</f>
        <v>104.7</v>
      </c>
      <c r="Q149" s="1">
        <f ca="1">IFERROR(__xludf.DUMMYFUNCTION("""COMPUTED_VALUE"""),88)</f>
        <v>88</v>
      </c>
      <c r="R149" s="1">
        <f ca="1">IFERROR(__xludf.DUMMYFUNCTION("""COMPUTED_VALUE"""),101.6)</f>
        <v>101.6</v>
      </c>
      <c r="S149" s="1">
        <f ca="1">IFERROR(__xludf.DUMMYFUNCTION("""COMPUTED_VALUE"""),113)</f>
        <v>113</v>
      </c>
      <c r="T149" s="1">
        <f ca="1">IFERROR(__xludf.DUMMYFUNCTION("""COMPUTED_VALUE"""),-0.51)</f>
        <v>-0.51</v>
      </c>
      <c r="U149" s="1">
        <f ca="1">IFERROR(__xludf.DUMMYFUNCTION("""COMPUTED_VALUE"""),174)</f>
        <v>174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IFERROR(__xludf.DUMMYFUNCTION("""COMPUTED_VALUE"""),"Stony Brook8")</f>
        <v>Stony Brook8</v>
      </c>
      <c r="C150" s="1" t="str">
        <f ca="1">IFERROR(__xludf.DUMMYFUNCTION("""COMPUTED_VALUE"""),"AE")</f>
        <v>AE</v>
      </c>
      <c r="D150" s="1" t="str">
        <f ca="1">IFERROR(__xludf.DUMMYFUNCTION("""COMPUTED_VALUE"""),"22-10")</f>
        <v>22-10</v>
      </c>
      <c r="E150" s="1" t="str">
        <f ca="1">IFERROR(__xludf.DUMMYFUNCTION("""COMPUTED_VALUE"""),"+2.60")</f>
        <v>+2.60</v>
      </c>
      <c r="F150" s="1">
        <f ca="1">IFERROR(__xludf.DUMMYFUNCTION("""COMPUTED_VALUE"""),103.5)</f>
        <v>103.5</v>
      </c>
      <c r="G150" s="1">
        <f ca="1">IFERROR(__xludf.DUMMYFUNCTION("""COMPUTED_VALUE"""),158)</f>
        <v>158</v>
      </c>
      <c r="H150" s="1">
        <f ca="1">IFERROR(__xludf.DUMMYFUNCTION("""COMPUTED_VALUE"""),100.9)</f>
        <v>100.9</v>
      </c>
      <c r="I150" s="1">
        <f ca="1">IFERROR(__xludf.DUMMYFUNCTION("""COMPUTED_VALUE"""),133)</f>
        <v>133</v>
      </c>
      <c r="J150" s="1">
        <f ca="1">IFERROR(__xludf.DUMMYFUNCTION("""COMPUTED_VALUE"""),61.4)</f>
        <v>61.4</v>
      </c>
      <c r="K150" s="1">
        <f ca="1">IFERROR(__xludf.DUMMYFUNCTION("""COMPUTED_VALUE"""),315)</f>
        <v>315</v>
      </c>
      <c r="L150" s="1" t="str">
        <f ca="1">IFERROR(__xludf.DUMMYFUNCTION("""COMPUTED_VALUE"""),"+.020")</f>
        <v>+.020</v>
      </c>
      <c r="M150" s="1">
        <f ca="1">IFERROR(__xludf.DUMMYFUNCTION("""COMPUTED_VALUE"""),122)</f>
        <v>122</v>
      </c>
      <c r="N150" s="1">
        <f ca="1">IFERROR(__xludf.DUMMYFUNCTION("""COMPUTED_VALUE"""),-7.28)</f>
        <v>-7.28</v>
      </c>
      <c r="O150" s="1">
        <f ca="1">IFERROR(__xludf.DUMMYFUNCTION("""COMPUTED_VALUE"""),328)</f>
        <v>328</v>
      </c>
      <c r="P150" s="1">
        <f ca="1">IFERROR(__xludf.DUMMYFUNCTION("""COMPUTED_VALUE"""),98.9)</f>
        <v>98.9</v>
      </c>
      <c r="Q150" s="1">
        <f ca="1">IFERROR(__xludf.DUMMYFUNCTION("""COMPUTED_VALUE"""),323)</f>
        <v>323</v>
      </c>
      <c r="R150" s="1">
        <f ca="1">IFERROR(__xludf.DUMMYFUNCTION("""COMPUTED_VALUE"""),106.2)</f>
        <v>106.2</v>
      </c>
      <c r="S150" s="1">
        <f ca="1">IFERROR(__xludf.DUMMYFUNCTION("""COMPUTED_VALUE"""),312)</f>
        <v>312</v>
      </c>
      <c r="T150" s="1">
        <f ca="1">IFERROR(__xludf.DUMMYFUNCTION("""COMPUTED_VALUE"""),-2.21)</f>
        <v>-2.21</v>
      </c>
      <c r="U150" s="1">
        <f ca="1">IFERROR(__xludf.DUMMYFUNCTION("""COMPUTED_VALUE"""),221)</f>
        <v>221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IFERROR(__xludf.DUMMYFUNCTION("""COMPUTED_VALUE"""),"UTEP")</f>
        <v>UTEP</v>
      </c>
      <c r="C151" s="1" t="str">
        <f ca="1">IFERROR(__xludf.DUMMYFUNCTION("""COMPUTED_VALUE"""),"CUSA")</f>
        <v>CUSA</v>
      </c>
      <c r="D151" s="1" t="str">
        <f ca="1">IFERROR(__xludf.DUMMYFUNCTION("""COMPUTED_VALUE"""),"15-17")</f>
        <v>15-17</v>
      </c>
      <c r="E151" s="1" t="str">
        <f ca="1">IFERROR(__xludf.DUMMYFUNCTION("""COMPUTED_VALUE"""),"+2.55")</f>
        <v>+2.55</v>
      </c>
      <c r="F151" s="1">
        <f ca="1">IFERROR(__xludf.DUMMYFUNCTION("""COMPUTED_VALUE"""),102)</f>
        <v>102</v>
      </c>
      <c r="G151" s="1">
        <f ca="1">IFERROR(__xludf.DUMMYFUNCTION("""COMPUTED_VALUE"""),186)</f>
        <v>186</v>
      </c>
      <c r="H151" s="1">
        <f ca="1">IFERROR(__xludf.DUMMYFUNCTION("""COMPUTED_VALUE"""),99.4)</f>
        <v>99.4</v>
      </c>
      <c r="I151" s="1">
        <f ca="1">IFERROR(__xludf.DUMMYFUNCTION("""COMPUTED_VALUE"""),101)</f>
        <v>101</v>
      </c>
      <c r="J151" s="1">
        <f ca="1">IFERROR(__xludf.DUMMYFUNCTION("""COMPUTED_VALUE"""),61.4)</f>
        <v>61.4</v>
      </c>
      <c r="K151" s="1">
        <f ca="1">IFERROR(__xludf.DUMMYFUNCTION("""COMPUTED_VALUE"""),318)</f>
        <v>318</v>
      </c>
      <c r="L151" s="1">
        <f ca="1">IFERROR(__xludf.DUMMYFUNCTION("""COMPUTED_VALUE"""),-0.031)</f>
        <v>-3.1E-2</v>
      </c>
      <c r="M151" s="1">
        <f ca="1">IFERROR(__xludf.DUMMYFUNCTION("""COMPUTED_VALUE"""),253)</f>
        <v>253</v>
      </c>
      <c r="N151" s="1" t="str">
        <f ca="1">IFERROR(__xludf.DUMMYFUNCTION("""COMPUTED_VALUE"""),"+2.19")</f>
        <v>+2.19</v>
      </c>
      <c r="O151" s="1">
        <f ca="1">IFERROR(__xludf.DUMMYFUNCTION("""COMPUTED_VALUE"""),115)</f>
        <v>115</v>
      </c>
      <c r="P151" s="1">
        <f ca="1">IFERROR(__xludf.DUMMYFUNCTION("""COMPUTED_VALUE"""),103.4)</f>
        <v>103.4</v>
      </c>
      <c r="Q151" s="1">
        <f ca="1">IFERROR(__xludf.DUMMYFUNCTION("""COMPUTED_VALUE"""),142)</f>
        <v>142</v>
      </c>
      <c r="R151" s="1">
        <f ca="1">IFERROR(__xludf.DUMMYFUNCTION("""COMPUTED_VALUE"""),101.3)</f>
        <v>101.3</v>
      </c>
      <c r="S151" s="1">
        <f ca="1">IFERROR(__xludf.DUMMYFUNCTION("""COMPUTED_VALUE"""),99)</f>
        <v>99</v>
      </c>
      <c r="T151" s="1" t="str">
        <f ca="1">IFERROR(__xludf.DUMMYFUNCTION("""COMPUTED_VALUE"""),"+0.16")</f>
        <v>+0.16</v>
      </c>
      <c r="U151" s="1">
        <f ca="1">IFERROR(__xludf.DUMMYFUNCTION("""COMPUTED_VALUE"""),148)</f>
        <v>148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IFERROR(__xludf.DUMMYFUNCTION("""COMPUTED_VALUE"""),"Milwaukee")</f>
        <v>Milwaukee</v>
      </c>
      <c r="C152" s="1" t="str">
        <f ca="1">IFERROR(__xludf.DUMMYFUNCTION("""COMPUTED_VALUE"""),"Horz")</f>
        <v>Horz</v>
      </c>
      <c r="D152" s="1" t="str">
        <f ca="1">IFERROR(__xludf.DUMMYFUNCTION("""COMPUTED_VALUE"""),"20-14")</f>
        <v>20-14</v>
      </c>
      <c r="E152" s="1" t="str">
        <f ca="1">IFERROR(__xludf.DUMMYFUNCTION("""COMPUTED_VALUE"""),"+2.30")</f>
        <v>+2.30</v>
      </c>
      <c r="F152" s="1">
        <f ca="1">IFERROR(__xludf.DUMMYFUNCTION("""COMPUTED_VALUE"""),100.6)</f>
        <v>100.6</v>
      </c>
      <c r="G152" s="1">
        <f ca="1">IFERROR(__xludf.DUMMYFUNCTION("""COMPUTED_VALUE"""),220)</f>
        <v>220</v>
      </c>
      <c r="H152" s="1">
        <f ca="1">IFERROR(__xludf.DUMMYFUNCTION("""COMPUTED_VALUE"""),98.3)</f>
        <v>98.3</v>
      </c>
      <c r="I152" s="1">
        <f ca="1">IFERROR(__xludf.DUMMYFUNCTION("""COMPUTED_VALUE"""),84)</f>
        <v>84</v>
      </c>
      <c r="J152" s="1">
        <f ca="1">IFERROR(__xludf.DUMMYFUNCTION("""COMPUTED_VALUE"""),65.2)</f>
        <v>65.2</v>
      </c>
      <c r="K152" s="1">
        <f ca="1">IFERROR(__xludf.DUMMYFUNCTION("""COMPUTED_VALUE"""),166)</f>
        <v>166</v>
      </c>
      <c r="L152" s="1" t="str">
        <f ca="1">IFERROR(__xludf.DUMMYFUNCTION("""COMPUTED_VALUE"""),"+.033")</f>
        <v>+.033</v>
      </c>
      <c r="M152" s="1">
        <f ca="1">IFERROR(__xludf.DUMMYFUNCTION("""COMPUTED_VALUE"""),84)</f>
        <v>84</v>
      </c>
      <c r="N152" s="1" t="str">
        <f ca="1">IFERROR(__xludf.DUMMYFUNCTION("""COMPUTED_VALUE"""),"+0.23")</f>
        <v>+0.23</v>
      </c>
      <c r="O152" s="1">
        <f ca="1">IFERROR(__xludf.DUMMYFUNCTION("""COMPUTED_VALUE"""),149)</f>
        <v>149</v>
      </c>
      <c r="P152" s="1">
        <f ca="1">IFERROR(__xludf.DUMMYFUNCTION("""COMPUTED_VALUE"""),102.4)</f>
        <v>102.4</v>
      </c>
      <c r="Q152" s="1">
        <f ca="1">IFERROR(__xludf.DUMMYFUNCTION("""COMPUTED_VALUE"""),192)</f>
        <v>192</v>
      </c>
      <c r="R152" s="1">
        <f ca="1">IFERROR(__xludf.DUMMYFUNCTION("""COMPUTED_VALUE"""),102.1)</f>
        <v>102.1</v>
      </c>
      <c r="S152" s="1">
        <f ca="1">IFERROR(__xludf.DUMMYFUNCTION("""COMPUTED_VALUE"""),131)</f>
        <v>131</v>
      </c>
      <c r="T152" s="1" t="str">
        <f ca="1">IFERROR(__xludf.DUMMYFUNCTION("""COMPUTED_VALUE"""),"+2.98")</f>
        <v>+2.98</v>
      </c>
      <c r="U152" s="1">
        <f ca="1">IFERROR(__xludf.DUMMYFUNCTION("""COMPUTED_VALUE"""),81)</f>
        <v>81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IFERROR(__xludf.DUMMYFUNCTION("""COMPUTED_VALUE"""),"San Francisco")</f>
        <v>San Francisco</v>
      </c>
      <c r="C153" s="1" t="str">
        <f ca="1">IFERROR(__xludf.DUMMYFUNCTION("""COMPUTED_VALUE"""),"WCC")</f>
        <v>WCC</v>
      </c>
      <c r="D153" s="1" t="str">
        <f ca="1">IFERROR(__xludf.DUMMYFUNCTION("""COMPUTED_VALUE"""),"20-14")</f>
        <v>20-14</v>
      </c>
      <c r="E153" s="1" t="str">
        <f ca="1">IFERROR(__xludf.DUMMYFUNCTION("""COMPUTED_VALUE"""),"+2.28")</f>
        <v>+2.28</v>
      </c>
      <c r="F153" s="1">
        <f ca="1">IFERROR(__xludf.DUMMYFUNCTION("""COMPUTED_VALUE"""),109)</f>
        <v>109</v>
      </c>
      <c r="G153" s="1">
        <f ca="1">IFERROR(__xludf.DUMMYFUNCTION("""COMPUTED_VALUE"""),70)</f>
        <v>70</v>
      </c>
      <c r="H153" s="1">
        <f ca="1">IFERROR(__xludf.DUMMYFUNCTION("""COMPUTED_VALUE"""),106.7)</f>
        <v>106.7</v>
      </c>
      <c r="I153" s="1">
        <f ca="1">IFERROR(__xludf.DUMMYFUNCTION("""COMPUTED_VALUE"""),256)</f>
        <v>256</v>
      </c>
      <c r="J153" s="1">
        <f ca="1">IFERROR(__xludf.DUMMYFUNCTION("""COMPUTED_VALUE"""),67.9)</f>
        <v>67.900000000000006</v>
      </c>
      <c r="K153" s="1">
        <f ca="1">IFERROR(__xludf.DUMMYFUNCTION("""COMPUTED_VALUE"""),44)</f>
        <v>44</v>
      </c>
      <c r="L153" s="1">
        <f ca="1">IFERROR(__xludf.DUMMYFUNCTION("""COMPUTED_VALUE"""),-0.001)</f>
        <v>-1E-3</v>
      </c>
      <c r="M153" s="1">
        <f ca="1">IFERROR(__xludf.DUMMYFUNCTION("""COMPUTED_VALUE"""),175)</f>
        <v>175</v>
      </c>
      <c r="N153" s="1">
        <f ca="1">IFERROR(__xludf.DUMMYFUNCTION("""COMPUTED_VALUE"""),-1.44)</f>
        <v>-1.44</v>
      </c>
      <c r="O153" s="1">
        <f ca="1">IFERROR(__xludf.DUMMYFUNCTION("""COMPUTED_VALUE"""),187)</f>
        <v>187</v>
      </c>
      <c r="P153" s="1">
        <f ca="1">IFERROR(__xludf.DUMMYFUNCTION("""COMPUTED_VALUE"""),102.3)</f>
        <v>102.3</v>
      </c>
      <c r="Q153" s="1">
        <f ca="1">IFERROR(__xludf.DUMMYFUNCTION("""COMPUTED_VALUE"""),194)</f>
        <v>194</v>
      </c>
      <c r="R153" s="1">
        <f ca="1">IFERROR(__xludf.DUMMYFUNCTION("""COMPUTED_VALUE"""),103.8)</f>
        <v>103.8</v>
      </c>
      <c r="S153" s="1">
        <f ca="1">IFERROR(__xludf.DUMMYFUNCTION("""COMPUTED_VALUE"""),185)</f>
        <v>185</v>
      </c>
      <c r="T153" s="1">
        <f ca="1">IFERROR(__xludf.DUMMYFUNCTION("""COMPUTED_VALUE"""),-5.75)</f>
        <v>-5.75</v>
      </c>
      <c r="U153" s="1">
        <f ca="1">IFERROR(__xludf.DUMMYFUNCTION("""COMPUTED_VALUE"""),310)</f>
        <v>310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IFERROR(__xludf.DUMMYFUNCTION("""COMPUTED_VALUE"""),"East Tennessee St.")</f>
        <v>East Tennessee St.</v>
      </c>
      <c r="C154" s="1" t="str">
        <f ca="1">IFERROR(__xludf.DUMMYFUNCTION("""COMPUTED_VALUE"""),"ASun")</f>
        <v>ASun</v>
      </c>
      <c r="D154" s="1" t="str">
        <f ca="1">IFERROR(__xludf.DUMMYFUNCTION("""COMPUTED_VALUE"""),"17-14")</f>
        <v>17-14</v>
      </c>
      <c r="E154" s="1" t="str">
        <f ca="1">IFERROR(__xludf.DUMMYFUNCTION("""COMPUTED_VALUE"""),"+2.21")</f>
        <v>+2.21</v>
      </c>
      <c r="F154" s="1">
        <f ca="1">IFERROR(__xludf.DUMMYFUNCTION("""COMPUTED_VALUE"""),101.8)</f>
        <v>101.8</v>
      </c>
      <c r="G154" s="1">
        <f ca="1">IFERROR(__xludf.DUMMYFUNCTION("""COMPUTED_VALUE"""),189)</f>
        <v>189</v>
      </c>
      <c r="H154" s="1">
        <f ca="1">IFERROR(__xludf.DUMMYFUNCTION("""COMPUTED_VALUE"""),99.6)</f>
        <v>99.6</v>
      </c>
      <c r="I154" s="1">
        <f ca="1">IFERROR(__xludf.DUMMYFUNCTION("""COMPUTED_VALUE"""),110)</f>
        <v>110</v>
      </c>
      <c r="J154" s="1">
        <f ca="1">IFERROR(__xludf.DUMMYFUNCTION("""COMPUTED_VALUE"""),64.1)</f>
        <v>64.099999999999994</v>
      </c>
      <c r="K154" s="1">
        <f ca="1">IFERROR(__xludf.DUMMYFUNCTION("""COMPUTED_VALUE"""),220)</f>
        <v>220</v>
      </c>
      <c r="L154" s="1">
        <f ca="1">IFERROR(__xludf.DUMMYFUNCTION("""COMPUTED_VALUE"""),-0.017)</f>
        <v>-1.7000000000000001E-2</v>
      </c>
      <c r="M154" s="1">
        <f ca="1">IFERROR(__xludf.DUMMYFUNCTION("""COMPUTED_VALUE"""),210)</f>
        <v>210</v>
      </c>
      <c r="N154" s="1">
        <f ca="1">IFERROR(__xludf.DUMMYFUNCTION("""COMPUTED_VALUE"""),-0.73)</f>
        <v>-0.73</v>
      </c>
      <c r="O154" s="1">
        <f ca="1">IFERROR(__xludf.DUMMYFUNCTION("""COMPUTED_VALUE"""),171)</f>
        <v>171</v>
      </c>
      <c r="P154" s="1">
        <f ca="1">IFERROR(__xludf.DUMMYFUNCTION("""COMPUTED_VALUE"""),104)</f>
        <v>104</v>
      </c>
      <c r="Q154" s="1">
        <f ca="1">IFERROR(__xludf.DUMMYFUNCTION("""COMPUTED_VALUE"""),119)</f>
        <v>119</v>
      </c>
      <c r="R154" s="1">
        <f ca="1">IFERROR(__xludf.DUMMYFUNCTION("""COMPUTED_VALUE"""),104.7)</f>
        <v>104.7</v>
      </c>
      <c r="S154" s="1">
        <f ca="1">IFERROR(__xludf.DUMMYFUNCTION("""COMPUTED_VALUE"""),243)</f>
        <v>243</v>
      </c>
      <c r="T154" s="1" t="str">
        <f ca="1">IFERROR(__xludf.DUMMYFUNCTION("""COMPUTED_VALUE"""),"+0.10")</f>
        <v>+0.10</v>
      </c>
      <c r="U154" s="1">
        <f ca="1">IFERROR(__xludf.DUMMYFUNCTION("""COMPUTED_VALUE"""),151)</f>
        <v>151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IFERROR(__xludf.DUMMYFUNCTION("""COMPUTED_VALUE"""),"Auburn")</f>
        <v>Auburn</v>
      </c>
      <c r="C155" s="1" t="str">
        <f ca="1">IFERROR(__xludf.DUMMYFUNCTION("""COMPUTED_VALUE"""),"SEC")</f>
        <v>SEC</v>
      </c>
      <c r="D155" s="1" t="str">
        <f ca="1">IFERROR(__xludf.DUMMYFUNCTION("""COMPUTED_VALUE"""),"15-16")</f>
        <v>15-16</v>
      </c>
      <c r="E155" s="1" t="str">
        <f ca="1">IFERROR(__xludf.DUMMYFUNCTION("""COMPUTED_VALUE"""),"+2.10")</f>
        <v>+2.10</v>
      </c>
      <c r="F155" s="1">
        <f ca="1">IFERROR(__xludf.DUMMYFUNCTION("""COMPUTED_VALUE"""),99.6)</f>
        <v>99.6</v>
      </c>
      <c r="G155" s="1">
        <f ca="1">IFERROR(__xludf.DUMMYFUNCTION("""COMPUTED_VALUE"""),236)</f>
        <v>236</v>
      </c>
      <c r="H155" s="1">
        <f ca="1">IFERROR(__xludf.DUMMYFUNCTION("""COMPUTED_VALUE"""),97.5)</f>
        <v>97.5</v>
      </c>
      <c r="I155" s="1">
        <f ca="1">IFERROR(__xludf.DUMMYFUNCTION("""COMPUTED_VALUE"""),70)</f>
        <v>70</v>
      </c>
      <c r="J155" s="1">
        <f ca="1">IFERROR(__xludf.DUMMYFUNCTION("""COMPUTED_VALUE"""),64)</f>
        <v>64</v>
      </c>
      <c r="K155" s="1">
        <f ca="1">IFERROR(__xludf.DUMMYFUNCTION("""COMPUTED_VALUE"""),224)</f>
        <v>224</v>
      </c>
      <c r="L155" s="1" t="str">
        <f ca="1">IFERROR(__xludf.DUMMYFUNCTION("""COMPUTED_VALUE"""),"+.027")</f>
        <v>+.027</v>
      </c>
      <c r="M155" s="1">
        <f ca="1">IFERROR(__xludf.DUMMYFUNCTION("""COMPUTED_VALUE"""),97)</f>
        <v>97</v>
      </c>
      <c r="N155" s="1" t="str">
        <f ca="1">IFERROR(__xludf.DUMMYFUNCTION("""COMPUTED_VALUE"""),"+3.58")</f>
        <v>+3.58</v>
      </c>
      <c r="O155" s="1">
        <f ca="1">IFERROR(__xludf.DUMMYFUNCTION("""COMPUTED_VALUE"""),90)</f>
        <v>90</v>
      </c>
      <c r="P155" s="1">
        <f ca="1">IFERROR(__xludf.DUMMYFUNCTION("""COMPUTED_VALUE"""),104.7)</f>
        <v>104.7</v>
      </c>
      <c r="Q155" s="1">
        <f ca="1">IFERROR(__xludf.DUMMYFUNCTION("""COMPUTED_VALUE"""),91)</f>
        <v>91</v>
      </c>
      <c r="R155" s="1">
        <f ca="1">IFERROR(__xludf.DUMMYFUNCTION("""COMPUTED_VALUE"""),101.1)</f>
        <v>101.1</v>
      </c>
      <c r="S155" s="1">
        <f ca="1">IFERROR(__xludf.DUMMYFUNCTION("""COMPUTED_VALUE"""),86)</f>
        <v>86</v>
      </c>
      <c r="T155" s="1">
        <f ca="1">IFERROR(__xludf.DUMMYFUNCTION("""COMPUTED_VALUE"""),-6.74)</f>
        <v>-6.74</v>
      </c>
      <c r="U155" s="1">
        <f ca="1">IFERROR(__xludf.DUMMYFUNCTION("""COMPUTED_VALUE"""),320)</f>
        <v>320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IFERROR(__xludf.DUMMYFUNCTION("""COMPUTED_VALUE"""),"Rice")</f>
        <v>Rice</v>
      </c>
      <c r="C156" s="1" t="str">
        <f ca="1">IFERROR(__xludf.DUMMYFUNCTION("""COMPUTED_VALUE"""),"CUSA")</f>
        <v>CUSA</v>
      </c>
      <c r="D156" s="1" t="str">
        <f ca="1">IFERROR(__xludf.DUMMYFUNCTION("""COMPUTED_VALUE"""),"19-16")</f>
        <v>19-16</v>
      </c>
      <c r="E156" s="1" t="str">
        <f ca="1">IFERROR(__xludf.DUMMYFUNCTION("""COMPUTED_VALUE"""),"+1.85")</f>
        <v>+1.85</v>
      </c>
      <c r="F156" s="1">
        <f ca="1">IFERROR(__xludf.DUMMYFUNCTION("""COMPUTED_VALUE"""),100.9)</f>
        <v>100.9</v>
      </c>
      <c r="G156" s="1">
        <f ca="1">IFERROR(__xludf.DUMMYFUNCTION("""COMPUTED_VALUE"""),212)</f>
        <v>212</v>
      </c>
      <c r="H156" s="1">
        <f ca="1">IFERROR(__xludf.DUMMYFUNCTION("""COMPUTED_VALUE"""),99)</f>
        <v>99</v>
      </c>
      <c r="I156" s="1">
        <f ca="1">IFERROR(__xludf.DUMMYFUNCTION("""COMPUTED_VALUE"""),95)</f>
        <v>95</v>
      </c>
      <c r="J156" s="1">
        <f ca="1">IFERROR(__xludf.DUMMYFUNCTION("""COMPUTED_VALUE"""),67.9)</f>
        <v>67.900000000000006</v>
      </c>
      <c r="K156" s="1">
        <f ca="1">IFERROR(__xludf.DUMMYFUNCTION("""COMPUTED_VALUE"""),45)</f>
        <v>45</v>
      </c>
      <c r="L156" s="1">
        <f ca="1">IFERROR(__xludf.DUMMYFUNCTION("""COMPUTED_VALUE"""),-0.007)</f>
        <v>-7.0000000000000001E-3</v>
      </c>
      <c r="M156" s="1">
        <f ca="1">IFERROR(__xludf.DUMMYFUNCTION("""COMPUTED_VALUE"""),191)</f>
        <v>191</v>
      </c>
      <c r="N156" s="1" t="str">
        <f ca="1">IFERROR(__xludf.DUMMYFUNCTION("""COMPUTED_VALUE"""),"+0.91")</f>
        <v>+0.91</v>
      </c>
      <c r="O156" s="1">
        <f ca="1">IFERROR(__xludf.DUMMYFUNCTION("""COMPUTED_VALUE"""),135)</f>
        <v>135</v>
      </c>
      <c r="P156" s="1">
        <f ca="1">IFERROR(__xludf.DUMMYFUNCTION("""COMPUTED_VALUE"""),102.9)</f>
        <v>102.9</v>
      </c>
      <c r="Q156" s="1">
        <f ca="1">IFERROR(__xludf.DUMMYFUNCTION("""COMPUTED_VALUE"""),166)</f>
        <v>166</v>
      </c>
      <c r="R156" s="1">
        <f ca="1">IFERROR(__xludf.DUMMYFUNCTION("""COMPUTED_VALUE"""),101.9)</f>
        <v>101.9</v>
      </c>
      <c r="S156" s="1">
        <f ca="1">IFERROR(__xludf.DUMMYFUNCTION("""COMPUTED_VALUE"""),126)</f>
        <v>126</v>
      </c>
      <c r="T156" s="1">
        <f ca="1">IFERROR(__xludf.DUMMYFUNCTION("""COMPUTED_VALUE"""),-2.72)</f>
        <v>-2.72</v>
      </c>
      <c r="U156" s="1">
        <f ca="1">IFERROR(__xludf.DUMMYFUNCTION("""COMPUTED_VALUE"""),238)</f>
        <v>238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IFERROR(__xludf.DUMMYFUNCTION("""COMPUTED_VALUE"""),"Oakland")</f>
        <v>Oakland</v>
      </c>
      <c r="C157" s="1" t="str">
        <f ca="1">IFERROR(__xludf.DUMMYFUNCTION("""COMPUTED_VALUE"""),"Sum")</f>
        <v>Sum</v>
      </c>
      <c r="D157" s="1" t="str">
        <f ca="1">IFERROR(__xludf.DUMMYFUNCTION("""COMPUTED_VALUE"""),"20-16")</f>
        <v>20-16</v>
      </c>
      <c r="E157" s="1" t="str">
        <f ca="1">IFERROR(__xludf.DUMMYFUNCTION("""COMPUTED_VALUE"""),"+1.72")</f>
        <v>+1.72</v>
      </c>
      <c r="F157" s="1">
        <f ca="1">IFERROR(__xludf.DUMMYFUNCTION("""COMPUTED_VALUE"""),114.4)</f>
        <v>114.4</v>
      </c>
      <c r="G157" s="1">
        <f ca="1">IFERROR(__xludf.DUMMYFUNCTION("""COMPUTED_VALUE"""),18)</f>
        <v>18</v>
      </c>
      <c r="H157" s="1">
        <f ca="1">IFERROR(__xludf.DUMMYFUNCTION("""COMPUTED_VALUE"""),112.7)</f>
        <v>112.7</v>
      </c>
      <c r="I157" s="1">
        <f ca="1">IFERROR(__xludf.DUMMYFUNCTION("""COMPUTED_VALUE"""),328)</f>
        <v>328</v>
      </c>
      <c r="J157" s="1">
        <f ca="1">IFERROR(__xludf.DUMMYFUNCTION("""COMPUTED_VALUE"""),69.7)</f>
        <v>69.7</v>
      </c>
      <c r="K157" s="1">
        <f ca="1">IFERROR(__xludf.DUMMYFUNCTION("""COMPUTED_VALUE"""),19)</f>
        <v>19</v>
      </c>
      <c r="L157" s="1" t="str">
        <f ca="1">IFERROR(__xludf.DUMMYFUNCTION("""COMPUTED_VALUE"""),"+.021")</f>
        <v>+.021</v>
      </c>
      <c r="M157" s="1">
        <f ca="1">IFERROR(__xludf.DUMMYFUNCTION("""COMPUTED_VALUE"""),118)</f>
        <v>118</v>
      </c>
      <c r="N157" s="1">
        <f ca="1">IFERROR(__xludf.DUMMYFUNCTION("""COMPUTED_VALUE"""),-0.16)</f>
        <v>-0.16</v>
      </c>
      <c r="O157" s="1">
        <f ca="1">IFERROR(__xludf.DUMMYFUNCTION("""COMPUTED_VALUE"""),159)</f>
        <v>159</v>
      </c>
      <c r="P157" s="1">
        <f ca="1">IFERROR(__xludf.DUMMYFUNCTION("""COMPUTED_VALUE"""),103.8)</f>
        <v>103.8</v>
      </c>
      <c r="Q157" s="1">
        <f ca="1">IFERROR(__xludf.DUMMYFUNCTION("""COMPUTED_VALUE"""),126)</f>
        <v>126</v>
      </c>
      <c r="R157" s="1">
        <f ca="1">IFERROR(__xludf.DUMMYFUNCTION("""COMPUTED_VALUE"""),104)</f>
        <v>104</v>
      </c>
      <c r="S157" s="1">
        <f ca="1">IFERROR(__xludf.DUMMYFUNCTION("""COMPUTED_VALUE"""),198)</f>
        <v>198</v>
      </c>
      <c r="T157" s="1" t="str">
        <f ca="1">IFERROR(__xludf.DUMMYFUNCTION("""COMPUTED_VALUE"""),"+5.28")</f>
        <v>+5.28</v>
      </c>
      <c r="U157" s="1">
        <f ca="1">IFERROR(__xludf.DUMMYFUNCTION("""COMPUTED_VALUE"""),35)</f>
        <v>35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IFERROR(__xludf.DUMMYFUNCTION("""COMPUTED_VALUE"""),"DePaul")</f>
        <v>DePaul</v>
      </c>
      <c r="C158" s="1" t="str">
        <f ca="1">IFERROR(__xludf.DUMMYFUNCTION("""COMPUTED_VALUE"""),"BE")</f>
        <v>BE</v>
      </c>
      <c r="D158" s="2">
        <f ca="1">IFERROR(__xludf.DUMMYFUNCTION("""COMPUTED_VALUE"""),44914)</f>
        <v>44914</v>
      </c>
      <c r="E158" s="1" t="str">
        <f ca="1">IFERROR(__xludf.DUMMYFUNCTION("""COMPUTED_VALUE"""),"+1.69")</f>
        <v>+1.69</v>
      </c>
      <c r="F158" s="1">
        <f ca="1">IFERROR(__xludf.DUMMYFUNCTION("""COMPUTED_VALUE"""),108.5)</f>
        <v>108.5</v>
      </c>
      <c r="G158" s="1">
        <f ca="1">IFERROR(__xludf.DUMMYFUNCTION("""COMPUTED_VALUE"""),77)</f>
        <v>77</v>
      </c>
      <c r="H158" s="1">
        <f ca="1">IFERROR(__xludf.DUMMYFUNCTION("""COMPUTED_VALUE"""),106.9)</f>
        <v>106.9</v>
      </c>
      <c r="I158" s="1">
        <f ca="1">IFERROR(__xludf.DUMMYFUNCTION("""COMPUTED_VALUE"""),261)</f>
        <v>261</v>
      </c>
      <c r="J158" s="1">
        <f ca="1">IFERROR(__xludf.DUMMYFUNCTION("""COMPUTED_VALUE"""),71.4)</f>
        <v>71.400000000000006</v>
      </c>
      <c r="K158" s="1">
        <f ca="1">IFERROR(__xludf.DUMMYFUNCTION("""COMPUTED_VALUE"""),8)</f>
        <v>8</v>
      </c>
      <c r="L158" s="1">
        <f ca="1">IFERROR(__xludf.DUMMYFUNCTION("""COMPUTED_VALUE"""),-0.042)</f>
        <v>-4.2000000000000003E-2</v>
      </c>
      <c r="M158" s="1">
        <f ca="1">IFERROR(__xludf.DUMMYFUNCTION("""COMPUTED_VALUE"""),269)</f>
        <v>269</v>
      </c>
      <c r="N158" s="1" t="str">
        <f ca="1">IFERROR(__xludf.DUMMYFUNCTION("""COMPUTED_VALUE"""),"+4.72")</f>
        <v>+4.72</v>
      </c>
      <c r="O158" s="1">
        <f ca="1">IFERROR(__xludf.DUMMYFUNCTION("""COMPUTED_VALUE"""),65)</f>
        <v>65</v>
      </c>
      <c r="P158" s="1">
        <f ca="1">IFERROR(__xludf.DUMMYFUNCTION("""COMPUTED_VALUE"""),104.2)</f>
        <v>104.2</v>
      </c>
      <c r="Q158" s="1">
        <f ca="1">IFERROR(__xludf.DUMMYFUNCTION("""COMPUTED_VALUE"""),106)</f>
        <v>106</v>
      </c>
      <c r="R158" s="1">
        <f ca="1">IFERROR(__xludf.DUMMYFUNCTION("""COMPUTED_VALUE"""),99.5)</f>
        <v>99.5</v>
      </c>
      <c r="S158" s="1">
        <f ca="1">IFERROR(__xludf.DUMMYFUNCTION("""COMPUTED_VALUE"""),31)</f>
        <v>31</v>
      </c>
      <c r="T158" s="1">
        <f ca="1">IFERROR(__xludf.DUMMYFUNCTION("""COMPUTED_VALUE"""),-9.74)</f>
        <v>-9.74</v>
      </c>
      <c r="U158" s="1">
        <f ca="1">IFERROR(__xludf.DUMMYFUNCTION("""COMPUTED_VALUE"""),340)</f>
        <v>340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IFERROR(__xludf.DUMMYFUNCTION("""COMPUTED_VALUE"""),"Charlotte")</f>
        <v>Charlotte</v>
      </c>
      <c r="C159" s="1" t="str">
        <f ca="1">IFERROR(__xludf.DUMMYFUNCTION("""COMPUTED_VALUE"""),"A10")</f>
        <v>A10</v>
      </c>
      <c r="D159" s="1" t="str">
        <f ca="1">IFERROR(__xludf.DUMMYFUNCTION("""COMPUTED_VALUE"""),"13-17")</f>
        <v>13-17</v>
      </c>
      <c r="E159" s="1" t="str">
        <f ca="1">IFERROR(__xludf.DUMMYFUNCTION("""COMPUTED_VALUE"""),"+1.65")</f>
        <v>+1.65</v>
      </c>
      <c r="F159" s="1">
        <f ca="1">IFERROR(__xludf.DUMMYFUNCTION("""COMPUTED_VALUE"""),100)</f>
        <v>100</v>
      </c>
      <c r="G159" s="1">
        <f ca="1">IFERROR(__xludf.DUMMYFUNCTION("""COMPUTED_VALUE"""),228)</f>
        <v>228</v>
      </c>
      <c r="H159" s="1">
        <f ca="1">IFERROR(__xludf.DUMMYFUNCTION("""COMPUTED_VALUE"""),98.4)</f>
        <v>98.4</v>
      </c>
      <c r="I159" s="1">
        <f ca="1">IFERROR(__xludf.DUMMYFUNCTION("""COMPUTED_VALUE"""),85)</f>
        <v>85</v>
      </c>
      <c r="J159" s="1">
        <f ca="1">IFERROR(__xludf.DUMMYFUNCTION("""COMPUTED_VALUE"""),67.6)</f>
        <v>67.599999999999994</v>
      </c>
      <c r="K159" s="1">
        <f ca="1">IFERROR(__xludf.DUMMYFUNCTION("""COMPUTED_VALUE"""),57)</f>
        <v>57</v>
      </c>
      <c r="L159" s="1" t="str">
        <f ca="1">IFERROR(__xludf.DUMMYFUNCTION("""COMPUTED_VALUE"""),"+.003")</f>
        <v>+.003</v>
      </c>
      <c r="M159" s="1">
        <f ca="1">IFERROR(__xludf.DUMMYFUNCTION("""COMPUTED_VALUE"""),168)</f>
        <v>168</v>
      </c>
      <c r="N159" s="1" t="str">
        <f ca="1">IFERROR(__xludf.DUMMYFUNCTION("""COMPUTED_VALUE"""),"+4.25")</f>
        <v>+4.25</v>
      </c>
      <c r="O159" s="1">
        <f ca="1">IFERROR(__xludf.DUMMYFUNCTION("""COMPUTED_VALUE"""),72)</f>
        <v>72</v>
      </c>
      <c r="P159" s="1">
        <f ca="1">IFERROR(__xludf.DUMMYFUNCTION("""COMPUTED_VALUE"""),105.8)</f>
        <v>105.8</v>
      </c>
      <c r="Q159" s="1">
        <f ca="1">IFERROR(__xludf.DUMMYFUNCTION("""COMPUTED_VALUE"""),55)</f>
        <v>55</v>
      </c>
      <c r="R159" s="1">
        <f ca="1">IFERROR(__xludf.DUMMYFUNCTION("""COMPUTED_VALUE"""),101.6)</f>
        <v>101.6</v>
      </c>
      <c r="S159" s="1">
        <f ca="1">IFERROR(__xludf.DUMMYFUNCTION("""COMPUTED_VALUE"""),111)</f>
        <v>111</v>
      </c>
      <c r="T159" s="1">
        <f ca="1">IFERROR(__xludf.DUMMYFUNCTION("""COMPUTED_VALUE"""),-0.15)</f>
        <v>-0.15</v>
      </c>
      <c r="U159" s="1">
        <f ca="1">IFERROR(__xludf.DUMMYFUNCTION("""COMPUTED_VALUE"""),163)</f>
        <v>163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IFERROR(__xludf.DUMMYFUNCTION("""COMPUTED_VALUE"""),"Nebraska")</f>
        <v>Nebraska</v>
      </c>
      <c r="C160" s="1" t="str">
        <f ca="1">IFERROR(__xludf.DUMMYFUNCTION("""COMPUTED_VALUE"""),"B10")</f>
        <v>B10</v>
      </c>
      <c r="D160" s="2">
        <f ca="1">IFERROR(__xludf.DUMMYFUNCTION("""COMPUTED_VALUE"""),44913)</f>
        <v>44913</v>
      </c>
      <c r="E160" s="1" t="str">
        <f ca="1">IFERROR(__xludf.DUMMYFUNCTION("""COMPUTED_VALUE"""),"+1.62")</f>
        <v>+1.62</v>
      </c>
      <c r="F160" s="1">
        <f ca="1">IFERROR(__xludf.DUMMYFUNCTION("""COMPUTED_VALUE"""),103.4)</f>
        <v>103.4</v>
      </c>
      <c r="G160" s="1">
        <f ca="1">IFERROR(__xludf.DUMMYFUNCTION("""COMPUTED_VALUE"""),162)</f>
        <v>162</v>
      </c>
      <c r="H160" s="1">
        <f ca="1">IFERROR(__xludf.DUMMYFUNCTION("""COMPUTED_VALUE"""),101.7)</f>
        <v>101.7</v>
      </c>
      <c r="I160" s="1">
        <f ca="1">IFERROR(__xludf.DUMMYFUNCTION("""COMPUTED_VALUE"""),148)</f>
        <v>148</v>
      </c>
      <c r="J160" s="1">
        <f ca="1">IFERROR(__xludf.DUMMYFUNCTION("""COMPUTED_VALUE"""),61.5)</f>
        <v>61.5</v>
      </c>
      <c r="K160" s="1">
        <f ca="1">IFERROR(__xludf.DUMMYFUNCTION("""COMPUTED_VALUE"""),314)</f>
        <v>314</v>
      </c>
      <c r="L160" s="1" t="str">
        <f ca="1">IFERROR(__xludf.DUMMYFUNCTION("""COMPUTED_VALUE"""),"+.034")</f>
        <v>+.034</v>
      </c>
      <c r="M160" s="1">
        <f ca="1">IFERROR(__xludf.DUMMYFUNCTION("""COMPUTED_VALUE"""),81)</f>
        <v>81</v>
      </c>
      <c r="N160" s="1" t="str">
        <f ca="1">IFERROR(__xludf.DUMMYFUNCTION("""COMPUTED_VALUE"""),"+8.58")</f>
        <v>+8.58</v>
      </c>
      <c r="O160" s="1">
        <f ca="1">IFERROR(__xludf.DUMMYFUNCTION("""COMPUTED_VALUE"""),11)</f>
        <v>11</v>
      </c>
      <c r="P160" s="1">
        <f ca="1">IFERROR(__xludf.DUMMYFUNCTION("""COMPUTED_VALUE"""),108.4)</f>
        <v>108.4</v>
      </c>
      <c r="Q160" s="1">
        <f ca="1">IFERROR(__xludf.DUMMYFUNCTION("""COMPUTED_VALUE"""),8)</f>
        <v>8</v>
      </c>
      <c r="R160" s="1">
        <f ca="1">IFERROR(__xludf.DUMMYFUNCTION("""COMPUTED_VALUE"""),99.8)</f>
        <v>99.8</v>
      </c>
      <c r="S160" s="1">
        <f ca="1">IFERROR(__xludf.DUMMYFUNCTION("""COMPUTED_VALUE"""),42)</f>
        <v>42</v>
      </c>
      <c r="T160" s="1">
        <f ca="1">IFERROR(__xludf.DUMMYFUNCTION("""COMPUTED_VALUE"""),-4.92)</f>
        <v>-4.92</v>
      </c>
      <c r="U160" s="1">
        <f ca="1">IFERROR(__xludf.DUMMYFUNCTION("""COMPUTED_VALUE"""),294)</f>
        <v>294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IFERROR(__xludf.DUMMYFUNCTION("""COMPUTED_VALUE"""),"Quinnipiac")</f>
        <v>Quinnipiac</v>
      </c>
      <c r="C161" s="1" t="str">
        <f ca="1">IFERROR(__xludf.DUMMYFUNCTION("""COMPUTED_VALUE"""),"NEC")</f>
        <v>NEC</v>
      </c>
      <c r="D161" s="1" t="str">
        <f ca="1">IFERROR(__xludf.DUMMYFUNCTION("""COMPUTED_VALUE"""),"18-14")</f>
        <v>18-14</v>
      </c>
      <c r="E161" s="1" t="str">
        <f ca="1">IFERROR(__xludf.DUMMYFUNCTION("""COMPUTED_VALUE"""),"+1.44")</f>
        <v>+1.44</v>
      </c>
      <c r="F161" s="1">
        <f ca="1">IFERROR(__xludf.DUMMYFUNCTION("""COMPUTED_VALUE"""),104)</f>
        <v>104</v>
      </c>
      <c r="G161" s="1">
        <f ca="1">IFERROR(__xludf.DUMMYFUNCTION("""COMPUTED_VALUE"""),149)</f>
        <v>149</v>
      </c>
      <c r="H161" s="1">
        <f ca="1">IFERROR(__xludf.DUMMYFUNCTION("""COMPUTED_VALUE"""),102.5)</f>
        <v>102.5</v>
      </c>
      <c r="I161" s="1">
        <f ca="1">IFERROR(__xludf.DUMMYFUNCTION("""COMPUTED_VALUE"""),162)</f>
        <v>162</v>
      </c>
      <c r="J161" s="1">
        <f ca="1">IFERROR(__xludf.DUMMYFUNCTION("""COMPUTED_VALUE"""),65.6)</f>
        <v>65.599999999999994</v>
      </c>
      <c r="K161" s="1">
        <f ca="1">IFERROR(__xludf.DUMMYFUNCTION("""COMPUTED_VALUE"""),137)</f>
        <v>137</v>
      </c>
      <c r="L161" s="1">
        <f ca="1">IFERROR(__xludf.DUMMYFUNCTION("""COMPUTED_VALUE"""),-0.071)</f>
        <v>-7.0999999999999994E-2</v>
      </c>
      <c r="M161" s="1">
        <f ca="1">IFERROR(__xludf.DUMMYFUNCTION("""COMPUTED_VALUE"""),320)</f>
        <v>320</v>
      </c>
      <c r="N161" s="1">
        <f ca="1">IFERROR(__xludf.DUMMYFUNCTION("""COMPUTED_VALUE"""),-4.68)</f>
        <v>-4.68</v>
      </c>
      <c r="O161" s="1">
        <f ca="1">IFERROR(__xludf.DUMMYFUNCTION("""COMPUTED_VALUE"""),279)</f>
        <v>279</v>
      </c>
      <c r="P161" s="1">
        <f ca="1">IFERROR(__xludf.DUMMYFUNCTION("""COMPUTED_VALUE"""),100.5)</f>
        <v>100.5</v>
      </c>
      <c r="Q161" s="1">
        <f ca="1">IFERROR(__xludf.DUMMYFUNCTION("""COMPUTED_VALUE"""),284)</f>
        <v>284</v>
      </c>
      <c r="R161" s="1">
        <f ca="1">IFERROR(__xludf.DUMMYFUNCTION("""COMPUTED_VALUE"""),105.2)</f>
        <v>105.2</v>
      </c>
      <c r="S161" s="1">
        <f ca="1">IFERROR(__xludf.DUMMYFUNCTION("""COMPUTED_VALUE"""),265)</f>
        <v>265</v>
      </c>
      <c r="T161" s="1">
        <f ca="1">IFERROR(__xludf.DUMMYFUNCTION("""COMPUTED_VALUE"""),-2.22)</f>
        <v>-2.2200000000000002</v>
      </c>
      <c r="U161" s="1">
        <f ca="1">IFERROR(__xludf.DUMMYFUNCTION("""COMPUTED_VALUE"""),222)</f>
        <v>222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IFERROR(__xludf.DUMMYFUNCTION("""COMPUTED_VALUE"""),"Boise St.")</f>
        <v>Boise St.</v>
      </c>
      <c r="C162" s="1" t="str">
        <f ca="1">IFERROR(__xludf.DUMMYFUNCTION("""COMPUTED_VALUE"""),"MWC")</f>
        <v>MWC</v>
      </c>
      <c r="D162" s="1" t="str">
        <f ca="1">IFERROR(__xludf.DUMMYFUNCTION("""COMPUTED_VALUE"""),"13-17")</f>
        <v>13-17</v>
      </c>
      <c r="E162" s="1" t="str">
        <f ca="1">IFERROR(__xludf.DUMMYFUNCTION("""COMPUTED_VALUE"""),"+1.38")</f>
        <v>+1.38</v>
      </c>
      <c r="F162" s="1">
        <f ca="1">IFERROR(__xludf.DUMMYFUNCTION("""COMPUTED_VALUE"""),105.3)</f>
        <v>105.3</v>
      </c>
      <c r="G162" s="1">
        <f ca="1">IFERROR(__xludf.DUMMYFUNCTION("""COMPUTED_VALUE"""),130)</f>
        <v>130</v>
      </c>
      <c r="H162" s="1">
        <f ca="1">IFERROR(__xludf.DUMMYFUNCTION("""COMPUTED_VALUE"""),103.9)</f>
        <v>103.9</v>
      </c>
      <c r="I162" s="1">
        <f ca="1">IFERROR(__xludf.DUMMYFUNCTION("""COMPUTED_VALUE"""),194)</f>
        <v>194</v>
      </c>
      <c r="J162" s="1">
        <f ca="1">IFERROR(__xludf.DUMMYFUNCTION("""COMPUTED_VALUE"""),64.3)</f>
        <v>64.3</v>
      </c>
      <c r="K162" s="1">
        <f ca="1">IFERROR(__xludf.DUMMYFUNCTION("""COMPUTED_VALUE"""),203)</f>
        <v>203</v>
      </c>
      <c r="L162" s="1">
        <f ca="1">IFERROR(__xludf.DUMMYFUNCTION("""COMPUTED_VALUE"""),-0.081)</f>
        <v>-8.1000000000000003E-2</v>
      </c>
      <c r="M162" s="1">
        <f ca="1">IFERROR(__xludf.DUMMYFUNCTION("""COMPUTED_VALUE"""),330)</f>
        <v>330</v>
      </c>
      <c r="N162" s="1" t="str">
        <f ca="1">IFERROR(__xludf.DUMMYFUNCTION("""COMPUTED_VALUE"""),"+2.77")</f>
        <v>+2.77</v>
      </c>
      <c r="O162" s="1">
        <f ca="1">IFERROR(__xludf.DUMMYFUNCTION("""COMPUTED_VALUE"""),104)</f>
        <v>104</v>
      </c>
      <c r="P162" s="1">
        <f ca="1">IFERROR(__xludf.DUMMYFUNCTION("""COMPUTED_VALUE"""),104.1)</f>
        <v>104.1</v>
      </c>
      <c r="Q162" s="1">
        <f ca="1">IFERROR(__xludf.DUMMYFUNCTION("""COMPUTED_VALUE"""),115)</f>
        <v>115</v>
      </c>
      <c r="R162" s="1">
        <f ca="1">IFERROR(__xludf.DUMMYFUNCTION("""COMPUTED_VALUE"""),101.3)</f>
        <v>101.3</v>
      </c>
      <c r="S162" s="1">
        <f ca="1">IFERROR(__xludf.DUMMYFUNCTION("""COMPUTED_VALUE"""),103)</f>
        <v>103</v>
      </c>
      <c r="T162" s="1">
        <f ca="1">IFERROR(__xludf.DUMMYFUNCTION("""COMPUTED_VALUE"""),-4.39)</f>
        <v>-4.3899999999999997</v>
      </c>
      <c r="U162" s="1">
        <f ca="1">IFERROR(__xludf.DUMMYFUNCTION("""COMPUTED_VALUE"""),280)</f>
        <v>280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IFERROR(__xludf.DUMMYFUNCTION("""COMPUTED_VALUE"""),"Stephen F. Austin")</f>
        <v>Stephen F. Austin</v>
      </c>
      <c r="C163" s="1" t="str">
        <f ca="1">IFERROR(__xludf.DUMMYFUNCTION("""COMPUTED_VALUE"""),"Slnd")</f>
        <v>Slnd</v>
      </c>
      <c r="D163" s="1" t="str">
        <f ca="1">IFERROR(__xludf.DUMMYFUNCTION("""COMPUTED_VALUE"""),"20-12")</f>
        <v>20-12</v>
      </c>
      <c r="E163" s="1" t="str">
        <f ca="1">IFERROR(__xludf.DUMMYFUNCTION("""COMPUTED_VALUE"""),"+1.29")</f>
        <v>+1.29</v>
      </c>
      <c r="F163" s="1">
        <f ca="1">IFERROR(__xludf.DUMMYFUNCTION("""COMPUTED_VALUE"""),97.3)</f>
        <v>97.3</v>
      </c>
      <c r="G163" s="1">
        <f ca="1">IFERROR(__xludf.DUMMYFUNCTION("""COMPUTED_VALUE"""),276)</f>
        <v>276</v>
      </c>
      <c r="H163" s="1">
        <f ca="1">IFERROR(__xludf.DUMMYFUNCTION("""COMPUTED_VALUE"""),96)</f>
        <v>96</v>
      </c>
      <c r="I163" s="1">
        <f ca="1">IFERROR(__xludf.DUMMYFUNCTION("""COMPUTED_VALUE"""),48)</f>
        <v>48</v>
      </c>
      <c r="J163" s="1">
        <f ca="1">IFERROR(__xludf.DUMMYFUNCTION("""COMPUTED_VALUE"""),58.6)</f>
        <v>58.6</v>
      </c>
      <c r="K163" s="1">
        <f ca="1">IFERROR(__xludf.DUMMYFUNCTION("""COMPUTED_VALUE"""),342)</f>
        <v>342</v>
      </c>
      <c r="L163" s="1">
        <f ca="1">IFERROR(__xludf.DUMMYFUNCTION("""COMPUTED_VALUE"""),-0.059)</f>
        <v>-5.8999999999999997E-2</v>
      </c>
      <c r="M163" s="1">
        <f ca="1">IFERROR(__xludf.DUMMYFUNCTION("""COMPUTED_VALUE"""),303)</f>
        <v>303</v>
      </c>
      <c r="N163" s="1">
        <f ca="1">IFERROR(__xludf.DUMMYFUNCTION("""COMPUTED_VALUE"""),-6.16)</f>
        <v>-6.16</v>
      </c>
      <c r="O163" s="1">
        <f ca="1">IFERROR(__xludf.DUMMYFUNCTION("""COMPUTED_VALUE"""),309)</f>
        <v>309</v>
      </c>
      <c r="P163" s="1">
        <f ca="1">IFERROR(__xludf.DUMMYFUNCTION("""COMPUTED_VALUE"""),98.2)</f>
        <v>98.2</v>
      </c>
      <c r="Q163" s="1">
        <f ca="1">IFERROR(__xludf.DUMMYFUNCTION("""COMPUTED_VALUE"""),329)</f>
        <v>329</v>
      </c>
      <c r="R163" s="1">
        <f ca="1">IFERROR(__xludf.DUMMYFUNCTION("""COMPUTED_VALUE"""),104.4)</f>
        <v>104.4</v>
      </c>
      <c r="S163" s="1">
        <f ca="1">IFERROR(__xludf.DUMMYFUNCTION("""COMPUTED_VALUE"""),217)</f>
        <v>217</v>
      </c>
      <c r="T163" s="1">
        <f ca="1">IFERROR(__xludf.DUMMYFUNCTION("""COMPUTED_VALUE"""),-3.79)</f>
        <v>-3.79</v>
      </c>
      <c r="U163" s="1">
        <f ca="1">IFERROR(__xludf.DUMMYFUNCTION("""COMPUTED_VALUE"""),260)</f>
        <v>260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IFERROR(__xludf.DUMMYFUNCTION("""COMPUTED_VALUE"""),"Idaho")</f>
        <v>Idaho</v>
      </c>
      <c r="C164" s="1" t="str">
        <f ca="1">IFERROR(__xludf.DUMMYFUNCTION("""COMPUTED_VALUE"""),"WAC")</f>
        <v>WAC</v>
      </c>
      <c r="D164" s="1" t="str">
        <f ca="1">IFERROR(__xludf.DUMMYFUNCTION("""COMPUTED_VALUE"""),"19-14")</f>
        <v>19-14</v>
      </c>
      <c r="E164" s="1" t="str">
        <f ca="1">IFERROR(__xludf.DUMMYFUNCTION("""COMPUTED_VALUE"""),"+1.29")</f>
        <v>+1.29</v>
      </c>
      <c r="F164" s="1">
        <f ca="1">IFERROR(__xludf.DUMMYFUNCTION("""COMPUTED_VALUE"""),106.6)</f>
        <v>106.6</v>
      </c>
      <c r="G164" s="1">
        <f ca="1">IFERROR(__xludf.DUMMYFUNCTION("""COMPUTED_VALUE"""),103)</f>
        <v>103</v>
      </c>
      <c r="H164" s="1">
        <f ca="1">IFERROR(__xludf.DUMMYFUNCTION("""COMPUTED_VALUE"""),105.3)</f>
        <v>105.3</v>
      </c>
      <c r="I164" s="1">
        <f ca="1">IFERROR(__xludf.DUMMYFUNCTION("""COMPUTED_VALUE"""),226)</f>
        <v>226</v>
      </c>
      <c r="J164" s="1">
        <f ca="1">IFERROR(__xludf.DUMMYFUNCTION("""COMPUTED_VALUE"""),62.5)</f>
        <v>62.5</v>
      </c>
      <c r="K164" s="1">
        <f ca="1">IFERROR(__xludf.DUMMYFUNCTION("""COMPUTED_VALUE"""),282)</f>
        <v>282</v>
      </c>
      <c r="L164" s="1" t="str">
        <f ca="1">IFERROR(__xludf.DUMMYFUNCTION("""COMPUTED_VALUE"""),"+.012")</f>
        <v>+.012</v>
      </c>
      <c r="M164" s="1">
        <f ca="1">IFERROR(__xludf.DUMMYFUNCTION("""COMPUTED_VALUE"""),141)</f>
        <v>141</v>
      </c>
      <c r="N164" s="1">
        <f ca="1">IFERROR(__xludf.DUMMYFUNCTION("""COMPUTED_VALUE"""),-0.77)</f>
        <v>-0.77</v>
      </c>
      <c r="O164" s="1">
        <f ca="1">IFERROR(__xludf.DUMMYFUNCTION("""COMPUTED_VALUE"""),172)</f>
        <v>172</v>
      </c>
      <c r="P164" s="1">
        <f ca="1">IFERROR(__xludf.DUMMYFUNCTION("""COMPUTED_VALUE"""),103.7)</f>
        <v>103.7</v>
      </c>
      <c r="Q164" s="1">
        <f ca="1">IFERROR(__xludf.DUMMYFUNCTION("""COMPUTED_VALUE"""),131)</f>
        <v>131</v>
      </c>
      <c r="R164" s="1">
        <f ca="1">IFERROR(__xludf.DUMMYFUNCTION("""COMPUTED_VALUE"""),104.5)</f>
        <v>104.5</v>
      </c>
      <c r="S164" s="1">
        <f ca="1">IFERROR(__xludf.DUMMYFUNCTION("""COMPUTED_VALUE"""),221)</f>
        <v>221</v>
      </c>
      <c r="T164" s="1">
        <f ca="1">IFERROR(__xludf.DUMMYFUNCTION("""COMPUTED_VALUE"""),-1.9)</f>
        <v>-1.9</v>
      </c>
      <c r="U164" s="1">
        <f ca="1">IFERROR(__xludf.DUMMYFUNCTION("""COMPUTED_VALUE"""),213)</f>
        <v>213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IFERROR(__xludf.DUMMYFUNCTION("""COMPUTED_VALUE"""),"St. John's")</f>
        <v>St. John's</v>
      </c>
      <c r="C165" s="1" t="str">
        <f ca="1">IFERROR(__xludf.DUMMYFUNCTION("""COMPUTED_VALUE"""),"BE")</f>
        <v>BE</v>
      </c>
      <c r="D165" s="1" t="str">
        <f ca="1">IFERROR(__xludf.DUMMYFUNCTION("""COMPUTED_VALUE"""),"13-19")</f>
        <v>13-19</v>
      </c>
      <c r="E165" s="1" t="str">
        <f ca="1">IFERROR(__xludf.DUMMYFUNCTION("""COMPUTED_VALUE"""),"+1.20")</f>
        <v>+1.20</v>
      </c>
      <c r="F165" s="1">
        <f ca="1">IFERROR(__xludf.DUMMYFUNCTION("""COMPUTED_VALUE"""),103.9)</f>
        <v>103.9</v>
      </c>
      <c r="G165" s="1">
        <f ca="1">IFERROR(__xludf.DUMMYFUNCTION("""COMPUTED_VALUE"""),152)</f>
        <v>152</v>
      </c>
      <c r="H165" s="1">
        <f ca="1">IFERROR(__xludf.DUMMYFUNCTION("""COMPUTED_VALUE"""),102.7)</f>
        <v>102.7</v>
      </c>
      <c r="I165" s="1">
        <f ca="1">IFERROR(__xludf.DUMMYFUNCTION("""COMPUTED_VALUE"""),168)</f>
        <v>168</v>
      </c>
      <c r="J165" s="1">
        <f ca="1">IFERROR(__xludf.DUMMYFUNCTION("""COMPUTED_VALUE"""),66.2)</f>
        <v>66.2</v>
      </c>
      <c r="K165" s="1">
        <f ca="1">IFERROR(__xludf.DUMMYFUNCTION("""COMPUTED_VALUE"""),112)</f>
        <v>112</v>
      </c>
      <c r="L165" s="1" t="str">
        <f ca="1">IFERROR(__xludf.DUMMYFUNCTION("""COMPUTED_VALUE"""),"+.033")</f>
        <v>+.033</v>
      </c>
      <c r="M165" s="1">
        <f ca="1">IFERROR(__xludf.DUMMYFUNCTION("""COMPUTED_VALUE"""),85)</f>
        <v>85</v>
      </c>
      <c r="N165" s="1" t="str">
        <f ca="1">IFERROR(__xludf.DUMMYFUNCTION("""COMPUTED_VALUE"""),"+7.19")</f>
        <v>+7.19</v>
      </c>
      <c r="O165" s="1">
        <f ca="1">IFERROR(__xludf.DUMMYFUNCTION("""COMPUTED_VALUE"""),33)</f>
        <v>33</v>
      </c>
      <c r="P165" s="1">
        <f ca="1">IFERROR(__xludf.DUMMYFUNCTION("""COMPUTED_VALUE"""),106.7)</f>
        <v>106.7</v>
      </c>
      <c r="Q165" s="1">
        <f ca="1">IFERROR(__xludf.DUMMYFUNCTION("""COMPUTED_VALUE"""),38)</f>
        <v>38</v>
      </c>
      <c r="R165" s="1">
        <f ca="1">IFERROR(__xludf.DUMMYFUNCTION("""COMPUTED_VALUE"""),99.5)</f>
        <v>99.5</v>
      </c>
      <c r="S165" s="1">
        <f ca="1">IFERROR(__xludf.DUMMYFUNCTION("""COMPUTED_VALUE"""),30)</f>
        <v>30</v>
      </c>
      <c r="T165" s="1">
        <f ca="1">IFERROR(__xludf.DUMMYFUNCTION("""COMPUTED_VALUE"""),-2.66)</f>
        <v>-2.66</v>
      </c>
      <c r="U165" s="1">
        <f ca="1">IFERROR(__xludf.DUMMYFUNCTION("""COMPUTED_VALUE"""),235)</f>
        <v>235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IFERROR(__xludf.DUMMYFUNCTION("""COMPUTED_VALUE"""),"Yale")</f>
        <v>Yale</v>
      </c>
      <c r="C166" s="1" t="str">
        <f ca="1">IFERROR(__xludf.DUMMYFUNCTION("""COMPUTED_VALUE"""),"Ivy")</f>
        <v>Ivy</v>
      </c>
      <c r="D166" s="1" t="str">
        <f ca="1">IFERROR(__xludf.DUMMYFUNCTION("""COMPUTED_VALUE"""),"19-10")</f>
        <v>19-10</v>
      </c>
      <c r="E166" s="1" t="str">
        <f ca="1">IFERROR(__xludf.DUMMYFUNCTION("""COMPUTED_VALUE"""),"+1.09")</f>
        <v>+1.09</v>
      </c>
      <c r="F166" s="1">
        <f ca="1">IFERROR(__xludf.DUMMYFUNCTION("""COMPUTED_VALUE"""),101.2)</f>
        <v>101.2</v>
      </c>
      <c r="G166" s="1">
        <f ca="1">IFERROR(__xludf.DUMMYFUNCTION("""COMPUTED_VALUE"""),202)</f>
        <v>202</v>
      </c>
      <c r="H166" s="1">
        <f ca="1">IFERROR(__xludf.DUMMYFUNCTION("""COMPUTED_VALUE"""),100.1)</f>
        <v>100.1</v>
      </c>
      <c r="I166" s="1">
        <f ca="1">IFERROR(__xludf.DUMMYFUNCTION("""COMPUTED_VALUE"""),118)</f>
        <v>118</v>
      </c>
      <c r="J166" s="1">
        <f ca="1">IFERROR(__xludf.DUMMYFUNCTION("""COMPUTED_VALUE"""),66.3)</f>
        <v>66.3</v>
      </c>
      <c r="K166" s="1">
        <f ca="1">IFERROR(__xludf.DUMMYFUNCTION("""COMPUTED_VALUE"""),110)</f>
        <v>110</v>
      </c>
      <c r="L166" s="1" t="str">
        <f ca="1">IFERROR(__xludf.DUMMYFUNCTION("""COMPUTED_VALUE"""),"+.099")</f>
        <v>+.099</v>
      </c>
      <c r="M166" s="1">
        <f ca="1">IFERROR(__xludf.DUMMYFUNCTION("""COMPUTED_VALUE"""),11)</f>
        <v>11</v>
      </c>
      <c r="N166" s="1">
        <f ca="1">IFERROR(__xludf.DUMMYFUNCTION("""COMPUTED_VALUE"""),-1.39)</f>
        <v>-1.39</v>
      </c>
      <c r="O166" s="1">
        <f ca="1">IFERROR(__xludf.DUMMYFUNCTION("""COMPUTED_VALUE"""),184)</f>
        <v>184</v>
      </c>
      <c r="P166" s="1">
        <f ca="1">IFERROR(__xludf.DUMMYFUNCTION("""COMPUTED_VALUE"""),101.6)</f>
        <v>101.6</v>
      </c>
      <c r="Q166" s="1">
        <f ca="1">IFERROR(__xludf.DUMMYFUNCTION("""COMPUTED_VALUE"""),237)</f>
        <v>237</v>
      </c>
      <c r="R166" s="1">
        <f ca="1">IFERROR(__xludf.DUMMYFUNCTION("""COMPUTED_VALUE"""),103)</f>
        <v>103</v>
      </c>
      <c r="S166" s="1">
        <f ca="1">IFERROR(__xludf.DUMMYFUNCTION("""COMPUTED_VALUE"""),160)</f>
        <v>160</v>
      </c>
      <c r="T166" s="1">
        <f ca="1">IFERROR(__xludf.DUMMYFUNCTION("""COMPUTED_VALUE"""),-1.53)</f>
        <v>-1.53</v>
      </c>
      <c r="U166" s="1">
        <f ca="1">IFERROR(__xludf.DUMMYFUNCTION("""COMPUTED_VALUE"""),200)</f>
        <v>200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IFERROR(__xludf.DUMMYFUNCTION("""COMPUTED_VALUE"""),"Cal St. Fullerton")</f>
        <v>Cal St. Fullerton</v>
      </c>
      <c r="C167" s="1" t="str">
        <f ca="1">IFERROR(__xludf.DUMMYFUNCTION("""COMPUTED_VALUE"""),"BW")</f>
        <v>BW</v>
      </c>
      <c r="D167" s="1" t="str">
        <f ca="1">IFERROR(__xludf.DUMMYFUNCTION("""COMPUTED_VALUE"""),"21-10")</f>
        <v>21-10</v>
      </c>
      <c r="E167" s="1" t="str">
        <f ca="1">IFERROR(__xludf.DUMMYFUNCTION("""COMPUTED_VALUE"""),"+0.90")</f>
        <v>+0.90</v>
      </c>
      <c r="F167" s="1">
        <f ca="1">IFERROR(__xludf.DUMMYFUNCTION("""COMPUTED_VALUE"""),109.1)</f>
        <v>109.1</v>
      </c>
      <c r="G167" s="1">
        <f ca="1">IFERROR(__xludf.DUMMYFUNCTION("""COMPUTED_VALUE"""),69)</f>
        <v>69</v>
      </c>
      <c r="H167" s="1">
        <f ca="1">IFERROR(__xludf.DUMMYFUNCTION("""COMPUTED_VALUE"""),108.2)</f>
        <v>108.2</v>
      </c>
      <c r="I167" s="1">
        <f ca="1">IFERROR(__xludf.DUMMYFUNCTION("""COMPUTED_VALUE"""),276)</f>
        <v>276</v>
      </c>
      <c r="J167" s="1">
        <f ca="1">IFERROR(__xludf.DUMMYFUNCTION("""COMPUTED_VALUE"""),68.3)</f>
        <v>68.3</v>
      </c>
      <c r="K167" s="1">
        <f ca="1">IFERROR(__xludf.DUMMYFUNCTION("""COMPUTED_VALUE"""),36)</f>
        <v>36</v>
      </c>
      <c r="L167" s="1" t="str">
        <f ca="1">IFERROR(__xludf.DUMMYFUNCTION("""COMPUTED_VALUE"""),"+.006")</f>
        <v>+.006</v>
      </c>
      <c r="M167" s="1">
        <f ca="1">IFERROR(__xludf.DUMMYFUNCTION("""COMPUTED_VALUE"""),156)</f>
        <v>156</v>
      </c>
      <c r="N167" s="1">
        <f ca="1">IFERROR(__xludf.DUMMYFUNCTION("""COMPUTED_VALUE"""),-6.6)</f>
        <v>-6.6</v>
      </c>
      <c r="O167" s="1">
        <f ca="1">IFERROR(__xludf.DUMMYFUNCTION("""COMPUTED_VALUE"""),316)</f>
        <v>316</v>
      </c>
      <c r="P167" s="1">
        <f ca="1">IFERROR(__xludf.DUMMYFUNCTION("""COMPUTED_VALUE"""),100)</f>
        <v>100</v>
      </c>
      <c r="Q167" s="1">
        <f ca="1">IFERROR(__xludf.DUMMYFUNCTION("""COMPUTED_VALUE"""),302)</f>
        <v>302</v>
      </c>
      <c r="R167" s="1">
        <f ca="1">IFERROR(__xludf.DUMMYFUNCTION("""COMPUTED_VALUE"""),106.6)</f>
        <v>106.6</v>
      </c>
      <c r="S167" s="1">
        <f ca="1">IFERROR(__xludf.DUMMYFUNCTION("""COMPUTED_VALUE"""),327)</f>
        <v>327</v>
      </c>
      <c r="T167" s="1">
        <f ca="1">IFERROR(__xludf.DUMMYFUNCTION("""COMPUTED_VALUE"""),-8.72)</f>
        <v>-8.7200000000000006</v>
      </c>
      <c r="U167" s="1">
        <f ca="1">IFERROR(__xludf.DUMMYFUNCTION("""COMPUTED_VALUE"""),334)</f>
        <v>334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IFERROR(__xludf.DUMMYFUNCTION("""COMPUTED_VALUE"""),"College of Charleston")</f>
        <v>College of Charleston</v>
      </c>
      <c r="C168" s="1" t="str">
        <f ca="1">IFERROR(__xludf.DUMMYFUNCTION("""COMPUTED_VALUE"""),"SC")</f>
        <v>SC</v>
      </c>
      <c r="D168" s="1" t="str">
        <f ca="1">IFERROR(__xludf.DUMMYFUNCTION("""COMPUTED_VALUE"""),"19-12")</f>
        <v>19-12</v>
      </c>
      <c r="E168" s="1" t="str">
        <f ca="1">IFERROR(__xludf.DUMMYFUNCTION("""COMPUTED_VALUE"""),"+0.84")</f>
        <v>+0.84</v>
      </c>
      <c r="F168" s="1">
        <f ca="1">IFERROR(__xludf.DUMMYFUNCTION("""COMPUTED_VALUE"""),102.4)</f>
        <v>102.4</v>
      </c>
      <c r="G168" s="1">
        <f ca="1">IFERROR(__xludf.DUMMYFUNCTION("""COMPUTED_VALUE"""),176)</f>
        <v>176</v>
      </c>
      <c r="H168" s="1">
        <f ca="1">IFERROR(__xludf.DUMMYFUNCTION("""COMPUTED_VALUE"""),101.6)</f>
        <v>101.6</v>
      </c>
      <c r="I168" s="1">
        <f ca="1">IFERROR(__xludf.DUMMYFUNCTION("""COMPUTED_VALUE"""),147)</f>
        <v>147</v>
      </c>
      <c r="J168" s="1">
        <f ca="1">IFERROR(__xludf.DUMMYFUNCTION("""COMPUTED_VALUE"""),66.4)</f>
        <v>66.400000000000006</v>
      </c>
      <c r="K168" s="1">
        <f ca="1">IFERROR(__xludf.DUMMYFUNCTION("""COMPUTED_VALUE"""),106)</f>
        <v>106</v>
      </c>
      <c r="L168" s="1" t="str">
        <f ca="1">IFERROR(__xludf.DUMMYFUNCTION("""COMPUTED_VALUE"""),"+.030")</f>
        <v>+.030</v>
      </c>
      <c r="M168" s="1">
        <f ca="1">IFERROR(__xludf.DUMMYFUNCTION("""COMPUTED_VALUE"""),94)</f>
        <v>94</v>
      </c>
      <c r="N168" s="1">
        <f ca="1">IFERROR(__xludf.DUMMYFUNCTION("""COMPUTED_VALUE"""),-3.23)</f>
        <v>-3.23</v>
      </c>
      <c r="O168" s="1">
        <f ca="1">IFERROR(__xludf.DUMMYFUNCTION("""COMPUTED_VALUE"""),239)</f>
        <v>239</v>
      </c>
      <c r="P168" s="1">
        <f ca="1">IFERROR(__xludf.DUMMYFUNCTION("""COMPUTED_VALUE"""),101.2)</f>
        <v>101.2</v>
      </c>
      <c r="Q168" s="1">
        <f ca="1">IFERROR(__xludf.DUMMYFUNCTION("""COMPUTED_VALUE"""),249)</f>
        <v>249</v>
      </c>
      <c r="R168" s="1">
        <f ca="1">IFERROR(__xludf.DUMMYFUNCTION("""COMPUTED_VALUE"""),104.5)</f>
        <v>104.5</v>
      </c>
      <c r="S168" s="1">
        <f ca="1">IFERROR(__xludf.DUMMYFUNCTION("""COMPUTED_VALUE"""),224)</f>
        <v>224</v>
      </c>
      <c r="T168" s="1" t="str">
        <f ca="1">IFERROR(__xludf.DUMMYFUNCTION("""COMPUTED_VALUE"""),"+4.05")</f>
        <v>+4.05</v>
      </c>
      <c r="U168" s="1">
        <f ca="1">IFERROR(__xludf.DUMMYFUNCTION("""COMPUTED_VALUE"""),60)</f>
        <v>60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IFERROR(__xludf.DUMMYFUNCTION("""COMPUTED_VALUE"""),"TCU")</f>
        <v>TCU</v>
      </c>
      <c r="C171" s="1" t="str">
        <f ca="1">IFERROR(__xludf.DUMMYFUNCTION("""COMPUTED_VALUE"""),"MWC")</f>
        <v>MWC</v>
      </c>
      <c r="D171" s="1" t="str">
        <f ca="1">IFERROR(__xludf.DUMMYFUNCTION("""COMPUTED_VALUE"""),"18-15")</f>
        <v>18-15</v>
      </c>
      <c r="E171" s="1" t="str">
        <f ca="1">IFERROR(__xludf.DUMMYFUNCTION("""COMPUTED_VALUE"""),"+0.76")</f>
        <v>+0.76</v>
      </c>
      <c r="F171" s="1">
        <f ca="1">IFERROR(__xludf.DUMMYFUNCTION("""COMPUTED_VALUE"""),106.3)</f>
        <v>106.3</v>
      </c>
      <c r="G171" s="1">
        <f ca="1">IFERROR(__xludf.DUMMYFUNCTION("""COMPUTED_VALUE"""),109)</f>
        <v>109</v>
      </c>
      <c r="H171" s="1">
        <f ca="1">IFERROR(__xludf.DUMMYFUNCTION("""COMPUTED_VALUE"""),105.6)</f>
        <v>105.6</v>
      </c>
      <c r="I171" s="1">
        <f ca="1">IFERROR(__xludf.DUMMYFUNCTION("""COMPUTED_VALUE"""),232)</f>
        <v>232</v>
      </c>
      <c r="J171" s="1">
        <f ca="1">IFERROR(__xludf.DUMMYFUNCTION("""COMPUTED_VALUE"""),67.9)</f>
        <v>67.900000000000006</v>
      </c>
      <c r="K171" s="1">
        <f ca="1">IFERROR(__xludf.DUMMYFUNCTION("""COMPUTED_VALUE"""),48)</f>
        <v>48</v>
      </c>
      <c r="L171" s="1" t="str">
        <f ca="1">IFERROR(__xludf.DUMMYFUNCTION("""COMPUTED_VALUE"""),"+.085")</f>
        <v>+.085</v>
      </c>
      <c r="M171" s="1">
        <f ca="1">IFERROR(__xludf.DUMMYFUNCTION("""COMPUTED_VALUE"""),17)</f>
        <v>17</v>
      </c>
      <c r="N171" s="1" t="str">
        <f ca="1">IFERROR(__xludf.DUMMYFUNCTION("""COMPUTED_VALUE"""),"+3.00")</f>
        <v>+3.00</v>
      </c>
      <c r="O171" s="1">
        <f ca="1">IFERROR(__xludf.DUMMYFUNCTION("""COMPUTED_VALUE"""),100)</f>
        <v>100</v>
      </c>
      <c r="P171" s="1">
        <f ca="1">IFERROR(__xludf.DUMMYFUNCTION("""COMPUTED_VALUE"""),103.7)</f>
        <v>103.7</v>
      </c>
      <c r="Q171" s="1">
        <f ca="1">IFERROR(__xludf.DUMMYFUNCTION("""COMPUTED_VALUE"""),128)</f>
        <v>128</v>
      </c>
      <c r="R171" s="1">
        <f ca="1">IFERROR(__xludf.DUMMYFUNCTION("""COMPUTED_VALUE"""),100.7)</f>
        <v>100.7</v>
      </c>
      <c r="S171" s="1">
        <f ca="1">IFERROR(__xludf.DUMMYFUNCTION("""COMPUTED_VALUE"""),73)</f>
        <v>73</v>
      </c>
      <c r="T171" s="1">
        <f ca="1">IFERROR(__xludf.DUMMYFUNCTION("""COMPUTED_VALUE"""),-2.58)</f>
        <v>-2.58</v>
      </c>
      <c r="U171" s="1">
        <f ca="1">IFERROR(__xludf.DUMMYFUNCTION("""COMPUTED_VALUE"""),233)</f>
        <v>233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IFERROR(__xludf.DUMMYFUNCTION("""COMPUTED_VALUE"""),"LIU Brooklyn16")</f>
        <v>LIU Brooklyn16</v>
      </c>
      <c r="C172" s="1" t="str">
        <f ca="1">IFERROR(__xludf.DUMMYFUNCTION("""COMPUTED_VALUE"""),"NEC")</f>
        <v>NEC</v>
      </c>
      <c r="D172" s="1" t="str">
        <f ca="1">IFERROR(__xludf.DUMMYFUNCTION("""COMPUTED_VALUE"""),"25-9")</f>
        <v>25-9</v>
      </c>
      <c r="E172" s="1" t="str">
        <f ca="1">IFERROR(__xludf.DUMMYFUNCTION("""COMPUTED_VALUE"""),"+0.75")</f>
        <v>+0.75</v>
      </c>
      <c r="F172" s="1">
        <f ca="1">IFERROR(__xludf.DUMMYFUNCTION("""COMPUTED_VALUE"""),108.7)</f>
        <v>108.7</v>
      </c>
      <c r="G172" s="1">
        <f ca="1">IFERROR(__xludf.DUMMYFUNCTION("""COMPUTED_VALUE"""),75)</f>
        <v>75</v>
      </c>
      <c r="H172" s="1">
        <f ca="1">IFERROR(__xludf.DUMMYFUNCTION("""COMPUTED_VALUE"""),107.9)</f>
        <v>107.9</v>
      </c>
      <c r="I172" s="1">
        <f ca="1">IFERROR(__xludf.DUMMYFUNCTION("""COMPUTED_VALUE"""),272)</f>
        <v>272</v>
      </c>
      <c r="J172" s="1">
        <f ca="1">IFERROR(__xludf.DUMMYFUNCTION("""COMPUTED_VALUE"""),73.4)</f>
        <v>73.400000000000006</v>
      </c>
      <c r="K172" s="1">
        <f ca="1">IFERROR(__xludf.DUMMYFUNCTION("""COMPUTED_VALUE"""),2)</f>
        <v>2</v>
      </c>
      <c r="L172" s="1" t="str">
        <f ca="1">IFERROR(__xludf.DUMMYFUNCTION("""COMPUTED_VALUE"""),"+.117")</f>
        <v>+.117</v>
      </c>
      <c r="M172" s="1">
        <f ca="1">IFERROR(__xludf.DUMMYFUNCTION("""COMPUTED_VALUE"""),5)</f>
        <v>5</v>
      </c>
      <c r="N172" s="1">
        <f ca="1">IFERROR(__xludf.DUMMYFUNCTION("""COMPUTED_VALUE"""),-5.25)</f>
        <v>-5.25</v>
      </c>
      <c r="O172" s="1">
        <f ca="1">IFERROR(__xludf.DUMMYFUNCTION("""COMPUTED_VALUE"""),291)</f>
        <v>291</v>
      </c>
      <c r="P172" s="1">
        <f ca="1">IFERROR(__xludf.DUMMYFUNCTION("""COMPUTED_VALUE"""),99.8)</f>
        <v>99.8</v>
      </c>
      <c r="Q172" s="1">
        <f ca="1">IFERROR(__xludf.DUMMYFUNCTION("""COMPUTED_VALUE"""),306)</f>
        <v>306</v>
      </c>
      <c r="R172" s="1">
        <f ca="1">IFERROR(__xludf.DUMMYFUNCTION("""COMPUTED_VALUE"""),105)</f>
        <v>105</v>
      </c>
      <c r="S172" s="1">
        <f ca="1">IFERROR(__xludf.DUMMYFUNCTION("""COMPUTED_VALUE"""),256)</f>
        <v>256</v>
      </c>
      <c r="T172" s="1">
        <f ca="1">IFERROR(__xludf.DUMMYFUNCTION("""COMPUTED_VALUE"""),-2.27)</f>
        <v>-2.27</v>
      </c>
      <c r="U172" s="1">
        <f ca="1">IFERROR(__xludf.DUMMYFUNCTION("""COMPUTED_VALUE"""),225)</f>
        <v>225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IFERROR(__xludf.DUMMYFUNCTION("""COMPUTED_VALUE"""),"North Dakota St.")</f>
        <v>North Dakota St.</v>
      </c>
      <c r="C173" s="1" t="str">
        <f ca="1">IFERROR(__xludf.DUMMYFUNCTION("""COMPUTED_VALUE"""),"Sum")</f>
        <v>Sum</v>
      </c>
      <c r="D173" s="1" t="str">
        <f ca="1">IFERROR(__xludf.DUMMYFUNCTION("""COMPUTED_VALUE"""),"17-14")</f>
        <v>17-14</v>
      </c>
      <c r="E173" s="1" t="str">
        <f ca="1">IFERROR(__xludf.DUMMYFUNCTION("""COMPUTED_VALUE"""),"+0.69")</f>
        <v>+0.69</v>
      </c>
      <c r="F173" s="1">
        <f ca="1">IFERROR(__xludf.DUMMYFUNCTION("""COMPUTED_VALUE"""),106)</f>
        <v>106</v>
      </c>
      <c r="G173" s="1">
        <f ca="1">IFERROR(__xludf.DUMMYFUNCTION("""COMPUTED_VALUE"""),116)</f>
        <v>116</v>
      </c>
      <c r="H173" s="1">
        <f ca="1">IFERROR(__xludf.DUMMYFUNCTION("""COMPUTED_VALUE"""),105.4)</f>
        <v>105.4</v>
      </c>
      <c r="I173" s="1">
        <f ca="1">IFERROR(__xludf.DUMMYFUNCTION("""COMPUTED_VALUE"""),228)</f>
        <v>228</v>
      </c>
      <c r="J173" s="1">
        <f ca="1">IFERROR(__xludf.DUMMYFUNCTION("""COMPUTED_VALUE"""),66)</f>
        <v>66</v>
      </c>
      <c r="K173" s="1">
        <f ca="1">IFERROR(__xludf.DUMMYFUNCTION("""COMPUTED_VALUE"""),124)</f>
        <v>124</v>
      </c>
      <c r="L173" s="1">
        <f ca="1">IFERROR(__xludf.DUMMYFUNCTION("""COMPUTED_VALUE"""),-0.055)</f>
        <v>-5.5E-2</v>
      </c>
      <c r="M173" s="1">
        <f ca="1">IFERROR(__xludf.DUMMYFUNCTION("""COMPUTED_VALUE"""),297)</f>
        <v>297</v>
      </c>
      <c r="N173" s="1">
        <f ca="1">IFERROR(__xludf.DUMMYFUNCTION("""COMPUTED_VALUE"""),-3.33)</f>
        <v>-3.33</v>
      </c>
      <c r="O173" s="1">
        <f ca="1">IFERROR(__xludf.DUMMYFUNCTION("""COMPUTED_VALUE"""),243)</f>
        <v>243</v>
      </c>
      <c r="P173" s="1">
        <f ca="1">IFERROR(__xludf.DUMMYFUNCTION("""COMPUTED_VALUE"""),102.6)</f>
        <v>102.6</v>
      </c>
      <c r="Q173" s="1">
        <f ca="1">IFERROR(__xludf.DUMMYFUNCTION("""COMPUTED_VALUE"""),178)</f>
        <v>178</v>
      </c>
      <c r="R173" s="1">
        <f ca="1">IFERROR(__xludf.DUMMYFUNCTION("""COMPUTED_VALUE"""),105.9)</f>
        <v>105.9</v>
      </c>
      <c r="S173" s="1">
        <f ca="1">IFERROR(__xludf.DUMMYFUNCTION("""COMPUTED_VALUE"""),300)</f>
        <v>300</v>
      </c>
      <c r="T173" s="1">
        <f ca="1">IFERROR(__xludf.DUMMYFUNCTION("""COMPUTED_VALUE"""),-5.53)</f>
        <v>-5.53</v>
      </c>
      <c r="U173" s="1">
        <f ca="1">IFERROR(__xludf.DUMMYFUNCTION("""COMPUTED_VALUE"""),306)</f>
        <v>306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IFERROR(__xludf.DUMMYFUNCTION("""COMPUTED_VALUE"""),"South Carolina")</f>
        <v>South Carolina</v>
      </c>
      <c r="C174" s="1" t="str">
        <f ca="1">IFERROR(__xludf.DUMMYFUNCTION("""COMPUTED_VALUE"""),"SEC")</f>
        <v>SEC</v>
      </c>
      <c r="D174" s="2">
        <f ca="1">IFERROR(__xludf.DUMMYFUNCTION("""COMPUTED_VALUE"""),44855)</f>
        <v>44855</v>
      </c>
      <c r="E174" s="1" t="str">
        <f ca="1">IFERROR(__xludf.DUMMYFUNCTION("""COMPUTED_VALUE"""),"+0.63")</f>
        <v>+0.63</v>
      </c>
      <c r="F174" s="1">
        <f ca="1">IFERROR(__xludf.DUMMYFUNCTION("""COMPUTED_VALUE"""),103.5)</f>
        <v>103.5</v>
      </c>
      <c r="G174" s="1">
        <f ca="1">IFERROR(__xludf.DUMMYFUNCTION("""COMPUTED_VALUE"""),157)</f>
        <v>157</v>
      </c>
      <c r="H174" s="1">
        <f ca="1">IFERROR(__xludf.DUMMYFUNCTION("""COMPUTED_VALUE"""),102.9)</f>
        <v>102.9</v>
      </c>
      <c r="I174" s="1">
        <f ca="1">IFERROR(__xludf.DUMMYFUNCTION("""COMPUTED_VALUE"""),174)</f>
        <v>174</v>
      </c>
      <c r="J174" s="1">
        <f ca="1">IFERROR(__xludf.DUMMYFUNCTION("""COMPUTED_VALUE"""),61.7)</f>
        <v>61.7</v>
      </c>
      <c r="K174" s="1">
        <f ca="1">IFERROR(__xludf.DUMMYFUNCTION("""COMPUTED_VALUE"""),308)</f>
        <v>308</v>
      </c>
      <c r="L174" s="1">
        <f ca="1">IFERROR(__xludf.DUMMYFUNCTION("""COMPUTED_VALUE"""),-0.069)</f>
        <v>-6.9000000000000006E-2</v>
      </c>
      <c r="M174" s="1">
        <f ca="1">IFERROR(__xludf.DUMMYFUNCTION("""COMPUTED_VALUE"""),317)</f>
        <v>317</v>
      </c>
      <c r="N174" s="1" t="str">
        <f ca="1">IFERROR(__xludf.DUMMYFUNCTION("""COMPUTED_VALUE"""),"+5.90")</f>
        <v>+5.90</v>
      </c>
      <c r="O174" s="1">
        <f ca="1">IFERROR(__xludf.DUMMYFUNCTION("""COMPUTED_VALUE"""),50)</f>
        <v>50</v>
      </c>
      <c r="P174" s="1">
        <f ca="1">IFERROR(__xludf.DUMMYFUNCTION("""COMPUTED_VALUE"""),105.5)</f>
        <v>105.5</v>
      </c>
      <c r="Q174" s="1">
        <f ca="1">IFERROR(__xludf.DUMMYFUNCTION("""COMPUTED_VALUE"""),63)</f>
        <v>63</v>
      </c>
      <c r="R174" s="1">
        <f ca="1">IFERROR(__xludf.DUMMYFUNCTION("""COMPUTED_VALUE"""),99.6)</f>
        <v>99.6</v>
      </c>
      <c r="S174" s="1">
        <f ca="1">IFERROR(__xludf.DUMMYFUNCTION("""COMPUTED_VALUE"""),34)</f>
        <v>34</v>
      </c>
      <c r="T174" s="1">
        <f ca="1">IFERROR(__xludf.DUMMYFUNCTION("""COMPUTED_VALUE"""),-5.23)</f>
        <v>-5.23</v>
      </c>
      <c r="U174" s="1">
        <f ca="1">IFERROR(__xludf.DUMMYFUNCTION("""COMPUTED_VALUE"""),301)</f>
        <v>301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IFERROR(__xludf.DUMMYFUNCTION("""COMPUTED_VALUE"""),"Youngstown St.")</f>
        <v>Youngstown St.</v>
      </c>
      <c r="C175" s="1" t="str">
        <f ca="1">IFERROR(__xludf.DUMMYFUNCTION("""COMPUTED_VALUE"""),"Horz")</f>
        <v>Horz</v>
      </c>
      <c r="D175" s="1" t="str">
        <f ca="1">IFERROR(__xludf.DUMMYFUNCTION("""COMPUTED_VALUE"""),"16-15")</f>
        <v>16-15</v>
      </c>
      <c r="E175" s="1" t="str">
        <f ca="1">IFERROR(__xludf.DUMMYFUNCTION("""COMPUTED_VALUE"""),"+0.59")</f>
        <v>+0.59</v>
      </c>
      <c r="F175" s="1">
        <f ca="1">IFERROR(__xludf.DUMMYFUNCTION("""COMPUTED_VALUE"""),106.3)</f>
        <v>106.3</v>
      </c>
      <c r="G175" s="1">
        <f ca="1">IFERROR(__xludf.DUMMYFUNCTION("""COMPUTED_VALUE"""),108)</f>
        <v>108</v>
      </c>
      <c r="H175" s="1">
        <f ca="1">IFERROR(__xludf.DUMMYFUNCTION("""COMPUTED_VALUE"""),105.8)</f>
        <v>105.8</v>
      </c>
      <c r="I175" s="1">
        <f ca="1">IFERROR(__xludf.DUMMYFUNCTION("""COMPUTED_VALUE"""),234)</f>
        <v>234</v>
      </c>
      <c r="J175" s="1">
        <f ca="1">IFERROR(__xludf.DUMMYFUNCTION("""COMPUTED_VALUE"""),64.4)</f>
        <v>64.400000000000006</v>
      </c>
      <c r="K175" s="1">
        <f ca="1">IFERROR(__xludf.DUMMYFUNCTION("""COMPUTED_VALUE"""),200)</f>
        <v>200</v>
      </c>
      <c r="L175" s="1">
        <f ca="1">IFERROR(__xludf.DUMMYFUNCTION("""COMPUTED_VALUE"""),-0.023)</f>
        <v>-2.3E-2</v>
      </c>
      <c r="M175" s="1">
        <f ca="1">IFERROR(__xludf.DUMMYFUNCTION("""COMPUTED_VALUE"""),228)</f>
        <v>228</v>
      </c>
      <c r="N175" s="1">
        <f ca="1">IFERROR(__xludf.DUMMYFUNCTION("""COMPUTED_VALUE"""),-0.23)</f>
        <v>-0.23</v>
      </c>
      <c r="O175" s="1">
        <f ca="1">IFERROR(__xludf.DUMMYFUNCTION("""COMPUTED_VALUE"""),160)</f>
        <v>160</v>
      </c>
      <c r="P175" s="1">
        <f ca="1">IFERROR(__xludf.DUMMYFUNCTION("""COMPUTED_VALUE"""),101.9)</f>
        <v>101.9</v>
      </c>
      <c r="Q175" s="1">
        <f ca="1">IFERROR(__xludf.DUMMYFUNCTION("""COMPUTED_VALUE"""),218)</f>
        <v>218</v>
      </c>
      <c r="R175" s="1">
        <f ca="1">IFERROR(__xludf.DUMMYFUNCTION("""COMPUTED_VALUE"""),102.1)</f>
        <v>102.1</v>
      </c>
      <c r="S175" s="1">
        <f ca="1">IFERROR(__xludf.DUMMYFUNCTION("""COMPUTED_VALUE"""),130)</f>
        <v>130</v>
      </c>
      <c r="T175" s="1" t="str">
        <f ca="1">IFERROR(__xludf.DUMMYFUNCTION("""COMPUTED_VALUE"""),"+0.95")</f>
        <v>+0.95</v>
      </c>
      <c r="U175" s="1">
        <f ca="1">IFERROR(__xludf.DUMMYFUNCTION("""COMPUTED_VALUE"""),128)</f>
        <v>128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IFERROR(__xludf.DUMMYFUNCTION("""COMPUTED_VALUE"""),"Cal Poly")</f>
        <v>Cal Poly</v>
      </c>
      <c r="C176" s="1" t="str">
        <f ca="1">IFERROR(__xludf.DUMMYFUNCTION("""COMPUTED_VALUE"""),"BW")</f>
        <v>BW</v>
      </c>
      <c r="D176" s="1" t="str">
        <f ca="1">IFERROR(__xludf.DUMMYFUNCTION("""COMPUTED_VALUE"""),"18-15")</f>
        <v>18-15</v>
      </c>
      <c r="E176" s="1" t="str">
        <f ca="1">IFERROR(__xludf.DUMMYFUNCTION("""COMPUTED_VALUE"""),"+0.49")</f>
        <v>+0.49</v>
      </c>
      <c r="F176" s="1">
        <f ca="1">IFERROR(__xludf.DUMMYFUNCTION("""COMPUTED_VALUE"""),104.4)</f>
        <v>104.4</v>
      </c>
      <c r="G176" s="1">
        <f ca="1">IFERROR(__xludf.DUMMYFUNCTION("""COMPUTED_VALUE"""),143)</f>
        <v>143</v>
      </c>
      <c r="H176" s="1">
        <f ca="1">IFERROR(__xludf.DUMMYFUNCTION("""COMPUTED_VALUE"""),103.9)</f>
        <v>103.9</v>
      </c>
      <c r="I176" s="1">
        <f ca="1">IFERROR(__xludf.DUMMYFUNCTION("""COMPUTED_VALUE"""),193)</f>
        <v>193</v>
      </c>
      <c r="J176" s="1">
        <f ca="1">IFERROR(__xludf.DUMMYFUNCTION("""COMPUTED_VALUE"""),59.1)</f>
        <v>59.1</v>
      </c>
      <c r="K176" s="1">
        <f ca="1">IFERROR(__xludf.DUMMYFUNCTION("""COMPUTED_VALUE"""),341)</f>
        <v>341</v>
      </c>
      <c r="L176" s="1">
        <f ca="1">IFERROR(__xludf.DUMMYFUNCTION("""COMPUTED_VALUE"""),-0.07)</f>
        <v>-7.0000000000000007E-2</v>
      </c>
      <c r="M176" s="1">
        <f ca="1">IFERROR(__xludf.DUMMYFUNCTION("""COMPUTED_VALUE"""),318)</f>
        <v>318</v>
      </c>
      <c r="N176" s="1">
        <f ca="1">IFERROR(__xludf.DUMMYFUNCTION("""COMPUTED_VALUE"""),-4.14)</f>
        <v>-4.1399999999999997</v>
      </c>
      <c r="O176" s="1">
        <f ca="1">IFERROR(__xludf.DUMMYFUNCTION("""COMPUTED_VALUE"""),262)</f>
        <v>262</v>
      </c>
      <c r="P176" s="1">
        <f ca="1">IFERROR(__xludf.DUMMYFUNCTION("""COMPUTED_VALUE"""),101.6)</f>
        <v>101.6</v>
      </c>
      <c r="Q176" s="1">
        <f ca="1">IFERROR(__xludf.DUMMYFUNCTION("""COMPUTED_VALUE"""),234)</f>
        <v>234</v>
      </c>
      <c r="R176" s="1">
        <f ca="1">IFERROR(__xludf.DUMMYFUNCTION("""COMPUTED_VALUE"""),105.7)</f>
        <v>105.7</v>
      </c>
      <c r="S176" s="1">
        <f ca="1">IFERROR(__xludf.DUMMYFUNCTION("""COMPUTED_VALUE"""),291)</f>
        <v>291</v>
      </c>
      <c r="T176" s="1">
        <f ca="1">IFERROR(__xludf.DUMMYFUNCTION("""COMPUTED_VALUE"""),-2.58)</f>
        <v>-2.58</v>
      </c>
      <c r="U176" s="1">
        <f ca="1">IFERROR(__xludf.DUMMYFUNCTION("""COMPUTED_VALUE"""),232)</f>
        <v>232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IFERROR(__xludf.DUMMYFUNCTION("""COMPUTED_VALUE"""),"North Texas")</f>
        <v>North Texas</v>
      </c>
      <c r="C177" s="1" t="str">
        <f ca="1">IFERROR(__xludf.DUMMYFUNCTION("""COMPUTED_VALUE"""),"SB")</f>
        <v>SB</v>
      </c>
      <c r="D177" s="1" t="str">
        <f ca="1">IFERROR(__xludf.DUMMYFUNCTION("""COMPUTED_VALUE"""),"18-14")</f>
        <v>18-14</v>
      </c>
      <c r="E177" s="1" t="str">
        <f ca="1">IFERROR(__xludf.DUMMYFUNCTION("""COMPUTED_VALUE"""),"+0.41")</f>
        <v>+0.41</v>
      </c>
      <c r="F177" s="1">
        <f ca="1">IFERROR(__xludf.DUMMYFUNCTION("""COMPUTED_VALUE"""),100.7)</f>
        <v>100.7</v>
      </c>
      <c r="G177" s="1">
        <f ca="1">IFERROR(__xludf.DUMMYFUNCTION("""COMPUTED_VALUE"""),215)</f>
        <v>215</v>
      </c>
      <c r="H177" s="1">
        <f ca="1">IFERROR(__xludf.DUMMYFUNCTION("""COMPUTED_VALUE"""),100.3)</f>
        <v>100.3</v>
      </c>
      <c r="I177" s="1">
        <f ca="1">IFERROR(__xludf.DUMMYFUNCTION("""COMPUTED_VALUE"""),123)</f>
        <v>123</v>
      </c>
      <c r="J177" s="1">
        <f ca="1">IFERROR(__xludf.DUMMYFUNCTION("""COMPUTED_VALUE"""),67.8)</f>
        <v>67.8</v>
      </c>
      <c r="K177" s="1">
        <f ca="1">IFERROR(__xludf.DUMMYFUNCTION("""COMPUTED_VALUE"""),51)</f>
        <v>51</v>
      </c>
      <c r="L177" s="1">
        <f ca="1">IFERROR(__xludf.DUMMYFUNCTION("""COMPUTED_VALUE"""),-0.041)</f>
        <v>-4.1000000000000002E-2</v>
      </c>
      <c r="M177" s="1">
        <f ca="1">IFERROR(__xludf.DUMMYFUNCTION("""COMPUTED_VALUE"""),265)</f>
        <v>265</v>
      </c>
      <c r="N177" s="1">
        <f ca="1">IFERROR(__xludf.DUMMYFUNCTION("""COMPUTED_VALUE"""),-2.66)</f>
        <v>-2.66</v>
      </c>
      <c r="O177" s="1">
        <f ca="1">IFERROR(__xludf.DUMMYFUNCTION("""COMPUTED_VALUE"""),221)</f>
        <v>221</v>
      </c>
      <c r="P177" s="1">
        <f ca="1">IFERROR(__xludf.DUMMYFUNCTION("""COMPUTED_VALUE"""),100.4)</f>
        <v>100.4</v>
      </c>
      <c r="Q177" s="1">
        <f ca="1">IFERROR(__xludf.DUMMYFUNCTION("""COMPUTED_VALUE"""),289)</f>
        <v>289</v>
      </c>
      <c r="R177" s="1">
        <f ca="1">IFERROR(__xludf.DUMMYFUNCTION("""COMPUTED_VALUE"""),103)</f>
        <v>103</v>
      </c>
      <c r="S177" s="1">
        <f ca="1">IFERROR(__xludf.DUMMYFUNCTION("""COMPUTED_VALUE"""),163)</f>
        <v>163</v>
      </c>
      <c r="T177" s="1">
        <f ca="1">IFERROR(__xludf.DUMMYFUNCTION("""COMPUTED_VALUE"""),-1.36)</f>
        <v>-1.36</v>
      </c>
      <c r="U177" s="1">
        <f ca="1">IFERROR(__xludf.DUMMYFUNCTION("""COMPUTED_VALUE"""),196)</f>
        <v>196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IFERROR(__xludf.DUMMYFUNCTION("""COMPUTED_VALUE"""),"Tennessee St.")</f>
        <v>Tennessee St.</v>
      </c>
      <c r="C178" s="1" t="str">
        <f ca="1">IFERROR(__xludf.DUMMYFUNCTION("""COMPUTED_VALUE"""),"OVC")</f>
        <v>OVC</v>
      </c>
      <c r="D178" s="1" t="str">
        <f ca="1">IFERROR(__xludf.DUMMYFUNCTION("""COMPUTED_VALUE"""),"20-13")</f>
        <v>20-13</v>
      </c>
      <c r="E178" s="1" t="str">
        <f ca="1">IFERROR(__xludf.DUMMYFUNCTION("""COMPUTED_VALUE"""),"+0.12")</f>
        <v>+0.12</v>
      </c>
      <c r="F178" s="1">
        <f ca="1">IFERROR(__xludf.DUMMYFUNCTION("""COMPUTED_VALUE"""),101.1)</f>
        <v>101.1</v>
      </c>
      <c r="G178" s="1">
        <f ca="1">IFERROR(__xludf.DUMMYFUNCTION("""COMPUTED_VALUE"""),206)</f>
        <v>206</v>
      </c>
      <c r="H178" s="1">
        <f ca="1">IFERROR(__xludf.DUMMYFUNCTION("""COMPUTED_VALUE"""),101)</f>
        <v>101</v>
      </c>
      <c r="I178" s="1">
        <f ca="1">IFERROR(__xludf.DUMMYFUNCTION("""COMPUTED_VALUE"""),136)</f>
        <v>136</v>
      </c>
      <c r="J178" s="1">
        <f ca="1">IFERROR(__xludf.DUMMYFUNCTION("""COMPUTED_VALUE"""),65.3)</f>
        <v>65.3</v>
      </c>
      <c r="K178" s="1">
        <f ca="1">IFERROR(__xludf.DUMMYFUNCTION("""COMPUTED_VALUE"""),155)</f>
        <v>155</v>
      </c>
      <c r="L178" s="1" t="str">
        <f ca="1">IFERROR(__xludf.DUMMYFUNCTION("""COMPUTED_VALUE"""),"+.087")</f>
        <v>+.087</v>
      </c>
      <c r="M178" s="1">
        <f ca="1">IFERROR(__xludf.DUMMYFUNCTION("""COMPUTED_VALUE"""),16)</f>
        <v>16</v>
      </c>
      <c r="N178" s="1">
        <f ca="1">IFERROR(__xludf.DUMMYFUNCTION("""COMPUTED_VALUE"""),-1.7)</f>
        <v>-1.7</v>
      </c>
      <c r="O178" s="1">
        <f ca="1">IFERROR(__xludf.DUMMYFUNCTION("""COMPUTED_VALUE"""),193)</f>
        <v>193</v>
      </c>
      <c r="P178" s="1">
        <f ca="1">IFERROR(__xludf.DUMMYFUNCTION("""COMPUTED_VALUE"""),102.3)</f>
        <v>102.3</v>
      </c>
      <c r="Q178" s="1">
        <f ca="1">IFERROR(__xludf.DUMMYFUNCTION("""COMPUTED_VALUE"""),196)</f>
        <v>196</v>
      </c>
      <c r="R178" s="1">
        <f ca="1">IFERROR(__xludf.DUMMYFUNCTION("""COMPUTED_VALUE"""),104)</f>
        <v>104</v>
      </c>
      <c r="S178" s="1">
        <f ca="1">IFERROR(__xludf.DUMMYFUNCTION("""COMPUTED_VALUE"""),197)</f>
        <v>197</v>
      </c>
      <c r="T178" s="1" t="str">
        <f ca="1">IFERROR(__xludf.DUMMYFUNCTION("""COMPUTED_VALUE"""),"+2.81")</f>
        <v>+2.81</v>
      </c>
      <c r="U178" s="1">
        <f ca="1">IFERROR(__xludf.DUMMYFUNCTION("""COMPUTED_VALUE"""),84)</f>
        <v>84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IFERROR(__xludf.DUMMYFUNCTION("""COMPUTED_VALUE"""),"Delaware")</f>
        <v>Delaware</v>
      </c>
      <c r="C179" s="1" t="str">
        <f ca="1">IFERROR(__xludf.DUMMYFUNCTION("""COMPUTED_VALUE"""),"CAA")</f>
        <v>CAA</v>
      </c>
      <c r="D179" s="1" t="str">
        <f ca="1">IFERROR(__xludf.DUMMYFUNCTION("""COMPUTED_VALUE"""),"18-14")</f>
        <v>18-14</v>
      </c>
      <c r="E179" s="1">
        <f ca="1">IFERROR(__xludf.DUMMYFUNCTION("""COMPUTED_VALUE"""),-0.02)</f>
        <v>-0.02</v>
      </c>
      <c r="F179" s="1">
        <f ca="1">IFERROR(__xludf.DUMMYFUNCTION("""COMPUTED_VALUE"""),103.4)</f>
        <v>103.4</v>
      </c>
      <c r="G179" s="1">
        <f ca="1">IFERROR(__xludf.DUMMYFUNCTION("""COMPUTED_VALUE"""),159)</f>
        <v>159</v>
      </c>
      <c r="H179" s="1">
        <f ca="1">IFERROR(__xludf.DUMMYFUNCTION("""COMPUTED_VALUE"""),103.4)</f>
        <v>103.4</v>
      </c>
      <c r="I179" s="1">
        <f ca="1">IFERROR(__xludf.DUMMYFUNCTION("""COMPUTED_VALUE"""),185)</f>
        <v>185</v>
      </c>
      <c r="J179" s="1">
        <f ca="1">IFERROR(__xludf.DUMMYFUNCTION("""COMPUTED_VALUE"""),67.2)</f>
        <v>67.2</v>
      </c>
      <c r="K179" s="1">
        <f ca="1">IFERROR(__xludf.DUMMYFUNCTION("""COMPUTED_VALUE"""),73)</f>
        <v>73</v>
      </c>
      <c r="L179" s="1" t="str">
        <f ca="1">IFERROR(__xludf.DUMMYFUNCTION("""COMPUTED_VALUE"""),"+.039")</f>
        <v>+.039</v>
      </c>
      <c r="M179" s="1">
        <f ca="1">IFERROR(__xludf.DUMMYFUNCTION("""COMPUTED_VALUE"""),73)</f>
        <v>73</v>
      </c>
      <c r="N179" s="1">
        <f ca="1">IFERROR(__xludf.DUMMYFUNCTION("""COMPUTED_VALUE"""),-1.62)</f>
        <v>-1.62</v>
      </c>
      <c r="O179" s="1">
        <f ca="1">IFERROR(__xludf.DUMMYFUNCTION("""COMPUTED_VALUE"""),192)</f>
        <v>192</v>
      </c>
      <c r="P179" s="1">
        <f ca="1">IFERROR(__xludf.DUMMYFUNCTION("""COMPUTED_VALUE"""),100.6)</f>
        <v>100.6</v>
      </c>
      <c r="Q179" s="1">
        <f ca="1">IFERROR(__xludf.DUMMYFUNCTION("""COMPUTED_VALUE"""),282)</f>
        <v>282</v>
      </c>
      <c r="R179" s="1">
        <f ca="1">IFERROR(__xludf.DUMMYFUNCTION("""COMPUTED_VALUE"""),102.2)</f>
        <v>102.2</v>
      </c>
      <c r="S179" s="1">
        <f ca="1">IFERROR(__xludf.DUMMYFUNCTION("""COMPUTED_VALUE"""),133)</f>
        <v>133</v>
      </c>
      <c r="T179" s="1">
        <f ca="1">IFERROR(__xludf.DUMMYFUNCTION("""COMPUTED_VALUE"""),-2.28)</f>
        <v>-2.2799999999999998</v>
      </c>
      <c r="U179" s="1">
        <f ca="1">IFERROR(__xludf.DUMMYFUNCTION("""COMPUTED_VALUE"""),226)</f>
        <v>226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IFERROR(__xludf.DUMMYFUNCTION("""COMPUTED_VALUE"""),"Western Michigan")</f>
        <v>Western Michigan</v>
      </c>
      <c r="C180" s="1" t="str">
        <f ca="1">IFERROR(__xludf.DUMMYFUNCTION("""COMPUTED_VALUE"""),"MAC")</f>
        <v>MAC</v>
      </c>
      <c r="D180" s="1" t="str">
        <f ca="1">IFERROR(__xludf.DUMMYFUNCTION("""COMPUTED_VALUE"""),"14-20")</f>
        <v>14-20</v>
      </c>
      <c r="E180" s="1">
        <f ca="1">IFERROR(__xludf.DUMMYFUNCTION("""COMPUTED_VALUE"""),-0.05)</f>
        <v>-0.05</v>
      </c>
      <c r="F180" s="1">
        <f ca="1">IFERROR(__xludf.DUMMYFUNCTION("""COMPUTED_VALUE"""),105.7)</f>
        <v>105.7</v>
      </c>
      <c r="G180" s="1">
        <f ca="1">IFERROR(__xludf.DUMMYFUNCTION("""COMPUTED_VALUE"""),120)</f>
        <v>120</v>
      </c>
      <c r="H180" s="1">
        <f ca="1">IFERROR(__xludf.DUMMYFUNCTION("""COMPUTED_VALUE"""),105.8)</f>
        <v>105.8</v>
      </c>
      <c r="I180" s="1">
        <f ca="1">IFERROR(__xludf.DUMMYFUNCTION("""COMPUTED_VALUE"""),235)</f>
        <v>235</v>
      </c>
      <c r="J180" s="1">
        <f ca="1">IFERROR(__xludf.DUMMYFUNCTION("""COMPUTED_VALUE"""),65.1)</f>
        <v>65.099999999999994</v>
      </c>
      <c r="K180" s="1">
        <f ca="1">IFERROR(__xludf.DUMMYFUNCTION("""COMPUTED_VALUE"""),171)</f>
        <v>171</v>
      </c>
      <c r="L180" s="1">
        <f ca="1">IFERROR(__xludf.DUMMYFUNCTION("""COMPUTED_VALUE"""),-0.071)</f>
        <v>-7.0999999999999994E-2</v>
      </c>
      <c r="M180" s="1">
        <f ca="1">IFERROR(__xludf.DUMMYFUNCTION("""COMPUTED_VALUE"""),319)</f>
        <v>319</v>
      </c>
      <c r="N180" s="1" t="str">
        <f ca="1">IFERROR(__xludf.DUMMYFUNCTION("""COMPUTED_VALUE"""),"+0.93")</f>
        <v>+0.93</v>
      </c>
      <c r="O180" s="1">
        <f ca="1">IFERROR(__xludf.DUMMYFUNCTION("""COMPUTED_VALUE"""),134)</f>
        <v>134</v>
      </c>
      <c r="P180" s="1">
        <f ca="1">IFERROR(__xludf.DUMMYFUNCTION("""COMPUTED_VALUE"""),103.7)</f>
        <v>103.7</v>
      </c>
      <c r="Q180" s="1">
        <f ca="1">IFERROR(__xludf.DUMMYFUNCTION("""COMPUTED_VALUE"""),132)</f>
        <v>132</v>
      </c>
      <c r="R180" s="1">
        <f ca="1">IFERROR(__xludf.DUMMYFUNCTION("""COMPUTED_VALUE"""),102.7)</f>
        <v>102.7</v>
      </c>
      <c r="S180" s="1">
        <f ca="1">IFERROR(__xludf.DUMMYFUNCTION("""COMPUTED_VALUE"""),154)</f>
        <v>154</v>
      </c>
      <c r="T180" s="1" t="str">
        <f ca="1">IFERROR(__xludf.DUMMYFUNCTION("""COMPUTED_VALUE"""),"+8.16")</f>
        <v>+8.16</v>
      </c>
      <c r="U180" s="1">
        <f ca="1">IFERROR(__xludf.DUMMYFUNCTION("""COMPUTED_VALUE"""),15)</f>
        <v>15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IFERROR(__xludf.DUMMYFUNCTION("""COMPUTED_VALUE"""),"George Washington")</f>
        <v>George Washington</v>
      </c>
      <c r="C181" s="1" t="str">
        <f ca="1">IFERROR(__xludf.DUMMYFUNCTION("""COMPUTED_VALUE"""),"A10")</f>
        <v>A10</v>
      </c>
      <c r="D181" s="2">
        <f ca="1">IFERROR(__xludf.DUMMYFUNCTION("""COMPUTED_VALUE"""),44855)</f>
        <v>44855</v>
      </c>
      <c r="E181" s="1">
        <f ca="1">IFERROR(__xludf.DUMMYFUNCTION("""COMPUTED_VALUE"""),-0.68)</f>
        <v>-0.68</v>
      </c>
      <c r="F181" s="1">
        <f ca="1">IFERROR(__xludf.DUMMYFUNCTION("""COMPUTED_VALUE"""),101.8)</f>
        <v>101.8</v>
      </c>
      <c r="G181" s="1">
        <f ca="1">IFERROR(__xludf.DUMMYFUNCTION("""COMPUTED_VALUE"""),190)</f>
        <v>190</v>
      </c>
      <c r="H181" s="1">
        <f ca="1">IFERROR(__xludf.DUMMYFUNCTION("""COMPUTED_VALUE"""),102.5)</f>
        <v>102.5</v>
      </c>
      <c r="I181" s="1">
        <f ca="1">IFERROR(__xludf.DUMMYFUNCTION("""COMPUTED_VALUE"""),161)</f>
        <v>161</v>
      </c>
      <c r="J181" s="1">
        <f ca="1">IFERROR(__xludf.DUMMYFUNCTION("""COMPUTED_VALUE"""),62.6)</f>
        <v>62.6</v>
      </c>
      <c r="K181" s="1">
        <f ca="1">IFERROR(__xludf.DUMMYFUNCTION("""COMPUTED_VALUE"""),280)</f>
        <v>280</v>
      </c>
      <c r="L181" s="1">
        <f ca="1">IFERROR(__xludf.DUMMYFUNCTION("""COMPUTED_VALUE"""),-0.038)</f>
        <v>-3.7999999999999999E-2</v>
      </c>
      <c r="M181" s="1">
        <f ca="1">IFERROR(__xludf.DUMMYFUNCTION("""COMPUTED_VALUE"""),261)</f>
        <v>261</v>
      </c>
      <c r="N181" s="1" t="str">
        <f ca="1">IFERROR(__xludf.DUMMYFUNCTION("""COMPUTED_VALUE"""),"+5.43")</f>
        <v>+5.43</v>
      </c>
      <c r="O181" s="1">
        <f ca="1">IFERROR(__xludf.DUMMYFUNCTION("""COMPUTED_VALUE"""),57)</f>
        <v>57</v>
      </c>
      <c r="P181" s="1">
        <f ca="1">IFERROR(__xludf.DUMMYFUNCTION("""COMPUTED_VALUE"""),105.7)</f>
        <v>105.7</v>
      </c>
      <c r="Q181" s="1">
        <f ca="1">IFERROR(__xludf.DUMMYFUNCTION("""COMPUTED_VALUE"""),59)</f>
        <v>59</v>
      </c>
      <c r="R181" s="1">
        <f ca="1">IFERROR(__xludf.DUMMYFUNCTION("""COMPUTED_VALUE"""),100.3)</f>
        <v>100.3</v>
      </c>
      <c r="S181" s="1">
        <f ca="1">IFERROR(__xludf.DUMMYFUNCTION("""COMPUTED_VALUE"""),52)</f>
        <v>52</v>
      </c>
      <c r="T181" s="1" t="str">
        <f ca="1">IFERROR(__xludf.DUMMYFUNCTION("""COMPUTED_VALUE"""),"+2.69")</f>
        <v>+2.69</v>
      </c>
      <c r="U181" s="1">
        <f ca="1">IFERROR(__xludf.DUMMYFUNCTION("""COMPUTED_VALUE"""),86)</f>
        <v>86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IFERROR(__xludf.DUMMYFUNCTION("""COMPUTED_VALUE"""),"Charleston Southern")</f>
        <v>Charleston Southern</v>
      </c>
      <c r="C182" s="1" t="str">
        <f ca="1">IFERROR(__xludf.DUMMYFUNCTION("""COMPUTED_VALUE"""),"BSth")</f>
        <v>BSth</v>
      </c>
      <c r="D182" s="1" t="str">
        <f ca="1">IFERROR(__xludf.DUMMYFUNCTION("""COMPUTED_VALUE"""),"19-12")</f>
        <v>19-12</v>
      </c>
      <c r="E182" s="1">
        <f ca="1">IFERROR(__xludf.DUMMYFUNCTION("""COMPUTED_VALUE"""),-0.71)</f>
        <v>-0.71</v>
      </c>
      <c r="F182" s="1">
        <f ca="1">IFERROR(__xludf.DUMMYFUNCTION("""COMPUTED_VALUE"""),104.5)</f>
        <v>104.5</v>
      </c>
      <c r="G182" s="1">
        <f ca="1">IFERROR(__xludf.DUMMYFUNCTION("""COMPUTED_VALUE"""),142)</f>
        <v>142</v>
      </c>
      <c r="H182" s="1">
        <f ca="1">IFERROR(__xludf.DUMMYFUNCTION("""COMPUTED_VALUE"""),105.2)</f>
        <v>105.2</v>
      </c>
      <c r="I182" s="1">
        <f ca="1">IFERROR(__xludf.DUMMYFUNCTION("""COMPUTED_VALUE"""),225)</f>
        <v>225</v>
      </c>
      <c r="J182" s="1">
        <f ca="1">IFERROR(__xludf.DUMMYFUNCTION("""COMPUTED_VALUE"""),69.5)</f>
        <v>69.5</v>
      </c>
      <c r="K182" s="1">
        <f ca="1">IFERROR(__xludf.DUMMYFUNCTION("""COMPUTED_VALUE"""),22)</f>
        <v>22</v>
      </c>
      <c r="L182" s="1" t="str">
        <f ca="1">IFERROR(__xludf.DUMMYFUNCTION("""COMPUTED_VALUE"""),"+.008")</f>
        <v>+.008</v>
      </c>
      <c r="M182" s="1">
        <f ca="1">IFERROR(__xludf.DUMMYFUNCTION("""COMPUTED_VALUE"""),149)</f>
        <v>149</v>
      </c>
      <c r="N182" s="1">
        <f ca="1">IFERROR(__xludf.DUMMYFUNCTION("""COMPUTED_VALUE"""),-5.15)</f>
        <v>-5.15</v>
      </c>
      <c r="O182" s="1">
        <f ca="1">IFERROR(__xludf.DUMMYFUNCTION("""COMPUTED_VALUE"""),289)</f>
        <v>289</v>
      </c>
      <c r="P182" s="1">
        <f ca="1">IFERROR(__xludf.DUMMYFUNCTION("""COMPUTED_VALUE"""),101.6)</f>
        <v>101.6</v>
      </c>
      <c r="Q182" s="1">
        <f ca="1">IFERROR(__xludf.DUMMYFUNCTION("""COMPUTED_VALUE"""),232)</f>
        <v>232</v>
      </c>
      <c r="R182" s="1">
        <f ca="1">IFERROR(__xludf.DUMMYFUNCTION("""COMPUTED_VALUE"""),106.8)</f>
        <v>106.8</v>
      </c>
      <c r="S182" s="1">
        <f ca="1">IFERROR(__xludf.DUMMYFUNCTION("""COMPUTED_VALUE"""),331)</f>
        <v>331</v>
      </c>
      <c r="T182" s="1" t="str">
        <f ca="1">IFERROR(__xludf.DUMMYFUNCTION("""COMPUTED_VALUE"""),"+4.05")</f>
        <v>+4.05</v>
      </c>
      <c r="U182" s="1">
        <f ca="1">IFERROR(__xludf.DUMMYFUNCTION("""COMPUTED_VALUE"""),61)</f>
        <v>61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IFERROR(__xludf.DUMMYFUNCTION("""COMPUTED_VALUE"""),"UTSA")</f>
        <v>UTSA</v>
      </c>
      <c r="C183" s="1" t="str">
        <f ca="1">IFERROR(__xludf.DUMMYFUNCTION("""COMPUTED_VALUE"""),"Slnd")</f>
        <v>Slnd</v>
      </c>
      <c r="D183" s="1" t="str">
        <f ca="1">IFERROR(__xludf.DUMMYFUNCTION("""COMPUTED_VALUE"""),"18-14")</f>
        <v>18-14</v>
      </c>
      <c r="E183" s="1">
        <f ca="1">IFERROR(__xludf.DUMMYFUNCTION("""COMPUTED_VALUE"""),-0.81)</f>
        <v>-0.81</v>
      </c>
      <c r="F183" s="1">
        <f ca="1">IFERROR(__xludf.DUMMYFUNCTION("""COMPUTED_VALUE"""),104)</f>
        <v>104</v>
      </c>
      <c r="G183" s="1">
        <f ca="1">IFERROR(__xludf.DUMMYFUNCTION("""COMPUTED_VALUE"""),147)</f>
        <v>147</v>
      </c>
      <c r="H183" s="1">
        <f ca="1">IFERROR(__xludf.DUMMYFUNCTION("""COMPUTED_VALUE"""),104.9)</f>
        <v>104.9</v>
      </c>
      <c r="I183" s="1">
        <f ca="1">IFERROR(__xludf.DUMMYFUNCTION("""COMPUTED_VALUE"""),216)</f>
        <v>216</v>
      </c>
      <c r="J183" s="1">
        <f ca="1">IFERROR(__xludf.DUMMYFUNCTION("""COMPUTED_VALUE"""),66.4)</f>
        <v>66.400000000000006</v>
      </c>
      <c r="K183" s="1">
        <f ca="1">IFERROR(__xludf.DUMMYFUNCTION("""COMPUTED_VALUE"""),102)</f>
        <v>102</v>
      </c>
      <c r="L183" s="1">
        <f ca="1">IFERROR(__xludf.DUMMYFUNCTION("""COMPUTED_VALUE"""),-0.051)</f>
        <v>-5.0999999999999997E-2</v>
      </c>
      <c r="M183" s="1">
        <f ca="1">IFERROR(__xludf.DUMMYFUNCTION("""COMPUTED_VALUE"""),288)</f>
        <v>288</v>
      </c>
      <c r="N183" s="1">
        <f ca="1">IFERROR(__xludf.DUMMYFUNCTION("""COMPUTED_VALUE"""),-4.09)</f>
        <v>-4.09</v>
      </c>
      <c r="O183" s="1">
        <f ca="1">IFERROR(__xludf.DUMMYFUNCTION("""COMPUTED_VALUE"""),260)</f>
        <v>260</v>
      </c>
      <c r="P183" s="1">
        <f ca="1">IFERROR(__xludf.DUMMYFUNCTION("""COMPUTED_VALUE"""),99.9)</f>
        <v>99.9</v>
      </c>
      <c r="Q183" s="1">
        <f ca="1">IFERROR(__xludf.DUMMYFUNCTION("""COMPUTED_VALUE"""),304)</f>
        <v>304</v>
      </c>
      <c r="R183" s="1">
        <f ca="1">IFERROR(__xludf.DUMMYFUNCTION("""COMPUTED_VALUE"""),104)</f>
        <v>104</v>
      </c>
      <c r="S183" s="1">
        <f ca="1">IFERROR(__xludf.DUMMYFUNCTION("""COMPUTED_VALUE"""),200)</f>
        <v>200</v>
      </c>
      <c r="T183" s="1" t="str">
        <f ca="1">IFERROR(__xludf.DUMMYFUNCTION("""COMPUTED_VALUE"""),"+0.72")</f>
        <v>+0.72</v>
      </c>
      <c r="U183" s="1">
        <f ca="1">IFERROR(__xludf.DUMMYFUNCTION("""COMPUTED_VALUE"""),137)</f>
        <v>137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IFERROR(__xludf.DUMMYFUNCTION("""COMPUTED_VALUE"""),"Georgia Tech")</f>
        <v>Georgia Tech</v>
      </c>
      <c r="C184" s="1" t="str">
        <f ca="1">IFERROR(__xludf.DUMMYFUNCTION("""COMPUTED_VALUE"""),"ACC")</f>
        <v>ACC</v>
      </c>
      <c r="D184" s="2">
        <f ca="1">IFERROR(__xludf.DUMMYFUNCTION("""COMPUTED_VALUE"""),44885)</f>
        <v>44885</v>
      </c>
      <c r="E184" s="1">
        <f ca="1">IFERROR(__xludf.DUMMYFUNCTION("""COMPUTED_VALUE"""),-0.86)</f>
        <v>-0.86</v>
      </c>
      <c r="F184" s="1">
        <f ca="1">IFERROR(__xludf.DUMMYFUNCTION("""COMPUTED_VALUE"""),98.5)</f>
        <v>98.5</v>
      </c>
      <c r="G184" s="1">
        <f ca="1">IFERROR(__xludf.DUMMYFUNCTION("""COMPUTED_VALUE"""),250)</f>
        <v>250</v>
      </c>
      <c r="H184" s="1">
        <f ca="1">IFERROR(__xludf.DUMMYFUNCTION("""COMPUTED_VALUE"""),99.3)</f>
        <v>99.3</v>
      </c>
      <c r="I184" s="1">
        <f ca="1">IFERROR(__xludf.DUMMYFUNCTION("""COMPUTED_VALUE"""),98)</f>
        <v>98</v>
      </c>
      <c r="J184" s="1">
        <f ca="1">IFERROR(__xludf.DUMMYFUNCTION("""COMPUTED_VALUE"""),62.2)</f>
        <v>62.2</v>
      </c>
      <c r="K184" s="1">
        <f ca="1">IFERROR(__xludf.DUMMYFUNCTION("""COMPUTED_VALUE"""),293)</f>
        <v>293</v>
      </c>
      <c r="L184" s="1">
        <f ca="1">IFERROR(__xludf.DUMMYFUNCTION("""COMPUTED_VALUE"""),-0.073)</f>
        <v>-7.2999999999999995E-2</v>
      </c>
      <c r="M184" s="1">
        <f ca="1">IFERROR(__xludf.DUMMYFUNCTION("""COMPUTED_VALUE"""),324)</f>
        <v>324</v>
      </c>
      <c r="N184" s="1" t="str">
        <f ca="1">IFERROR(__xludf.DUMMYFUNCTION("""COMPUTED_VALUE"""),"+3.65")</f>
        <v>+3.65</v>
      </c>
      <c r="O184" s="1">
        <f ca="1">IFERROR(__xludf.DUMMYFUNCTION("""COMPUTED_VALUE"""),87)</f>
        <v>87</v>
      </c>
      <c r="P184" s="1">
        <f ca="1">IFERROR(__xludf.DUMMYFUNCTION("""COMPUTED_VALUE"""),104.1)</f>
        <v>104.1</v>
      </c>
      <c r="Q184" s="1">
        <f ca="1">IFERROR(__xludf.DUMMYFUNCTION("""COMPUTED_VALUE"""),117)</f>
        <v>117</v>
      </c>
      <c r="R184" s="1">
        <f ca="1">IFERROR(__xludf.DUMMYFUNCTION("""COMPUTED_VALUE"""),100.4)</f>
        <v>100.4</v>
      </c>
      <c r="S184" s="1">
        <f ca="1">IFERROR(__xludf.DUMMYFUNCTION("""COMPUTED_VALUE"""),60)</f>
        <v>60</v>
      </c>
      <c r="T184" s="1">
        <f ca="1">IFERROR(__xludf.DUMMYFUNCTION("""COMPUTED_VALUE"""),-0.81)</f>
        <v>-0.81</v>
      </c>
      <c r="U184" s="1">
        <f ca="1">IFERROR(__xludf.DUMMYFUNCTION("""COMPUTED_VALUE"""),183)</f>
        <v>183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IFERROR(__xludf.DUMMYFUNCTION("""COMPUTED_VALUE"""),"Green Bay")</f>
        <v>Green Bay</v>
      </c>
      <c r="C185" s="1" t="str">
        <f ca="1">IFERROR(__xludf.DUMMYFUNCTION("""COMPUTED_VALUE"""),"Horz")</f>
        <v>Horz</v>
      </c>
      <c r="D185" s="1" t="str">
        <f ca="1">IFERROR(__xludf.DUMMYFUNCTION("""COMPUTED_VALUE"""),"15-15")</f>
        <v>15-15</v>
      </c>
      <c r="E185" s="1">
        <f ca="1">IFERROR(__xludf.DUMMYFUNCTION("""COMPUTED_VALUE"""),-0.88)</f>
        <v>-0.88</v>
      </c>
      <c r="F185" s="1">
        <f ca="1">IFERROR(__xludf.DUMMYFUNCTION("""COMPUTED_VALUE"""),101.3)</f>
        <v>101.3</v>
      </c>
      <c r="G185" s="1">
        <f ca="1">IFERROR(__xludf.DUMMYFUNCTION("""COMPUTED_VALUE"""),198)</f>
        <v>198</v>
      </c>
      <c r="H185" s="1">
        <f ca="1">IFERROR(__xludf.DUMMYFUNCTION("""COMPUTED_VALUE"""),102.2)</f>
        <v>102.2</v>
      </c>
      <c r="I185" s="1">
        <f ca="1">IFERROR(__xludf.DUMMYFUNCTION("""COMPUTED_VALUE"""),154)</f>
        <v>154</v>
      </c>
      <c r="J185" s="1">
        <f ca="1">IFERROR(__xludf.DUMMYFUNCTION("""COMPUTED_VALUE"""),66.1)</f>
        <v>66.099999999999994</v>
      </c>
      <c r="K185" s="1">
        <f ca="1">IFERROR(__xludf.DUMMYFUNCTION("""COMPUTED_VALUE"""),118)</f>
        <v>118</v>
      </c>
      <c r="L185" s="1" t="str">
        <f ca="1">IFERROR(__xludf.DUMMYFUNCTION("""COMPUTED_VALUE"""),"+.068")</f>
        <v>+.068</v>
      </c>
      <c r="M185" s="1">
        <f ca="1">IFERROR(__xludf.DUMMYFUNCTION("""COMPUTED_VALUE"""),26)</f>
        <v>26</v>
      </c>
      <c r="N185" s="1" t="str">
        <f ca="1">IFERROR(__xludf.DUMMYFUNCTION("""COMPUTED_VALUE"""),"+2.44")</f>
        <v>+2.44</v>
      </c>
      <c r="O185" s="1">
        <f ca="1">IFERROR(__xludf.DUMMYFUNCTION("""COMPUTED_VALUE"""),110)</f>
        <v>110</v>
      </c>
      <c r="P185" s="1">
        <f ca="1">IFERROR(__xludf.DUMMYFUNCTION("""COMPUTED_VALUE"""),103)</f>
        <v>103</v>
      </c>
      <c r="Q185" s="1">
        <f ca="1">IFERROR(__xludf.DUMMYFUNCTION("""COMPUTED_VALUE"""),157)</f>
        <v>157</v>
      </c>
      <c r="R185" s="1">
        <f ca="1">IFERROR(__xludf.DUMMYFUNCTION("""COMPUTED_VALUE"""),100.5)</f>
        <v>100.5</v>
      </c>
      <c r="S185" s="1">
        <f ca="1">IFERROR(__xludf.DUMMYFUNCTION("""COMPUTED_VALUE"""),64)</f>
        <v>64</v>
      </c>
      <c r="T185" s="1" t="str">
        <f ca="1">IFERROR(__xludf.DUMMYFUNCTION("""COMPUTED_VALUE"""),"+8.87")</f>
        <v>+8.87</v>
      </c>
      <c r="U185" s="1">
        <f ca="1">IFERROR(__xludf.DUMMYFUNCTION("""COMPUTED_VALUE"""),10)</f>
        <v>10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IFERROR(__xludf.DUMMYFUNCTION("""COMPUTED_VALUE"""),"Florida Gulf Coast")</f>
        <v>Florida Gulf Coast</v>
      </c>
      <c r="C186" s="1" t="str">
        <f ca="1">IFERROR(__xludf.DUMMYFUNCTION("""COMPUTED_VALUE"""),"ASun")</f>
        <v>ASun</v>
      </c>
      <c r="D186" s="1" t="str">
        <f ca="1">IFERROR(__xludf.DUMMYFUNCTION("""COMPUTED_VALUE"""),"15-17")</f>
        <v>15-17</v>
      </c>
      <c r="E186" s="1">
        <f ca="1">IFERROR(__xludf.DUMMYFUNCTION("""COMPUTED_VALUE"""),-0.88)</f>
        <v>-0.88</v>
      </c>
      <c r="F186" s="1">
        <f ca="1">IFERROR(__xludf.DUMMYFUNCTION("""COMPUTED_VALUE"""),105.2)</f>
        <v>105.2</v>
      </c>
      <c r="G186" s="1">
        <f ca="1">IFERROR(__xludf.DUMMYFUNCTION("""COMPUTED_VALUE"""),132)</f>
        <v>132</v>
      </c>
      <c r="H186" s="1">
        <f ca="1">IFERROR(__xludf.DUMMYFUNCTION("""COMPUTED_VALUE"""),106.1)</f>
        <v>106.1</v>
      </c>
      <c r="I186" s="1">
        <f ca="1">IFERROR(__xludf.DUMMYFUNCTION("""COMPUTED_VALUE"""),244)</f>
        <v>244</v>
      </c>
      <c r="J186" s="1">
        <f ca="1">IFERROR(__xludf.DUMMYFUNCTION("""COMPUTED_VALUE"""),66.5)</f>
        <v>66.5</v>
      </c>
      <c r="K186" s="1">
        <f ca="1">IFERROR(__xludf.DUMMYFUNCTION("""COMPUTED_VALUE"""),100)</f>
        <v>100</v>
      </c>
      <c r="L186" s="1">
        <f ca="1">IFERROR(__xludf.DUMMYFUNCTION("""COMPUTED_VALUE"""),-0.028)</f>
        <v>-2.8000000000000001E-2</v>
      </c>
      <c r="M186" s="1">
        <f ca="1">IFERROR(__xludf.DUMMYFUNCTION("""COMPUTED_VALUE"""),247)</f>
        <v>247</v>
      </c>
      <c r="N186" s="1">
        <f ca="1">IFERROR(__xludf.DUMMYFUNCTION("""COMPUTED_VALUE"""),-0.5)</f>
        <v>-0.5</v>
      </c>
      <c r="O186" s="1">
        <f ca="1">IFERROR(__xludf.DUMMYFUNCTION("""COMPUTED_VALUE"""),166)</f>
        <v>166</v>
      </c>
      <c r="P186" s="1">
        <f ca="1">IFERROR(__xludf.DUMMYFUNCTION("""COMPUTED_VALUE"""),103.4)</f>
        <v>103.4</v>
      </c>
      <c r="Q186" s="1">
        <f ca="1">IFERROR(__xludf.DUMMYFUNCTION("""COMPUTED_VALUE"""),147)</f>
        <v>147</v>
      </c>
      <c r="R186" s="1">
        <f ca="1">IFERROR(__xludf.DUMMYFUNCTION("""COMPUTED_VALUE"""),103.9)</f>
        <v>103.9</v>
      </c>
      <c r="S186" s="1">
        <f ca="1">IFERROR(__xludf.DUMMYFUNCTION("""COMPUTED_VALUE"""),190)</f>
        <v>190</v>
      </c>
      <c r="T186" s="1">
        <f ca="1">IFERROR(__xludf.DUMMYFUNCTION("""COMPUTED_VALUE"""),-2.22)</f>
        <v>-2.2200000000000002</v>
      </c>
      <c r="U186" s="1">
        <f ca="1">IFERROR(__xludf.DUMMYFUNCTION("""COMPUTED_VALUE"""),223)</f>
        <v>223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IFERROR(__xludf.DUMMYFUNCTION("""COMPUTED_VALUE"""),"American")</f>
        <v>American</v>
      </c>
      <c r="C187" s="1" t="str">
        <f ca="1">IFERROR(__xludf.DUMMYFUNCTION("""COMPUTED_VALUE"""),"Pat")</f>
        <v>Pat</v>
      </c>
      <c r="D187" s="1" t="str">
        <f ca="1">IFERROR(__xludf.DUMMYFUNCTION("""COMPUTED_VALUE"""),"20-12")</f>
        <v>20-12</v>
      </c>
      <c r="E187" s="1">
        <f ca="1">IFERROR(__xludf.DUMMYFUNCTION("""COMPUTED_VALUE"""),-0.91)</f>
        <v>-0.91</v>
      </c>
      <c r="F187" s="1">
        <f ca="1">IFERROR(__xludf.DUMMYFUNCTION("""COMPUTED_VALUE"""),101.3)</f>
        <v>101.3</v>
      </c>
      <c r="G187" s="1">
        <f ca="1">IFERROR(__xludf.DUMMYFUNCTION("""COMPUTED_VALUE"""),199)</f>
        <v>199</v>
      </c>
      <c r="H187" s="1">
        <f ca="1">IFERROR(__xludf.DUMMYFUNCTION("""COMPUTED_VALUE"""),102.2)</f>
        <v>102.2</v>
      </c>
      <c r="I187" s="1">
        <f ca="1">IFERROR(__xludf.DUMMYFUNCTION("""COMPUTED_VALUE"""),153)</f>
        <v>153</v>
      </c>
      <c r="J187" s="1">
        <f ca="1">IFERROR(__xludf.DUMMYFUNCTION("""COMPUTED_VALUE"""),61.7)</f>
        <v>61.7</v>
      </c>
      <c r="K187" s="1">
        <f ca="1">IFERROR(__xludf.DUMMYFUNCTION("""COMPUTED_VALUE"""),306)</f>
        <v>306</v>
      </c>
      <c r="L187" s="1" t="str">
        <f ca="1">IFERROR(__xludf.DUMMYFUNCTION("""COMPUTED_VALUE"""),"+.056")</f>
        <v>+.056</v>
      </c>
      <c r="M187" s="1">
        <f ca="1">IFERROR(__xludf.DUMMYFUNCTION("""COMPUTED_VALUE"""),46)</f>
        <v>46</v>
      </c>
      <c r="N187" s="1">
        <f ca="1">IFERROR(__xludf.DUMMYFUNCTION("""COMPUTED_VALUE"""),-5.45)</f>
        <v>-5.45</v>
      </c>
      <c r="O187" s="1">
        <f ca="1">IFERROR(__xludf.DUMMYFUNCTION("""COMPUTED_VALUE"""),297)</f>
        <v>297</v>
      </c>
      <c r="P187" s="1">
        <f ca="1">IFERROR(__xludf.DUMMYFUNCTION("""COMPUTED_VALUE"""),100.1)</f>
        <v>100.1</v>
      </c>
      <c r="Q187" s="1">
        <f ca="1">IFERROR(__xludf.DUMMYFUNCTION("""COMPUTED_VALUE"""),297)</f>
        <v>297</v>
      </c>
      <c r="R187" s="1">
        <f ca="1">IFERROR(__xludf.DUMMYFUNCTION("""COMPUTED_VALUE"""),105.5)</f>
        <v>105.5</v>
      </c>
      <c r="S187" s="1">
        <f ca="1">IFERROR(__xludf.DUMMYFUNCTION("""COMPUTED_VALUE"""),286)</f>
        <v>286</v>
      </c>
      <c r="T187" s="1">
        <f ca="1">IFERROR(__xludf.DUMMYFUNCTION("""COMPUTED_VALUE"""),-4.69)</f>
        <v>-4.6900000000000004</v>
      </c>
      <c r="U187" s="1">
        <f ca="1">IFERROR(__xludf.DUMMYFUNCTION("""COMPUTED_VALUE"""),286)</f>
        <v>286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IFERROR(__xludf.DUMMYFUNCTION("""COMPUTED_VALUE"""),"Western Illinois")</f>
        <v>Western Illinois</v>
      </c>
      <c r="C188" s="1" t="str">
        <f ca="1">IFERROR(__xludf.DUMMYFUNCTION("""COMPUTED_VALUE"""),"Sum")</f>
        <v>Sum</v>
      </c>
      <c r="D188" s="1" t="str">
        <f ca="1">IFERROR(__xludf.DUMMYFUNCTION("""COMPUTED_VALUE"""),"18-15")</f>
        <v>18-15</v>
      </c>
      <c r="E188" s="1">
        <f ca="1">IFERROR(__xludf.DUMMYFUNCTION("""COMPUTED_VALUE"""),-1.3)</f>
        <v>-1.3</v>
      </c>
      <c r="F188" s="1">
        <f ca="1">IFERROR(__xludf.DUMMYFUNCTION("""COMPUTED_VALUE"""),97.1)</f>
        <v>97.1</v>
      </c>
      <c r="G188" s="1">
        <f ca="1">IFERROR(__xludf.DUMMYFUNCTION("""COMPUTED_VALUE"""),278)</f>
        <v>278</v>
      </c>
      <c r="H188" s="1">
        <f ca="1">IFERROR(__xludf.DUMMYFUNCTION("""COMPUTED_VALUE"""),98.4)</f>
        <v>98.4</v>
      </c>
      <c r="I188" s="1">
        <f ca="1">IFERROR(__xludf.DUMMYFUNCTION("""COMPUTED_VALUE"""),86)</f>
        <v>86</v>
      </c>
      <c r="J188" s="1">
        <f ca="1">IFERROR(__xludf.DUMMYFUNCTION("""COMPUTED_VALUE"""),57.8)</f>
        <v>57.8</v>
      </c>
      <c r="K188" s="1">
        <f ca="1">IFERROR(__xludf.DUMMYFUNCTION("""COMPUTED_VALUE"""),344)</f>
        <v>344</v>
      </c>
      <c r="L188" s="1" t="str">
        <f ca="1">IFERROR(__xludf.DUMMYFUNCTION("""COMPUTED_VALUE"""),"+.024")</f>
        <v>+.024</v>
      </c>
      <c r="M188" s="1">
        <f ca="1">IFERROR(__xludf.DUMMYFUNCTION("""COMPUTED_VALUE"""),111)</f>
        <v>111</v>
      </c>
      <c r="N188" s="1">
        <f ca="1">IFERROR(__xludf.DUMMYFUNCTION("""COMPUTED_VALUE"""),-1.72)</f>
        <v>-1.72</v>
      </c>
      <c r="O188" s="1">
        <f ca="1">IFERROR(__xludf.DUMMYFUNCTION("""COMPUTED_VALUE"""),194)</f>
        <v>194</v>
      </c>
      <c r="P188" s="1">
        <f ca="1">IFERROR(__xludf.DUMMYFUNCTION("""COMPUTED_VALUE"""),105.3)</f>
        <v>105.3</v>
      </c>
      <c r="Q188" s="1">
        <f ca="1">IFERROR(__xludf.DUMMYFUNCTION("""COMPUTED_VALUE"""),68)</f>
        <v>68</v>
      </c>
      <c r="R188" s="1">
        <f ca="1">IFERROR(__xludf.DUMMYFUNCTION("""COMPUTED_VALUE"""),107)</f>
        <v>107</v>
      </c>
      <c r="S188" s="1">
        <f ca="1">IFERROR(__xludf.DUMMYFUNCTION("""COMPUTED_VALUE"""),335)</f>
        <v>335</v>
      </c>
      <c r="T188" s="1">
        <f ca="1">IFERROR(__xludf.DUMMYFUNCTION("""COMPUTED_VALUE"""),-4.87)</f>
        <v>-4.87</v>
      </c>
      <c r="U188" s="1">
        <f ca="1">IFERROR(__xludf.DUMMYFUNCTION("""COMPUTED_VALUE"""),292)</f>
        <v>292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IFERROR(__xludf.DUMMYFUNCTION("""COMPUTED_VALUE"""),"Fresno St.")</f>
        <v>Fresno St.</v>
      </c>
      <c r="C189" s="1" t="str">
        <f ca="1">IFERROR(__xludf.DUMMYFUNCTION("""COMPUTED_VALUE"""),"WAC")</f>
        <v>WAC</v>
      </c>
      <c r="D189" s="1" t="str">
        <f ca="1">IFERROR(__xludf.DUMMYFUNCTION("""COMPUTED_VALUE"""),"13-20")</f>
        <v>13-20</v>
      </c>
      <c r="E189" s="1">
        <f ca="1">IFERROR(__xludf.DUMMYFUNCTION("""COMPUTED_VALUE"""),-1.41)</f>
        <v>-1.41</v>
      </c>
      <c r="F189" s="1">
        <f ca="1">IFERROR(__xludf.DUMMYFUNCTION("""COMPUTED_VALUE"""),101.4)</f>
        <v>101.4</v>
      </c>
      <c r="G189" s="1">
        <f ca="1">IFERROR(__xludf.DUMMYFUNCTION("""COMPUTED_VALUE"""),195)</f>
        <v>195</v>
      </c>
      <c r="H189" s="1">
        <f ca="1">IFERROR(__xludf.DUMMYFUNCTION("""COMPUTED_VALUE"""),102.8)</f>
        <v>102.8</v>
      </c>
      <c r="I189" s="1">
        <f ca="1">IFERROR(__xludf.DUMMYFUNCTION("""COMPUTED_VALUE"""),173)</f>
        <v>173</v>
      </c>
      <c r="J189" s="1">
        <f ca="1">IFERROR(__xludf.DUMMYFUNCTION("""COMPUTED_VALUE"""),61.7)</f>
        <v>61.7</v>
      </c>
      <c r="K189" s="1">
        <f ca="1">IFERROR(__xludf.DUMMYFUNCTION("""COMPUTED_VALUE"""),307)</f>
        <v>307</v>
      </c>
      <c r="L189" s="1">
        <f ca="1">IFERROR(__xludf.DUMMYFUNCTION("""COMPUTED_VALUE"""),-0.09)</f>
        <v>-0.09</v>
      </c>
      <c r="M189" s="1">
        <f ca="1">IFERROR(__xludf.DUMMYFUNCTION("""COMPUTED_VALUE"""),334)</f>
        <v>334</v>
      </c>
      <c r="N189" s="1" t="str">
        <f ca="1">IFERROR(__xludf.DUMMYFUNCTION("""COMPUTED_VALUE"""),"+0.63")</f>
        <v>+0.63</v>
      </c>
      <c r="O189" s="1">
        <f ca="1">IFERROR(__xludf.DUMMYFUNCTION("""COMPUTED_VALUE"""),142)</f>
        <v>142</v>
      </c>
      <c r="P189" s="1">
        <f ca="1">IFERROR(__xludf.DUMMYFUNCTION("""COMPUTED_VALUE"""),104.2)</f>
        <v>104.2</v>
      </c>
      <c r="Q189" s="1">
        <f ca="1">IFERROR(__xludf.DUMMYFUNCTION("""COMPUTED_VALUE"""),109)</f>
        <v>109</v>
      </c>
      <c r="R189" s="1">
        <f ca="1">IFERROR(__xludf.DUMMYFUNCTION("""COMPUTED_VALUE"""),103.6)</f>
        <v>103.6</v>
      </c>
      <c r="S189" s="1">
        <f ca="1">IFERROR(__xludf.DUMMYFUNCTION("""COMPUTED_VALUE"""),177)</f>
        <v>177</v>
      </c>
      <c r="T189" s="1" t="str">
        <f ca="1">IFERROR(__xludf.DUMMYFUNCTION("""COMPUTED_VALUE"""),"+0.24")</f>
        <v>+0.24</v>
      </c>
      <c r="U189" s="1">
        <f ca="1">IFERROR(__xludf.DUMMYFUNCTION("""COMPUTED_VALUE"""),147)</f>
        <v>147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IFERROR(__xludf.DUMMYFUNCTION("""COMPUTED_VALUE"""),"Arkansas Little Rock")</f>
        <v>Arkansas Little Rock</v>
      </c>
      <c r="C190" s="1" t="str">
        <f ca="1">IFERROR(__xludf.DUMMYFUNCTION("""COMPUTED_VALUE"""),"SB")</f>
        <v>SB</v>
      </c>
      <c r="D190" s="1" t="str">
        <f ca="1">IFERROR(__xludf.DUMMYFUNCTION("""COMPUTED_VALUE"""),"15-16")</f>
        <v>15-16</v>
      </c>
      <c r="E190" s="1">
        <f ca="1">IFERROR(__xludf.DUMMYFUNCTION("""COMPUTED_VALUE"""),-1.56)</f>
        <v>-1.56</v>
      </c>
      <c r="F190" s="1">
        <f ca="1">IFERROR(__xludf.DUMMYFUNCTION("""COMPUTED_VALUE"""),98.3)</f>
        <v>98.3</v>
      </c>
      <c r="G190" s="1">
        <f ca="1">IFERROR(__xludf.DUMMYFUNCTION("""COMPUTED_VALUE"""),251)</f>
        <v>251</v>
      </c>
      <c r="H190" s="1">
        <f ca="1">IFERROR(__xludf.DUMMYFUNCTION("""COMPUTED_VALUE"""),99.9)</f>
        <v>99.9</v>
      </c>
      <c r="I190" s="1">
        <f ca="1">IFERROR(__xludf.DUMMYFUNCTION("""COMPUTED_VALUE"""),113)</f>
        <v>113</v>
      </c>
      <c r="J190" s="1">
        <f ca="1">IFERROR(__xludf.DUMMYFUNCTION("""COMPUTED_VALUE"""),63.7)</f>
        <v>63.7</v>
      </c>
      <c r="K190" s="1">
        <f ca="1">IFERROR(__xludf.DUMMYFUNCTION("""COMPUTED_VALUE"""),245)</f>
        <v>245</v>
      </c>
      <c r="L190" s="1" t="str">
        <f ca="1">IFERROR(__xludf.DUMMYFUNCTION("""COMPUTED_VALUE"""),"+.024")</f>
        <v>+.024</v>
      </c>
      <c r="M190" s="1">
        <f ca="1">IFERROR(__xludf.DUMMYFUNCTION("""COMPUTED_VALUE"""),110)</f>
        <v>110</v>
      </c>
      <c r="N190" s="1">
        <f ca="1">IFERROR(__xludf.DUMMYFUNCTION("""COMPUTED_VALUE"""),-0.56)</f>
        <v>-0.56000000000000005</v>
      </c>
      <c r="O190" s="1">
        <f ca="1">IFERROR(__xludf.DUMMYFUNCTION("""COMPUTED_VALUE"""),167)</f>
        <v>167</v>
      </c>
      <c r="P190" s="1">
        <f ca="1">IFERROR(__xludf.DUMMYFUNCTION("""COMPUTED_VALUE"""),102.2)</f>
        <v>102.2</v>
      </c>
      <c r="Q190" s="1">
        <f ca="1">IFERROR(__xludf.DUMMYFUNCTION("""COMPUTED_VALUE"""),204)</f>
        <v>204</v>
      </c>
      <c r="R190" s="1">
        <f ca="1">IFERROR(__xludf.DUMMYFUNCTION("""COMPUTED_VALUE"""),102.7)</f>
        <v>102.7</v>
      </c>
      <c r="S190" s="1">
        <f ca="1">IFERROR(__xludf.DUMMYFUNCTION("""COMPUTED_VALUE"""),153)</f>
        <v>153</v>
      </c>
      <c r="T190" s="1" t="str">
        <f ca="1">IFERROR(__xludf.DUMMYFUNCTION("""COMPUTED_VALUE"""),"+3.17")</f>
        <v>+3.17</v>
      </c>
      <c r="U190" s="1">
        <f ca="1">IFERROR(__xludf.DUMMYFUNCTION("""COMPUTED_VALUE"""),75)</f>
        <v>75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IFERROR(__xludf.DUMMYFUNCTION("""COMPUTED_VALUE"""),"Boston University")</f>
        <v>Boston University</v>
      </c>
      <c r="C191" s="1" t="str">
        <f ca="1">IFERROR(__xludf.DUMMYFUNCTION("""COMPUTED_VALUE"""),"AE")</f>
        <v>AE</v>
      </c>
      <c r="D191" s="1" t="str">
        <f ca="1">IFERROR(__xludf.DUMMYFUNCTION("""COMPUTED_VALUE"""),"16-16")</f>
        <v>16-16</v>
      </c>
      <c r="E191" s="1">
        <f ca="1">IFERROR(__xludf.DUMMYFUNCTION("""COMPUTED_VALUE"""),-1.6)</f>
        <v>-1.6</v>
      </c>
      <c r="F191" s="1">
        <f ca="1">IFERROR(__xludf.DUMMYFUNCTION("""COMPUTED_VALUE"""),100)</f>
        <v>100</v>
      </c>
      <c r="G191" s="1">
        <f ca="1">IFERROR(__xludf.DUMMYFUNCTION("""COMPUTED_VALUE"""),230)</f>
        <v>230</v>
      </c>
      <c r="H191" s="1">
        <f ca="1">IFERROR(__xludf.DUMMYFUNCTION("""COMPUTED_VALUE"""),101.6)</f>
        <v>101.6</v>
      </c>
      <c r="I191" s="1">
        <f ca="1">IFERROR(__xludf.DUMMYFUNCTION("""COMPUTED_VALUE"""),145)</f>
        <v>145</v>
      </c>
      <c r="J191" s="1">
        <f ca="1">IFERROR(__xludf.DUMMYFUNCTION("""COMPUTED_VALUE"""),63.8)</f>
        <v>63.8</v>
      </c>
      <c r="K191" s="1">
        <f ca="1">IFERROR(__xludf.DUMMYFUNCTION("""COMPUTED_VALUE"""),240)</f>
        <v>240</v>
      </c>
      <c r="L191" s="1">
        <f ca="1">IFERROR(__xludf.DUMMYFUNCTION("""COMPUTED_VALUE"""),-0.014)</f>
        <v>-1.4E-2</v>
      </c>
      <c r="M191" s="1">
        <f ca="1">IFERROR(__xludf.DUMMYFUNCTION("""COMPUTED_VALUE"""),204)</f>
        <v>204</v>
      </c>
      <c r="N191" s="1">
        <f ca="1">IFERROR(__xludf.DUMMYFUNCTION("""COMPUTED_VALUE"""),-3.1)</f>
        <v>-3.1</v>
      </c>
      <c r="O191" s="1">
        <f ca="1">IFERROR(__xludf.DUMMYFUNCTION("""COMPUTED_VALUE"""),236)</f>
        <v>236</v>
      </c>
      <c r="P191" s="1">
        <f ca="1">IFERROR(__xludf.DUMMYFUNCTION("""COMPUTED_VALUE"""),100.7)</f>
        <v>100.7</v>
      </c>
      <c r="Q191" s="1">
        <f ca="1">IFERROR(__xludf.DUMMYFUNCTION("""COMPUTED_VALUE"""),277)</f>
        <v>277</v>
      </c>
      <c r="R191" s="1">
        <f ca="1">IFERROR(__xludf.DUMMYFUNCTION("""COMPUTED_VALUE"""),103.8)</f>
        <v>103.8</v>
      </c>
      <c r="S191" s="1">
        <f ca="1">IFERROR(__xludf.DUMMYFUNCTION("""COMPUTED_VALUE"""),186)</f>
        <v>186</v>
      </c>
      <c r="T191" s="1" t="str">
        <f ca="1">IFERROR(__xludf.DUMMYFUNCTION("""COMPUTED_VALUE"""),"+5.09")</f>
        <v>+5.09</v>
      </c>
      <c r="U191" s="1">
        <f ca="1">IFERROR(__xludf.DUMMYFUNCTION("""COMPUTED_VALUE"""),39)</f>
        <v>39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IFERROR(__xludf.DUMMYFUNCTION("""COMPUTED_VALUE"""),"Savannah St.8")</f>
        <v>Savannah St.8</v>
      </c>
      <c r="C192" s="1" t="str">
        <f ca="1">IFERROR(__xludf.DUMMYFUNCTION("""COMPUTED_VALUE"""),"MEAC")</f>
        <v>MEAC</v>
      </c>
      <c r="D192" s="1" t="str">
        <f ca="1">IFERROR(__xludf.DUMMYFUNCTION("""COMPUTED_VALUE"""),"21-12")</f>
        <v>21-12</v>
      </c>
      <c r="E192" s="1">
        <f ca="1">IFERROR(__xludf.DUMMYFUNCTION("""COMPUTED_VALUE"""),-1.73)</f>
        <v>-1.73</v>
      </c>
      <c r="F192" s="1">
        <f ca="1">IFERROR(__xludf.DUMMYFUNCTION("""COMPUTED_VALUE"""),95.2)</f>
        <v>95.2</v>
      </c>
      <c r="G192" s="1">
        <f ca="1">IFERROR(__xludf.DUMMYFUNCTION("""COMPUTED_VALUE"""),294)</f>
        <v>294</v>
      </c>
      <c r="H192" s="1">
        <f ca="1">IFERROR(__xludf.DUMMYFUNCTION("""COMPUTED_VALUE"""),96.9)</f>
        <v>96.9</v>
      </c>
      <c r="I192" s="1">
        <f ca="1">IFERROR(__xludf.DUMMYFUNCTION("""COMPUTED_VALUE"""),60)</f>
        <v>60</v>
      </c>
      <c r="J192" s="1">
        <f ca="1">IFERROR(__xludf.DUMMYFUNCTION("""COMPUTED_VALUE"""),62.8)</f>
        <v>62.8</v>
      </c>
      <c r="K192" s="1">
        <f ca="1">IFERROR(__xludf.DUMMYFUNCTION("""COMPUTED_VALUE"""),276)</f>
        <v>276</v>
      </c>
      <c r="L192" s="1" t="str">
        <f ca="1">IFERROR(__xludf.DUMMYFUNCTION("""COMPUTED_VALUE"""),"+.065")</f>
        <v>+.065</v>
      </c>
      <c r="M192" s="1">
        <f ca="1">IFERROR(__xludf.DUMMYFUNCTION("""COMPUTED_VALUE"""),30)</f>
        <v>30</v>
      </c>
      <c r="N192" s="1">
        <f ca="1">IFERROR(__xludf.DUMMYFUNCTION("""COMPUTED_VALUE"""),-7.51)</f>
        <v>-7.51</v>
      </c>
      <c r="O192" s="1">
        <f ca="1">IFERROR(__xludf.DUMMYFUNCTION("""COMPUTED_VALUE"""),330)</f>
        <v>330</v>
      </c>
      <c r="P192" s="1">
        <f ca="1">IFERROR(__xludf.DUMMYFUNCTION("""COMPUTED_VALUE"""),98.1)</f>
        <v>98.1</v>
      </c>
      <c r="Q192" s="1">
        <f ca="1">IFERROR(__xludf.DUMMYFUNCTION("""COMPUTED_VALUE"""),333)</f>
        <v>333</v>
      </c>
      <c r="R192" s="1">
        <f ca="1">IFERROR(__xludf.DUMMYFUNCTION("""COMPUTED_VALUE"""),105.6)</f>
        <v>105.6</v>
      </c>
      <c r="S192" s="1">
        <f ca="1">IFERROR(__xludf.DUMMYFUNCTION("""COMPUTED_VALUE"""),288)</f>
        <v>288</v>
      </c>
      <c r="T192" s="1" t="str">
        <f ca="1">IFERROR(__xludf.DUMMYFUNCTION("""COMPUTED_VALUE"""),"+0.09")</f>
        <v>+0.09</v>
      </c>
      <c r="U192" s="1">
        <f ca="1">IFERROR(__xludf.DUMMYFUNCTION("""COMPUTED_VALUE"""),153)</f>
        <v>153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IFERROR(__xludf.DUMMYFUNCTION("""COMPUTED_VALUE"""),"Norfolk St.15")</f>
        <v>Norfolk St.15</v>
      </c>
      <c r="C193" s="1" t="str">
        <f ca="1">IFERROR(__xludf.DUMMYFUNCTION("""COMPUTED_VALUE"""),"MEAC")</f>
        <v>MEAC</v>
      </c>
      <c r="D193" s="1" t="str">
        <f ca="1">IFERROR(__xludf.DUMMYFUNCTION("""COMPUTED_VALUE"""),"26-10")</f>
        <v>26-10</v>
      </c>
      <c r="E193" s="1">
        <f ca="1">IFERROR(__xludf.DUMMYFUNCTION("""COMPUTED_VALUE"""),-1.82)</f>
        <v>-1.82</v>
      </c>
      <c r="F193" s="1">
        <f ca="1">IFERROR(__xludf.DUMMYFUNCTION("""COMPUTED_VALUE"""),100.9)</f>
        <v>100.9</v>
      </c>
      <c r="G193" s="1">
        <f ca="1">IFERROR(__xludf.DUMMYFUNCTION("""COMPUTED_VALUE"""),211)</f>
        <v>211</v>
      </c>
      <c r="H193" s="1">
        <f ca="1">IFERROR(__xludf.DUMMYFUNCTION("""COMPUTED_VALUE"""),102.7)</f>
        <v>102.7</v>
      </c>
      <c r="I193" s="1">
        <f ca="1">IFERROR(__xludf.DUMMYFUNCTION("""COMPUTED_VALUE"""),165)</f>
        <v>165</v>
      </c>
      <c r="J193" s="1">
        <f ca="1">IFERROR(__xludf.DUMMYFUNCTION("""COMPUTED_VALUE"""),66.6)</f>
        <v>66.599999999999994</v>
      </c>
      <c r="K193" s="1">
        <f ca="1">IFERROR(__xludf.DUMMYFUNCTION("""COMPUTED_VALUE"""),93)</f>
        <v>93</v>
      </c>
      <c r="L193" s="1" t="str">
        <f ca="1">IFERROR(__xludf.DUMMYFUNCTION("""COMPUTED_VALUE"""),"+.189")</f>
        <v>+.189</v>
      </c>
      <c r="M193" s="1">
        <f ca="1">IFERROR(__xludf.DUMMYFUNCTION("""COMPUTED_VALUE"""),1)</f>
        <v>1</v>
      </c>
      <c r="N193" s="1">
        <f ca="1">IFERROR(__xludf.DUMMYFUNCTION("""COMPUTED_VALUE"""),-6.31)</f>
        <v>-6.31</v>
      </c>
      <c r="O193" s="1">
        <f ca="1">IFERROR(__xludf.DUMMYFUNCTION("""COMPUTED_VALUE"""),313)</f>
        <v>313</v>
      </c>
      <c r="P193" s="1">
        <f ca="1">IFERROR(__xludf.DUMMYFUNCTION("""COMPUTED_VALUE"""),100.3)</f>
        <v>100.3</v>
      </c>
      <c r="Q193" s="1">
        <f ca="1">IFERROR(__xludf.DUMMYFUNCTION("""COMPUTED_VALUE"""),292)</f>
        <v>292</v>
      </c>
      <c r="R193" s="1">
        <f ca="1">IFERROR(__xludf.DUMMYFUNCTION("""COMPUTED_VALUE"""),106.6)</f>
        <v>106.6</v>
      </c>
      <c r="S193" s="1">
        <f ca="1">IFERROR(__xludf.DUMMYFUNCTION("""COMPUTED_VALUE"""),324)</f>
        <v>324</v>
      </c>
      <c r="T193" s="1" t="str">
        <f ca="1">IFERROR(__xludf.DUMMYFUNCTION("""COMPUTED_VALUE"""),"+1.39")</f>
        <v>+1.39</v>
      </c>
      <c r="U193" s="1">
        <f ca="1">IFERROR(__xludf.DUMMYFUNCTION("""COMPUTED_VALUE"""),112)</f>
        <v>112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IFERROR(__xludf.DUMMYFUNCTION("""COMPUTED_VALUE"""),"Columbia")</f>
        <v>Columbia</v>
      </c>
      <c r="C194" s="1" t="str">
        <f ca="1">IFERROR(__xludf.DUMMYFUNCTION("""COMPUTED_VALUE"""),"Ivy")</f>
        <v>Ivy</v>
      </c>
      <c r="D194" s="1" t="str">
        <f ca="1">IFERROR(__xludf.DUMMYFUNCTION("""COMPUTED_VALUE"""),"15-15")</f>
        <v>15-15</v>
      </c>
      <c r="E194" s="1">
        <f ca="1">IFERROR(__xludf.DUMMYFUNCTION("""COMPUTED_VALUE"""),-1.85)</f>
        <v>-1.85</v>
      </c>
      <c r="F194" s="1">
        <f ca="1">IFERROR(__xludf.DUMMYFUNCTION("""COMPUTED_VALUE"""),101.1)</f>
        <v>101.1</v>
      </c>
      <c r="G194" s="1">
        <f ca="1">IFERROR(__xludf.DUMMYFUNCTION("""COMPUTED_VALUE"""),203)</f>
        <v>203</v>
      </c>
      <c r="H194" s="1">
        <f ca="1">IFERROR(__xludf.DUMMYFUNCTION("""COMPUTED_VALUE"""),103)</f>
        <v>103</v>
      </c>
      <c r="I194" s="1">
        <f ca="1">IFERROR(__xludf.DUMMYFUNCTION("""COMPUTED_VALUE"""),178)</f>
        <v>178</v>
      </c>
      <c r="J194" s="1">
        <f ca="1">IFERROR(__xludf.DUMMYFUNCTION("""COMPUTED_VALUE"""),62.4)</f>
        <v>62.4</v>
      </c>
      <c r="K194" s="1">
        <f ca="1">IFERROR(__xludf.DUMMYFUNCTION("""COMPUTED_VALUE"""),288)</f>
        <v>288</v>
      </c>
      <c r="L194" s="1">
        <f ca="1">IFERROR(__xludf.DUMMYFUNCTION("""COMPUTED_VALUE"""),-0.048)</f>
        <v>-4.8000000000000001E-2</v>
      </c>
      <c r="M194" s="1">
        <f ca="1">IFERROR(__xludf.DUMMYFUNCTION("""COMPUTED_VALUE"""),282)</f>
        <v>282</v>
      </c>
      <c r="N194" s="1">
        <f ca="1">IFERROR(__xludf.DUMMYFUNCTION("""COMPUTED_VALUE"""),-2.9)</f>
        <v>-2.9</v>
      </c>
      <c r="O194" s="1">
        <f ca="1">IFERROR(__xludf.DUMMYFUNCTION("""COMPUTED_VALUE"""),227)</f>
        <v>227</v>
      </c>
      <c r="P194" s="1">
        <f ca="1">IFERROR(__xludf.DUMMYFUNCTION("""COMPUTED_VALUE"""),100.8)</f>
        <v>100.8</v>
      </c>
      <c r="Q194" s="1">
        <f ca="1">IFERROR(__xludf.DUMMYFUNCTION("""COMPUTED_VALUE"""),273)</f>
        <v>273</v>
      </c>
      <c r="R194" s="1">
        <f ca="1">IFERROR(__xludf.DUMMYFUNCTION("""COMPUTED_VALUE"""),103.7)</f>
        <v>103.7</v>
      </c>
      <c r="S194" s="1">
        <f ca="1">IFERROR(__xludf.DUMMYFUNCTION("""COMPUTED_VALUE"""),183)</f>
        <v>183</v>
      </c>
      <c r="T194" s="1">
        <f ca="1">IFERROR(__xludf.DUMMYFUNCTION("""COMPUTED_VALUE"""),-4)</f>
        <v>-4</v>
      </c>
      <c r="U194" s="1">
        <f ca="1">IFERROR(__xludf.DUMMYFUNCTION("""COMPUTED_VALUE"""),268)</f>
        <v>268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IFERROR(__xludf.DUMMYFUNCTION("""COMPUTED_VALUE"""),"Coastal Carolina")</f>
        <v>Coastal Carolina</v>
      </c>
      <c r="C195" s="1" t="str">
        <f ca="1">IFERROR(__xludf.DUMMYFUNCTION("""COMPUTED_VALUE"""),"BSth")</f>
        <v>BSth</v>
      </c>
      <c r="D195" s="1" t="str">
        <f ca="1">IFERROR(__xludf.DUMMYFUNCTION("""COMPUTED_VALUE"""),"19-12")</f>
        <v>19-12</v>
      </c>
      <c r="E195" s="1">
        <f ca="1">IFERROR(__xludf.DUMMYFUNCTION("""COMPUTED_VALUE"""),-1.91)</f>
        <v>-1.91</v>
      </c>
      <c r="F195" s="1">
        <f ca="1">IFERROR(__xludf.DUMMYFUNCTION("""COMPUTED_VALUE"""),102.8)</f>
        <v>102.8</v>
      </c>
      <c r="G195" s="1">
        <f ca="1">IFERROR(__xludf.DUMMYFUNCTION("""COMPUTED_VALUE"""),169)</f>
        <v>169</v>
      </c>
      <c r="H195" s="1">
        <f ca="1">IFERROR(__xludf.DUMMYFUNCTION("""COMPUTED_VALUE"""),104.7)</f>
        <v>104.7</v>
      </c>
      <c r="I195" s="1">
        <f ca="1">IFERROR(__xludf.DUMMYFUNCTION("""COMPUTED_VALUE"""),212)</f>
        <v>212</v>
      </c>
      <c r="J195" s="1">
        <f ca="1">IFERROR(__xludf.DUMMYFUNCTION("""COMPUTED_VALUE"""),63.8)</f>
        <v>63.8</v>
      </c>
      <c r="K195" s="1">
        <f ca="1">IFERROR(__xludf.DUMMYFUNCTION("""COMPUTED_VALUE"""),237)</f>
        <v>237</v>
      </c>
      <c r="L195" s="1">
        <f ca="1">IFERROR(__xludf.DUMMYFUNCTION("""COMPUTED_VALUE"""),-0.006)</f>
        <v>-6.0000000000000001E-3</v>
      </c>
      <c r="M195" s="1">
        <f ca="1">IFERROR(__xludf.DUMMYFUNCTION("""COMPUTED_VALUE"""),188)</f>
        <v>188</v>
      </c>
      <c r="N195" s="1">
        <f ca="1">IFERROR(__xludf.DUMMYFUNCTION("""COMPUTED_VALUE"""),-4.95)</f>
        <v>-4.95</v>
      </c>
      <c r="O195" s="1">
        <f ca="1">IFERROR(__xludf.DUMMYFUNCTION("""COMPUTED_VALUE"""),285)</f>
        <v>285</v>
      </c>
      <c r="P195" s="1">
        <f ca="1">IFERROR(__xludf.DUMMYFUNCTION("""COMPUTED_VALUE"""),101.7)</f>
        <v>101.7</v>
      </c>
      <c r="Q195" s="1">
        <f ca="1">IFERROR(__xludf.DUMMYFUNCTION("""COMPUTED_VALUE"""),228)</f>
        <v>228</v>
      </c>
      <c r="R195" s="1">
        <f ca="1">IFERROR(__xludf.DUMMYFUNCTION("""COMPUTED_VALUE"""),106.7)</f>
        <v>106.7</v>
      </c>
      <c r="S195" s="1">
        <f ca="1">IFERROR(__xludf.DUMMYFUNCTION("""COMPUTED_VALUE"""),328)</f>
        <v>328</v>
      </c>
      <c r="T195" s="1">
        <f ca="1">IFERROR(__xludf.DUMMYFUNCTION("""COMPUTED_VALUE"""),-0.77)</f>
        <v>-0.77</v>
      </c>
      <c r="U195" s="1">
        <f ca="1">IFERROR(__xludf.DUMMYFUNCTION("""COMPUTED_VALUE"""),182)</f>
        <v>182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IFERROR(__xludf.DUMMYFUNCTION("""COMPUTED_VALUE"""),"North Florida")</f>
        <v>North Florida</v>
      </c>
      <c r="C196" s="1" t="str">
        <f ca="1">IFERROR(__xludf.DUMMYFUNCTION("""COMPUTED_VALUE"""),"ASun")</f>
        <v>ASun</v>
      </c>
      <c r="D196" s="1" t="str">
        <f ca="1">IFERROR(__xludf.DUMMYFUNCTION("""COMPUTED_VALUE"""),"16-16")</f>
        <v>16-16</v>
      </c>
      <c r="E196" s="1">
        <f ca="1">IFERROR(__xludf.DUMMYFUNCTION("""COMPUTED_VALUE"""),-1.93)</f>
        <v>-1.93</v>
      </c>
      <c r="F196" s="1">
        <f ca="1">IFERROR(__xludf.DUMMYFUNCTION("""COMPUTED_VALUE"""),103.1)</f>
        <v>103.1</v>
      </c>
      <c r="G196" s="1">
        <f ca="1">IFERROR(__xludf.DUMMYFUNCTION("""COMPUTED_VALUE"""),166)</f>
        <v>166</v>
      </c>
      <c r="H196" s="1">
        <f ca="1">IFERROR(__xludf.DUMMYFUNCTION("""COMPUTED_VALUE"""),105.1)</f>
        <v>105.1</v>
      </c>
      <c r="I196" s="1">
        <f ca="1">IFERROR(__xludf.DUMMYFUNCTION("""COMPUTED_VALUE"""),224)</f>
        <v>224</v>
      </c>
      <c r="J196" s="1">
        <f ca="1">IFERROR(__xludf.DUMMYFUNCTION("""COMPUTED_VALUE"""),65.3)</f>
        <v>65.3</v>
      </c>
      <c r="K196" s="1">
        <f ca="1">IFERROR(__xludf.DUMMYFUNCTION("""COMPUTED_VALUE"""),156)</f>
        <v>156</v>
      </c>
      <c r="L196" s="1" t="str">
        <f ca="1">IFERROR(__xludf.DUMMYFUNCTION("""COMPUTED_VALUE"""),"+.065")</f>
        <v>+.065</v>
      </c>
      <c r="M196" s="1">
        <f ca="1">IFERROR(__xludf.DUMMYFUNCTION("""COMPUTED_VALUE"""),29)</f>
        <v>29</v>
      </c>
      <c r="N196" s="1" t="str">
        <f ca="1">IFERROR(__xludf.DUMMYFUNCTION("""COMPUTED_VALUE"""),"+1.09")</f>
        <v>+1.09</v>
      </c>
      <c r="O196" s="1">
        <f ca="1">IFERROR(__xludf.DUMMYFUNCTION("""COMPUTED_VALUE"""),131)</f>
        <v>131</v>
      </c>
      <c r="P196" s="1">
        <f ca="1">IFERROR(__xludf.DUMMYFUNCTION("""COMPUTED_VALUE"""),103.4)</f>
        <v>103.4</v>
      </c>
      <c r="Q196" s="1">
        <f ca="1">IFERROR(__xludf.DUMMYFUNCTION("""COMPUTED_VALUE"""),145)</f>
        <v>145</v>
      </c>
      <c r="R196" s="1">
        <f ca="1">IFERROR(__xludf.DUMMYFUNCTION("""COMPUTED_VALUE"""),102.3)</f>
        <v>102.3</v>
      </c>
      <c r="S196" s="1">
        <f ca="1">IFERROR(__xludf.DUMMYFUNCTION("""COMPUTED_VALUE"""),143)</f>
        <v>143</v>
      </c>
      <c r="T196" s="1" t="str">
        <f ca="1">IFERROR(__xludf.DUMMYFUNCTION("""COMPUTED_VALUE"""),"+6.75")</f>
        <v>+6.75</v>
      </c>
      <c r="U196" s="1">
        <f ca="1">IFERROR(__xludf.DUMMYFUNCTION("""COMPUTED_VALUE"""),24)</f>
        <v>24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IFERROR(__xludf.DUMMYFUNCTION("""COMPUTED_VALUE"""),"Tennessee Tech")</f>
        <v>Tennessee Tech</v>
      </c>
      <c r="C197" s="1" t="str">
        <f ca="1">IFERROR(__xludf.DUMMYFUNCTION("""COMPUTED_VALUE"""),"OVC")</f>
        <v>OVC</v>
      </c>
      <c r="D197" s="1" t="str">
        <f ca="1">IFERROR(__xludf.DUMMYFUNCTION("""COMPUTED_VALUE"""),"19-14")</f>
        <v>19-14</v>
      </c>
      <c r="E197" s="1">
        <f ca="1">IFERROR(__xludf.DUMMYFUNCTION("""COMPUTED_VALUE"""),-2.07)</f>
        <v>-2.0699999999999998</v>
      </c>
      <c r="F197" s="1">
        <f ca="1">IFERROR(__xludf.DUMMYFUNCTION("""COMPUTED_VALUE"""),103.4)</f>
        <v>103.4</v>
      </c>
      <c r="G197" s="1">
        <f ca="1">IFERROR(__xludf.DUMMYFUNCTION("""COMPUTED_VALUE"""),161)</f>
        <v>161</v>
      </c>
      <c r="H197" s="1">
        <f ca="1">IFERROR(__xludf.DUMMYFUNCTION("""COMPUTED_VALUE"""),105.4)</f>
        <v>105.4</v>
      </c>
      <c r="I197" s="1">
        <f ca="1">IFERROR(__xludf.DUMMYFUNCTION("""COMPUTED_VALUE"""),229)</f>
        <v>229</v>
      </c>
      <c r="J197" s="1">
        <f ca="1">IFERROR(__xludf.DUMMYFUNCTION("""COMPUTED_VALUE"""),67.8)</f>
        <v>67.8</v>
      </c>
      <c r="K197" s="1">
        <f ca="1">IFERROR(__xludf.DUMMYFUNCTION("""COMPUTED_VALUE"""),52)</f>
        <v>52</v>
      </c>
      <c r="L197" s="1" t="str">
        <f ca="1">IFERROR(__xludf.DUMMYFUNCTION("""COMPUTED_VALUE"""),"+.067")</f>
        <v>+.067</v>
      </c>
      <c r="M197" s="1">
        <f ca="1">IFERROR(__xludf.DUMMYFUNCTION("""COMPUTED_VALUE"""),27)</f>
        <v>27</v>
      </c>
      <c r="N197" s="1">
        <f ca="1">IFERROR(__xludf.DUMMYFUNCTION("""COMPUTED_VALUE"""),-2.21)</f>
        <v>-2.21</v>
      </c>
      <c r="O197" s="1">
        <f ca="1">IFERROR(__xludf.DUMMYFUNCTION("""COMPUTED_VALUE"""),206)</f>
        <v>206</v>
      </c>
      <c r="P197" s="1">
        <f ca="1">IFERROR(__xludf.DUMMYFUNCTION("""COMPUTED_VALUE"""),102.6)</f>
        <v>102.6</v>
      </c>
      <c r="Q197" s="1">
        <f ca="1">IFERROR(__xludf.DUMMYFUNCTION("""COMPUTED_VALUE"""),179)</f>
        <v>179</v>
      </c>
      <c r="R197" s="1">
        <f ca="1">IFERROR(__xludf.DUMMYFUNCTION("""COMPUTED_VALUE"""),104.8)</f>
        <v>104.8</v>
      </c>
      <c r="S197" s="1">
        <f ca="1">IFERROR(__xludf.DUMMYFUNCTION("""COMPUTED_VALUE"""),246)</f>
        <v>246</v>
      </c>
      <c r="T197" s="1">
        <f ca="1">IFERROR(__xludf.DUMMYFUNCTION("""COMPUTED_VALUE"""),0)</f>
        <v>0</v>
      </c>
      <c r="U197" s="1">
        <f ca="1">IFERROR(__xludf.DUMMYFUNCTION("""COMPUTED_VALUE"""),156)</f>
        <v>156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IFERROR(__xludf.DUMMYFUNCTION("""COMPUTED_VALUE"""),"Air Force")</f>
        <v>Air Force</v>
      </c>
      <c r="C198" s="1" t="str">
        <f ca="1">IFERROR(__xludf.DUMMYFUNCTION("""COMPUTED_VALUE"""),"MWC")</f>
        <v>MWC</v>
      </c>
      <c r="D198" s="1" t="str">
        <f ca="1">IFERROR(__xludf.DUMMYFUNCTION("""COMPUTED_VALUE"""),"13-16")</f>
        <v>13-16</v>
      </c>
      <c r="E198" s="1">
        <f ca="1">IFERROR(__xludf.DUMMYFUNCTION("""COMPUTED_VALUE"""),-2.2)</f>
        <v>-2.2000000000000002</v>
      </c>
      <c r="F198" s="1">
        <f ca="1">IFERROR(__xludf.DUMMYFUNCTION("""COMPUTED_VALUE"""),100)</f>
        <v>100</v>
      </c>
      <c r="G198" s="1">
        <f ca="1">IFERROR(__xludf.DUMMYFUNCTION("""COMPUTED_VALUE"""),229)</f>
        <v>229</v>
      </c>
      <c r="H198" s="1">
        <f ca="1">IFERROR(__xludf.DUMMYFUNCTION("""COMPUTED_VALUE"""),102.2)</f>
        <v>102.2</v>
      </c>
      <c r="I198" s="1">
        <f ca="1">IFERROR(__xludf.DUMMYFUNCTION("""COMPUTED_VALUE"""),155)</f>
        <v>155</v>
      </c>
      <c r="J198" s="1">
        <f ca="1">IFERROR(__xludf.DUMMYFUNCTION("""COMPUTED_VALUE"""),61.1)</f>
        <v>61.1</v>
      </c>
      <c r="K198" s="1">
        <f ca="1">IFERROR(__xludf.DUMMYFUNCTION("""COMPUTED_VALUE"""),319)</f>
        <v>319</v>
      </c>
      <c r="L198" s="1">
        <f ca="1">IFERROR(__xludf.DUMMYFUNCTION("""COMPUTED_VALUE"""),-0.017)</f>
        <v>-1.7000000000000001E-2</v>
      </c>
      <c r="M198" s="1">
        <f ca="1">IFERROR(__xludf.DUMMYFUNCTION("""COMPUTED_VALUE"""),212)</f>
        <v>212</v>
      </c>
      <c r="N198" s="1" t="str">
        <f ca="1">IFERROR(__xludf.DUMMYFUNCTION("""COMPUTED_VALUE"""),"+1.28")</f>
        <v>+1.28</v>
      </c>
      <c r="O198" s="1">
        <f ca="1">IFERROR(__xludf.DUMMYFUNCTION("""COMPUTED_VALUE"""),126)</f>
        <v>126</v>
      </c>
      <c r="P198" s="1">
        <f ca="1">IFERROR(__xludf.DUMMYFUNCTION("""COMPUTED_VALUE"""),102.5)</f>
        <v>102.5</v>
      </c>
      <c r="Q198" s="1">
        <f ca="1">IFERROR(__xludf.DUMMYFUNCTION("""COMPUTED_VALUE"""),185)</f>
        <v>185</v>
      </c>
      <c r="R198" s="1">
        <f ca="1">IFERROR(__xludf.DUMMYFUNCTION("""COMPUTED_VALUE"""),101.2)</f>
        <v>101.2</v>
      </c>
      <c r="S198" s="1">
        <f ca="1">IFERROR(__xludf.DUMMYFUNCTION("""COMPUTED_VALUE"""),94)</f>
        <v>94</v>
      </c>
      <c r="T198" s="1">
        <f ca="1">IFERROR(__xludf.DUMMYFUNCTION("""COMPUTED_VALUE"""),-11.06)</f>
        <v>-11.06</v>
      </c>
      <c r="U198" s="1">
        <f ca="1">IFERROR(__xludf.DUMMYFUNCTION("""COMPUTED_VALUE"""),343)</f>
        <v>343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IFERROR(__xludf.DUMMYFUNCTION("""COMPUTED_VALUE"""),"Northeastern")</f>
        <v>Northeastern</v>
      </c>
      <c r="C199" s="1" t="str">
        <f ca="1">IFERROR(__xludf.DUMMYFUNCTION("""COMPUTED_VALUE"""),"CAA")</f>
        <v>CAA</v>
      </c>
      <c r="D199" s="1" t="str">
        <f ca="1">IFERROR(__xludf.DUMMYFUNCTION("""COMPUTED_VALUE"""),"14-17")</f>
        <v>14-17</v>
      </c>
      <c r="E199" s="1">
        <f ca="1">IFERROR(__xludf.DUMMYFUNCTION("""COMPUTED_VALUE"""),-2.22)</f>
        <v>-2.2200000000000002</v>
      </c>
      <c r="F199" s="1">
        <f ca="1">IFERROR(__xludf.DUMMYFUNCTION("""COMPUTED_VALUE"""),100.5)</f>
        <v>100.5</v>
      </c>
      <c r="G199" s="1">
        <f ca="1">IFERROR(__xludf.DUMMYFUNCTION("""COMPUTED_VALUE"""),221)</f>
        <v>221</v>
      </c>
      <c r="H199" s="1">
        <f ca="1">IFERROR(__xludf.DUMMYFUNCTION("""COMPUTED_VALUE"""),102.7)</f>
        <v>102.7</v>
      </c>
      <c r="I199" s="1">
        <f ca="1">IFERROR(__xludf.DUMMYFUNCTION("""COMPUTED_VALUE"""),167)</f>
        <v>167</v>
      </c>
      <c r="J199" s="1">
        <f ca="1">IFERROR(__xludf.DUMMYFUNCTION("""COMPUTED_VALUE"""),63.6)</f>
        <v>63.6</v>
      </c>
      <c r="K199" s="1">
        <f ca="1">IFERROR(__xludf.DUMMYFUNCTION("""COMPUTED_VALUE"""),247)</f>
        <v>247</v>
      </c>
      <c r="L199" s="1" t="str">
        <f ca="1">IFERROR(__xludf.DUMMYFUNCTION("""COMPUTED_VALUE"""),"+.038")</f>
        <v>+.038</v>
      </c>
      <c r="M199" s="1">
        <f ca="1">IFERROR(__xludf.DUMMYFUNCTION("""COMPUTED_VALUE"""),76)</f>
        <v>76</v>
      </c>
      <c r="N199" s="1" t="str">
        <f ca="1">IFERROR(__xludf.DUMMYFUNCTION("""COMPUTED_VALUE"""),"+1.17")</f>
        <v>+1.17</v>
      </c>
      <c r="O199" s="1">
        <f ca="1">IFERROR(__xludf.DUMMYFUNCTION("""COMPUTED_VALUE"""),128)</f>
        <v>128</v>
      </c>
      <c r="P199" s="1">
        <f ca="1">IFERROR(__xludf.DUMMYFUNCTION("""COMPUTED_VALUE"""),102.4)</f>
        <v>102.4</v>
      </c>
      <c r="Q199" s="1">
        <f ca="1">IFERROR(__xludf.DUMMYFUNCTION("""COMPUTED_VALUE"""),190)</f>
        <v>190</v>
      </c>
      <c r="R199" s="1">
        <f ca="1">IFERROR(__xludf.DUMMYFUNCTION("""COMPUTED_VALUE"""),101.2)</f>
        <v>101.2</v>
      </c>
      <c r="S199" s="1">
        <f ca="1">IFERROR(__xludf.DUMMYFUNCTION("""COMPUTED_VALUE"""),98)</f>
        <v>98</v>
      </c>
      <c r="T199" s="1" t="str">
        <f ca="1">IFERROR(__xludf.DUMMYFUNCTION("""COMPUTED_VALUE"""),"+5.08")</f>
        <v>+5.08</v>
      </c>
      <c r="U199" s="1">
        <f ca="1">IFERROR(__xludf.DUMMYFUNCTION("""COMPUTED_VALUE"""),40)</f>
        <v>40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IFERROR(__xludf.DUMMYFUNCTION("""COMPUTED_VALUE"""),"Houston")</f>
        <v>Houston</v>
      </c>
      <c r="C200" s="1" t="str">
        <f ca="1">IFERROR(__xludf.DUMMYFUNCTION("""COMPUTED_VALUE"""),"CUSA")</f>
        <v>CUSA</v>
      </c>
      <c r="D200" s="1" t="str">
        <f ca="1">IFERROR(__xludf.DUMMYFUNCTION("""COMPUTED_VALUE"""),"15-15")</f>
        <v>15-15</v>
      </c>
      <c r="E200" s="1">
        <f ca="1">IFERROR(__xludf.DUMMYFUNCTION("""COMPUTED_VALUE"""),-2.31)</f>
        <v>-2.31</v>
      </c>
      <c r="F200" s="1">
        <f ca="1">IFERROR(__xludf.DUMMYFUNCTION("""COMPUTED_VALUE"""),105.6)</f>
        <v>105.6</v>
      </c>
      <c r="G200" s="1">
        <f ca="1">IFERROR(__xludf.DUMMYFUNCTION("""COMPUTED_VALUE"""),121)</f>
        <v>121</v>
      </c>
      <c r="H200" s="1">
        <f ca="1">IFERROR(__xludf.DUMMYFUNCTION("""COMPUTED_VALUE"""),107.9)</f>
        <v>107.9</v>
      </c>
      <c r="I200" s="1">
        <f ca="1">IFERROR(__xludf.DUMMYFUNCTION("""COMPUTED_VALUE"""),273)</f>
        <v>273</v>
      </c>
      <c r="J200" s="1">
        <f ca="1">IFERROR(__xludf.DUMMYFUNCTION("""COMPUTED_VALUE"""),66.1)</f>
        <v>66.099999999999994</v>
      </c>
      <c r="K200" s="1">
        <f ca="1">IFERROR(__xludf.DUMMYFUNCTION("""COMPUTED_VALUE"""),117)</f>
        <v>117</v>
      </c>
      <c r="L200" s="1">
        <f ca="1">IFERROR(__xludf.DUMMYFUNCTION("""COMPUTED_VALUE"""),-0.001)</f>
        <v>-1E-3</v>
      </c>
      <c r="M200" s="1">
        <f ca="1">IFERROR(__xludf.DUMMYFUNCTION("""COMPUTED_VALUE"""),174)</f>
        <v>174</v>
      </c>
      <c r="N200" s="1">
        <f ca="1">IFERROR(__xludf.DUMMYFUNCTION("""COMPUTED_VALUE"""),-1.35)</f>
        <v>-1.35</v>
      </c>
      <c r="O200" s="1">
        <f ca="1">IFERROR(__xludf.DUMMYFUNCTION("""COMPUTED_VALUE"""),182)</f>
        <v>182</v>
      </c>
      <c r="P200" s="1">
        <f ca="1">IFERROR(__xludf.DUMMYFUNCTION("""COMPUTED_VALUE"""),101.6)</f>
        <v>101.6</v>
      </c>
      <c r="Q200" s="1">
        <f ca="1">IFERROR(__xludf.DUMMYFUNCTION("""COMPUTED_VALUE"""),235)</f>
        <v>235</v>
      </c>
      <c r="R200" s="1">
        <f ca="1">IFERROR(__xludf.DUMMYFUNCTION("""COMPUTED_VALUE"""),103)</f>
        <v>103</v>
      </c>
      <c r="S200" s="1">
        <f ca="1">IFERROR(__xludf.DUMMYFUNCTION("""COMPUTED_VALUE"""),161)</f>
        <v>161</v>
      </c>
      <c r="T200" s="1">
        <f ca="1">IFERROR(__xludf.DUMMYFUNCTION("""COMPUTED_VALUE"""),-8.74)</f>
        <v>-8.74</v>
      </c>
      <c r="U200" s="1">
        <f ca="1">IFERROR(__xludf.DUMMYFUNCTION("""COMPUTED_VALUE"""),335)</f>
        <v>335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IFERROR(__xludf.DUMMYFUNCTION("""COMPUTED_VALUE"""),"Miami OH")</f>
        <v>Miami OH</v>
      </c>
      <c r="C201" s="1" t="str">
        <f ca="1">IFERROR(__xludf.DUMMYFUNCTION("""COMPUTED_VALUE"""),"MAC")</f>
        <v>MAC</v>
      </c>
      <c r="D201" s="2">
        <f ca="1">IFERROR(__xludf.DUMMYFUNCTION("""COMPUTED_VALUE"""),44825)</f>
        <v>44825</v>
      </c>
      <c r="E201" s="1">
        <f ca="1">IFERROR(__xludf.DUMMYFUNCTION("""COMPUTED_VALUE"""),-2.61)</f>
        <v>-2.61</v>
      </c>
      <c r="F201" s="1">
        <f ca="1">IFERROR(__xludf.DUMMYFUNCTION("""COMPUTED_VALUE"""),102.4)</f>
        <v>102.4</v>
      </c>
      <c r="G201" s="1">
        <f ca="1">IFERROR(__xludf.DUMMYFUNCTION("""COMPUTED_VALUE"""),175)</f>
        <v>175</v>
      </c>
      <c r="H201" s="1">
        <f ca="1">IFERROR(__xludf.DUMMYFUNCTION("""COMPUTED_VALUE"""),105.1)</f>
        <v>105.1</v>
      </c>
      <c r="I201" s="1">
        <f ca="1">IFERROR(__xludf.DUMMYFUNCTION("""COMPUTED_VALUE"""),223)</f>
        <v>223</v>
      </c>
      <c r="J201" s="1">
        <f ca="1">IFERROR(__xludf.DUMMYFUNCTION("""COMPUTED_VALUE"""),59.5)</f>
        <v>59.5</v>
      </c>
      <c r="K201" s="1">
        <f ca="1">IFERROR(__xludf.DUMMYFUNCTION("""COMPUTED_VALUE"""),335)</f>
        <v>335</v>
      </c>
      <c r="L201" s="1">
        <f ca="1">IFERROR(__xludf.DUMMYFUNCTION("""COMPUTED_VALUE"""),-0.038)</f>
        <v>-3.7999999999999999E-2</v>
      </c>
      <c r="M201" s="1">
        <f ca="1">IFERROR(__xludf.DUMMYFUNCTION("""COMPUTED_VALUE"""),262)</f>
        <v>262</v>
      </c>
      <c r="N201" s="1" t="str">
        <f ca="1">IFERROR(__xludf.DUMMYFUNCTION("""COMPUTED_VALUE"""),"+3.27")</f>
        <v>+3.27</v>
      </c>
      <c r="O201" s="1">
        <f ca="1">IFERROR(__xludf.DUMMYFUNCTION("""COMPUTED_VALUE"""),95)</f>
        <v>95</v>
      </c>
      <c r="P201" s="1">
        <f ca="1">IFERROR(__xludf.DUMMYFUNCTION("""COMPUTED_VALUE"""),105.1)</f>
        <v>105.1</v>
      </c>
      <c r="Q201" s="1">
        <f ca="1">IFERROR(__xludf.DUMMYFUNCTION("""COMPUTED_VALUE"""),74)</f>
        <v>74</v>
      </c>
      <c r="R201" s="1">
        <f ca="1">IFERROR(__xludf.DUMMYFUNCTION("""COMPUTED_VALUE"""),101.8)</f>
        <v>101.8</v>
      </c>
      <c r="S201" s="1">
        <f ca="1">IFERROR(__xludf.DUMMYFUNCTION("""COMPUTED_VALUE"""),119)</f>
        <v>119</v>
      </c>
      <c r="T201" s="1" t="str">
        <f ca="1">IFERROR(__xludf.DUMMYFUNCTION("""COMPUTED_VALUE"""),"+5.56")</f>
        <v>+5.56</v>
      </c>
      <c r="U201" s="1">
        <f ca="1">IFERROR(__xludf.DUMMYFUNCTION("""COMPUTED_VALUE"""),33)</f>
        <v>33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IFERROR(__xludf.DUMMYFUNCTION("""COMPUTED_VALUE"""),"Louisiana Tech")</f>
        <v>Louisiana Tech</v>
      </c>
      <c r="C202" s="1" t="str">
        <f ca="1">IFERROR(__xludf.DUMMYFUNCTION("""COMPUTED_VALUE"""),"WAC")</f>
        <v>WAC</v>
      </c>
      <c r="D202" s="1" t="str">
        <f ca="1">IFERROR(__xludf.DUMMYFUNCTION("""COMPUTED_VALUE"""),"18-16")</f>
        <v>18-16</v>
      </c>
      <c r="E202" s="1">
        <f ca="1">IFERROR(__xludf.DUMMYFUNCTION("""COMPUTED_VALUE"""),-2.62)</f>
        <v>-2.62</v>
      </c>
      <c r="F202" s="1">
        <f ca="1">IFERROR(__xludf.DUMMYFUNCTION("""COMPUTED_VALUE"""),101.1)</f>
        <v>101.1</v>
      </c>
      <c r="G202" s="1">
        <f ca="1">IFERROR(__xludf.DUMMYFUNCTION("""COMPUTED_VALUE"""),204)</f>
        <v>204</v>
      </c>
      <c r="H202" s="1">
        <f ca="1">IFERROR(__xludf.DUMMYFUNCTION("""COMPUTED_VALUE"""),103.7)</f>
        <v>103.7</v>
      </c>
      <c r="I202" s="1">
        <f ca="1">IFERROR(__xludf.DUMMYFUNCTION("""COMPUTED_VALUE"""),190)</f>
        <v>190</v>
      </c>
      <c r="J202" s="1">
        <f ca="1">IFERROR(__xludf.DUMMYFUNCTION("""COMPUTED_VALUE"""),67.2)</f>
        <v>67.2</v>
      </c>
      <c r="K202" s="1">
        <f ca="1">IFERROR(__xludf.DUMMYFUNCTION("""COMPUTED_VALUE"""),71)</f>
        <v>71</v>
      </c>
      <c r="L202" s="1" t="str">
        <f ca="1">IFERROR(__xludf.DUMMYFUNCTION("""COMPUTED_VALUE"""),"+.053")</f>
        <v>+.053</v>
      </c>
      <c r="M202" s="1">
        <f ca="1">IFERROR(__xludf.DUMMYFUNCTION("""COMPUTED_VALUE"""),53)</f>
        <v>53</v>
      </c>
      <c r="N202" s="1">
        <f ca="1">IFERROR(__xludf.DUMMYFUNCTION("""COMPUTED_VALUE"""),-1.38)</f>
        <v>-1.38</v>
      </c>
      <c r="O202" s="1">
        <f ca="1">IFERROR(__xludf.DUMMYFUNCTION("""COMPUTED_VALUE"""),183)</f>
        <v>183</v>
      </c>
      <c r="P202" s="1">
        <f ca="1">IFERROR(__xludf.DUMMYFUNCTION("""COMPUTED_VALUE"""),102.4)</f>
        <v>102.4</v>
      </c>
      <c r="Q202" s="1">
        <f ca="1">IFERROR(__xludf.DUMMYFUNCTION("""COMPUTED_VALUE"""),193)</f>
        <v>193</v>
      </c>
      <c r="R202" s="1">
        <f ca="1">IFERROR(__xludf.DUMMYFUNCTION("""COMPUTED_VALUE"""),103.7)</f>
        <v>103.7</v>
      </c>
      <c r="S202" s="1">
        <f ca="1">IFERROR(__xludf.DUMMYFUNCTION("""COMPUTED_VALUE"""),184)</f>
        <v>184</v>
      </c>
      <c r="T202" s="1">
        <f ca="1">IFERROR(__xludf.DUMMYFUNCTION("""COMPUTED_VALUE"""),-5.21)</f>
        <v>-5.21</v>
      </c>
      <c r="U202" s="1">
        <f ca="1">IFERROR(__xludf.DUMMYFUNCTION("""COMPUTED_VALUE"""),300)</f>
        <v>300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IFERROR(__xludf.DUMMYFUNCTION("""COMPUTED_VALUE"""),"Western Kentucky16")</f>
        <v>Western Kentucky16</v>
      </c>
      <c r="C203" s="1" t="str">
        <f ca="1">IFERROR(__xludf.DUMMYFUNCTION("""COMPUTED_VALUE"""),"SB")</f>
        <v>SB</v>
      </c>
      <c r="D203" s="1" t="str">
        <f ca="1">IFERROR(__xludf.DUMMYFUNCTION("""COMPUTED_VALUE"""),"16-19")</f>
        <v>16-19</v>
      </c>
      <c r="E203" s="1">
        <f ca="1">IFERROR(__xludf.DUMMYFUNCTION("""COMPUTED_VALUE"""),-2.67)</f>
        <v>-2.67</v>
      </c>
      <c r="F203" s="1">
        <f ca="1">IFERROR(__xludf.DUMMYFUNCTION("""COMPUTED_VALUE"""),97.8)</f>
        <v>97.8</v>
      </c>
      <c r="G203" s="1">
        <f ca="1">IFERROR(__xludf.DUMMYFUNCTION("""COMPUTED_VALUE"""),264)</f>
        <v>264</v>
      </c>
      <c r="H203" s="1">
        <f ca="1">IFERROR(__xludf.DUMMYFUNCTION("""COMPUTED_VALUE"""),100.5)</f>
        <v>100.5</v>
      </c>
      <c r="I203" s="1">
        <f ca="1">IFERROR(__xludf.DUMMYFUNCTION("""COMPUTED_VALUE"""),127)</f>
        <v>127</v>
      </c>
      <c r="J203" s="1">
        <f ca="1">IFERROR(__xludf.DUMMYFUNCTION("""COMPUTED_VALUE"""),67.9)</f>
        <v>67.900000000000006</v>
      </c>
      <c r="K203" s="1">
        <f ca="1">IFERROR(__xludf.DUMMYFUNCTION("""COMPUTED_VALUE"""),47)</f>
        <v>47</v>
      </c>
      <c r="L203" s="1" t="str">
        <f ca="1">IFERROR(__xludf.DUMMYFUNCTION("""COMPUTED_VALUE"""),"+.083")</f>
        <v>+.083</v>
      </c>
      <c r="M203" s="1">
        <f ca="1">IFERROR(__xludf.DUMMYFUNCTION("""COMPUTED_VALUE"""),18)</f>
        <v>18</v>
      </c>
      <c r="N203" s="1">
        <f ca="1">IFERROR(__xludf.DUMMYFUNCTION("""COMPUTED_VALUE"""),0)</f>
        <v>0</v>
      </c>
      <c r="O203" s="1">
        <f ca="1">IFERROR(__xludf.DUMMYFUNCTION("""COMPUTED_VALUE"""),156)</f>
        <v>156</v>
      </c>
      <c r="P203" s="1">
        <f ca="1">IFERROR(__xludf.DUMMYFUNCTION("""COMPUTED_VALUE"""),102.3)</f>
        <v>102.3</v>
      </c>
      <c r="Q203" s="1">
        <f ca="1">IFERROR(__xludf.DUMMYFUNCTION("""COMPUTED_VALUE"""),198)</f>
        <v>198</v>
      </c>
      <c r="R203" s="1">
        <f ca="1">IFERROR(__xludf.DUMMYFUNCTION("""COMPUTED_VALUE"""),102.3)</f>
        <v>102.3</v>
      </c>
      <c r="S203" s="1">
        <f ca="1">IFERROR(__xludf.DUMMYFUNCTION("""COMPUTED_VALUE"""),140)</f>
        <v>140</v>
      </c>
      <c r="T203" s="1" t="str">
        <f ca="1">IFERROR(__xludf.DUMMYFUNCTION("""COMPUTED_VALUE"""),"+2.63")</f>
        <v>+2.63</v>
      </c>
      <c r="U203" s="1">
        <f ca="1">IFERROR(__xludf.DUMMYFUNCTION("""COMPUTED_VALUE"""),87)</f>
        <v>87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IFERROR(__xludf.DUMMYFUNCTION("""COMPUTED_VALUE"""),"Arkansas St.")</f>
        <v>Arkansas St.</v>
      </c>
      <c r="C204" s="1" t="str">
        <f ca="1">IFERROR(__xludf.DUMMYFUNCTION("""COMPUTED_VALUE"""),"SB")</f>
        <v>SB</v>
      </c>
      <c r="D204" s="1" t="str">
        <f ca="1">IFERROR(__xludf.DUMMYFUNCTION("""COMPUTED_VALUE"""),"14-20")</f>
        <v>14-20</v>
      </c>
      <c r="E204" s="1">
        <f ca="1">IFERROR(__xludf.DUMMYFUNCTION("""COMPUTED_VALUE"""),-2.68)</f>
        <v>-2.68</v>
      </c>
      <c r="F204" s="1">
        <f ca="1">IFERROR(__xludf.DUMMYFUNCTION("""COMPUTED_VALUE"""),102.6)</f>
        <v>102.6</v>
      </c>
      <c r="G204" s="1">
        <f ca="1">IFERROR(__xludf.DUMMYFUNCTION("""COMPUTED_VALUE"""),172)</f>
        <v>172</v>
      </c>
      <c r="H204" s="1">
        <f ca="1">IFERROR(__xludf.DUMMYFUNCTION("""COMPUTED_VALUE"""),105.3)</f>
        <v>105.3</v>
      </c>
      <c r="I204" s="1">
        <f ca="1">IFERROR(__xludf.DUMMYFUNCTION("""COMPUTED_VALUE"""),227)</f>
        <v>227</v>
      </c>
      <c r="J204" s="1">
        <f ca="1">IFERROR(__xludf.DUMMYFUNCTION("""COMPUTED_VALUE"""),62)</f>
        <v>62</v>
      </c>
      <c r="K204" s="1">
        <f ca="1">IFERROR(__xludf.DUMMYFUNCTION("""COMPUTED_VALUE"""),297)</f>
        <v>297</v>
      </c>
      <c r="L204" s="1">
        <f ca="1">IFERROR(__xludf.DUMMYFUNCTION("""COMPUTED_VALUE"""),-0.024)</f>
        <v>-2.4E-2</v>
      </c>
      <c r="M204" s="1">
        <f ca="1">IFERROR(__xludf.DUMMYFUNCTION("""COMPUTED_VALUE"""),234)</f>
        <v>234</v>
      </c>
      <c r="N204" s="1" t="str">
        <f ca="1">IFERROR(__xludf.DUMMYFUNCTION("""COMPUTED_VALUE"""),"+0.06")</f>
        <v>+0.06</v>
      </c>
      <c r="O204" s="1">
        <f ca="1">IFERROR(__xludf.DUMMYFUNCTION("""COMPUTED_VALUE"""),154)</f>
        <v>154</v>
      </c>
      <c r="P204" s="1">
        <f ca="1">IFERROR(__xludf.DUMMYFUNCTION("""COMPUTED_VALUE"""),102.3)</f>
        <v>102.3</v>
      </c>
      <c r="Q204" s="1">
        <f ca="1">IFERROR(__xludf.DUMMYFUNCTION("""COMPUTED_VALUE"""),195)</f>
        <v>195</v>
      </c>
      <c r="R204" s="1">
        <f ca="1">IFERROR(__xludf.DUMMYFUNCTION("""COMPUTED_VALUE"""),102.2)</f>
        <v>102.2</v>
      </c>
      <c r="S204" s="1">
        <f ca="1">IFERROR(__xludf.DUMMYFUNCTION("""COMPUTED_VALUE"""),136)</f>
        <v>136</v>
      </c>
      <c r="T204" s="1" t="str">
        <f ca="1">IFERROR(__xludf.DUMMYFUNCTION("""COMPUTED_VALUE"""),"+3.40")</f>
        <v>+3.40</v>
      </c>
      <c r="U204" s="1">
        <f ca="1">IFERROR(__xludf.DUMMYFUNCTION("""COMPUTED_VALUE"""),72)</f>
        <v>72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IFERROR(__xludf.DUMMYFUNCTION("""COMPUTED_VALUE"""),"Ball St.")</f>
        <v>Ball St.</v>
      </c>
      <c r="C205" s="1" t="str">
        <f ca="1">IFERROR(__xludf.DUMMYFUNCTION("""COMPUTED_VALUE"""),"MAC")</f>
        <v>MAC</v>
      </c>
      <c r="D205" s="1" t="str">
        <f ca="1">IFERROR(__xludf.DUMMYFUNCTION("""COMPUTED_VALUE"""),"15-15")</f>
        <v>15-15</v>
      </c>
      <c r="E205" s="1">
        <f ca="1">IFERROR(__xludf.DUMMYFUNCTION("""COMPUTED_VALUE"""),-2.69)</f>
        <v>-2.69</v>
      </c>
      <c r="F205" s="1">
        <f ca="1">IFERROR(__xludf.DUMMYFUNCTION("""COMPUTED_VALUE"""),100.1)</f>
        <v>100.1</v>
      </c>
      <c r="G205" s="1">
        <f ca="1">IFERROR(__xludf.DUMMYFUNCTION("""COMPUTED_VALUE"""),227)</f>
        <v>227</v>
      </c>
      <c r="H205" s="1">
        <f ca="1">IFERROR(__xludf.DUMMYFUNCTION("""COMPUTED_VALUE"""),102.8)</f>
        <v>102.8</v>
      </c>
      <c r="I205" s="1">
        <f ca="1">IFERROR(__xludf.DUMMYFUNCTION("""COMPUTED_VALUE"""),171)</f>
        <v>171</v>
      </c>
      <c r="J205" s="1">
        <f ca="1">IFERROR(__xludf.DUMMYFUNCTION("""COMPUTED_VALUE"""),62.3)</f>
        <v>62.3</v>
      </c>
      <c r="K205" s="1">
        <f ca="1">IFERROR(__xludf.DUMMYFUNCTION("""COMPUTED_VALUE"""),290)</f>
        <v>290</v>
      </c>
      <c r="L205" s="1">
        <f ca="1">IFERROR(__xludf.DUMMYFUNCTION("""COMPUTED_VALUE"""),-0.054)</f>
        <v>-5.3999999999999999E-2</v>
      </c>
      <c r="M205" s="1">
        <f ca="1">IFERROR(__xludf.DUMMYFUNCTION("""COMPUTED_VALUE"""),295)</f>
        <v>295</v>
      </c>
      <c r="N205" s="1">
        <f ca="1">IFERROR(__xludf.DUMMYFUNCTION("""COMPUTED_VALUE"""),-4.63)</f>
        <v>-4.63</v>
      </c>
      <c r="O205" s="1">
        <f ca="1">IFERROR(__xludf.DUMMYFUNCTION("""COMPUTED_VALUE"""),277)</f>
        <v>277</v>
      </c>
      <c r="P205" s="1">
        <f ca="1">IFERROR(__xludf.DUMMYFUNCTION("""COMPUTED_VALUE"""),100.1)</f>
        <v>100.1</v>
      </c>
      <c r="Q205" s="1">
        <f ca="1">IFERROR(__xludf.DUMMYFUNCTION("""COMPUTED_VALUE"""),300)</f>
        <v>300</v>
      </c>
      <c r="R205" s="1">
        <f ca="1">IFERROR(__xludf.DUMMYFUNCTION("""COMPUTED_VALUE"""),104.7)</f>
        <v>104.7</v>
      </c>
      <c r="S205" s="1">
        <f ca="1">IFERROR(__xludf.DUMMYFUNCTION("""COMPUTED_VALUE"""),241)</f>
        <v>241</v>
      </c>
      <c r="T205" s="1">
        <f ca="1">IFERROR(__xludf.DUMMYFUNCTION("""COMPUTED_VALUE"""),-7.52)</f>
        <v>-7.52</v>
      </c>
      <c r="U205" s="1">
        <f ca="1">IFERROR(__xludf.DUMMYFUNCTION("""COMPUTED_VALUE"""),330)</f>
        <v>330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IFERROR(__xludf.DUMMYFUNCTION("""COMPUTED_VALUE"""),"Tulane")</f>
        <v>Tulane</v>
      </c>
      <c r="C206" s="1" t="str">
        <f ca="1">IFERROR(__xludf.DUMMYFUNCTION("""COMPUTED_VALUE"""),"CUSA")</f>
        <v>CUSA</v>
      </c>
      <c r="D206" s="1" t="str">
        <f ca="1">IFERROR(__xludf.DUMMYFUNCTION("""COMPUTED_VALUE"""),"15-16")</f>
        <v>15-16</v>
      </c>
      <c r="E206" s="1">
        <f ca="1">IFERROR(__xludf.DUMMYFUNCTION("""COMPUTED_VALUE"""),-2.7)</f>
        <v>-2.7</v>
      </c>
      <c r="F206" s="1">
        <f ca="1">IFERROR(__xludf.DUMMYFUNCTION("""COMPUTED_VALUE"""),97.9)</f>
        <v>97.9</v>
      </c>
      <c r="G206" s="1">
        <f ca="1">IFERROR(__xludf.DUMMYFUNCTION("""COMPUTED_VALUE"""),261)</f>
        <v>261</v>
      </c>
      <c r="H206" s="1">
        <f ca="1">IFERROR(__xludf.DUMMYFUNCTION("""COMPUTED_VALUE"""),100.6)</f>
        <v>100.6</v>
      </c>
      <c r="I206" s="1">
        <f ca="1">IFERROR(__xludf.DUMMYFUNCTION("""COMPUTED_VALUE"""),131)</f>
        <v>131</v>
      </c>
      <c r="J206" s="1">
        <f ca="1">IFERROR(__xludf.DUMMYFUNCTION("""COMPUTED_VALUE"""),64.7)</f>
        <v>64.7</v>
      </c>
      <c r="K206" s="1">
        <f ca="1">IFERROR(__xludf.DUMMYFUNCTION("""COMPUTED_VALUE"""),190)</f>
        <v>190</v>
      </c>
      <c r="L206" s="1">
        <f ca="1">IFERROR(__xludf.DUMMYFUNCTION("""COMPUTED_VALUE"""),-0.071)</f>
        <v>-7.0999999999999994E-2</v>
      </c>
      <c r="M206" s="1">
        <f ca="1">IFERROR(__xludf.DUMMYFUNCTION("""COMPUTED_VALUE"""),322)</f>
        <v>322</v>
      </c>
      <c r="N206" s="1">
        <f ca="1">IFERROR(__xludf.DUMMYFUNCTION("""COMPUTED_VALUE"""),-2.91)</f>
        <v>-2.91</v>
      </c>
      <c r="O206" s="1">
        <f ca="1">IFERROR(__xludf.DUMMYFUNCTION("""COMPUTED_VALUE"""),228)</f>
        <v>228</v>
      </c>
      <c r="P206" s="1">
        <f ca="1">IFERROR(__xludf.DUMMYFUNCTION("""COMPUTED_VALUE"""),100.5)</f>
        <v>100.5</v>
      </c>
      <c r="Q206" s="1">
        <f ca="1">IFERROR(__xludf.DUMMYFUNCTION("""COMPUTED_VALUE"""),283)</f>
        <v>283</v>
      </c>
      <c r="R206" s="1">
        <f ca="1">IFERROR(__xludf.DUMMYFUNCTION("""COMPUTED_VALUE"""),103.4)</f>
        <v>103.4</v>
      </c>
      <c r="S206" s="1">
        <f ca="1">IFERROR(__xludf.DUMMYFUNCTION("""COMPUTED_VALUE"""),175)</f>
        <v>175</v>
      </c>
      <c r="T206" s="1">
        <f ca="1">IFERROR(__xludf.DUMMYFUNCTION("""COMPUTED_VALUE"""),-14.36)</f>
        <v>-14.36</v>
      </c>
      <c r="U206" s="1">
        <f ca="1">IFERROR(__xludf.DUMMYFUNCTION("""COMPUTED_VALUE"""),345)</f>
        <v>345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IFERROR(__xludf.DUMMYFUNCTION("""COMPUTED_VALUE"""),"Wofford")</f>
        <v>Wofford</v>
      </c>
      <c r="C207" s="1" t="str">
        <f ca="1">IFERROR(__xludf.DUMMYFUNCTION("""COMPUTED_VALUE"""),"SC")</f>
        <v>SC</v>
      </c>
      <c r="D207" s="1" t="str">
        <f ca="1">IFERROR(__xludf.DUMMYFUNCTION("""COMPUTED_VALUE"""),"19-14")</f>
        <v>19-14</v>
      </c>
      <c r="E207" s="1">
        <f ca="1">IFERROR(__xludf.DUMMYFUNCTION("""COMPUTED_VALUE"""),-2.75)</f>
        <v>-2.75</v>
      </c>
      <c r="F207" s="1">
        <f ca="1">IFERROR(__xludf.DUMMYFUNCTION("""COMPUTED_VALUE"""),101.9)</f>
        <v>101.9</v>
      </c>
      <c r="G207" s="1">
        <f ca="1">IFERROR(__xludf.DUMMYFUNCTION("""COMPUTED_VALUE"""),187)</f>
        <v>187</v>
      </c>
      <c r="H207" s="1">
        <f ca="1">IFERROR(__xludf.DUMMYFUNCTION("""COMPUTED_VALUE"""),104.7)</f>
        <v>104.7</v>
      </c>
      <c r="I207" s="1">
        <f ca="1">IFERROR(__xludf.DUMMYFUNCTION("""COMPUTED_VALUE"""),211)</f>
        <v>211</v>
      </c>
      <c r="J207" s="1">
        <f ca="1">IFERROR(__xludf.DUMMYFUNCTION("""COMPUTED_VALUE"""),60.9)</f>
        <v>60.9</v>
      </c>
      <c r="K207" s="1">
        <f ca="1">IFERROR(__xludf.DUMMYFUNCTION("""COMPUTED_VALUE"""),321)</f>
        <v>321</v>
      </c>
      <c r="L207" s="1" t="str">
        <f ca="1">IFERROR(__xludf.DUMMYFUNCTION("""COMPUTED_VALUE"""),"+.048")</f>
        <v>+.048</v>
      </c>
      <c r="M207" s="1">
        <f ca="1">IFERROR(__xludf.DUMMYFUNCTION("""COMPUTED_VALUE"""),59)</f>
        <v>59</v>
      </c>
      <c r="N207" s="1">
        <f ca="1">IFERROR(__xludf.DUMMYFUNCTION("""COMPUTED_VALUE"""),-4.25)</f>
        <v>-4.25</v>
      </c>
      <c r="O207" s="1">
        <f ca="1">IFERROR(__xludf.DUMMYFUNCTION("""COMPUTED_VALUE"""),264)</f>
        <v>264</v>
      </c>
      <c r="P207" s="1">
        <f ca="1">IFERROR(__xludf.DUMMYFUNCTION("""COMPUTED_VALUE"""),101)</f>
        <v>101</v>
      </c>
      <c r="Q207" s="1">
        <f ca="1">IFERROR(__xludf.DUMMYFUNCTION("""COMPUTED_VALUE"""),262)</f>
        <v>262</v>
      </c>
      <c r="R207" s="1">
        <f ca="1">IFERROR(__xludf.DUMMYFUNCTION("""COMPUTED_VALUE"""),105.2)</f>
        <v>105.2</v>
      </c>
      <c r="S207" s="1">
        <f ca="1">IFERROR(__xludf.DUMMYFUNCTION("""COMPUTED_VALUE"""),271)</f>
        <v>271</v>
      </c>
      <c r="T207" s="1">
        <f ca="1">IFERROR(__xludf.DUMMYFUNCTION("""COMPUTED_VALUE"""),-1.18)</f>
        <v>-1.18</v>
      </c>
      <c r="U207" s="1">
        <f ca="1">IFERROR(__xludf.DUMMYFUNCTION("""COMPUTED_VALUE"""),191)</f>
        <v>191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IFERROR(__xludf.DUMMYFUNCTION("""COMPUTED_VALUE"""),"Morehead St.")</f>
        <v>Morehead St.</v>
      </c>
      <c r="C208" s="1" t="str">
        <f ca="1">IFERROR(__xludf.DUMMYFUNCTION("""COMPUTED_VALUE"""),"OVC")</f>
        <v>OVC</v>
      </c>
      <c r="D208" s="1" t="str">
        <f ca="1">IFERROR(__xludf.DUMMYFUNCTION("""COMPUTED_VALUE"""),"18-15")</f>
        <v>18-15</v>
      </c>
      <c r="E208" s="1">
        <f ca="1">IFERROR(__xludf.DUMMYFUNCTION("""COMPUTED_VALUE"""),-2.75)</f>
        <v>-2.75</v>
      </c>
      <c r="F208" s="1">
        <f ca="1">IFERROR(__xludf.DUMMYFUNCTION("""COMPUTED_VALUE"""),100.5)</f>
        <v>100.5</v>
      </c>
      <c r="G208" s="1">
        <f ca="1">IFERROR(__xludf.DUMMYFUNCTION("""COMPUTED_VALUE"""),224)</f>
        <v>224</v>
      </c>
      <c r="H208" s="1">
        <f ca="1">IFERROR(__xludf.DUMMYFUNCTION("""COMPUTED_VALUE"""),103.2)</f>
        <v>103.2</v>
      </c>
      <c r="I208" s="1">
        <f ca="1">IFERROR(__xludf.DUMMYFUNCTION("""COMPUTED_VALUE"""),180)</f>
        <v>180</v>
      </c>
      <c r="J208" s="1">
        <f ca="1">IFERROR(__xludf.DUMMYFUNCTION("""COMPUTED_VALUE"""),59.8)</f>
        <v>59.8</v>
      </c>
      <c r="K208" s="1">
        <f ca="1">IFERROR(__xludf.DUMMYFUNCTION("""COMPUTED_VALUE"""),333)</f>
        <v>333</v>
      </c>
      <c r="L208" s="1" t="str">
        <f ca="1">IFERROR(__xludf.DUMMYFUNCTION("""COMPUTED_VALUE"""),"+.027")</f>
        <v>+.027</v>
      </c>
      <c r="M208" s="1">
        <f ca="1">IFERROR(__xludf.DUMMYFUNCTION("""COMPUTED_VALUE"""),98)</f>
        <v>98</v>
      </c>
      <c r="N208" s="1">
        <f ca="1">IFERROR(__xludf.DUMMYFUNCTION("""COMPUTED_VALUE"""),-2.41)</f>
        <v>-2.41</v>
      </c>
      <c r="O208" s="1">
        <f ca="1">IFERROR(__xludf.DUMMYFUNCTION("""COMPUTED_VALUE"""),213)</f>
        <v>213</v>
      </c>
      <c r="P208" s="1">
        <f ca="1">IFERROR(__xludf.DUMMYFUNCTION("""COMPUTED_VALUE"""),102.1)</f>
        <v>102.1</v>
      </c>
      <c r="Q208" s="1">
        <f ca="1">IFERROR(__xludf.DUMMYFUNCTION("""COMPUTED_VALUE"""),206)</f>
        <v>206</v>
      </c>
      <c r="R208" s="1">
        <f ca="1">IFERROR(__xludf.DUMMYFUNCTION("""COMPUTED_VALUE"""),104.5)</f>
        <v>104.5</v>
      </c>
      <c r="S208" s="1">
        <f ca="1">IFERROR(__xludf.DUMMYFUNCTION("""COMPUTED_VALUE"""),225)</f>
        <v>225</v>
      </c>
      <c r="T208" s="1" t="str">
        <f ca="1">IFERROR(__xludf.DUMMYFUNCTION("""COMPUTED_VALUE"""),"+3.82")</f>
        <v>+3.82</v>
      </c>
      <c r="U208" s="1">
        <f ca="1">IFERROR(__xludf.DUMMYFUNCTION("""COMPUTED_VALUE"""),66)</f>
        <v>66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IFERROR(__xludf.DUMMYFUNCTION("""COMPUTED_VALUE"""),"Albany")</f>
        <v>Albany</v>
      </c>
      <c r="C209" s="1" t="str">
        <f ca="1">IFERROR(__xludf.DUMMYFUNCTION("""COMPUTED_VALUE"""),"AE")</f>
        <v>AE</v>
      </c>
      <c r="D209" s="1" t="str">
        <f ca="1">IFERROR(__xludf.DUMMYFUNCTION("""COMPUTED_VALUE"""),"19-15")</f>
        <v>19-15</v>
      </c>
      <c r="E209" s="1">
        <f ca="1">IFERROR(__xludf.DUMMYFUNCTION("""COMPUTED_VALUE"""),-2.8)</f>
        <v>-2.8</v>
      </c>
      <c r="F209" s="1">
        <f ca="1">IFERROR(__xludf.DUMMYFUNCTION("""COMPUTED_VALUE"""),108.8)</f>
        <v>108.8</v>
      </c>
      <c r="G209" s="1">
        <f ca="1">IFERROR(__xludf.DUMMYFUNCTION("""COMPUTED_VALUE"""),71)</f>
        <v>71</v>
      </c>
      <c r="H209" s="1">
        <f ca="1">IFERROR(__xludf.DUMMYFUNCTION("""COMPUTED_VALUE"""),111.6)</f>
        <v>111.6</v>
      </c>
      <c r="I209" s="1">
        <f ca="1">IFERROR(__xludf.DUMMYFUNCTION("""COMPUTED_VALUE"""),320)</f>
        <v>320</v>
      </c>
      <c r="J209" s="1">
        <f ca="1">IFERROR(__xludf.DUMMYFUNCTION("""COMPUTED_VALUE"""),64.7)</f>
        <v>64.7</v>
      </c>
      <c r="K209" s="1">
        <f ca="1">IFERROR(__xludf.DUMMYFUNCTION("""COMPUTED_VALUE"""),189)</f>
        <v>189</v>
      </c>
      <c r="L209" s="1">
        <f ca="1">IFERROR(__xludf.DUMMYFUNCTION("""COMPUTED_VALUE"""),-0.019)</f>
        <v>-1.9E-2</v>
      </c>
      <c r="M209" s="1">
        <f ca="1">IFERROR(__xludf.DUMMYFUNCTION("""COMPUTED_VALUE"""),220)</f>
        <v>220</v>
      </c>
      <c r="N209" s="1">
        <f ca="1">IFERROR(__xludf.DUMMYFUNCTION("""COMPUTED_VALUE"""),-8.11)</f>
        <v>-8.11</v>
      </c>
      <c r="O209" s="1">
        <f ca="1">IFERROR(__xludf.DUMMYFUNCTION("""COMPUTED_VALUE"""),335)</f>
        <v>335</v>
      </c>
      <c r="P209" s="1">
        <f ca="1">IFERROR(__xludf.DUMMYFUNCTION("""COMPUTED_VALUE"""),97.4)</f>
        <v>97.4</v>
      </c>
      <c r="Q209" s="1">
        <f ca="1">IFERROR(__xludf.DUMMYFUNCTION("""COMPUTED_VALUE"""),335)</f>
        <v>335</v>
      </c>
      <c r="R209" s="1">
        <f ca="1">IFERROR(__xludf.DUMMYFUNCTION("""COMPUTED_VALUE"""),105.5)</f>
        <v>105.5</v>
      </c>
      <c r="S209" s="1">
        <f ca="1">IFERROR(__xludf.DUMMYFUNCTION("""COMPUTED_VALUE"""),284)</f>
        <v>284</v>
      </c>
      <c r="T209" s="1">
        <f ca="1">IFERROR(__xludf.DUMMYFUNCTION("""COMPUTED_VALUE"""),-5.75)</f>
        <v>-5.75</v>
      </c>
      <c r="U209" s="1">
        <f ca="1">IFERROR(__xludf.DUMMYFUNCTION("""COMPUTED_VALUE"""),311)</f>
        <v>311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IFERROR(__xludf.DUMMYFUNCTION("""COMPUTED_VALUE"""),"SMU")</f>
        <v>SMU</v>
      </c>
      <c r="C210" s="1" t="str">
        <f ca="1">IFERROR(__xludf.DUMMYFUNCTION("""COMPUTED_VALUE"""),"CUSA")</f>
        <v>CUSA</v>
      </c>
      <c r="D210" s="1" t="str">
        <f ca="1">IFERROR(__xludf.DUMMYFUNCTION("""COMPUTED_VALUE"""),"13-19")</f>
        <v>13-19</v>
      </c>
      <c r="E210" s="1">
        <f ca="1">IFERROR(__xludf.DUMMYFUNCTION("""COMPUTED_VALUE"""),-2.92)</f>
        <v>-2.92</v>
      </c>
      <c r="F210" s="1">
        <f ca="1">IFERROR(__xludf.DUMMYFUNCTION("""COMPUTED_VALUE"""),98)</f>
        <v>98</v>
      </c>
      <c r="G210" s="1">
        <f ca="1">IFERROR(__xludf.DUMMYFUNCTION("""COMPUTED_VALUE"""),259)</f>
        <v>259</v>
      </c>
      <c r="H210" s="1">
        <f ca="1">IFERROR(__xludf.DUMMYFUNCTION("""COMPUTED_VALUE"""),100.9)</f>
        <v>100.9</v>
      </c>
      <c r="I210" s="1">
        <f ca="1">IFERROR(__xludf.DUMMYFUNCTION("""COMPUTED_VALUE"""),134)</f>
        <v>134</v>
      </c>
      <c r="J210" s="1">
        <f ca="1">IFERROR(__xludf.DUMMYFUNCTION("""COMPUTED_VALUE"""),59.3)</f>
        <v>59.3</v>
      </c>
      <c r="K210" s="1">
        <f ca="1">IFERROR(__xludf.DUMMYFUNCTION("""COMPUTED_VALUE"""),338)</f>
        <v>338</v>
      </c>
      <c r="L210" s="1">
        <f ca="1">IFERROR(__xludf.DUMMYFUNCTION("""COMPUTED_VALUE"""),-0.03)</f>
        <v>-0.03</v>
      </c>
      <c r="M210" s="1">
        <f ca="1">IFERROR(__xludf.DUMMYFUNCTION("""COMPUTED_VALUE"""),251)</f>
        <v>251</v>
      </c>
      <c r="N210" s="1" t="str">
        <f ca="1">IFERROR(__xludf.DUMMYFUNCTION("""COMPUTED_VALUE"""),"+0.88")</f>
        <v>+0.88</v>
      </c>
      <c r="O210" s="1">
        <f ca="1">IFERROR(__xludf.DUMMYFUNCTION("""COMPUTED_VALUE"""),137)</f>
        <v>137</v>
      </c>
      <c r="P210" s="1">
        <f ca="1">IFERROR(__xludf.DUMMYFUNCTION("""COMPUTED_VALUE"""),103.5)</f>
        <v>103.5</v>
      </c>
      <c r="Q210" s="1">
        <f ca="1">IFERROR(__xludf.DUMMYFUNCTION("""COMPUTED_VALUE"""),140)</f>
        <v>140</v>
      </c>
      <c r="R210" s="1">
        <f ca="1">IFERROR(__xludf.DUMMYFUNCTION("""COMPUTED_VALUE"""),102.6)</f>
        <v>102.6</v>
      </c>
      <c r="S210" s="1">
        <f ca="1">IFERROR(__xludf.DUMMYFUNCTION("""COMPUTED_VALUE"""),146)</f>
        <v>146</v>
      </c>
      <c r="T210" s="1">
        <f ca="1">IFERROR(__xludf.DUMMYFUNCTION("""COMPUTED_VALUE"""),-3)</f>
        <v>-3</v>
      </c>
      <c r="U210" s="1">
        <f ca="1">IFERROR(__xludf.DUMMYFUNCTION("""COMPUTED_VALUE"""),243)</f>
        <v>243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IFERROR(__xludf.DUMMYFUNCTION("""COMPUTED_VALUE"""),"Florida Atlantic")</f>
        <v>Florida Atlantic</v>
      </c>
      <c r="C213" s="1" t="str">
        <f ca="1">IFERROR(__xludf.DUMMYFUNCTION("""COMPUTED_VALUE"""),"SB")</f>
        <v>SB</v>
      </c>
      <c r="D213" s="2">
        <f ca="1">IFERROR(__xludf.DUMMYFUNCTION("""COMPUTED_VALUE"""),44884)</f>
        <v>44884</v>
      </c>
      <c r="E213" s="1">
        <f ca="1">IFERROR(__xludf.DUMMYFUNCTION("""COMPUTED_VALUE"""),-2.99)</f>
        <v>-2.99</v>
      </c>
      <c r="F213" s="1">
        <f ca="1">IFERROR(__xludf.DUMMYFUNCTION("""COMPUTED_VALUE"""),101.5)</f>
        <v>101.5</v>
      </c>
      <c r="G213" s="1">
        <f ca="1">IFERROR(__xludf.DUMMYFUNCTION("""COMPUTED_VALUE"""),193)</f>
        <v>193</v>
      </c>
      <c r="H213" s="1">
        <f ca="1">IFERROR(__xludf.DUMMYFUNCTION("""COMPUTED_VALUE"""),104.4)</f>
        <v>104.4</v>
      </c>
      <c r="I213" s="1">
        <f ca="1">IFERROR(__xludf.DUMMYFUNCTION("""COMPUTED_VALUE"""),206)</f>
        <v>206</v>
      </c>
      <c r="J213" s="1">
        <f ca="1">IFERROR(__xludf.DUMMYFUNCTION("""COMPUTED_VALUE"""),63.4)</f>
        <v>63.4</v>
      </c>
      <c r="K213" s="1">
        <f ca="1">IFERROR(__xludf.DUMMYFUNCTION("""COMPUTED_VALUE"""),255)</f>
        <v>255</v>
      </c>
      <c r="L213" s="1">
        <f ca="1">IFERROR(__xludf.DUMMYFUNCTION("""COMPUTED_VALUE"""),-0.048)</f>
        <v>-4.8000000000000001E-2</v>
      </c>
      <c r="M213" s="1">
        <f ca="1">IFERROR(__xludf.DUMMYFUNCTION("""COMPUTED_VALUE"""),278)</f>
        <v>278</v>
      </c>
      <c r="N213" s="1" t="str">
        <f ca="1">IFERROR(__xludf.DUMMYFUNCTION("""COMPUTED_VALUE"""),"+1.74")</f>
        <v>+1.74</v>
      </c>
      <c r="O213" s="1">
        <f ca="1">IFERROR(__xludf.DUMMYFUNCTION("""COMPUTED_VALUE"""),120)</f>
        <v>120</v>
      </c>
      <c r="P213" s="1">
        <f ca="1">IFERROR(__xludf.DUMMYFUNCTION("""COMPUTED_VALUE"""),103.3)</f>
        <v>103.3</v>
      </c>
      <c r="Q213" s="1">
        <f ca="1">IFERROR(__xludf.DUMMYFUNCTION("""COMPUTED_VALUE"""),150)</f>
        <v>150</v>
      </c>
      <c r="R213" s="1">
        <f ca="1">IFERROR(__xludf.DUMMYFUNCTION("""COMPUTED_VALUE"""),101.6)</f>
        <v>101.6</v>
      </c>
      <c r="S213" s="1">
        <f ca="1">IFERROR(__xludf.DUMMYFUNCTION("""COMPUTED_VALUE"""),112)</f>
        <v>112</v>
      </c>
      <c r="T213" s="1" t="str">
        <f ca="1">IFERROR(__xludf.DUMMYFUNCTION("""COMPUTED_VALUE"""),"+8.65")</f>
        <v>+8.65</v>
      </c>
      <c r="U213" s="1">
        <f ca="1">IFERROR(__xludf.DUMMYFUNCTION("""COMPUTED_VALUE"""),13)</f>
        <v>13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IFERROR(__xludf.DUMMYFUNCTION("""COMPUTED_VALUE"""),"IUPUI")</f>
        <v>IUPUI</v>
      </c>
      <c r="C214" s="1" t="str">
        <f ca="1">IFERROR(__xludf.DUMMYFUNCTION("""COMPUTED_VALUE"""),"Sum")</f>
        <v>Sum</v>
      </c>
      <c r="D214" s="1" t="str">
        <f ca="1">IFERROR(__xludf.DUMMYFUNCTION("""COMPUTED_VALUE"""),"14-18")</f>
        <v>14-18</v>
      </c>
      <c r="E214" s="1">
        <f ca="1">IFERROR(__xludf.DUMMYFUNCTION("""COMPUTED_VALUE"""),-3.04)</f>
        <v>-3.04</v>
      </c>
      <c r="F214" s="1">
        <f ca="1">IFERROR(__xludf.DUMMYFUNCTION("""COMPUTED_VALUE"""),107.9)</f>
        <v>107.9</v>
      </c>
      <c r="G214" s="1">
        <f ca="1">IFERROR(__xludf.DUMMYFUNCTION("""COMPUTED_VALUE"""),85)</f>
        <v>85</v>
      </c>
      <c r="H214" s="1">
        <f ca="1">IFERROR(__xludf.DUMMYFUNCTION("""COMPUTED_VALUE"""),110.9)</f>
        <v>110.9</v>
      </c>
      <c r="I214" s="1">
        <f ca="1">IFERROR(__xludf.DUMMYFUNCTION("""COMPUTED_VALUE"""),313)</f>
        <v>313</v>
      </c>
      <c r="J214" s="1">
        <f ca="1">IFERROR(__xludf.DUMMYFUNCTION("""COMPUTED_VALUE"""),65.3)</f>
        <v>65.3</v>
      </c>
      <c r="K214" s="1">
        <f ca="1">IFERROR(__xludf.DUMMYFUNCTION("""COMPUTED_VALUE"""),153)</f>
        <v>153</v>
      </c>
      <c r="L214" s="1">
        <f ca="1">IFERROR(__xludf.DUMMYFUNCTION("""COMPUTED_VALUE"""),-0.028)</f>
        <v>-2.8000000000000001E-2</v>
      </c>
      <c r="M214" s="1">
        <f ca="1">IFERROR(__xludf.DUMMYFUNCTION("""COMPUTED_VALUE"""),245)</f>
        <v>245</v>
      </c>
      <c r="N214" s="1">
        <f ca="1">IFERROR(__xludf.DUMMYFUNCTION("""COMPUTED_VALUE"""),-1.59)</f>
        <v>-1.59</v>
      </c>
      <c r="O214" s="1">
        <f ca="1">IFERROR(__xludf.DUMMYFUNCTION("""COMPUTED_VALUE"""),191)</f>
        <v>191</v>
      </c>
      <c r="P214" s="1">
        <f ca="1">IFERROR(__xludf.DUMMYFUNCTION("""COMPUTED_VALUE"""),102.8)</f>
        <v>102.8</v>
      </c>
      <c r="Q214" s="1">
        <f ca="1">IFERROR(__xludf.DUMMYFUNCTION("""COMPUTED_VALUE"""),169)</f>
        <v>169</v>
      </c>
      <c r="R214" s="1">
        <f ca="1">IFERROR(__xludf.DUMMYFUNCTION("""COMPUTED_VALUE"""),104.4)</f>
        <v>104.4</v>
      </c>
      <c r="S214" s="1">
        <f ca="1">IFERROR(__xludf.DUMMYFUNCTION("""COMPUTED_VALUE"""),218)</f>
        <v>218</v>
      </c>
      <c r="T214" s="1">
        <f ca="1">IFERROR(__xludf.DUMMYFUNCTION("""COMPUTED_VALUE"""),-1.2)</f>
        <v>-1.2</v>
      </c>
      <c r="U214" s="1">
        <f ca="1">IFERROR(__xludf.DUMMYFUNCTION("""COMPUTED_VALUE"""),192)</f>
        <v>192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IFERROR(__xludf.DUMMYFUNCTION("""COMPUTED_VALUE"""),"Jacksonville St.")</f>
        <v>Jacksonville St.</v>
      </c>
      <c r="C215" s="1" t="str">
        <f ca="1">IFERROR(__xludf.DUMMYFUNCTION("""COMPUTED_VALUE"""),"OVC")</f>
        <v>OVC</v>
      </c>
      <c r="D215" s="1" t="str">
        <f ca="1">IFERROR(__xludf.DUMMYFUNCTION("""COMPUTED_VALUE"""),"15-18")</f>
        <v>15-18</v>
      </c>
      <c r="E215" s="1">
        <f ca="1">IFERROR(__xludf.DUMMYFUNCTION("""COMPUTED_VALUE"""),-3.24)</f>
        <v>-3.24</v>
      </c>
      <c r="F215" s="1">
        <f ca="1">IFERROR(__xludf.DUMMYFUNCTION("""COMPUTED_VALUE"""),98.6)</f>
        <v>98.6</v>
      </c>
      <c r="G215" s="1">
        <f ca="1">IFERROR(__xludf.DUMMYFUNCTION("""COMPUTED_VALUE"""),248)</f>
        <v>248</v>
      </c>
      <c r="H215" s="1">
        <f ca="1">IFERROR(__xludf.DUMMYFUNCTION("""COMPUTED_VALUE"""),101.8)</f>
        <v>101.8</v>
      </c>
      <c r="I215" s="1">
        <f ca="1">IFERROR(__xludf.DUMMYFUNCTION("""COMPUTED_VALUE"""),150)</f>
        <v>150</v>
      </c>
      <c r="J215" s="1">
        <f ca="1">IFERROR(__xludf.DUMMYFUNCTION("""COMPUTED_VALUE"""),63.3)</f>
        <v>63.3</v>
      </c>
      <c r="K215" s="1">
        <f ca="1">IFERROR(__xludf.DUMMYFUNCTION("""COMPUTED_VALUE"""),260)</f>
        <v>260</v>
      </c>
      <c r="L215" s="1">
        <f ca="1">IFERROR(__xludf.DUMMYFUNCTION("""COMPUTED_VALUE"""),-0.084)</f>
        <v>-8.4000000000000005E-2</v>
      </c>
      <c r="M215" s="1">
        <f ca="1">IFERROR(__xludf.DUMMYFUNCTION("""COMPUTED_VALUE"""),331)</f>
        <v>331</v>
      </c>
      <c r="N215" s="1">
        <f ca="1">IFERROR(__xludf.DUMMYFUNCTION("""COMPUTED_VALUE"""),-4.72)</f>
        <v>-4.72</v>
      </c>
      <c r="O215" s="1">
        <f ca="1">IFERROR(__xludf.DUMMYFUNCTION("""COMPUTED_VALUE"""),280)</f>
        <v>280</v>
      </c>
      <c r="P215" s="1">
        <f ca="1">IFERROR(__xludf.DUMMYFUNCTION("""COMPUTED_VALUE"""),100.9)</f>
        <v>100.9</v>
      </c>
      <c r="Q215" s="1">
        <f ca="1">IFERROR(__xludf.DUMMYFUNCTION("""COMPUTED_VALUE"""),266)</f>
        <v>266</v>
      </c>
      <c r="R215" s="1">
        <f ca="1">IFERROR(__xludf.DUMMYFUNCTION("""COMPUTED_VALUE"""),105.6)</f>
        <v>105.6</v>
      </c>
      <c r="S215" s="1">
        <f ca="1">IFERROR(__xludf.DUMMYFUNCTION("""COMPUTED_VALUE"""),289)</f>
        <v>289</v>
      </c>
      <c r="T215" s="1">
        <f ca="1">IFERROR(__xludf.DUMMYFUNCTION("""COMPUTED_VALUE"""),-1.53)</f>
        <v>-1.53</v>
      </c>
      <c r="U215" s="1">
        <f ca="1">IFERROR(__xludf.DUMMYFUNCTION("""COMPUTED_VALUE"""),199)</f>
        <v>199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IFERROR(__xludf.DUMMYFUNCTION("""COMPUTED_VALUE"""),"Louisiana Lafayette")</f>
        <v>Louisiana Lafayette</v>
      </c>
      <c r="C216" s="1" t="str">
        <f ca="1">IFERROR(__xludf.DUMMYFUNCTION("""COMPUTED_VALUE"""),"SB")</f>
        <v>SB</v>
      </c>
      <c r="D216" s="1" t="str">
        <f ca="1">IFERROR(__xludf.DUMMYFUNCTION("""COMPUTED_VALUE"""),"16-16")</f>
        <v>16-16</v>
      </c>
      <c r="E216" s="1">
        <f ca="1">IFERROR(__xludf.DUMMYFUNCTION("""COMPUTED_VALUE"""),-3.27)</f>
        <v>-3.27</v>
      </c>
      <c r="F216" s="1">
        <f ca="1">IFERROR(__xludf.DUMMYFUNCTION("""COMPUTED_VALUE"""),94.5)</f>
        <v>94.5</v>
      </c>
      <c r="G216" s="1">
        <f ca="1">IFERROR(__xludf.DUMMYFUNCTION("""COMPUTED_VALUE"""),302)</f>
        <v>302</v>
      </c>
      <c r="H216" s="1">
        <f ca="1">IFERROR(__xludf.DUMMYFUNCTION("""COMPUTED_VALUE"""),97.8)</f>
        <v>97.8</v>
      </c>
      <c r="I216" s="1">
        <f ca="1">IFERROR(__xludf.DUMMYFUNCTION("""COMPUTED_VALUE"""),75)</f>
        <v>75</v>
      </c>
      <c r="J216" s="1">
        <f ca="1">IFERROR(__xludf.DUMMYFUNCTION("""COMPUTED_VALUE"""),68.7)</f>
        <v>68.7</v>
      </c>
      <c r="K216" s="1">
        <f ca="1">IFERROR(__xludf.DUMMYFUNCTION("""COMPUTED_VALUE"""),32)</f>
        <v>32</v>
      </c>
      <c r="L216" s="1" t="str">
        <f ca="1">IFERROR(__xludf.DUMMYFUNCTION("""COMPUTED_VALUE"""),"+.018")</f>
        <v>+.018</v>
      </c>
      <c r="M216" s="1">
        <f ca="1">IFERROR(__xludf.DUMMYFUNCTION("""COMPUTED_VALUE"""),129)</f>
        <v>129</v>
      </c>
      <c r="N216" s="1">
        <f ca="1">IFERROR(__xludf.DUMMYFUNCTION("""COMPUTED_VALUE"""),-2.19)</f>
        <v>-2.19</v>
      </c>
      <c r="O216" s="1">
        <f ca="1">IFERROR(__xludf.DUMMYFUNCTION("""COMPUTED_VALUE"""),203)</f>
        <v>203</v>
      </c>
      <c r="P216" s="1">
        <f ca="1">IFERROR(__xludf.DUMMYFUNCTION("""COMPUTED_VALUE"""),102.4)</f>
        <v>102.4</v>
      </c>
      <c r="Q216" s="1">
        <f ca="1">IFERROR(__xludf.DUMMYFUNCTION("""COMPUTED_VALUE"""),186)</f>
        <v>186</v>
      </c>
      <c r="R216" s="1">
        <f ca="1">IFERROR(__xludf.DUMMYFUNCTION("""COMPUTED_VALUE"""),104.6)</f>
        <v>104.6</v>
      </c>
      <c r="S216" s="1">
        <f ca="1">IFERROR(__xludf.DUMMYFUNCTION("""COMPUTED_VALUE"""),236)</f>
        <v>236</v>
      </c>
      <c r="T216" s="1">
        <f ca="1">IFERROR(__xludf.DUMMYFUNCTION("""COMPUTED_VALUE"""),-1.21)</f>
        <v>-1.21</v>
      </c>
      <c r="U216" s="1">
        <f ca="1">IFERROR(__xludf.DUMMYFUNCTION("""COMPUTED_VALUE"""),193)</f>
        <v>193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IFERROR(__xludf.DUMMYFUNCTION("""COMPUTED_VALUE"""),"Portland St.")</f>
        <v>Portland St.</v>
      </c>
      <c r="C217" s="1" t="str">
        <f ca="1">IFERROR(__xludf.DUMMYFUNCTION("""COMPUTED_VALUE"""),"BSky")</f>
        <v>BSky</v>
      </c>
      <c r="D217" s="1" t="str">
        <f ca="1">IFERROR(__xludf.DUMMYFUNCTION("""COMPUTED_VALUE"""),"17-15")</f>
        <v>17-15</v>
      </c>
      <c r="E217" s="1">
        <f ca="1">IFERROR(__xludf.DUMMYFUNCTION("""COMPUTED_VALUE"""),-3.36)</f>
        <v>-3.36</v>
      </c>
      <c r="F217" s="1">
        <f ca="1">IFERROR(__xludf.DUMMYFUNCTION("""COMPUTED_VALUE"""),108)</f>
        <v>108</v>
      </c>
      <c r="G217" s="1">
        <f ca="1">IFERROR(__xludf.DUMMYFUNCTION("""COMPUTED_VALUE"""),83)</f>
        <v>83</v>
      </c>
      <c r="H217" s="1">
        <f ca="1">IFERROR(__xludf.DUMMYFUNCTION("""COMPUTED_VALUE"""),111.4)</f>
        <v>111.4</v>
      </c>
      <c r="I217" s="1">
        <f ca="1">IFERROR(__xludf.DUMMYFUNCTION("""COMPUTED_VALUE"""),317)</f>
        <v>317</v>
      </c>
      <c r="J217" s="1">
        <f ca="1">IFERROR(__xludf.DUMMYFUNCTION("""COMPUTED_VALUE"""),66.1)</f>
        <v>66.099999999999994</v>
      </c>
      <c r="K217" s="1">
        <f ca="1">IFERROR(__xludf.DUMMYFUNCTION("""COMPUTED_VALUE"""),119)</f>
        <v>119</v>
      </c>
      <c r="L217" s="1">
        <f ca="1">IFERROR(__xludf.DUMMYFUNCTION("""COMPUTED_VALUE"""),-0.004)</f>
        <v>-4.0000000000000001E-3</v>
      </c>
      <c r="M217" s="1">
        <f ca="1">IFERROR(__xludf.DUMMYFUNCTION("""COMPUTED_VALUE"""),182)</f>
        <v>182</v>
      </c>
      <c r="N217" s="1">
        <f ca="1">IFERROR(__xludf.DUMMYFUNCTION("""COMPUTED_VALUE"""),-4.45)</f>
        <v>-4.45</v>
      </c>
      <c r="O217" s="1">
        <f ca="1">IFERROR(__xludf.DUMMYFUNCTION("""COMPUTED_VALUE"""),273)</f>
        <v>273</v>
      </c>
      <c r="P217" s="1">
        <f ca="1">IFERROR(__xludf.DUMMYFUNCTION("""COMPUTED_VALUE"""),101.9)</f>
        <v>101.9</v>
      </c>
      <c r="Q217" s="1">
        <f ca="1">IFERROR(__xludf.DUMMYFUNCTION("""COMPUTED_VALUE"""),209)</f>
        <v>209</v>
      </c>
      <c r="R217" s="1">
        <f ca="1">IFERROR(__xludf.DUMMYFUNCTION("""COMPUTED_VALUE"""),106.4)</f>
        <v>106.4</v>
      </c>
      <c r="S217" s="1">
        <f ca="1">IFERROR(__xludf.DUMMYFUNCTION("""COMPUTED_VALUE"""),319)</f>
        <v>319</v>
      </c>
      <c r="T217" s="1" t="str">
        <f ca="1">IFERROR(__xludf.DUMMYFUNCTION("""COMPUTED_VALUE"""),"+1.72")</f>
        <v>+1.72</v>
      </c>
      <c r="U217" s="1">
        <f ca="1">IFERROR(__xludf.DUMMYFUNCTION("""COMPUTED_VALUE"""),104)</f>
        <v>104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IFERROR(__xludf.DUMMYFUNCTION("""COMPUTED_VALUE"""),"Toledo")</f>
        <v>Toledo</v>
      </c>
      <c r="C218" s="1" t="str">
        <f ca="1">IFERROR(__xludf.DUMMYFUNCTION("""COMPUTED_VALUE"""),"MAC")</f>
        <v>MAC</v>
      </c>
      <c r="D218" s="1" t="str">
        <f ca="1">IFERROR(__xludf.DUMMYFUNCTION("""COMPUTED_VALUE"""),"19-17")</f>
        <v>19-17</v>
      </c>
      <c r="E218" s="1">
        <f ca="1">IFERROR(__xludf.DUMMYFUNCTION("""COMPUTED_VALUE"""),-3.41)</f>
        <v>-3.41</v>
      </c>
      <c r="F218" s="1">
        <f ca="1">IFERROR(__xludf.DUMMYFUNCTION("""COMPUTED_VALUE"""),103.4)</f>
        <v>103.4</v>
      </c>
      <c r="G218" s="1">
        <f ca="1">IFERROR(__xludf.DUMMYFUNCTION("""COMPUTED_VALUE"""),160)</f>
        <v>160</v>
      </c>
      <c r="H218" s="1">
        <f ca="1">IFERROR(__xludf.DUMMYFUNCTION("""COMPUTED_VALUE"""),106.8)</f>
        <v>106.8</v>
      </c>
      <c r="I218" s="1">
        <f ca="1">IFERROR(__xludf.DUMMYFUNCTION("""COMPUTED_VALUE"""),260)</f>
        <v>260</v>
      </c>
      <c r="J218" s="1">
        <f ca="1">IFERROR(__xludf.DUMMYFUNCTION("""COMPUTED_VALUE"""),65.7)</f>
        <v>65.7</v>
      </c>
      <c r="K218" s="1">
        <f ca="1">IFERROR(__xludf.DUMMYFUNCTION("""COMPUTED_VALUE"""),136)</f>
        <v>136</v>
      </c>
      <c r="L218" s="1">
        <f ca="1">IFERROR(__xludf.DUMMYFUNCTION("""COMPUTED_VALUE"""),-0.014)</f>
        <v>-1.4E-2</v>
      </c>
      <c r="M218" s="1">
        <f ca="1">IFERROR(__xludf.DUMMYFUNCTION("""COMPUTED_VALUE"""),203)</f>
        <v>203</v>
      </c>
      <c r="N218" s="1">
        <f ca="1">IFERROR(__xludf.DUMMYFUNCTION("""COMPUTED_VALUE"""),-4.66)</f>
        <v>-4.66</v>
      </c>
      <c r="O218" s="1">
        <f ca="1">IFERROR(__xludf.DUMMYFUNCTION("""COMPUTED_VALUE"""),278)</f>
        <v>278</v>
      </c>
      <c r="P218" s="1">
        <f ca="1">IFERROR(__xludf.DUMMYFUNCTION("""COMPUTED_VALUE"""),99.8)</f>
        <v>99.8</v>
      </c>
      <c r="Q218" s="1">
        <f ca="1">IFERROR(__xludf.DUMMYFUNCTION("""COMPUTED_VALUE"""),305)</f>
        <v>305</v>
      </c>
      <c r="R218" s="1">
        <f ca="1">IFERROR(__xludf.DUMMYFUNCTION("""COMPUTED_VALUE"""),104.5)</f>
        <v>104.5</v>
      </c>
      <c r="S218" s="1">
        <f ca="1">IFERROR(__xludf.DUMMYFUNCTION("""COMPUTED_VALUE"""),223)</f>
        <v>223</v>
      </c>
      <c r="T218" s="1">
        <f ca="1">IFERROR(__xludf.DUMMYFUNCTION("""COMPUTED_VALUE"""),-6.78)</f>
        <v>-6.78</v>
      </c>
      <c r="U218" s="1">
        <f ca="1">IFERROR(__xludf.DUMMYFUNCTION("""COMPUTED_VALUE"""),321)</f>
        <v>321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IFERROR(__xludf.DUMMYFUNCTION("""COMPUTED_VALUE"""),"Cornell")</f>
        <v>Cornell</v>
      </c>
      <c r="C219" s="1" t="str">
        <f ca="1">IFERROR(__xludf.DUMMYFUNCTION("""COMPUTED_VALUE"""),"Ivy")</f>
        <v>Ivy</v>
      </c>
      <c r="D219" s="2">
        <f ca="1">IFERROR(__xludf.DUMMYFUNCTION("""COMPUTED_VALUE"""),44911)</f>
        <v>44911</v>
      </c>
      <c r="E219" s="1">
        <f ca="1">IFERROR(__xludf.DUMMYFUNCTION("""COMPUTED_VALUE"""),-3.43)</f>
        <v>-3.43</v>
      </c>
      <c r="F219" s="1">
        <f ca="1">IFERROR(__xludf.DUMMYFUNCTION("""COMPUTED_VALUE"""),98.1)</f>
        <v>98.1</v>
      </c>
      <c r="G219" s="1">
        <f ca="1">IFERROR(__xludf.DUMMYFUNCTION("""COMPUTED_VALUE"""),257)</f>
        <v>257</v>
      </c>
      <c r="H219" s="1">
        <f ca="1">IFERROR(__xludf.DUMMYFUNCTION("""COMPUTED_VALUE"""),101.6)</f>
        <v>101.6</v>
      </c>
      <c r="I219" s="1">
        <f ca="1">IFERROR(__xludf.DUMMYFUNCTION("""COMPUTED_VALUE"""),143)</f>
        <v>143</v>
      </c>
      <c r="J219" s="1">
        <f ca="1">IFERROR(__xludf.DUMMYFUNCTION("""COMPUTED_VALUE"""),67.3)</f>
        <v>67.3</v>
      </c>
      <c r="K219" s="1">
        <f ca="1">IFERROR(__xludf.DUMMYFUNCTION("""COMPUTED_VALUE"""),69)</f>
        <v>69</v>
      </c>
      <c r="L219" s="1" t="str">
        <f ca="1">IFERROR(__xludf.DUMMYFUNCTION("""COMPUTED_VALUE"""),"+.029")</f>
        <v>+.029</v>
      </c>
      <c r="M219" s="1">
        <f ca="1">IFERROR(__xludf.DUMMYFUNCTION("""COMPUTED_VALUE"""),95)</f>
        <v>95</v>
      </c>
      <c r="N219" s="1" t="str">
        <f ca="1">IFERROR(__xludf.DUMMYFUNCTION("""COMPUTED_VALUE"""),"+1.01")</f>
        <v>+1.01</v>
      </c>
      <c r="O219" s="1">
        <f ca="1">IFERROR(__xludf.DUMMYFUNCTION("""COMPUTED_VALUE"""),132)</f>
        <v>132</v>
      </c>
      <c r="P219" s="1">
        <f ca="1">IFERROR(__xludf.DUMMYFUNCTION("""COMPUTED_VALUE"""),102.9)</f>
        <v>102.9</v>
      </c>
      <c r="Q219" s="1">
        <f ca="1">IFERROR(__xludf.DUMMYFUNCTION("""COMPUTED_VALUE"""),158)</f>
        <v>158</v>
      </c>
      <c r="R219" s="1">
        <f ca="1">IFERROR(__xludf.DUMMYFUNCTION("""COMPUTED_VALUE"""),101.9)</f>
        <v>101.9</v>
      </c>
      <c r="S219" s="1">
        <f ca="1">IFERROR(__xludf.DUMMYFUNCTION("""COMPUTED_VALUE"""),125)</f>
        <v>125</v>
      </c>
      <c r="T219" s="1" t="str">
        <f ca="1">IFERROR(__xludf.DUMMYFUNCTION("""COMPUTED_VALUE"""),"+3.66")</f>
        <v>+3.66</v>
      </c>
      <c r="U219" s="1">
        <f ca="1">IFERROR(__xludf.DUMMYFUNCTION("""COMPUTED_VALUE"""),68)</f>
        <v>68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IFERROR(__xludf.DUMMYFUNCTION("""COMPUTED_VALUE"""),"Eastern Washington")</f>
        <v>Eastern Washington</v>
      </c>
      <c r="C220" s="1" t="str">
        <f ca="1">IFERROR(__xludf.DUMMYFUNCTION("""COMPUTED_VALUE"""),"BSky")</f>
        <v>BSky</v>
      </c>
      <c r="D220" s="1" t="str">
        <f ca="1">IFERROR(__xludf.DUMMYFUNCTION("""COMPUTED_VALUE"""),"15-17")</f>
        <v>15-17</v>
      </c>
      <c r="E220" s="1">
        <f ca="1">IFERROR(__xludf.DUMMYFUNCTION("""COMPUTED_VALUE"""),-3.49)</f>
        <v>-3.49</v>
      </c>
      <c r="F220" s="1">
        <f ca="1">IFERROR(__xludf.DUMMYFUNCTION("""COMPUTED_VALUE"""),101.4)</f>
        <v>101.4</v>
      </c>
      <c r="G220" s="1">
        <f ca="1">IFERROR(__xludf.DUMMYFUNCTION("""COMPUTED_VALUE"""),197)</f>
        <v>197</v>
      </c>
      <c r="H220" s="1">
        <f ca="1">IFERROR(__xludf.DUMMYFUNCTION("""COMPUTED_VALUE"""),104.9)</f>
        <v>104.9</v>
      </c>
      <c r="I220" s="1">
        <f ca="1">IFERROR(__xludf.DUMMYFUNCTION("""COMPUTED_VALUE"""),218)</f>
        <v>218</v>
      </c>
      <c r="J220" s="1">
        <f ca="1">IFERROR(__xludf.DUMMYFUNCTION("""COMPUTED_VALUE"""),67.6)</f>
        <v>67.599999999999994</v>
      </c>
      <c r="K220" s="1">
        <f ca="1">IFERROR(__xludf.DUMMYFUNCTION("""COMPUTED_VALUE"""),55)</f>
        <v>55</v>
      </c>
      <c r="L220" s="1">
        <f ca="1">IFERROR(__xludf.DUMMYFUNCTION("""COMPUTED_VALUE"""),-0.047)</f>
        <v>-4.7E-2</v>
      </c>
      <c r="M220" s="1">
        <f ca="1">IFERROR(__xludf.DUMMYFUNCTION("""COMPUTED_VALUE"""),275)</f>
        <v>275</v>
      </c>
      <c r="N220" s="1">
        <f ca="1">IFERROR(__xludf.DUMMYFUNCTION("""COMPUTED_VALUE"""),-3.05)</f>
        <v>-3.05</v>
      </c>
      <c r="O220" s="1">
        <f ca="1">IFERROR(__xludf.DUMMYFUNCTION("""COMPUTED_VALUE"""),233)</f>
        <v>233</v>
      </c>
      <c r="P220" s="1">
        <f ca="1">IFERROR(__xludf.DUMMYFUNCTION("""COMPUTED_VALUE"""),103.3)</f>
        <v>103.3</v>
      </c>
      <c r="Q220" s="1">
        <f ca="1">IFERROR(__xludf.DUMMYFUNCTION("""COMPUTED_VALUE"""),149)</f>
        <v>149</v>
      </c>
      <c r="R220" s="1">
        <f ca="1">IFERROR(__xludf.DUMMYFUNCTION("""COMPUTED_VALUE"""),106.4)</f>
        <v>106.4</v>
      </c>
      <c r="S220" s="1">
        <f ca="1">IFERROR(__xludf.DUMMYFUNCTION("""COMPUTED_VALUE"""),318)</f>
        <v>318</v>
      </c>
      <c r="T220" s="1" t="str">
        <f ca="1">IFERROR(__xludf.DUMMYFUNCTION("""COMPUTED_VALUE"""),"+5.29")</f>
        <v>+5.29</v>
      </c>
      <c r="U220" s="1">
        <f ca="1">IFERROR(__xludf.DUMMYFUNCTION("""COMPUTED_VALUE"""),34)</f>
        <v>34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IFERROR(__xludf.DUMMYFUNCTION("""COMPUTED_VALUE"""),"Austin Peay")</f>
        <v>Austin Peay</v>
      </c>
      <c r="C221" s="1" t="str">
        <f ca="1">IFERROR(__xludf.DUMMYFUNCTION("""COMPUTED_VALUE"""),"OVC")</f>
        <v>OVC</v>
      </c>
      <c r="D221" s="2">
        <f ca="1">IFERROR(__xludf.DUMMYFUNCTION("""COMPUTED_VALUE"""),44915)</f>
        <v>44915</v>
      </c>
      <c r="E221" s="1">
        <f ca="1">IFERROR(__xludf.DUMMYFUNCTION("""COMPUTED_VALUE"""),-3.5)</f>
        <v>-3.5</v>
      </c>
      <c r="F221" s="1">
        <f ca="1">IFERROR(__xludf.DUMMYFUNCTION("""COMPUTED_VALUE"""),102.5)</f>
        <v>102.5</v>
      </c>
      <c r="G221" s="1">
        <f ca="1">IFERROR(__xludf.DUMMYFUNCTION("""COMPUTED_VALUE"""),174)</f>
        <v>174</v>
      </c>
      <c r="H221" s="1">
        <f ca="1">IFERROR(__xludf.DUMMYFUNCTION("""COMPUTED_VALUE"""),106)</f>
        <v>106</v>
      </c>
      <c r="I221" s="1">
        <f ca="1">IFERROR(__xludf.DUMMYFUNCTION("""COMPUTED_VALUE"""),237)</f>
        <v>237</v>
      </c>
      <c r="J221" s="1">
        <f ca="1">IFERROR(__xludf.DUMMYFUNCTION("""COMPUTED_VALUE"""),67.5)</f>
        <v>67.5</v>
      </c>
      <c r="K221" s="1">
        <f ca="1">IFERROR(__xludf.DUMMYFUNCTION("""COMPUTED_VALUE"""),58)</f>
        <v>58</v>
      </c>
      <c r="L221" s="1">
        <f ca="1">IFERROR(__xludf.DUMMYFUNCTION("""COMPUTED_VALUE"""),-0.03)</f>
        <v>-0.03</v>
      </c>
      <c r="M221" s="1">
        <f ca="1">IFERROR(__xludf.DUMMYFUNCTION("""COMPUTED_VALUE"""),252)</f>
        <v>252</v>
      </c>
      <c r="N221" s="1" t="str">
        <f ca="1">IFERROR(__xludf.DUMMYFUNCTION("""COMPUTED_VALUE"""),"+0.84")</f>
        <v>+0.84</v>
      </c>
      <c r="O221" s="1">
        <f ca="1">IFERROR(__xludf.DUMMYFUNCTION("""COMPUTED_VALUE"""),138)</f>
        <v>138</v>
      </c>
      <c r="P221" s="1">
        <f ca="1">IFERROR(__xludf.DUMMYFUNCTION("""COMPUTED_VALUE"""),104.2)</f>
        <v>104.2</v>
      </c>
      <c r="Q221" s="1">
        <f ca="1">IFERROR(__xludf.DUMMYFUNCTION("""COMPUTED_VALUE"""),107)</f>
        <v>107</v>
      </c>
      <c r="R221" s="1">
        <f ca="1">IFERROR(__xludf.DUMMYFUNCTION("""COMPUTED_VALUE"""),103.4)</f>
        <v>103.4</v>
      </c>
      <c r="S221" s="1">
        <f ca="1">IFERROR(__xludf.DUMMYFUNCTION("""COMPUTED_VALUE"""),169)</f>
        <v>169</v>
      </c>
      <c r="T221" s="1" t="str">
        <f ca="1">IFERROR(__xludf.DUMMYFUNCTION("""COMPUTED_VALUE"""),"+9.54")</f>
        <v>+9.54</v>
      </c>
      <c r="U221" s="1">
        <f ca="1">IFERROR(__xludf.DUMMYFUNCTION("""COMPUTED_VALUE"""),6)</f>
        <v>6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IFERROR(__xludf.DUMMYFUNCTION("""COMPUTED_VALUE"""),"South Alabama")</f>
        <v>South Alabama</v>
      </c>
      <c r="C222" s="1" t="str">
        <f ca="1">IFERROR(__xludf.DUMMYFUNCTION("""COMPUTED_VALUE"""),"SB")</f>
        <v>SB</v>
      </c>
      <c r="D222" s="1" t="str">
        <f ca="1">IFERROR(__xludf.DUMMYFUNCTION("""COMPUTED_VALUE"""),"17-12")</f>
        <v>17-12</v>
      </c>
      <c r="E222" s="1">
        <f ca="1">IFERROR(__xludf.DUMMYFUNCTION("""COMPUTED_VALUE"""),-3.57)</f>
        <v>-3.57</v>
      </c>
      <c r="F222" s="1">
        <f ca="1">IFERROR(__xludf.DUMMYFUNCTION("""COMPUTED_VALUE"""),101.1)</f>
        <v>101.1</v>
      </c>
      <c r="G222" s="1">
        <f ca="1">IFERROR(__xludf.DUMMYFUNCTION("""COMPUTED_VALUE"""),207)</f>
        <v>207</v>
      </c>
      <c r="H222" s="1">
        <f ca="1">IFERROR(__xludf.DUMMYFUNCTION("""COMPUTED_VALUE"""),104.6)</f>
        <v>104.6</v>
      </c>
      <c r="I222" s="1">
        <f ca="1">IFERROR(__xludf.DUMMYFUNCTION("""COMPUTED_VALUE"""),210)</f>
        <v>210</v>
      </c>
      <c r="J222" s="1">
        <f ca="1">IFERROR(__xludf.DUMMYFUNCTION("""COMPUTED_VALUE"""),64.8)</f>
        <v>64.8</v>
      </c>
      <c r="K222" s="1">
        <f ca="1">IFERROR(__xludf.DUMMYFUNCTION("""COMPUTED_VALUE"""),181)</f>
        <v>181</v>
      </c>
      <c r="L222" s="1" t="str">
        <f ca="1">IFERROR(__xludf.DUMMYFUNCTION("""COMPUTED_VALUE"""),"+.104")</f>
        <v>+.104</v>
      </c>
      <c r="M222" s="1">
        <f ca="1">IFERROR(__xludf.DUMMYFUNCTION("""COMPUTED_VALUE"""),9)</f>
        <v>9</v>
      </c>
      <c r="N222" s="1">
        <f ca="1">IFERROR(__xludf.DUMMYFUNCTION("""COMPUTED_VALUE"""),-2.69)</f>
        <v>-2.69</v>
      </c>
      <c r="O222" s="1">
        <f ca="1">IFERROR(__xludf.DUMMYFUNCTION("""COMPUTED_VALUE"""),222)</f>
        <v>222</v>
      </c>
      <c r="P222" s="1">
        <f ca="1">IFERROR(__xludf.DUMMYFUNCTION("""COMPUTED_VALUE"""),101.2)</f>
        <v>101.2</v>
      </c>
      <c r="Q222" s="1">
        <f ca="1">IFERROR(__xludf.DUMMYFUNCTION("""COMPUTED_VALUE"""),250)</f>
        <v>250</v>
      </c>
      <c r="R222" s="1">
        <f ca="1">IFERROR(__xludf.DUMMYFUNCTION("""COMPUTED_VALUE"""),103.9)</f>
        <v>103.9</v>
      </c>
      <c r="S222" s="1">
        <f ca="1">IFERROR(__xludf.DUMMYFUNCTION("""COMPUTED_VALUE"""),193)</f>
        <v>193</v>
      </c>
      <c r="T222" s="1">
        <f ca="1">IFERROR(__xludf.DUMMYFUNCTION("""COMPUTED_VALUE"""),-3.25)</f>
        <v>-3.25</v>
      </c>
      <c r="U222" s="1">
        <f ca="1">IFERROR(__xludf.DUMMYFUNCTION("""COMPUTED_VALUE"""),250)</f>
        <v>250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IFERROR(__xludf.DUMMYFUNCTION("""COMPUTED_VALUE"""),"Wake Forest")</f>
        <v>Wake Forest</v>
      </c>
      <c r="C223" s="1" t="str">
        <f ca="1">IFERROR(__xludf.DUMMYFUNCTION("""COMPUTED_VALUE"""),"ACC")</f>
        <v>ACC</v>
      </c>
      <c r="D223" s="1" t="str">
        <f ca="1">IFERROR(__xludf.DUMMYFUNCTION("""COMPUTED_VALUE"""),"13-18")</f>
        <v>13-18</v>
      </c>
      <c r="E223" s="1">
        <f ca="1">IFERROR(__xludf.DUMMYFUNCTION("""COMPUTED_VALUE"""),-3.85)</f>
        <v>-3.85</v>
      </c>
      <c r="F223" s="1">
        <f ca="1">IFERROR(__xludf.DUMMYFUNCTION("""COMPUTED_VALUE"""),102.2)</f>
        <v>102.2</v>
      </c>
      <c r="G223" s="1">
        <f ca="1">IFERROR(__xludf.DUMMYFUNCTION("""COMPUTED_VALUE"""),177)</f>
        <v>177</v>
      </c>
      <c r="H223" s="1">
        <f ca="1">IFERROR(__xludf.DUMMYFUNCTION("""COMPUTED_VALUE"""),106.1)</f>
        <v>106.1</v>
      </c>
      <c r="I223" s="1">
        <f ca="1">IFERROR(__xludf.DUMMYFUNCTION("""COMPUTED_VALUE"""),240)</f>
        <v>240</v>
      </c>
      <c r="J223" s="1">
        <f ca="1">IFERROR(__xludf.DUMMYFUNCTION("""COMPUTED_VALUE"""),66)</f>
        <v>66</v>
      </c>
      <c r="K223" s="1">
        <f ca="1">IFERROR(__xludf.DUMMYFUNCTION("""COMPUTED_VALUE"""),120)</f>
        <v>120</v>
      </c>
      <c r="L223" s="1" t="str">
        <f ca="1">IFERROR(__xludf.DUMMYFUNCTION("""COMPUTED_VALUE"""),"+.058")</f>
        <v>+.058</v>
      </c>
      <c r="M223" s="1">
        <f ca="1">IFERROR(__xludf.DUMMYFUNCTION("""COMPUTED_VALUE"""),43)</f>
        <v>43</v>
      </c>
      <c r="N223" s="1" t="str">
        <f ca="1">IFERROR(__xludf.DUMMYFUNCTION("""COMPUTED_VALUE"""),"+2.88")</f>
        <v>+2.88</v>
      </c>
      <c r="O223" s="1">
        <f ca="1">IFERROR(__xludf.DUMMYFUNCTION("""COMPUTED_VALUE"""),101)</f>
        <v>101</v>
      </c>
      <c r="P223" s="1">
        <f ca="1">IFERROR(__xludf.DUMMYFUNCTION("""COMPUTED_VALUE"""),104.1)</f>
        <v>104.1</v>
      </c>
      <c r="Q223" s="1">
        <f ca="1">IFERROR(__xludf.DUMMYFUNCTION("""COMPUTED_VALUE"""),112)</f>
        <v>112</v>
      </c>
      <c r="R223" s="1">
        <f ca="1">IFERROR(__xludf.DUMMYFUNCTION("""COMPUTED_VALUE"""),101.3)</f>
        <v>101.3</v>
      </c>
      <c r="S223" s="1">
        <f ca="1">IFERROR(__xludf.DUMMYFUNCTION("""COMPUTED_VALUE"""),101)</f>
        <v>101</v>
      </c>
      <c r="T223" s="1">
        <f ca="1">IFERROR(__xludf.DUMMYFUNCTION("""COMPUTED_VALUE"""),-3.99)</f>
        <v>-3.99</v>
      </c>
      <c r="U223" s="1">
        <f ca="1">IFERROR(__xludf.DUMMYFUNCTION("""COMPUTED_VALUE"""),267)</f>
        <v>267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IFERROR(__xludf.DUMMYFUNCTION("""COMPUTED_VALUE"""),"Lipscomb")</f>
        <v>Lipscomb</v>
      </c>
      <c r="C224" s="1" t="str">
        <f ca="1">IFERROR(__xludf.DUMMYFUNCTION("""COMPUTED_VALUE"""),"ASun")</f>
        <v>ASun</v>
      </c>
      <c r="D224" s="1" t="str">
        <f ca="1">IFERROR(__xludf.DUMMYFUNCTION("""COMPUTED_VALUE"""),"13-18")</f>
        <v>13-18</v>
      </c>
      <c r="E224" s="1">
        <f ca="1">IFERROR(__xludf.DUMMYFUNCTION("""COMPUTED_VALUE"""),-3.89)</f>
        <v>-3.89</v>
      </c>
      <c r="F224" s="1">
        <f ca="1">IFERROR(__xludf.DUMMYFUNCTION("""COMPUTED_VALUE"""),101)</f>
        <v>101</v>
      </c>
      <c r="G224" s="1">
        <f ca="1">IFERROR(__xludf.DUMMYFUNCTION("""COMPUTED_VALUE"""),208)</f>
        <v>208</v>
      </c>
      <c r="H224" s="1">
        <f ca="1">IFERROR(__xludf.DUMMYFUNCTION("""COMPUTED_VALUE"""),104.9)</f>
        <v>104.9</v>
      </c>
      <c r="I224" s="1">
        <f ca="1">IFERROR(__xludf.DUMMYFUNCTION("""COMPUTED_VALUE"""),220)</f>
        <v>220</v>
      </c>
      <c r="J224" s="1">
        <f ca="1">IFERROR(__xludf.DUMMYFUNCTION("""COMPUTED_VALUE"""),68.7)</f>
        <v>68.7</v>
      </c>
      <c r="K224" s="1">
        <f ca="1">IFERROR(__xludf.DUMMYFUNCTION("""COMPUTED_VALUE"""),30)</f>
        <v>30</v>
      </c>
      <c r="L224" s="1" t="str">
        <f ca="1">IFERROR(__xludf.DUMMYFUNCTION("""COMPUTED_VALUE"""),"+.016")</f>
        <v>+.016</v>
      </c>
      <c r="M224" s="1">
        <f ca="1">IFERROR(__xludf.DUMMYFUNCTION("""COMPUTED_VALUE"""),135)</f>
        <v>135</v>
      </c>
      <c r="N224" s="1" t="str">
        <f ca="1">IFERROR(__xludf.DUMMYFUNCTION("""COMPUTED_VALUE"""),"+0.34")</f>
        <v>+0.34</v>
      </c>
      <c r="O224" s="1">
        <f ca="1">IFERROR(__xludf.DUMMYFUNCTION("""COMPUTED_VALUE"""),145)</f>
        <v>145</v>
      </c>
      <c r="P224" s="1">
        <f ca="1">IFERROR(__xludf.DUMMYFUNCTION("""COMPUTED_VALUE"""),103.9)</f>
        <v>103.9</v>
      </c>
      <c r="Q224" s="1">
        <f ca="1">IFERROR(__xludf.DUMMYFUNCTION("""COMPUTED_VALUE"""),123)</f>
        <v>123</v>
      </c>
      <c r="R224" s="1">
        <f ca="1">IFERROR(__xludf.DUMMYFUNCTION("""COMPUTED_VALUE"""),103.6)</f>
        <v>103.6</v>
      </c>
      <c r="S224" s="1">
        <f ca="1">IFERROR(__xludf.DUMMYFUNCTION("""COMPUTED_VALUE"""),179)</f>
        <v>179</v>
      </c>
      <c r="T224" s="1" t="str">
        <f ca="1">IFERROR(__xludf.DUMMYFUNCTION("""COMPUTED_VALUE"""),"+2.25")</f>
        <v>+2.25</v>
      </c>
      <c r="U224" s="1">
        <f ca="1">IFERROR(__xludf.DUMMYFUNCTION("""COMPUTED_VALUE"""),92)</f>
        <v>92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IFERROR(__xludf.DUMMYFUNCTION("""COMPUTED_VALUE"""),"Hawaii")</f>
        <v>Hawaii</v>
      </c>
      <c r="C225" s="1" t="str">
        <f ca="1">IFERROR(__xludf.DUMMYFUNCTION("""COMPUTED_VALUE"""),"WAC")</f>
        <v>WAC</v>
      </c>
      <c r="D225" s="1" t="str">
        <f ca="1">IFERROR(__xludf.DUMMYFUNCTION("""COMPUTED_VALUE"""),"16-16")</f>
        <v>16-16</v>
      </c>
      <c r="E225" s="1">
        <f ca="1">IFERROR(__xludf.DUMMYFUNCTION("""COMPUTED_VALUE"""),-4.03)</f>
        <v>-4.03</v>
      </c>
      <c r="F225" s="1">
        <f ca="1">IFERROR(__xludf.DUMMYFUNCTION("""COMPUTED_VALUE"""),103.3)</f>
        <v>103.3</v>
      </c>
      <c r="G225" s="1">
        <f ca="1">IFERROR(__xludf.DUMMYFUNCTION("""COMPUTED_VALUE"""),164)</f>
        <v>164</v>
      </c>
      <c r="H225" s="1">
        <f ca="1">IFERROR(__xludf.DUMMYFUNCTION("""COMPUTED_VALUE"""),107.3)</f>
        <v>107.3</v>
      </c>
      <c r="I225" s="1">
        <f ca="1">IFERROR(__xludf.DUMMYFUNCTION("""COMPUTED_VALUE"""),266)</f>
        <v>266</v>
      </c>
      <c r="J225" s="1">
        <f ca="1">IFERROR(__xludf.DUMMYFUNCTION("""COMPUTED_VALUE"""),69.6)</f>
        <v>69.599999999999994</v>
      </c>
      <c r="K225" s="1">
        <f ca="1">IFERROR(__xludf.DUMMYFUNCTION("""COMPUTED_VALUE"""),20)</f>
        <v>20</v>
      </c>
      <c r="L225" s="1" t="str">
        <f ca="1">IFERROR(__xludf.DUMMYFUNCTION("""COMPUTED_VALUE"""),"+.035")</f>
        <v>+.035</v>
      </c>
      <c r="M225" s="1">
        <f ca="1">IFERROR(__xludf.DUMMYFUNCTION("""COMPUTED_VALUE"""),79)</f>
        <v>79</v>
      </c>
      <c r="N225" s="1">
        <f ca="1">IFERROR(__xludf.DUMMYFUNCTION("""COMPUTED_VALUE"""),-1.75)</f>
        <v>-1.75</v>
      </c>
      <c r="O225" s="1">
        <f ca="1">IFERROR(__xludf.DUMMYFUNCTION("""COMPUTED_VALUE"""),195)</f>
        <v>195</v>
      </c>
      <c r="P225" s="1">
        <f ca="1">IFERROR(__xludf.DUMMYFUNCTION("""COMPUTED_VALUE"""),102.4)</f>
        <v>102.4</v>
      </c>
      <c r="Q225" s="1">
        <f ca="1">IFERROR(__xludf.DUMMYFUNCTION("""COMPUTED_VALUE"""),187)</f>
        <v>187</v>
      </c>
      <c r="R225" s="1">
        <f ca="1">IFERROR(__xludf.DUMMYFUNCTION("""COMPUTED_VALUE"""),104.2)</f>
        <v>104.2</v>
      </c>
      <c r="S225" s="1">
        <f ca="1">IFERROR(__xludf.DUMMYFUNCTION("""COMPUTED_VALUE"""),207)</f>
        <v>207</v>
      </c>
      <c r="T225" s="1">
        <f ca="1">IFERROR(__xludf.DUMMYFUNCTION("""COMPUTED_VALUE"""),-6.13)</f>
        <v>-6.13</v>
      </c>
      <c r="U225" s="1">
        <f ca="1">IFERROR(__xludf.DUMMYFUNCTION("""COMPUTED_VALUE"""),314)</f>
        <v>314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IFERROR(__xludf.DUMMYFUNCTION("""COMPUTED_VALUE"""),"Wright St.")</f>
        <v>Wright St.</v>
      </c>
      <c r="C226" s="1" t="str">
        <f ca="1">IFERROR(__xludf.DUMMYFUNCTION("""COMPUTED_VALUE"""),"Horz")</f>
        <v>Horz</v>
      </c>
      <c r="D226" s="1" t="str">
        <f ca="1">IFERROR(__xludf.DUMMYFUNCTION("""COMPUTED_VALUE"""),"13-19")</f>
        <v>13-19</v>
      </c>
      <c r="E226" s="1">
        <f ca="1">IFERROR(__xludf.DUMMYFUNCTION("""COMPUTED_VALUE"""),-4.06)</f>
        <v>-4.0599999999999996</v>
      </c>
      <c r="F226" s="1">
        <f ca="1">IFERROR(__xludf.DUMMYFUNCTION("""COMPUTED_VALUE"""),95.5)</f>
        <v>95.5</v>
      </c>
      <c r="G226" s="1">
        <f ca="1">IFERROR(__xludf.DUMMYFUNCTION("""COMPUTED_VALUE"""),288)</f>
        <v>288</v>
      </c>
      <c r="H226" s="1">
        <f ca="1">IFERROR(__xludf.DUMMYFUNCTION("""COMPUTED_VALUE"""),99.6)</f>
        <v>99.6</v>
      </c>
      <c r="I226" s="1">
        <f ca="1">IFERROR(__xludf.DUMMYFUNCTION("""COMPUTED_VALUE"""),108)</f>
        <v>108</v>
      </c>
      <c r="J226" s="1">
        <f ca="1">IFERROR(__xludf.DUMMYFUNCTION("""COMPUTED_VALUE"""),62.1)</f>
        <v>62.1</v>
      </c>
      <c r="K226" s="1">
        <f ca="1">IFERROR(__xludf.DUMMYFUNCTION("""COMPUTED_VALUE"""),296)</f>
        <v>296</v>
      </c>
      <c r="L226" s="1">
        <f ca="1">IFERROR(__xludf.DUMMYFUNCTION("""COMPUTED_VALUE"""),-0.001)</f>
        <v>-1E-3</v>
      </c>
      <c r="M226" s="1">
        <f ca="1">IFERROR(__xludf.DUMMYFUNCTION("""COMPUTED_VALUE"""),176)</f>
        <v>176</v>
      </c>
      <c r="N226" s="1" t="str">
        <f ca="1">IFERROR(__xludf.DUMMYFUNCTION("""COMPUTED_VALUE"""),"+0.90")</f>
        <v>+0.90</v>
      </c>
      <c r="O226" s="1">
        <f ca="1">IFERROR(__xludf.DUMMYFUNCTION("""COMPUTED_VALUE"""),136)</f>
        <v>136</v>
      </c>
      <c r="P226" s="1">
        <f ca="1">IFERROR(__xludf.DUMMYFUNCTION("""COMPUTED_VALUE"""),102.8)</f>
        <v>102.8</v>
      </c>
      <c r="Q226" s="1">
        <f ca="1">IFERROR(__xludf.DUMMYFUNCTION("""COMPUTED_VALUE"""),168)</f>
        <v>168</v>
      </c>
      <c r="R226" s="1">
        <f ca="1">IFERROR(__xludf.DUMMYFUNCTION("""COMPUTED_VALUE"""),101.9)</f>
        <v>101.9</v>
      </c>
      <c r="S226" s="1">
        <f ca="1">IFERROR(__xludf.DUMMYFUNCTION("""COMPUTED_VALUE"""),123)</f>
        <v>123</v>
      </c>
      <c r="T226" s="1" t="str">
        <f ca="1">IFERROR(__xludf.DUMMYFUNCTION("""COMPUTED_VALUE"""),"+1.72")</f>
        <v>+1.72</v>
      </c>
      <c r="U226" s="1">
        <f ca="1">IFERROR(__xludf.DUMMYFUNCTION("""COMPUTED_VALUE"""),105)</f>
        <v>105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IFERROR(__xludf.DUMMYFUNCTION("""COMPUTED_VALUE"""),"North Carolina Central")</f>
        <v>North Carolina Central</v>
      </c>
      <c r="C227" s="1" t="str">
        <f ca="1">IFERROR(__xludf.DUMMYFUNCTION("""COMPUTED_VALUE"""),"MEAC")</f>
        <v>MEAC</v>
      </c>
      <c r="D227" s="1" t="str">
        <f ca="1">IFERROR(__xludf.DUMMYFUNCTION("""COMPUTED_VALUE"""),"17-15")</f>
        <v>17-15</v>
      </c>
      <c r="E227" s="1">
        <f ca="1">IFERROR(__xludf.DUMMYFUNCTION("""COMPUTED_VALUE"""),-4.09)</f>
        <v>-4.09</v>
      </c>
      <c r="F227" s="1">
        <f ca="1">IFERROR(__xludf.DUMMYFUNCTION("""COMPUTED_VALUE"""),97.7)</f>
        <v>97.7</v>
      </c>
      <c r="G227" s="1">
        <f ca="1">IFERROR(__xludf.DUMMYFUNCTION("""COMPUTED_VALUE"""),268)</f>
        <v>268</v>
      </c>
      <c r="H227" s="1">
        <f ca="1">IFERROR(__xludf.DUMMYFUNCTION("""COMPUTED_VALUE"""),101.8)</f>
        <v>101.8</v>
      </c>
      <c r="I227" s="1">
        <f ca="1">IFERROR(__xludf.DUMMYFUNCTION("""COMPUTED_VALUE"""),149)</f>
        <v>149</v>
      </c>
      <c r="J227" s="1">
        <f ca="1">IFERROR(__xludf.DUMMYFUNCTION("""COMPUTED_VALUE"""),65.5)</f>
        <v>65.5</v>
      </c>
      <c r="K227" s="1">
        <f ca="1">IFERROR(__xludf.DUMMYFUNCTION("""COMPUTED_VALUE"""),140)</f>
        <v>140</v>
      </c>
      <c r="L227" s="1">
        <f ca="1">IFERROR(__xludf.DUMMYFUNCTION("""COMPUTED_VALUE"""),-0.063)</f>
        <v>-6.3E-2</v>
      </c>
      <c r="M227" s="1">
        <f ca="1">IFERROR(__xludf.DUMMYFUNCTION("""COMPUTED_VALUE"""),305)</f>
        <v>305</v>
      </c>
      <c r="N227" s="1">
        <f ca="1">IFERROR(__xludf.DUMMYFUNCTION("""COMPUTED_VALUE"""),-6.31)</f>
        <v>-6.31</v>
      </c>
      <c r="O227" s="1">
        <f ca="1">IFERROR(__xludf.DUMMYFUNCTION("""COMPUTED_VALUE"""),314)</f>
        <v>314</v>
      </c>
      <c r="P227" s="1">
        <f ca="1">IFERROR(__xludf.DUMMYFUNCTION("""COMPUTED_VALUE"""),99)</f>
        <v>99</v>
      </c>
      <c r="Q227" s="1">
        <f ca="1">IFERROR(__xludf.DUMMYFUNCTION("""COMPUTED_VALUE"""),320)</f>
        <v>320</v>
      </c>
      <c r="R227" s="1">
        <f ca="1">IFERROR(__xludf.DUMMYFUNCTION("""COMPUTED_VALUE"""),105.3)</f>
        <v>105.3</v>
      </c>
      <c r="S227" s="1">
        <f ca="1">IFERROR(__xludf.DUMMYFUNCTION("""COMPUTED_VALUE"""),273)</f>
        <v>273</v>
      </c>
      <c r="T227" s="1" t="str">
        <f ca="1">IFERROR(__xludf.DUMMYFUNCTION("""COMPUTED_VALUE"""),"+7.35")</f>
        <v>+7.35</v>
      </c>
      <c r="U227" s="1">
        <f ca="1">IFERROR(__xludf.DUMMYFUNCTION("""COMPUTED_VALUE"""),20)</f>
        <v>20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IFERROR(__xludf.DUMMYFUNCTION("""COMPUTED_VALUE"""),"Central Connecticut")</f>
        <v>Central Connecticut</v>
      </c>
      <c r="C228" s="1" t="str">
        <f ca="1">IFERROR(__xludf.DUMMYFUNCTION("""COMPUTED_VALUE"""),"NEC")</f>
        <v>NEC</v>
      </c>
      <c r="D228" s="1" t="str">
        <f ca="1">IFERROR(__xludf.DUMMYFUNCTION("""COMPUTED_VALUE"""),"13-16")</f>
        <v>13-16</v>
      </c>
      <c r="E228" s="1">
        <f ca="1">IFERROR(__xludf.DUMMYFUNCTION("""COMPUTED_VALUE"""),-4.11)</f>
        <v>-4.1100000000000003</v>
      </c>
      <c r="F228" s="1">
        <f ca="1">IFERROR(__xludf.DUMMYFUNCTION("""COMPUTED_VALUE"""),99.7)</f>
        <v>99.7</v>
      </c>
      <c r="G228" s="1">
        <f ca="1">IFERROR(__xludf.DUMMYFUNCTION("""COMPUTED_VALUE"""),233)</f>
        <v>233</v>
      </c>
      <c r="H228" s="1">
        <f ca="1">IFERROR(__xludf.DUMMYFUNCTION("""COMPUTED_VALUE"""),103.8)</f>
        <v>103.8</v>
      </c>
      <c r="I228" s="1">
        <f ca="1">IFERROR(__xludf.DUMMYFUNCTION("""COMPUTED_VALUE"""),192)</f>
        <v>192</v>
      </c>
      <c r="J228" s="1">
        <f ca="1">IFERROR(__xludf.DUMMYFUNCTION("""COMPUTED_VALUE"""),67)</f>
        <v>67</v>
      </c>
      <c r="K228" s="1">
        <f ca="1">IFERROR(__xludf.DUMMYFUNCTION("""COMPUTED_VALUE"""),84)</f>
        <v>84</v>
      </c>
      <c r="L228" s="1">
        <f ca="1">IFERROR(__xludf.DUMMYFUNCTION("""COMPUTED_VALUE"""),-0.052)</f>
        <v>-5.1999999999999998E-2</v>
      </c>
      <c r="M228" s="1">
        <f ca="1">IFERROR(__xludf.DUMMYFUNCTION("""COMPUTED_VALUE"""),292)</f>
        <v>292</v>
      </c>
      <c r="N228" s="1">
        <f ca="1">IFERROR(__xludf.DUMMYFUNCTION("""COMPUTED_VALUE"""),-4.8)</f>
        <v>-4.8</v>
      </c>
      <c r="O228" s="1">
        <f ca="1">IFERROR(__xludf.DUMMYFUNCTION("""COMPUTED_VALUE"""),282)</f>
        <v>282</v>
      </c>
      <c r="P228" s="1">
        <f ca="1">IFERROR(__xludf.DUMMYFUNCTION("""COMPUTED_VALUE"""),100.4)</f>
        <v>100.4</v>
      </c>
      <c r="Q228" s="1">
        <f ca="1">IFERROR(__xludf.DUMMYFUNCTION("""COMPUTED_VALUE"""),288)</f>
        <v>288</v>
      </c>
      <c r="R228" s="1">
        <f ca="1">IFERROR(__xludf.DUMMYFUNCTION("""COMPUTED_VALUE"""),105.2)</f>
        <v>105.2</v>
      </c>
      <c r="S228" s="1">
        <f ca="1">IFERROR(__xludf.DUMMYFUNCTION("""COMPUTED_VALUE"""),266)</f>
        <v>266</v>
      </c>
      <c r="T228" s="1">
        <f ca="1">IFERROR(__xludf.DUMMYFUNCTION("""COMPUTED_VALUE"""),-1.81)</f>
        <v>-1.81</v>
      </c>
      <c r="U228" s="1">
        <f ca="1">IFERROR(__xludf.DUMMYFUNCTION("""COMPUTED_VALUE"""),209)</f>
        <v>209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IFERROR(__xludf.DUMMYFUNCTION("""COMPUTED_VALUE"""),"St. Francis NY")</f>
        <v>St. Francis NY</v>
      </c>
      <c r="C229" s="1" t="str">
        <f ca="1">IFERROR(__xludf.DUMMYFUNCTION("""COMPUTED_VALUE"""),"NEC")</f>
        <v>NEC</v>
      </c>
      <c r="D229" s="1" t="str">
        <f ca="1">IFERROR(__xludf.DUMMYFUNCTION("""COMPUTED_VALUE"""),"15-15")</f>
        <v>15-15</v>
      </c>
      <c r="E229" s="1">
        <f ca="1">IFERROR(__xludf.DUMMYFUNCTION("""COMPUTED_VALUE"""),-4.11)</f>
        <v>-4.1100000000000003</v>
      </c>
      <c r="F229" s="1">
        <f ca="1">IFERROR(__xludf.DUMMYFUNCTION("""COMPUTED_VALUE"""),97.5)</f>
        <v>97.5</v>
      </c>
      <c r="G229" s="1">
        <f ca="1">IFERROR(__xludf.DUMMYFUNCTION("""COMPUTED_VALUE"""),271)</f>
        <v>271</v>
      </c>
      <c r="H229" s="1">
        <f ca="1">IFERROR(__xludf.DUMMYFUNCTION("""COMPUTED_VALUE"""),101.6)</f>
        <v>101.6</v>
      </c>
      <c r="I229" s="1">
        <f ca="1">IFERROR(__xludf.DUMMYFUNCTION("""COMPUTED_VALUE"""),144)</f>
        <v>144</v>
      </c>
      <c r="J229" s="1">
        <f ca="1">IFERROR(__xludf.DUMMYFUNCTION("""COMPUTED_VALUE"""),68.1)</f>
        <v>68.099999999999994</v>
      </c>
      <c r="K229" s="1">
        <f ca="1">IFERROR(__xludf.DUMMYFUNCTION("""COMPUTED_VALUE"""),40)</f>
        <v>40</v>
      </c>
      <c r="L229" s="1">
        <f ca="1">IFERROR(__xludf.DUMMYFUNCTION("""COMPUTED_VALUE"""),-0.027)</f>
        <v>-2.7E-2</v>
      </c>
      <c r="M229" s="1">
        <f ca="1">IFERROR(__xludf.DUMMYFUNCTION("""COMPUTED_VALUE"""),243)</f>
        <v>243</v>
      </c>
      <c r="N229" s="1">
        <f ca="1">IFERROR(__xludf.DUMMYFUNCTION("""COMPUTED_VALUE"""),-6.29)</f>
        <v>-6.29</v>
      </c>
      <c r="O229" s="1">
        <f ca="1">IFERROR(__xludf.DUMMYFUNCTION("""COMPUTED_VALUE"""),312)</f>
        <v>312</v>
      </c>
      <c r="P229" s="1">
        <f ca="1">IFERROR(__xludf.DUMMYFUNCTION("""COMPUTED_VALUE"""),100.1)</f>
        <v>100.1</v>
      </c>
      <c r="Q229" s="1">
        <f ca="1">IFERROR(__xludf.DUMMYFUNCTION("""COMPUTED_VALUE"""),299)</f>
        <v>299</v>
      </c>
      <c r="R229" s="1">
        <f ca="1">IFERROR(__xludf.DUMMYFUNCTION("""COMPUTED_VALUE"""),106.3)</f>
        <v>106.3</v>
      </c>
      <c r="S229" s="1">
        <f ca="1">IFERROR(__xludf.DUMMYFUNCTION("""COMPUTED_VALUE"""),317)</f>
        <v>317</v>
      </c>
      <c r="T229" s="1">
        <f ca="1">IFERROR(__xludf.DUMMYFUNCTION("""COMPUTED_VALUE"""),-5.63)</f>
        <v>-5.63</v>
      </c>
      <c r="U229" s="1">
        <f ca="1">IFERROR(__xludf.DUMMYFUNCTION("""COMPUTED_VALUE"""),307)</f>
        <v>307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IFERROR(__xludf.DUMMYFUNCTION("""COMPUTED_VALUE"""),"San Diego")</f>
        <v>San Diego</v>
      </c>
      <c r="C230" s="1" t="str">
        <f ca="1">IFERROR(__xludf.DUMMYFUNCTION("""COMPUTED_VALUE"""),"WCC")</f>
        <v>WCC</v>
      </c>
      <c r="D230" s="1" t="str">
        <f ca="1">IFERROR(__xludf.DUMMYFUNCTION("""COMPUTED_VALUE"""),"13-18")</f>
        <v>13-18</v>
      </c>
      <c r="E230" s="1">
        <f ca="1">IFERROR(__xludf.DUMMYFUNCTION("""COMPUTED_VALUE"""),-4.29)</f>
        <v>-4.29</v>
      </c>
      <c r="F230" s="1">
        <f ca="1">IFERROR(__xludf.DUMMYFUNCTION("""COMPUTED_VALUE"""),102)</f>
        <v>102</v>
      </c>
      <c r="G230" s="1">
        <f ca="1">IFERROR(__xludf.DUMMYFUNCTION("""COMPUTED_VALUE"""),185)</f>
        <v>185</v>
      </c>
      <c r="H230" s="1">
        <f ca="1">IFERROR(__xludf.DUMMYFUNCTION("""COMPUTED_VALUE"""),106.3)</f>
        <v>106.3</v>
      </c>
      <c r="I230" s="1">
        <f ca="1">IFERROR(__xludf.DUMMYFUNCTION("""COMPUTED_VALUE"""),249)</f>
        <v>249</v>
      </c>
      <c r="J230" s="1">
        <f ca="1">IFERROR(__xludf.DUMMYFUNCTION("""COMPUTED_VALUE"""),65.3)</f>
        <v>65.3</v>
      </c>
      <c r="K230" s="1">
        <f ca="1">IFERROR(__xludf.DUMMYFUNCTION("""COMPUTED_VALUE"""),154)</f>
        <v>154</v>
      </c>
      <c r="L230" s="1" t="str">
        <f ca="1">IFERROR(__xludf.DUMMYFUNCTION("""COMPUTED_VALUE"""),"+.004")</f>
        <v>+.004</v>
      </c>
      <c r="M230" s="1">
        <f ca="1">IFERROR(__xludf.DUMMYFUNCTION("""COMPUTED_VALUE"""),164)</f>
        <v>164</v>
      </c>
      <c r="N230" s="1" t="str">
        <f ca="1">IFERROR(__xludf.DUMMYFUNCTION("""COMPUTED_VALUE"""),"+0.24")</f>
        <v>+0.24</v>
      </c>
      <c r="O230" s="1">
        <f ca="1">IFERROR(__xludf.DUMMYFUNCTION("""COMPUTED_VALUE"""),148)</f>
        <v>148</v>
      </c>
      <c r="P230" s="1">
        <f ca="1">IFERROR(__xludf.DUMMYFUNCTION("""COMPUTED_VALUE"""),102.9)</f>
        <v>102.9</v>
      </c>
      <c r="Q230" s="1">
        <f ca="1">IFERROR(__xludf.DUMMYFUNCTION("""COMPUTED_VALUE"""),160)</f>
        <v>160</v>
      </c>
      <c r="R230" s="1">
        <f ca="1">IFERROR(__xludf.DUMMYFUNCTION("""COMPUTED_VALUE"""),102.7)</f>
        <v>102.7</v>
      </c>
      <c r="S230" s="1">
        <f ca="1">IFERROR(__xludf.DUMMYFUNCTION("""COMPUTED_VALUE"""),149)</f>
        <v>149</v>
      </c>
      <c r="T230" s="1">
        <f ca="1">IFERROR(__xludf.DUMMYFUNCTION("""COMPUTED_VALUE"""),-2.32)</f>
        <v>-2.3199999999999998</v>
      </c>
      <c r="U230" s="1">
        <f ca="1">IFERROR(__xludf.DUMMYFUNCTION("""COMPUTED_VALUE"""),229)</f>
        <v>229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IFERROR(__xludf.DUMMYFUNCTION("""COMPUTED_VALUE"""),"Hofstra")</f>
        <v>Hofstra</v>
      </c>
      <c r="C231" s="1" t="str">
        <f ca="1">IFERROR(__xludf.DUMMYFUNCTION("""COMPUTED_VALUE"""),"CAA")</f>
        <v>CAA</v>
      </c>
      <c r="D231" s="2">
        <f ca="1">IFERROR(__xludf.DUMMYFUNCTION("""COMPUTED_VALUE"""),44856)</f>
        <v>44856</v>
      </c>
      <c r="E231" s="1">
        <f ca="1">IFERROR(__xludf.DUMMYFUNCTION("""COMPUTED_VALUE"""),-4.48)</f>
        <v>-4.4800000000000004</v>
      </c>
      <c r="F231" s="1">
        <f ca="1">IFERROR(__xludf.DUMMYFUNCTION("""COMPUTED_VALUE"""),99)</f>
        <v>99</v>
      </c>
      <c r="G231" s="1">
        <f ca="1">IFERROR(__xludf.DUMMYFUNCTION("""COMPUTED_VALUE"""),245)</f>
        <v>245</v>
      </c>
      <c r="H231" s="1">
        <f ca="1">IFERROR(__xludf.DUMMYFUNCTION("""COMPUTED_VALUE"""),103.5)</f>
        <v>103.5</v>
      </c>
      <c r="I231" s="1">
        <f ca="1">IFERROR(__xludf.DUMMYFUNCTION("""COMPUTED_VALUE"""),186)</f>
        <v>186</v>
      </c>
      <c r="J231" s="1">
        <f ca="1">IFERROR(__xludf.DUMMYFUNCTION("""COMPUTED_VALUE"""),65.4)</f>
        <v>65.400000000000006</v>
      </c>
      <c r="K231" s="1">
        <f ca="1">IFERROR(__xludf.DUMMYFUNCTION("""COMPUTED_VALUE"""),149)</f>
        <v>149</v>
      </c>
      <c r="L231" s="1">
        <f ca="1">IFERROR(__xludf.DUMMYFUNCTION("""COMPUTED_VALUE"""),-0.121)</f>
        <v>-0.121</v>
      </c>
      <c r="M231" s="1">
        <f ca="1">IFERROR(__xludf.DUMMYFUNCTION("""COMPUTED_VALUE"""),345)</f>
        <v>345</v>
      </c>
      <c r="N231" s="1">
        <f ca="1">IFERROR(__xludf.DUMMYFUNCTION("""COMPUTED_VALUE"""),-1.1)</f>
        <v>-1.1000000000000001</v>
      </c>
      <c r="O231" s="1">
        <f ca="1">IFERROR(__xludf.DUMMYFUNCTION("""COMPUTED_VALUE"""),179)</f>
        <v>179</v>
      </c>
      <c r="P231" s="1">
        <f ca="1">IFERROR(__xludf.DUMMYFUNCTION("""COMPUTED_VALUE"""),101.9)</f>
        <v>101.9</v>
      </c>
      <c r="Q231" s="1">
        <f ca="1">IFERROR(__xludf.DUMMYFUNCTION("""COMPUTED_VALUE"""),210)</f>
        <v>210</v>
      </c>
      <c r="R231" s="1">
        <f ca="1">IFERROR(__xludf.DUMMYFUNCTION("""COMPUTED_VALUE"""),103)</f>
        <v>103</v>
      </c>
      <c r="S231" s="1">
        <f ca="1">IFERROR(__xludf.DUMMYFUNCTION("""COMPUTED_VALUE"""),162)</f>
        <v>162</v>
      </c>
      <c r="T231" s="1">
        <f ca="1">IFERROR(__xludf.DUMMYFUNCTION("""COMPUTED_VALUE"""),-3.91)</f>
        <v>-3.91</v>
      </c>
      <c r="U231" s="1">
        <f ca="1">IFERROR(__xludf.DUMMYFUNCTION("""COMPUTED_VALUE"""),263)</f>
        <v>263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IFERROR(__xludf.DUMMYFUNCTION("""COMPUTED_VALUE"""),"USC")</f>
        <v>USC</v>
      </c>
      <c r="C232" s="1" t="str">
        <f ca="1">IFERROR(__xludf.DUMMYFUNCTION("""COMPUTED_VALUE"""),"P12")</f>
        <v>P12</v>
      </c>
      <c r="D232" s="2">
        <f ca="1">IFERROR(__xludf.DUMMYFUNCTION("""COMPUTED_VALUE"""),44738)</f>
        <v>44738</v>
      </c>
      <c r="E232" s="1">
        <f ca="1">IFERROR(__xludf.DUMMYFUNCTION("""COMPUTED_VALUE"""),-4.69)</f>
        <v>-4.6900000000000004</v>
      </c>
      <c r="F232" s="1">
        <f ca="1">IFERROR(__xludf.DUMMYFUNCTION("""COMPUTED_VALUE"""),91.2)</f>
        <v>91.2</v>
      </c>
      <c r="G232" s="1">
        <f ca="1">IFERROR(__xludf.DUMMYFUNCTION("""COMPUTED_VALUE"""),321)</f>
        <v>321</v>
      </c>
      <c r="H232" s="1">
        <f ca="1">IFERROR(__xludf.DUMMYFUNCTION("""COMPUTED_VALUE"""),95.9)</f>
        <v>95.9</v>
      </c>
      <c r="I232" s="1">
        <f ca="1">IFERROR(__xludf.DUMMYFUNCTION("""COMPUTED_VALUE"""),45)</f>
        <v>45</v>
      </c>
      <c r="J232" s="1">
        <f ca="1">IFERROR(__xludf.DUMMYFUNCTION("""COMPUTED_VALUE"""),59.8)</f>
        <v>59.8</v>
      </c>
      <c r="K232" s="1">
        <f ca="1">IFERROR(__xludf.DUMMYFUNCTION("""COMPUTED_VALUE"""),332)</f>
        <v>332</v>
      </c>
      <c r="L232" s="1">
        <f ca="1">IFERROR(__xludf.DUMMYFUNCTION("""COMPUTED_VALUE"""),-0.099)</f>
        <v>-9.9000000000000005E-2</v>
      </c>
      <c r="M232" s="1">
        <f ca="1">IFERROR(__xludf.DUMMYFUNCTION("""COMPUTED_VALUE"""),341)</f>
        <v>341</v>
      </c>
      <c r="N232" s="1" t="str">
        <f ca="1">IFERROR(__xludf.DUMMYFUNCTION("""COMPUTED_VALUE"""),"+6.17")</f>
        <v>+6.17</v>
      </c>
      <c r="O232" s="1">
        <f ca="1">IFERROR(__xludf.DUMMYFUNCTION("""COMPUTED_VALUE"""),44)</f>
        <v>44</v>
      </c>
      <c r="P232" s="1">
        <f ca="1">IFERROR(__xludf.DUMMYFUNCTION("""COMPUTED_VALUE"""),105.9)</f>
        <v>105.9</v>
      </c>
      <c r="Q232" s="1">
        <f ca="1">IFERROR(__xludf.DUMMYFUNCTION("""COMPUTED_VALUE"""),50)</f>
        <v>50</v>
      </c>
      <c r="R232" s="1">
        <f ca="1">IFERROR(__xludf.DUMMYFUNCTION("""COMPUTED_VALUE"""),99.7)</f>
        <v>99.7</v>
      </c>
      <c r="S232" s="1">
        <f ca="1">IFERROR(__xludf.DUMMYFUNCTION("""COMPUTED_VALUE"""),38)</f>
        <v>38</v>
      </c>
      <c r="T232" s="1" t="str">
        <f ca="1">IFERROR(__xludf.DUMMYFUNCTION("""COMPUTED_VALUE"""),"+2.16")</f>
        <v>+2.16</v>
      </c>
      <c r="U232" s="1">
        <f ca="1">IFERROR(__xludf.DUMMYFUNCTION("""COMPUTED_VALUE"""),94)</f>
        <v>94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IFERROR(__xludf.DUMMYFUNCTION("""COMPUTED_VALUE"""),"McNeese St.")</f>
        <v>McNeese St.</v>
      </c>
      <c r="C233" s="1" t="str">
        <f ca="1">IFERROR(__xludf.DUMMYFUNCTION("""COMPUTED_VALUE"""),"Slnd")</f>
        <v>Slnd</v>
      </c>
      <c r="D233" s="1" t="str">
        <f ca="1">IFERROR(__xludf.DUMMYFUNCTION("""COMPUTED_VALUE"""),"17-16")</f>
        <v>17-16</v>
      </c>
      <c r="E233" s="1">
        <f ca="1">IFERROR(__xludf.DUMMYFUNCTION("""COMPUTED_VALUE"""),-4.75)</f>
        <v>-4.75</v>
      </c>
      <c r="F233" s="1">
        <f ca="1">IFERROR(__xludf.DUMMYFUNCTION("""COMPUTED_VALUE"""),100.9)</f>
        <v>100.9</v>
      </c>
      <c r="G233" s="1">
        <f ca="1">IFERROR(__xludf.DUMMYFUNCTION("""COMPUTED_VALUE"""),210)</f>
        <v>210</v>
      </c>
      <c r="H233" s="1">
        <f ca="1">IFERROR(__xludf.DUMMYFUNCTION("""COMPUTED_VALUE"""),105.7)</f>
        <v>105.7</v>
      </c>
      <c r="I233" s="1">
        <f ca="1">IFERROR(__xludf.DUMMYFUNCTION("""COMPUTED_VALUE"""),233)</f>
        <v>233</v>
      </c>
      <c r="J233" s="1">
        <f ca="1">IFERROR(__xludf.DUMMYFUNCTION("""COMPUTED_VALUE"""),64.2)</f>
        <v>64.2</v>
      </c>
      <c r="K233" s="1">
        <f ca="1">IFERROR(__xludf.DUMMYFUNCTION("""COMPUTED_VALUE"""),212)</f>
        <v>212</v>
      </c>
      <c r="L233" s="1" t="str">
        <f ca="1">IFERROR(__xludf.DUMMYFUNCTION("""COMPUTED_VALUE"""),"+.043")</f>
        <v>+.043</v>
      </c>
      <c r="M233" s="1">
        <f ca="1">IFERROR(__xludf.DUMMYFUNCTION("""COMPUTED_VALUE"""),64)</f>
        <v>64</v>
      </c>
      <c r="N233" s="1">
        <f ca="1">IFERROR(__xludf.DUMMYFUNCTION("""COMPUTED_VALUE"""),-2.44)</f>
        <v>-2.44</v>
      </c>
      <c r="O233" s="1">
        <f ca="1">IFERROR(__xludf.DUMMYFUNCTION("""COMPUTED_VALUE"""),214)</f>
        <v>214</v>
      </c>
      <c r="P233" s="1">
        <f ca="1">IFERROR(__xludf.DUMMYFUNCTION("""COMPUTED_VALUE"""),100.8)</f>
        <v>100.8</v>
      </c>
      <c r="Q233" s="1">
        <f ca="1">IFERROR(__xludf.DUMMYFUNCTION("""COMPUTED_VALUE"""),271)</f>
        <v>271</v>
      </c>
      <c r="R233" s="1">
        <f ca="1">IFERROR(__xludf.DUMMYFUNCTION("""COMPUTED_VALUE"""),103.3)</f>
        <v>103.3</v>
      </c>
      <c r="S233" s="1">
        <f ca="1">IFERROR(__xludf.DUMMYFUNCTION("""COMPUTED_VALUE"""),168)</f>
        <v>168</v>
      </c>
      <c r="T233" s="1" t="str">
        <f ca="1">IFERROR(__xludf.DUMMYFUNCTION("""COMPUTED_VALUE"""),"+5.64")</f>
        <v>+5.64</v>
      </c>
      <c r="U233" s="1">
        <f ca="1">IFERROR(__xludf.DUMMYFUNCTION("""COMPUTED_VALUE"""),31)</f>
        <v>31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IFERROR(__xludf.DUMMYFUNCTION("""COMPUTED_VALUE"""),"Southern Illinois")</f>
        <v>Southern Illinois</v>
      </c>
      <c r="C234" s="1" t="str">
        <f ca="1">IFERROR(__xludf.DUMMYFUNCTION("""COMPUTED_VALUE"""),"MVC")</f>
        <v>MVC</v>
      </c>
      <c r="D234" s="2">
        <f ca="1">IFERROR(__xludf.DUMMYFUNCTION("""COMPUTED_VALUE"""),44796)</f>
        <v>44796</v>
      </c>
      <c r="E234" s="1">
        <f ca="1">IFERROR(__xludf.DUMMYFUNCTION("""COMPUTED_VALUE"""),-4.79)</f>
        <v>-4.79</v>
      </c>
      <c r="F234" s="1">
        <f ca="1">IFERROR(__xludf.DUMMYFUNCTION("""COMPUTED_VALUE"""),99.2)</f>
        <v>99.2</v>
      </c>
      <c r="G234" s="1">
        <f ca="1">IFERROR(__xludf.DUMMYFUNCTION("""COMPUTED_VALUE"""),242)</f>
        <v>242</v>
      </c>
      <c r="H234" s="1">
        <f ca="1">IFERROR(__xludf.DUMMYFUNCTION("""COMPUTED_VALUE"""),104)</f>
        <v>104</v>
      </c>
      <c r="I234" s="1">
        <f ca="1">IFERROR(__xludf.DUMMYFUNCTION("""COMPUTED_VALUE"""),197)</f>
        <v>197</v>
      </c>
      <c r="J234" s="1">
        <f ca="1">IFERROR(__xludf.DUMMYFUNCTION("""COMPUTED_VALUE"""),64.8)</f>
        <v>64.8</v>
      </c>
      <c r="K234" s="1">
        <f ca="1">IFERROR(__xludf.DUMMYFUNCTION("""COMPUTED_VALUE"""),179)</f>
        <v>179</v>
      </c>
      <c r="L234" s="1">
        <f ca="1">IFERROR(__xludf.DUMMYFUNCTION("""COMPUTED_VALUE"""),-0.05)</f>
        <v>-0.05</v>
      </c>
      <c r="M234" s="1">
        <f ca="1">IFERROR(__xludf.DUMMYFUNCTION("""COMPUTED_VALUE"""),285)</f>
        <v>285</v>
      </c>
      <c r="N234" s="1" t="str">
        <f ca="1">IFERROR(__xludf.DUMMYFUNCTION("""COMPUTED_VALUE"""),"+4.14")</f>
        <v>+4.14</v>
      </c>
      <c r="O234" s="1">
        <f ca="1">IFERROR(__xludf.DUMMYFUNCTION("""COMPUTED_VALUE"""),74)</f>
        <v>74</v>
      </c>
      <c r="P234" s="1">
        <f ca="1">IFERROR(__xludf.DUMMYFUNCTION("""COMPUTED_VALUE"""),104.9)</f>
        <v>104.9</v>
      </c>
      <c r="Q234" s="1">
        <f ca="1">IFERROR(__xludf.DUMMYFUNCTION("""COMPUTED_VALUE"""),82)</f>
        <v>82</v>
      </c>
      <c r="R234" s="1">
        <f ca="1">IFERROR(__xludf.DUMMYFUNCTION("""COMPUTED_VALUE"""),100.7)</f>
        <v>100.7</v>
      </c>
      <c r="S234" s="1">
        <f ca="1">IFERROR(__xludf.DUMMYFUNCTION("""COMPUTED_VALUE"""),74)</f>
        <v>74</v>
      </c>
      <c r="T234" s="1">
        <f ca="1">IFERROR(__xludf.DUMMYFUNCTION("""COMPUTED_VALUE"""),-0.27)</f>
        <v>-0.27</v>
      </c>
      <c r="U234" s="1">
        <f ca="1">IFERROR(__xludf.DUMMYFUNCTION("""COMPUTED_VALUE"""),166)</f>
        <v>166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IFERROR(__xludf.DUMMYFUNCTION("""COMPUTED_VALUE"""),"Rider")</f>
        <v>Rider</v>
      </c>
      <c r="C235" s="1" t="str">
        <f ca="1">IFERROR(__xludf.DUMMYFUNCTION("""COMPUTED_VALUE"""),"MAAC")</f>
        <v>MAAC</v>
      </c>
      <c r="D235" s="1" t="str">
        <f ca="1">IFERROR(__xludf.DUMMYFUNCTION("""COMPUTED_VALUE"""),"13-19")</f>
        <v>13-19</v>
      </c>
      <c r="E235" s="1">
        <f ca="1">IFERROR(__xludf.DUMMYFUNCTION("""COMPUTED_VALUE"""),-4.96)</f>
        <v>-4.96</v>
      </c>
      <c r="F235" s="1">
        <f ca="1">IFERROR(__xludf.DUMMYFUNCTION("""COMPUTED_VALUE"""),104.3)</f>
        <v>104.3</v>
      </c>
      <c r="G235" s="1">
        <f ca="1">IFERROR(__xludf.DUMMYFUNCTION("""COMPUTED_VALUE"""),144)</f>
        <v>144</v>
      </c>
      <c r="H235" s="1">
        <f ca="1">IFERROR(__xludf.DUMMYFUNCTION("""COMPUTED_VALUE"""),109.3)</f>
        <v>109.3</v>
      </c>
      <c r="I235" s="1">
        <f ca="1">IFERROR(__xludf.DUMMYFUNCTION("""COMPUTED_VALUE"""),287)</f>
        <v>287</v>
      </c>
      <c r="J235" s="1">
        <f ca="1">IFERROR(__xludf.DUMMYFUNCTION("""COMPUTED_VALUE"""),67.4)</f>
        <v>67.400000000000006</v>
      </c>
      <c r="K235" s="1">
        <f ca="1">IFERROR(__xludf.DUMMYFUNCTION("""COMPUTED_VALUE"""),62)</f>
        <v>62</v>
      </c>
      <c r="L235" s="1">
        <f ca="1">IFERROR(__xludf.DUMMYFUNCTION("""COMPUTED_VALUE"""),-0.002)</f>
        <v>-2E-3</v>
      </c>
      <c r="M235" s="1">
        <f ca="1">IFERROR(__xludf.DUMMYFUNCTION("""COMPUTED_VALUE"""),177)</f>
        <v>177</v>
      </c>
      <c r="N235" s="1">
        <f ca="1">IFERROR(__xludf.DUMMYFUNCTION("""COMPUTED_VALUE"""),-1.34)</f>
        <v>-1.34</v>
      </c>
      <c r="O235" s="1">
        <f ca="1">IFERROR(__xludf.DUMMYFUNCTION("""COMPUTED_VALUE"""),181)</f>
        <v>181</v>
      </c>
      <c r="P235" s="1">
        <f ca="1">IFERROR(__xludf.DUMMYFUNCTION("""COMPUTED_VALUE"""),102.4)</f>
        <v>102.4</v>
      </c>
      <c r="Q235" s="1">
        <f ca="1">IFERROR(__xludf.DUMMYFUNCTION("""COMPUTED_VALUE"""),189)</f>
        <v>189</v>
      </c>
      <c r="R235" s="1">
        <f ca="1">IFERROR(__xludf.DUMMYFUNCTION("""COMPUTED_VALUE"""),103.8)</f>
        <v>103.8</v>
      </c>
      <c r="S235" s="1">
        <f ca="1">IFERROR(__xludf.DUMMYFUNCTION("""COMPUTED_VALUE"""),187)</f>
        <v>187</v>
      </c>
      <c r="T235" s="1" t="str">
        <f ca="1">IFERROR(__xludf.DUMMYFUNCTION("""COMPUTED_VALUE"""),"+2.06")</f>
        <v>+2.06</v>
      </c>
      <c r="U235" s="1">
        <f ca="1">IFERROR(__xludf.DUMMYFUNCTION("""COMPUTED_VALUE"""),95)</f>
        <v>95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IFERROR(__xludf.DUMMYFUNCTION("""COMPUTED_VALUE"""),"Holy Cross")</f>
        <v>Holy Cross</v>
      </c>
      <c r="C236" s="1" t="str">
        <f ca="1">IFERROR(__xludf.DUMMYFUNCTION("""COMPUTED_VALUE"""),"Pat")</f>
        <v>Pat</v>
      </c>
      <c r="D236" s="1" t="str">
        <f ca="1">IFERROR(__xludf.DUMMYFUNCTION("""COMPUTED_VALUE"""),"15-14")</f>
        <v>15-14</v>
      </c>
      <c r="E236" s="1">
        <f ca="1">IFERROR(__xludf.DUMMYFUNCTION("""COMPUTED_VALUE"""),-5)</f>
        <v>-5</v>
      </c>
      <c r="F236" s="1">
        <f ca="1">IFERROR(__xludf.DUMMYFUNCTION("""COMPUTED_VALUE"""),99)</f>
        <v>99</v>
      </c>
      <c r="G236" s="1">
        <f ca="1">IFERROR(__xludf.DUMMYFUNCTION("""COMPUTED_VALUE"""),244)</f>
        <v>244</v>
      </c>
      <c r="H236" s="1">
        <f ca="1">IFERROR(__xludf.DUMMYFUNCTION("""COMPUTED_VALUE"""),104)</f>
        <v>104</v>
      </c>
      <c r="I236" s="1">
        <f ca="1">IFERROR(__xludf.DUMMYFUNCTION("""COMPUTED_VALUE"""),198)</f>
        <v>198</v>
      </c>
      <c r="J236" s="1">
        <f ca="1">IFERROR(__xludf.DUMMYFUNCTION("""COMPUTED_VALUE"""),65.3)</f>
        <v>65.3</v>
      </c>
      <c r="K236" s="1">
        <f ca="1">IFERROR(__xludf.DUMMYFUNCTION("""COMPUTED_VALUE"""),157)</f>
        <v>157</v>
      </c>
      <c r="L236" s="1" t="str">
        <f ca="1">IFERROR(__xludf.DUMMYFUNCTION("""COMPUTED_VALUE"""),"+.055")</f>
        <v>+.055</v>
      </c>
      <c r="M236" s="1">
        <f ca="1">IFERROR(__xludf.DUMMYFUNCTION("""COMPUTED_VALUE"""),49)</f>
        <v>49</v>
      </c>
      <c r="N236" s="1">
        <f ca="1">IFERROR(__xludf.DUMMYFUNCTION("""COMPUTED_VALUE"""),-4.25)</f>
        <v>-4.25</v>
      </c>
      <c r="O236" s="1">
        <f ca="1">IFERROR(__xludf.DUMMYFUNCTION("""COMPUTED_VALUE"""),265)</f>
        <v>265</v>
      </c>
      <c r="P236" s="1">
        <f ca="1">IFERROR(__xludf.DUMMYFUNCTION("""COMPUTED_VALUE"""),101)</f>
        <v>101</v>
      </c>
      <c r="Q236" s="1">
        <f ca="1">IFERROR(__xludf.DUMMYFUNCTION("""COMPUTED_VALUE"""),263)</f>
        <v>263</v>
      </c>
      <c r="R236" s="1">
        <f ca="1">IFERROR(__xludf.DUMMYFUNCTION("""COMPUTED_VALUE"""),105.2)</f>
        <v>105.2</v>
      </c>
      <c r="S236" s="1">
        <f ca="1">IFERROR(__xludf.DUMMYFUNCTION("""COMPUTED_VALUE"""),270)</f>
        <v>270</v>
      </c>
      <c r="T236" s="1">
        <f ca="1">IFERROR(__xludf.DUMMYFUNCTION("""COMPUTED_VALUE"""),-1.3)</f>
        <v>-1.3</v>
      </c>
      <c r="U236" s="1">
        <f ca="1">IFERROR(__xludf.DUMMYFUNCTION("""COMPUTED_VALUE"""),194)</f>
        <v>194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IFERROR(__xludf.DUMMYFUNCTION("""COMPUTED_VALUE"""),"Rhode Island")</f>
        <v>Rhode Island</v>
      </c>
      <c r="C237" s="1" t="str">
        <f ca="1">IFERROR(__xludf.DUMMYFUNCTION("""COMPUTED_VALUE"""),"A10")</f>
        <v>A10</v>
      </c>
      <c r="D237" s="2">
        <f ca="1">IFERROR(__xludf.DUMMYFUNCTION("""COMPUTED_VALUE"""),44766)</f>
        <v>44766</v>
      </c>
      <c r="E237" s="1">
        <f ca="1">IFERROR(__xludf.DUMMYFUNCTION("""COMPUTED_VALUE"""),-5.13)</f>
        <v>-5.13</v>
      </c>
      <c r="F237" s="1">
        <f ca="1">IFERROR(__xludf.DUMMYFUNCTION("""COMPUTED_VALUE"""),102.7)</f>
        <v>102.7</v>
      </c>
      <c r="G237" s="1">
        <f ca="1">IFERROR(__xludf.DUMMYFUNCTION("""COMPUTED_VALUE"""),171)</f>
        <v>171</v>
      </c>
      <c r="H237" s="1">
        <f ca="1">IFERROR(__xludf.DUMMYFUNCTION("""COMPUTED_VALUE"""),107.8)</f>
        <v>107.8</v>
      </c>
      <c r="I237" s="1">
        <f ca="1">IFERROR(__xludf.DUMMYFUNCTION("""COMPUTED_VALUE"""),268)</f>
        <v>268</v>
      </c>
      <c r="J237" s="1">
        <f ca="1">IFERROR(__xludf.DUMMYFUNCTION("""COMPUTED_VALUE"""),66.5)</f>
        <v>66.5</v>
      </c>
      <c r="K237" s="1">
        <f ca="1">IFERROR(__xludf.DUMMYFUNCTION("""COMPUTED_VALUE"""),98)</f>
        <v>98</v>
      </c>
      <c r="L237" s="1">
        <f ca="1">IFERROR(__xludf.DUMMYFUNCTION("""COMPUTED_VALUE"""),-0.047)</f>
        <v>-4.7E-2</v>
      </c>
      <c r="M237" s="1">
        <f ca="1">IFERROR(__xludf.DUMMYFUNCTION("""COMPUTED_VALUE"""),277)</f>
        <v>277</v>
      </c>
      <c r="N237" s="1" t="str">
        <f ca="1">IFERROR(__xludf.DUMMYFUNCTION("""COMPUTED_VALUE"""),"+3.63")</f>
        <v>+3.63</v>
      </c>
      <c r="O237" s="1">
        <f ca="1">IFERROR(__xludf.DUMMYFUNCTION("""COMPUTED_VALUE"""),88)</f>
        <v>88</v>
      </c>
      <c r="P237" s="1">
        <f ca="1">IFERROR(__xludf.DUMMYFUNCTION("""COMPUTED_VALUE"""),104.5)</f>
        <v>104.5</v>
      </c>
      <c r="Q237" s="1">
        <f ca="1">IFERROR(__xludf.DUMMYFUNCTION("""COMPUTED_VALUE"""),97)</f>
        <v>97</v>
      </c>
      <c r="R237" s="1">
        <f ca="1">IFERROR(__xludf.DUMMYFUNCTION("""COMPUTED_VALUE"""),100.9)</f>
        <v>100.9</v>
      </c>
      <c r="S237" s="1">
        <f ca="1">IFERROR(__xludf.DUMMYFUNCTION("""COMPUTED_VALUE"""),78)</f>
        <v>78</v>
      </c>
      <c r="T237" s="1" t="str">
        <f ca="1">IFERROR(__xludf.DUMMYFUNCTION("""COMPUTED_VALUE"""),"+0.01")</f>
        <v>+0.01</v>
      </c>
      <c r="U237" s="1">
        <f ca="1">IFERROR(__xludf.DUMMYFUNCTION("""COMPUTED_VALUE"""),155)</f>
        <v>155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IFERROR(__xludf.DUMMYFUNCTION("""COMPUTED_VALUE"""),"Seattle")</f>
        <v>Seattle</v>
      </c>
      <c r="C238" s="1" t="str">
        <f ca="1">IFERROR(__xludf.DUMMYFUNCTION("""COMPUTED_VALUE"""),"ind")</f>
        <v>ind</v>
      </c>
      <c r="D238" s="2">
        <f ca="1">IFERROR(__xludf.DUMMYFUNCTION("""COMPUTED_VALUE"""),44910)</f>
        <v>44910</v>
      </c>
      <c r="E238" s="1">
        <f ca="1">IFERROR(__xludf.DUMMYFUNCTION("""COMPUTED_VALUE"""),-5.25)</f>
        <v>-5.25</v>
      </c>
      <c r="F238" s="1">
        <f ca="1">IFERROR(__xludf.DUMMYFUNCTION("""COMPUTED_VALUE"""),98.7)</f>
        <v>98.7</v>
      </c>
      <c r="G238" s="1">
        <f ca="1">IFERROR(__xludf.DUMMYFUNCTION("""COMPUTED_VALUE"""),247)</f>
        <v>247</v>
      </c>
      <c r="H238" s="1">
        <f ca="1">IFERROR(__xludf.DUMMYFUNCTION("""COMPUTED_VALUE"""),104)</f>
        <v>104</v>
      </c>
      <c r="I238" s="1">
        <f ca="1">IFERROR(__xludf.DUMMYFUNCTION("""COMPUTED_VALUE"""),195)</f>
        <v>195</v>
      </c>
      <c r="J238" s="1">
        <f ca="1">IFERROR(__xludf.DUMMYFUNCTION("""COMPUTED_VALUE"""),74.4)</f>
        <v>74.400000000000006</v>
      </c>
      <c r="K238" s="1">
        <f ca="1">IFERROR(__xludf.DUMMYFUNCTION("""COMPUTED_VALUE"""),1)</f>
        <v>1</v>
      </c>
      <c r="L238" s="1">
        <f ca="1">IFERROR(__xludf.DUMMYFUNCTION("""COMPUTED_VALUE"""),-0.071)</f>
        <v>-7.0999999999999994E-2</v>
      </c>
      <c r="M238" s="1">
        <f ca="1">IFERROR(__xludf.DUMMYFUNCTION("""COMPUTED_VALUE"""),321)</f>
        <v>321</v>
      </c>
      <c r="N238" s="1">
        <f ca="1">IFERROR(__xludf.DUMMYFUNCTION("""COMPUTED_VALUE"""),-4.76)</f>
        <v>-4.76</v>
      </c>
      <c r="O238" s="1">
        <f ca="1">IFERROR(__xludf.DUMMYFUNCTION("""COMPUTED_VALUE"""),281)</f>
        <v>281</v>
      </c>
      <c r="P238" s="1">
        <f ca="1">IFERROR(__xludf.DUMMYFUNCTION("""COMPUTED_VALUE"""),102.3)</f>
        <v>102.3</v>
      </c>
      <c r="Q238" s="1">
        <f ca="1">IFERROR(__xludf.DUMMYFUNCTION("""COMPUTED_VALUE"""),197)</f>
        <v>197</v>
      </c>
      <c r="R238" s="1">
        <f ca="1">IFERROR(__xludf.DUMMYFUNCTION("""COMPUTED_VALUE"""),107.1)</f>
        <v>107.1</v>
      </c>
      <c r="S238" s="1">
        <f ca="1">IFERROR(__xludf.DUMMYFUNCTION("""COMPUTED_VALUE"""),336)</f>
        <v>336</v>
      </c>
      <c r="T238" s="1">
        <f ca="1">IFERROR(__xludf.DUMMYFUNCTION("""COMPUTED_VALUE"""),-2.17)</f>
        <v>-2.17</v>
      </c>
      <c r="U238" s="1">
        <f ca="1">IFERROR(__xludf.DUMMYFUNCTION("""COMPUTED_VALUE"""),218)</f>
        <v>218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IFERROR(__xludf.DUMMYFUNCTION("""COMPUTED_VALUE"""),"Northwestern St.")</f>
        <v>Northwestern St.</v>
      </c>
      <c r="C239" s="1" t="str">
        <f ca="1">IFERROR(__xludf.DUMMYFUNCTION("""COMPUTED_VALUE"""),"Slnd")</f>
        <v>Slnd</v>
      </c>
      <c r="D239" s="1" t="str">
        <f ca="1">IFERROR(__xludf.DUMMYFUNCTION("""COMPUTED_VALUE"""),"16-16")</f>
        <v>16-16</v>
      </c>
      <c r="E239" s="1">
        <f ca="1">IFERROR(__xludf.DUMMYFUNCTION("""COMPUTED_VALUE"""),-5.39)</f>
        <v>-5.39</v>
      </c>
      <c r="F239" s="1">
        <f ca="1">IFERROR(__xludf.DUMMYFUNCTION("""COMPUTED_VALUE"""),97.3)</f>
        <v>97.3</v>
      </c>
      <c r="G239" s="1">
        <f ca="1">IFERROR(__xludf.DUMMYFUNCTION("""COMPUTED_VALUE"""),275)</f>
        <v>275</v>
      </c>
      <c r="H239" s="1">
        <f ca="1">IFERROR(__xludf.DUMMYFUNCTION("""COMPUTED_VALUE"""),102.7)</f>
        <v>102.7</v>
      </c>
      <c r="I239" s="1">
        <f ca="1">IFERROR(__xludf.DUMMYFUNCTION("""COMPUTED_VALUE"""),169)</f>
        <v>169</v>
      </c>
      <c r="J239" s="1">
        <f ca="1">IFERROR(__xludf.DUMMYFUNCTION("""COMPUTED_VALUE"""),69.3)</f>
        <v>69.3</v>
      </c>
      <c r="K239" s="1">
        <f ca="1">IFERROR(__xludf.DUMMYFUNCTION("""COMPUTED_VALUE"""),24)</f>
        <v>24</v>
      </c>
      <c r="L239" s="1" t="str">
        <f ca="1">IFERROR(__xludf.DUMMYFUNCTION("""COMPUTED_VALUE"""),"+.005")</f>
        <v>+.005</v>
      </c>
      <c r="M239" s="1">
        <f ca="1">IFERROR(__xludf.DUMMYFUNCTION("""COMPUTED_VALUE"""),161)</f>
        <v>161</v>
      </c>
      <c r="N239" s="1">
        <f ca="1">IFERROR(__xludf.DUMMYFUNCTION("""COMPUTED_VALUE"""),-3.69)</f>
        <v>-3.69</v>
      </c>
      <c r="O239" s="1">
        <f ca="1">IFERROR(__xludf.DUMMYFUNCTION("""COMPUTED_VALUE"""),246)</f>
        <v>246</v>
      </c>
      <c r="P239" s="1">
        <f ca="1">IFERROR(__xludf.DUMMYFUNCTION("""COMPUTED_VALUE"""),100.6)</f>
        <v>100.6</v>
      </c>
      <c r="Q239" s="1">
        <f ca="1">IFERROR(__xludf.DUMMYFUNCTION("""COMPUTED_VALUE"""),280)</f>
        <v>280</v>
      </c>
      <c r="R239" s="1">
        <f ca="1">IFERROR(__xludf.DUMMYFUNCTION("""COMPUTED_VALUE"""),104.3)</f>
        <v>104.3</v>
      </c>
      <c r="S239" s="1">
        <f ca="1">IFERROR(__xludf.DUMMYFUNCTION("""COMPUTED_VALUE"""),215)</f>
        <v>215</v>
      </c>
      <c r="T239" s="1" t="str">
        <f ca="1">IFERROR(__xludf.DUMMYFUNCTION("""COMPUTED_VALUE"""),"+2.78")</f>
        <v>+2.78</v>
      </c>
      <c r="U239" s="1">
        <f ca="1">IFERROR(__xludf.DUMMYFUNCTION("""COMPUTED_VALUE"""),85)</f>
        <v>85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IFERROR(__xludf.DUMMYFUNCTION("""COMPUTED_VALUE"""),"FIU")</f>
        <v>FIU</v>
      </c>
      <c r="C240" s="1" t="str">
        <f ca="1">IFERROR(__xludf.DUMMYFUNCTION("""COMPUTED_VALUE"""),"SB")</f>
        <v>SB</v>
      </c>
      <c r="D240" s="2">
        <f ca="1">IFERROR(__xludf.DUMMYFUNCTION("""COMPUTED_VALUE"""),44794)</f>
        <v>44794</v>
      </c>
      <c r="E240" s="1">
        <f ca="1">IFERROR(__xludf.DUMMYFUNCTION("""COMPUTED_VALUE"""),-5.45)</f>
        <v>-5.45</v>
      </c>
      <c r="F240" s="1">
        <f ca="1">IFERROR(__xludf.DUMMYFUNCTION("""COMPUTED_VALUE"""),99.4)</f>
        <v>99.4</v>
      </c>
      <c r="G240" s="1">
        <f ca="1">IFERROR(__xludf.DUMMYFUNCTION("""COMPUTED_VALUE"""),239)</f>
        <v>239</v>
      </c>
      <c r="H240" s="1">
        <f ca="1">IFERROR(__xludf.DUMMYFUNCTION("""COMPUTED_VALUE"""),104.9)</f>
        <v>104.9</v>
      </c>
      <c r="I240" s="1">
        <f ca="1">IFERROR(__xludf.DUMMYFUNCTION("""COMPUTED_VALUE"""),217)</f>
        <v>217</v>
      </c>
      <c r="J240" s="1">
        <f ca="1">IFERROR(__xludf.DUMMYFUNCTION("""COMPUTED_VALUE"""),63.7)</f>
        <v>63.7</v>
      </c>
      <c r="K240" s="1">
        <f ca="1">IFERROR(__xludf.DUMMYFUNCTION("""COMPUTED_VALUE"""),246)</f>
        <v>246</v>
      </c>
      <c r="L240" s="1">
        <f ca="1">IFERROR(__xludf.DUMMYFUNCTION("""COMPUTED_VALUE"""),-0.068)</f>
        <v>-6.8000000000000005E-2</v>
      </c>
      <c r="M240" s="1">
        <f ca="1">IFERROR(__xludf.DUMMYFUNCTION("""COMPUTED_VALUE"""),316)</f>
        <v>316</v>
      </c>
      <c r="N240" s="1">
        <f ca="1">IFERROR(__xludf.DUMMYFUNCTION("""COMPUTED_VALUE"""),-0.4)</f>
        <v>-0.4</v>
      </c>
      <c r="O240" s="1">
        <f ca="1">IFERROR(__xludf.DUMMYFUNCTION("""COMPUTED_VALUE"""),164)</f>
        <v>164</v>
      </c>
      <c r="P240" s="1">
        <f ca="1">IFERROR(__xludf.DUMMYFUNCTION("""COMPUTED_VALUE"""),102.3)</f>
        <v>102.3</v>
      </c>
      <c r="Q240" s="1">
        <f ca="1">IFERROR(__xludf.DUMMYFUNCTION("""COMPUTED_VALUE"""),199)</f>
        <v>199</v>
      </c>
      <c r="R240" s="1">
        <f ca="1">IFERROR(__xludf.DUMMYFUNCTION("""COMPUTED_VALUE"""),102.7)</f>
        <v>102.7</v>
      </c>
      <c r="S240" s="1">
        <f ca="1">IFERROR(__xludf.DUMMYFUNCTION("""COMPUTED_VALUE"""),151)</f>
        <v>151</v>
      </c>
      <c r="T240" s="1" t="str">
        <f ca="1">IFERROR(__xludf.DUMMYFUNCTION("""COMPUTED_VALUE"""),"+3.01")</f>
        <v>+3.01</v>
      </c>
      <c r="U240" s="1">
        <f ca="1">IFERROR(__xludf.DUMMYFUNCTION("""COMPUTED_VALUE"""),80)</f>
        <v>80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IFERROR(__xludf.DUMMYFUNCTION("""COMPUTED_VALUE"""),"Southeast Missouri St.")</f>
        <v>Southeast Missouri St.</v>
      </c>
      <c r="C241" s="1" t="str">
        <f ca="1">IFERROR(__xludf.DUMMYFUNCTION("""COMPUTED_VALUE"""),"OVC")</f>
        <v>OVC</v>
      </c>
      <c r="D241" s="1" t="str">
        <f ca="1">IFERROR(__xludf.DUMMYFUNCTION("""COMPUTED_VALUE"""),"15-16")</f>
        <v>15-16</v>
      </c>
      <c r="E241" s="1">
        <f ca="1">IFERROR(__xludf.DUMMYFUNCTION("""COMPUTED_VALUE"""),-5.46)</f>
        <v>-5.46</v>
      </c>
      <c r="F241" s="1">
        <f ca="1">IFERROR(__xludf.DUMMYFUNCTION("""COMPUTED_VALUE"""),105.5)</f>
        <v>105.5</v>
      </c>
      <c r="G241" s="1">
        <f ca="1">IFERROR(__xludf.DUMMYFUNCTION("""COMPUTED_VALUE"""),125)</f>
        <v>125</v>
      </c>
      <c r="H241" s="1">
        <f ca="1">IFERROR(__xludf.DUMMYFUNCTION("""COMPUTED_VALUE"""),110.9)</f>
        <v>110.9</v>
      </c>
      <c r="I241" s="1">
        <f ca="1">IFERROR(__xludf.DUMMYFUNCTION("""COMPUTED_VALUE"""),312)</f>
        <v>312</v>
      </c>
      <c r="J241" s="1">
        <f ca="1">IFERROR(__xludf.DUMMYFUNCTION("""COMPUTED_VALUE"""),64.6)</f>
        <v>64.599999999999994</v>
      </c>
      <c r="K241" s="1">
        <f ca="1">IFERROR(__xludf.DUMMYFUNCTION("""COMPUTED_VALUE"""),193)</f>
        <v>193</v>
      </c>
      <c r="L241" s="1">
        <f ca="1">IFERROR(__xludf.DUMMYFUNCTION("""COMPUTED_VALUE"""),-0.036)</f>
        <v>-3.5999999999999997E-2</v>
      </c>
      <c r="M241" s="1">
        <f ca="1">IFERROR(__xludf.DUMMYFUNCTION("""COMPUTED_VALUE"""),257)</f>
        <v>257</v>
      </c>
      <c r="N241" s="1">
        <f ca="1">IFERROR(__xludf.DUMMYFUNCTION("""COMPUTED_VALUE"""),-5.86)</f>
        <v>-5.86</v>
      </c>
      <c r="O241" s="1">
        <f ca="1">IFERROR(__xludf.DUMMYFUNCTION("""COMPUTED_VALUE"""),305)</f>
        <v>305</v>
      </c>
      <c r="P241" s="1">
        <f ca="1">IFERROR(__xludf.DUMMYFUNCTION("""COMPUTED_VALUE"""),100.3)</f>
        <v>100.3</v>
      </c>
      <c r="Q241" s="1">
        <f ca="1">IFERROR(__xludf.DUMMYFUNCTION("""COMPUTED_VALUE"""),290)</f>
        <v>290</v>
      </c>
      <c r="R241" s="1">
        <f ca="1">IFERROR(__xludf.DUMMYFUNCTION("""COMPUTED_VALUE"""),106.2)</f>
        <v>106.2</v>
      </c>
      <c r="S241" s="1">
        <f ca="1">IFERROR(__xludf.DUMMYFUNCTION("""COMPUTED_VALUE"""),311)</f>
        <v>311</v>
      </c>
      <c r="T241" s="1">
        <f ca="1">IFERROR(__xludf.DUMMYFUNCTION("""COMPUTED_VALUE"""),-4.06)</f>
        <v>-4.0599999999999996</v>
      </c>
      <c r="U241" s="1">
        <f ca="1">IFERROR(__xludf.DUMMYFUNCTION("""COMPUTED_VALUE"""),269)</f>
        <v>269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IFERROR(__xludf.DUMMYFUNCTION("""COMPUTED_VALUE"""),"Arizona St.")</f>
        <v>Arizona St.</v>
      </c>
      <c r="C242" s="1" t="str">
        <f ca="1">IFERROR(__xludf.DUMMYFUNCTION("""COMPUTED_VALUE"""),"P12")</f>
        <v>P12</v>
      </c>
      <c r="D242" s="2">
        <f ca="1">IFERROR(__xludf.DUMMYFUNCTION("""COMPUTED_VALUE"""),44855)</f>
        <v>44855</v>
      </c>
      <c r="E242" s="1">
        <f ca="1">IFERROR(__xludf.DUMMYFUNCTION("""COMPUTED_VALUE"""),-5.55)</f>
        <v>-5.55</v>
      </c>
      <c r="F242" s="1">
        <f ca="1">IFERROR(__xludf.DUMMYFUNCTION("""COMPUTED_VALUE"""),100.6)</f>
        <v>100.6</v>
      </c>
      <c r="G242" s="1">
        <f ca="1">IFERROR(__xludf.DUMMYFUNCTION("""COMPUTED_VALUE"""),219)</f>
        <v>219</v>
      </c>
      <c r="H242" s="1">
        <f ca="1">IFERROR(__xludf.DUMMYFUNCTION("""COMPUTED_VALUE"""),106.1)</f>
        <v>106.1</v>
      </c>
      <c r="I242" s="1">
        <f ca="1">IFERROR(__xludf.DUMMYFUNCTION("""COMPUTED_VALUE"""),245)</f>
        <v>245</v>
      </c>
      <c r="J242" s="1">
        <f ca="1">IFERROR(__xludf.DUMMYFUNCTION("""COMPUTED_VALUE"""),62.5)</f>
        <v>62.5</v>
      </c>
      <c r="K242" s="1">
        <f ca="1">IFERROR(__xludf.DUMMYFUNCTION("""COMPUTED_VALUE"""),285)</f>
        <v>285</v>
      </c>
      <c r="L242" s="1" t="str">
        <f ca="1">IFERROR(__xludf.DUMMYFUNCTION("""COMPUTED_VALUE"""),"+.006")</f>
        <v>+.006</v>
      </c>
      <c r="M242" s="1">
        <f ca="1">IFERROR(__xludf.DUMMYFUNCTION("""COMPUTED_VALUE"""),157)</f>
        <v>157</v>
      </c>
      <c r="N242" s="1" t="str">
        <f ca="1">IFERROR(__xludf.DUMMYFUNCTION("""COMPUTED_VALUE"""),"+2.84")</f>
        <v>+2.84</v>
      </c>
      <c r="O242" s="1">
        <f ca="1">IFERROR(__xludf.DUMMYFUNCTION("""COMPUTED_VALUE"""),102)</f>
        <v>102</v>
      </c>
      <c r="P242" s="1">
        <f ca="1">IFERROR(__xludf.DUMMYFUNCTION("""COMPUTED_VALUE"""),103.7)</f>
        <v>103.7</v>
      </c>
      <c r="Q242" s="1">
        <f ca="1">IFERROR(__xludf.DUMMYFUNCTION("""COMPUTED_VALUE"""),129)</f>
        <v>129</v>
      </c>
      <c r="R242" s="1">
        <f ca="1">IFERROR(__xludf.DUMMYFUNCTION("""COMPUTED_VALUE"""),100.8)</f>
        <v>100.8</v>
      </c>
      <c r="S242" s="1">
        <f ca="1">IFERROR(__xludf.DUMMYFUNCTION("""COMPUTED_VALUE"""),76)</f>
        <v>76</v>
      </c>
      <c r="T242" s="1">
        <f ca="1">IFERROR(__xludf.DUMMYFUNCTION("""COMPUTED_VALUE"""),-3.67)</f>
        <v>-3.67</v>
      </c>
      <c r="U242" s="1">
        <f ca="1">IFERROR(__xludf.DUMMYFUNCTION("""COMPUTED_VALUE"""),256)</f>
        <v>256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IFERROR(__xludf.DUMMYFUNCTION("""COMPUTED_VALUE"""),"Siena")</f>
        <v>Siena</v>
      </c>
      <c r="C243" s="1" t="str">
        <f ca="1">IFERROR(__xludf.DUMMYFUNCTION("""COMPUTED_VALUE"""),"MAAC")</f>
        <v>MAAC</v>
      </c>
      <c r="D243" s="1" t="str">
        <f ca="1">IFERROR(__xludf.DUMMYFUNCTION("""COMPUTED_VALUE"""),"14-17")</f>
        <v>14-17</v>
      </c>
      <c r="E243" s="1">
        <f ca="1">IFERROR(__xludf.DUMMYFUNCTION("""COMPUTED_VALUE"""),-5.62)</f>
        <v>-5.62</v>
      </c>
      <c r="F243" s="1">
        <f ca="1">IFERROR(__xludf.DUMMYFUNCTION("""COMPUTED_VALUE"""),97.3)</f>
        <v>97.3</v>
      </c>
      <c r="G243" s="1">
        <f ca="1">IFERROR(__xludf.DUMMYFUNCTION("""COMPUTED_VALUE"""),274)</f>
        <v>274</v>
      </c>
      <c r="H243" s="1">
        <f ca="1">IFERROR(__xludf.DUMMYFUNCTION("""COMPUTED_VALUE"""),103)</f>
        <v>103</v>
      </c>
      <c r="I243" s="1">
        <f ca="1">IFERROR(__xludf.DUMMYFUNCTION("""COMPUTED_VALUE"""),177)</f>
        <v>177</v>
      </c>
      <c r="J243" s="1">
        <f ca="1">IFERROR(__xludf.DUMMYFUNCTION("""COMPUTED_VALUE"""),64.5)</f>
        <v>64.5</v>
      </c>
      <c r="K243" s="1">
        <f ca="1">IFERROR(__xludf.DUMMYFUNCTION("""COMPUTED_VALUE"""),199)</f>
        <v>199</v>
      </c>
      <c r="L243" s="1" t="str">
        <f ca="1">IFERROR(__xludf.DUMMYFUNCTION("""COMPUTED_VALUE"""),"+.043")</f>
        <v>+.043</v>
      </c>
      <c r="M243" s="1">
        <f ca="1">IFERROR(__xludf.DUMMYFUNCTION("""COMPUTED_VALUE"""),66)</f>
        <v>66</v>
      </c>
      <c r="N243" s="1">
        <f ca="1">IFERROR(__xludf.DUMMYFUNCTION("""COMPUTED_VALUE"""),-2.61)</f>
        <v>-2.61</v>
      </c>
      <c r="O243" s="1">
        <f ca="1">IFERROR(__xludf.DUMMYFUNCTION("""COMPUTED_VALUE"""),218)</f>
        <v>218</v>
      </c>
      <c r="P243" s="1">
        <f ca="1">IFERROR(__xludf.DUMMYFUNCTION("""COMPUTED_VALUE"""),101.6)</f>
        <v>101.6</v>
      </c>
      <c r="Q243" s="1">
        <f ca="1">IFERROR(__xludf.DUMMYFUNCTION("""COMPUTED_VALUE"""),233)</f>
        <v>233</v>
      </c>
      <c r="R243" s="1">
        <f ca="1">IFERROR(__xludf.DUMMYFUNCTION("""COMPUTED_VALUE"""),104.2)</f>
        <v>104.2</v>
      </c>
      <c r="S243" s="1">
        <f ca="1">IFERROR(__xludf.DUMMYFUNCTION("""COMPUTED_VALUE"""),211)</f>
        <v>211</v>
      </c>
      <c r="T243" s="1">
        <f ca="1">IFERROR(__xludf.DUMMYFUNCTION("""COMPUTED_VALUE"""),-1.51)</f>
        <v>-1.51</v>
      </c>
      <c r="U243" s="1">
        <f ca="1">IFERROR(__xludf.DUMMYFUNCTION("""COMPUTED_VALUE"""),197)</f>
        <v>197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IFERROR(__xludf.DUMMYFUNCTION("""COMPUTED_VALUE"""),"Sacred Heart")</f>
        <v>Sacred Heart</v>
      </c>
      <c r="C244" s="1" t="str">
        <f ca="1">IFERROR(__xludf.DUMMYFUNCTION("""COMPUTED_VALUE"""),"NEC")</f>
        <v>NEC</v>
      </c>
      <c r="D244" s="1" t="str">
        <f ca="1">IFERROR(__xludf.DUMMYFUNCTION("""COMPUTED_VALUE"""),"14-18")</f>
        <v>14-18</v>
      </c>
      <c r="E244" s="1">
        <f ca="1">IFERROR(__xludf.DUMMYFUNCTION("""COMPUTED_VALUE"""),-5.99)</f>
        <v>-5.99</v>
      </c>
      <c r="F244" s="1">
        <f ca="1">IFERROR(__xludf.DUMMYFUNCTION("""COMPUTED_VALUE"""),102.6)</f>
        <v>102.6</v>
      </c>
      <c r="G244" s="1">
        <f ca="1">IFERROR(__xludf.DUMMYFUNCTION("""COMPUTED_VALUE"""),173)</f>
        <v>173</v>
      </c>
      <c r="H244" s="1">
        <f ca="1">IFERROR(__xludf.DUMMYFUNCTION("""COMPUTED_VALUE"""),108.6)</f>
        <v>108.6</v>
      </c>
      <c r="I244" s="1">
        <f ca="1">IFERROR(__xludf.DUMMYFUNCTION("""COMPUTED_VALUE"""),282)</f>
        <v>282</v>
      </c>
      <c r="J244" s="1">
        <f ca="1">IFERROR(__xludf.DUMMYFUNCTION("""COMPUTED_VALUE"""),66)</f>
        <v>66</v>
      </c>
      <c r="K244" s="1">
        <f ca="1">IFERROR(__xludf.DUMMYFUNCTION("""COMPUTED_VALUE"""),122)</f>
        <v>122</v>
      </c>
      <c r="L244" s="1">
        <f ca="1">IFERROR(__xludf.DUMMYFUNCTION("""COMPUTED_VALUE"""),-0.027)</f>
        <v>-2.7E-2</v>
      </c>
      <c r="M244" s="1">
        <f ca="1">IFERROR(__xludf.DUMMYFUNCTION("""COMPUTED_VALUE"""),241)</f>
        <v>241</v>
      </c>
      <c r="N244" s="1">
        <f ca="1">IFERROR(__xludf.DUMMYFUNCTION("""COMPUTED_VALUE"""),-5.27)</f>
        <v>-5.27</v>
      </c>
      <c r="O244" s="1">
        <f ca="1">IFERROR(__xludf.DUMMYFUNCTION("""COMPUTED_VALUE"""),292)</f>
        <v>292</v>
      </c>
      <c r="P244" s="1">
        <f ca="1">IFERROR(__xludf.DUMMYFUNCTION("""COMPUTED_VALUE"""),100)</f>
        <v>100</v>
      </c>
      <c r="Q244" s="1">
        <f ca="1">IFERROR(__xludf.DUMMYFUNCTION("""COMPUTED_VALUE"""),303)</f>
        <v>303</v>
      </c>
      <c r="R244" s="1">
        <f ca="1">IFERROR(__xludf.DUMMYFUNCTION("""COMPUTED_VALUE"""),105.3)</f>
        <v>105.3</v>
      </c>
      <c r="S244" s="1">
        <f ca="1">IFERROR(__xludf.DUMMYFUNCTION("""COMPUTED_VALUE"""),272)</f>
        <v>272</v>
      </c>
      <c r="T244" s="1">
        <f ca="1">IFERROR(__xludf.DUMMYFUNCTION("""COMPUTED_VALUE"""),-3.97)</f>
        <v>-3.97</v>
      </c>
      <c r="U244" s="1">
        <f ca="1">IFERROR(__xludf.DUMMYFUNCTION("""COMPUTED_VALUE"""),266)</f>
        <v>266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IFERROR(__xludf.DUMMYFUNCTION("""COMPUTED_VALUE"""),"Campbell")</f>
        <v>Campbell</v>
      </c>
      <c r="C245" s="1" t="str">
        <f ca="1">IFERROR(__xludf.DUMMYFUNCTION("""COMPUTED_VALUE"""),"BSth")</f>
        <v>BSth</v>
      </c>
      <c r="D245" s="1" t="str">
        <f ca="1">IFERROR(__xludf.DUMMYFUNCTION("""COMPUTED_VALUE"""),"17-15")</f>
        <v>17-15</v>
      </c>
      <c r="E245" s="1">
        <f ca="1">IFERROR(__xludf.DUMMYFUNCTION("""COMPUTED_VALUE"""),-6)</f>
        <v>-6</v>
      </c>
      <c r="F245" s="1">
        <f ca="1">IFERROR(__xludf.DUMMYFUNCTION("""COMPUTED_VALUE"""),103.7)</f>
        <v>103.7</v>
      </c>
      <c r="G245" s="1">
        <f ca="1">IFERROR(__xludf.DUMMYFUNCTION("""COMPUTED_VALUE"""),154)</f>
        <v>154</v>
      </c>
      <c r="H245" s="1">
        <f ca="1">IFERROR(__xludf.DUMMYFUNCTION("""COMPUTED_VALUE"""),109.7)</f>
        <v>109.7</v>
      </c>
      <c r="I245" s="1">
        <f ca="1">IFERROR(__xludf.DUMMYFUNCTION("""COMPUTED_VALUE"""),294)</f>
        <v>294</v>
      </c>
      <c r="J245" s="1">
        <f ca="1">IFERROR(__xludf.DUMMYFUNCTION("""COMPUTED_VALUE"""),67.1)</f>
        <v>67.099999999999994</v>
      </c>
      <c r="K245" s="1">
        <f ca="1">IFERROR(__xludf.DUMMYFUNCTION("""COMPUTED_VALUE"""),79)</f>
        <v>79</v>
      </c>
      <c r="L245" s="1" t="str">
        <f ca="1">IFERROR(__xludf.DUMMYFUNCTION("""COMPUTED_VALUE"""),"+.050")</f>
        <v>+.050</v>
      </c>
      <c r="M245" s="1">
        <f ca="1">IFERROR(__xludf.DUMMYFUNCTION("""COMPUTED_VALUE"""),55)</f>
        <v>55</v>
      </c>
      <c r="N245" s="1">
        <f ca="1">IFERROR(__xludf.DUMMYFUNCTION("""COMPUTED_VALUE"""),-5.07)</f>
        <v>-5.07</v>
      </c>
      <c r="O245" s="1">
        <f ca="1">IFERROR(__xludf.DUMMYFUNCTION("""COMPUTED_VALUE"""),287)</f>
        <v>287</v>
      </c>
      <c r="P245" s="1">
        <f ca="1">IFERROR(__xludf.DUMMYFUNCTION("""COMPUTED_VALUE"""),101.4)</f>
        <v>101.4</v>
      </c>
      <c r="Q245" s="1">
        <f ca="1">IFERROR(__xludf.DUMMYFUNCTION("""COMPUTED_VALUE"""),246)</f>
        <v>246</v>
      </c>
      <c r="R245" s="1">
        <f ca="1">IFERROR(__xludf.DUMMYFUNCTION("""COMPUTED_VALUE"""),106.4)</f>
        <v>106.4</v>
      </c>
      <c r="S245" s="1">
        <f ca="1">IFERROR(__xludf.DUMMYFUNCTION("""COMPUTED_VALUE"""),322)</f>
        <v>322</v>
      </c>
      <c r="T245" s="1">
        <f ca="1">IFERROR(__xludf.DUMMYFUNCTION("""COMPUTED_VALUE"""),-1.74)</f>
        <v>-1.74</v>
      </c>
      <c r="U245" s="1">
        <f ca="1">IFERROR(__xludf.DUMMYFUNCTION("""COMPUTED_VALUE"""),206)</f>
        <v>206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IFERROR(__xludf.DUMMYFUNCTION("""COMPUTED_VALUE"""),"High Point")</f>
        <v>High Point</v>
      </c>
      <c r="C246" s="1" t="str">
        <f ca="1">IFERROR(__xludf.DUMMYFUNCTION("""COMPUTED_VALUE"""),"BSth")</f>
        <v>BSth</v>
      </c>
      <c r="D246" s="1" t="str">
        <f ca="1">IFERROR(__xludf.DUMMYFUNCTION("""COMPUTED_VALUE"""),"13-18")</f>
        <v>13-18</v>
      </c>
      <c r="E246" s="1">
        <f ca="1">IFERROR(__xludf.DUMMYFUNCTION("""COMPUTED_VALUE"""),-6.17)</f>
        <v>-6.17</v>
      </c>
      <c r="F246" s="1">
        <f ca="1">IFERROR(__xludf.DUMMYFUNCTION("""COMPUTED_VALUE"""),105.5)</f>
        <v>105.5</v>
      </c>
      <c r="G246" s="1">
        <f ca="1">IFERROR(__xludf.DUMMYFUNCTION("""COMPUTED_VALUE"""),126)</f>
        <v>126</v>
      </c>
      <c r="H246" s="1">
        <f ca="1">IFERROR(__xludf.DUMMYFUNCTION("""COMPUTED_VALUE"""),111.6)</f>
        <v>111.6</v>
      </c>
      <c r="I246" s="1">
        <f ca="1">IFERROR(__xludf.DUMMYFUNCTION("""COMPUTED_VALUE"""),321)</f>
        <v>321</v>
      </c>
      <c r="J246" s="1">
        <f ca="1">IFERROR(__xludf.DUMMYFUNCTION("""COMPUTED_VALUE"""),63.7)</f>
        <v>63.7</v>
      </c>
      <c r="K246" s="1">
        <f ca="1">IFERROR(__xludf.DUMMYFUNCTION("""COMPUTED_VALUE"""),244)</f>
        <v>244</v>
      </c>
      <c r="L246" s="1">
        <f ca="1">IFERROR(__xludf.DUMMYFUNCTION("""COMPUTED_VALUE"""),-0.066)</f>
        <v>-6.6000000000000003E-2</v>
      </c>
      <c r="M246" s="1">
        <f ca="1">IFERROR(__xludf.DUMMYFUNCTION("""COMPUTED_VALUE"""),312)</f>
        <v>312</v>
      </c>
      <c r="N246" s="1">
        <f ca="1">IFERROR(__xludf.DUMMYFUNCTION("""COMPUTED_VALUE"""),-4.84)</f>
        <v>-4.84</v>
      </c>
      <c r="O246" s="1">
        <f ca="1">IFERROR(__xludf.DUMMYFUNCTION("""COMPUTED_VALUE"""),283)</f>
        <v>283</v>
      </c>
      <c r="P246" s="1">
        <f ca="1">IFERROR(__xludf.DUMMYFUNCTION("""COMPUTED_VALUE"""),101.1)</f>
        <v>101.1</v>
      </c>
      <c r="Q246" s="1">
        <f ca="1">IFERROR(__xludf.DUMMYFUNCTION("""COMPUTED_VALUE"""),256)</f>
        <v>256</v>
      </c>
      <c r="R246" s="1">
        <f ca="1">IFERROR(__xludf.DUMMYFUNCTION("""COMPUTED_VALUE"""),105.9)</f>
        <v>105.9</v>
      </c>
      <c r="S246" s="1">
        <f ca="1">IFERROR(__xludf.DUMMYFUNCTION("""COMPUTED_VALUE"""),299)</f>
        <v>299</v>
      </c>
      <c r="T246" s="1">
        <f ca="1">IFERROR(__xludf.DUMMYFUNCTION("""COMPUTED_VALUE"""),-0.57)</f>
        <v>-0.56999999999999995</v>
      </c>
      <c r="U246" s="1">
        <f ca="1">IFERROR(__xludf.DUMMYFUNCTION("""COMPUTED_VALUE"""),176)</f>
        <v>176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IFERROR(__xludf.DUMMYFUNCTION("""COMPUTED_VALUE"""),"Texas Tech")</f>
        <v>Texas Tech</v>
      </c>
      <c r="C247" s="1" t="str">
        <f ca="1">IFERROR(__xludf.DUMMYFUNCTION("""COMPUTED_VALUE"""),"B12")</f>
        <v>B12</v>
      </c>
      <c r="D247" s="2">
        <f ca="1">IFERROR(__xludf.DUMMYFUNCTION("""COMPUTED_VALUE"""),44796)</f>
        <v>44796</v>
      </c>
      <c r="E247" s="1">
        <f ca="1">IFERROR(__xludf.DUMMYFUNCTION("""COMPUTED_VALUE"""),-6.18)</f>
        <v>-6.18</v>
      </c>
      <c r="F247" s="1">
        <f ca="1">IFERROR(__xludf.DUMMYFUNCTION("""COMPUTED_VALUE"""),95.1)</f>
        <v>95.1</v>
      </c>
      <c r="G247" s="1">
        <f ca="1">IFERROR(__xludf.DUMMYFUNCTION("""COMPUTED_VALUE"""),295)</f>
        <v>295</v>
      </c>
      <c r="H247" s="1">
        <f ca="1">IFERROR(__xludf.DUMMYFUNCTION("""COMPUTED_VALUE"""),101.3)</f>
        <v>101.3</v>
      </c>
      <c r="I247" s="1">
        <f ca="1">IFERROR(__xludf.DUMMYFUNCTION("""COMPUTED_VALUE"""),139)</f>
        <v>139</v>
      </c>
      <c r="J247" s="1">
        <f ca="1">IFERROR(__xludf.DUMMYFUNCTION("""COMPUTED_VALUE"""),64.1)</f>
        <v>64.099999999999994</v>
      </c>
      <c r="K247" s="1">
        <f ca="1">IFERROR(__xludf.DUMMYFUNCTION("""COMPUTED_VALUE"""),223)</f>
        <v>223</v>
      </c>
      <c r="L247" s="1">
        <f ca="1">IFERROR(__xludf.DUMMYFUNCTION("""COMPUTED_VALUE"""),-0.014)</f>
        <v>-1.4E-2</v>
      </c>
      <c r="M247" s="1">
        <f ca="1">IFERROR(__xludf.DUMMYFUNCTION("""COMPUTED_VALUE"""),205)</f>
        <v>205</v>
      </c>
      <c r="N247" s="1" t="str">
        <f ca="1">IFERROR(__xludf.DUMMYFUNCTION("""COMPUTED_VALUE"""),"+6.80")</f>
        <v>+6.80</v>
      </c>
      <c r="O247" s="1">
        <f ca="1">IFERROR(__xludf.DUMMYFUNCTION("""COMPUTED_VALUE"""),40)</f>
        <v>40</v>
      </c>
      <c r="P247" s="1">
        <f ca="1">IFERROR(__xludf.DUMMYFUNCTION("""COMPUTED_VALUE"""),106.8)</f>
        <v>106.8</v>
      </c>
      <c r="Q247" s="1">
        <f ca="1">IFERROR(__xludf.DUMMYFUNCTION("""COMPUTED_VALUE"""),36)</f>
        <v>36</v>
      </c>
      <c r="R247" s="1">
        <f ca="1">IFERROR(__xludf.DUMMYFUNCTION("""COMPUTED_VALUE"""),100)</f>
        <v>100</v>
      </c>
      <c r="S247" s="1">
        <f ca="1">IFERROR(__xludf.DUMMYFUNCTION("""COMPUTED_VALUE"""),45)</f>
        <v>45</v>
      </c>
      <c r="T247" s="1">
        <f ca="1">IFERROR(__xludf.DUMMYFUNCTION("""COMPUTED_VALUE"""),-6.94)</f>
        <v>-6.94</v>
      </c>
      <c r="U247" s="1">
        <f ca="1">IFERROR(__xludf.DUMMYFUNCTION("""COMPUTED_VALUE"""),323)</f>
        <v>323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IFERROR(__xludf.DUMMYFUNCTION("""COMPUTED_VALUE"""),"Southern Utah")</f>
        <v>Southern Utah</v>
      </c>
      <c r="C248" s="1" t="str">
        <f ca="1">IFERROR(__xludf.DUMMYFUNCTION("""COMPUTED_VALUE"""),"Sum")</f>
        <v>Sum</v>
      </c>
      <c r="D248" s="1" t="str">
        <f ca="1">IFERROR(__xludf.DUMMYFUNCTION("""COMPUTED_VALUE"""),"14-17")</f>
        <v>14-17</v>
      </c>
      <c r="E248" s="1">
        <f ca="1">IFERROR(__xludf.DUMMYFUNCTION("""COMPUTED_VALUE"""),-6.27)</f>
        <v>-6.27</v>
      </c>
      <c r="F248" s="1">
        <f ca="1">IFERROR(__xludf.DUMMYFUNCTION("""COMPUTED_VALUE"""),98.3)</f>
        <v>98.3</v>
      </c>
      <c r="G248" s="1">
        <f ca="1">IFERROR(__xludf.DUMMYFUNCTION("""COMPUTED_VALUE"""),253)</f>
        <v>253</v>
      </c>
      <c r="H248" s="1">
        <f ca="1">IFERROR(__xludf.DUMMYFUNCTION("""COMPUTED_VALUE"""),104.6)</f>
        <v>104.6</v>
      </c>
      <c r="I248" s="1">
        <f ca="1">IFERROR(__xludf.DUMMYFUNCTION("""COMPUTED_VALUE"""),207)</f>
        <v>207</v>
      </c>
      <c r="J248" s="1">
        <f ca="1">IFERROR(__xludf.DUMMYFUNCTION("""COMPUTED_VALUE"""),62.8)</f>
        <v>62.8</v>
      </c>
      <c r="K248" s="1">
        <f ca="1">IFERROR(__xludf.DUMMYFUNCTION("""COMPUTED_VALUE"""),273)</f>
        <v>273</v>
      </c>
      <c r="L248" s="1" t="str">
        <f ca="1">IFERROR(__xludf.DUMMYFUNCTION("""COMPUTED_VALUE"""),"+.015")</f>
        <v>+.015</v>
      </c>
      <c r="M248" s="1">
        <f ca="1">IFERROR(__xludf.DUMMYFUNCTION("""COMPUTED_VALUE"""),138)</f>
        <v>138</v>
      </c>
      <c r="N248" s="1">
        <f ca="1">IFERROR(__xludf.DUMMYFUNCTION("""COMPUTED_VALUE"""),-2.77)</f>
        <v>-2.77</v>
      </c>
      <c r="O248" s="1">
        <f ca="1">IFERROR(__xludf.DUMMYFUNCTION("""COMPUTED_VALUE"""),224)</f>
        <v>224</v>
      </c>
      <c r="P248" s="1">
        <f ca="1">IFERROR(__xludf.DUMMYFUNCTION("""COMPUTED_VALUE"""),104.7)</f>
        <v>104.7</v>
      </c>
      <c r="Q248" s="1">
        <f ca="1">IFERROR(__xludf.DUMMYFUNCTION("""COMPUTED_VALUE"""),86)</f>
        <v>86</v>
      </c>
      <c r="R248" s="1">
        <f ca="1">IFERROR(__xludf.DUMMYFUNCTION("""COMPUTED_VALUE"""),107.5)</f>
        <v>107.5</v>
      </c>
      <c r="S248" s="1">
        <f ca="1">IFERROR(__xludf.DUMMYFUNCTION("""COMPUTED_VALUE"""),342)</f>
        <v>342</v>
      </c>
      <c r="T248" s="1">
        <f ca="1">IFERROR(__xludf.DUMMYFUNCTION("""COMPUTED_VALUE"""),-6.72)</f>
        <v>-6.72</v>
      </c>
      <c r="U248" s="1">
        <f ca="1">IFERROR(__xludf.DUMMYFUNCTION("""COMPUTED_VALUE"""),319)</f>
        <v>319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IFERROR(__xludf.DUMMYFUNCTION("""COMPUTED_VALUE"""),"Mississippi Valley St.16")</f>
        <v>Mississippi Valley St.16</v>
      </c>
      <c r="C249" s="1" t="str">
        <f ca="1">IFERROR(__xludf.DUMMYFUNCTION("""COMPUTED_VALUE"""),"SWAC")</f>
        <v>SWAC</v>
      </c>
      <c r="D249" s="1" t="str">
        <f ca="1">IFERROR(__xludf.DUMMYFUNCTION("""COMPUTED_VALUE"""),"21-13")</f>
        <v>21-13</v>
      </c>
      <c r="E249" s="1">
        <f ca="1">IFERROR(__xludf.DUMMYFUNCTION("""COMPUTED_VALUE"""),-6.3)</f>
        <v>-6.3</v>
      </c>
      <c r="F249" s="1">
        <f ca="1">IFERROR(__xludf.DUMMYFUNCTION("""COMPUTED_VALUE"""),98)</f>
        <v>98</v>
      </c>
      <c r="G249" s="1">
        <f ca="1">IFERROR(__xludf.DUMMYFUNCTION("""COMPUTED_VALUE"""),260)</f>
        <v>260</v>
      </c>
      <c r="H249" s="1">
        <f ca="1">IFERROR(__xludf.DUMMYFUNCTION("""COMPUTED_VALUE"""),104.2)</f>
        <v>104.2</v>
      </c>
      <c r="I249" s="1">
        <f ca="1">IFERROR(__xludf.DUMMYFUNCTION("""COMPUTED_VALUE"""),200)</f>
        <v>200</v>
      </c>
      <c r="J249" s="1">
        <f ca="1">IFERROR(__xludf.DUMMYFUNCTION("""COMPUTED_VALUE"""),68.9)</f>
        <v>68.900000000000006</v>
      </c>
      <c r="K249" s="1">
        <f ca="1">IFERROR(__xludf.DUMMYFUNCTION("""COMPUTED_VALUE"""),29)</f>
        <v>29</v>
      </c>
      <c r="L249" s="1" t="str">
        <f ca="1">IFERROR(__xludf.DUMMYFUNCTION("""COMPUTED_VALUE"""),"+.125")</f>
        <v>+.125</v>
      </c>
      <c r="M249" s="1">
        <f ca="1">IFERROR(__xludf.DUMMYFUNCTION("""COMPUTED_VALUE"""),3)</f>
        <v>3</v>
      </c>
      <c r="N249" s="1">
        <f ca="1">IFERROR(__xludf.DUMMYFUNCTION("""COMPUTED_VALUE"""),-8.67)</f>
        <v>-8.67</v>
      </c>
      <c r="O249" s="1">
        <f ca="1">IFERROR(__xludf.DUMMYFUNCTION("""COMPUTED_VALUE"""),336)</f>
        <v>336</v>
      </c>
      <c r="P249" s="1">
        <f ca="1">IFERROR(__xludf.DUMMYFUNCTION("""COMPUTED_VALUE"""),96.5)</f>
        <v>96.5</v>
      </c>
      <c r="Q249" s="1">
        <f ca="1">IFERROR(__xludf.DUMMYFUNCTION("""COMPUTED_VALUE"""),337)</f>
        <v>337</v>
      </c>
      <c r="R249" s="1">
        <f ca="1">IFERROR(__xludf.DUMMYFUNCTION("""COMPUTED_VALUE"""),105.2)</f>
        <v>105.2</v>
      </c>
      <c r="S249" s="1">
        <f ca="1">IFERROR(__xludf.DUMMYFUNCTION("""COMPUTED_VALUE"""),268)</f>
        <v>268</v>
      </c>
      <c r="T249" s="1" t="str">
        <f ca="1">IFERROR(__xludf.DUMMYFUNCTION("""COMPUTED_VALUE"""),"+14.37")</f>
        <v>+14.37</v>
      </c>
      <c r="U249" s="1">
        <f ca="1">IFERROR(__xludf.DUMMYFUNCTION("""COMPUTED_VALUE"""),3)</f>
        <v>3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IFERROR(__xludf.DUMMYFUNCTION("""COMPUTED_VALUE"""),"UNC Wilmington")</f>
        <v>UNC Wilmington</v>
      </c>
      <c r="C250" s="1" t="str">
        <f ca="1">IFERROR(__xludf.DUMMYFUNCTION("""COMPUTED_VALUE"""),"CAA")</f>
        <v>CAA</v>
      </c>
      <c r="D250" s="2">
        <f ca="1">IFERROR(__xludf.DUMMYFUNCTION("""COMPUTED_VALUE"""),44855)</f>
        <v>44855</v>
      </c>
      <c r="E250" s="1">
        <f ca="1">IFERROR(__xludf.DUMMYFUNCTION("""COMPUTED_VALUE"""),-6.33)</f>
        <v>-6.33</v>
      </c>
      <c r="F250" s="1">
        <f ca="1">IFERROR(__xludf.DUMMYFUNCTION("""COMPUTED_VALUE"""),100.3)</f>
        <v>100.3</v>
      </c>
      <c r="G250" s="1">
        <f ca="1">IFERROR(__xludf.DUMMYFUNCTION("""COMPUTED_VALUE"""),225)</f>
        <v>225</v>
      </c>
      <c r="H250" s="1">
        <f ca="1">IFERROR(__xludf.DUMMYFUNCTION("""COMPUTED_VALUE"""),106.7)</f>
        <v>106.7</v>
      </c>
      <c r="I250" s="1">
        <f ca="1">IFERROR(__xludf.DUMMYFUNCTION("""COMPUTED_VALUE"""),253)</f>
        <v>253</v>
      </c>
      <c r="J250" s="1">
        <f ca="1">IFERROR(__xludf.DUMMYFUNCTION("""COMPUTED_VALUE"""),65.8)</f>
        <v>65.8</v>
      </c>
      <c r="K250" s="1">
        <f ca="1">IFERROR(__xludf.DUMMYFUNCTION("""COMPUTED_VALUE"""),129)</f>
        <v>129</v>
      </c>
      <c r="L250" s="1" t="str">
        <f ca="1">IFERROR(__xludf.DUMMYFUNCTION("""COMPUTED_VALUE"""),"+.010")</f>
        <v>+.010</v>
      </c>
      <c r="M250" s="1">
        <f ca="1">IFERROR(__xludf.DUMMYFUNCTION("""COMPUTED_VALUE"""),148)</f>
        <v>148</v>
      </c>
      <c r="N250" s="1" t="str">
        <f ca="1">IFERROR(__xludf.DUMMYFUNCTION("""COMPUTED_VALUE"""),"+1.16")</f>
        <v>+1.16</v>
      </c>
      <c r="O250" s="1">
        <f ca="1">IFERROR(__xludf.DUMMYFUNCTION("""COMPUTED_VALUE"""),130)</f>
        <v>130</v>
      </c>
      <c r="P250" s="1">
        <f ca="1">IFERROR(__xludf.DUMMYFUNCTION("""COMPUTED_VALUE"""),103.4)</f>
        <v>103.4</v>
      </c>
      <c r="Q250" s="1">
        <f ca="1">IFERROR(__xludf.DUMMYFUNCTION("""COMPUTED_VALUE"""),146)</f>
        <v>146</v>
      </c>
      <c r="R250" s="1">
        <f ca="1">IFERROR(__xludf.DUMMYFUNCTION("""COMPUTED_VALUE"""),102.3)</f>
        <v>102.3</v>
      </c>
      <c r="S250" s="1">
        <f ca="1">IFERROR(__xludf.DUMMYFUNCTION("""COMPUTED_VALUE"""),138)</f>
        <v>138</v>
      </c>
      <c r="T250" s="1" t="str">
        <f ca="1">IFERROR(__xludf.DUMMYFUNCTION("""COMPUTED_VALUE"""),"+2.31")</f>
        <v>+2.31</v>
      </c>
      <c r="U250" s="1">
        <f ca="1">IFERROR(__xludf.DUMMYFUNCTION("""COMPUTED_VALUE"""),91)</f>
        <v>91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IFERROR(__xludf.DUMMYFUNCTION("""COMPUTED_VALUE"""),"Lafayette")</f>
        <v>Lafayette</v>
      </c>
      <c r="C251" s="1" t="str">
        <f ca="1">IFERROR(__xludf.DUMMYFUNCTION("""COMPUTED_VALUE"""),"Pat")</f>
        <v>Pat</v>
      </c>
      <c r="D251" s="1" t="str">
        <f ca="1">IFERROR(__xludf.DUMMYFUNCTION("""COMPUTED_VALUE"""),"13-18")</f>
        <v>13-18</v>
      </c>
      <c r="E251" s="1">
        <f ca="1">IFERROR(__xludf.DUMMYFUNCTION("""COMPUTED_VALUE"""),-6.34)</f>
        <v>-6.34</v>
      </c>
      <c r="F251" s="1">
        <f ca="1">IFERROR(__xludf.DUMMYFUNCTION("""COMPUTED_VALUE"""),106.2)</f>
        <v>106.2</v>
      </c>
      <c r="G251" s="1">
        <f ca="1">IFERROR(__xludf.DUMMYFUNCTION("""COMPUTED_VALUE"""),113)</f>
        <v>113</v>
      </c>
      <c r="H251" s="1">
        <f ca="1">IFERROR(__xludf.DUMMYFUNCTION("""COMPUTED_VALUE"""),112.5)</f>
        <v>112.5</v>
      </c>
      <c r="I251" s="1">
        <f ca="1">IFERROR(__xludf.DUMMYFUNCTION("""COMPUTED_VALUE"""),324)</f>
        <v>324</v>
      </c>
      <c r="J251" s="1">
        <f ca="1">IFERROR(__xludf.DUMMYFUNCTION("""COMPUTED_VALUE"""),65.4)</f>
        <v>65.400000000000006</v>
      </c>
      <c r="K251" s="1">
        <f ca="1">IFERROR(__xludf.DUMMYFUNCTION("""COMPUTED_VALUE"""),146)</f>
        <v>146</v>
      </c>
      <c r="L251" s="1" t="str">
        <f ca="1">IFERROR(__xludf.DUMMYFUNCTION("""COMPUTED_VALUE"""),"+.012")</f>
        <v>+.012</v>
      </c>
      <c r="M251" s="1">
        <f ca="1">IFERROR(__xludf.DUMMYFUNCTION("""COMPUTED_VALUE"""),142)</f>
        <v>142</v>
      </c>
      <c r="N251" s="1">
        <f ca="1">IFERROR(__xludf.DUMMYFUNCTION("""COMPUTED_VALUE"""),-2.79)</f>
        <v>-2.79</v>
      </c>
      <c r="O251" s="1">
        <f ca="1">IFERROR(__xludf.DUMMYFUNCTION("""COMPUTED_VALUE"""),225)</f>
        <v>225</v>
      </c>
      <c r="P251" s="1">
        <f ca="1">IFERROR(__xludf.DUMMYFUNCTION("""COMPUTED_VALUE"""),101.4)</f>
        <v>101.4</v>
      </c>
      <c r="Q251" s="1">
        <f ca="1">IFERROR(__xludf.DUMMYFUNCTION("""COMPUTED_VALUE"""),242)</f>
        <v>242</v>
      </c>
      <c r="R251" s="1">
        <f ca="1">IFERROR(__xludf.DUMMYFUNCTION("""COMPUTED_VALUE"""),104.2)</f>
        <v>104.2</v>
      </c>
      <c r="S251" s="1">
        <f ca="1">IFERROR(__xludf.DUMMYFUNCTION("""COMPUTED_VALUE"""),209)</f>
        <v>209</v>
      </c>
      <c r="T251" s="1">
        <f ca="1">IFERROR(__xludf.DUMMYFUNCTION("""COMPUTED_VALUE"""),-0.93)</f>
        <v>-0.93</v>
      </c>
      <c r="U251" s="1">
        <f ca="1">IFERROR(__xludf.DUMMYFUNCTION("""COMPUTED_VALUE"""),186)</f>
        <v>186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IFERROR(__xludf.DUMMYFUNCTION("""COMPUTED_VALUE"""),"Delaware St.")</f>
        <v>Delaware St.</v>
      </c>
      <c r="C252" s="1" t="str">
        <f ca="1">IFERROR(__xludf.DUMMYFUNCTION("""COMPUTED_VALUE"""),"MEAC")</f>
        <v>MEAC</v>
      </c>
      <c r="D252" s="1" t="str">
        <f ca="1">IFERROR(__xludf.DUMMYFUNCTION("""COMPUTED_VALUE"""),"15-14")</f>
        <v>15-14</v>
      </c>
      <c r="E252" s="1">
        <f ca="1">IFERROR(__xludf.DUMMYFUNCTION("""COMPUTED_VALUE"""),-6.55)</f>
        <v>-6.55</v>
      </c>
      <c r="F252" s="1">
        <f ca="1">IFERROR(__xludf.DUMMYFUNCTION("""COMPUTED_VALUE"""),101.3)</f>
        <v>101.3</v>
      </c>
      <c r="G252" s="1">
        <f ca="1">IFERROR(__xludf.DUMMYFUNCTION("""COMPUTED_VALUE"""),200)</f>
        <v>200</v>
      </c>
      <c r="H252" s="1">
        <f ca="1">IFERROR(__xludf.DUMMYFUNCTION("""COMPUTED_VALUE"""),107.8)</f>
        <v>107.8</v>
      </c>
      <c r="I252" s="1">
        <f ca="1">IFERROR(__xludf.DUMMYFUNCTION("""COMPUTED_VALUE"""),269)</f>
        <v>269</v>
      </c>
      <c r="J252" s="1">
        <f ca="1">IFERROR(__xludf.DUMMYFUNCTION("""COMPUTED_VALUE"""),60.3)</f>
        <v>60.3</v>
      </c>
      <c r="K252" s="1">
        <f ca="1">IFERROR(__xludf.DUMMYFUNCTION("""COMPUTED_VALUE"""),327)</f>
        <v>327</v>
      </c>
      <c r="L252" s="1" t="str">
        <f ca="1">IFERROR(__xludf.DUMMYFUNCTION("""COMPUTED_VALUE"""),"+.012")</f>
        <v>+.012</v>
      </c>
      <c r="M252" s="1">
        <f ca="1">IFERROR(__xludf.DUMMYFUNCTION("""COMPUTED_VALUE"""),143)</f>
        <v>143</v>
      </c>
      <c r="N252" s="1">
        <f ca="1">IFERROR(__xludf.DUMMYFUNCTION("""COMPUTED_VALUE"""),-6.91)</f>
        <v>-6.91</v>
      </c>
      <c r="O252" s="1">
        <f ca="1">IFERROR(__xludf.DUMMYFUNCTION("""COMPUTED_VALUE"""),321)</f>
        <v>321</v>
      </c>
      <c r="P252" s="1">
        <f ca="1">IFERROR(__xludf.DUMMYFUNCTION("""COMPUTED_VALUE"""),98.3)</f>
        <v>98.3</v>
      </c>
      <c r="Q252" s="1">
        <f ca="1">IFERROR(__xludf.DUMMYFUNCTION("""COMPUTED_VALUE"""),328)</f>
        <v>328</v>
      </c>
      <c r="R252" s="1">
        <f ca="1">IFERROR(__xludf.DUMMYFUNCTION("""COMPUTED_VALUE"""),105.2)</f>
        <v>105.2</v>
      </c>
      <c r="S252" s="1">
        <f ca="1">IFERROR(__xludf.DUMMYFUNCTION("""COMPUTED_VALUE"""),263)</f>
        <v>263</v>
      </c>
      <c r="T252" s="1" t="str">
        <f ca="1">IFERROR(__xludf.DUMMYFUNCTION("""COMPUTED_VALUE"""),"+4.10")</f>
        <v>+4.10</v>
      </c>
      <c r="U252" s="1">
        <f ca="1">IFERROR(__xludf.DUMMYFUNCTION("""COMPUTED_VALUE"""),58)</f>
        <v>58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IFERROR(__xludf.DUMMYFUNCTION("""COMPUTED_VALUE"""),"Western Carolina")</f>
        <v>Western Carolina</v>
      </c>
      <c r="C255" s="1" t="str">
        <f ca="1">IFERROR(__xludf.DUMMYFUNCTION("""COMPUTED_VALUE"""),"SC")</f>
        <v>SC</v>
      </c>
      <c r="D255" s="1" t="str">
        <f ca="1">IFERROR(__xludf.DUMMYFUNCTION("""COMPUTED_VALUE"""),"17-18")</f>
        <v>17-18</v>
      </c>
      <c r="E255" s="1">
        <f ca="1">IFERROR(__xludf.DUMMYFUNCTION("""COMPUTED_VALUE"""),-6.56)</f>
        <v>-6.56</v>
      </c>
      <c r="F255" s="1">
        <f ca="1">IFERROR(__xludf.DUMMYFUNCTION("""COMPUTED_VALUE"""),100.7)</f>
        <v>100.7</v>
      </c>
      <c r="G255" s="1">
        <f ca="1">IFERROR(__xludf.DUMMYFUNCTION("""COMPUTED_VALUE"""),217)</f>
        <v>217</v>
      </c>
      <c r="H255" s="1">
        <f ca="1">IFERROR(__xludf.DUMMYFUNCTION("""COMPUTED_VALUE"""),107.3)</f>
        <v>107.3</v>
      </c>
      <c r="I255" s="1">
        <f ca="1">IFERROR(__xludf.DUMMYFUNCTION("""COMPUTED_VALUE"""),265)</f>
        <v>265</v>
      </c>
      <c r="J255" s="1">
        <f ca="1">IFERROR(__xludf.DUMMYFUNCTION("""COMPUTED_VALUE"""),65.8)</f>
        <v>65.8</v>
      </c>
      <c r="K255" s="1">
        <f ca="1">IFERROR(__xludf.DUMMYFUNCTION("""COMPUTED_VALUE"""),131)</f>
        <v>131</v>
      </c>
      <c r="L255" s="1" t="str">
        <f ca="1">IFERROR(__xludf.DUMMYFUNCTION("""COMPUTED_VALUE"""),"+.043")</f>
        <v>+.043</v>
      </c>
      <c r="M255" s="1">
        <f ca="1">IFERROR(__xludf.DUMMYFUNCTION("""COMPUTED_VALUE"""),65)</f>
        <v>65</v>
      </c>
      <c r="N255" s="1">
        <f ca="1">IFERROR(__xludf.DUMMYFUNCTION("""COMPUTED_VALUE"""),-4.03)</f>
        <v>-4.03</v>
      </c>
      <c r="O255" s="1">
        <f ca="1">IFERROR(__xludf.DUMMYFUNCTION("""COMPUTED_VALUE"""),257)</f>
        <v>257</v>
      </c>
      <c r="P255" s="1">
        <f ca="1">IFERROR(__xludf.DUMMYFUNCTION("""COMPUTED_VALUE"""),101.8)</f>
        <v>101.8</v>
      </c>
      <c r="Q255" s="1">
        <f ca="1">IFERROR(__xludf.DUMMYFUNCTION("""COMPUTED_VALUE"""),222)</f>
        <v>222</v>
      </c>
      <c r="R255" s="1">
        <f ca="1">IFERROR(__xludf.DUMMYFUNCTION("""COMPUTED_VALUE"""),105.8)</f>
        <v>105.8</v>
      </c>
      <c r="S255" s="1">
        <f ca="1">IFERROR(__xludf.DUMMYFUNCTION("""COMPUTED_VALUE"""),294)</f>
        <v>294</v>
      </c>
      <c r="T255" s="1" t="str">
        <f ca="1">IFERROR(__xludf.DUMMYFUNCTION("""COMPUTED_VALUE"""),"+4.22")</f>
        <v>+4.22</v>
      </c>
      <c r="U255" s="1">
        <f ca="1">IFERROR(__xludf.DUMMYFUNCTION("""COMPUTED_VALUE"""),55)</f>
        <v>55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IFERROR(__xludf.DUMMYFUNCTION("""COMPUTED_VALUE"""),"Jacksonville")</f>
        <v>Jacksonville</v>
      </c>
      <c r="C256" s="1" t="str">
        <f ca="1">IFERROR(__xludf.DUMMYFUNCTION("""COMPUTED_VALUE"""),"ASun")</f>
        <v>ASun</v>
      </c>
      <c r="D256" s="2">
        <f ca="1">IFERROR(__xludf.DUMMYFUNCTION("""COMPUTED_VALUE"""),44795)</f>
        <v>44795</v>
      </c>
      <c r="E256" s="1">
        <f ca="1">IFERROR(__xludf.DUMMYFUNCTION("""COMPUTED_VALUE"""),-6.68)</f>
        <v>-6.68</v>
      </c>
      <c r="F256" s="1">
        <f ca="1">IFERROR(__xludf.DUMMYFUNCTION("""COMPUTED_VALUE"""),99.5)</f>
        <v>99.5</v>
      </c>
      <c r="G256" s="1">
        <f ca="1">IFERROR(__xludf.DUMMYFUNCTION("""COMPUTED_VALUE"""),237)</f>
        <v>237</v>
      </c>
      <c r="H256" s="1">
        <f ca="1">IFERROR(__xludf.DUMMYFUNCTION("""COMPUTED_VALUE"""),106.1)</f>
        <v>106.1</v>
      </c>
      <c r="I256" s="1">
        <f ca="1">IFERROR(__xludf.DUMMYFUNCTION("""COMPUTED_VALUE"""),246)</f>
        <v>246</v>
      </c>
      <c r="J256" s="1">
        <f ca="1">IFERROR(__xludf.DUMMYFUNCTION("""COMPUTED_VALUE"""),65.4)</f>
        <v>65.400000000000006</v>
      </c>
      <c r="K256" s="1">
        <f ca="1">IFERROR(__xludf.DUMMYFUNCTION("""COMPUTED_VALUE"""),145)</f>
        <v>145</v>
      </c>
      <c r="L256" s="1">
        <f ca="1">IFERROR(__xludf.DUMMYFUNCTION("""COMPUTED_VALUE"""),-0.019)</f>
        <v>-1.9E-2</v>
      </c>
      <c r="M256" s="1">
        <f ca="1">IFERROR(__xludf.DUMMYFUNCTION("""COMPUTED_VALUE"""),219)</f>
        <v>219</v>
      </c>
      <c r="N256" s="1" t="str">
        <f ca="1">IFERROR(__xludf.DUMMYFUNCTION("""COMPUTED_VALUE"""),"+2.30")</f>
        <v>+2.30</v>
      </c>
      <c r="O256" s="1">
        <f ca="1">IFERROR(__xludf.DUMMYFUNCTION("""COMPUTED_VALUE"""),114)</f>
        <v>114</v>
      </c>
      <c r="P256" s="1">
        <f ca="1">IFERROR(__xludf.DUMMYFUNCTION("""COMPUTED_VALUE"""),104.6)</f>
        <v>104.6</v>
      </c>
      <c r="Q256" s="1">
        <f ca="1">IFERROR(__xludf.DUMMYFUNCTION("""COMPUTED_VALUE"""),94)</f>
        <v>94</v>
      </c>
      <c r="R256" s="1">
        <f ca="1">IFERROR(__xludf.DUMMYFUNCTION("""COMPUTED_VALUE"""),102.3)</f>
        <v>102.3</v>
      </c>
      <c r="S256" s="1">
        <f ca="1">IFERROR(__xludf.DUMMYFUNCTION("""COMPUTED_VALUE"""),139)</f>
        <v>139</v>
      </c>
      <c r="T256" s="1" t="str">
        <f ca="1">IFERROR(__xludf.DUMMYFUNCTION("""COMPUTED_VALUE"""),"+7.15")</f>
        <v>+7.15</v>
      </c>
      <c r="U256" s="1">
        <f ca="1">IFERROR(__xludf.DUMMYFUNCTION("""COMPUTED_VALUE"""),21)</f>
        <v>21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IFERROR(__xludf.DUMMYFUNCTION("""COMPUTED_VALUE"""),"Utah Valley")</f>
        <v>Utah Valley</v>
      </c>
      <c r="C257" s="1" t="str">
        <f ca="1">IFERROR(__xludf.DUMMYFUNCTION("""COMPUTED_VALUE"""),"GWC")</f>
        <v>GWC</v>
      </c>
      <c r="D257" s="1" t="str">
        <f ca="1">IFERROR(__xludf.DUMMYFUNCTION("""COMPUTED_VALUE"""),"20-13")</f>
        <v>20-13</v>
      </c>
      <c r="E257" s="1">
        <f ca="1">IFERROR(__xludf.DUMMYFUNCTION("""COMPUTED_VALUE"""),-6.71)</f>
        <v>-6.71</v>
      </c>
      <c r="F257" s="1">
        <f ca="1">IFERROR(__xludf.DUMMYFUNCTION("""COMPUTED_VALUE"""),99.5)</f>
        <v>99.5</v>
      </c>
      <c r="G257" s="1">
        <f ca="1">IFERROR(__xludf.DUMMYFUNCTION("""COMPUTED_VALUE"""),238)</f>
        <v>238</v>
      </c>
      <c r="H257" s="1">
        <f ca="1">IFERROR(__xludf.DUMMYFUNCTION("""COMPUTED_VALUE"""),106.2)</f>
        <v>106.2</v>
      </c>
      <c r="I257" s="1">
        <f ca="1">IFERROR(__xludf.DUMMYFUNCTION("""COMPUTED_VALUE"""),247)</f>
        <v>247</v>
      </c>
      <c r="J257" s="1">
        <f ca="1">IFERROR(__xludf.DUMMYFUNCTION("""COMPUTED_VALUE"""),64.6)</f>
        <v>64.599999999999994</v>
      </c>
      <c r="K257" s="1">
        <f ca="1">IFERROR(__xludf.DUMMYFUNCTION("""COMPUTED_VALUE"""),194)</f>
        <v>194</v>
      </c>
      <c r="L257" s="1" t="str">
        <f ca="1">IFERROR(__xludf.DUMMYFUNCTION("""COMPUTED_VALUE"""),"+.044")</f>
        <v>+.044</v>
      </c>
      <c r="M257" s="1">
        <f ca="1">IFERROR(__xludf.DUMMYFUNCTION("""COMPUTED_VALUE"""),63)</f>
        <v>63</v>
      </c>
      <c r="N257" s="1">
        <f ca="1">IFERROR(__xludf.DUMMYFUNCTION("""COMPUTED_VALUE"""),-7.93)</f>
        <v>-7.93</v>
      </c>
      <c r="O257" s="1">
        <f ca="1">IFERROR(__xludf.DUMMYFUNCTION("""COMPUTED_VALUE"""),331)</f>
        <v>331</v>
      </c>
      <c r="P257" s="1">
        <f ca="1">IFERROR(__xludf.DUMMYFUNCTION("""COMPUTED_VALUE"""),98.4)</f>
        <v>98.4</v>
      </c>
      <c r="Q257" s="1">
        <f ca="1">IFERROR(__xludf.DUMMYFUNCTION("""COMPUTED_VALUE"""),327)</f>
        <v>327</v>
      </c>
      <c r="R257" s="1">
        <f ca="1">IFERROR(__xludf.DUMMYFUNCTION("""COMPUTED_VALUE"""),106.3)</f>
        <v>106.3</v>
      </c>
      <c r="S257" s="1">
        <f ca="1">IFERROR(__xludf.DUMMYFUNCTION("""COMPUTED_VALUE"""),315)</f>
        <v>315</v>
      </c>
      <c r="T257" s="1">
        <f ca="1">IFERROR(__xludf.DUMMYFUNCTION("""COMPUTED_VALUE"""),-3.11)</f>
        <v>-3.11</v>
      </c>
      <c r="U257" s="1">
        <f ca="1">IFERROR(__xludf.DUMMYFUNCTION("""COMPUTED_VALUE"""),248)</f>
        <v>248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IFERROR(__xludf.DUMMYFUNCTION("""COMPUTED_VALUE"""),"Cal St. Bakersfield")</f>
        <v>Cal St. Bakersfield</v>
      </c>
      <c r="C258" s="1" t="str">
        <f ca="1">IFERROR(__xludf.DUMMYFUNCTION("""COMPUTED_VALUE"""),"ind")</f>
        <v>ind</v>
      </c>
      <c r="D258" s="1" t="str">
        <f ca="1">IFERROR(__xludf.DUMMYFUNCTION("""COMPUTED_VALUE"""),"16-15")</f>
        <v>16-15</v>
      </c>
      <c r="E258" s="1">
        <f ca="1">IFERROR(__xludf.DUMMYFUNCTION("""COMPUTED_VALUE"""),-6.72)</f>
        <v>-6.72</v>
      </c>
      <c r="F258" s="1">
        <f ca="1">IFERROR(__xludf.DUMMYFUNCTION("""COMPUTED_VALUE"""),101.9)</f>
        <v>101.9</v>
      </c>
      <c r="G258" s="1">
        <f ca="1">IFERROR(__xludf.DUMMYFUNCTION("""COMPUTED_VALUE"""),188)</f>
        <v>188</v>
      </c>
      <c r="H258" s="1">
        <f ca="1">IFERROR(__xludf.DUMMYFUNCTION("""COMPUTED_VALUE"""),108.6)</f>
        <v>108.6</v>
      </c>
      <c r="I258" s="1">
        <f ca="1">IFERROR(__xludf.DUMMYFUNCTION("""COMPUTED_VALUE"""),281)</f>
        <v>281</v>
      </c>
      <c r="J258" s="1">
        <f ca="1">IFERROR(__xludf.DUMMYFUNCTION("""COMPUTED_VALUE"""),65)</f>
        <v>65</v>
      </c>
      <c r="K258" s="1">
        <f ca="1">IFERROR(__xludf.DUMMYFUNCTION("""COMPUTED_VALUE"""),175)</f>
        <v>175</v>
      </c>
      <c r="L258" s="1" t="str">
        <f ca="1">IFERROR(__xludf.DUMMYFUNCTION("""COMPUTED_VALUE"""),"+.054")</f>
        <v>+.054</v>
      </c>
      <c r="M258" s="1">
        <f ca="1">IFERROR(__xludf.DUMMYFUNCTION("""COMPUTED_VALUE"""),52)</f>
        <v>52</v>
      </c>
      <c r="N258" s="1">
        <f ca="1">IFERROR(__xludf.DUMMYFUNCTION("""COMPUTED_VALUE"""),-4.92)</f>
        <v>-4.92</v>
      </c>
      <c r="O258" s="1">
        <f ca="1">IFERROR(__xludf.DUMMYFUNCTION("""COMPUTED_VALUE"""),284)</f>
        <v>284</v>
      </c>
      <c r="P258" s="1">
        <f ca="1">IFERROR(__xludf.DUMMYFUNCTION("""COMPUTED_VALUE"""),101.7)</f>
        <v>101.7</v>
      </c>
      <c r="Q258" s="1">
        <f ca="1">IFERROR(__xludf.DUMMYFUNCTION("""COMPUTED_VALUE"""),231)</f>
        <v>231</v>
      </c>
      <c r="R258" s="1">
        <f ca="1">IFERROR(__xludf.DUMMYFUNCTION("""COMPUTED_VALUE"""),106.6)</f>
        <v>106.6</v>
      </c>
      <c r="S258" s="1">
        <f ca="1">IFERROR(__xludf.DUMMYFUNCTION("""COMPUTED_VALUE"""),325)</f>
        <v>325</v>
      </c>
      <c r="T258" s="1">
        <f ca="1">IFERROR(__xludf.DUMMYFUNCTION("""COMPUTED_VALUE"""),-4.17)</f>
        <v>-4.17</v>
      </c>
      <c r="U258" s="1">
        <f ca="1">IFERROR(__xludf.DUMMYFUNCTION("""COMPUTED_VALUE"""),274)</f>
        <v>274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IFERROR(__xludf.DUMMYFUNCTION("""COMPUTED_VALUE"""),"Niagara")</f>
        <v>Niagara</v>
      </c>
      <c r="C259" s="1" t="str">
        <f ca="1">IFERROR(__xludf.DUMMYFUNCTION("""COMPUTED_VALUE"""),"MAAC")</f>
        <v>MAAC</v>
      </c>
      <c r="D259" s="1" t="str">
        <f ca="1">IFERROR(__xludf.DUMMYFUNCTION("""COMPUTED_VALUE"""),"14-19")</f>
        <v>14-19</v>
      </c>
      <c r="E259" s="1">
        <f ca="1">IFERROR(__xludf.DUMMYFUNCTION("""COMPUTED_VALUE"""),-6.79)</f>
        <v>-6.79</v>
      </c>
      <c r="F259" s="1">
        <f ca="1">IFERROR(__xludf.DUMMYFUNCTION("""COMPUTED_VALUE"""),103.1)</f>
        <v>103.1</v>
      </c>
      <c r="G259" s="1">
        <f ca="1">IFERROR(__xludf.DUMMYFUNCTION("""COMPUTED_VALUE"""),165)</f>
        <v>165</v>
      </c>
      <c r="H259" s="1">
        <f ca="1">IFERROR(__xludf.DUMMYFUNCTION("""COMPUTED_VALUE"""),109.9)</f>
        <v>109.9</v>
      </c>
      <c r="I259" s="1">
        <f ca="1">IFERROR(__xludf.DUMMYFUNCTION("""COMPUTED_VALUE"""),299)</f>
        <v>299</v>
      </c>
      <c r="J259" s="1">
        <f ca="1">IFERROR(__xludf.DUMMYFUNCTION("""COMPUTED_VALUE"""),67.3)</f>
        <v>67.3</v>
      </c>
      <c r="K259" s="1">
        <f ca="1">IFERROR(__xludf.DUMMYFUNCTION("""COMPUTED_VALUE"""),67)</f>
        <v>67</v>
      </c>
      <c r="L259" s="1" t="str">
        <f ca="1">IFERROR(__xludf.DUMMYFUNCTION("""COMPUTED_VALUE"""),"+.041")</f>
        <v>+.041</v>
      </c>
      <c r="M259" s="1">
        <f ca="1">IFERROR(__xludf.DUMMYFUNCTION("""COMPUTED_VALUE"""),69)</f>
        <v>69</v>
      </c>
      <c r="N259" s="1">
        <f ca="1">IFERROR(__xludf.DUMMYFUNCTION("""COMPUTED_VALUE"""),-2.21)</f>
        <v>-2.21</v>
      </c>
      <c r="O259" s="1">
        <f ca="1">IFERROR(__xludf.DUMMYFUNCTION("""COMPUTED_VALUE"""),205)</f>
        <v>205</v>
      </c>
      <c r="P259" s="1">
        <f ca="1">IFERROR(__xludf.DUMMYFUNCTION("""COMPUTED_VALUE"""),101.8)</f>
        <v>101.8</v>
      </c>
      <c r="Q259" s="1">
        <f ca="1">IFERROR(__xludf.DUMMYFUNCTION("""COMPUTED_VALUE"""),223)</f>
        <v>223</v>
      </c>
      <c r="R259" s="1">
        <f ca="1">IFERROR(__xludf.DUMMYFUNCTION("""COMPUTED_VALUE"""),104)</f>
        <v>104</v>
      </c>
      <c r="S259" s="1">
        <f ca="1">IFERROR(__xludf.DUMMYFUNCTION("""COMPUTED_VALUE"""),199)</f>
        <v>199</v>
      </c>
      <c r="T259" s="1" t="str">
        <f ca="1">IFERROR(__xludf.DUMMYFUNCTION("""COMPUTED_VALUE"""),"+1.13")</f>
        <v>+1.13</v>
      </c>
      <c r="U259" s="1">
        <f ca="1">IFERROR(__xludf.DUMMYFUNCTION("""COMPUTED_VALUE"""),121)</f>
        <v>121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IFERROR(__xludf.DUMMYFUNCTION("""COMPUTED_VALUE"""),"Georgia Southern")</f>
        <v>Georgia Southern</v>
      </c>
      <c r="C260" s="1" t="str">
        <f ca="1">IFERROR(__xludf.DUMMYFUNCTION("""COMPUTED_VALUE"""),"SC")</f>
        <v>SC</v>
      </c>
      <c r="D260" s="1" t="str">
        <f ca="1">IFERROR(__xludf.DUMMYFUNCTION("""COMPUTED_VALUE"""),"15-15")</f>
        <v>15-15</v>
      </c>
      <c r="E260" s="1">
        <f ca="1">IFERROR(__xludf.DUMMYFUNCTION("""COMPUTED_VALUE"""),-6.82)</f>
        <v>-6.82</v>
      </c>
      <c r="F260" s="1">
        <f ca="1">IFERROR(__xludf.DUMMYFUNCTION("""COMPUTED_VALUE"""),97.8)</f>
        <v>97.8</v>
      </c>
      <c r="G260" s="1">
        <f ca="1">IFERROR(__xludf.DUMMYFUNCTION("""COMPUTED_VALUE"""),266)</f>
        <v>266</v>
      </c>
      <c r="H260" s="1">
        <f ca="1">IFERROR(__xludf.DUMMYFUNCTION("""COMPUTED_VALUE"""),104.6)</f>
        <v>104.6</v>
      </c>
      <c r="I260" s="1">
        <f ca="1">IFERROR(__xludf.DUMMYFUNCTION("""COMPUTED_VALUE"""),209)</f>
        <v>209</v>
      </c>
      <c r="J260" s="1">
        <f ca="1">IFERROR(__xludf.DUMMYFUNCTION("""COMPUTED_VALUE"""),65.2)</f>
        <v>65.2</v>
      </c>
      <c r="K260" s="1">
        <f ca="1">IFERROR(__xludf.DUMMYFUNCTION("""COMPUTED_VALUE"""),163)</f>
        <v>163</v>
      </c>
      <c r="L260" s="1" t="str">
        <f ca="1">IFERROR(__xludf.DUMMYFUNCTION("""COMPUTED_VALUE"""),"+.070")</f>
        <v>+.070</v>
      </c>
      <c r="M260" s="1">
        <f ca="1">IFERROR(__xludf.DUMMYFUNCTION("""COMPUTED_VALUE"""),25)</f>
        <v>25</v>
      </c>
      <c r="N260" s="1">
        <f ca="1">IFERROR(__xludf.DUMMYFUNCTION("""COMPUTED_VALUE"""),-3.73)</f>
        <v>-3.73</v>
      </c>
      <c r="O260" s="1">
        <f ca="1">IFERROR(__xludf.DUMMYFUNCTION("""COMPUTED_VALUE"""),247)</f>
        <v>247</v>
      </c>
      <c r="P260" s="1">
        <f ca="1">IFERROR(__xludf.DUMMYFUNCTION("""COMPUTED_VALUE"""),101)</f>
        <v>101</v>
      </c>
      <c r="Q260" s="1">
        <f ca="1">IFERROR(__xludf.DUMMYFUNCTION("""COMPUTED_VALUE"""),265)</f>
        <v>265</v>
      </c>
      <c r="R260" s="1">
        <f ca="1">IFERROR(__xludf.DUMMYFUNCTION("""COMPUTED_VALUE"""),104.7)</f>
        <v>104.7</v>
      </c>
      <c r="S260" s="1">
        <f ca="1">IFERROR(__xludf.DUMMYFUNCTION("""COMPUTED_VALUE"""),242)</f>
        <v>242</v>
      </c>
      <c r="T260" s="1" t="str">
        <f ca="1">IFERROR(__xludf.DUMMYFUNCTION("""COMPUTED_VALUE"""),"+4.47")</f>
        <v>+4.47</v>
      </c>
      <c r="U260" s="1">
        <f ca="1">IFERROR(__xludf.DUMMYFUNCTION("""COMPUTED_VALUE"""),50)</f>
        <v>50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IFERROR(__xludf.DUMMYFUNCTION("""COMPUTED_VALUE"""),"Furman")</f>
        <v>Furman</v>
      </c>
      <c r="C261" s="1" t="str">
        <f ca="1">IFERROR(__xludf.DUMMYFUNCTION("""COMPUTED_VALUE"""),"SC")</f>
        <v>SC</v>
      </c>
      <c r="D261" s="1" t="str">
        <f ca="1">IFERROR(__xludf.DUMMYFUNCTION("""COMPUTED_VALUE"""),"15-16")</f>
        <v>15-16</v>
      </c>
      <c r="E261" s="1">
        <f ca="1">IFERROR(__xludf.DUMMYFUNCTION("""COMPUTED_VALUE"""),-6.85)</f>
        <v>-6.85</v>
      </c>
      <c r="F261" s="1">
        <f ca="1">IFERROR(__xludf.DUMMYFUNCTION("""COMPUTED_VALUE"""),98.1)</f>
        <v>98.1</v>
      </c>
      <c r="G261" s="1">
        <f ca="1">IFERROR(__xludf.DUMMYFUNCTION("""COMPUTED_VALUE"""),256)</f>
        <v>256</v>
      </c>
      <c r="H261" s="1">
        <f ca="1">IFERROR(__xludf.DUMMYFUNCTION("""COMPUTED_VALUE"""),105)</f>
        <v>105</v>
      </c>
      <c r="I261" s="1">
        <f ca="1">IFERROR(__xludf.DUMMYFUNCTION("""COMPUTED_VALUE"""),221)</f>
        <v>221</v>
      </c>
      <c r="J261" s="1">
        <f ca="1">IFERROR(__xludf.DUMMYFUNCTION("""COMPUTED_VALUE"""),63.9)</f>
        <v>63.9</v>
      </c>
      <c r="K261" s="1">
        <f ca="1">IFERROR(__xludf.DUMMYFUNCTION("""COMPUTED_VALUE"""),229)</f>
        <v>229</v>
      </c>
      <c r="L261" s="1" t="str">
        <f ca="1">IFERROR(__xludf.DUMMYFUNCTION("""COMPUTED_VALUE"""),"+.014")</f>
        <v>+.014</v>
      </c>
      <c r="M261" s="1">
        <f ca="1">IFERROR(__xludf.DUMMYFUNCTION("""COMPUTED_VALUE"""),140)</f>
        <v>140</v>
      </c>
      <c r="N261" s="1">
        <f ca="1">IFERROR(__xludf.DUMMYFUNCTION("""COMPUTED_VALUE"""),-4.06)</f>
        <v>-4.0599999999999996</v>
      </c>
      <c r="O261" s="1">
        <f ca="1">IFERROR(__xludf.DUMMYFUNCTION("""COMPUTED_VALUE"""),258)</f>
        <v>258</v>
      </c>
      <c r="P261" s="1">
        <f ca="1">IFERROR(__xludf.DUMMYFUNCTION("""COMPUTED_VALUE"""),101.3)</f>
        <v>101.3</v>
      </c>
      <c r="Q261" s="1">
        <f ca="1">IFERROR(__xludf.DUMMYFUNCTION("""COMPUTED_VALUE"""),247)</f>
        <v>247</v>
      </c>
      <c r="R261" s="1">
        <f ca="1">IFERROR(__xludf.DUMMYFUNCTION("""COMPUTED_VALUE"""),105.3)</f>
        <v>105.3</v>
      </c>
      <c r="S261" s="1">
        <f ca="1">IFERROR(__xludf.DUMMYFUNCTION("""COMPUTED_VALUE"""),274)</f>
        <v>274</v>
      </c>
      <c r="T261" s="1">
        <f ca="1">IFERROR(__xludf.DUMMYFUNCTION("""COMPUTED_VALUE"""),-0.06)</f>
        <v>-0.06</v>
      </c>
      <c r="U261" s="1">
        <f ca="1">IFERROR(__xludf.DUMMYFUNCTION("""COMPUTED_VALUE"""),158)</f>
        <v>158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IFERROR(__xludf.DUMMYFUNCTION("""COMPUTED_VALUE"""),"James Madison")</f>
        <v>James Madison</v>
      </c>
      <c r="C262" s="1" t="str">
        <f ca="1">IFERROR(__xludf.DUMMYFUNCTION("""COMPUTED_VALUE"""),"CAA")</f>
        <v>CAA</v>
      </c>
      <c r="D262" s="2">
        <f ca="1">IFERROR(__xludf.DUMMYFUNCTION("""COMPUTED_VALUE"""),44915)</f>
        <v>44915</v>
      </c>
      <c r="E262" s="1">
        <f ca="1">IFERROR(__xludf.DUMMYFUNCTION("""COMPUTED_VALUE"""),-7.01)</f>
        <v>-7.01</v>
      </c>
      <c r="F262" s="1">
        <f ca="1">IFERROR(__xludf.DUMMYFUNCTION("""COMPUTED_VALUE"""),101)</f>
        <v>101</v>
      </c>
      <c r="G262" s="1">
        <f ca="1">IFERROR(__xludf.DUMMYFUNCTION("""COMPUTED_VALUE"""),209)</f>
        <v>209</v>
      </c>
      <c r="H262" s="1">
        <f ca="1">IFERROR(__xludf.DUMMYFUNCTION("""COMPUTED_VALUE"""),108)</f>
        <v>108</v>
      </c>
      <c r="I262" s="1">
        <f ca="1">IFERROR(__xludf.DUMMYFUNCTION("""COMPUTED_VALUE"""),274)</f>
        <v>274</v>
      </c>
      <c r="J262" s="1">
        <f ca="1">IFERROR(__xludf.DUMMYFUNCTION("""COMPUTED_VALUE"""),65.5)</f>
        <v>65.5</v>
      </c>
      <c r="K262" s="1">
        <f ca="1">IFERROR(__xludf.DUMMYFUNCTION("""COMPUTED_VALUE"""),144)</f>
        <v>144</v>
      </c>
      <c r="L262" s="1" t="str">
        <f ca="1">IFERROR(__xludf.DUMMYFUNCTION("""COMPUTED_VALUE"""),"+.011")</f>
        <v>+.011</v>
      </c>
      <c r="M262" s="1">
        <f ca="1">IFERROR(__xludf.DUMMYFUNCTION("""COMPUTED_VALUE"""),146)</f>
        <v>146</v>
      </c>
      <c r="N262" s="1">
        <f ca="1">IFERROR(__xludf.DUMMYFUNCTION("""COMPUTED_VALUE"""),-1.82)</f>
        <v>-1.82</v>
      </c>
      <c r="O262" s="1">
        <f ca="1">IFERROR(__xludf.DUMMYFUNCTION("""COMPUTED_VALUE"""),197)</f>
        <v>197</v>
      </c>
      <c r="P262" s="1">
        <f ca="1">IFERROR(__xludf.DUMMYFUNCTION("""COMPUTED_VALUE"""),101.1)</f>
        <v>101.1</v>
      </c>
      <c r="Q262" s="1">
        <f ca="1">IFERROR(__xludf.DUMMYFUNCTION("""COMPUTED_VALUE"""),252)</f>
        <v>252</v>
      </c>
      <c r="R262" s="1">
        <f ca="1">IFERROR(__xludf.DUMMYFUNCTION("""COMPUTED_VALUE"""),102.9)</f>
        <v>102.9</v>
      </c>
      <c r="S262" s="1">
        <f ca="1">IFERROR(__xludf.DUMMYFUNCTION("""COMPUTED_VALUE"""),159)</f>
        <v>159</v>
      </c>
      <c r="T262" s="1">
        <f ca="1">IFERROR(__xludf.DUMMYFUNCTION("""COMPUTED_VALUE"""),-2.71)</f>
        <v>-2.71</v>
      </c>
      <c r="U262" s="1">
        <f ca="1">IFERROR(__xludf.DUMMYFUNCTION("""COMPUTED_VALUE"""),237)</f>
        <v>237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IFERROR(__xludf.DUMMYFUNCTION("""COMPUTED_VALUE"""),"UC Irvine")</f>
        <v>UC Irvine</v>
      </c>
      <c r="C263" s="1" t="str">
        <f ca="1">IFERROR(__xludf.DUMMYFUNCTION("""COMPUTED_VALUE"""),"BW")</f>
        <v>BW</v>
      </c>
      <c r="D263" s="2">
        <f ca="1">IFERROR(__xludf.DUMMYFUNCTION("""COMPUTED_VALUE"""),44915)</f>
        <v>44915</v>
      </c>
      <c r="E263" s="1">
        <f ca="1">IFERROR(__xludf.DUMMYFUNCTION("""COMPUTED_VALUE"""),-7.2)</f>
        <v>-7.2</v>
      </c>
      <c r="F263" s="1">
        <f ca="1">IFERROR(__xludf.DUMMYFUNCTION("""COMPUTED_VALUE"""),97.1)</f>
        <v>97.1</v>
      </c>
      <c r="G263" s="1">
        <f ca="1">IFERROR(__xludf.DUMMYFUNCTION("""COMPUTED_VALUE"""),280)</f>
        <v>280</v>
      </c>
      <c r="H263" s="1">
        <f ca="1">IFERROR(__xludf.DUMMYFUNCTION("""COMPUTED_VALUE"""),104.3)</f>
        <v>104.3</v>
      </c>
      <c r="I263" s="1">
        <f ca="1">IFERROR(__xludf.DUMMYFUNCTION("""COMPUTED_VALUE"""),201)</f>
        <v>201</v>
      </c>
      <c r="J263" s="1">
        <f ca="1">IFERROR(__xludf.DUMMYFUNCTION("""COMPUTED_VALUE"""),69.1)</f>
        <v>69.099999999999994</v>
      </c>
      <c r="K263" s="1">
        <f ca="1">IFERROR(__xludf.DUMMYFUNCTION("""COMPUTED_VALUE"""),28)</f>
        <v>28</v>
      </c>
      <c r="L263" s="1" t="str">
        <f ca="1">IFERROR(__xludf.DUMMYFUNCTION("""COMPUTED_VALUE"""),"+.001")</f>
        <v>+.001</v>
      </c>
      <c r="M263" s="1">
        <f ca="1">IFERROR(__xludf.DUMMYFUNCTION("""COMPUTED_VALUE"""),170)</f>
        <v>170</v>
      </c>
      <c r="N263" s="1">
        <f ca="1">IFERROR(__xludf.DUMMYFUNCTION("""COMPUTED_VALUE"""),-1.26)</f>
        <v>-1.26</v>
      </c>
      <c r="O263" s="1">
        <f ca="1">IFERROR(__xludf.DUMMYFUNCTION("""COMPUTED_VALUE"""),180)</f>
        <v>180</v>
      </c>
      <c r="P263" s="1">
        <f ca="1">IFERROR(__xludf.DUMMYFUNCTION("""COMPUTED_VALUE"""),103.3)</f>
        <v>103.3</v>
      </c>
      <c r="Q263" s="1">
        <f ca="1">IFERROR(__xludf.DUMMYFUNCTION("""COMPUTED_VALUE"""),151)</f>
        <v>151</v>
      </c>
      <c r="R263" s="1">
        <f ca="1">IFERROR(__xludf.DUMMYFUNCTION("""COMPUTED_VALUE"""),104.5)</f>
        <v>104.5</v>
      </c>
      <c r="S263" s="1">
        <f ca="1">IFERROR(__xludf.DUMMYFUNCTION("""COMPUTED_VALUE"""),230)</f>
        <v>230</v>
      </c>
      <c r="T263" s="1" t="str">
        <f ca="1">IFERROR(__xludf.DUMMYFUNCTION("""COMPUTED_VALUE"""),"+1.88")</f>
        <v>+1.88</v>
      </c>
      <c r="U263" s="1">
        <f ca="1">IFERROR(__xludf.DUMMYFUNCTION("""COMPUTED_VALUE"""),101)</f>
        <v>101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IFERROR(__xludf.DUMMYFUNCTION("""COMPUTED_VALUE"""),"Stetson")</f>
        <v>Stetson</v>
      </c>
      <c r="C264" s="1" t="str">
        <f ca="1">IFERROR(__xludf.DUMMYFUNCTION("""COMPUTED_VALUE"""),"ASun")</f>
        <v>ASun</v>
      </c>
      <c r="D264" s="2">
        <f ca="1">IFERROR(__xludf.DUMMYFUNCTION("""COMPUTED_VALUE"""),44824)</f>
        <v>44824</v>
      </c>
      <c r="E264" s="1">
        <f ca="1">IFERROR(__xludf.DUMMYFUNCTION("""COMPUTED_VALUE"""),-7.5)</f>
        <v>-7.5</v>
      </c>
      <c r="F264" s="1">
        <f ca="1">IFERROR(__xludf.DUMMYFUNCTION("""COMPUTED_VALUE"""),100.7)</f>
        <v>100.7</v>
      </c>
      <c r="G264" s="1">
        <f ca="1">IFERROR(__xludf.DUMMYFUNCTION("""COMPUTED_VALUE"""),214)</f>
        <v>214</v>
      </c>
      <c r="H264" s="1">
        <f ca="1">IFERROR(__xludf.DUMMYFUNCTION("""COMPUTED_VALUE"""),108.2)</f>
        <v>108.2</v>
      </c>
      <c r="I264" s="1">
        <f ca="1">IFERROR(__xludf.DUMMYFUNCTION("""COMPUTED_VALUE"""),277)</f>
        <v>277</v>
      </c>
      <c r="J264" s="1">
        <f ca="1">IFERROR(__xludf.DUMMYFUNCTION("""COMPUTED_VALUE"""),70.4)</f>
        <v>70.400000000000006</v>
      </c>
      <c r="K264" s="1">
        <f ca="1">IFERROR(__xludf.DUMMYFUNCTION("""COMPUTED_VALUE"""),12)</f>
        <v>12</v>
      </c>
      <c r="L264" s="1">
        <f ca="1">IFERROR(__xludf.DUMMYFUNCTION("""COMPUTED_VALUE"""),-0.01)</f>
        <v>-0.01</v>
      </c>
      <c r="M264" s="1">
        <f ca="1">IFERROR(__xludf.DUMMYFUNCTION("""COMPUTED_VALUE"""),196)</f>
        <v>196</v>
      </c>
      <c r="N264" s="1" t="str">
        <f ca="1">IFERROR(__xludf.DUMMYFUNCTION("""COMPUTED_VALUE"""),"+0.75")</f>
        <v>+0.75</v>
      </c>
      <c r="O264" s="1">
        <f ca="1">IFERROR(__xludf.DUMMYFUNCTION("""COMPUTED_VALUE"""),140)</f>
        <v>140</v>
      </c>
      <c r="P264" s="1">
        <f ca="1">IFERROR(__xludf.DUMMYFUNCTION("""COMPUTED_VALUE"""),104.3)</f>
        <v>104.3</v>
      </c>
      <c r="Q264" s="1">
        <f ca="1">IFERROR(__xludf.DUMMYFUNCTION("""COMPUTED_VALUE"""),105)</f>
        <v>105</v>
      </c>
      <c r="R264" s="1">
        <f ca="1">IFERROR(__xludf.DUMMYFUNCTION("""COMPUTED_VALUE"""),103.5)</f>
        <v>103.5</v>
      </c>
      <c r="S264" s="1">
        <f ca="1">IFERROR(__xludf.DUMMYFUNCTION("""COMPUTED_VALUE"""),176)</f>
        <v>176</v>
      </c>
      <c r="T264" s="1" t="str">
        <f ca="1">IFERROR(__xludf.DUMMYFUNCTION("""COMPUTED_VALUE"""),"+4.19")</f>
        <v>+4.19</v>
      </c>
      <c r="U264" s="1">
        <f ca="1">IFERROR(__xludf.DUMMYFUNCTION("""COMPUTED_VALUE"""),56)</f>
        <v>56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IFERROR(__xludf.DUMMYFUNCTION("""COMPUTED_VALUE"""),"Presbyterian")</f>
        <v>Presbyterian</v>
      </c>
      <c r="C265" s="1" t="str">
        <f ca="1">IFERROR(__xludf.DUMMYFUNCTION("""COMPUTED_VALUE"""),"BSth")</f>
        <v>BSth</v>
      </c>
      <c r="D265" s="1" t="str">
        <f ca="1">IFERROR(__xludf.DUMMYFUNCTION("""COMPUTED_VALUE"""),"14-15")</f>
        <v>14-15</v>
      </c>
      <c r="E265" s="1">
        <f ca="1">IFERROR(__xludf.DUMMYFUNCTION("""COMPUTED_VALUE"""),-7.61)</f>
        <v>-7.61</v>
      </c>
      <c r="F265" s="1">
        <f ca="1">IFERROR(__xludf.DUMMYFUNCTION("""COMPUTED_VALUE"""),102.8)</f>
        <v>102.8</v>
      </c>
      <c r="G265" s="1">
        <f ca="1">IFERROR(__xludf.DUMMYFUNCTION("""COMPUTED_VALUE"""),170)</f>
        <v>170</v>
      </c>
      <c r="H265" s="1">
        <f ca="1">IFERROR(__xludf.DUMMYFUNCTION("""COMPUTED_VALUE"""),110.4)</f>
        <v>110.4</v>
      </c>
      <c r="I265" s="1">
        <f ca="1">IFERROR(__xludf.DUMMYFUNCTION("""COMPUTED_VALUE"""),302)</f>
        <v>302</v>
      </c>
      <c r="J265" s="1">
        <f ca="1">IFERROR(__xludf.DUMMYFUNCTION("""COMPUTED_VALUE"""),59.4)</f>
        <v>59.4</v>
      </c>
      <c r="K265" s="1">
        <f ca="1">IFERROR(__xludf.DUMMYFUNCTION("""COMPUTED_VALUE"""),337)</f>
        <v>337</v>
      </c>
      <c r="L265" s="1" t="str">
        <f ca="1">IFERROR(__xludf.DUMMYFUNCTION("""COMPUTED_VALUE"""),"+.023")</f>
        <v>+.023</v>
      </c>
      <c r="M265" s="1">
        <f ca="1">IFERROR(__xludf.DUMMYFUNCTION("""COMPUTED_VALUE"""),114)</f>
        <v>114</v>
      </c>
      <c r="N265" s="1">
        <f ca="1">IFERROR(__xludf.DUMMYFUNCTION("""COMPUTED_VALUE"""),-6.08)</f>
        <v>-6.08</v>
      </c>
      <c r="O265" s="1">
        <f ca="1">IFERROR(__xludf.DUMMYFUNCTION("""COMPUTED_VALUE"""),306)</f>
        <v>306</v>
      </c>
      <c r="P265" s="1">
        <f ca="1">IFERROR(__xludf.DUMMYFUNCTION("""COMPUTED_VALUE"""),100.9)</f>
        <v>100.9</v>
      </c>
      <c r="Q265" s="1">
        <f ca="1">IFERROR(__xludf.DUMMYFUNCTION("""COMPUTED_VALUE"""),269)</f>
        <v>269</v>
      </c>
      <c r="R265" s="1">
        <f ca="1">IFERROR(__xludf.DUMMYFUNCTION("""COMPUTED_VALUE"""),107)</f>
        <v>107</v>
      </c>
      <c r="S265" s="1">
        <f ca="1">IFERROR(__xludf.DUMMYFUNCTION("""COMPUTED_VALUE"""),334)</f>
        <v>334</v>
      </c>
      <c r="T265" s="1">
        <f ca="1">IFERROR(__xludf.DUMMYFUNCTION("""COMPUTED_VALUE"""),-2.31)</f>
        <v>-2.31</v>
      </c>
      <c r="U265" s="1">
        <f ca="1">IFERROR(__xludf.DUMMYFUNCTION("""COMPUTED_VALUE"""),227)</f>
        <v>227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IFERROR(__xludf.DUMMYFUNCTION("""COMPUTED_VALUE"""),"Morgan St.")</f>
        <v>Morgan St.</v>
      </c>
      <c r="C266" s="1" t="str">
        <f ca="1">IFERROR(__xludf.DUMMYFUNCTION("""COMPUTED_VALUE"""),"MEAC")</f>
        <v>MEAC</v>
      </c>
      <c r="D266" s="2">
        <f ca="1">IFERROR(__xludf.DUMMYFUNCTION("""COMPUTED_VALUE"""),44824)</f>
        <v>44824</v>
      </c>
      <c r="E266" s="1">
        <f ca="1">IFERROR(__xludf.DUMMYFUNCTION("""COMPUTED_VALUE"""),-7.93)</f>
        <v>-7.93</v>
      </c>
      <c r="F266" s="1">
        <f ca="1">IFERROR(__xludf.DUMMYFUNCTION("""COMPUTED_VALUE"""),99.3)</f>
        <v>99.3</v>
      </c>
      <c r="G266" s="1">
        <f ca="1">IFERROR(__xludf.DUMMYFUNCTION("""COMPUTED_VALUE"""),241)</f>
        <v>241</v>
      </c>
      <c r="H266" s="1">
        <f ca="1">IFERROR(__xludf.DUMMYFUNCTION("""COMPUTED_VALUE"""),107.2)</f>
        <v>107.2</v>
      </c>
      <c r="I266" s="1">
        <f ca="1">IFERROR(__xludf.DUMMYFUNCTION("""COMPUTED_VALUE"""),264)</f>
        <v>264</v>
      </c>
      <c r="J266" s="1">
        <f ca="1">IFERROR(__xludf.DUMMYFUNCTION("""COMPUTED_VALUE"""),65.8)</f>
        <v>65.8</v>
      </c>
      <c r="K266" s="1">
        <f ca="1">IFERROR(__xludf.DUMMYFUNCTION("""COMPUTED_VALUE"""),133)</f>
        <v>133</v>
      </c>
      <c r="L266" s="1">
        <f ca="1">IFERROR(__xludf.DUMMYFUNCTION("""COMPUTED_VALUE"""),-0.106)</f>
        <v>-0.106</v>
      </c>
      <c r="M266" s="1">
        <f ca="1">IFERROR(__xludf.DUMMYFUNCTION("""COMPUTED_VALUE"""),342)</f>
        <v>342</v>
      </c>
      <c r="N266" s="1">
        <f ca="1">IFERROR(__xludf.DUMMYFUNCTION("""COMPUTED_VALUE"""),-5.67)</f>
        <v>-5.67</v>
      </c>
      <c r="O266" s="1">
        <f ca="1">IFERROR(__xludf.DUMMYFUNCTION("""COMPUTED_VALUE"""),302)</f>
        <v>302</v>
      </c>
      <c r="P266" s="1">
        <f ca="1">IFERROR(__xludf.DUMMYFUNCTION("""COMPUTED_VALUE"""),99)</f>
        <v>99</v>
      </c>
      <c r="Q266" s="1">
        <f ca="1">IFERROR(__xludf.DUMMYFUNCTION("""COMPUTED_VALUE"""),321)</f>
        <v>321</v>
      </c>
      <c r="R266" s="1">
        <f ca="1">IFERROR(__xludf.DUMMYFUNCTION("""COMPUTED_VALUE"""),104.6)</f>
        <v>104.6</v>
      </c>
      <c r="S266" s="1">
        <f ca="1">IFERROR(__xludf.DUMMYFUNCTION("""COMPUTED_VALUE"""),237)</f>
        <v>237</v>
      </c>
      <c r="T266" s="1" t="str">
        <f ca="1">IFERROR(__xludf.DUMMYFUNCTION("""COMPUTED_VALUE"""),"+4.40")</f>
        <v>+4.40</v>
      </c>
      <c r="U266" s="1">
        <f ca="1">IFERROR(__xludf.DUMMYFUNCTION("""COMPUTED_VALUE"""),51)</f>
        <v>51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IFERROR(__xludf.DUMMYFUNCTION("""COMPUTED_VALUE"""),"Central Michigan")</f>
        <v>Central Michigan</v>
      </c>
      <c r="C267" s="1" t="str">
        <f ca="1">IFERROR(__xludf.DUMMYFUNCTION("""COMPUTED_VALUE"""),"MAC")</f>
        <v>MAC</v>
      </c>
      <c r="D267" s="2">
        <f ca="1">IFERROR(__xludf.DUMMYFUNCTION("""COMPUTED_VALUE"""),44886)</f>
        <v>44886</v>
      </c>
      <c r="E267" s="1">
        <f ca="1">IFERROR(__xludf.DUMMYFUNCTION("""COMPUTED_VALUE"""),-7.99)</f>
        <v>-7.99</v>
      </c>
      <c r="F267" s="1">
        <f ca="1">IFERROR(__xludf.DUMMYFUNCTION("""COMPUTED_VALUE"""),98.5)</f>
        <v>98.5</v>
      </c>
      <c r="G267" s="1">
        <f ca="1">IFERROR(__xludf.DUMMYFUNCTION("""COMPUTED_VALUE"""),249)</f>
        <v>249</v>
      </c>
      <c r="H267" s="1">
        <f ca="1">IFERROR(__xludf.DUMMYFUNCTION("""COMPUTED_VALUE"""),106.5)</f>
        <v>106.5</v>
      </c>
      <c r="I267" s="1">
        <f ca="1">IFERROR(__xludf.DUMMYFUNCTION("""COMPUTED_VALUE"""),251)</f>
        <v>251</v>
      </c>
      <c r="J267" s="1">
        <f ca="1">IFERROR(__xludf.DUMMYFUNCTION("""COMPUTED_VALUE"""),63.9)</f>
        <v>63.9</v>
      </c>
      <c r="K267" s="1">
        <f ca="1">IFERROR(__xludf.DUMMYFUNCTION("""COMPUTED_VALUE"""),228)</f>
        <v>228</v>
      </c>
      <c r="L267" s="1">
        <f ca="1">IFERROR(__xludf.DUMMYFUNCTION("""COMPUTED_VALUE"""),-0.005)</f>
        <v>-5.0000000000000001E-3</v>
      </c>
      <c r="M267" s="1">
        <f ca="1">IFERROR(__xludf.DUMMYFUNCTION("""COMPUTED_VALUE"""),185)</f>
        <v>185</v>
      </c>
      <c r="N267" s="1">
        <f ca="1">IFERROR(__xludf.DUMMYFUNCTION("""COMPUTED_VALUE"""),-0.67)</f>
        <v>-0.67</v>
      </c>
      <c r="O267" s="1">
        <f ca="1">IFERROR(__xludf.DUMMYFUNCTION("""COMPUTED_VALUE"""),170)</f>
        <v>170</v>
      </c>
      <c r="P267" s="1">
        <f ca="1">IFERROR(__xludf.DUMMYFUNCTION("""COMPUTED_VALUE"""),101.5)</f>
        <v>101.5</v>
      </c>
      <c r="Q267" s="1">
        <f ca="1">IFERROR(__xludf.DUMMYFUNCTION("""COMPUTED_VALUE"""),238)</f>
        <v>238</v>
      </c>
      <c r="R267" s="1">
        <f ca="1">IFERROR(__xludf.DUMMYFUNCTION("""COMPUTED_VALUE"""),102.2)</f>
        <v>102.2</v>
      </c>
      <c r="S267" s="1">
        <f ca="1">IFERROR(__xludf.DUMMYFUNCTION("""COMPUTED_VALUE"""),132)</f>
        <v>132</v>
      </c>
      <c r="T267" s="1" t="str">
        <f ca="1">IFERROR(__xludf.DUMMYFUNCTION("""COMPUTED_VALUE"""),"+1.09")</f>
        <v>+1.09</v>
      </c>
      <c r="U267" s="1">
        <f ca="1">IFERROR(__xludf.DUMMYFUNCTION("""COMPUTED_VALUE"""),123)</f>
        <v>123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IFERROR(__xludf.DUMMYFUNCTION("""COMPUTED_VALUE"""),"Marist")</f>
        <v>Marist</v>
      </c>
      <c r="C268" s="1" t="str">
        <f ca="1">IFERROR(__xludf.DUMMYFUNCTION("""COMPUTED_VALUE"""),"MAAC")</f>
        <v>MAAC</v>
      </c>
      <c r="D268" s="1" t="str">
        <f ca="1">IFERROR(__xludf.DUMMYFUNCTION("""COMPUTED_VALUE"""),"14-18")</f>
        <v>14-18</v>
      </c>
      <c r="E268" s="1">
        <f ca="1">IFERROR(__xludf.DUMMYFUNCTION("""COMPUTED_VALUE"""),-8.05)</f>
        <v>-8.0500000000000007</v>
      </c>
      <c r="F268" s="1">
        <f ca="1">IFERROR(__xludf.DUMMYFUNCTION("""COMPUTED_VALUE"""),98.7)</f>
        <v>98.7</v>
      </c>
      <c r="G268" s="1">
        <f ca="1">IFERROR(__xludf.DUMMYFUNCTION("""COMPUTED_VALUE"""),246)</f>
        <v>246</v>
      </c>
      <c r="H268" s="1">
        <f ca="1">IFERROR(__xludf.DUMMYFUNCTION("""COMPUTED_VALUE"""),106.8)</f>
        <v>106.8</v>
      </c>
      <c r="I268" s="1">
        <f ca="1">IFERROR(__xludf.DUMMYFUNCTION("""COMPUTED_VALUE"""),259)</f>
        <v>259</v>
      </c>
      <c r="J268" s="1">
        <f ca="1">IFERROR(__xludf.DUMMYFUNCTION("""COMPUTED_VALUE"""),67.5)</f>
        <v>67.5</v>
      </c>
      <c r="K268" s="1">
        <f ca="1">IFERROR(__xludf.DUMMYFUNCTION("""COMPUTED_VALUE"""),59)</f>
        <v>59</v>
      </c>
      <c r="L268" s="1" t="str">
        <f ca="1">IFERROR(__xludf.DUMMYFUNCTION("""COMPUTED_VALUE"""),"+.049")</f>
        <v>+.049</v>
      </c>
      <c r="M268" s="1">
        <f ca="1">IFERROR(__xludf.DUMMYFUNCTION("""COMPUTED_VALUE"""),56)</f>
        <v>56</v>
      </c>
      <c r="N268" s="1">
        <f ca="1">IFERROR(__xludf.DUMMYFUNCTION("""COMPUTED_VALUE"""),-3.85)</f>
        <v>-3.85</v>
      </c>
      <c r="O268" s="1">
        <f ca="1">IFERROR(__xludf.DUMMYFUNCTION("""COMPUTED_VALUE"""),250)</f>
        <v>250</v>
      </c>
      <c r="P268" s="1">
        <f ca="1">IFERROR(__xludf.DUMMYFUNCTION("""COMPUTED_VALUE"""),100.6)</f>
        <v>100.6</v>
      </c>
      <c r="Q268" s="1">
        <f ca="1">IFERROR(__xludf.DUMMYFUNCTION("""COMPUTED_VALUE"""),281)</f>
        <v>281</v>
      </c>
      <c r="R268" s="1">
        <f ca="1">IFERROR(__xludf.DUMMYFUNCTION("""COMPUTED_VALUE"""),104.4)</f>
        <v>104.4</v>
      </c>
      <c r="S268" s="1">
        <f ca="1">IFERROR(__xludf.DUMMYFUNCTION("""COMPUTED_VALUE"""),219)</f>
        <v>219</v>
      </c>
      <c r="T268" s="1">
        <f ca="1">IFERROR(__xludf.DUMMYFUNCTION("""COMPUTED_VALUE"""),-4.5)</f>
        <v>-4.5</v>
      </c>
      <c r="U268" s="1">
        <f ca="1">IFERROR(__xludf.DUMMYFUNCTION("""COMPUTED_VALUE"""),282)</f>
        <v>282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IFERROR(__xludf.DUMMYFUNCTION("""COMPUTED_VALUE"""),"Elon")</f>
        <v>Elon</v>
      </c>
      <c r="C269" s="1" t="str">
        <f ca="1">IFERROR(__xludf.DUMMYFUNCTION("""COMPUTED_VALUE"""),"SC")</f>
        <v>SC</v>
      </c>
      <c r="D269" s="1" t="str">
        <f ca="1">IFERROR(__xludf.DUMMYFUNCTION("""COMPUTED_VALUE"""),"15-16")</f>
        <v>15-16</v>
      </c>
      <c r="E269" s="1">
        <f ca="1">IFERROR(__xludf.DUMMYFUNCTION("""COMPUTED_VALUE"""),-8.22)</f>
        <v>-8.2200000000000006</v>
      </c>
      <c r="F269" s="1">
        <f ca="1">IFERROR(__xludf.DUMMYFUNCTION("""COMPUTED_VALUE"""),97.9)</f>
        <v>97.9</v>
      </c>
      <c r="G269" s="1">
        <f ca="1">IFERROR(__xludf.DUMMYFUNCTION("""COMPUTED_VALUE"""),262)</f>
        <v>262</v>
      </c>
      <c r="H269" s="1">
        <f ca="1">IFERROR(__xludf.DUMMYFUNCTION("""COMPUTED_VALUE"""),106.1)</f>
        <v>106.1</v>
      </c>
      <c r="I269" s="1">
        <f ca="1">IFERROR(__xludf.DUMMYFUNCTION("""COMPUTED_VALUE"""),241)</f>
        <v>241</v>
      </c>
      <c r="J269" s="1">
        <f ca="1">IFERROR(__xludf.DUMMYFUNCTION("""COMPUTED_VALUE"""),68.3)</f>
        <v>68.3</v>
      </c>
      <c r="K269" s="1">
        <f ca="1">IFERROR(__xludf.DUMMYFUNCTION("""COMPUTED_VALUE"""),37)</f>
        <v>37</v>
      </c>
      <c r="L269" s="1" t="str">
        <f ca="1">IFERROR(__xludf.DUMMYFUNCTION("""COMPUTED_VALUE"""),"+.072")</f>
        <v>+.072</v>
      </c>
      <c r="M269" s="1">
        <f ca="1">IFERROR(__xludf.DUMMYFUNCTION("""COMPUTED_VALUE"""),23)</f>
        <v>23</v>
      </c>
      <c r="N269" s="1">
        <f ca="1">IFERROR(__xludf.DUMMYFUNCTION("""COMPUTED_VALUE"""),-4)</f>
        <v>-4</v>
      </c>
      <c r="O269" s="1">
        <f ca="1">IFERROR(__xludf.DUMMYFUNCTION("""COMPUTED_VALUE"""),255)</f>
        <v>255</v>
      </c>
      <c r="P269" s="1">
        <f ca="1">IFERROR(__xludf.DUMMYFUNCTION("""COMPUTED_VALUE"""),101.1)</f>
        <v>101.1</v>
      </c>
      <c r="Q269" s="1">
        <f ca="1">IFERROR(__xludf.DUMMYFUNCTION("""COMPUTED_VALUE"""),253)</f>
        <v>253</v>
      </c>
      <c r="R269" s="1">
        <f ca="1">IFERROR(__xludf.DUMMYFUNCTION("""COMPUTED_VALUE"""),105.1)</f>
        <v>105.1</v>
      </c>
      <c r="S269" s="1">
        <f ca="1">IFERROR(__xludf.DUMMYFUNCTION("""COMPUTED_VALUE"""),261)</f>
        <v>261</v>
      </c>
      <c r="T269" s="1" t="str">
        <f ca="1">IFERROR(__xludf.DUMMYFUNCTION("""COMPUTED_VALUE"""),"+5.98")</f>
        <v>+5.98</v>
      </c>
      <c r="U269" s="1">
        <f ca="1">IFERROR(__xludf.DUMMYFUNCTION("""COMPUTED_VALUE"""),29)</f>
        <v>29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IFERROR(__xludf.DUMMYFUNCTION("""COMPUTED_VALUE"""),"Bethune Cookman")</f>
        <v>Bethune Cookman</v>
      </c>
      <c r="C270" s="1" t="str">
        <f ca="1">IFERROR(__xludf.DUMMYFUNCTION("""COMPUTED_VALUE"""),"MEAC")</f>
        <v>MEAC</v>
      </c>
      <c r="D270" s="1" t="str">
        <f ca="1">IFERROR(__xludf.DUMMYFUNCTION("""COMPUTED_VALUE"""),"18-17")</f>
        <v>18-17</v>
      </c>
      <c r="E270" s="1">
        <f ca="1">IFERROR(__xludf.DUMMYFUNCTION("""COMPUTED_VALUE"""),-8.23)</f>
        <v>-8.23</v>
      </c>
      <c r="F270" s="1">
        <f ca="1">IFERROR(__xludf.DUMMYFUNCTION("""COMPUTED_VALUE"""),101.4)</f>
        <v>101.4</v>
      </c>
      <c r="G270" s="1">
        <f ca="1">IFERROR(__xludf.DUMMYFUNCTION("""COMPUTED_VALUE"""),194)</f>
        <v>194</v>
      </c>
      <c r="H270" s="1">
        <f ca="1">IFERROR(__xludf.DUMMYFUNCTION("""COMPUTED_VALUE"""),109.7)</f>
        <v>109.7</v>
      </c>
      <c r="I270" s="1">
        <f ca="1">IFERROR(__xludf.DUMMYFUNCTION("""COMPUTED_VALUE"""),293)</f>
        <v>293</v>
      </c>
      <c r="J270" s="1">
        <f ca="1">IFERROR(__xludf.DUMMYFUNCTION("""COMPUTED_VALUE"""),62.4)</f>
        <v>62.4</v>
      </c>
      <c r="K270" s="1">
        <f ca="1">IFERROR(__xludf.DUMMYFUNCTION("""COMPUTED_VALUE"""),289)</f>
        <v>289</v>
      </c>
      <c r="L270" s="1" t="str">
        <f ca="1">IFERROR(__xludf.DUMMYFUNCTION("""COMPUTED_VALUE"""),"+.055")</f>
        <v>+.055</v>
      </c>
      <c r="M270" s="1">
        <f ca="1">IFERROR(__xludf.DUMMYFUNCTION("""COMPUTED_VALUE"""),48)</f>
        <v>48</v>
      </c>
      <c r="N270" s="1">
        <f ca="1">IFERROR(__xludf.DUMMYFUNCTION("""COMPUTED_VALUE"""),-7.14)</f>
        <v>-7.14</v>
      </c>
      <c r="O270" s="1">
        <f ca="1">IFERROR(__xludf.DUMMYFUNCTION("""COMPUTED_VALUE"""),325)</f>
        <v>325</v>
      </c>
      <c r="P270" s="1">
        <f ca="1">IFERROR(__xludf.DUMMYFUNCTION("""COMPUTED_VALUE"""),98.2)</f>
        <v>98.2</v>
      </c>
      <c r="Q270" s="1">
        <f ca="1">IFERROR(__xludf.DUMMYFUNCTION("""COMPUTED_VALUE"""),330)</f>
        <v>330</v>
      </c>
      <c r="R270" s="1">
        <f ca="1">IFERROR(__xludf.DUMMYFUNCTION("""COMPUTED_VALUE"""),105.4)</f>
        <v>105.4</v>
      </c>
      <c r="S270" s="1">
        <f ca="1">IFERROR(__xludf.DUMMYFUNCTION("""COMPUTED_VALUE"""),277)</f>
        <v>277</v>
      </c>
      <c r="T270" s="1" t="str">
        <f ca="1">IFERROR(__xludf.DUMMYFUNCTION("""COMPUTED_VALUE"""),"+2.37")</f>
        <v>+2.37</v>
      </c>
      <c r="U270" s="1">
        <f ca="1">IFERROR(__xludf.DUMMYFUNCTION("""COMPUTED_VALUE"""),89)</f>
        <v>89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IFERROR(__xludf.DUMMYFUNCTION("""COMPUTED_VALUE"""),"Northern Colorado")</f>
        <v>Northern Colorado</v>
      </c>
      <c r="C271" s="1" t="str">
        <f ca="1">IFERROR(__xludf.DUMMYFUNCTION("""COMPUTED_VALUE"""),"BSky")</f>
        <v>BSky</v>
      </c>
      <c r="D271" s="2">
        <f ca="1">IFERROR(__xludf.DUMMYFUNCTION("""COMPUTED_VALUE"""),44823)</f>
        <v>44823</v>
      </c>
      <c r="E271" s="1">
        <f ca="1">IFERROR(__xludf.DUMMYFUNCTION("""COMPUTED_VALUE"""),-8.31)</f>
        <v>-8.31</v>
      </c>
      <c r="F271" s="1">
        <f ca="1">IFERROR(__xludf.DUMMYFUNCTION("""COMPUTED_VALUE"""),104.8)</f>
        <v>104.8</v>
      </c>
      <c r="G271" s="1">
        <f ca="1">IFERROR(__xludf.DUMMYFUNCTION("""COMPUTED_VALUE"""),138)</f>
        <v>138</v>
      </c>
      <c r="H271" s="1">
        <f ca="1">IFERROR(__xludf.DUMMYFUNCTION("""COMPUTED_VALUE"""),113.1)</f>
        <v>113.1</v>
      </c>
      <c r="I271" s="1">
        <f ca="1">IFERROR(__xludf.DUMMYFUNCTION("""COMPUTED_VALUE"""),330)</f>
        <v>330</v>
      </c>
      <c r="J271" s="1">
        <f ca="1">IFERROR(__xludf.DUMMYFUNCTION("""COMPUTED_VALUE"""),65.8)</f>
        <v>65.8</v>
      </c>
      <c r="K271" s="1">
        <f ca="1">IFERROR(__xludf.DUMMYFUNCTION("""COMPUTED_VALUE"""),127)</f>
        <v>127</v>
      </c>
      <c r="L271" s="1">
        <f ca="1">IFERROR(__xludf.DUMMYFUNCTION("""COMPUTED_VALUE"""),-0.055)</f>
        <v>-5.5E-2</v>
      </c>
      <c r="M271" s="1">
        <f ca="1">IFERROR(__xludf.DUMMYFUNCTION("""COMPUTED_VALUE"""),298)</f>
        <v>298</v>
      </c>
      <c r="N271" s="1">
        <f ca="1">IFERROR(__xludf.DUMMYFUNCTION("""COMPUTED_VALUE"""),-3.05)</f>
        <v>-3.05</v>
      </c>
      <c r="O271" s="1">
        <f ca="1">IFERROR(__xludf.DUMMYFUNCTION("""COMPUTED_VALUE"""),232)</f>
        <v>232</v>
      </c>
      <c r="P271" s="1">
        <f ca="1">IFERROR(__xludf.DUMMYFUNCTION("""COMPUTED_VALUE"""),102.4)</f>
        <v>102.4</v>
      </c>
      <c r="Q271" s="1">
        <f ca="1">IFERROR(__xludf.DUMMYFUNCTION("""COMPUTED_VALUE"""),191)</f>
        <v>191</v>
      </c>
      <c r="R271" s="1">
        <f ca="1">IFERROR(__xludf.DUMMYFUNCTION("""COMPUTED_VALUE"""),105.5)</f>
        <v>105.5</v>
      </c>
      <c r="S271" s="1">
        <f ca="1">IFERROR(__xludf.DUMMYFUNCTION("""COMPUTED_VALUE"""),281)</f>
        <v>281</v>
      </c>
      <c r="T271" s="1" t="str">
        <f ca="1">IFERROR(__xludf.DUMMYFUNCTION("""COMPUTED_VALUE"""),"+5.59")</f>
        <v>+5.59</v>
      </c>
      <c r="U271" s="1">
        <f ca="1">IFERROR(__xludf.DUMMYFUNCTION("""COMPUTED_VALUE"""),32)</f>
        <v>32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IFERROR(__xludf.DUMMYFUNCTION("""COMPUTED_VALUE"""),"Appalachian St.")</f>
        <v>Appalachian St.</v>
      </c>
      <c r="C272" s="1" t="str">
        <f ca="1">IFERROR(__xludf.DUMMYFUNCTION("""COMPUTED_VALUE"""),"SC")</f>
        <v>SC</v>
      </c>
      <c r="D272" s="1" t="str">
        <f ca="1">IFERROR(__xludf.DUMMYFUNCTION("""COMPUTED_VALUE"""),"13-18")</f>
        <v>13-18</v>
      </c>
      <c r="E272" s="1">
        <f ca="1">IFERROR(__xludf.DUMMYFUNCTION("""COMPUTED_VALUE"""),-8.4)</f>
        <v>-8.4</v>
      </c>
      <c r="F272" s="1">
        <f ca="1">IFERROR(__xludf.DUMMYFUNCTION("""COMPUTED_VALUE"""),99.6)</f>
        <v>99.6</v>
      </c>
      <c r="G272" s="1">
        <f ca="1">IFERROR(__xludf.DUMMYFUNCTION("""COMPUTED_VALUE"""),235)</f>
        <v>235</v>
      </c>
      <c r="H272" s="1">
        <f ca="1">IFERROR(__xludf.DUMMYFUNCTION("""COMPUTED_VALUE"""),108)</f>
        <v>108</v>
      </c>
      <c r="I272" s="1">
        <f ca="1">IFERROR(__xludf.DUMMYFUNCTION("""COMPUTED_VALUE"""),275)</f>
        <v>275</v>
      </c>
      <c r="J272" s="1">
        <f ca="1">IFERROR(__xludf.DUMMYFUNCTION("""COMPUTED_VALUE"""),65.5)</f>
        <v>65.5</v>
      </c>
      <c r="K272" s="1">
        <f ca="1">IFERROR(__xludf.DUMMYFUNCTION("""COMPUTED_VALUE"""),142)</f>
        <v>142</v>
      </c>
      <c r="L272" s="1" t="str">
        <f ca="1">IFERROR(__xludf.DUMMYFUNCTION("""COMPUTED_VALUE"""),"+.005")</f>
        <v>+.005</v>
      </c>
      <c r="M272" s="1">
        <f ca="1">IFERROR(__xludf.DUMMYFUNCTION("""COMPUTED_VALUE"""),160)</f>
        <v>160</v>
      </c>
      <c r="N272" s="1">
        <f ca="1">IFERROR(__xludf.DUMMYFUNCTION("""COMPUTED_VALUE"""),-4.14)</f>
        <v>-4.1399999999999997</v>
      </c>
      <c r="O272" s="1">
        <f ca="1">IFERROR(__xludf.DUMMYFUNCTION("""COMPUTED_VALUE"""),263)</f>
        <v>263</v>
      </c>
      <c r="P272" s="1">
        <f ca="1">IFERROR(__xludf.DUMMYFUNCTION("""COMPUTED_VALUE"""),101)</f>
        <v>101</v>
      </c>
      <c r="Q272" s="1">
        <f ca="1">IFERROR(__xludf.DUMMYFUNCTION("""COMPUTED_VALUE"""),259)</f>
        <v>259</v>
      </c>
      <c r="R272" s="1">
        <f ca="1">IFERROR(__xludf.DUMMYFUNCTION("""COMPUTED_VALUE"""),105.2)</f>
        <v>105.2</v>
      </c>
      <c r="S272" s="1">
        <f ca="1">IFERROR(__xludf.DUMMYFUNCTION("""COMPUTED_VALUE"""),264)</f>
        <v>264</v>
      </c>
      <c r="T272" s="1" t="str">
        <f ca="1">IFERROR(__xludf.DUMMYFUNCTION("""COMPUTED_VALUE"""),"+4.97")</f>
        <v>+4.97</v>
      </c>
      <c r="U272" s="1">
        <f ca="1">IFERROR(__xludf.DUMMYFUNCTION("""COMPUTED_VALUE"""),41)</f>
        <v>41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IFERROR(__xludf.DUMMYFUNCTION("""COMPUTED_VALUE"""),"North Dakota")</f>
        <v>North Dakota</v>
      </c>
      <c r="C273" s="1" t="str">
        <f ca="1">IFERROR(__xludf.DUMMYFUNCTION("""COMPUTED_VALUE"""),"GWC")</f>
        <v>GWC</v>
      </c>
      <c r="D273" s="1" t="str">
        <f ca="1">IFERROR(__xludf.DUMMYFUNCTION("""COMPUTED_VALUE"""),"17-15")</f>
        <v>17-15</v>
      </c>
      <c r="E273" s="1">
        <f ca="1">IFERROR(__xludf.DUMMYFUNCTION("""COMPUTED_VALUE"""),-8.45)</f>
        <v>-8.4499999999999993</v>
      </c>
      <c r="F273" s="1">
        <f ca="1">IFERROR(__xludf.DUMMYFUNCTION("""COMPUTED_VALUE"""),95.9)</f>
        <v>95.9</v>
      </c>
      <c r="G273" s="1">
        <f ca="1">IFERROR(__xludf.DUMMYFUNCTION("""COMPUTED_VALUE"""),286)</f>
        <v>286</v>
      </c>
      <c r="H273" s="1">
        <f ca="1">IFERROR(__xludf.DUMMYFUNCTION("""COMPUTED_VALUE"""),104.3)</f>
        <v>104.3</v>
      </c>
      <c r="I273" s="1">
        <f ca="1">IFERROR(__xludf.DUMMYFUNCTION("""COMPUTED_VALUE"""),203)</f>
        <v>203</v>
      </c>
      <c r="J273" s="1">
        <f ca="1">IFERROR(__xludf.DUMMYFUNCTION("""COMPUTED_VALUE"""),66.6)</f>
        <v>66.599999999999994</v>
      </c>
      <c r="K273" s="1">
        <f ca="1">IFERROR(__xludf.DUMMYFUNCTION("""COMPUTED_VALUE"""),94)</f>
        <v>94</v>
      </c>
      <c r="L273" s="1" t="str">
        <f ca="1">IFERROR(__xludf.DUMMYFUNCTION("""COMPUTED_VALUE"""),"+.026")</f>
        <v>+.026</v>
      </c>
      <c r="M273" s="1">
        <f ca="1">IFERROR(__xludf.DUMMYFUNCTION("""COMPUTED_VALUE"""),105)</f>
        <v>105</v>
      </c>
      <c r="N273" s="1">
        <f ca="1">IFERROR(__xludf.DUMMYFUNCTION("""COMPUTED_VALUE"""),-7.34)</f>
        <v>-7.34</v>
      </c>
      <c r="O273" s="1">
        <f ca="1">IFERROR(__xludf.DUMMYFUNCTION("""COMPUTED_VALUE"""),329)</f>
        <v>329</v>
      </c>
      <c r="P273" s="1">
        <f ca="1">IFERROR(__xludf.DUMMYFUNCTION("""COMPUTED_VALUE"""),98.9)</f>
        <v>98.9</v>
      </c>
      <c r="Q273" s="1">
        <f ca="1">IFERROR(__xludf.DUMMYFUNCTION("""COMPUTED_VALUE"""),322)</f>
        <v>322</v>
      </c>
      <c r="R273" s="1">
        <f ca="1">IFERROR(__xludf.DUMMYFUNCTION("""COMPUTED_VALUE"""),106.3)</f>
        <v>106.3</v>
      </c>
      <c r="S273" s="1">
        <f ca="1">IFERROR(__xludf.DUMMYFUNCTION("""COMPUTED_VALUE"""),314)</f>
        <v>314</v>
      </c>
      <c r="T273" s="1">
        <f ca="1">IFERROR(__xludf.DUMMYFUNCTION("""COMPUTED_VALUE"""),-0.56)</f>
        <v>-0.56000000000000005</v>
      </c>
      <c r="U273" s="1">
        <f ca="1">IFERROR(__xludf.DUMMYFUNCTION("""COMPUTED_VALUE"""),175)</f>
        <v>175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IFERROR(__xludf.DUMMYFUNCTION("""COMPUTED_VALUE"""),"Bradley")</f>
        <v>Bradley</v>
      </c>
      <c r="C274" s="1" t="str">
        <f ca="1">IFERROR(__xludf.DUMMYFUNCTION("""COMPUTED_VALUE"""),"MVC")</f>
        <v>MVC</v>
      </c>
      <c r="D274" s="2">
        <f ca="1">IFERROR(__xludf.DUMMYFUNCTION("""COMPUTED_VALUE"""),44767)</f>
        <v>44767</v>
      </c>
      <c r="E274" s="1">
        <f ca="1">IFERROR(__xludf.DUMMYFUNCTION("""COMPUTED_VALUE"""),-8.46)</f>
        <v>-8.4600000000000009</v>
      </c>
      <c r="F274" s="1">
        <f ca="1">IFERROR(__xludf.DUMMYFUNCTION("""COMPUTED_VALUE"""),94.9)</f>
        <v>94.9</v>
      </c>
      <c r="G274" s="1">
        <f ca="1">IFERROR(__xludf.DUMMYFUNCTION("""COMPUTED_VALUE"""),296)</f>
        <v>296</v>
      </c>
      <c r="H274" s="1">
        <f ca="1">IFERROR(__xludf.DUMMYFUNCTION("""COMPUTED_VALUE"""),103.4)</f>
        <v>103.4</v>
      </c>
      <c r="I274" s="1">
        <f ca="1">IFERROR(__xludf.DUMMYFUNCTION("""COMPUTED_VALUE"""),184)</f>
        <v>184</v>
      </c>
      <c r="J274" s="1">
        <f ca="1">IFERROR(__xludf.DUMMYFUNCTION("""COMPUTED_VALUE"""),67.4)</f>
        <v>67.400000000000006</v>
      </c>
      <c r="K274" s="1">
        <f ca="1">IFERROR(__xludf.DUMMYFUNCTION("""COMPUTED_VALUE"""),63)</f>
        <v>63</v>
      </c>
      <c r="L274" s="1">
        <f ca="1">IFERROR(__xludf.DUMMYFUNCTION("""COMPUTED_VALUE"""),-0.012)</f>
        <v>-1.2E-2</v>
      </c>
      <c r="M274" s="1">
        <f ca="1">IFERROR(__xludf.DUMMYFUNCTION("""COMPUTED_VALUE"""),199)</f>
        <v>199</v>
      </c>
      <c r="N274" s="1" t="str">
        <f ca="1">IFERROR(__xludf.DUMMYFUNCTION("""COMPUTED_VALUE"""),"+3.88")</f>
        <v>+3.88</v>
      </c>
      <c r="O274" s="1">
        <f ca="1">IFERROR(__xludf.DUMMYFUNCTION("""COMPUTED_VALUE"""),80)</f>
        <v>80</v>
      </c>
      <c r="P274" s="1">
        <f ca="1">IFERROR(__xludf.DUMMYFUNCTION("""COMPUTED_VALUE"""),105.3)</f>
        <v>105.3</v>
      </c>
      <c r="Q274" s="1">
        <f ca="1">IFERROR(__xludf.DUMMYFUNCTION("""COMPUTED_VALUE"""),67)</f>
        <v>67</v>
      </c>
      <c r="R274" s="1">
        <f ca="1">IFERROR(__xludf.DUMMYFUNCTION("""COMPUTED_VALUE"""),101.5)</f>
        <v>101.5</v>
      </c>
      <c r="S274" s="1">
        <f ca="1">IFERROR(__xludf.DUMMYFUNCTION("""COMPUTED_VALUE"""),108)</f>
        <v>108</v>
      </c>
      <c r="T274" s="1">
        <f ca="1">IFERROR(__xludf.DUMMYFUNCTION("""COMPUTED_VALUE"""),-1.34)</f>
        <v>-1.34</v>
      </c>
      <c r="U274" s="1">
        <f ca="1">IFERROR(__xludf.DUMMYFUNCTION("""COMPUTED_VALUE"""),195)</f>
        <v>195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IFERROR(__xludf.DUMMYFUNCTION("""COMPUTED_VALUE"""),"Boston College")</f>
        <v>Boston College</v>
      </c>
      <c r="C275" s="1" t="str">
        <f ca="1">IFERROR(__xludf.DUMMYFUNCTION("""COMPUTED_VALUE"""),"ACC")</f>
        <v>ACC</v>
      </c>
      <c r="D275" s="2">
        <f ca="1">IFERROR(__xludf.DUMMYFUNCTION("""COMPUTED_VALUE"""),44826)</f>
        <v>44826</v>
      </c>
      <c r="E275" s="1">
        <f ca="1">IFERROR(__xludf.DUMMYFUNCTION("""COMPUTED_VALUE"""),-8.67)</f>
        <v>-8.67</v>
      </c>
      <c r="F275" s="1">
        <f ca="1">IFERROR(__xludf.DUMMYFUNCTION("""COMPUTED_VALUE"""),95.7)</f>
        <v>95.7</v>
      </c>
      <c r="G275" s="1">
        <f ca="1">IFERROR(__xludf.DUMMYFUNCTION("""COMPUTED_VALUE"""),287)</f>
        <v>287</v>
      </c>
      <c r="H275" s="1">
        <f ca="1">IFERROR(__xludf.DUMMYFUNCTION("""COMPUTED_VALUE"""),104.3)</f>
        <v>104.3</v>
      </c>
      <c r="I275" s="1">
        <f ca="1">IFERROR(__xludf.DUMMYFUNCTION("""COMPUTED_VALUE"""),204)</f>
        <v>204</v>
      </c>
      <c r="J275" s="1">
        <f ca="1">IFERROR(__xludf.DUMMYFUNCTION("""COMPUTED_VALUE"""),63.8)</f>
        <v>63.8</v>
      </c>
      <c r="K275" s="1">
        <f ca="1">IFERROR(__xludf.DUMMYFUNCTION("""COMPUTED_VALUE"""),241)</f>
        <v>241</v>
      </c>
      <c r="L275" s="1" t="str">
        <f ca="1">IFERROR(__xludf.DUMMYFUNCTION("""COMPUTED_VALUE"""),"+.048")</f>
        <v>+.048</v>
      </c>
      <c r="M275" s="1">
        <f ca="1">IFERROR(__xludf.DUMMYFUNCTION("""COMPUTED_VALUE"""),61)</f>
        <v>61</v>
      </c>
      <c r="N275" s="1" t="str">
        <f ca="1">IFERROR(__xludf.DUMMYFUNCTION("""COMPUTED_VALUE"""),"+3.88")</f>
        <v>+3.88</v>
      </c>
      <c r="O275" s="1">
        <f ca="1">IFERROR(__xludf.DUMMYFUNCTION("""COMPUTED_VALUE"""),81)</f>
        <v>81</v>
      </c>
      <c r="P275" s="1">
        <f ca="1">IFERROR(__xludf.DUMMYFUNCTION("""COMPUTED_VALUE"""),104.5)</f>
        <v>104.5</v>
      </c>
      <c r="Q275" s="1">
        <f ca="1">IFERROR(__xludf.DUMMYFUNCTION("""COMPUTED_VALUE"""),99)</f>
        <v>99</v>
      </c>
      <c r="R275" s="1">
        <f ca="1">IFERROR(__xludf.DUMMYFUNCTION("""COMPUTED_VALUE"""),100.6)</f>
        <v>100.6</v>
      </c>
      <c r="S275" s="1">
        <f ca="1">IFERROR(__xludf.DUMMYFUNCTION("""COMPUTED_VALUE"""),68)</f>
        <v>68</v>
      </c>
      <c r="T275" s="1">
        <f ca="1">IFERROR(__xludf.DUMMYFUNCTION("""COMPUTED_VALUE"""),-3.18)</f>
        <v>-3.18</v>
      </c>
      <c r="U275" s="1">
        <f ca="1">IFERROR(__xludf.DUMMYFUNCTION("""COMPUTED_VALUE"""),249)</f>
        <v>249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IFERROR(__xludf.DUMMYFUNCTION("""COMPUTED_VALUE"""),"Winthrop")</f>
        <v>Winthrop</v>
      </c>
      <c r="C276" s="1" t="str">
        <f ca="1">IFERROR(__xludf.DUMMYFUNCTION("""COMPUTED_VALUE"""),"BSth")</f>
        <v>BSth</v>
      </c>
      <c r="D276" s="2">
        <f ca="1">IFERROR(__xludf.DUMMYFUNCTION("""COMPUTED_VALUE"""),44915)</f>
        <v>44915</v>
      </c>
      <c r="E276" s="1">
        <f ca="1">IFERROR(__xludf.DUMMYFUNCTION("""COMPUTED_VALUE"""),-8.73)</f>
        <v>-8.73</v>
      </c>
      <c r="F276" s="1">
        <f ca="1">IFERROR(__xludf.DUMMYFUNCTION("""COMPUTED_VALUE"""),94.6)</f>
        <v>94.6</v>
      </c>
      <c r="G276" s="1">
        <f ca="1">IFERROR(__xludf.DUMMYFUNCTION("""COMPUTED_VALUE"""),299)</f>
        <v>299</v>
      </c>
      <c r="H276" s="1">
        <f ca="1">IFERROR(__xludf.DUMMYFUNCTION("""COMPUTED_VALUE"""),103.4)</f>
        <v>103.4</v>
      </c>
      <c r="I276" s="1">
        <f ca="1">IFERROR(__xludf.DUMMYFUNCTION("""COMPUTED_VALUE"""),182)</f>
        <v>182</v>
      </c>
      <c r="J276" s="1">
        <f ca="1">IFERROR(__xludf.DUMMYFUNCTION("""COMPUTED_VALUE"""),61.8)</f>
        <v>61.8</v>
      </c>
      <c r="K276" s="1">
        <f ca="1">IFERROR(__xludf.DUMMYFUNCTION("""COMPUTED_VALUE"""),305)</f>
        <v>305</v>
      </c>
      <c r="L276" s="1">
        <f ca="1">IFERROR(__xludf.DUMMYFUNCTION("""COMPUTED_VALUE"""),-0.023)</f>
        <v>-2.3E-2</v>
      </c>
      <c r="M276" s="1">
        <f ca="1">IFERROR(__xludf.DUMMYFUNCTION("""COMPUTED_VALUE"""),230)</f>
        <v>230</v>
      </c>
      <c r="N276" s="1">
        <f ca="1">IFERROR(__xludf.DUMMYFUNCTION("""COMPUTED_VALUE"""),-3.28)</f>
        <v>-3.28</v>
      </c>
      <c r="O276" s="1">
        <f ca="1">IFERROR(__xludf.DUMMYFUNCTION("""COMPUTED_VALUE"""),241)</f>
        <v>241</v>
      </c>
      <c r="P276" s="1">
        <f ca="1">IFERROR(__xludf.DUMMYFUNCTION("""COMPUTED_VALUE"""),102.7)</f>
        <v>102.7</v>
      </c>
      <c r="Q276" s="1">
        <f ca="1">IFERROR(__xludf.DUMMYFUNCTION("""COMPUTED_VALUE"""),175)</f>
        <v>175</v>
      </c>
      <c r="R276" s="1">
        <f ca="1">IFERROR(__xludf.DUMMYFUNCTION("""COMPUTED_VALUE"""),105.9)</f>
        <v>105.9</v>
      </c>
      <c r="S276" s="1">
        <f ca="1">IFERROR(__xludf.DUMMYFUNCTION("""COMPUTED_VALUE"""),305)</f>
        <v>305</v>
      </c>
      <c r="T276" s="1" t="str">
        <f ca="1">IFERROR(__xludf.DUMMYFUNCTION("""COMPUTED_VALUE"""),"+6.87")</f>
        <v>+6.87</v>
      </c>
      <c r="U276" s="1">
        <f ca="1">IFERROR(__xludf.DUMMYFUNCTION("""COMPUTED_VALUE"""),23)</f>
        <v>23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IFERROR(__xludf.DUMMYFUNCTION("""COMPUTED_VALUE"""),"Eastern Michigan")</f>
        <v>Eastern Michigan</v>
      </c>
      <c r="C277" s="1" t="str">
        <f ca="1">IFERROR(__xludf.DUMMYFUNCTION("""COMPUTED_VALUE"""),"MAC")</f>
        <v>MAC</v>
      </c>
      <c r="D277" s="1" t="str">
        <f ca="1">IFERROR(__xludf.DUMMYFUNCTION("""COMPUTED_VALUE"""),"14-18")</f>
        <v>14-18</v>
      </c>
      <c r="E277" s="1">
        <f ca="1">IFERROR(__xludf.DUMMYFUNCTION("""COMPUTED_VALUE"""),-8.83)</f>
        <v>-8.83</v>
      </c>
      <c r="F277" s="1">
        <f ca="1">IFERROR(__xludf.DUMMYFUNCTION("""COMPUTED_VALUE"""),90.5)</f>
        <v>90.5</v>
      </c>
      <c r="G277" s="1">
        <f ca="1">IFERROR(__xludf.DUMMYFUNCTION("""COMPUTED_VALUE"""),326)</f>
        <v>326</v>
      </c>
      <c r="H277" s="1">
        <f ca="1">IFERROR(__xludf.DUMMYFUNCTION("""COMPUTED_VALUE"""),99.4)</f>
        <v>99.4</v>
      </c>
      <c r="I277" s="1">
        <f ca="1">IFERROR(__xludf.DUMMYFUNCTION("""COMPUTED_VALUE"""),99)</f>
        <v>99</v>
      </c>
      <c r="J277" s="1">
        <f ca="1">IFERROR(__xludf.DUMMYFUNCTION("""COMPUTED_VALUE"""),59.2)</f>
        <v>59.2</v>
      </c>
      <c r="K277" s="1">
        <f ca="1">IFERROR(__xludf.DUMMYFUNCTION("""COMPUTED_VALUE"""),340)</f>
        <v>340</v>
      </c>
      <c r="L277" s="1" t="str">
        <f ca="1">IFERROR(__xludf.DUMMYFUNCTION("""COMPUTED_VALUE"""),"+.096")</f>
        <v>+.096</v>
      </c>
      <c r="M277" s="1">
        <f ca="1">IFERROR(__xludf.DUMMYFUNCTION("""COMPUTED_VALUE"""),13)</f>
        <v>13</v>
      </c>
      <c r="N277" s="1">
        <f ca="1">IFERROR(__xludf.DUMMYFUNCTION("""COMPUTED_VALUE"""),-0.97)</f>
        <v>-0.97</v>
      </c>
      <c r="O277" s="1">
        <f ca="1">IFERROR(__xludf.DUMMYFUNCTION("""COMPUTED_VALUE"""),177)</f>
        <v>177</v>
      </c>
      <c r="P277" s="1">
        <f ca="1">IFERROR(__xludf.DUMMYFUNCTION("""COMPUTED_VALUE"""),102.4)</f>
        <v>102.4</v>
      </c>
      <c r="Q277" s="1">
        <f ca="1">IFERROR(__xludf.DUMMYFUNCTION("""COMPUTED_VALUE"""),188)</f>
        <v>188</v>
      </c>
      <c r="R277" s="1">
        <f ca="1">IFERROR(__xludf.DUMMYFUNCTION("""COMPUTED_VALUE"""),103.4)</f>
        <v>103.4</v>
      </c>
      <c r="S277" s="1">
        <f ca="1">IFERROR(__xludf.DUMMYFUNCTION("""COMPUTED_VALUE"""),172)</f>
        <v>172</v>
      </c>
      <c r="T277" s="1" t="str">
        <f ca="1">IFERROR(__xludf.DUMMYFUNCTION("""COMPUTED_VALUE"""),"+2.54")</f>
        <v>+2.54</v>
      </c>
      <c r="U277" s="1">
        <f ca="1">IFERROR(__xludf.DUMMYFUNCTION("""COMPUTED_VALUE"""),88)</f>
        <v>88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IFERROR(__xludf.DUMMYFUNCTION("""COMPUTED_VALUE"""),"Chattanooga")</f>
        <v>Chattanooga</v>
      </c>
      <c r="C278" s="1" t="str">
        <f ca="1">IFERROR(__xludf.DUMMYFUNCTION("""COMPUTED_VALUE"""),"SC")</f>
        <v>SC</v>
      </c>
      <c r="D278" s="2">
        <f ca="1">IFERROR(__xludf.DUMMYFUNCTION("""COMPUTED_VALUE"""),44886)</f>
        <v>44886</v>
      </c>
      <c r="E278" s="1">
        <f ca="1">IFERROR(__xludf.DUMMYFUNCTION("""COMPUTED_VALUE"""),-8.93)</f>
        <v>-8.93</v>
      </c>
      <c r="F278" s="1">
        <f ca="1">IFERROR(__xludf.DUMMYFUNCTION("""COMPUTED_VALUE"""),97.7)</f>
        <v>97.7</v>
      </c>
      <c r="G278" s="1">
        <f ca="1">IFERROR(__xludf.DUMMYFUNCTION("""COMPUTED_VALUE"""),267)</f>
        <v>267</v>
      </c>
      <c r="H278" s="1">
        <f ca="1">IFERROR(__xludf.DUMMYFUNCTION("""COMPUTED_VALUE"""),106.7)</f>
        <v>106.7</v>
      </c>
      <c r="I278" s="1">
        <f ca="1">IFERROR(__xludf.DUMMYFUNCTION("""COMPUTED_VALUE"""),255)</f>
        <v>255</v>
      </c>
      <c r="J278" s="1">
        <f ca="1">IFERROR(__xludf.DUMMYFUNCTION("""COMPUTED_VALUE"""),67.3)</f>
        <v>67.3</v>
      </c>
      <c r="K278" s="1">
        <f ca="1">IFERROR(__xludf.DUMMYFUNCTION("""COMPUTED_VALUE"""),68)</f>
        <v>68</v>
      </c>
      <c r="L278" s="1">
        <f ca="1">IFERROR(__xludf.DUMMYFUNCTION("""COMPUTED_VALUE"""),-0.115)</f>
        <v>-0.115</v>
      </c>
      <c r="M278" s="1">
        <f ca="1">IFERROR(__xludf.DUMMYFUNCTION("""COMPUTED_VALUE"""),344)</f>
        <v>344</v>
      </c>
      <c r="N278" s="1">
        <f ca="1">IFERROR(__xludf.DUMMYFUNCTION("""COMPUTED_VALUE"""),-5.06)</f>
        <v>-5.0599999999999996</v>
      </c>
      <c r="O278" s="1">
        <f ca="1">IFERROR(__xludf.DUMMYFUNCTION("""COMPUTED_VALUE"""),286)</f>
        <v>286</v>
      </c>
      <c r="P278" s="1">
        <f ca="1">IFERROR(__xludf.DUMMYFUNCTION("""COMPUTED_VALUE"""),100.9)</f>
        <v>100.9</v>
      </c>
      <c r="Q278" s="1">
        <f ca="1">IFERROR(__xludf.DUMMYFUNCTION("""COMPUTED_VALUE"""),270)</f>
        <v>270</v>
      </c>
      <c r="R278" s="1">
        <f ca="1">IFERROR(__xludf.DUMMYFUNCTION("""COMPUTED_VALUE"""),105.9)</f>
        <v>105.9</v>
      </c>
      <c r="S278" s="1">
        <f ca="1">IFERROR(__xludf.DUMMYFUNCTION("""COMPUTED_VALUE"""),301)</f>
        <v>301</v>
      </c>
      <c r="T278" s="1" t="str">
        <f ca="1">IFERROR(__xludf.DUMMYFUNCTION("""COMPUTED_VALUE"""),"+0.78")</f>
        <v>+0.78</v>
      </c>
      <c r="U278" s="1">
        <f ca="1">IFERROR(__xludf.DUMMYFUNCTION("""COMPUTED_VALUE"""),134)</f>
        <v>134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IFERROR(__xludf.DUMMYFUNCTION("""COMPUTED_VALUE"""),"Eastern Kentucky")</f>
        <v>Eastern Kentucky</v>
      </c>
      <c r="C279" s="1" t="str">
        <f ca="1">IFERROR(__xludf.DUMMYFUNCTION("""COMPUTED_VALUE"""),"OVC")</f>
        <v>OVC</v>
      </c>
      <c r="D279" s="1" t="str">
        <f ca="1">IFERROR(__xludf.DUMMYFUNCTION("""COMPUTED_VALUE"""),"16-16")</f>
        <v>16-16</v>
      </c>
      <c r="E279" s="1">
        <f ca="1">IFERROR(__xludf.DUMMYFUNCTION("""COMPUTED_VALUE"""),-8.94)</f>
        <v>-8.94</v>
      </c>
      <c r="F279" s="1">
        <f ca="1">IFERROR(__xludf.DUMMYFUNCTION("""COMPUTED_VALUE"""),100.7)</f>
        <v>100.7</v>
      </c>
      <c r="G279" s="1">
        <f ca="1">IFERROR(__xludf.DUMMYFUNCTION("""COMPUTED_VALUE"""),216)</f>
        <v>216</v>
      </c>
      <c r="H279" s="1">
        <f ca="1">IFERROR(__xludf.DUMMYFUNCTION("""COMPUTED_VALUE"""),109.7)</f>
        <v>109.7</v>
      </c>
      <c r="I279" s="1">
        <f ca="1">IFERROR(__xludf.DUMMYFUNCTION("""COMPUTED_VALUE"""),292)</f>
        <v>292</v>
      </c>
      <c r="J279" s="1">
        <f ca="1">IFERROR(__xludf.DUMMYFUNCTION("""COMPUTED_VALUE"""),61.4)</f>
        <v>61.4</v>
      </c>
      <c r="K279" s="1">
        <f ca="1">IFERROR(__xludf.DUMMYFUNCTION("""COMPUTED_VALUE"""),316)</f>
        <v>316</v>
      </c>
      <c r="L279" s="1" t="str">
        <f ca="1">IFERROR(__xludf.DUMMYFUNCTION("""COMPUTED_VALUE"""),"+.054")</f>
        <v>+.054</v>
      </c>
      <c r="M279" s="1">
        <f ca="1">IFERROR(__xludf.DUMMYFUNCTION("""COMPUTED_VALUE"""),51)</f>
        <v>51</v>
      </c>
      <c r="N279" s="1">
        <f ca="1">IFERROR(__xludf.DUMMYFUNCTION("""COMPUTED_VALUE"""),-5.51)</f>
        <v>-5.51</v>
      </c>
      <c r="O279" s="1">
        <f ca="1">IFERROR(__xludf.DUMMYFUNCTION("""COMPUTED_VALUE"""),298)</f>
        <v>298</v>
      </c>
      <c r="P279" s="1">
        <f ca="1">IFERROR(__xludf.DUMMYFUNCTION("""COMPUTED_VALUE"""),101.1)</f>
        <v>101.1</v>
      </c>
      <c r="Q279" s="1">
        <f ca="1">IFERROR(__xludf.DUMMYFUNCTION("""COMPUTED_VALUE"""),255)</f>
        <v>255</v>
      </c>
      <c r="R279" s="1">
        <f ca="1">IFERROR(__xludf.DUMMYFUNCTION("""COMPUTED_VALUE"""),106.6)</f>
        <v>106.6</v>
      </c>
      <c r="S279" s="1">
        <f ca="1">IFERROR(__xludf.DUMMYFUNCTION("""COMPUTED_VALUE"""),326)</f>
        <v>326</v>
      </c>
      <c r="T279" s="1">
        <f ca="1">IFERROR(__xludf.DUMMYFUNCTION("""COMPUTED_VALUE"""),-4.33)</f>
        <v>-4.33</v>
      </c>
      <c r="U279" s="1">
        <f ca="1">IFERROR(__xludf.DUMMYFUNCTION("""COMPUTED_VALUE"""),278)</f>
        <v>278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IFERROR(__xludf.DUMMYFUNCTION("""COMPUTED_VALUE"""),"Texas St.")</f>
        <v>Texas St.</v>
      </c>
      <c r="C280" s="1" t="str">
        <f ca="1">IFERROR(__xludf.DUMMYFUNCTION("""COMPUTED_VALUE"""),"Slnd")</f>
        <v>Slnd</v>
      </c>
      <c r="D280" s="1" t="str">
        <f ca="1">IFERROR(__xludf.DUMMYFUNCTION("""COMPUTED_VALUE"""),"13-17")</f>
        <v>13-17</v>
      </c>
      <c r="E280" s="1">
        <f ca="1">IFERROR(__xludf.DUMMYFUNCTION("""COMPUTED_VALUE"""),-8.95)</f>
        <v>-8.9499999999999993</v>
      </c>
      <c r="F280" s="1">
        <f ca="1">IFERROR(__xludf.DUMMYFUNCTION("""COMPUTED_VALUE"""),100.5)</f>
        <v>100.5</v>
      </c>
      <c r="G280" s="1">
        <f ca="1">IFERROR(__xludf.DUMMYFUNCTION("""COMPUTED_VALUE"""),223)</f>
        <v>223</v>
      </c>
      <c r="H280" s="1">
        <f ca="1">IFERROR(__xludf.DUMMYFUNCTION("""COMPUTED_VALUE"""),109.4)</f>
        <v>109.4</v>
      </c>
      <c r="I280" s="1">
        <f ca="1">IFERROR(__xludf.DUMMYFUNCTION("""COMPUTED_VALUE"""),288)</f>
        <v>288</v>
      </c>
      <c r="J280" s="1">
        <f ca="1">IFERROR(__xludf.DUMMYFUNCTION("""COMPUTED_VALUE"""),71.9)</f>
        <v>71.900000000000006</v>
      </c>
      <c r="K280" s="1">
        <f ca="1">IFERROR(__xludf.DUMMYFUNCTION("""COMPUTED_VALUE"""),6)</f>
        <v>6</v>
      </c>
      <c r="L280" s="1">
        <f ca="1">IFERROR(__xludf.DUMMYFUNCTION("""COMPUTED_VALUE"""),-0.058)</f>
        <v>-5.8000000000000003E-2</v>
      </c>
      <c r="M280" s="1">
        <f ca="1">IFERROR(__xludf.DUMMYFUNCTION("""COMPUTED_VALUE"""),302)</f>
        <v>302</v>
      </c>
      <c r="N280" s="1">
        <f ca="1">IFERROR(__xludf.DUMMYFUNCTION("""COMPUTED_VALUE"""),-5.19)</f>
        <v>-5.19</v>
      </c>
      <c r="O280" s="1">
        <f ca="1">IFERROR(__xludf.DUMMYFUNCTION("""COMPUTED_VALUE"""),290)</f>
        <v>290</v>
      </c>
      <c r="P280" s="1">
        <f ca="1">IFERROR(__xludf.DUMMYFUNCTION("""COMPUTED_VALUE"""),99.3)</f>
        <v>99.3</v>
      </c>
      <c r="Q280" s="1">
        <f ca="1">IFERROR(__xludf.DUMMYFUNCTION("""COMPUTED_VALUE"""),315)</f>
        <v>315</v>
      </c>
      <c r="R280" s="1">
        <f ca="1">IFERROR(__xludf.DUMMYFUNCTION("""COMPUTED_VALUE"""),104.5)</f>
        <v>104.5</v>
      </c>
      <c r="S280" s="1">
        <f ca="1">IFERROR(__xludf.DUMMYFUNCTION("""COMPUTED_VALUE"""),226)</f>
        <v>226</v>
      </c>
      <c r="T280" s="1">
        <f ca="1">IFERROR(__xludf.DUMMYFUNCTION("""COMPUTED_VALUE"""),-3.05)</f>
        <v>-3.05</v>
      </c>
      <c r="U280" s="1">
        <f ca="1">IFERROR(__xludf.DUMMYFUNCTION("""COMPUTED_VALUE"""),246)</f>
        <v>246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IFERROR(__xludf.DUMMYFUNCTION("""COMPUTED_VALUE"""),"Texas Southern")</f>
        <v>Texas Southern</v>
      </c>
      <c r="C281" s="1" t="str">
        <f ca="1">IFERROR(__xludf.DUMMYFUNCTION("""COMPUTED_VALUE"""),"SWAC")</f>
        <v>SWAC</v>
      </c>
      <c r="D281" s="1" t="str">
        <f ca="1">IFERROR(__xludf.DUMMYFUNCTION("""COMPUTED_VALUE"""),"15-18")</f>
        <v>15-18</v>
      </c>
      <c r="E281" s="1">
        <f ca="1">IFERROR(__xludf.DUMMYFUNCTION("""COMPUTED_VALUE"""),-8.99)</f>
        <v>-8.99</v>
      </c>
      <c r="F281" s="1">
        <f ca="1">IFERROR(__xludf.DUMMYFUNCTION("""COMPUTED_VALUE"""),92.6)</f>
        <v>92.6</v>
      </c>
      <c r="G281" s="1">
        <f ca="1">IFERROR(__xludf.DUMMYFUNCTION("""COMPUTED_VALUE"""),314)</f>
        <v>314</v>
      </c>
      <c r="H281" s="1">
        <f ca="1">IFERROR(__xludf.DUMMYFUNCTION("""COMPUTED_VALUE"""),101.6)</f>
        <v>101.6</v>
      </c>
      <c r="I281" s="1">
        <f ca="1">IFERROR(__xludf.DUMMYFUNCTION("""COMPUTED_VALUE"""),146)</f>
        <v>146</v>
      </c>
      <c r="J281" s="1">
        <f ca="1">IFERROR(__xludf.DUMMYFUNCTION("""COMPUTED_VALUE"""),65.3)</f>
        <v>65.3</v>
      </c>
      <c r="K281" s="1">
        <f ca="1">IFERROR(__xludf.DUMMYFUNCTION("""COMPUTED_VALUE"""),158)</f>
        <v>158</v>
      </c>
      <c r="L281" s="1">
        <f ca="1">IFERROR(__xludf.DUMMYFUNCTION("""COMPUTED_VALUE"""),-0.015)</f>
        <v>-1.4999999999999999E-2</v>
      </c>
      <c r="M281" s="1">
        <f ca="1">IFERROR(__xludf.DUMMYFUNCTION("""COMPUTED_VALUE"""),206)</f>
        <v>206</v>
      </c>
      <c r="N281" s="1">
        <f ca="1">IFERROR(__xludf.DUMMYFUNCTION("""COMPUTED_VALUE"""),-9.31)</f>
        <v>-9.31</v>
      </c>
      <c r="O281" s="1">
        <f ca="1">IFERROR(__xludf.DUMMYFUNCTION("""COMPUTED_VALUE"""),339)</f>
        <v>339</v>
      </c>
      <c r="P281" s="1">
        <f ca="1">IFERROR(__xludf.DUMMYFUNCTION("""COMPUTED_VALUE"""),96.2)</f>
        <v>96.2</v>
      </c>
      <c r="Q281" s="1">
        <f ca="1">IFERROR(__xludf.DUMMYFUNCTION("""COMPUTED_VALUE"""),339)</f>
        <v>339</v>
      </c>
      <c r="R281" s="1">
        <f ca="1">IFERROR(__xludf.DUMMYFUNCTION("""COMPUTED_VALUE"""),105.5)</f>
        <v>105.5</v>
      </c>
      <c r="S281" s="1">
        <f ca="1">IFERROR(__xludf.DUMMYFUNCTION("""COMPUTED_VALUE"""),282)</f>
        <v>282</v>
      </c>
      <c r="T281" s="1" t="str">
        <f ca="1">IFERROR(__xludf.DUMMYFUNCTION("""COMPUTED_VALUE"""),"+12.76")</f>
        <v>+12.76</v>
      </c>
      <c r="U281" s="1">
        <f ca="1">IFERROR(__xludf.DUMMYFUNCTION("""COMPUTED_VALUE"""),4)</f>
        <v>4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IFERROR(__xludf.DUMMYFUNCTION("""COMPUTED_VALUE"""),"Troy")</f>
        <v>Troy</v>
      </c>
      <c r="C282" s="1" t="str">
        <f ca="1">IFERROR(__xludf.DUMMYFUNCTION("""COMPUTED_VALUE"""),"SB")</f>
        <v>SB</v>
      </c>
      <c r="D282" s="2">
        <f ca="1">IFERROR(__xludf.DUMMYFUNCTION("""COMPUTED_VALUE"""),44852)</f>
        <v>44852</v>
      </c>
      <c r="E282" s="1">
        <f ca="1">IFERROR(__xludf.DUMMYFUNCTION("""COMPUTED_VALUE"""),-9.08)</f>
        <v>-9.08</v>
      </c>
      <c r="F282" s="1">
        <f ca="1">IFERROR(__xludf.DUMMYFUNCTION("""COMPUTED_VALUE"""),105.1)</f>
        <v>105.1</v>
      </c>
      <c r="G282" s="1">
        <f ca="1">IFERROR(__xludf.DUMMYFUNCTION("""COMPUTED_VALUE"""),135)</f>
        <v>135</v>
      </c>
      <c r="H282" s="1">
        <f ca="1">IFERROR(__xludf.DUMMYFUNCTION("""COMPUTED_VALUE"""),114.2)</f>
        <v>114.2</v>
      </c>
      <c r="I282" s="1">
        <f ca="1">IFERROR(__xludf.DUMMYFUNCTION("""COMPUTED_VALUE"""),334)</f>
        <v>334</v>
      </c>
      <c r="J282" s="1">
        <f ca="1">IFERROR(__xludf.DUMMYFUNCTION("""COMPUTED_VALUE"""),67.1)</f>
        <v>67.099999999999994</v>
      </c>
      <c r="K282" s="1">
        <f ca="1">IFERROR(__xludf.DUMMYFUNCTION("""COMPUTED_VALUE"""),80)</f>
        <v>80</v>
      </c>
      <c r="L282" s="1" t="str">
        <f ca="1">IFERROR(__xludf.DUMMYFUNCTION("""COMPUTED_VALUE"""),"+.018")</f>
        <v>+.018</v>
      </c>
      <c r="M282" s="1">
        <f ca="1">IFERROR(__xludf.DUMMYFUNCTION("""COMPUTED_VALUE"""),128)</f>
        <v>128</v>
      </c>
      <c r="N282" s="1">
        <f ca="1">IFERROR(__xludf.DUMMYFUNCTION("""COMPUTED_VALUE"""),-0.8)</f>
        <v>-0.8</v>
      </c>
      <c r="O282" s="1">
        <f ca="1">IFERROR(__xludf.DUMMYFUNCTION("""COMPUTED_VALUE"""),173)</f>
        <v>173</v>
      </c>
      <c r="P282" s="1">
        <f ca="1">IFERROR(__xludf.DUMMYFUNCTION("""COMPUTED_VALUE"""),101.8)</f>
        <v>101.8</v>
      </c>
      <c r="Q282" s="1">
        <f ca="1">IFERROR(__xludf.DUMMYFUNCTION("""COMPUTED_VALUE"""),219)</f>
        <v>219</v>
      </c>
      <c r="R282" s="1">
        <f ca="1">IFERROR(__xludf.DUMMYFUNCTION("""COMPUTED_VALUE"""),102.6)</f>
        <v>102.6</v>
      </c>
      <c r="S282" s="1">
        <f ca="1">IFERROR(__xludf.DUMMYFUNCTION("""COMPUTED_VALUE"""),148)</f>
        <v>148</v>
      </c>
      <c r="T282" s="1" t="str">
        <f ca="1">IFERROR(__xludf.DUMMYFUNCTION("""COMPUTED_VALUE"""),"+1.38")</f>
        <v>+1.38</v>
      </c>
      <c r="U282" s="1">
        <f ca="1">IFERROR(__xludf.DUMMYFUNCTION("""COMPUTED_VALUE"""),113)</f>
        <v>113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IFERROR(__xludf.DUMMYFUNCTION("""COMPUTED_VALUE"""),"Gardner Webb")</f>
        <v>Gardner Webb</v>
      </c>
      <c r="C283" s="1" t="str">
        <f ca="1">IFERROR(__xludf.DUMMYFUNCTION("""COMPUTED_VALUE"""),"BSth")</f>
        <v>BSth</v>
      </c>
      <c r="D283" s="2">
        <f ca="1">IFERROR(__xludf.DUMMYFUNCTION("""COMPUTED_VALUE"""),44915)</f>
        <v>44915</v>
      </c>
      <c r="E283" s="1">
        <f ca="1">IFERROR(__xludf.DUMMYFUNCTION("""COMPUTED_VALUE"""),-9.2)</f>
        <v>-9.1999999999999993</v>
      </c>
      <c r="F283" s="1">
        <f ca="1">IFERROR(__xludf.DUMMYFUNCTION("""COMPUTED_VALUE"""),95.3)</f>
        <v>95.3</v>
      </c>
      <c r="G283" s="1">
        <f ca="1">IFERROR(__xludf.DUMMYFUNCTION("""COMPUTED_VALUE"""),290)</f>
        <v>290</v>
      </c>
      <c r="H283" s="1">
        <f ca="1">IFERROR(__xludf.DUMMYFUNCTION("""COMPUTED_VALUE"""),104.6)</f>
        <v>104.6</v>
      </c>
      <c r="I283" s="1">
        <f ca="1">IFERROR(__xludf.DUMMYFUNCTION("""COMPUTED_VALUE"""),208)</f>
        <v>208</v>
      </c>
      <c r="J283" s="1">
        <f ca="1">IFERROR(__xludf.DUMMYFUNCTION("""COMPUTED_VALUE"""),63.9)</f>
        <v>63.9</v>
      </c>
      <c r="K283" s="1">
        <f ca="1">IFERROR(__xludf.DUMMYFUNCTION("""COMPUTED_VALUE"""),232)</f>
        <v>232</v>
      </c>
      <c r="L283" s="1">
        <f ca="1">IFERROR(__xludf.DUMMYFUNCTION("""COMPUTED_VALUE"""),-0.031)</f>
        <v>-3.1E-2</v>
      </c>
      <c r="M283" s="1">
        <f ca="1">IFERROR(__xludf.DUMMYFUNCTION("""COMPUTED_VALUE"""),254)</f>
        <v>254</v>
      </c>
      <c r="N283" s="1">
        <f ca="1">IFERROR(__xludf.DUMMYFUNCTION("""COMPUTED_VALUE"""),-4.46)</f>
        <v>-4.46</v>
      </c>
      <c r="O283" s="1">
        <f ca="1">IFERROR(__xludf.DUMMYFUNCTION("""COMPUTED_VALUE"""),274)</f>
        <v>274</v>
      </c>
      <c r="P283" s="1">
        <f ca="1">IFERROR(__xludf.DUMMYFUNCTION("""COMPUTED_VALUE"""),102)</f>
        <v>102</v>
      </c>
      <c r="Q283" s="1">
        <f ca="1">IFERROR(__xludf.DUMMYFUNCTION("""COMPUTED_VALUE"""),208)</f>
        <v>208</v>
      </c>
      <c r="R283" s="1">
        <f ca="1">IFERROR(__xludf.DUMMYFUNCTION("""COMPUTED_VALUE"""),106.4)</f>
        <v>106.4</v>
      </c>
      <c r="S283" s="1">
        <f ca="1">IFERROR(__xludf.DUMMYFUNCTION("""COMPUTED_VALUE"""),321)</f>
        <v>321</v>
      </c>
      <c r="T283" s="1">
        <f ca="1">IFERROR(__xludf.DUMMYFUNCTION("""COMPUTED_VALUE"""),-0.43)</f>
        <v>-0.43</v>
      </c>
      <c r="U283" s="1">
        <f ca="1">IFERROR(__xludf.DUMMYFUNCTION("""COMPUTED_VALUE"""),171)</f>
        <v>171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IFERROR(__xludf.DUMMYFUNCTION("""COMPUTED_VALUE"""),"Fordham")</f>
        <v>Fordham</v>
      </c>
      <c r="C284" s="1" t="str">
        <f ca="1">IFERROR(__xludf.DUMMYFUNCTION("""COMPUTED_VALUE"""),"A10")</f>
        <v>A10</v>
      </c>
      <c r="D284" s="2">
        <f ca="1">IFERROR(__xludf.DUMMYFUNCTION("""COMPUTED_VALUE"""),44853)</f>
        <v>44853</v>
      </c>
      <c r="E284" s="1">
        <f ca="1">IFERROR(__xludf.DUMMYFUNCTION("""COMPUTED_VALUE"""),-9.21)</f>
        <v>-9.2100000000000009</v>
      </c>
      <c r="F284" s="1">
        <f ca="1">IFERROR(__xludf.DUMMYFUNCTION("""COMPUTED_VALUE"""),94.8)</f>
        <v>94.8</v>
      </c>
      <c r="G284" s="1">
        <f ca="1">IFERROR(__xludf.DUMMYFUNCTION("""COMPUTED_VALUE"""),298)</f>
        <v>298</v>
      </c>
      <c r="H284" s="1">
        <f ca="1">IFERROR(__xludf.DUMMYFUNCTION("""COMPUTED_VALUE"""),104)</f>
        <v>104</v>
      </c>
      <c r="I284" s="1">
        <f ca="1">IFERROR(__xludf.DUMMYFUNCTION("""COMPUTED_VALUE"""),196)</f>
        <v>196</v>
      </c>
      <c r="J284" s="1">
        <f ca="1">IFERROR(__xludf.DUMMYFUNCTION("""COMPUTED_VALUE"""),66.4)</f>
        <v>66.400000000000006</v>
      </c>
      <c r="K284" s="1">
        <f ca="1">IFERROR(__xludf.DUMMYFUNCTION("""COMPUTED_VALUE"""),101)</f>
        <v>101</v>
      </c>
      <c r="L284" s="1" t="str">
        <f ca="1">IFERROR(__xludf.DUMMYFUNCTION("""COMPUTED_VALUE"""),"+.072")</f>
        <v>+.072</v>
      </c>
      <c r="M284" s="1">
        <f ca="1">IFERROR(__xludf.DUMMYFUNCTION("""COMPUTED_VALUE"""),24)</f>
        <v>24</v>
      </c>
      <c r="N284" s="1" t="str">
        <f ca="1">IFERROR(__xludf.DUMMYFUNCTION("""COMPUTED_VALUE"""),"+2.62")</f>
        <v>+2.62</v>
      </c>
      <c r="O284" s="1">
        <f ca="1">IFERROR(__xludf.DUMMYFUNCTION("""COMPUTED_VALUE"""),107)</f>
        <v>107</v>
      </c>
      <c r="P284" s="1">
        <f ca="1">IFERROR(__xludf.DUMMYFUNCTION("""COMPUTED_VALUE"""),104.5)</f>
        <v>104.5</v>
      </c>
      <c r="Q284" s="1">
        <f ca="1">IFERROR(__xludf.DUMMYFUNCTION("""COMPUTED_VALUE"""),96)</f>
        <v>96</v>
      </c>
      <c r="R284" s="1">
        <f ca="1">IFERROR(__xludf.DUMMYFUNCTION("""COMPUTED_VALUE"""),101.9)</f>
        <v>101.9</v>
      </c>
      <c r="S284" s="1">
        <f ca="1">IFERROR(__xludf.DUMMYFUNCTION("""COMPUTED_VALUE"""),124)</f>
        <v>124</v>
      </c>
      <c r="T284" s="1">
        <f ca="1">IFERROR(__xludf.DUMMYFUNCTION("""COMPUTED_VALUE"""),-4.39)</f>
        <v>-4.3899999999999997</v>
      </c>
      <c r="U284" s="1">
        <f ca="1">IFERROR(__xludf.DUMMYFUNCTION("""COMPUTED_VALUE"""),279)</f>
        <v>279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IFERROR(__xludf.DUMMYFUNCTION("""COMPUTED_VALUE"""),"Maine")</f>
        <v>Maine</v>
      </c>
      <c r="C285" s="1" t="str">
        <f ca="1">IFERROR(__xludf.DUMMYFUNCTION("""COMPUTED_VALUE"""),"AE")</f>
        <v>AE</v>
      </c>
      <c r="D285" s="2">
        <f ca="1">IFERROR(__xludf.DUMMYFUNCTION("""COMPUTED_VALUE"""),44912)</f>
        <v>44912</v>
      </c>
      <c r="E285" s="1">
        <f ca="1">IFERROR(__xludf.DUMMYFUNCTION("""COMPUTED_VALUE"""),-9.32)</f>
        <v>-9.32</v>
      </c>
      <c r="F285" s="1">
        <f ca="1">IFERROR(__xludf.DUMMYFUNCTION("""COMPUTED_VALUE"""),96.9)</f>
        <v>96.9</v>
      </c>
      <c r="G285" s="1">
        <f ca="1">IFERROR(__xludf.DUMMYFUNCTION("""COMPUTED_VALUE"""),284)</f>
        <v>284</v>
      </c>
      <c r="H285" s="1">
        <f ca="1">IFERROR(__xludf.DUMMYFUNCTION("""COMPUTED_VALUE"""),106.2)</f>
        <v>106.2</v>
      </c>
      <c r="I285" s="1">
        <f ca="1">IFERROR(__xludf.DUMMYFUNCTION("""COMPUTED_VALUE"""),248)</f>
        <v>248</v>
      </c>
      <c r="J285" s="1">
        <f ca="1">IFERROR(__xludf.DUMMYFUNCTION("""COMPUTED_VALUE"""),66.9)</f>
        <v>66.900000000000006</v>
      </c>
      <c r="K285" s="1">
        <f ca="1">IFERROR(__xludf.DUMMYFUNCTION("""COMPUTED_VALUE"""),89)</f>
        <v>89</v>
      </c>
      <c r="L285" s="1">
        <f ca="1">IFERROR(__xludf.DUMMYFUNCTION("""COMPUTED_VALUE"""),-0.042)</f>
        <v>-4.2000000000000003E-2</v>
      </c>
      <c r="M285" s="1">
        <f ca="1">IFERROR(__xludf.DUMMYFUNCTION("""COMPUTED_VALUE"""),268)</f>
        <v>268</v>
      </c>
      <c r="N285" s="1">
        <f ca="1">IFERROR(__xludf.DUMMYFUNCTION("""COMPUTED_VALUE"""),-6.96)</f>
        <v>-6.96</v>
      </c>
      <c r="O285" s="1">
        <f ca="1">IFERROR(__xludf.DUMMYFUNCTION("""COMPUTED_VALUE"""),322)</f>
        <v>322</v>
      </c>
      <c r="P285" s="1">
        <f ca="1">IFERROR(__xludf.DUMMYFUNCTION("""COMPUTED_VALUE"""),99.2)</f>
        <v>99.2</v>
      </c>
      <c r="Q285" s="1">
        <f ca="1">IFERROR(__xludf.DUMMYFUNCTION("""COMPUTED_VALUE"""),317)</f>
        <v>317</v>
      </c>
      <c r="R285" s="1">
        <f ca="1">IFERROR(__xludf.DUMMYFUNCTION("""COMPUTED_VALUE"""),106.2)</f>
        <v>106.2</v>
      </c>
      <c r="S285" s="1">
        <f ca="1">IFERROR(__xludf.DUMMYFUNCTION("""COMPUTED_VALUE"""),310)</f>
        <v>310</v>
      </c>
      <c r="T285" s="1">
        <f ca="1">IFERROR(__xludf.DUMMYFUNCTION("""COMPUTED_VALUE"""),-3.94)</f>
        <v>-3.94</v>
      </c>
      <c r="U285" s="1">
        <f ca="1">IFERROR(__xludf.DUMMYFUNCTION("""COMPUTED_VALUE"""),264)</f>
        <v>264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IFERROR(__xludf.DUMMYFUNCTION("""COMPUTED_VALUE"""),"IPFW")</f>
        <v>IPFW</v>
      </c>
      <c r="C286" s="1" t="str">
        <f ca="1">IFERROR(__xludf.DUMMYFUNCTION("""COMPUTED_VALUE"""),"Sum")</f>
        <v>Sum</v>
      </c>
      <c r="D286" s="2">
        <f ca="1">IFERROR(__xludf.DUMMYFUNCTION("""COMPUTED_VALUE"""),44884)</f>
        <v>44884</v>
      </c>
      <c r="E286" s="1">
        <f ca="1">IFERROR(__xludf.DUMMYFUNCTION("""COMPUTED_VALUE"""),-9.52)</f>
        <v>-9.52</v>
      </c>
      <c r="F286" s="1">
        <f ca="1">IFERROR(__xludf.DUMMYFUNCTION("""COMPUTED_VALUE"""),98.3)</f>
        <v>98.3</v>
      </c>
      <c r="G286" s="1">
        <f ca="1">IFERROR(__xludf.DUMMYFUNCTION("""COMPUTED_VALUE"""),252)</f>
        <v>252</v>
      </c>
      <c r="H286" s="1">
        <f ca="1">IFERROR(__xludf.DUMMYFUNCTION("""COMPUTED_VALUE"""),107.8)</f>
        <v>107.8</v>
      </c>
      <c r="I286" s="1">
        <f ca="1">IFERROR(__xludf.DUMMYFUNCTION("""COMPUTED_VALUE"""),270)</f>
        <v>270</v>
      </c>
      <c r="J286" s="1">
        <f ca="1">IFERROR(__xludf.DUMMYFUNCTION("""COMPUTED_VALUE"""),68.4)</f>
        <v>68.400000000000006</v>
      </c>
      <c r="K286" s="1">
        <f ca="1">IFERROR(__xludf.DUMMYFUNCTION("""COMPUTED_VALUE"""),34)</f>
        <v>34</v>
      </c>
      <c r="L286" s="1" t="str">
        <f ca="1">IFERROR(__xludf.DUMMYFUNCTION("""COMPUTED_VALUE"""),"+.022")</f>
        <v>+.022</v>
      </c>
      <c r="M286" s="1">
        <f ca="1">IFERROR(__xludf.DUMMYFUNCTION("""COMPUTED_VALUE"""),117)</f>
        <v>117</v>
      </c>
      <c r="N286" s="1">
        <f ca="1">IFERROR(__xludf.DUMMYFUNCTION("""COMPUTED_VALUE"""),-2.84)</f>
        <v>-2.84</v>
      </c>
      <c r="O286" s="1">
        <f ca="1">IFERROR(__xludf.DUMMYFUNCTION("""COMPUTED_VALUE"""),226)</f>
        <v>226</v>
      </c>
      <c r="P286" s="1">
        <f ca="1">IFERROR(__xludf.DUMMYFUNCTION("""COMPUTED_VALUE"""),104.1)</f>
        <v>104.1</v>
      </c>
      <c r="Q286" s="1">
        <f ca="1">IFERROR(__xludf.DUMMYFUNCTION("""COMPUTED_VALUE"""),113)</f>
        <v>113</v>
      </c>
      <c r="R286" s="1">
        <f ca="1">IFERROR(__xludf.DUMMYFUNCTION("""COMPUTED_VALUE"""),107)</f>
        <v>107</v>
      </c>
      <c r="S286" s="1">
        <f ca="1">IFERROR(__xludf.DUMMYFUNCTION("""COMPUTED_VALUE"""),333)</f>
        <v>333</v>
      </c>
      <c r="T286" s="1">
        <f ca="1">IFERROR(__xludf.DUMMYFUNCTION("""COMPUTED_VALUE"""),-6.51)</f>
        <v>-6.51</v>
      </c>
      <c r="U286" s="1">
        <f ca="1">IFERROR(__xludf.DUMMYFUNCTION("""COMPUTED_VALUE"""),318)</f>
        <v>318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IFERROR(__xludf.DUMMYFUNCTION("""COMPUTED_VALUE"""),"Coppin St.")</f>
        <v>Coppin St.</v>
      </c>
      <c r="C287" s="1" t="str">
        <f ca="1">IFERROR(__xludf.DUMMYFUNCTION("""COMPUTED_VALUE"""),"MEAC")</f>
        <v>MEAC</v>
      </c>
      <c r="D287" s="1" t="str">
        <f ca="1">IFERROR(__xludf.DUMMYFUNCTION("""COMPUTED_VALUE"""),"14-16")</f>
        <v>14-16</v>
      </c>
      <c r="E287" s="1">
        <f ca="1">IFERROR(__xludf.DUMMYFUNCTION("""COMPUTED_VALUE"""),-9.52)</f>
        <v>-9.52</v>
      </c>
      <c r="F287" s="1">
        <f ca="1">IFERROR(__xludf.DUMMYFUNCTION("""COMPUTED_VALUE"""),106.6)</f>
        <v>106.6</v>
      </c>
      <c r="G287" s="1">
        <f ca="1">IFERROR(__xludf.DUMMYFUNCTION("""COMPUTED_VALUE"""),104)</f>
        <v>104</v>
      </c>
      <c r="H287" s="1">
        <f ca="1">IFERROR(__xludf.DUMMYFUNCTION("""COMPUTED_VALUE"""),116.1)</f>
        <v>116.1</v>
      </c>
      <c r="I287" s="1">
        <f ca="1">IFERROR(__xludf.DUMMYFUNCTION("""COMPUTED_VALUE"""),340)</f>
        <v>340</v>
      </c>
      <c r="J287" s="1">
        <f ca="1">IFERROR(__xludf.DUMMYFUNCTION("""COMPUTED_VALUE"""),68.3)</f>
        <v>68.3</v>
      </c>
      <c r="K287" s="1">
        <f ca="1">IFERROR(__xludf.DUMMYFUNCTION("""COMPUTED_VALUE"""),35)</f>
        <v>35</v>
      </c>
      <c r="L287" s="1">
        <f ca="1">IFERROR(__xludf.DUMMYFUNCTION("""COMPUTED_VALUE"""),-0.004)</f>
        <v>-4.0000000000000001E-3</v>
      </c>
      <c r="M287" s="1">
        <f ca="1">IFERROR(__xludf.DUMMYFUNCTION("""COMPUTED_VALUE"""),181)</f>
        <v>181</v>
      </c>
      <c r="N287" s="1">
        <f ca="1">IFERROR(__xludf.DUMMYFUNCTION("""COMPUTED_VALUE"""),-6.72)</f>
        <v>-6.72</v>
      </c>
      <c r="O287" s="1">
        <f ca="1">IFERROR(__xludf.DUMMYFUNCTION("""COMPUTED_VALUE"""),319)</f>
        <v>319</v>
      </c>
      <c r="P287" s="1">
        <f ca="1">IFERROR(__xludf.DUMMYFUNCTION("""COMPUTED_VALUE"""),98.2)</f>
        <v>98.2</v>
      </c>
      <c r="Q287" s="1">
        <f ca="1">IFERROR(__xludf.DUMMYFUNCTION("""COMPUTED_VALUE"""),331)</f>
        <v>331</v>
      </c>
      <c r="R287" s="1">
        <f ca="1">IFERROR(__xludf.DUMMYFUNCTION("""COMPUTED_VALUE"""),104.9)</f>
        <v>104.9</v>
      </c>
      <c r="S287" s="1">
        <f ca="1">IFERROR(__xludf.DUMMYFUNCTION("""COMPUTED_VALUE"""),251)</f>
        <v>251</v>
      </c>
      <c r="T287" s="1" t="str">
        <f ca="1">IFERROR(__xludf.DUMMYFUNCTION("""COMPUTED_VALUE"""),"+5.68")</f>
        <v>+5.68</v>
      </c>
      <c r="U287" s="1">
        <f ca="1">IFERROR(__xludf.DUMMYFUNCTION("""COMPUTED_VALUE"""),30)</f>
        <v>30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IFERROR(__xludf.DUMMYFUNCTION("""COMPUTED_VALUE"""),"VMI")</f>
        <v>VMI</v>
      </c>
      <c r="C288" s="1" t="str">
        <f ca="1">IFERROR(__xludf.DUMMYFUNCTION("""COMPUTED_VALUE"""),"BSth")</f>
        <v>BSth</v>
      </c>
      <c r="D288" s="1" t="str">
        <f ca="1">IFERROR(__xludf.DUMMYFUNCTION("""COMPUTED_VALUE"""),"17-16")</f>
        <v>17-16</v>
      </c>
      <c r="E288" s="1">
        <f ca="1">IFERROR(__xludf.DUMMYFUNCTION("""COMPUTED_VALUE"""),-9.53)</f>
        <v>-9.5299999999999994</v>
      </c>
      <c r="F288" s="1">
        <f ca="1">IFERROR(__xludf.DUMMYFUNCTION("""COMPUTED_VALUE"""),102.1)</f>
        <v>102.1</v>
      </c>
      <c r="G288" s="1">
        <f ca="1">IFERROR(__xludf.DUMMYFUNCTION("""COMPUTED_VALUE"""),179)</f>
        <v>179</v>
      </c>
      <c r="H288" s="1">
        <f ca="1">IFERROR(__xludf.DUMMYFUNCTION("""COMPUTED_VALUE"""),111.7)</f>
        <v>111.7</v>
      </c>
      <c r="I288" s="1">
        <f ca="1">IFERROR(__xludf.DUMMYFUNCTION("""COMPUTED_VALUE"""),322)</f>
        <v>322</v>
      </c>
      <c r="J288" s="1">
        <f ca="1">IFERROR(__xludf.DUMMYFUNCTION("""COMPUTED_VALUE"""),72.7)</f>
        <v>72.7</v>
      </c>
      <c r="K288" s="1">
        <f ca="1">IFERROR(__xludf.DUMMYFUNCTION("""COMPUTED_VALUE"""),4)</f>
        <v>4</v>
      </c>
      <c r="L288" s="1" t="str">
        <f ca="1">IFERROR(__xludf.DUMMYFUNCTION("""COMPUTED_VALUE"""),"+.073")</f>
        <v>+.073</v>
      </c>
      <c r="M288" s="1">
        <f ca="1">IFERROR(__xludf.DUMMYFUNCTION("""COMPUTED_VALUE"""),22)</f>
        <v>22</v>
      </c>
      <c r="N288" s="1">
        <f ca="1">IFERROR(__xludf.DUMMYFUNCTION("""COMPUTED_VALUE"""),-6.42)</f>
        <v>-6.42</v>
      </c>
      <c r="O288" s="1">
        <f ca="1">IFERROR(__xludf.DUMMYFUNCTION("""COMPUTED_VALUE"""),315)</f>
        <v>315</v>
      </c>
      <c r="P288" s="1">
        <f ca="1">IFERROR(__xludf.DUMMYFUNCTION("""COMPUTED_VALUE"""),100.5)</f>
        <v>100.5</v>
      </c>
      <c r="Q288" s="1">
        <f ca="1">IFERROR(__xludf.DUMMYFUNCTION("""COMPUTED_VALUE"""),285)</f>
        <v>285</v>
      </c>
      <c r="R288" s="1">
        <f ca="1">IFERROR(__xludf.DUMMYFUNCTION("""COMPUTED_VALUE"""),106.9)</f>
        <v>106.9</v>
      </c>
      <c r="S288" s="1">
        <f ca="1">IFERROR(__xludf.DUMMYFUNCTION("""COMPUTED_VALUE"""),332)</f>
        <v>332</v>
      </c>
      <c r="T288" s="1">
        <f ca="1">IFERROR(__xludf.DUMMYFUNCTION("""COMPUTED_VALUE"""),-4.75)</f>
        <v>-4.75</v>
      </c>
      <c r="U288" s="1">
        <f ca="1">IFERROR(__xludf.DUMMYFUNCTION("""COMPUTED_VALUE"""),288)</f>
        <v>288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IFERROR(__xludf.DUMMYFUNCTION("""COMPUTED_VALUE"""),"San Jose St.")</f>
        <v>San Jose St.</v>
      </c>
      <c r="C289" s="1" t="str">
        <f ca="1">IFERROR(__xludf.DUMMYFUNCTION("""COMPUTED_VALUE"""),"WAC")</f>
        <v>WAC</v>
      </c>
      <c r="D289" s="2">
        <f ca="1">IFERROR(__xludf.DUMMYFUNCTION("""COMPUTED_VALUE"""),44826)</f>
        <v>44826</v>
      </c>
      <c r="E289" s="1">
        <f ca="1">IFERROR(__xludf.DUMMYFUNCTION("""COMPUTED_VALUE"""),-9.6)</f>
        <v>-9.6</v>
      </c>
      <c r="F289" s="1">
        <f ca="1">IFERROR(__xludf.DUMMYFUNCTION("""COMPUTED_VALUE"""),100.2)</f>
        <v>100.2</v>
      </c>
      <c r="G289" s="1">
        <f ca="1">IFERROR(__xludf.DUMMYFUNCTION("""COMPUTED_VALUE"""),226)</f>
        <v>226</v>
      </c>
      <c r="H289" s="1">
        <f ca="1">IFERROR(__xludf.DUMMYFUNCTION("""COMPUTED_VALUE"""),109.8)</f>
        <v>109.8</v>
      </c>
      <c r="I289" s="1">
        <f ca="1">IFERROR(__xludf.DUMMYFUNCTION("""COMPUTED_VALUE"""),296)</f>
        <v>296</v>
      </c>
      <c r="J289" s="1">
        <f ca="1">IFERROR(__xludf.DUMMYFUNCTION("""COMPUTED_VALUE"""),63.9)</f>
        <v>63.9</v>
      </c>
      <c r="K289" s="1">
        <f ca="1">IFERROR(__xludf.DUMMYFUNCTION("""COMPUTED_VALUE"""),236)</f>
        <v>236</v>
      </c>
      <c r="L289" s="1">
        <f ca="1">IFERROR(__xludf.DUMMYFUNCTION("""COMPUTED_VALUE"""),-0.045)</f>
        <v>-4.4999999999999998E-2</v>
      </c>
      <c r="M289" s="1">
        <f ca="1">IFERROR(__xludf.DUMMYFUNCTION("""COMPUTED_VALUE"""),272)</f>
        <v>272</v>
      </c>
      <c r="N289" s="1">
        <f ca="1">IFERROR(__xludf.DUMMYFUNCTION("""COMPUTED_VALUE"""),-1.48)</f>
        <v>-1.48</v>
      </c>
      <c r="O289" s="1">
        <f ca="1">IFERROR(__xludf.DUMMYFUNCTION("""COMPUTED_VALUE"""),189)</f>
        <v>189</v>
      </c>
      <c r="P289" s="1">
        <f ca="1">IFERROR(__xludf.DUMMYFUNCTION("""COMPUTED_VALUE"""),103.5)</f>
        <v>103.5</v>
      </c>
      <c r="Q289" s="1">
        <f ca="1">IFERROR(__xludf.DUMMYFUNCTION("""COMPUTED_VALUE"""),139)</f>
        <v>139</v>
      </c>
      <c r="R289" s="1">
        <f ca="1">IFERROR(__xludf.DUMMYFUNCTION("""COMPUTED_VALUE"""),105)</f>
        <v>105</v>
      </c>
      <c r="S289" s="1">
        <f ca="1">IFERROR(__xludf.DUMMYFUNCTION("""COMPUTED_VALUE"""),255)</f>
        <v>255</v>
      </c>
      <c r="T289" s="1">
        <f ca="1">IFERROR(__xludf.DUMMYFUNCTION("""COMPUTED_VALUE"""),-4.91)</f>
        <v>-4.91</v>
      </c>
      <c r="U289" s="1">
        <f ca="1">IFERROR(__xludf.DUMMYFUNCTION("""COMPUTED_VALUE"""),293)</f>
        <v>293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IFERROR(__xludf.DUMMYFUNCTION("""COMPUTED_VALUE"""),"Santa Clara")</f>
        <v>Santa Clara</v>
      </c>
      <c r="C290" s="1" t="str">
        <f ca="1">IFERROR(__xludf.DUMMYFUNCTION("""COMPUTED_VALUE"""),"WCC")</f>
        <v>WCC</v>
      </c>
      <c r="D290" s="2">
        <f ca="1">IFERROR(__xludf.DUMMYFUNCTION("""COMPUTED_VALUE"""),44795)</f>
        <v>44795</v>
      </c>
      <c r="E290" s="1">
        <f ca="1">IFERROR(__xludf.DUMMYFUNCTION("""COMPUTED_VALUE"""),-9.91)</f>
        <v>-9.91</v>
      </c>
      <c r="F290" s="1">
        <f ca="1">IFERROR(__xludf.DUMMYFUNCTION("""COMPUTED_VALUE"""),103.6)</f>
        <v>103.6</v>
      </c>
      <c r="G290" s="1">
        <f ca="1">IFERROR(__xludf.DUMMYFUNCTION("""COMPUTED_VALUE"""),156)</f>
        <v>156</v>
      </c>
      <c r="H290" s="1">
        <f ca="1">IFERROR(__xludf.DUMMYFUNCTION("""COMPUTED_VALUE"""),113.5)</f>
        <v>113.5</v>
      </c>
      <c r="I290" s="1">
        <f ca="1">IFERROR(__xludf.DUMMYFUNCTION("""COMPUTED_VALUE"""),332)</f>
        <v>332</v>
      </c>
      <c r="J290" s="1">
        <f ca="1">IFERROR(__xludf.DUMMYFUNCTION("""COMPUTED_VALUE"""),65.2)</f>
        <v>65.2</v>
      </c>
      <c r="K290" s="1">
        <f ca="1">IFERROR(__xludf.DUMMYFUNCTION("""COMPUTED_VALUE"""),162)</f>
        <v>162</v>
      </c>
      <c r="L290" s="1">
        <f ca="1">IFERROR(__xludf.DUMMYFUNCTION("""COMPUTED_VALUE"""),-0.075)</f>
        <v>-7.4999999999999997E-2</v>
      </c>
      <c r="M290" s="1">
        <f ca="1">IFERROR(__xludf.DUMMYFUNCTION("""COMPUTED_VALUE"""),327)</f>
        <v>327</v>
      </c>
      <c r="N290" s="1" t="str">
        <f ca="1">IFERROR(__xludf.DUMMYFUNCTION("""COMPUTED_VALUE"""),"+0.28")</f>
        <v>+0.28</v>
      </c>
      <c r="O290" s="1">
        <f ca="1">IFERROR(__xludf.DUMMYFUNCTION("""COMPUTED_VALUE"""),146)</f>
        <v>146</v>
      </c>
      <c r="P290" s="1">
        <f ca="1">IFERROR(__xludf.DUMMYFUNCTION("""COMPUTED_VALUE"""),103.5)</f>
        <v>103.5</v>
      </c>
      <c r="Q290" s="1">
        <f ca="1">IFERROR(__xludf.DUMMYFUNCTION("""COMPUTED_VALUE"""),138)</f>
        <v>138</v>
      </c>
      <c r="R290" s="1">
        <f ca="1">IFERROR(__xludf.DUMMYFUNCTION("""COMPUTED_VALUE"""),103.3)</f>
        <v>103.3</v>
      </c>
      <c r="S290" s="1">
        <f ca="1">IFERROR(__xludf.DUMMYFUNCTION("""COMPUTED_VALUE"""),167)</f>
        <v>167</v>
      </c>
      <c r="T290" s="1">
        <f ca="1">IFERROR(__xludf.DUMMYFUNCTION("""COMPUTED_VALUE"""),-2.25)</f>
        <v>-2.25</v>
      </c>
      <c r="U290" s="1">
        <f ca="1">IFERROR(__xludf.DUMMYFUNCTION("""COMPUTED_VALUE"""),224)</f>
        <v>224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IFERROR(__xludf.DUMMYFUNCTION("""COMPUTED_VALUE"""),"UC Riverside")</f>
        <v>UC Riverside</v>
      </c>
      <c r="C291" s="1" t="str">
        <f ca="1">IFERROR(__xludf.DUMMYFUNCTION("""COMPUTED_VALUE"""),"BW")</f>
        <v>BW</v>
      </c>
      <c r="D291" s="1" t="str">
        <f ca="1">IFERROR(__xludf.DUMMYFUNCTION("""COMPUTED_VALUE"""),"14-17")</f>
        <v>14-17</v>
      </c>
      <c r="E291" s="1">
        <f ca="1">IFERROR(__xludf.DUMMYFUNCTION("""COMPUTED_VALUE"""),-10)</f>
        <v>-10</v>
      </c>
      <c r="F291" s="1">
        <f ca="1">IFERROR(__xludf.DUMMYFUNCTION("""COMPUTED_VALUE"""),90.5)</f>
        <v>90.5</v>
      </c>
      <c r="G291" s="1">
        <f ca="1">IFERROR(__xludf.DUMMYFUNCTION("""COMPUTED_VALUE"""),325)</f>
        <v>325</v>
      </c>
      <c r="H291" s="1">
        <f ca="1">IFERROR(__xludf.DUMMYFUNCTION("""COMPUTED_VALUE"""),100.5)</f>
        <v>100.5</v>
      </c>
      <c r="I291" s="1">
        <f ca="1">IFERROR(__xludf.DUMMYFUNCTION("""COMPUTED_VALUE"""),130)</f>
        <v>130</v>
      </c>
      <c r="J291" s="1">
        <f ca="1">IFERROR(__xludf.DUMMYFUNCTION("""COMPUTED_VALUE"""),62.6)</f>
        <v>62.6</v>
      </c>
      <c r="K291" s="1">
        <f ca="1">IFERROR(__xludf.DUMMYFUNCTION("""COMPUTED_VALUE"""),281)</f>
        <v>281</v>
      </c>
      <c r="L291" s="1" t="str">
        <f ca="1">IFERROR(__xludf.DUMMYFUNCTION("""COMPUTED_VALUE"""),"+.120")</f>
        <v>+.120</v>
      </c>
      <c r="M291" s="1">
        <f ca="1">IFERROR(__xludf.DUMMYFUNCTION("""COMPUTED_VALUE"""),4)</f>
        <v>4</v>
      </c>
      <c r="N291" s="1">
        <f ca="1">IFERROR(__xludf.DUMMYFUNCTION("""COMPUTED_VALUE"""),-2.14)</f>
        <v>-2.14</v>
      </c>
      <c r="O291" s="1">
        <f ca="1">IFERROR(__xludf.DUMMYFUNCTION("""COMPUTED_VALUE"""),202)</f>
        <v>202</v>
      </c>
      <c r="P291" s="1">
        <f ca="1">IFERROR(__xludf.DUMMYFUNCTION("""COMPUTED_VALUE"""),102.8)</f>
        <v>102.8</v>
      </c>
      <c r="Q291" s="1">
        <f ca="1">IFERROR(__xludf.DUMMYFUNCTION("""COMPUTED_VALUE"""),170)</f>
        <v>170</v>
      </c>
      <c r="R291" s="1">
        <f ca="1">IFERROR(__xludf.DUMMYFUNCTION("""COMPUTED_VALUE"""),104.9)</f>
        <v>104.9</v>
      </c>
      <c r="S291" s="1">
        <f ca="1">IFERROR(__xludf.DUMMYFUNCTION("""COMPUTED_VALUE"""),252)</f>
        <v>252</v>
      </c>
      <c r="T291" s="1" t="str">
        <f ca="1">IFERROR(__xludf.DUMMYFUNCTION("""COMPUTED_VALUE"""),"+0.50")</f>
        <v>+0.50</v>
      </c>
      <c r="U291" s="1">
        <f ca="1">IFERROR(__xludf.DUMMYFUNCTION("""COMPUTED_VALUE"""),141)</f>
        <v>141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IFERROR(__xludf.DUMMYFUNCTION("""COMPUTED_VALUE"""),"Pacific")</f>
        <v>Pacific</v>
      </c>
      <c r="C292" s="1" t="str">
        <f ca="1">IFERROR(__xludf.DUMMYFUNCTION("""COMPUTED_VALUE"""),"BW")</f>
        <v>BW</v>
      </c>
      <c r="D292" s="2">
        <f ca="1">IFERROR(__xludf.DUMMYFUNCTION("""COMPUTED_VALUE"""),44884)</f>
        <v>44884</v>
      </c>
      <c r="E292" s="1">
        <f ca="1">IFERROR(__xludf.DUMMYFUNCTION("""COMPUTED_VALUE"""),-10.07)</f>
        <v>-10.07</v>
      </c>
      <c r="F292" s="1">
        <f ca="1">IFERROR(__xludf.DUMMYFUNCTION("""COMPUTED_VALUE"""),97.8)</f>
        <v>97.8</v>
      </c>
      <c r="G292" s="1">
        <f ca="1">IFERROR(__xludf.DUMMYFUNCTION("""COMPUTED_VALUE"""),265)</f>
        <v>265</v>
      </c>
      <c r="H292" s="1">
        <f ca="1">IFERROR(__xludf.DUMMYFUNCTION("""COMPUTED_VALUE"""),107.8)</f>
        <v>107.8</v>
      </c>
      <c r="I292" s="1">
        <f ca="1">IFERROR(__xludf.DUMMYFUNCTION("""COMPUTED_VALUE"""),271)</f>
        <v>271</v>
      </c>
      <c r="J292" s="1">
        <f ca="1">IFERROR(__xludf.DUMMYFUNCTION("""COMPUTED_VALUE"""),61.5)</f>
        <v>61.5</v>
      </c>
      <c r="K292" s="1">
        <f ca="1">IFERROR(__xludf.DUMMYFUNCTION("""COMPUTED_VALUE"""),311)</f>
        <v>311</v>
      </c>
      <c r="L292" s="1">
        <f ca="1">IFERROR(__xludf.DUMMYFUNCTION("""COMPUTED_VALUE"""),-0.027)</f>
        <v>-2.7E-2</v>
      </c>
      <c r="M292" s="1">
        <f ca="1">IFERROR(__xludf.DUMMYFUNCTION("""COMPUTED_VALUE"""),240)</f>
        <v>240</v>
      </c>
      <c r="N292" s="1">
        <f ca="1">IFERROR(__xludf.DUMMYFUNCTION("""COMPUTED_VALUE"""),-3.07)</f>
        <v>-3.07</v>
      </c>
      <c r="O292" s="1">
        <f ca="1">IFERROR(__xludf.DUMMYFUNCTION("""COMPUTED_VALUE"""),235)</f>
        <v>235</v>
      </c>
      <c r="P292" s="1">
        <f ca="1">IFERROR(__xludf.DUMMYFUNCTION("""COMPUTED_VALUE"""),102.9)</f>
        <v>102.9</v>
      </c>
      <c r="Q292" s="1">
        <f ca="1">IFERROR(__xludf.DUMMYFUNCTION("""COMPUTED_VALUE"""),163)</f>
        <v>163</v>
      </c>
      <c r="R292" s="1">
        <f ca="1">IFERROR(__xludf.DUMMYFUNCTION("""COMPUTED_VALUE"""),105.9)</f>
        <v>105.9</v>
      </c>
      <c r="S292" s="1">
        <f ca="1">IFERROR(__xludf.DUMMYFUNCTION("""COMPUTED_VALUE"""),302)</f>
        <v>302</v>
      </c>
      <c r="T292" s="1">
        <f ca="1">IFERROR(__xludf.DUMMYFUNCTION("""COMPUTED_VALUE"""),-2.2)</f>
        <v>-2.2000000000000002</v>
      </c>
      <c r="U292" s="1">
        <f ca="1">IFERROR(__xludf.DUMMYFUNCTION("""COMPUTED_VALUE"""),220)</f>
        <v>220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IFERROR(__xludf.DUMMYFUNCTION("""COMPUTED_VALUE"""),"Portland")</f>
        <v>Portland</v>
      </c>
      <c r="C293" s="1" t="str">
        <f ca="1">IFERROR(__xludf.DUMMYFUNCTION("""COMPUTED_VALUE"""),"WCC")</f>
        <v>WCC</v>
      </c>
      <c r="D293" s="2">
        <f ca="1">IFERROR(__xludf.DUMMYFUNCTION("""COMPUTED_VALUE"""),44766)</f>
        <v>44766</v>
      </c>
      <c r="E293" s="1">
        <f ca="1">IFERROR(__xludf.DUMMYFUNCTION("""COMPUTED_VALUE"""),-10.21)</f>
        <v>-10.210000000000001</v>
      </c>
      <c r="F293" s="1">
        <f ca="1">IFERROR(__xludf.DUMMYFUNCTION("""COMPUTED_VALUE"""),99.3)</f>
        <v>99.3</v>
      </c>
      <c r="G293" s="1">
        <f ca="1">IFERROR(__xludf.DUMMYFUNCTION("""COMPUTED_VALUE"""),240)</f>
        <v>240</v>
      </c>
      <c r="H293" s="1">
        <f ca="1">IFERROR(__xludf.DUMMYFUNCTION("""COMPUTED_VALUE"""),109.5)</f>
        <v>109.5</v>
      </c>
      <c r="I293" s="1">
        <f ca="1">IFERROR(__xludf.DUMMYFUNCTION("""COMPUTED_VALUE"""),290)</f>
        <v>290</v>
      </c>
      <c r="J293" s="1">
        <f ca="1">IFERROR(__xludf.DUMMYFUNCTION("""COMPUTED_VALUE"""),66.4)</f>
        <v>66.400000000000006</v>
      </c>
      <c r="K293" s="1">
        <f ca="1">IFERROR(__xludf.DUMMYFUNCTION("""COMPUTED_VALUE"""),107)</f>
        <v>107</v>
      </c>
      <c r="L293" s="1" t="str">
        <f ca="1">IFERROR(__xludf.DUMMYFUNCTION("""COMPUTED_VALUE"""),"+.017")</f>
        <v>+.017</v>
      </c>
      <c r="M293" s="1">
        <f ca="1">IFERROR(__xludf.DUMMYFUNCTION("""COMPUTED_VALUE"""),132)</f>
        <v>132</v>
      </c>
      <c r="N293" s="1" t="str">
        <f ca="1">IFERROR(__xludf.DUMMYFUNCTION("""COMPUTED_VALUE"""),"+4.57")</f>
        <v>+4.57</v>
      </c>
      <c r="O293" s="1">
        <f ca="1">IFERROR(__xludf.DUMMYFUNCTION("""COMPUTED_VALUE"""),68)</f>
        <v>68</v>
      </c>
      <c r="P293" s="1">
        <f ca="1">IFERROR(__xludf.DUMMYFUNCTION("""COMPUTED_VALUE"""),106.2)</f>
        <v>106.2</v>
      </c>
      <c r="Q293" s="1">
        <f ca="1">IFERROR(__xludf.DUMMYFUNCTION("""COMPUTED_VALUE"""),44)</f>
        <v>44</v>
      </c>
      <c r="R293" s="1">
        <f ca="1">IFERROR(__xludf.DUMMYFUNCTION("""COMPUTED_VALUE"""),101.6)</f>
        <v>101.6</v>
      </c>
      <c r="S293" s="1">
        <f ca="1">IFERROR(__xludf.DUMMYFUNCTION("""COMPUTED_VALUE"""),114)</f>
        <v>114</v>
      </c>
      <c r="T293" s="1" t="str">
        <f ca="1">IFERROR(__xludf.DUMMYFUNCTION("""COMPUTED_VALUE"""),"+8.70")</f>
        <v>+8.70</v>
      </c>
      <c r="U293" s="1">
        <f ca="1">IFERROR(__xludf.DUMMYFUNCTION("""COMPUTED_VALUE"""),12)</f>
        <v>12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IFERROR(__xludf.DUMMYFUNCTION("""COMPUTED_VALUE"""),"UNC Greensboro")</f>
        <v>UNC Greensboro</v>
      </c>
      <c r="C294" s="1" t="str">
        <f ca="1">IFERROR(__xludf.DUMMYFUNCTION("""COMPUTED_VALUE"""),"SC")</f>
        <v>SC</v>
      </c>
      <c r="D294" s="1" t="str">
        <f ca="1">IFERROR(__xludf.DUMMYFUNCTION("""COMPUTED_VALUE"""),"13-19")</f>
        <v>13-19</v>
      </c>
      <c r="E294" s="1">
        <f ca="1">IFERROR(__xludf.DUMMYFUNCTION("""COMPUTED_VALUE"""),-10.28)</f>
        <v>-10.28</v>
      </c>
      <c r="F294" s="1">
        <f ca="1">IFERROR(__xludf.DUMMYFUNCTION("""COMPUTED_VALUE"""),97.5)</f>
        <v>97.5</v>
      </c>
      <c r="G294" s="1">
        <f ca="1">IFERROR(__xludf.DUMMYFUNCTION("""COMPUTED_VALUE"""),272)</f>
        <v>272</v>
      </c>
      <c r="H294" s="1">
        <f ca="1">IFERROR(__xludf.DUMMYFUNCTION("""COMPUTED_VALUE"""),107.7)</f>
        <v>107.7</v>
      </c>
      <c r="I294" s="1">
        <f ca="1">IFERROR(__xludf.DUMMYFUNCTION("""COMPUTED_VALUE"""),267)</f>
        <v>267</v>
      </c>
      <c r="J294" s="1">
        <f ca="1">IFERROR(__xludf.DUMMYFUNCTION("""COMPUTED_VALUE"""),71.2)</f>
        <v>71.2</v>
      </c>
      <c r="K294" s="1">
        <f ca="1">IFERROR(__xludf.DUMMYFUNCTION("""COMPUTED_VALUE"""),9)</f>
        <v>9</v>
      </c>
      <c r="L294" s="1" t="str">
        <f ca="1">IFERROR(__xludf.DUMMYFUNCTION("""COMPUTED_VALUE"""),"+.093")</f>
        <v>+.093</v>
      </c>
      <c r="M294" s="1">
        <f ca="1">IFERROR(__xludf.DUMMYFUNCTION("""COMPUTED_VALUE"""),14)</f>
        <v>14</v>
      </c>
      <c r="N294" s="1">
        <f ca="1">IFERROR(__xludf.DUMMYFUNCTION("""COMPUTED_VALUE"""),-2.32)</f>
        <v>-2.3199999999999998</v>
      </c>
      <c r="O294" s="1">
        <f ca="1">IFERROR(__xludf.DUMMYFUNCTION("""COMPUTED_VALUE"""),208)</f>
        <v>208</v>
      </c>
      <c r="P294" s="1">
        <f ca="1">IFERROR(__xludf.DUMMYFUNCTION("""COMPUTED_VALUE"""),101.9)</f>
        <v>101.9</v>
      </c>
      <c r="Q294" s="1">
        <f ca="1">IFERROR(__xludf.DUMMYFUNCTION("""COMPUTED_VALUE"""),217)</f>
        <v>217</v>
      </c>
      <c r="R294" s="1">
        <f ca="1">IFERROR(__xludf.DUMMYFUNCTION("""COMPUTED_VALUE"""),104.2)</f>
        <v>104.2</v>
      </c>
      <c r="S294" s="1">
        <f ca="1">IFERROR(__xludf.DUMMYFUNCTION("""COMPUTED_VALUE"""),205)</f>
        <v>205</v>
      </c>
      <c r="T294" s="1" t="str">
        <f ca="1">IFERROR(__xludf.DUMMYFUNCTION("""COMPUTED_VALUE"""),"+11.15")</f>
        <v>+11.15</v>
      </c>
      <c r="U294" s="1">
        <f ca="1">IFERROR(__xludf.DUMMYFUNCTION("""COMPUTED_VALUE"""),5)</f>
        <v>5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IFERROR(__xludf.DUMMYFUNCTION("""COMPUTED_VALUE"""),"Pepperdine")</f>
        <v>Pepperdine</v>
      </c>
      <c r="C297" s="1" t="str">
        <f ca="1">IFERROR(__xludf.DUMMYFUNCTION("""COMPUTED_VALUE"""),"WCC")</f>
        <v>WCC</v>
      </c>
      <c r="D297" s="2">
        <f ca="1">IFERROR(__xludf.DUMMYFUNCTION("""COMPUTED_VALUE"""),44853)</f>
        <v>44853</v>
      </c>
      <c r="E297" s="1">
        <f ca="1">IFERROR(__xludf.DUMMYFUNCTION("""COMPUTED_VALUE"""),-10.41)</f>
        <v>-10.41</v>
      </c>
      <c r="F297" s="1">
        <f ca="1">IFERROR(__xludf.DUMMYFUNCTION("""COMPUTED_VALUE"""),94.6)</f>
        <v>94.6</v>
      </c>
      <c r="G297" s="1">
        <f ca="1">IFERROR(__xludf.DUMMYFUNCTION("""COMPUTED_VALUE"""),300)</f>
        <v>300</v>
      </c>
      <c r="H297" s="1">
        <f ca="1">IFERROR(__xludf.DUMMYFUNCTION("""COMPUTED_VALUE"""),105)</f>
        <v>105</v>
      </c>
      <c r="I297" s="1">
        <f ca="1">IFERROR(__xludf.DUMMYFUNCTION("""COMPUTED_VALUE"""),222)</f>
        <v>222</v>
      </c>
      <c r="J297" s="1">
        <f ca="1">IFERROR(__xludf.DUMMYFUNCTION("""COMPUTED_VALUE"""),60.8)</f>
        <v>60.8</v>
      </c>
      <c r="K297" s="1">
        <f ca="1">IFERROR(__xludf.DUMMYFUNCTION("""COMPUTED_VALUE"""),323)</f>
        <v>323</v>
      </c>
      <c r="L297" s="1" t="str">
        <f ca="1">IFERROR(__xludf.DUMMYFUNCTION("""COMPUTED_VALUE"""),"+.016")</f>
        <v>+.016</v>
      </c>
      <c r="M297" s="1">
        <f ca="1">IFERROR(__xludf.DUMMYFUNCTION("""COMPUTED_VALUE"""),136)</f>
        <v>136</v>
      </c>
      <c r="N297" s="1">
        <f ca="1">IFERROR(__xludf.DUMMYFUNCTION("""COMPUTED_VALUE"""),-0.67)</f>
        <v>-0.67</v>
      </c>
      <c r="O297" s="1">
        <f ca="1">IFERROR(__xludf.DUMMYFUNCTION("""COMPUTED_VALUE"""),169)</f>
        <v>169</v>
      </c>
      <c r="P297" s="1">
        <f ca="1">IFERROR(__xludf.DUMMYFUNCTION("""COMPUTED_VALUE"""),104)</f>
        <v>104</v>
      </c>
      <c r="Q297" s="1">
        <f ca="1">IFERROR(__xludf.DUMMYFUNCTION("""COMPUTED_VALUE"""),120)</f>
        <v>120</v>
      </c>
      <c r="R297" s="1">
        <f ca="1">IFERROR(__xludf.DUMMYFUNCTION("""COMPUTED_VALUE"""),104.6)</f>
        <v>104.6</v>
      </c>
      <c r="S297" s="1">
        <f ca="1">IFERROR(__xludf.DUMMYFUNCTION("""COMPUTED_VALUE"""),235)</f>
        <v>235</v>
      </c>
      <c r="T297" s="1">
        <f ca="1">IFERROR(__xludf.DUMMYFUNCTION("""COMPUTED_VALUE"""),-5.03)</f>
        <v>-5.03</v>
      </c>
      <c r="U297" s="1">
        <f ca="1">IFERROR(__xludf.DUMMYFUNCTION("""COMPUTED_VALUE"""),296)</f>
        <v>296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IFERROR(__xludf.DUMMYFUNCTION("""COMPUTED_VALUE"""),"Illinois Chicago")</f>
        <v>Illinois Chicago</v>
      </c>
      <c r="C298" s="1" t="str">
        <f ca="1">IFERROR(__xludf.DUMMYFUNCTION("""COMPUTED_VALUE"""),"Horz")</f>
        <v>Horz</v>
      </c>
      <c r="D298" s="2">
        <f ca="1">IFERROR(__xludf.DUMMYFUNCTION("""COMPUTED_VALUE"""),44795)</f>
        <v>44795</v>
      </c>
      <c r="E298" s="1">
        <f ca="1">IFERROR(__xludf.DUMMYFUNCTION("""COMPUTED_VALUE"""),-10.42)</f>
        <v>-10.42</v>
      </c>
      <c r="F298" s="1">
        <f ca="1">IFERROR(__xludf.DUMMYFUNCTION("""COMPUTED_VALUE"""),97.9)</f>
        <v>97.9</v>
      </c>
      <c r="G298" s="1">
        <f ca="1">IFERROR(__xludf.DUMMYFUNCTION("""COMPUTED_VALUE"""),263)</f>
        <v>263</v>
      </c>
      <c r="H298" s="1">
        <f ca="1">IFERROR(__xludf.DUMMYFUNCTION("""COMPUTED_VALUE"""),108.3)</f>
        <v>108.3</v>
      </c>
      <c r="I298" s="1">
        <f ca="1">IFERROR(__xludf.DUMMYFUNCTION("""COMPUTED_VALUE"""),279)</f>
        <v>279</v>
      </c>
      <c r="J298" s="1">
        <f ca="1">IFERROR(__xludf.DUMMYFUNCTION("""COMPUTED_VALUE"""),64.3)</f>
        <v>64.3</v>
      </c>
      <c r="K298" s="1">
        <f ca="1">IFERROR(__xludf.DUMMYFUNCTION("""COMPUTED_VALUE"""),206)</f>
        <v>206</v>
      </c>
      <c r="L298" s="1" t="str">
        <f ca="1">IFERROR(__xludf.DUMMYFUNCTION("""COMPUTED_VALUE"""),"+.008")</f>
        <v>+.008</v>
      </c>
      <c r="M298" s="1">
        <f ca="1">IFERROR(__xludf.DUMMYFUNCTION("""COMPUTED_VALUE"""),150)</f>
        <v>150</v>
      </c>
      <c r="N298" s="1" t="str">
        <f ca="1">IFERROR(__xludf.DUMMYFUNCTION("""COMPUTED_VALUE"""),"+0.15")</f>
        <v>+0.15</v>
      </c>
      <c r="O298" s="1">
        <f ca="1">IFERROR(__xludf.DUMMYFUNCTION("""COMPUTED_VALUE"""),153)</f>
        <v>153</v>
      </c>
      <c r="P298" s="1">
        <f ca="1">IFERROR(__xludf.DUMMYFUNCTION("""COMPUTED_VALUE"""),102.1)</f>
        <v>102.1</v>
      </c>
      <c r="Q298" s="1">
        <f ca="1">IFERROR(__xludf.DUMMYFUNCTION("""COMPUTED_VALUE"""),205)</f>
        <v>205</v>
      </c>
      <c r="R298" s="1">
        <f ca="1">IFERROR(__xludf.DUMMYFUNCTION("""COMPUTED_VALUE"""),101.9)</f>
        <v>101.9</v>
      </c>
      <c r="S298" s="1">
        <f ca="1">IFERROR(__xludf.DUMMYFUNCTION("""COMPUTED_VALUE"""),128)</f>
        <v>128</v>
      </c>
      <c r="T298" s="1">
        <f ca="1">IFERROR(__xludf.DUMMYFUNCTION("""COMPUTED_VALUE"""),-1.68)</f>
        <v>-1.68</v>
      </c>
      <c r="U298" s="1">
        <f ca="1">IFERROR(__xludf.DUMMYFUNCTION("""COMPUTED_VALUE"""),205)</f>
        <v>205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IFERROR(__xludf.DUMMYFUNCTION("""COMPUTED_VALUE"""),"South Dakota")</f>
        <v>South Dakota</v>
      </c>
      <c r="C299" s="1" t="str">
        <f ca="1">IFERROR(__xludf.DUMMYFUNCTION("""COMPUTED_VALUE"""),"Sum")</f>
        <v>Sum</v>
      </c>
      <c r="D299" s="2">
        <f ca="1">IFERROR(__xludf.DUMMYFUNCTION("""COMPUTED_VALUE"""),44852)</f>
        <v>44852</v>
      </c>
      <c r="E299" s="1">
        <f ca="1">IFERROR(__xludf.DUMMYFUNCTION("""COMPUTED_VALUE"""),-10.47)</f>
        <v>-10.47</v>
      </c>
      <c r="F299" s="1">
        <f ca="1">IFERROR(__xludf.DUMMYFUNCTION("""COMPUTED_VALUE"""),99)</f>
        <v>99</v>
      </c>
      <c r="G299" s="1">
        <f ca="1">IFERROR(__xludf.DUMMYFUNCTION("""COMPUTED_VALUE"""),243)</f>
        <v>243</v>
      </c>
      <c r="H299" s="1">
        <f ca="1">IFERROR(__xludf.DUMMYFUNCTION("""COMPUTED_VALUE"""),109.5)</f>
        <v>109.5</v>
      </c>
      <c r="I299" s="1">
        <f ca="1">IFERROR(__xludf.DUMMYFUNCTION("""COMPUTED_VALUE"""),289)</f>
        <v>289</v>
      </c>
      <c r="J299" s="1">
        <f ca="1">IFERROR(__xludf.DUMMYFUNCTION("""COMPUTED_VALUE"""),68)</f>
        <v>68</v>
      </c>
      <c r="K299" s="1">
        <f ca="1">IFERROR(__xludf.DUMMYFUNCTION("""COMPUTED_VALUE"""),43)</f>
        <v>43</v>
      </c>
      <c r="L299" s="1">
        <f ca="1">IFERROR(__xludf.DUMMYFUNCTION("""COMPUTED_VALUE"""),-0.016)</f>
        <v>-1.6E-2</v>
      </c>
      <c r="M299" s="1">
        <f ca="1">IFERROR(__xludf.DUMMYFUNCTION("""COMPUTED_VALUE"""),208)</f>
        <v>208</v>
      </c>
      <c r="N299" s="1">
        <f ca="1">IFERROR(__xludf.DUMMYFUNCTION("""COMPUTED_VALUE"""),-3.31)</f>
        <v>-3.31</v>
      </c>
      <c r="O299" s="1">
        <f ca="1">IFERROR(__xludf.DUMMYFUNCTION("""COMPUTED_VALUE"""),242)</f>
        <v>242</v>
      </c>
      <c r="P299" s="1">
        <f ca="1">IFERROR(__xludf.DUMMYFUNCTION("""COMPUTED_VALUE"""),103.4)</f>
        <v>103.4</v>
      </c>
      <c r="Q299" s="1">
        <f ca="1">IFERROR(__xludf.DUMMYFUNCTION("""COMPUTED_VALUE"""),143)</f>
        <v>143</v>
      </c>
      <c r="R299" s="1">
        <f ca="1">IFERROR(__xludf.DUMMYFUNCTION("""COMPUTED_VALUE"""),106.7)</f>
        <v>106.7</v>
      </c>
      <c r="S299" s="1">
        <f ca="1">IFERROR(__xludf.DUMMYFUNCTION("""COMPUTED_VALUE"""),330)</f>
        <v>330</v>
      </c>
      <c r="T299" s="1">
        <f ca="1">IFERROR(__xludf.DUMMYFUNCTION("""COMPUTED_VALUE"""),-7.48)</f>
        <v>-7.48</v>
      </c>
      <c r="U299" s="1">
        <f ca="1">IFERROR(__xludf.DUMMYFUNCTION("""COMPUTED_VALUE"""),329)</f>
        <v>329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IFERROR(__xludf.DUMMYFUNCTION("""COMPUTED_VALUE"""),"UMKC")</f>
        <v>UMKC</v>
      </c>
      <c r="C300" s="1" t="str">
        <f ca="1">IFERROR(__xludf.DUMMYFUNCTION("""COMPUTED_VALUE"""),"Sum")</f>
        <v>Sum</v>
      </c>
      <c r="D300" s="2">
        <f ca="1">IFERROR(__xludf.DUMMYFUNCTION("""COMPUTED_VALUE"""),44855)</f>
        <v>44855</v>
      </c>
      <c r="E300" s="1">
        <f ca="1">IFERROR(__xludf.DUMMYFUNCTION("""COMPUTED_VALUE"""),-10.48)</f>
        <v>-10.48</v>
      </c>
      <c r="F300" s="1">
        <f ca="1">IFERROR(__xludf.DUMMYFUNCTION("""COMPUTED_VALUE"""),99.8)</f>
        <v>99.8</v>
      </c>
      <c r="G300" s="1">
        <f ca="1">IFERROR(__xludf.DUMMYFUNCTION("""COMPUTED_VALUE"""),231)</f>
        <v>231</v>
      </c>
      <c r="H300" s="1">
        <f ca="1">IFERROR(__xludf.DUMMYFUNCTION("""COMPUTED_VALUE"""),110.3)</f>
        <v>110.3</v>
      </c>
      <c r="I300" s="1">
        <f ca="1">IFERROR(__xludf.DUMMYFUNCTION("""COMPUTED_VALUE"""),301)</f>
        <v>301</v>
      </c>
      <c r="J300" s="1">
        <f ca="1">IFERROR(__xludf.DUMMYFUNCTION("""COMPUTED_VALUE"""),62.7)</f>
        <v>62.7</v>
      </c>
      <c r="K300" s="1">
        <f ca="1">IFERROR(__xludf.DUMMYFUNCTION("""COMPUTED_VALUE"""),277)</f>
        <v>277</v>
      </c>
      <c r="L300" s="1">
        <f ca="1">IFERROR(__xludf.DUMMYFUNCTION("""COMPUTED_VALUE"""),-0.021)</f>
        <v>-2.1000000000000001E-2</v>
      </c>
      <c r="M300" s="1">
        <f ca="1">IFERROR(__xludf.DUMMYFUNCTION("""COMPUTED_VALUE"""),224)</f>
        <v>224</v>
      </c>
      <c r="N300" s="1">
        <f ca="1">IFERROR(__xludf.DUMMYFUNCTION("""COMPUTED_VALUE"""),-2.6)</f>
        <v>-2.6</v>
      </c>
      <c r="O300" s="1">
        <f ca="1">IFERROR(__xludf.DUMMYFUNCTION("""COMPUTED_VALUE"""),216)</f>
        <v>216</v>
      </c>
      <c r="P300" s="1">
        <f ca="1">IFERROR(__xludf.DUMMYFUNCTION("""COMPUTED_VALUE"""),103.5)</f>
        <v>103.5</v>
      </c>
      <c r="Q300" s="1">
        <f ca="1">IFERROR(__xludf.DUMMYFUNCTION("""COMPUTED_VALUE"""),141)</f>
        <v>141</v>
      </c>
      <c r="R300" s="1">
        <f ca="1">IFERROR(__xludf.DUMMYFUNCTION("""COMPUTED_VALUE"""),106.1)</f>
        <v>106.1</v>
      </c>
      <c r="S300" s="1">
        <f ca="1">IFERROR(__xludf.DUMMYFUNCTION("""COMPUTED_VALUE"""),307)</f>
        <v>307</v>
      </c>
      <c r="T300" s="1">
        <f ca="1">IFERROR(__xludf.DUMMYFUNCTION("""COMPUTED_VALUE"""),-4.18)</f>
        <v>-4.18</v>
      </c>
      <c r="U300" s="1">
        <f ca="1">IFERROR(__xludf.DUMMYFUNCTION("""COMPUTED_VALUE"""),275)</f>
        <v>275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IFERROR(__xludf.DUMMYFUNCTION("""COMPUTED_VALUE"""),"Samford")</f>
        <v>Samford</v>
      </c>
      <c r="C301" s="1" t="str">
        <f ca="1">IFERROR(__xludf.DUMMYFUNCTION("""COMPUTED_VALUE"""),"SC")</f>
        <v>SC</v>
      </c>
      <c r="D301" s="2">
        <f ca="1">IFERROR(__xludf.DUMMYFUNCTION("""COMPUTED_VALUE"""),44884)</f>
        <v>44884</v>
      </c>
      <c r="E301" s="1">
        <f ca="1">IFERROR(__xludf.DUMMYFUNCTION("""COMPUTED_VALUE"""),-10.53)</f>
        <v>-10.53</v>
      </c>
      <c r="F301" s="1">
        <f ca="1">IFERROR(__xludf.DUMMYFUNCTION("""COMPUTED_VALUE"""),102.1)</f>
        <v>102.1</v>
      </c>
      <c r="G301" s="1">
        <f ca="1">IFERROR(__xludf.DUMMYFUNCTION("""COMPUTED_VALUE"""),181)</f>
        <v>181</v>
      </c>
      <c r="H301" s="1">
        <f ca="1">IFERROR(__xludf.DUMMYFUNCTION("""COMPUTED_VALUE"""),112.6)</f>
        <v>112.6</v>
      </c>
      <c r="I301" s="1">
        <f ca="1">IFERROR(__xludf.DUMMYFUNCTION("""COMPUTED_VALUE"""),326)</f>
        <v>326</v>
      </c>
      <c r="J301" s="1">
        <f ca="1">IFERROR(__xludf.DUMMYFUNCTION("""COMPUTED_VALUE"""),61.6)</f>
        <v>61.6</v>
      </c>
      <c r="K301" s="1">
        <f ca="1">IFERROR(__xludf.DUMMYFUNCTION("""COMPUTED_VALUE"""),309)</f>
        <v>309</v>
      </c>
      <c r="L301" s="1" t="str">
        <f ca="1">IFERROR(__xludf.DUMMYFUNCTION("""COMPUTED_VALUE"""),"+.023")</f>
        <v>+.023</v>
      </c>
      <c r="M301" s="1">
        <f ca="1">IFERROR(__xludf.DUMMYFUNCTION("""COMPUTED_VALUE"""),113)</f>
        <v>113</v>
      </c>
      <c r="N301" s="1">
        <f ca="1">IFERROR(__xludf.DUMMYFUNCTION("""COMPUTED_VALUE"""),-3.84)</f>
        <v>-3.84</v>
      </c>
      <c r="O301" s="1">
        <f ca="1">IFERROR(__xludf.DUMMYFUNCTION("""COMPUTED_VALUE"""),249)</f>
        <v>249</v>
      </c>
      <c r="P301" s="1">
        <f ca="1">IFERROR(__xludf.DUMMYFUNCTION("""COMPUTED_VALUE"""),100.9)</f>
        <v>100.9</v>
      </c>
      <c r="Q301" s="1">
        <f ca="1">IFERROR(__xludf.DUMMYFUNCTION("""COMPUTED_VALUE"""),267)</f>
        <v>267</v>
      </c>
      <c r="R301" s="1">
        <f ca="1">IFERROR(__xludf.DUMMYFUNCTION("""COMPUTED_VALUE"""),104.8)</f>
        <v>104.8</v>
      </c>
      <c r="S301" s="1">
        <f ca="1">IFERROR(__xludf.DUMMYFUNCTION("""COMPUTED_VALUE"""),245)</f>
        <v>245</v>
      </c>
      <c r="T301" s="1" t="str">
        <f ca="1">IFERROR(__xludf.DUMMYFUNCTION("""COMPUTED_VALUE"""),"+2.98")</f>
        <v>+2.98</v>
      </c>
      <c r="U301" s="1">
        <f ca="1">IFERROR(__xludf.DUMMYFUNCTION("""COMPUTED_VALUE"""),82)</f>
        <v>82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IFERROR(__xludf.DUMMYFUNCTION("""COMPUTED_VALUE"""),"Hampton")</f>
        <v>Hampton</v>
      </c>
      <c r="C302" s="1" t="str">
        <f ca="1">IFERROR(__xludf.DUMMYFUNCTION("""COMPUTED_VALUE"""),"MEAC")</f>
        <v>MEAC</v>
      </c>
      <c r="D302" s="2">
        <f ca="1">IFERROR(__xludf.DUMMYFUNCTION("""COMPUTED_VALUE"""),44916)</f>
        <v>44916</v>
      </c>
      <c r="E302" s="1">
        <f ca="1">IFERROR(__xludf.DUMMYFUNCTION("""COMPUTED_VALUE"""),-10.53)</f>
        <v>-10.53</v>
      </c>
      <c r="F302" s="1">
        <f ca="1">IFERROR(__xludf.DUMMYFUNCTION("""COMPUTED_VALUE"""),92.1)</f>
        <v>92.1</v>
      </c>
      <c r="G302" s="1">
        <f ca="1">IFERROR(__xludf.DUMMYFUNCTION("""COMPUTED_VALUE"""),317)</f>
        <v>317</v>
      </c>
      <c r="H302" s="1">
        <f ca="1">IFERROR(__xludf.DUMMYFUNCTION("""COMPUTED_VALUE"""),102.6)</f>
        <v>102.6</v>
      </c>
      <c r="I302" s="1">
        <f ca="1">IFERROR(__xludf.DUMMYFUNCTION("""COMPUTED_VALUE"""),163)</f>
        <v>163</v>
      </c>
      <c r="J302" s="1">
        <f ca="1">IFERROR(__xludf.DUMMYFUNCTION("""COMPUTED_VALUE"""),67.1)</f>
        <v>67.099999999999994</v>
      </c>
      <c r="K302" s="1">
        <f ca="1">IFERROR(__xludf.DUMMYFUNCTION("""COMPUTED_VALUE"""),81)</f>
        <v>81</v>
      </c>
      <c r="L302" s="1">
        <f ca="1">IFERROR(__xludf.DUMMYFUNCTION("""COMPUTED_VALUE"""),-0.051)</f>
        <v>-5.0999999999999997E-2</v>
      </c>
      <c r="M302" s="1">
        <f ca="1">IFERROR(__xludf.DUMMYFUNCTION("""COMPUTED_VALUE"""),289)</f>
        <v>289</v>
      </c>
      <c r="N302" s="1">
        <f ca="1">IFERROR(__xludf.DUMMYFUNCTION("""COMPUTED_VALUE"""),-8.07)</f>
        <v>-8.07</v>
      </c>
      <c r="O302" s="1">
        <f ca="1">IFERROR(__xludf.DUMMYFUNCTION("""COMPUTED_VALUE"""),334)</f>
        <v>334</v>
      </c>
      <c r="P302" s="1">
        <f ca="1">IFERROR(__xludf.DUMMYFUNCTION("""COMPUTED_VALUE"""),99.3)</f>
        <v>99.3</v>
      </c>
      <c r="Q302" s="1">
        <f ca="1">IFERROR(__xludf.DUMMYFUNCTION("""COMPUTED_VALUE"""),313)</f>
        <v>313</v>
      </c>
      <c r="R302" s="1">
        <f ca="1">IFERROR(__xludf.DUMMYFUNCTION("""COMPUTED_VALUE"""),107.4)</f>
        <v>107.4</v>
      </c>
      <c r="S302" s="1">
        <f ca="1">IFERROR(__xludf.DUMMYFUNCTION("""COMPUTED_VALUE"""),341)</f>
        <v>341</v>
      </c>
      <c r="T302" s="1">
        <f ca="1">IFERROR(__xludf.DUMMYFUNCTION("""COMPUTED_VALUE"""),-4.16)</f>
        <v>-4.16</v>
      </c>
      <c r="U302" s="1">
        <f ca="1">IFERROR(__xludf.DUMMYFUNCTION("""COMPUTED_VALUE"""),272)</f>
        <v>272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IFERROR(__xludf.DUMMYFUNCTION("""COMPUTED_VALUE"""),"Sam Houston St.")</f>
        <v>Sam Houston St.</v>
      </c>
      <c r="C303" s="1" t="str">
        <f ca="1">IFERROR(__xludf.DUMMYFUNCTION("""COMPUTED_VALUE"""),"Slnd")</f>
        <v>Slnd</v>
      </c>
      <c r="D303" s="1" t="str">
        <f ca="1">IFERROR(__xludf.DUMMYFUNCTION("""COMPUTED_VALUE"""),"13-19")</f>
        <v>13-19</v>
      </c>
      <c r="E303" s="1">
        <f ca="1">IFERROR(__xludf.DUMMYFUNCTION("""COMPUTED_VALUE"""),-10.62)</f>
        <v>-10.62</v>
      </c>
      <c r="F303" s="1">
        <f ca="1">IFERROR(__xludf.DUMMYFUNCTION("""COMPUTED_VALUE"""),89.8)</f>
        <v>89.8</v>
      </c>
      <c r="G303" s="1">
        <f ca="1">IFERROR(__xludf.DUMMYFUNCTION("""COMPUTED_VALUE"""),333)</f>
        <v>333</v>
      </c>
      <c r="H303" s="1">
        <f ca="1">IFERROR(__xludf.DUMMYFUNCTION("""COMPUTED_VALUE"""),100.4)</f>
        <v>100.4</v>
      </c>
      <c r="I303" s="1">
        <f ca="1">IFERROR(__xludf.DUMMYFUNCTION("""COMPUTED_VALUE"""),126)</f>
        <v>126</v>
      </c>
      <c r="J303" s="1">
        <f ca="1">IFERROR(__xludf.DUMMYFUNCTION("""COMPUTED_VALUE"""),62.5)</f>
        <v>62.5</v>
      </c>
      <c r="K303" s="1">
        <f ca="1">IFERROR(__xludf.DUMMYFUNCTION("""COMPUTED_VALUE"""),286)</f>
        <v>286</v>
      </c>
      <c r="L303" s="1">
        <f ca="1">IFERROR(__xludf.DUMMYFUNCTION("""COMPUTED_VALUE"""),-0.012)</f>
        <v>-1.2E-2</v>
      </c>
      <c r="M303" s="1">
        <f ca="1">IFERROR(__xludf.DUMMYFUNCTION("""COMPUTED_VALUE"""),200)</f>
        <v>200</v>
      </c>
      <c r="N303" s="1">
        <f ca="1">IFERROR(__xludf.DUMMYFUNCTION("""COMPUTED_VALUE"""),-2.61)</f>
        <v>-2.61</v>
      </c>
      <c r="O303" s="1">
        <f ca="1">IFERROR(__xludf.DUMMYFUNCTION("""COMPUTED_VALUE"""),217)</f>
        <v>217</v>
      </c>
      <c r="P303" s="1">
        <f ca="1">IFERROR(__xludf.DUMMYFUNCTION("""COMPUTED_VALUE"""),101)</f>
        <v>101</v>
      </c>
      <c r="Q303" s="1">
        <f ca="1">IFERROR(__xludf.DUMMYFUNCTION("""COMPUTED_VALUE"""),261)</f>
        <v>261</v>
      </c>
      <c r="R303" s="1">
        <f ca="1">IFERROR(__xludf.DUMMYFUNCTION("""COMPUTED_VALUE"""),103.6)</f>
        <v>103.6</v>
      </c>
      <c r="S303" s="1">
        <f ca="1">IFERROR(__xludf.DUMMYFUNCTION("""COMPUTED_VALUE"""),180)</f>
        <v>180</v>
      </c>
      <c r="T303" s="1" t="str">
        <f ca="1">IFERROR(__xludf.DUMMYFUNCTION("""COMPUTED_VALUE"""),"+3.89")</f>
        <v>+3.89</v>
      </c>
      <c r="U303" s="1">
        <f ca="1">IFERROR(__xludf.DUMMYFUNCTION("""COMPUTED_VALUE"""),64)</f>
        <v>64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IFERROR(__xludf.DUMMYFUNCTION("""COMPUTED_VALUE"""),"Loyola Chicago")</f>
        <v>Loyola Chicago</v>
      </c>
      <c r="C304" s="1" t="str">
        <f ca="1">IFERROR(__xludf.DUMMYFUNCTION("""COMPUTED_VALUE"""),"Horz")</f>
        <v>Horz</v>
      </c>
      <c r="D304" s="2">
        <f ca="1">IFERROR(__xludf.DUMMYFUNCTION("""COMPUTED_VALUE"""),44765)</f>
        <v>44765</v>
      </c>
      <c r="E304" s="1">
        <f ca="1">IFERROR(__xludf.DUMMYFUNCTION("""COMPUTED_VALUE"""),-10.75)</f>
        <v>-10.75</v>
      </c>
      <c r="F304" s="1">
        <f ca="1">IFERROR(__xludf.DUMMYFUNCTION("""COMPUTED_VALUE"""),95.3)</f>
        <v>95.3</v>
      </c>
      <c r="G304" s="1">
        <f ca="1">IFERROR(__xludf.DUMMYFUNCTION("""COMPUTED_VALUE"""),291)</f>
        <v>291</v>
      </c>
      <c r="H304" s="1">
        <f ca="1">IFERROR(__xludf.DUMMYFUNCTION("""COMPUTED_VALUE"""),106.1)</f>
        <v>106.1</v>
      </c>
      <c r="I304" s="1">
        <f ca="1">IFERROR(__xludf.DUMMYFUNCTION("""COMPUTED_VALUE"""),242)</f>
        <v>242</v>
      </c>
      <c r="J304" s="1">
        <f ca="1">IFERROR(__xludf.DUMMYFUNCTION("""COMPUTED_VALUE"""),59.5)</f>
        <v>59.5</v>
      </c>
      <c r="K304" s="1">
        <f ca="1">IFERROR(__xludf.DUMMYFUNCTION("""COMPUTED_VALUE"""),336)</f>
        <v>336</v>
      </c>
      <c r="L304" s="1">
        <f ca="1">IFERROR(__xludf.DUMMYFUNCTION("""COMPUTED_VALUE"""),-0.055)</f>
        <v>-5.5E-2</v>
      </c>
      <c r="M304" s="1">
        <f ca="1">IFERROR(__xludf.DUMMYFUNCTION("""COMPUTED_VALUE"""),299)</f>
        <v>299</v>
      </c>
      <c r="N304" s="1">
        <f ca="1">IFERROR(__xludf.DUMMYFUNCTION("""COMPUTED_VALUE"""),-0.46)</f>
        <v>-0.46</v>
      </c>
      <c r="O304" s="1">
        <f ca="1">IFERROR(__xludf.DUMMYFUNCTION("""COMPUTED_VALUE"""),165)</f>
        <v>165</v>
      </c>
      <c r="P304" s="1">
        <f ca="1">IFERROR(__xludf.DUMMYFUNCTION("""COMPUTED_VALUE"""),101.9)</f>
        <v>101.9</v>
      </c>
      <c r="Q304" s="1">
        <f ca="1">IFERROR(__xludf.DUMMYFUNCTION("""COMPUTED_VALUE"""),215)</f>
        <v>215</v>
      </c>
      <c r="R304" s="1">
        <f ca="1">IFERROR(__xludf.DUMMYFUNCTION("""COMPUTED_VALUE"""),102.3)</f>
        <v>102.3</v>
      </c>
      <c r="S304" s="1">
        <f ca="1">IFERROR(__xludf.DUMMYFUNCTION("""COMPUTED_VALUE"""),142)</f>
        <v>142</v>
      </c>
      <c r="T304" s="1">
        <f ca="1">IFERROR(__xludf.DUMMYFUNCTION("""COMPUTED_VALUE"""),-3.72)</f>
        <v>-3.72</v>
      </c>
      <c r="U304" s="1">
        <f ca="1">IFERROR(__xludf.DUMMYFUNCTION("""COMPUTED_VALUE"""),257)</f>
        <v>257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IFERROR(__xludf.DUMMYFUNCTION("""COMPUTED_VALUE"""),"Liberty")</f>
        <v>Liberty</v>
      </c>
      <c r="C305" s="1" t="str">
        <f ca="1">IFERROR(__xludf.DUMMYFUNCTION("""COMPUTED_VALUE"""),"BSth")</f>
        <v>BSth</v>
      </c>
      <c r="D305" s="1" t="str">
        <f ca="1">IFERROR(__xludf.DUMMYFUNCTION("""COMPUTED_VALUE"""),"14-18")</f>
        <v>14-18</v>
      </c>
      <c r="E305" s="1">
        <f ca="1">IFERROR(__xludf.DUMMYFUNCTION("""COMPUTED_VALUE"""),-10.8)</f>
        <v>-10.8</v>
      </c>
      <c r="F305" s="1">
        <f ca="1">IFERROR(__xludf.DUMMYFUNCTION("""COMPUTED_VALUE"""),100.5)</f>
        <v>100.5</v>
      </c>
      <c r="G305" s="1">
        <f ca="1">IFERROR(__xludf.DUMMYFUNCTION("""COMPUTED_VALUE"""),222)</f>
        <v>222</v>
      </c>
      <c r="H305" s="1">
        <f ca="1">IFERROR(__xludf.DUMMYFUNCTION("""COMPUTED_VALUE"""),111.3)</f>
        <v>111.3</v>
      </c>
      <c r="I305" s="1">
        <f ca="1">IFERROR(__xludf.DUMMYFUNCTION("""COMPUTED_VALUE"""),316)</f>
        <v>316</v>
      </c>
      <c r="J305" s="1">
        <f ca="1">IFERROR(__xludf.DUMMYFUNCTION("""COMPUTED_VALUE"""),64.3)</f>
        <v>64.3</v>
      </c>
      <c r="K305" s="1">
        <f ca="1">IFERROR(__xludf.DUMMYFUNCTION("""COMPUTED_VALUE"""),207)</f>
        <v>207</v>
      </c>
      <c r="L305" s="1" t="str">
        <f ca="1">IFERROR(__xludf.DUMMYFUNCTION("""COMPUTED_VALUE"""),"+.051")</f>
        <v>+.051</v>
      </c>
      <c r="M305" s="1">
        <f ca="1">IFERROR(__xludf.DUMMYFUNCTION("""COMPUTED_VALUE"""),54)</f>
        <v>54</v>
      </c>
      <c r="N305" s="1">
        <f ca="1">IFERROR(__xludf.DUMMYFUNCTION("""COMPUTED_VALUE"""),-5.54)</f>
        <v>-5.54</v>
      </c>
      <c r="O305" s="1">
        <f ca="1">IFERROR(__xludf.DUMMYFUNCTION("""COMPUTED_VALUE"""),299)</f>
        <v>299</v>
      </c>
      <c r="P305" s="1">
        <f ca="1">IFERROR(__xludf.DUMMYFUNCTION("""COMPUTED_VALUE"""),101)</f>
        <v>101</v>
      </c>
      <c r="Q305" s="1">
        <f ca="1">IFERROR(__xludf.DUMMYFUNCTION("""COMPUTED_VALUE"""),260)</f>
        <v>260</v>
      </c>
      <c r="R305" s="1">
        <f ca="1">IFERROR(__xludf.DUMMYFUNCTION("""COMPUTED_VALUE"""),106.5)</f>
        <v>106.5</v>
      </c>
      <c r="S305" s="1">
        <f ca="1">IFERROR(__xludf.DUMMYFUNCTION("""COMPUTED_VALUE"""),323)</f>
        <v>323</v>
      </c>
      <c r="T305" s="1">
        <f ca="1">IFERROR(__xludf.DUMMYFUNCTION("""COMPUTED_VALUE"""),-3.86)</f>
        <v>-3.86</v>
      </c>
      <c r="U305" s="1">
        <f ca="1">IFERROR(__xludf.DUMMYFUNCTION("""COMPUTED_VALUE"""),261)</f>
        <v>261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IFERROR(__xludf.DUMMYFUNCTION("""COMPUTED_VALUE"""),"Monmouth")</f>
        <v>Monmouth</v>
      </c>
      <c r="C306" s="1" t="str">
        <f ca="1">IFERROR(__xludf.DUMMYFUNCTION("""COMPUTED_VALUE"""),"NEC")</f>
        <v>NEC</v>
      </c>
      <c r="D306" s="2">
        <f ca="1">IFERROR(__xludf.DUMMYFUNCTION("""COMPUTED_VALUE"""),44915)</f>
        <v>44915</v>
      </c>
      <c r="E306" s="1">
        <f ca="1">IFERROR(__xludf.DUMMYFUNCTION("""COMPUTED_VALUE"""),-11.29)</f>
        <v>-11.29</v>
      </c>
      <c r="F306" s="1">
        <f ca="1">IFERROR(__xludf.DUMMYFUNCTION("""COMPUTED_VALUE"""),97)</f>
        <v>97</v>
      </c>
      <c r="G306" s="1">
        <f ca="1">IFERROR(__xludf.DUMMYFUNCTION("""COMPUTED_VALUE"""),282)</f>
        <v>282</v>
      </c>
      <c r="H306" s="1">
        <f ca="1">IFERROR(__xludf.DUMMYFUNCTION("""COMPUTED_VALUE"""),108.3)</f>
        <v>108.3</v>
      </c>
      <c r="I306" s="1">
        <f ca="1">IFERROR(__xludf.DUMMYFUNCTION("""COMPUTED_VALUE"""),278)</f>
        <v>278</v>
      </c>
      <c r="J306" s="1">
        <f ca="1">IFERROR(__xludf.DUMMYFUNCTION("""COMPUTED_VALUE"""),68)</f>
        <v>68</v>
      </c>
      <c r="K306" s="1">
        <f ca="1">IFERROR(__xludf.DUMMYFUNCTION("""COMPUTED_VALUE"""),42)</f>
        <v>42</v>
      </c>
      <c r="L306" s="1" t="str">
        <f ca="1">IFERROR(__xludf.DUMMYFUNCTION("""COMPUTED_VALUE"""),"+.061")</f>
        <v>+.061</v>
      </c>
      <c r="M306" s="1">
        <f ca="1">IFERROR(__xludf.DUMMYFUNCTION("""COMPUTED_VALUE"""),35)</f>
        <v>35</v>
      </c>
      <c r="N306" s="1">
        <f ca="1">IFERROR(__xludf.DUMMYFUNCTION("""COMPUTED_VALUE"""),-2.57)</f>
        <v>-2.57</v>
      </c>
      <c r="O306" s="1">
        <f ca="1">IFERROR(__xludf.DUMMYFUNCTION("""COMPUTED_VALUE"""),215)</f>
        <v>215</v>
      </c>
      <c r="P306" s="1">
        <f ca="1">IFERROR(__xludf.DUMMYFUNCTION("""COMPUTED_VALUE"""),101.8)</f>
        <v>101.8</v>
      </c>
      <c r="Q306" s="1">
        <f ca="1">IFERROR(__xludf.DUMMYFUNCTION("""COMPUTED_VALUE"""),226)</f>
        <v>226</v>
      </c>
      <c r="R306" s="1">
        <f ca="1">IFERROR(__xludf.DUMMYFUNCTION("""COMPUTED_VALUE"""),104.3)</f>
        <v>104.3</v>
      </c>
      <c r="S306" s="1">
        <f ca="1">IFERROR(__xludf.DUMMYFUNCTION("""COMPUTED_VALUE"""),216)</f>
        <v>216</v>
      </c>
      <c r="T306" s="1" t="str">
        <f ca="1">IFERROR(__xludf.DUMMYFUNCTION("""COMPUTED_VALUE"""),"+3.05")</f>
        <v>+3.05</v>
      </c>
      <c r="U306" s="1">
        <f ca="1">IFERROR(__xludf.DUMMYFUNCTION("""COMPUTED_VALUE"""),78)</f>
        <v>78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IFERROR(__xludf.DUMMYFUNCTION("""COMPUTED_VALUE"""),"Montana St.")</f>
        <v>Montana St.</v>
      </c>
      <c r="C307" s="1" t="str">
        <f ca="1">IFERROR(__xludf.DUMMYFUNCTION("""COMPUTED_VALUE"""),"BSky")</f>
        <v>BSky</v>
      </c>
      <c r="D307" s="2">
        <f ca="1">IFERROR(__xludf.DUMMYFUNCTION("""COMPUTED_VALUE"""),44912)</f>
        <v>44912</v>
      </c>
      <c r="E307" s="1">
        <f ca="1">IFERROR(__xludf.DUMMYFUNCTION("""COMPUTED_VALUE"""),-11.84)</f>
        <v>-11.84</v>
      </c>
      <c r="F307" s="1">
        <f ca="1">IFERROR(__xludf.DUMMYFUNCTION("""COMPUTED_VALUE"""),97.3)</f>
        <v>97.3</v>
      </c>
      <c r="G307" s="1">
        <f ca="1">IFERROR(__xludf.DUMMYFUNCTION("""COMPUTED_VALUE"""),277)</f>
        <v>277</v>
      </c>
      <c r="H307" s="1">
        <f ca="1">IFERROR(__xludf.DUMMYFUNCTION("""COMPUTED_VALUE"""),109.1)</f>
        <v>109.1</v>
      </c>
      <c r="I307" s="1">
        <f ca="1">IFERROR(__xludf.DUMMYFUNCTION("""COMPUTED_VALUE"""),286)</f>
        <v>286</v>
      </c>
      <c r="J307" s="1">
        <f ca="1">IFERROR(__xludf.DUMMYFUNCTION("""COMPUTED_VALUE"""),66.2)</f>
        <v>66.2</v>
      </c>
      <c r="K307" s="1">
        <f ca="1">IFERROR(__xludf.DUMMYFUNCTION("""COMPUTED_VALUE"""),113)</f>
        <v>113</v>
      </c>
      <c r="L307" s="1" t="str">
        <f ca="1">IFERROR(__xludf.DUMMYFUNCTION("""COMPUTED_VALUE"""),"+.028")</f>
        <v>+.028</v>
      </c>
      <c r="M307" s="1">
        <f ca="1">IFERROR(__xludf.DUMMYFUNCTION("""COMPUTED_VALUE"""),96)</f>
        <v>96</v>
      </c>
      <c r="N307" s="1">
        <f ca="1">IFERROR(__xludf.DUMMYFUNCTION("""COMPUTED_VALUE"""),-5.39)</f>
        <v>-5.39</v>
      </c>
      <c r="O307" s="1">
        <f ca="1">IFERROR(__xludf.DUMMYFUNCTION("""COMPUTED_VALUE"""),295)</f>
        <v>295</v>
      </c>
      <c r="P307" s="1">
        <f ca="1">IFERROR(__xludf.DUMMYFUNCTION("""COMPUTED_VALUE"""),101.7)</f>
        <v>101.7</v>
      </c>
      <c r="Q307" s="1">
        <f ca="1">IFERROR(__xludf.DUMMYFUNCTION("""COMPUTED_VALUE"""),229)</f>
        <v>229</v>
      </c>
      <c r="R307" s="1">
        <f ca="1">IFERROR(__xludf.DUMMYFUNCTION("""COMPUTED_VALUE"""),107.1)</f>
        <v>107.1</v>
      </c>
      <c r="S307" s="1">
        <f ca="1">IFERROR(__xludf.DUMMYFUNCTION("""COMPUTED_VALUE"""),337)</f>
        <v>337</v>
      </c>
      <c r="T307" s="1">
        <f ca="1">IFERROR(__xludf.DUMMYFUNCTION("""COMPUTED_VALUE"""),-3.02)</f>
        <v>-3.02</v>
      </c>
      <c r="U307" s="1">
        <f ca="1">IFERROR(__xludf.DUMMYFUNCTION("""COMPUTED_VALUE"""),244)</f>
        <v>244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IFERROR(__xludf.DUMMYFUNCTION("""COMPUTED_VALUE"""),"Sacramento St.")</f>
        <v>Sacramento St.</v>
      </c>
      <c r="C308" s="1" t="str">
        <f ca="1">IFERROR(__xludf.DUMMYFUNCTION("""COMPUTED_VALUE"""),"BSky")</f>
        <v>BSky</v>
      </c>
      <c r="D308" s="2">
        <f ca="1">IFERROR(__xludf.DUMMYFUNCTION("""COMPUTED_VALUE"""),44852)</f>
        <v>44852</v>
      </c>
      <c r="E308" s="1">
        <f ca="1">IFERROR(__xludf.DUMMYFUNCTION("""COMPUTED_VALUE"""),-12.03)</f>
        <v>-12.03</v>
      </c>
      <c r="F308" s="1">
        <f ca="1">IFERROR(__xludf.DUMMYFUNCTION("""COMPUTED_VALUE"""),98.2)</f>
        <v>98.2</v>
      </c>
      <c r="G308" s="1">
        <f ca="1">IFERROR(__xludf.DUMMYFUNCTION("""COMPUTED_VALUE"""),254)</f>
        <v>254</v>
      </c>
      <c r="H308" s="1">
        <f ca="1">IFERROR(__xludf.DUMMYFUNCTION("""COMPUTED_VALUE"""),110.2)</f>
        <v>110.2</v>
      </c>
      <c r="I308" s="1">
        <f ca="1">IFERROR(__xludf.DUMMYFUNCTION("""COMPUTED_VALUE"""),300)</f>
        <v>300</v>
      </c>
      <c r="J308" s="1">
        <f ca="1">IFERROR(__xludf.DUMMYFUNCTION("""COMPUTED_VALUE"""),64.9)</f>
        <v>64.900000000000006</v>
      </c>
      <c r="K308" s="1">
        <f ca="1">IFERROR(__xludf.DUMMYFUNCTION("""COMPUTED_VALUE"""),178)</f>
        <v>178</v>
      </c>
      <c r="L308" s="1">
        <f ca="1">IFERROR(__xludf.DUMMYFUNCTION("""COMPUTED_VALUE"""),-0.087)</f>
        <v>-8.6999999999999994E-2</v>
      </c>
      <c r="M308" s="1">
        <f ca="1">IFERROR(__xludf.DUMMYFUNCTION("""COMPUTED_VALUE"""),332)</f>
        <v>332</v>
      </c>
      <c r="N308" s="1">
        <f ca="1">IFERROR(__xludf.DUMMYFUNCTION("""COMPUTED_VALUE"""),-7.23)</f>
        <v>-7.23</v>
      </c>
      <c r="O308" s="1">
        <f ca="1">IFERROR(__xludf.DUMMYFUNCTION("""COMPUTED_VALUE"""),326)</f>
        <v>326</v>
      </c>
      <c r="P308" s="1">
        <f ca="1">IFERROR(__xludf.DUMMYFUNCTION("""COMPUTED_VALUE"""),101)</f>
        <v>101</v>
      </c>
      <c r="Q308" s="1">
        <f ca="1">IFERROR(__xludf.DUMMYFUNCTION("""COMPUTED_VALUE"""),258)</f>
        <v>258</v>
      </c>
      <c r="R308" s="1">
        <f ca="1">IFERROR(__xludf.DUMMYFUNCTION("""COMPUTED_VALUE"""),108.3)</f>
        <v>108.3</v>
      </c>
      <c r="S308" s="1">
        <f ca="1">IFERROR(__xludf.DUMMYFUNCTION("""COMPUTED_VALUE"""),345)</f>
        <v>345</v>
      </c>
      <c r="T308" s="1">
        <f ca="1">IFERROR(__xludf.DUMMYFUNCTION("""COMPUTED_VALUE"""),-7.04)</f>
        <v>-7.04</v>
      </c>
      <c r="U308" s="1">
        <f ca="1">IFERROR(__xludf.DUMMYFUNCTION("""COMPUTED_VALUE"""),324)</f>
        <v>324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IFERROR(__xludf.DUMMYFUNCTION("""COMPUTED_VALUE"""),"New Hampshire")</f>
        <v>New Hampshire</v>
      </c>
      <c r="C309" s="1" t="str">
        <f ca="1">IFERROR(__xludf.DUMMYFUNCTION("""COMPUTED_VALUE"""),"AE")</f>
        <v>AE</v>
      </c>
      <c r="D309" s="1" t="str">
        <f ca="1">IFERROR(__xludf.DUMMYFUNCTION("""COMPUTED_VALUE"""),"13-16")</f>
        <v>13-16</v>
      </c>
      <c r="E309" s="1">
        <f ca="1">IFERROR(__xludf.DUMMYFUNCTION("""COMPUTED_VALUE"""),-12.1)</f>
        <v>-12.1</v>
      </c>
      <c r="F309" s="1">
        <f ca="1">IFERROR(__xludf.DUMMYFUNCTION("""COMPUTED_VALUE"""),90.7)</f>
        <v>90.7</v>
      </c>
      <c r="G309" s="1">
        <f ca="1">IFERROR(__xludf.DUMMYFUNCTION("""COMPUTED_VALUE"""),324)</f>
        <v>324</v>
      </c>
      <c r="H309" s="1">
        <f ca="1">IFERROR(__xludf.DUMMYFUNCTION("""COMPUTED_VALUE"""),102.8)</f>
        <v>102.8</v>
      </c>
      <c r="I309" s="1">
        <f ca="1">IFERROR(__xludf.DUMMYFUNCTION("""COMPUTED_VALUE"""),172)</f>
        <v>172</v>
      </c>
      <c r="J309" s="1">
        <f ca="1">IFERROR(__xludf.DUMMYFUNCTION("""COMPUTED_VALUE"""),64.5)</f>
        <v>64.5</v>
      </c>
      <c r="K309" s="1">
        <f ca="1">IFERROR(__xludf.DUMMYFUNCTION("""COMPUTED_VALUE"""),198)</f>
        <v>198</v>
      </c>
      <c r="L309" s="1" t="str">
        <f ca="1">IFERROR(__xludf.DUMMYFUNCTION("""COMPUTED_VALUE"""),"+.017")</f>
        <v>+.017</v>
      </c>
      <c r="M309" s="1">
        <f ca="1">IFERROR(__xludf.DUMMYFUNCTION("""COMPUTED_VALUE"""),131)</f>
        <v>131</v>
      </c>
      <c r="N309" s="1">
        <f ca="1">IFERROR(__xludf.DUMMYFUNCTION("""COMPUTED_VALUE"""),-9.01)</f>
        <v>-9.01</v>
      </c>
      <c r="O309" s="1">
        <f ca="1">IFERROR(__xludf.DUMMYFUNCTION("""COMPUTED_VALUE"""),337)</f>
        <v>337</v>
      </c>
      <c r="P309" s="1">
        <f ca="1">IFERROR(__xludf.DUMMYFUNCTION("""COMPUTED_VALUE"""),98.2)</f>
        <v>98.2</v>
      </c>
      <c r="Q309" s="1">
        <f ca="1">IFERROR(__xludf.DUMMYFUNCTION("""COMPUTED_VALUE"""),332)</f>
        <v>332</v>
      </c>
      <c r="R309" s="1">
        <f ca="1">IFERROR(__xludf.DUMMYFUNCTION("""COMPUTED_VALUE"""),107.2)</f>
        <v>107.2</v>
      </c>
      <c r="S309" s="1">
        <f ca="1">IFERROR(__xludf.DUMMYFUNCTION("""COMPUTED_VALUE"""),338)</f>
        <v>338</v>
      </c>
      <c r="T309" s="1">
        <f ca="1">IFERROR(__xludf.DUMMYFUNCTION("""COMPUTED_VALUE"""),-8.89)</f>
        <v>-8.89</v>
      </c>
      <c r="U309" s="1">
        <f ca="1">IFERROR(__xludf.DUMMYFUNCTION("""COMPUTED_VALUE"""),336)</f>
        <v>336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IFERROR(__xludf.DUMMYFUNCTION("""COMPUTED_VALUE"""),"Mount St. Mary's")</f>
        <v>Mount St. Mary's</v>
      </c>
      <c r="C310" s="1" t="str">
        <f ca="1">IFERROR(__xludf.DUMMYFUNCTION("""COMPUTED_VALUE"""),"NEC")</f>
        <v>NEC</v>
      </c>
      <c r="D310" s="2">
        <f ca="1">IFERROR(__xludf.DUMMYFUNCTION("""COMPUTED_VALUE"""),44794)</f>
        <v>44794</v>
      </c>
      <c r="E310" s="1">
        <f ca="1">IFERROR(__xludf.DUMMYFUNCTION("""COMPUTED_VALUE"""),-12.21)</f>
        <v>-12.21</v>
      </c>
      <c r="F310" s="1">
        <f ca="1">IFERROR(__xludf.DUMMYFUNCTION("""COMPUTED_VALUE"""),93.4)</f>
        <v>93.4</v>
      </c>
      <c r="G310" s="1">
        <f ca="1">IFERROR(__xludf.DUMMYFUNCTION("""COMPUTED_VALUE"""),308)</f>
        <v>308</v>
      </c>
      <c r="H310" s="1">
        <f ca="1">IFERROR(__xludf.DUMMYFUNCTION("""COMPUTED_VALUE"""),105.6)</f>
        <v>105.6</v>
      </c>
      <c r="I310" s="1">
        <f ca="1">IFERROR(__xludf.DUMMYFUNCTION("""COMPUTED_VALUE"""),231)</f>
        <v>231</v>
      </c>
      <c r="J310" s="1">
        <f ca="1">IFERROR(__xludf.DUMMYFUNCTION("""COMPUTED_VALUE"""),62.6)</f>
        <v>62.6</v>
      </c>
      <c r="K310" s="1">
        <f ca="1">IFERROR(__xludf.DUMMYFUNCTION("""COMPUTED_VALUE"""),279)</f>
        <v>279</v>
      </c>
      <c r="L310" s="1">
        <f ca="1">IFERROR(__xludf.DUMMYFUNCTION("""COMPUTED_VALUE"""),-0.051)</f>
        <v>-5.0999999999999997E-2</v>
      </c>
      <c r="M310" s="1">
        <f ca="1">IFERROR(__xludf.DUMMYFUNCTION("""COMPUTED_VALUE"""),290)</f>
        <v>290</v>
      </c>
      <c r="N310" s="1">
        <f ca="1">IFERROR(__xludf.DUMMYFUNCTION("""COMPUTED_VALUE"""),-4.56)</f>
        <v>-4.5599999999999996</v>
      </c>
      <c r="O310" s="1">
        <f ca="1">IFERROR(__xludf.DUMMYFUNCTION("""COMPUTED_VALUE"""),276)</f>
        <v>276</v>
      </c>
      <c r="P310" s="1">
        <f ca="1">IFERROR(__xludf.DUMMYFUNCTION("""COMPUTED_VALUE"""),100.2)</f>
        <v>100.2</v>
      </c>
      <c r="Q310" s="1">
        <f ca="1">IFERROR(__xludf.DUMMYFUNCTION("""COMPUTED_VALUE"""),295)</f>
        <v>295</v>
      </c>
      <c r="R310" s="1">
        <f ca="1">IFERROR(__xludf.DUMMYFUNCTION("""COMPUTED_VALUE"""),104.8)</f>
        <v>104.8</v>
      </c>
      <c r="S310" s="1">
        <f ca="1">IFERROR(__xludf.DUMMYFUNCTION("""COMPUTED_VALUE"""),244)</f>
        <v>244</v>
      </c>
      <c r="T310" s="1" t="str">
        <f ca="1">IFERROR(__xludf.DUMMYFUNCTION("""COMPUTED_VALUE"""),"+0.43")</f>
        <v>+0.43</v>
      </c>
      <c r="U310" s="1">
        <f ca="1">IFERROR(__xludf.DUMMYFUNCTION("""COMPUTED_VALUE"""),142)</f>
        <v>142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IFERROR(__xludf.DUMMYFUNCTION("""COMPUTED_VALUE"""),"William &amp; Mary")</f>
        <v>William &amp; Mary</v>
      </c>
      <c r="C311" s="1" t="str">
        <f ca="1">IFERROR(__xludf.DUMMYFUNCTION("""COMPUTED_VALUE"""),"CAA")</f>
        <v>CAA</v>
      </c>
      <c r="D311" s="2">
        <f ca="1">IFERROR(__xludf.DUMMYFUNCTION("""COMPUTED_VALUE"""),44738)</f>
        <v>44738</v>
      </c>
      <c r="E311" s="1">
        <f ca="1">IFERROR(__xludf.DUMMYFUNCTION("""COMPUTED_VALUE"""),-12.55)</f>
        <v>-12.55</v>
      </c>
      <c r="F311" s="1">
        <f ca="1">IFERROR(__xludf.DUMMYFUNCTION("""COMPUTED_VALUE"""),98.1)</f>
        <v>98.1</v>
      </c>
      <c r="G311" s="1">
        <f ca="1">IFERROR(__xludf.DUMMYFUNCTION("""COMPUTED_VALUE"""),258)</f>
        <v>258</v>
      </c>
      <c r="H311" s="1">
        <f ca="1">IFERROR(__xludf.DUMMYFUNCTION("""COMPUTED_VALUE"""),110.6)</f>
        <v>110.6</v>
      </c>
      <c r="I311" s="1">
        <f ca="1">IFERROR(__xludf.DUMMYFUNCTION("""COMPUTED_VALUE"""),309)</f>
        <v>309</v>
      </c>
      <c r="J311" s="1">
        <f ca="1">IFERROR(__xludf.DUMMYFUNCTION("""COMPUTED_VALUE"""),62.3)</f>
        <v>62.3</v>
      </c>
      <c r="K311" s="1">
        <f ca="1">IFERROR(__xludf.DUMMYFUNCTION("""COMPUTED_VALUE"""),291)</f>
        <v>291</v>
      </c>
      <c r="L311" s="1">
        <f ca="1">IFERROR(__xludf.DUMMYFUNCTION("""COMPUTED_VALUE"""),-0.065)</f>
        <v>-6.5000000000000002E-2</v>
      </c>
      <c r="M311" s="1">
        <f ca="1">IFERROR(__xludf.DUMMYFUNCTION("""COMPUTED_VALUE"""),309)</f>
        <v>309</v>
      </c>
      <c r="N311" s="1" t="str">
        <f ca="1">IFERROR(__xludf.DUMMYFUNCTION("""COMPUTED_VALUE"""),"+0.17")</f>
        <v>+0.17</v>
      </c>
      <c r="O311" s="1">
        <f ca="1">IFERROR(__xludf.DUMMYFUNCTION("""COMPUTED_VALUE"""),152)</f>
        <v>152</v>
      </c>
      <c r="P311" s="1">
        <f ca="1">IFERROR(__xludf.DUMMYFUNCTION("""COMPUTED_VALUE"""),102.9)</f>
        <v>102.9</v>
      </c>
      <c r="Q311" s="1">
        <f ca="1">IFERROR(__xludf.DUMMYFUNCTION("""COMPUTED_VALUE"""),159)</f>
        <v>159</v>
      </c>
      <c r="R311" s="1">
        <f ca="1">IFERROR(__xludf.DUMMYFUNCTION("""COMPUTED_VALUE"""),102.8)</f>
        <v>102.8</v>
      </c>
      <c r="S311" s="1">
        <f ca="1">IFERROR(__xludf.DUMMYFUNCTION("""COMPUTED_VALUE"""),155)</f>
        <v>155</v>
      </c>
      <c r="T311" s="1">
        <f ca="1">IFERROR(__xludf.DUMMYFUNCTION("""COMPUTED_VALUE"""),-0.58)</f>
        <v>-0.57999999999999996</v>
      </c>
      <c r="U311" s="1">
        <f ca="1">IFERROR(__xludf.DUMMYFUNCTION("""COMPUTED_VALUE"""),177)</f>
        <v>177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IFERROR(__xludf.DUMMYFUNCTION("""COMPUTED_VALUE"""),"Dartmouth")</f>
        <v>Dartmouth</v>
      </c>
      <c r="C312" s="1" t="str">
        <f ca="1">IFERROR(__xludf.DUMMYFUNCTION("""COMPUTED_VALUE"""),"Ivy")</f>
        <v>Ivy</v>
      </c>
      <c r="D312" s="2">
        <f ca="1">IFERROR(__xludf.DUMMYFUNCTION("""COMPUTED_VALUE"""),44706)</f>
        <v>44706</v>
      </c>
      <c r="E312" s="1">
        <f ca="1">IFERROR(__xludf.DUMMYFUNCTION("""COMPUTED_VALUE"""),-12.92)</f>
        <v>-12.92</v>
      </c>
      <c r="F312" s="1">
        <f ca="1">IFERROR(__xludf.DUMMYFUNCTION("""COMPUTED_VALUE"""),91.2)</f>
        <v>91.2</v>
      </c>
      <c r="G312" s="1">
        <f ca="1">IFERROR(__xludf.DUMMYFUNCTION("""COMPUTED_VALUE"""),322)</f>
        <v>322</v>
      </c>
      <c r="H312" s="1">
        <f ca="1">IFERROR(__xludf.DUMMYFUNCTION("""COMPUTED_VALUE"""),104.1)</f>
        <v>104.1</v>
      </c>
      <c r="I312" s="1">
        <f ca="1">IFERROR(__xludf.DUMMYFUNCTION("""COMPUTED_VALUE"""),199)</f>
        <v>199</v>
      </c>
      <c r="J312" s="1">
        <f ca="1">IFERROR(__xludf.DUMMYFUNCTION("""COMPUTED_VALUE"""),62.6)</f>
        <v>62.6</v>
      </c>
      <c r="K312" s="1">
        <f ca="1">IFERROR(__xludf.DUMMYFUNCTION("""COMPUTED_VALUE"""),278)</f>
        <v>278</v>
      </c>
      <c r="L312" s="1">
        <f ca="1">IFERROR(__xludf.DUMMYFUNCTION("""COMPUTED_VALUE"""),-0.077)</f>
        <v>-7.6999999999999999E-2</v>
      </c>
      <c r="M312" s="1">
        <f ca="1">IFERROR(__xludf.DUMMYFUNCTION("""COMPUTED_VALUE"""),329)</f>
        <v>329</v>
      </c>
      <c r="N312" s="1">
        <f ca="1">IFERROR(__xludf.DUMMYFUNCTION("""COMPUTED_VALUE"""),-3.27)</f>
        <v>-3.27</v>
      </c>
      <c r="O312" s="1">
        <f ca="1">IFERROR(__xludf.DUMMYFUNCTION("""COMPUTED_VALUE"""),240)</f>
        <v>240</v>
      </c>
      <c r="P312" s="1">
        <f ca="1">IFERROR(__xludf.DUMMYFUNCTION("""COMPUTED_VALUE"""),101.4)</f>
        <v>101.4</v>
      </c>
      <c r="Q312" s="1">
        <f ca="1">IFERROR(__xludf.DUMMYFUNCTION("""COMPUTED_VALUE"""),243)</f>
        <v>243</v>
      </c>
      <c r="R312" s="1">
        <f ca="1">IFERROR(__xludf.DUMMYFUNCTION("""COMPUTED_VALUE"""),104.7)</f>
        <v>104.7</v>
      </c>
      <c r="S312" s="1">
        <f ca="1">IFERROR(__xludf.DUMMYFUNCTION("""COMPUTED_VALUE"""),240)</f>
        <v>240</v>
      </c>
      <c r="T312" s="1">
        <f ca="1">IFERROR(__xludf.DUMMYFUNCTION("""COMPUTED_VALUE"""),-6.23)</f>
        <v>-6.23</v>
      </c>
      <c r="U312" s="1">
        <f ca="1">IFERROR(__xludf.DUMMYFUNCTION("""COMPUTED_VALUE"""),316)</f>
        <v>316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IFERROR(__xludf.DUMMYFUNCTION("""COMPUTED_VALUE"""),"Army")</f>
        <v>Army</v>
      </c>
      <c r="C313" s="1" t="str">
        <f ca="1">IFERROR(__xludf.DUMMYFUNCTION("""COMPUTED_VALUE"""),"Pat")</f>
        <v>Pat</v>
      </c>
      <c r="D313" s="2">
        <f ca="1">IFERROR(__xludf.DUMMYFUNCTION("""COMPUTED_VALUE"""),44913)</f>
        <v>44913</v>
      </c>
      <c r="E313" s="1">
        <f ca="1">IFERROR(__xludf.DUMMYFUNCTION("""COMPUTED_VALUE"""),-12.92)</f>
        <v>-12.92</v>
      </c>
      <c r="F313" s="1">
        <f ca="1">IFERROR(__xludf.DUMMYFUNCTION("""COMPUTED_VALUE"""),93.7)</f>
        <v>93.7</v>
      </c>
      <c r="G313" s="1">
        <f ca="1">IFERROR(__xludf.DUMMYFUNCTION("""COMPUTED_VALUE"""),306)</f>
        <v>306</v>
      </c>
      <c r="H313" s="1">
        <f ca="1">IFERROR(__xludf.DUMMYFUNCTION("""COMPUTED_VALUE"""),106.7)</f>
        <v>106.7</v>
      </c>
      <c r="I313" s="1">
        <f ca="1">IFERROR(__xludf.DUMMYFUNCTION("""COMPUTED_VALUE"""),254)</f>
        <v>254</v>
      </c>
      <c r="J313" s="1">
        <f ca="1">IFERROR(__xludf.DUMMYFUNCTION("""COMPUTED_VALUE"""),68.2)</f>
        <v>68.2</v>
      </c>
      <c r="K313" s="1">
        <f ca="1">IFERROR(__xludf.DUMMYFUNCTION("""COMPUTED_VALUE"""),38)</f>
        <v>38</v>
      </c>
      <c r="L313" s="1">
        <f ca="1">IFERROR(__xludf.DUMMYFUNCTION("""COMPUTED_VALUE"""),-0.005)</f>
        <v>-5.0000000000000001E-3</v>
      </c>
      <c r="M313" s="1">
        <f ca="1">IFERROR(__xludf.DUMMYFUNCTION("""COMPUTED_VALUE"""),186)</f>
        <v>186</v>
      </c>
      <c r="N313" s="1">
        <f ca="1">IFERROR(__xludf.DUMMYFUNCTION("""COMPUTED_VALUE"""),-8.01)</f>
        <v>-8.01</v>
      </c>
      <c r="O313" s="1">
        <f ca="1">IFERROR(__xludf.DUMMYFUNCTION("""COMPUTED_VALUE"""),332)</f>
        <v>332</v>
      </c>
      <c r="P313" s="1">
        <f ca="1">IFERROR(__xludf.DUMMYFUNCTION("""COMPUTED_VALUE"""),99.2)</f>
        <v>99.2</v>
      </c>
      <c r="Q313" s="1">
        <f ca="1">IFERROR(__xludf.DUMMYFUNCTION("""COMPUTED_VALUE"""),316)</f>
        <v>316</v>
      </c>
      <c r="R313" s="1">
        <f ca="1">IFERROR(__xludf.DUMMYFUNCTION("""COMPUTED_VALUE"""),107.2)</f>
        <v>107.2</v>
      </c>
      <c r="S313" s="1">
        <f ca="1">IFERROR(__xludf.DUMMYFUNCTION("""COMPUTED_VALUE"""),339)</f>
        <v>339</v>
      </c>
      <c r="T313" s="1">
        <f ca="1">IFERROR(__xludf.DUMMYFUNCTION("""COMPUTED_VALUE"""),-11.94)</f>
        <v>-11.94</v>
      </c>
      <c r="U313" s="1">
        <f ca="1">IFERROR(__xludf.DUMMYFUNCTION("""COMPUTED_VALUE"""),344)</f>
        <v>344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IFERROR(__xludf.DUMMYFUNCTION("""COMPUTED_VALUE"""),"Eastern Illinois")</f>
        <v>Eastern Illinois</v>
      </c>
      <c r="C314" s="1" t="str">
        <f ca="1">IFERROR(__xludf.DUMMYFUNCTION("""COMPUTED_VALUE"""),"OVC")</f>
        <v>OVC</v>
      </c>
      <c r="D314" s="2">
        <f ca="1">IFERROR(__xludf.DUMMYFUNCTION("""COMPUTED_VALUE"""),44912)</f>
        <v>44912</v>
      </c>
      <c r="E314" s="1">
        <f ca="1">IFERROR(__xludf.DUMMYFUNCTION("""COMPUTED_VALUE"""),-13.07)</f>
        <v>-13.07</v>
      </c>
      <c r="F314" s="1">
        <f ca="1">IFERROR(__xludf.DUMMYFUNCTION("""COMPUTED_VALUE"""),97.6)</f>
        <v>97.6</v>
      </c>
      <c r="G314" s="1">
        <f ca="1">IFERROR(__xludf.DUMMYFUNCTION("""COMPUTED_VALUE"""),270)</f>
        <v>270</v>
      </c>
      <c r="H314" s="1">
        <f ca="1">IFERROR(__xludf.DUMMYFUNCTION("""COMPUTED_VALUE"""),110.6)</f>
        <v>110.6</v>
      </c>
      <c r="I314" s="1">
        <f ca="1">IFERROR(__xludf.DUMMYFUNCTION("""COMPUTED_VALUE"""),308)</f>
        <v>308</v>
      </c>
      <c r="J314" s="1">
        <f ca="1">IFERROR(__xludf.DUMMYFUNCTION("""COMPUTED_VALUE"""),63.1)</f>
        <v>63.1</v>
      </c>
      <c r="K314" s="1">
        <f ca="1">IFERROR(__xludf.DUMMYFUNCTION("""COMPUTED_VALUE"""),263)</f>
        <v>263</v>
      </c>
      <c r="L314" s="1" t="str">
        <f ca="1">IFERROR(__xludf.DUMMYFUNCTION("""COMPUTED_VALUE"""),"+.018")</f>
        <v>+.018</v>
      </c>
      <c r="M314" s="1">
        <f ca="1">IFERROR(__xludf.DUMMYFUNCTION("""COMPUTED_VALUE"""),126)</f>
        <v>126</v>
      </c>
      <c r="N314" s="1">
        <f ca="1">IFERROR(__xludf.DUMMYFUNCTION("""COMPUTED_VALUE"""),-6.67)</f>
        <v>-6.67</v>
      </c>
      <c r="O314" s="1">
        <f ca="1">IFERROR(__xludf.DUMMYFUNCTION("""COMPUTED_VALUE"""),317)</f>
        <v>317</v>
      </c>
      <c r="P314" s="1">
        <f ca="1">IFERROR(__xludf.DUMMYFUNCTION("""COMPUTED_VALUE"""),99.7)</f>
        <v>99.7</v>
      </c>
      <c r="Q314" s="1">
        <f ca="1">IFERROR(__xludf.DUMMYFUNCTION("""COMPUTED_VALUE"""),309)</f>
        <v>309</v>
      </c>
      <c r="R314" s="1">
        <f ca="1">IFERROR(__xludf.DUMMYFUNCTION("""COMPUTED_VALUE"""),106.3)</f>
        <v>106.3</v>
      </c>
      <c r="S314" s="1">
        <f ca="1">IFERROR(__xludf.DUMMYFUNCTION("""COMPUTED_VALUE"""),316)</f>
        <v>316</v>
      </c>
      <c r="T314" s="1">
        <f ca="1">IFERROR(__xludf.DUMMYFUNCTION("""COMPUTED_VALUE"""),-7.17)</f>
        <v>-7.17</v>
      </c>
      <c r="U314" s="1">
        <f ca="1">IFERROR(__xludf.DUMMYFUNCTION("""COMPUTED_VALUE"""),327)</f>
        <v>327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IFERROR(__xludf.DUMMYFUNCTION("""COMPUTED_VALUE"""),"NJIT")</f>
        <v>NJIT</v>
      </c>
      <c r="C315" s="1" t="str">
        <f ca="1">IFERROR(__xludf.DUMMYFUNCTION("""COMPUTED_VALUE"""),"GWC")</f>
        <v>GWC</v>
      </c>
      <c r="D315" s="1" t="str">
        <f ca="1">IFERROR(__xludf.DUMMYFUNCTION("""COMPUTED_VALUE"""),"15-17")</f>
        <v>15-17</v>
      </c>
      <c r="E315" s="1">
        <f ca="1">IFERROR(__xludf.DUMMYFUNCTION("""COMPUTED_VALUE"""),-13.11)</f>
        <v>-13.11</v>
      </c>
      <c r="F315" s="1">
        <f ca="1">IFERROR(__xludf.DUMMYFUNCTION("""COMPUTED_VALUE"""),96.6)</f>
        <v>96.6</v>
      </c>
      <c r="G315" s="1">
        <f ca="1">IFERROR(__xludf.DUMMYFUNCTION("""COMPUTED_VALUE"""),285)</f>
        <v>285</v>
      </c>
      <c r="H315" s="1">
        <f ca="1">IFERROR(__xludf.DUMMYFUNCTION("""COMPUTED_VALUE"""),109.7)</f>
        <v>109.7</v>
      </c>
      <c r="I315" s="1">
        <f ca="1">IFERROR(__xludf.DUMMYFUNCTION("""COMPUTED_VALUE"""),295)</f>
        <v>295</v>
      </c>
      <c r="J315" s="1">
        <f ca="1">IFERROR(__xludf.DUMMYFUNCTION("""COMPUTED_VALUE"""),64.1)</f>
        <v>64.099999999999994</v>
      </c>
      <c r="K315" s="1">
        <f ca="1">IFERROR(__xludf.DUMMYFUNCTION("""COMPUTED_VALUE"""),219)</f>
        <v>219</v>
      </c>
      <c r="L315" s="1">
        <f ca="1">IFERROR(__xludf.DUMMYFUNCTION("""COMPUTED_VALUE"""),-0.025)</f>
        <v>-2.5000000000000001E-2</v>
      </c>
      <c r="M315" s="1">
        <f ca="1">IFERROR(__xludf.DUMMYFUNCTION("""COMPUTED_VALUE"""),238)</f>
        <v>238</v>
      </c>
      <c r="N315" s="1">
        <f ca="1">IFERROR(__xludf.DUMMYFUNCTION("""COMPUTED_VALUE"""),-9.71)</f>
        <v>-9.7100000000000009</v>
      </c>
      <c r="O315" s="1">
        <f ca="1">IFERROR(__xludf.DUMMYFUNCTION("""COMPUTED_VALUE"""),340)</f>
        <v>340</v>
      </c>
      <c r="P315" s="1">
        <f ca="1">IFERROR(__xludf.DUMMYFUNCTION("""COMPUTED_VALUE"""),97.9)</f>
        <v>97.9</v>
      </c>
      <c r="Q315" s="1">
        <f ca="1">IFERROR(__xludf.DUMMYFUNCTION("""COMPUTED_VALUE"""),334)</f>
        <v>334</v>
      </c>
      <c r="R315" s="1">
        <f ca="1">IFERROR(__xludf.DUMMYFUNCTION("""COMPUTED_VALUE"""),107.6)</f>
        <v>107.6</v>
      </c>
      <c r="S315" s="1">
        <f ca="1">IFERROR(__xludf.DUMMYFUNCTION("""COMPUTED_VALUE"""),343)</f>
        <v>343</v>
      </c>
      <c r="T315" s="1">
        <f ca="1">IFERROR(__xludf.DUMMYFUNCTION("""COMPUTED_VALUE"""),-4.54)</f>
        <v>-4.54</v>
      </c>
      <c r="U315" s="1">
        <f ca="1">IFERROR(__xludf.DUMMYFUNCTION("""COMPUTED_VALUE"""),284)</f>
        <v>284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IFERROR(__xludf.DUMMYFUNCTION("""COMPUTED_VALUE"""),"North Carolina A&amp;T")</f>
        <v>North Carolina A&amp;T</v>
      </c>
      <c r="C316" s="1" t="str">
        <f ca="1">IFERROR(__xludf.DUMMYFUNCTION("""COMPUTED_VALUE"""),"MEAC")</f>
        <v>MEAC</v>
      </c>
      <c r="D316" s="2">
        <f ca="1">IFERROR(__xludf.DUMMYFUNCTION("""COMPUTED_VALUE"""),44915)</f>
        <v>44915</v>
      </c>
      <c r="E316" s="1">
        <f ca="1">IFERROR(__xludf.DUMMYFUNCTION("""COMPUTED_VALUE"""),-13.18)</f>
        <v>-13.18</v>
      </c>
      <c r="F316" s="1">
        <f ca="1">IFERROR(__xludf.DUMMYFUNCTION("""COMPUTED_VALUE"""),94)</f>
        <v>94</v>
      </c>
      <c r="G316" s="1">
        <f ca="1">IFERROR(__xludf.DUMMYFUNCTION("""COMPUTED_VALUE"""),305)</f>
        <v>305</v>
      </c>
      <c r="H316" s="1">
        <f ca="1">IFERROR(__xludf.DUMMYFUNCTION("""COMPUTED_VALUE"""),107.2)</f>
        <v>107.2</v>
      </c>
      <c r="I316" s="1">
        <f ca="1">IFERROR(__xludf.DUMMYFUNCTION("""COMPUTED_VALUE"""),263)</f>
        <v>263</v>
      </c>
      <c r="J316" s="1">
        <f ca="1">IFERROR(__xludf.DUMMYFUNCTION("""COMPUTED_VALUE"""),68.1)</f>
        <v>68.099999999999994</v>
      </c>
      <c r="K316" s="1">
        <f ca="1">IFERROR(__xludf.DUMMYFUNCTION("""COMPUTED_VALUE"""),41)</f>
        <v>41</v>
      </c>
      <c r="L316" s="1">
        <f ca="1">IFERROR(__xludf.DUMMYFUNCTION("""COMPUTED_VALUE"""),-0.024)</f>
        <v>-2.4E-2</v>
      </c>
      <c r="M316" s="1">
        <f ca="1">IFERROR(__xludf.DUMMYFUNCTION("""COMPUTED_VALUE"""),233)</f>
        <v>233</v>
      </c>
      <c r="N316" s="1">
        <f ca="1">IFERROR(__xludf.DUMMYFUNCTION("""COMPUTED_VALUE"""),-5.08)</f>
        <v>-5.08</v>
      </c>
      <c r="O316" s="1">
        <f ca="1">IFERROR(__xludf.DUMMYFUNCTION("""COMPUTED_VALUE"""),288)</f>
        <v>288</v>
      </c>
      <c r="P316" s="1">
        <f ca="1">IFERROR(__xludf.DUMMYFUNCTION("""COMPUTED_VALUE"""),100.7)</f>
        <v>100.7</v>
      </c>
      <c r="Q316" s="1">
        <f ca="1">IFERROR(__xludf.DUMMYFUNCTION("""COMPUTED_VALUE"""),275)</f>
        <v>275</v>
      </c>
      <c r="R316" s="1">
        <f ca="1">IFERROR(__xludf.DUMMYFUNCTION("""COMPUTED_VALUE"""),105.8)</f>
        <v>105.8</v>
      </c>
      <c r="S316" s="1">
        <f ca="1">IFERROR(__xludf.DUMMYFUNCTION("""COMPUTED_VALUE"""),293)</f>
        <v>293</v>
      </c>
      <c r="T316" s="1" t="str">
        <f ca="1">IFERROR(__xludf.DUMMYFUNCTION("""COMPUTED_VALUE"""),"+6.39")</f>
        <v>+6.39</v>
      </c>
      <c r="U316" s="1">
        <f ca="1">IFERROR(__xludf.DUMMYFUNCTION("""COMPUTED_VALUE"""),26)</f>
        <v>26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IFERROR(__xludf.DUMMYFUNCTION("""COMPUTED_VALUE"""),"Southeastern Louisiana")</f>
        <v>Southeastern Louisiana</v>
      </c>
      <c r="C317" s="1" t="str">
        <f ca="1">IFERROR(__xludf.DUMMYFUNCTION("""COMPUTED_VALUE"""),"Slnd")</f>
        <v>Slnd</v>
      </c>
      <c r="D317" s="2">
        <f ca="1">IFERROR(__xludf.DUMMYFUNCTION("""COMPUTED_VALUE"""),44912)</f>
        <v>44912</v>
      </c>
      <c r="E317" s="1">
        <f ca="1">IFERROR(__xludf.DUMMYFUNCTION("""COMPUTED_VALUE"""),-13.46)</f>
        <v>-13.46</v>
      </c>
      <c r="F317" s="1">
        <f ca="1">IFERROR(__xludf.DUMMYFUNCTION("""COMPUTED_VALUE"""),86.5)</f>
        <v>86.5</v>
      </c>
      <c r="G317" s="1">
        <f ca="1">IFERROR(__xludf.DUMMYFUNCTION("""COMPUTED_VALUE"""),343)</f>
        <v>343</v>
      </c>
      <c r="H317" s="1">
        <f ca="1">IFERROR(__xludf.DUMMYFUNCTION("""COMPUTED_VALUE"""),99.9)</f>
        <v>99.9</v>
      </c>
      <c r="I317" s="1">
        <f ca="1">IFERROR(__xludf.DUMMYFUNCTION("""COMPUTED_VALUE"""),115)</f>
        <v>115</v>
      </c>
      <c r="J317" s="1">
        <f ca="1">IFERROR(__xludf.DUMMYFUNCTION("""COMPUTED_VALUE"""),63)</f>
        <v>63</v>
      </c>
      <c r="K317" s="1">
        <f ca="1">IFERROR(__xludf.DUMMYFUNCTION("""COMPUTED_VALUE"""),267)</f>
        <v>267</v>
      </c>
      <c r="L317" s="1" t="str">
        <f ca="1">IFERROR(__xludf.DUMMYFUNCTION("""COMPUTED_VALUE"""),"+.011")</f>
        <v>+.011</v>
      </c>
      <c r="M317" s="1">
        <f ca="1">IFERROR(__xludf.DUMMYFUNCTION("""COMPUTED_VALUE"""),145)</f>
        <v>145</v>
      </c>
      <c r="N317" s="1">
        <f ca="1">IFERROR(__xludf.DUMMYFUNCTION("""COMPUTED_VALUE"""),-6.69)</f>
        <v>-6.69</v>
      </c>
      <c r="O317" s="1">
        <f ca="1">IFERROR(__xludf.DUMMYFUNCTION("""COMPUTED_VALUE"""),318)</f>
        <v>318</v>
      </c>
      <c r="P317" s="1">
        <f ca="1">IFERROR(__xludf.DUMMYFUNCTION("""COMPUTED_VALUE"""),99.3)</f>
        <v>99.3</v>
      </c>
      <c r="Q317" s="1">
        <f ca="1">IFERROR(__xludf.DUMMYFUNCTION("""COMPUTED_VALUE"""),314)</f>
        <v>314</v>
      </c>
      <c r="R317" s="1">
        <f ca="1">IFERROR(__xludf.DUMMYFUNCTION("""COMPUTED_VALUE"""),106)</f>
        <v>106</v>
      </c>
      <c r="S317" s="1">
        <f ca="1">IFERROR(__xludf.DUMMYFUNCTION("""COMPUTED_VALUE"""),306)</f>
        <v>306</v>
      </c>
      <c r="T317" s="1">
        <f ca="1">IFERROR(__xludf.DUMMYFUNCTION("""COMPUTED_VALUE"""),-4.72)</f>
        <v>-4.72</v>
      </c>
      <c r="U317" s="1">
        <f ca="1">IFERROR(__xludf.DUMMYFUNCTION("""COMPUTED_VALUE"""),287)</f>
        <v>287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IFERROR(__xludf.DUMMYFUNCTION("""COMPUTED_VALUE"""),"Utah")</f>
        <v>Utah</v>
      </c>
      <c r="C318" s="1" t="str">
        <f ca="1">IFERROR(__xludf.DUMMYFUNCTION("""COMPUTED_VALUE"""),"P12")</f>
        <v>P12</v>
      </c>
      <c r="D318" s="2">
        <f ca="1">IFERROR(__xludf.DUMMYFUNCTION("""COMPUTED_VALUE"""),44737)</f>
        <v>44737</v>
      </c>
      <c r="E318" s="1">
        <f ca="1">IFERROR(__xludf.DUMMYFUNCTION("""COMPUTED_VALUE"""),-13.69)</f>
        <v>-13.69</v>
      </c>
      <c r="F318" s="1">
        <f ca="1">IFERROR(__xludf.DUMMYFUNCTION("""COMPUTED_VALUE"""),93.3)</f>
        <v>93.3</v>
      </c>
      <c r="G318" s="1">
        <f ca="1">IFERROR(__xludf.DUMMYFUNCTION("""COMPUTED_VALUE"""),310)</f>
        <v>310</v>
      </c>
      <c r="H318" s="1">
        <f ca="1">IFERROR(__xludf.DUMMYFUNCTION("""COMPUTED_VALUE"""),107)</f>
        <v>107</v>
      </c>
      <c r="I318" s="1">
        <f ca="1">IFERROR(__xludf.DUMMYFUNCTION("""COMPUTED_VALUE"""),262)</f>
        <v>262</v>
      </c>
      <c r="J318" s="1">
        <f ca="1">IFERROR(__xludf.DUMMYFUNCTION("""COMPUTED_VALUE"""),60.8)</f>
        <v>60.8</v>
      </c>
      <c r="K318" s="1">
        <f ca="1">IFERROR(__xludf.DUMMYFUNCTION("""COMPUTED_VALUE"""),322)</f>
        <v>322</v>
      </c>
      <c r="L318" s="1">
        <f ca="1">IFERROR(__xludf.DUMMYFUNCTION("""COMPUTED_VALUE"""),-0.01)</f>
        <v>-0.01</v>
      </c>
      <c r="M318" s="1">
        <f ca="1">IFERROR(__xludf.DUMMYFUNCTION("""COMPUTED_VALUE"""),195)</f>
        <v>195</v>
      </c>
      <c r="N318" s="1" t="str">
        <f ca="1">IFERROR(__xludf.DUMMYFUNCTION("""COMPUTED_VALUE"""),"+5.41")</f>
        <v>+5.41</v>
      </c>
      <c r="O318" s="1">
        <f ca="1">IFERROR(__xludf.DUMMYFUNCTION("""COMPUTED_VALUE"""),58)</f>
        <v>58</v>
      </c>
      <c r="P318" s="1">
        <f ca="1">IFERROR(__xludf.DUMMYFUNCTION("""COMPUTED_VALUE"""),106.1)</f>
        <v>106.1</v>
      </c>
      <c r="Q318" s="1">
        <f ca="1">IFERROR(__xludf.DUMMYFUNCTION("""COMPUTED_VALUE"""),46)</f>
        <v>46</v>
      </c>
      <c r="R318" s="1">
        <f ca="1">IFERROR(__xludf.DUMMYFUNCTION("""COMPUTED_VALUE"""),100.7)</f>
        <v>100.7</v>
      </c>
      <c r="S318" s="1">
        <f ca="1">IFERROR(__xludf.DUMMYFUNCTION("""COMPUTED_VALUE"""),70)</f>
        <v>70</v>
      </c>
      <c r="T318" s="1">
        <f ca="1">IFERROR(__xludf.DUMMYFUNCTION("""COMPUTED_VALUE"""),-0.12)</f>
        <v>-0.12</v>
      </c>
      <c r="U318" s="1">
        <f ca="1">IFERROR(__xludf.DUMMYFUNCTION("""COMPUTED_VALUE"""),162)</f>
        <v>162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IFERROR(__xludf.DUMMYFUNCTION("""COMPUTED_VALUE"""),"Cal St. Northridge")</f>
        <v>Cal St. Northridge</v>
      </c>
      <c r="C319" s="1" t="str">
        <f ca="1">IFERROR(__xludf.DUMMYFUNCTION("""COMPUTED_VALUE"""),"BW")</f>
        <v>BW</v>
      </c>
      <c r="D319" s="2">
        <f ca="1">IFERROR(__xludf.DUMMYFUNCTION("""COMPUTED_VALUE"""),44763)</f>
        <v>44763</v>
      </c>
      <c r="E319" s="1">
        <f ca="1">IFERROR(__xludf.DUMMYFUNCTION("""COMPUTED_VALUE"""),-13.77)</f>
        <v>-13.77</v>
      </c>
      <c r="F319" s="1">
        <f ca="1">IFERROR(__xludf.DUMMYFUNCTION("""COMPUTED_VALUE"""),98.2)</f>
        <v>98.2</v>
      </c>
      <c r="G319" s="1">
        <f ca="1">IFERROR(__xludf.DUMMYFUNCTION("""COMPUTED_VALUE"""),255)</f>
        <v>255</v>
      </c>
      <c r="H319" s="1">
        <f ca="1">IFERROR(__xludf.DUMMYFUNCTION("""COMPUTED_VALUE"""),112)</f>
        <v>112</v>
      </c>
      <c r="I319" s="1">
        <f ca="1">IFERROR(__xludf.DUMMYFUNCTION("""COMPUTED_VALUE"""),323)</f>
        <v>323</v>
      </c>
      <c r="J319" s="1">
        <f ca="1">IFERROR(__xludf.DUMMYFUNCTION("""COMPUTED_VALUE"""),67.9)</f>
        <v>67.900000000000006</v>
      </c>
      <c r="K319" s="1">
        <f ca="1">IFERROR(__xludf.DUMMYFUNCTION("""COMPUTED_VALUE"""),49)</f>
        <v>49</v>
      </c>
      <c r="L319" s="1">
        <f ca="1">IFERROR(__xludf.DUMMYFUNCTION("""COMPUTED_VALUE"""),-0.049)</f>
        <v>-4.9000000000000002E-2</v>
      </c>
      <c r="M319" s="1">
        <f ca="1">IFERROR(__xludf.DUMMYFUNCTION("""COMPUTED_VALUE"""),284)</f>
        <v>284</v>
      </c>
      <c r="N319" s="1">
        <f ca="1">IFERROR(__xludf.DUMMYFUNCTION("""COMPUTED_VALUE"""),-2.32)</f>
        <v>-2.3199999999999998</v>
      </c>
      <c r="O319" s="1">
        <f ca="1">IFERROR(__xludf.DUMMYFUNCTION("""COMPUTED_VALUE"""),207)</f>
        <v>207</v>
      </c>
      <c r="P319" s="1">
        <f ca="1">IFERROR(__xludf.DUMMYFUNCTION("""COMPUTED_VALUE"""),102.2)</f>
        <v>102.2</v>
      </c>
      <c r="Q319" s="1">
        <f ca="1">IFERROR(__xludf.DUMMYFUNCTION("""COMPUTED_VALUE"""),203)</f>
        <v>203</v>
      </c>
      <c r="R319" s="1">
        <f ca="1">IFERROR(__xludf.DUMMYFUNCTION("""COMPUTED_VALUE"""),104.5)</f>
        <v>104.5</v>
      </c>
      <c r="S319" s="1">
        <f ca="1">IFERROR(__xludf.DUMMYFUNCTION("""COMPUTED_VALUE"""),228)</f>
        <v>228</v>
      </c>
      <c r="T319" s="1">
        <f ca="1">IFERROR(__xludf.DUMMYFUNCTION("""COMPUTED_VALUE"""),-0.25)</f>
        <v>-0.25</v>
      </c>
      <c r="U319" s="1">
        <f ca="1">IFERROR(__xludf.DUMMYFUNCTION("""COMPUTED_VALUE"""),165)</f>
        <v>165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IFERROR(__xludf.DUMMYFUNCTION("""COMPUTED_VALUE"""),"Idaho St.")</f>
        <v>Idaho St.</v>
      </c>
      <c r="C320" s="1" t="str">
        <f ca="1">IFERROR(__xludf.DUMMYFUNCTION("""COMPUTED_VALUE"""),"BSky")</f>
        <v>BSky</v>
      </c>
      <c r="D320" s="2">
        <f ca="1">IFERROR(__xludf.DUMMYFUNCTION("""COMPUTED_VALUE"""),44825)</f>
        <v>44825</v>
      </c>
      <c r="E320" s="1">
        <f ca="1">IFERROR(__xludf.DUMMYFUNCTION("""COMPUTED_VALUE"""),-13.93)</f>
        <v>-13.93</v>
      </c>
      <c r="F320" s="1">
        <f ca="1">IFERROR(__xludf.DUMMYFUNCTION("""COMPUTED_VALUE"""),97.1)</f>
        <v>97.1</v>
      </c>
      <c r="G320" s="1">
        <f ca="1">IFERROR(__xludf.DUMMYFUNCTION("""COMPUTED_VALUE"""),279)</f>
        <v>279</v>
      </c>
      <c r="H320" s="1">
        <f ca="1">IFERROR(__xludf.DUMMYFUNCTION("""COMPUTED_VALUE"""),111)</f>
        <v>111</v>
      </c>
      <c r="I320" s="1">
        <f ca="1">IFERROR(__xludf.DUMMYFUNCTION("""COMPUTED_VALUE"""),315)</f>
        <v>315</v>
      </c>
      <c r="J320" s="1">
        <f ca="1">IFERROR(__xludf.DUMMYFUNCTION("""COMPUTED_VALUE"""),64.9)</f>
        <v>64.900000000000006</v>
      </c>
      <c r="K320" s="1">
        <f ca="1">IFERROR(__xludf.DUMMYFUNCTION("""COMPUTED_VALUE"""),177)</f>
        <v>177</v>
      </c>
      <c r="L320" s="1" t="str">
        <f ca="1">IFERROR(__xludf.DUMMYFUNCTION("""COMPUTED_VALUE"""),"+.027")</f>
        <v>+.027</v>
      </c>
      <c r="M320" s="1">
        <f ca="1">IFERROR(__xludf.DUMMYFUNCTION("""COMPUTED_VALUE"""),100)</f>
        <v>100</v>
      </c>
      <c r="N320" s="1">
        <f ca="1">IFERROR(__xludf.DUMMYFUNCTION("""COMPUTED_VALUE"""),-3.06)</f>
        <v>-3.06</v>
      </c>
      <c r="O320" s="1">
        <f ca="1">IFERROR(__xludf.DUMMYFUNCTION("""COMPUTED_VALUE"""),234)</f>
        <v>234</v>
      </c>
      <c r="P320" s="1">
        <f ca="1">IFERROR(__xludf.DUMMYFUNCTION("""COMPUTED_VALUE"""),101.9)</f>
        <v>101.9</v>
      </c>
      <c r="Q320" s="1">
        <f ca="1">IFERROR(__xludf.DUMMYFUNCTION("""COMPUTED_VALUE"""),216)</f>
        <v>216</v>
      </c>
      <c r="R320" s="1">
        <f ca="1">IFERROR(__xludf.DUMMYFUNCTION("""COMPUTED_VALUE"""),104.9)</f>
        <v>104.9</v>
      </c>
      <c r="S320" s="1">
        <f ca="1">IFERROR(__xludf.DUMMYFUNCTION("""COMPUTED_VALUE"""),253)</f>
        <v>253</v>
      </c>
      <c r="T320" s="1" t="str">
        <f ca="1">IFERROR(__xludf.DUMMYFUNCTION("""COMPUTED_VALUE"""),"+2.01")</f>
        <v>+2.01</v>
      </c>
      <c r="U320" s="1">
        <f ca="1">IFERROR(__xludf.DUMMYFUNCTION("""COMPUTED_VALUE"""),98)</f>
        <v>98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IFERROR(__xludf.DUMMYFUNCTION("""COMPUTED_VALUE"""),"Hartford")</f>
        <v>Hartford</v>
      </c>
      <c r="C321" s="1" t="str">
        <f ca="1">IFERROR(__xludf.DUMMYFUNCTION("""COMPUTED_VALUE"""),"AE")</f>
        <v>AE</v>
      </c>
      <c r="D321" s="2">
        <f ca="1">IFERROR(__xludf.DUMMYFUNCTION("""COMPUTED_VALUE"""),44826)</f>
        <v>44826</v>
      </c>
      <c r="E321" s="1">
        <f ca="1">IFERROR(__xludf.DUMMYFUNCTION("""COMPUTED_VALUE"""),-14.72)</f>
        <v>-14.72</v>
      </c>
      <c r="F321" s="1">
        <f ca="1">IFERROR(__xludf.DUMMYFUNCTION("""COMPUTED_VALUE"""),91.3)</f>
        <v>91.3</v>
      </c>
      <c r="G321" s="1">
        <f ca="1">IFERROR(__xludf.DUMMYFUNCTION("""COMPUTED_VALUE"""),320)</f>
        <v>320</v>
      </c>
      <c r="H321" s="1">
        <f ca="1">IFERROR(__xludf.DUMMYFUNCTION("""COMPUTED_VALUE"""),106)</f>
        <v>106</v>
      </c>
      <c r="I321" s="1">
        <f ca="1">IFERROR(__xludf.DUMMYFUNCTION("""COMPUTED_VALUE"""),239)</f>
        <v>239</v>
      </c>
      <c r="J321" s="1">
        <f ca="1">IFERROR(__xludf.DUMMYFUNCTION("""COMPUTED_VALUE"""),64.2)</f>
        <v>64.2</v>
      </c>
      <c r="K321" s="1">
        <f ca="1">IFERROR(__xludf.DUMMYFUNCTION("""COMPUTED_VALUE"""),216)</f>
        <v>216</v>
      </c>
      <c r="L321" s="1">
        <f ca="1">IFERROR(__xludf.DUMMYFUNCTION("""COMPUTED_VALUE"""),-0.019)</f>
        <v>-1.9E-2</v>
      </c>
      <c r="M321" s="1">
        <f ca="1">IFERROR(__xludf.DUMMYFUNCTION("""COMPUTED_VALUE"""),222)</f>
        <v>222</v>
      </c>
      <c r="N321" s="1">
        <f ca="1">IFERROR(__xludf.DUMMYFUNCTION("""COMPUTED_VALUE"""),-6.2)</f>
        <v>-6.2</v>
      </c>
      <c r="O321" s="1">
        <f ca="1">IFERROR(__xludf.DUMMYFUNCTION("""COMPUTED_VALUE"""),311)</f>
        <v>311</v>
      </c>
      <c r="P321" s="1">
        <f ca="1">IFERROR(__xludf.DUMMYFUNCTION("""COMPUTED_VALUE"""),99.1)</f>
        <v>99.1</v>
      </c>
      <c r="Q321" s="1">
        <f ca="1">IFERROR(__xludf.DUMMYFUNCTION("""COMPUTED_VALUE"""),318)</f>
        <v>318</v>
      </c>
      <c r="R321" s="1">
        <f ca="1">IFERROR(__xludf.DUMMYFUNCTION("""COMPUTED_VALUE"""),105.3)</f>
        <v>105.3</v>
      </c>
      <c r="S321" s="1">
        <f ca="1">IFERROR(__xludf.DUMMYFUNCTION("""COMPUTED_VALUE"""),275)</f>
        <v>275</v>
      </c>
      <c r="T321" s="1">
        <f ca="1">IFERROR(__xludf.DUMMYFUNCTION("""COMPUTED_VALUE"""),-3.04)</f>
        <v>-3.04</v>
      </c>
      <c r="U321" s="1">
        <f ca="1">IFERROR(__xludf.DUMMYFUNCTION("""COMPUTED_VALUE"""),245)</f>
        <v>245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IFERROR(__xludf.DUMMYFUNCTION("""COMPUTED_VALUE"""),"Texas A&amp;M Corpus Chris")</f>
        <v>Texas A&amp;M Corpus Chris</v>
      </c>
      <c r="C322" s="1" t="str">
        <f ca="1">IFERROR(__xludf.DUMMYFUNCTION("""COMPUTED_VALUE"""),"Slnd")</f>
        <v>Slnd</v>
      </c>
      <c r="D322" s="2">
        <f ca="1">IFERROR(__xludf.DUMMYFUNCTION("""COMPUTED_VALUE"""),44736)</f>
        <v>44736</v>
      </c>
      <c r="E322" s="1">
        <f ca="1">IFERROR(__xludf.DUMMYFUNCTION("""COMPUTED_VALUE"""),-14.94)</f>
        <v>-14.94</v>
      </c>
      <c r="F322" s="1">
        <f ca="1">IFERROR(__xludf.DUMMYFUNCTION("""COMPUTED_VALUE"""),89.9)</f>
        <v>89.9</v>
      </c>
      <c r="G322" s="1">
        <f ca="1">IFERROR(__xludf.DUMMYFUNCTION("""COMPUTED_VALUE"""),331)</f>
        <v>331</v>
      </c>
      <c r="H322" s="1">
        <f ca="1">IFERROR(__xludf.DUMMYFUNCTION("""COMPUTED_VALUE"""),104.8)</f>
        <v>104.8</v>
      </c>
      <c r="I322" s="1">
        <f ca="1">IFERROR(__xludf.DUMMYFUNCTION("""COMPUTED_VALUE"""),215)</f>
        <v>215</v>
      </c>
      <c r="J322" s="1">
        <f ca="1">IFERROR(__xludf.DUMMYFUNCTION("""COMPUTED_VALUE"""),64.8)</f>
        <v>64.8</v>
      </c>
      <c r="K322" s="1">
        <f ca="1">IFERROR(__xludf.DUMMYFUNCTION("""COMPUTED_VALUE"""),180)</f>
        <v>180</v>
      </c>
      <c r="L322" s="1" t="str">
        <f ca="1">IFERROR(__xludf.DUMMYFUNCTION("""COMPUTED_VALUE"""),"+.026")</f>
        <v>+.026</v>
      </c>
      <c r="M322" s="1">
        <f ca="1">IFERROR(__xludf.DUMMYFUNCTION("""COMPUTED_VALUE"""),104)</f>
        <v>104</v>
      </c>
      <c r="N322" s="1">
        <f ca="1">IFERROR(__xludf.DUMMYFUNCTION("""COMPUTED_VALUE"""),-2.65)</f>
        <v>-2.65</v>
      </c>
      <c r="O322" s="1">
        <f ca="1">IFERROR(__xludf.DUMMYFUNCTION("""COMPUTED_VALUE"""),220)</f>
        <v>220</v>
      </c>
      <c r="P322" s="1">
        <f ca="1">IFERROR(__xludf.DUMMYFUNCTION("""COMPUTED_VALUE"""),100.7)</f>
        <v>100.7</v>
      </c>
      <c r="Q322" s="1">
        <f ca="1">IFERROR(__xludf.DUMMYFUNCTION("""COMPUTED_VALUE"""),274)</f>
        <v>274</v>
      </c>
      <c r="R322" s="1">
        <f ca="1">IFERROR(__xludf.DUMMYFUNCTION("""COMPUTED_VALUE"""),103.4)</f>
        <v>103.4</v>
      </c>
      <c r="S322" s="1">
        <f ca="1">IFERROR(__xludf.DUMMYFUNCTION("""COMPUTED_VALUE"""),171)</f>
        <v>171</v>
      </c>
      <c r="T322" s="1" t="str">
        <f ca="1">IFERROR(__xludf.DUMMYFUNCTION("""COMPUTED_VALUE"""),"+1.26")</f>
        <v>+1.26</v>
      </c>
      <c r="U322" s="1">
        <f ca="1">IFERROR(__xludf.DUMMYFUNCTION("""COMPUTED_VALUE"""),117)</f>
        <v>117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IFERROR(__xludf.DUMMYFUNCTION("""COMPUTED_VALUE"""),"SIU Edwardsville")</f>
        <v>SIU Edwardsville</v>
      </c>
      <c r="C323" s="1" t="str">
        <f ca="1">IFERROR(__xludf.DUMMYFUNCTION("""COMPUTED_VALUE"""),"OVC")</f>
        <v>OVC</v>
      </c>
      <c r="D323" s="2">
        <f ca="1">IFERROR(__xludf.DUMMYFUNCTION("""COMPUTED_VALUE"""),44851)</f>
        <v>44851</v>
      </c>
      <c r="E323" s="1">
        <f ca="1">IFERROR(__xludf.DUMMYFUNCTION("""COMPUTED_VALUE"""),-15.1)</f>
        <v>-15.1</v>
      </c>
      <c r="F323" s="1">
        <f ca="1">IFERROR(__xludf.DUMMYFUNCTION("""COMPUTED_VALUE"""),95.4)</f>
        <v>95.4</v>
      </c>
      <c r="G323" s="1">
        <f ca="1">IFERROR(__xludf.DUMMYFUNCTION("""COMPUTED_VALUE"""),289)</f>
        <v>289</v>
      </c>
      <c r="H323" s="1">
        <f ca="1">IFERROR(__xludf.DUMMYFUNCTION("""COMPUTED_VALUE"""),110.5)</f>
        <v>110.5</v>
      </c>
      <c r="I323" s="1">
        <f ca="1">IFERROR(__xludf.DUMMYFUNCTION("""COMPUTED_VALUE"""),303)</f>
        <v>303</v>
      </c>
      <c r="J323" s="1">
        <f ca="1">IFERROR(__xludf.DUMMYFUNCTION("""COMPUTED_VALUE"""),67.7)</f>
        <v>67.7</v>
      </c>
      <c r="K323" s="1">
        <f ca="1">IFERROR(__xludf.DUMMYFUNCTION("""COMPUTED_VALUE"""),53)</f>
        <v>53</v>
      </c>
      <c r="L323" s="1" t="str">
        <f ca="1">IFERROR(__xludf.DUMMYFUNCTION("""COMPUTED_VALUE"""),"+.060")</f>
        <v>+.060</v>
      </c>
      <c r="M323" s="1">
        <f ca="1">IFERROR(__xludf.DUMMYFUNCTION("""COMPUTED_VALUE"""),38)</f>
        <v>38</v>
      </c>
      <c r="N323" s="1">
        <f ca="1">IFERROR(__xludf.DUMMYFUNCTION("""COMPUTED_VALUE"""),-5.63)</f>
        <v>-5.63</v>
      </c>
      <c r="O323" s="1">
        <f ca="1">IFERROR(__xludf.DUMMYFUNCTION("""COMPUTED_VALUE"""),301)</f>
        <v>301</v>
      </c>
      <c r="P323" s="1">
        <f ca="1">IFERROR(__xludf.DUMMYFUNCTION("""COMPUTED_VALUE"""),100.3)</f>
        <v>100.3</v>
      </c>
      <c r="Q323" s="1">
        <f ca="1">IFERROR(__xludf.DUMMYFUNCTION("""COMPUTED_VALUE"""),291)</f>
        <v>291</v>
      </c>
      <c r="R323" s="1">
        <f ca="1">IFERROR(__xludf.DUMMYFUNCTION("""COMPUTED_VALUE"""),105.9)</f>
        <v>105.9</v>
      </c>
      <c r="S323" s="1">
        <f ca="1">IFERROR(__xludf.DUMMYFUNCTION("""COMPUTED_VALUE"""),304)</f>
        <v>304</v>
      </c>
      <c r="T323" s="1">
        <f ca="1">IFERROR(__xludf.DUMMYFUNCTION("""COMPUTED_VALUE"""),-5.33)</f>
        <v>-5.33</v>
      </c>
      <c r="U323" s="1">
        <f ca="1">IFERROR(__xludf.DUMMYFUNCTION("""COMPUTED_VALUE"""),303)</f>
        <v>303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IFERROR(__xludf.DUMMYFUNCTION("""COMPUTED_VALUE"""),"Howard")</f>
        <v>Howard</v>
      </c>
      <c r="C324" s="1" t="str">
        <f ca="1">IFERROR(__xludf.DUMMYFUNCTION("""COMPUTED_VALUE"""),"MEAC")</f>
        <v>MEAC</v>
      </c>
      <c r="D324" s="2">
        <f ca="1">IFERROR(__xludf.DUMMYFUNCTION("""COMPUTED_VALUE"""),44855)</f>
        <v>44855</v>
      </c>
      <c r="E324" s="1">
        <f ca="1">IFERROR(__xludf.DUMMYFUNCTION("""COMPUTED_VALUE"""),-15.16)</f>
        <v>-15.16</v>
      </c>
      <c r="F324" s="1">
        <f ca="1">IFERROR(__xludf.DUMMYFUNCTION("""COMPUTED_VALUE"""),91)</f>
        <v>91</v>
      </c>
      <c r="G324" s="1">
        <f ca="1">IFERROR(__xludf.DUMMYFUNCTION("""COMPUTED_VALUE"""),323)</f>
        <v>323</v>
      </c>
      <c r="H324" s="1">
        <f ca="1">IFERROR(__xludf.DUMMYFUNCTION("""COMPUTED_VALUE"""),106.1)</f>
        <v>106.1</v>
      </c>
      <c r="I324" s="1">
        <f ca="1">IFERROR(__xludf.DUMMYFUNCTION("""COMPUTED_VALUE"""),243)</f>
        <v>243</v>
      </c>
      <c r="J324" s="1">
        <f ca="1">IFERROR(__xludf.DUMMYFUNCTION("""COMPUTED_VALUE"""),65.4)</f>
        <v>65.400000000000006</v>
      </c>
      <c r="K324" s="1">
        <f ca="1">IFERROR(__xludf.DUMMYFUNCTION("""COMPUTED_VALUE"""),151)</f>
        <v>151</v>
      </c>
      <c r="L324" s="1" t="str">
        <f ca="1">IFERROR(__xludf.DUMMYFUNCTION("""COMPUTED_VALUE"""),"+.040")</f>
        <v>+.040</v>
      </c>
      <c r="M324" s="1">
        <f ca="1">IFERROR(__xludf.DUMMYFUNCTION("""COMPUTED_VALUE"""),70)</f>
        <v>70</v>
      </c>
      <c r="N324" s="1">
        <f ca="1">IFERROR(__xludf.DUMMYFUNCTION("""COMPUTED_VALUE"""),-3.99)</f>
        <v>-3.99</v>
      </c>
      <c r="O324" s="1">
        <f ca="1">IFERROR(__xludf.DUMMYFUNCTION("""COMPUTED_VALUE"""),254)</f>
        <v>254</v>
      </c>
      <c r="P324" s="1">
        <f ca="1">IFERROR(__xludf.DUMMYFUNCTION("""COMPUTED_VALUE"""),100.5)</f>
        <v>100.5</v>
      </c>
      <c r="Q324" s="1">
        <f ca="1">IFERROR(__xludf.DUMMYFUNCTION("""COMPUTED_VALUE"""),286)</f>
        <v>286</v>
      </c>
      <c r="R324" s="1">
        <f ca="1">IFERROR(__xludf.DUMMYFUNCTION("""COMPUTED_VALUE"""),104.5)</f>
        <v>104.5</v>
      </c>
      <c r="S324" s="1">
        <f ca="1">IFERROR(__xludf.DUMMYFUNCTION("""COMPUTED_VALUE"""),222)</f>
        <v>222</v>
      </c>
      <c r="T324" s="1" t="str">
        <f ca="1">IFERROR(__xludf.DUMMYFUNCTION("""COMPUTED_VALUE"""),"+9.40")</f>
        <v>+9.40</v>
      </c>
      <c r="U324" s="1">
        <f ca="1">IFERROR(__xludf.DUMMYFUNCTION("""COMPUTED_VALUE"""),8)</f>
        <v>8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IFERROR(__xludf.DUMMYFUNCTION("""COMPUTED_VALUE"""),"St. Francis PA")</f>
        <v>St. Francis PA</v>
      </c>
      <c r="C325" s="1" t="str">
        <f ca="1">IFERROR(__xludf.DUMMYFUNCTION("""COMPUTED_VALUE"""),"NEC")</f>
        <v>NEC</v>
      </c>
      <c r="D325" s="2">
        <f ca="1">IFERROR(__xludf.DUMMYFUNCTION("""COMPUTED_VALUE"""),44735)</f>
        <v>44735</v>
      </c>
      <c r="E325" s="1">
        <f ca="1">IFERROR(__xludf.DUMMYFUNCTION("""COMPUTED_VALUE"""),-15.24)</f>
        <v>-15.24</v>
      </c>
      <c r="F325" s="1">
        <f ca="1">IFERROR(__xludf.DUMMYFUNCTION("""COMPUTED_VALUE"""),95.3)</f>
        <v>95.3</v>
      </c>
      <c r="G325" s="1">
        <f ca="1">IFERROR(__xludf.DUMMYFUNCTION("""COMPUTED_VALUE"""),292)</f>
        <v>292</v>
      </c>
      <c r="H325" s="1">
        <f ca="1">IFERROR(__xludf.DUMMYFUNCTION("""COMPUTED_VALUE"""),110.5)</f>
        <v>110.5</v>
      </c>
      <c r="I325" s="1">
        <f ca="1">IFERROR(__xludf.DUMMYFUNCTION("""COMPUTED_VALUE"""),304)</f>
        <v>304</v>
      </c>
      <c r="J325" s="1">
        <f ca="1">IFERROR(__xludf.DUMMYFUNCTION("""COMPUTED_VALUE"""),63)</f>
        <v>63</v>
      </c>
      <c r="K325" s="1">
        <f ca="1">IFERROR(__xludf.DUMMYFUNCTION("""COMPUTED_VALUE"""),271)</f>
        <v>271</v>
      </c>
      <c r="L325" s="1">
        <f ca="1">IFERROR(__xludf.DUMMYFUNCTION("""COMPUTED_VALUE"""),-0.049)</f>
        <v>-4.9000000000000002E-2</v>
      </c>
      <c r="M325" s="1">
        <f ca="1">IFERROR(__xludf.DUMMYFUNCTION("""COMPUTED_VALUE"""),283)</f>
        <v>283</v>
      </c>
      <c r="N325" s="1">
        <f ca="1">IFERROR(__xludf.DUMMYFUNCTION("""COMPUTED_VALUE"""),-3.55)</f>
        <v>-3.55</v>
      </c>
      <c r="O325" s="1">
        <f ca="1">IFERROR(__xludf.DUMMYFUNCTION("""COMPUTED_VALUE"""),244)</f>
        <v>244</v>
      </c>
      <c r="P325" s="1">
        <f ca="1">IFERROR(__xludf.DUMMYFUNCTION("""COMPUTED_VALUE"""),101.9)</f>
        <v>101.9</v>
      </c>
      <c r="Q325" s="1">
        <f ca="1">IFERROR(__xludf.DUMMYFUNCTION("""COMPUTED_VALUE"""),214)</f>
        <v>214</v>
      </c>
      <c r="R325" s="1">
        <f ca="1">IFERROR(__xludf.DUMMYFUNCTION("""COMPUTED_VALUE"""),105.4)</f>
        <v>105.4</v>
      </c>
      <c r="S325" s="1">
        <f ca="1">IFERROR(__xludf.DUMMYFUNCTION("""COMPUTED_VALUE"""),279)</f>
        <v>279</v>
      </c>
      <c r="T325" s="1" t="str">
        <f ca="1">IFERROR(__xludf.DUMMYFUNCTION("""COMPUTED_VALUE"""),"+4.36")</f>
        <v>+4.36</v>
      </c>
      <c r="U325" s="1">
        <f ca="1">IFERROR(__xludf.DUMMYFUNCTION("""COMPUTED_VALUE"""),52)</f>
        <v>52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IFERROR(__xludf.DUMMYFUNCTION("""COMPUTED_VALUE"""),"Brown")</f>
        <v>Brown</v>
      </c>
      <c r="C326" s="1" t="str">
        <f ca="1">IFERROR(__xludf.DUMMYFUNCTION("""COMPUTED_VALUE"""),"Ivy")</f>
        <v>Ivy</v>
      </c>
      <c r="D326" s="2">
        <f ca="1">IFERROR(__xludf.DUMMYFUNCTION("""COMPUTED_VALUE"""),44796)</f>
        <v>44796</v>
      </c>
      <c r="E326" s="1">
        <f ca="1">IFERROR(__xludf.DUMMYFUNCTION("""COMPUTED_VALUE"""),-15.73)</f>
        <v>-15.73</v>
      </c>
      <c r="F326" s="1">
        <f ca="1">IFERROR(__xludf.DUMMYFUNCTION("""COMPUTED_VALUE"""),95.2)</f>
        <v>95.2</v>
      </c>
      <c r="G326" s="1">
        <f ca="1">IFERROR(__xludf.DUMMYFUNCTION("""COMPUTED_VALUE"""),293)</f>
        <v>293</v>
      </c>
      <c r="H326" s="1">
        <f ca="1">IFERROR(__xludf.DUMMYFUNCTION("""COMPUTED_VALUE"""),110.9)</f>
        <v>110.9</v>
      </c>
      <c r="I326" s="1">
        <f ca="1">IFERROR(__xludf.DUMMYFUNCTION("""COMPUTED_VALUE"""),311)</f>
        <v>311</v>
      </c>
      <c r="J326" s="1">
        <f ca="1">IFERROR(__xludf.DUMMYFUNCTION("""COMPUTED_VALUE"""),64.1)</f>
        <v>64.099999999999994</v>
      </c>
      <c r="K326" s="1">
        <f ca="1">IFERROR(__xludf.DUMMYFUNCTION("""COMPUTED_VALUE"""),222)</f>
        <v>222</v>
      </c>
      <c r="L326" s="1">
        <f ca="1">IFERROR(__xludf.DUMMYFUNCTION("""COMPUTED_VALUE"""),-0.006)</f>
        <v>-6.0000000000000001E-3</v>
      </c>
      <c r="M326" s="1">
        <f ca="1">IFERROR(__xludf.DUMMYFUNCTION("""COMPUTED_VALUE"""),190)</f>
        <v>190</v>
      </c>
      <c r="N326" s="1">
        <f ca="1">IFERROR(__xludf.DUMMYFUNCTION("""COMPUTED_VALUE"""),-3.63)</f>
        <v>-3.63</v>
      </c>
      <c r="O326" s="1">
        <f ca="1">IFERROR(__xludf.DUMMYFUNCTION("""COMPUTED_VALUE"""),245)</f>
        <v>245</v>
      </c>
      <c r="P326" s="1">
        <f ca="1">IFERROR(__xludf.DUMMYFUNCTION("""COMPUTED_VALUE"""),100.8)</f>
        <v>100.8</v>
      </c>
      <c r="Q326" s="1">
        <f ca="1">IFERROR(__xludf.DUMMYFUNCTION("""COMPUTED_VALUE"""),272)</f>
        <v>272</v>
      </c>
      <c r="R326" s="1">
        <f ca="1">IFERROR(__xludf.DUMMYFUNCTION("""COMPUTED_VALUE"""),104.4)</f>
        <v>104.4</v>
      </c>
      <c r="S326" s="1">
        <f ca="1">IFERROR(__xludf.DUMMYFUNCTION("""COMPUTED_VALUE"""),220)</f>
        <v>220</v>
      </c>
      <c r="T326" s="1">
        <f ca="1">IFERROR(__xludf.DUMMYFUNCTION("""COMPUTED_VALUE"""),-7.11)</f>
        <v>-7.11</v>
      </c>
      <c r="U326" s="1">
        <f ca="1">IFERROR(__xludf.DUMMYFUNCTION("""COMPUTED_VALUE"""),326)</f>
        <v>326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IFERROR(__xludf.DUMMYFUNCTION("""COMPUTED_VALUE"""),"Louisiana Monroe")</f>
        <v>Louisiana Monroe</v>
      </c>
      <c r="C327" s="1" t="str">
        <f ca="1">IFERROR(__xludf.DUMMYFUNCTION("""COMPUTED_VALUE"""),"SB")</f>
        <v>SB</v>
      </c>
      <c r="D327" s="2">
        <f ca="1">IFERROR(__xludf.DUMMYFUNCTION("""COMPUTED_VALUE"""),44646)</f>
        <v>44646</v>
      </c>
      <c r="E327" s="1">
        <f ca="1">IFERROR(__xludf.DUMMYFUNCTION("""COMPUTED_VALUE"""),-15.97)</f>
        <v>-15.97</v>
      </c>
      <c r="F327" s="1">
        <f ca="1">IFERROR(__xludf.DUMMYFUNCTION("""COMPUTED_VALUE"""),96.9)</f>
        <v>96.9</v>
      </c>
      <c r="G327" s="1">
        <f ca="1">IFERROR(__xludf.DUMMYFUNCTION("""COMPUTED_VALUE"""),283)</f>
        <v>283</v>
      </c>
      <c r="H327" s="1">
        <f ca="1">IFERROR(__xludf.DUMMYFUNCTION("""COMPUTED_VALUE"""),112.9)</f>
        <v>112.9</v>
      </c>
      <c r="I327" s="1">
        <f ca="1">IFERROR(__xludf.DUMMYFUNCTION("""COMPUTED_VALUE"""),329)</f>
        <v>329</v>
      </c>
      <c r="J327" s="1">
        <f ca="1">IFERROR(__xludf.DUMMYFUNCTION("""COMPUTED_VALUE"""),63.5)</f>
        <v>63.5</v>
      </c>
      <c r="K327" s="1">
        <f ca="1">IFERROR(__xludf.DUMMYFUNCTION("""COMPUTED_VALUE"""),253)</f>
        <v>253</v>
      </c>
      <c r="L327" s="1">
        <f ca="1">IFERROR(__xludf.DUMMYFUNCTION("""COMPUTED_VALUE"""),-0.088)</f>
        <v>-8.7999999999999995E-2</v>
      </c>
      <c r="M327" s="1">
        <f ca="1">IFERROR(__xludf.DUMMYFUNCTION("""COMPUTED_VALUE"""),333)</f>
        <v>333</v>
      </c>
      <c r="N327" s="1">
        <f ca="1">IFERROR(__xludf.DUMMYFUNCTION("""COMPUTED_VALUE"""),-0.29)</f>
        <v>-0.28999999999999998</v>
      </c>
      <c r="O327" s="1">
        <f ca="1">IFERROR(__xludf.DUMMYFUNCTION("""COMPUTED_VALUE"""),161)</f>
        <v>161</v>
      </c>
      <c r="P327" s="1">
        <f ca="1">IFERROR(__xludf.DUMMYFUNCTION("""COMPUTED_VALUE"""),102)</f>
        <v>102</v>
      </c>
      <c r="Q327" s="1">
        <f ca="1">IFERROR(__xludf.DUMMYFUNCTION("""COMPUTED_VALUE"""),207)</f>
        <v>207</v>
      </c>
      <c r="R327" s="1">
        <f ca="1">IFERROR(__xludf.DUMMYFUNCTION("""COMPUTED_VALUE"""),102.2)</f>
        <v>102.2</v>
      </c>
      <c r="S327" s="1">
        <f ca="1">IFERROR(__xludf.DUMMYFUNCTION("""COMPUTED_VALUE"""),137)</f>
        <v>137</v>
      </c>
      <c r="T327" s="1" t="str">
        <f ca="1">IFERROR(__xludf.DUMMYFUNCTION("""COMPUTED_VALUE"""),"+1.22")</f>
        <v>+1.22</v>
      </c>
      <c r="U327" s="1">
        <f ca="1">IFERROR(__xludf.DUMMYFUNCTION("""COMPUTED_VALUE"""),118)</f>
        <v>118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IFERROR(__xludf.DUMMYFUNCTION("""COMPUTED_VALUE"""),"Texas Pan American")</f>
        <v>Texas Pan American</v>
      </c>
      <c r="C328" s="1" t="str">
        <f ca="1">IFERROR(__xludf.DUMMYFUNCTION("""COMPUTED_VALUE"""),"GWC")</f>
        <v>GWC</v>
      </c>
      <c r="D328" s="2">
        <f ca="1">IFERROR(__xludf.DUMMYFUNCTION("""COMPUTED_VALUE"""),44886)</f>
        <v>44886</v>
      </c>
      <c r="E328" s="1">
        <f ca="1">IFERROR(__xludf.DUMMYFUNCTION("""COMPUTED_VALUE"""),-16.22)</f>
        <v>-16.22</v>
      </c>
      <c r="F328" s="1">
        <f ca="1">IFERROR(__xludf.DUMMYFUNCTION("""COMPUTED_VALUE"""),92.9)</f>
        <v>92.9</v>
      </c>
      <c r="G328" s="1">
        <f ca="1">IFERROR(__xludf.DUMMYFUNCTION("""COMPUTED_VALUE"""),313)</f>
        <v>313</v>
      </c>
      <c r="H328" s="1">
        <f ca="1">IFERROR(__xludf.DUMMYFUNCTION("""COMPUTED_VALUE"""),109.1)</f>
        <v>109.1</v>
      </c>
      <c r="I328" s="1">
        <f ca="1">IFERROR(__xludf.DUMMYFUNCTION("""COMPUTED_VALUE"""),285)</f>
        <v>285</v>
      </c>
      <c r="J328" s="1">
        <f ca="1">IFERROR(__xludf.DUMMYFUNCTION("""COMPUTED_VALUE"""),63.7)</f>
        <v>63.7</v>
      </c>
      <c r="K328" s="1">
        <f ca="1">IFERROR(__xludf.DUMMYFUNCTION("""COMPUTED_VALUE"""),243)</f>
        <v>243</v>
      </c>
      <c r="L328" s="1" t="str">
        <f ca="1">IFERROR(__xludf.DUMMYFUNCTION("""COMPUTED_VALUE"""),"+.017")</f>
        <v>+.017</v>
      </c>
      <c r="M328" s="1">
        <f ca="1">IFERROR(__xludf.DUMMYFUNCTION("""COMPUTED_VALUE"""),133)</f>
        <v>133</v>
      </c>
      <c r="N328" s="1">
        <f ca="1">IFERROR(__xludf.DUMMYFUNCTION("""COMPUTED_VALUE"""),-4.55)</f>
        <v>-4.55</v>
      </c>
      <c r="O328" s="1">
        <f ca="1">IFERROR(__xludf.DUMMYFUNCTION("""COMPUTED_VALUE"""),275)</f>
        <v>275</v>
      </c>
      <c r="P328" s="1">
        <f ca="1">IFERROR(__xludf.DUMMYFUNCTION("""COMPUTED_VALUE"""),100.6)</f>
        <v>100.6</v>
      </c>
      <c r="Q328" s="1">
        <f ca="1">IFERROR(__xludf.DUMMYFUNCTION("""COMPUTED_VALUE"""),279)</f>
        <v>279</v>
      </c>
      <c r="R328" s="1">
        <f ca="1">IFERROR(__xludf.DUMMYFUNCTION("""COMPUTED_VALUE"""),105.2)</f>
        <v>105.2</v>
      </c>
      <c r="S328" s="1">
        <f ca="1">IFERROR(__xludf.DUMMYFUNCTION("""COMPUTED_VALUE"""),267)</f>
        <v>267</v>
      </c>
      <c r="T328" s="1" t="str">
        <f ca="1">IFERROR(__xludf.DUMMYFUNCTION("""COMPUTED_VALUE"""),"+1.78")</f>
        <v>+1.78</v>
      </c>
      <c r="U328" s="1">
        <f ca="1">IFERROR(__xludf.DUMMYFUNCTION("""COMPUTED_VALUE"""),102)</f>
        <v>102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IFERROR(__xludf.DUMMYFUNCTION("""COMPUTED_VALUE"""),"Radford")</f>
        <v>Radford</v>
      </c>
      <c r="C329" s="1" t="str">
        <f ca="1">IFERROR(__xludf.DUMMYFUNCTION("""COMPUTED_VALUE"""),"BSth")</f>
        <v>BSth</v>
      </c>
      <c r="D329" s="2">
        <f ca="1">IFERROR(__xludf.DUMMYFUNCTION("""COMPUTED_VALUE"""),44738)</f>
        <v>44738</v>
      </c>
      <c r="E329" s="1">
        <f ca="1">IFERROR(__xludf.DUMMYFUNCTION("""COMPUTED_VALUE"""),-16.7)</f>
        <v>-16.7</v>
      </c>
      <c r="F329" s="1">
        <f ca="1">IFERROR(__xludf.DUMMYFUNCTION("""COMPUTED_VALUE"""),90.1)</f>
        <v>90.1</v>
      </c>
      <c r="G329" s="1">
        <f ca="1">IFERROR(__xludf.DUMMYFUNCTION("""COMPUTED_VALUE"""),328)</f>
        <v>328</v>
      </c>
      <c r="H329" s="1">
        <f ca="1">IFERROR(__xludf.DUMMYFUNCTION("""COMPUTED_VALUE"""),106.8)</f>
        <v>106.8</v>
      </c>
      <c r="I329" s="1">
        <f ca="1">IFERROR(__xludf.DUMMYFUNCTION("""COMPUTED_VALUE"""),258)</f>
        <v>258</v>
      </c>
      <c r="J329" s="1">
        <f ca="1">IFERROR(__xludf.DUMMYFUNCTION("""COMPUTED_VALUE"""),64.1)</f>
        <v>64.099999999999994</v>
      </c>
      <c r="K329" s="1">
        <f ca="1">IFERROR(__xludf.DUMMYFUNCTION("""COMPUTED_VALUE"""),221)</f>
        <v>221</v>
      </c>
      <c r="L329" s="1">
        <f ca="1">IFERROR(__xludf.DUMMYFUNCTION("""COMPUTED_VALUE"""),-0.064)</f>
        <v>-6.4000000000000001E-2</v>
      </c>
      <c r="M329" s="1">
        <f ca="1">IFERROR(__xludf.DUMMYFUNCTION("""COMPUTED_VALUE"""),308)</f>
        <v>308</v>
      </c>
      <c r="N329" s="1">
        <f ca="1">IFERROR(__xludf.DUMMYFUNCTION("""COMPUTED_VALUE"""),-4.34)</f>
        <v>-4.34</v>
      </c>
      <c r="O329" s="1">
        <f ca="1">IFERROR(__xludf.DUMMYFUNCTION("""COMPUTED_VALUE"""),266)</f>
        <v>266</v>
      </c>
      <c r="P329" s="1">
        <f ca="1">IFERROR(__xludf.DUMMYFUNCTION("""COMPUTED_VALUE"""),101.9)</f>
        <v>101.9</v>
      </c>
      <c r="Q329" s="1">
        <f ca="1">IFERROR(__xludf.DUMMYFUNCTION("""COMPUTED_VALUE"""),212)</f>
        <v>212</v>
      </c>
      <c r="R329" s="1">
        <f ca="1">IFERROR(__xludf.DUMMYFUNCTION("""COMPUTED_VALUE"""),106.3)</f>
        <v>106.3</v>
      </c>
      <c r="S329" s="1">
        <f ca="1">IFERROR(__xludf.DUMMYFUNCTION("""COMPUTED_VALUE"""),313)</f>
        <v>313</v>
      </c>
      <c r="T329" s="1">
        <f ca="1">IFERROR(__xludf.DUMMYFUNCTION("""COMPUTED_VALUE"""),-0.01)</f>
        <v>-0.01</v>
      </c>
      <c r="U329" s="1">
        <f ca="1">IFERROR(__xludf.DUMMYFUNCTION("""COMPUTED_VALUE"""),157)</f>
        <v>157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IFERROR(__xludf.DUMMYFUNCTION("""COMPUTED_VALUE"""),"Southern")</f>
        <v>Southern</v>
      </c>
      <c r="C330" s="1" t="str">
        <f ca="1">IFERROR(__xludf.DUMMYFUNCTION("""COMPUTED_VALUE"""),"SWAC")</f>
        <v>SWAC</v>
      </c>
      <c r="D330" s="1" t="str">
        <f ca="1">IFERROR(__xludf.DUMMYFUNCTION("""COMPUTED_VALUE"""),"17-14")</f>
        <v>17-14</v>
      </c>
      <c r="E330" s="1">
        <f ca="1">IFERROR(__xludf.DUMMYFUNCTION("""COMPUTED_VALUE"""),-16.73)</f>
        <v>-16.73</v>
      </c>
      <c r="F330" s="1">
        <f ca="1">IFERROR(__xludf.DUMMYFUNCTION("""COMPUTED_VALUE"""),90)</f>
        <v>90</v>
      </c>
      <c r="G330" s="1">
        <f ca="1">IFERROR(__xludf.DUMMYFUNCTION("""COMPUTED_VALUE"""),330)</f>
        <v>330</v>
      </c>
      <c r="H330" s="1">
        <f ca="1">IFERROR(__xludf.DUMMYFUNCTION("""COMPUTED_VALUE"""),106.7)</f>
        <v>106.7</v>
      </c>
      <c r="I330" s="1">
        <f ca="1">IFERROR(__xludf.DUMMYFUNCTION("""COMPUTED_VALUE"""),257)</f>
        <v>257</v>
      </c>
      <c r="J330" s="1">
        <f ca="1">IFERROR(__xludf.DUMMYFUNCTION("""COMPUTED_VALUE"""),63.4)</f>
        <v>63.4</v>
      </c>
      <c r="K330" s="1">
        <f ca="1">IFERROR(__xludf.DUMMYFUNCTION("""COMPUTED_VALUE"""),256)</f>
        <v>256</v>
      </c>
      <c r="L330" s="1" t="str">
        <f ca="1">IFERROR(__xludf.DUMMYFUNCTION("""COMPUTED_VALUE"""),"+.113")</f>
        <v>+.113</v>
      </c>
      <c r="M330" s="1">
        <f ca="1">IFERROR(__xludf.DUMMYFUNCTION("""COMPUTED_VALUE"""),7)</f>
        <v>7</v>
      </c>
      <c r="N330" s="1">
        <f ca="1">IFERROR(__xludf.DUMMYFUNCTION("""COMPUTED_VALUE"""),-11.85)</f>
        <v>-11.85</v>
      </c>
      <c r="O330" s="1">
        <f ca="1">IFERROR(__xludf.DUMMYFUNCTION("""COMPUTED_VALUE"""),345)</f>
        <v>345</v>
      </c>
      <c r="P330" s="1">
        <f ca="1">IFERROR(__xludf.DUMMYFUNCTION("""COMPUTED_VALUE"""),94)</f>
        <v>94</v>
      </c>
      <c r="Q330" s="1">
        <f ca="1">IFERROR(__xludf.DUMMYFUNCTION("""COMPUTED_VALUE"""),344)</f>
        <v>344</v>
      </c>
      <c r="R330" s="1">
        <f ca="1">IFERROR(__xludf.DUMMYFUNCTION("""COMPUTED_VALUE"""),105.8)</f>
        <v>105.8</v>
      </c>
      <c r="S330" s="1">
        <f ca="1">IFERROR(__xludf.DUMMYFUNCTION("""COMPUTED_VALUE"""),296)</f>
        <v>296</v>
      </c>
      <c r="T330" s="1" t="str">
        <f ca="1">IFERROR(__xludf.DUMMYFUNCTION("""COMPUTED_VALUE"""),"+1.64")</f>
        <v>+1.64</v>
      </c>
      <c r="U330" s="1">
        <f ca="1">IFERROR(__xludf.DUMMYFUNCTION("""COMPUTED_VALUE"""),109)</f>
        <v>109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IFERROR(__xludf.DUMMYFUNCTION("""COMPUTED_VALUE"""),"Alabama St.")</f>
        <v>Alabama St.</v>
      </c>
      <c r="C331" s="1" t="str">
        <f ca="1">IFERROR(__xludf.DUMMYFUNCTION("""COMPUTED_VALUE"""),"SWAC")</f>
        <v>SWAC</v>
      </c>
      <c r="D331" s="2">
        <f ca="1">IFERROR(__xludf.DUMMYFUNCTION("""COMPUTED_VALUE"""),44914)</f>
        <v>44914</v>
      </c>
      <c r="E331" s="1">
        <f ca="1">IFERROR(__xludf.DUMMYFUNCTION("""COMPUTED_VALUE"""),-16.87)</f>
        <v>-16.87</v>
      </c>
      <c r="F331" s="1">
        <f ca="1">IFERROR(__xludf.DUMMYFUNCTION("""COMPUTED_VALUE"""),87.8)</f>
        <v>87.8</v>
      </c>
      <c r="G331" s="1">
        <f ca="1">IFERROR(__xludf.DUMMYFUNCTION("""COMPUTED_VALUE"""),338)</f>
        <v>338</v>
      </c>
      <c r="H331" s="1">
        <f ca="1">IFERROR(__xludf.DUMMYFUNCTION("""COMPUTED_VALUE"""),104.7)</f>
        <v>104.7</v>
      </c>
      <c r="I331" s="1">
        <f ca="1">IFERROR(__xludf.DUMMYFUNCTION("""COMPUTED_VALUE"""),213)</f>
        <v>213</v>
      </c>
      <c r="J331" s="1">
        <f ca="1">IFERROR(__xludf.DUMMYFUNCTION("""COMPUTED_VALUE"""),63.5)</f>
        <v>63.5</v>
      </c>
      <c r="K331" s="1">
        <f ca="1">IFERROR(__xludf.DUMMYFUNCTION("""COMPUTED_VALUE"""),252)</f>
        <v>252</v>
      </c>
      <c r="L331" s="1" t="str">
        <f ca="1">IFERROR(__xludf.DUMMYFUNCTION("""COMPUTED_VALUE"""),"+.026")</f>
        <v>+.026</v>
      </c>
      <c r="M331" s="1">
        <f ca="1">IFERROR(__xludf.DUMMYFUNCTION("""COMPUTED_VALUE"""),102)</f>
        <v>102</v>
      </c>
      <c r="N331" s="1">
        <f ca="1">IFERROR(__xludf.DUMMYFUNCTION("""COMPUTED_VALUE"""),-9.96)</f>
        <v>-9.9600000000000009</v>
      </c>
      <c r="O331" s="1">
        <f ca="1">IFERROR(__xludf.DUMMYFUNCTION("""COMPUTED_VALUE"""),341)</f>
        <v>341</v>
      </c>
      <c r="P331" s="1">
        <f ca="1">IFERROR(__xludf.DUMMYFUNCTION("""COMPUTED_VALUE"""),95.4)</f>
        <v>95.4</v>
      </c>
      <c r="Q331" s="1">
        <f ca="1">IFERROR(__xludf.DUMMYFUNCTION("""COMPUTED_VALUE"""),341)</f>
        <v>341</v>
      </c>
      <c r="R331" s="1">
        <f ca="1">IFERROR(__xludf.DUMMYFUNCTION("""COMPUTED_VALUE"""),105.4)</f>
        <v>105.4</v>
      </c>
      <c r="S331" s="1">
        <f ca="1">IFERROR(__xludf.DUMMYFUNCTION("""COMPUTED_VALUE"""),276)</f>
        <v>276</v>
      </c>
      <c r="T331" s="1" t="str">
        <f ca="1">IFERROR(__xludf.DUMMYFUNCTION("""COMPUTED_VALUE"""),"+9.52")</f>
        <v>+9.52</v>
      </c>
      <c r="U331" s="1">
        <f ca="1">IFERROR(__xludf.DUMMYFUNCTION("""COMPUTED_VALUE"""),7)</f>
        <v>7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IFERROR(__xludf.DUMMYFUNCTION("""COMPUTED_VALUE"""),"Saint Peter's")</f>
        <v>Saint Peter's</v>
      </c>
      <c r="C332" s="1" t="str">
        <f ca="1">IFERROR(__xludf.DUMMYFUNCTION("""COMPUTED_VALUE"""),"MAAC")</f>
        <v>MAAC</v>
      </c>
      <c r="D332" s="2">
        <f ca="1">IFERROR(__xludf.DUMMYFUNCTION("""COMPUTED_VALUE"""),44707)</f>
        <v>44707</v>
      </c>
      <c r="E332" s="1">
        <f ca="1">IFERROR(__xludf.DUMMYFUNCTION("""COMPUTED_VALUE"""),-17.05)</f>
        <v>-17.05</v>
      </c>
      <c r="F332" s="1">
        <f ca="1">IFERROR(__xludf.DUMMYFUNCTION("""COMPUTED_VALUE"""),89.6)</f>
        <v>89.6</v>
      </c>
      <c r="G332" s="1">
        <f ca="1">IFERROR(__xludf.DUMMYFUNCTION("""COMPUTED_VALUE"""),334)</f>
        <v>334</v>
      </c>
      <c r="H332" s="1">
        <f ca="1">IFERROR(__xludf.DUMMYFUNCTION("""COMPUTED_VALUE"""),106.7)</f>
        <v>106.7</v>
      </c>
      <c r="I332" s="1">
        <f ca="1">IFERROR(__xludf.DUMMYFUNCTION("""COMPUTED_VALUE"""),252)</f>
        <v>252</v>
      </c>
      <c r="J332" s="1">
        <f ca="1">IFERROR(__xludf.DUMMYFUNCTION("""COMPUTED_VALUE"""),63.3)</f>
        <v>63.3</v>
      </c>
      <c r="K332" s="1">
        <f ca="1">IFERROR(__xludf.DUMMYFUNCTION("""COMPUTED_VALUE"""),259)</f>
        <v>259</v>
      </c>
      <c r="L332" s="1">
        <f ca="1">IFERROR(__xludf.DUMMYFUNCTION("""COMPUTED_VALUE"""),-0.044)</f>
        <v>-4.3999999999999997E-2</v>
      </c>
      <c r="M332" s="1">
        <f ca="1">IFERROR(__xludf.DUMMYFUNCTION("""COMPUTED_VALUE"""),271)</f>
        <v>271</v>
      </c>
      <c r="N332" s="1">
        <f ca="1">IFERROR(__xludf.DUMMYFUNCTION("""COMPUTED_VALUE"""),-1.4)</f>
        <v>-1.4</v>
      </c>
      <c r="O332" s="1">
        <f ca="1">IFERROR(__xludf.DUMMYFUNCTION("""COMPUTED_VALUE"""),185)</f>
        <v>185</v>
      </c>
      <c r="P332" s="1">
        <f ca="1">IFERROR(__xludf.DUMMYFUNCTION("""COMPUTED_VALUE"""),102.5)</f>
        <v>102.5</v>
      </c>
      <c r="Q332" s="1">
        <f ca="1">IFERROR(__xludf.DUMMYFUNCTION("""COMPUTED_VALUE"""),184)</f>
        <v>184</v>
      </c>
      <c r="R332" s="1">
        <f ca="1">IFERROR(__xludf.DUMMYFUNCTION("""COMPUTED_VALUE"""),103.9)</f>
        <v>103.9</v>
      </c>
      <c r="S332" s="1">
        <f ca="1">IFERROR(__xludf.DUMMYFUNCTION("""COMPUTED_VALUE"""),191)</f>
        <v>191</v>
      </c>
      <c r="T332" s="1" t="str">
        <f ca="1">IFERROR(__xludf.DUMMYFUNCTION("""COMPUTED_VALUE"""),"+1.64")</f>
        <v>+1.64</v>
      </c>
      <c r="U332" s="1">
        <f ca="1">IFERROR(__xludf.DUMMYFUNCTION("""COMPUTED_VALUE"""),108)</f>
        <v>108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IFERROR(__xludf.DUMMYFUNCTION("""COMPUTED_VALUE"""),"Florida A&amp;M")</f>
        <v>Florida A&amp;M</v>
      </c>
      <c r="C333" s="1" t="str">
        <f ca="1">IFERROR(__xludf.DUMMYFUNCTION("""COMPUTED_VALUE"""),"MEAC")</f>
        <v>MEAC</v>
      </c>
      <c r="D333" s="2">
        <f ca="1">IFERROR(__xludf.DUMMYFUNCTION("""COMPUTED_VALUE"""),44857)</f>
        <v>44857</v>
      </c>
      <c r="E333" s="1">
        <f ca="1">IFERROR(__xludf.DUMMYFUNCTION("""COMPUTED_VALUE"""),-17.29)</f>
        <v>-17.29</v>
      </c>
      <c r="F333" s="1">
        <f ca="1">IFERROR(__xludf.DUMMYFUNCTION("""COMPUTED_VALUE"""),93.4)</f>
        <v>93.4</v>
      </c>
      <c r="G333" s="1">
        <f ca="1">IFERROR(__xludf.DUMMYFUNCTION("""COMPUTED_VALUE"""),309)</f>
        <v>309</v>
      </c>
      <c r="H333" s="1">
        <f ca="1">IFERROR(__xludf.DUMMYFUNCTION("""COMPUTED_VALUE"""),110.6)</f>
        <v>110.6</v>
      </c>
      <c r="I333" s="1">
        <f ca="1">IFERROR(__xludf.DUMMYFUNCTION("""COMPUTED_VALUE"""),307)</f>
        <v>307</v>
      </c>
      <c r="J333" s="1">
        <f ca="1">IFERROR(__xludf.DUMMYFUNCTION("""COMPUTED_VALUE"""),67.8)</f>
        <v>67.8</v>
      </c>
      <c r="K333" s="1">
        <f ca="1">IFERROR(__xludf.DUMMYFUNCTION("""COMPUTED_VALUE"""),50)</f>
        <v>50</v>
      </c>
      <c r="L333" s="1" t="str">
        <f ca="1">IFERROR(__xludf.DUMMYFUNCTION("""COMPUTED_VALUE"""),"+.039")</f>
        <v>+.039</v>
      </c>
      <c r="M333" s="1">
        <f ca="1">IFERROR(__xludf.DUMMYFUNCTION("""COMPUTED_VALUE"""),75)</f>
        <v>75</v>
      </c>
      <c r="N333" s="1">
        <f ca="1">IFERROR(__xludf.DUMMYFUNCTION("""COMPUTED_VALUE"""),-6.08)</f>
        <v>-6.08</v>
      </c>
      <c r="O333" s="1">
        <f ca="1">IFERROR(__xludf.DUMMYFUNCTION("""COMPUTED_VALUE"""),307)</f>
        <v>307</v>
      </c>
      <c r="P333" s="1">
        <f ca="1">IFERROR(__xludf.DUMMYFUNCTION("""COMPUTED_VALUE"""),98.9)</f>
        <v>98.9</v>
      </c>
      <c r="Q333" s="1">
        <f ca="1">IFERROR(__xludf.DUMMYFUNCTION("""COMPUTED_VALUE"""),324)</f>
        <v>324</v>
      </c>
      <c r="R333" s="1">
        <f ca="1">IFERROR(__xludf.DUMMYFUNCTION("""COMPUTED_VALUE"""),104.9)</f>
        <v>104.9</v>
      </c>
      <c r="S333" s="1">
        <f ca="1">IFERROR(__xludf.DUMMYFUNCTION("""COMPUTED_VALUE"""),254)</f>
        <v>254</v>
      </c>
      <c r="T333" s="1" t="str">
        <f ca="1">IFERROR(__xludf.DUMMYFUNCTION("""COMPUTED_VALUE"""),"+1.42")</f>
        <v>+1.42</v>
      </c>
      <c r="U333" s="1">
        <f ca="1">IFERROR(__xludf.DUMMYFUNCTION("""COMPUTED_VALUE"""),111)</f>
        <v>111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IFERROR(__xludf.DUMMYFUNCTION("""COMPUTED_VALUE"""),"Kennesaw St.")</f>
        <v>Kennesaw St.</v>
      </c>
      <c r="C334" s="1" t="str">
        <f ca="1">IFERROR(__xludf.DUMMYFUNCTION("""COMPUTED_VALUE"""),"ASun")</f>
        <v>ASun</v>
      </c>
      <c r="D334" s="2">
        <f ca="1">IFERROR(__xludf.DUMMYFUNCTION("""COMPUTED_VALUE"""),44648)</f>
        <v>44648</v>
      </c>
      <c r="E334" s="1">
        <f ca="1">IFERROR(__xludf.DUMMYFUNCTION("""COMPUTED_VALUE"""),-17.4)</f>
        <v>-17.399999999999999</v>
      </c>
      <c r="F334" s="1">
        <f ca="1">IFERROR(__xludf.DUMMYFUNCTION("""COMPUTED_VALUE"""),97.4)</f>
        <v>97.4</v>
      </c>
      <c r="G334" s="1">
        <f ca="1">IFERROR(__xludf.DUMMYFUNCTION("""COMPUTED_VALUE"""),273)</f>
        <v>273</v>
      </c>
      <c r="H334" s="1">
        <f ca="1">IFERROR(__xludf.DUMMYFUNCTION("""COMPUTED_VALUE"""),114.8)</f>
        <v>114.8</v>
      </c>
      <c r="I334" s="1">
        <f ca="1">IFERROR(__xludf.DUMMYFUNCTION("""COMPUTED_VALUE"""),336)</f>
        <v>336</v>
      </c>
      <c r="J334" s="1">
        <f ca="1">IFERROR(__xludf.DUMMYFUNCTION("""COMPUTED_VALUE"""),62)</f>
        <v>62</v>
      </c>
      <c r="K334" s="1">
        <f ca="1">IFERROR(__xludf.DUMMYFUNCTION("""COMPUTED_VALUE"""),299)</f>
        <v>299</v>
      </c>
      <c r="L334" s="1">
        <f ca="1">IFERROR(__xludf.DUMMYFUNCTION("""COMPUTED_VALUE"""),-0.098)</f>
        <v>-9.8000000000000004E-2</v>
      </c>
      <c r="M334" s="1">
        <f ca="1">IFERROR(__xludf.DUMMYFUNCTION("""COMPUTED_VALUE"""),340)</f>
        <v>340</v>
      </c>
      <c r="N334" s="1" t="str">
        <f ca="1">IFERROR(__xludf.DUMMYFUNCTION("""COMPUTED_VALUE"""),"+1.54")</f>
        <v>+1.54</v>
      </c>
      <c r="O334" s="1">
        <f ca="1">IFERROR(__xludf.DUMMYFUNCTION("""COMPUTED_VALUE"""),122)</f>
        <v>122</v>
      </c>
      <c r="P334" s="1">
        <f ca="1">IFERROR(__xludf.DUMMYFUNCTION("""COMPUTED_VALUE"""),104.2)</f>
        <v>104.2</v>
      </c>
      <c r="Q334" s="1">
        <f ca="1">IFERROR(__xludf.DUMMYFUNCTION("""COMPUTED_VALUE"""),111)</f>
        <v>111</v>
      </c>
      <c r="R334" s="1">
        <f ca="1">IFERROR(__xludf.DUMMYFUNCTION("""COMPUTED_VALUE"""),102.6)</f>
        <v>102.6</v>
      </c>
      <c r="S334" s="1">
        <f ca="1">IFERROR(__xludf.DUMMYFUNCTION("""COMPUTED_VALUE"""),147)</f>
        <v>147</v>
      </c>
      <c r="T334" s="1" t="str">
        <f ca="1">IFERROR(__xludf.DUMMYFUNCTION("""COMPUTED_VALUE"""),"+4.75")</f>
        <v>+4.75</v>
      </c>
      <c r="U334" s="1">
        <f ca="1">IFERROR(__xludf.DUMMYFUNCTION("""COMPUTED_VALUE"""),43)</f>
        <v>43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IFERROR(__xludf.DUMMYFUNCTION("""COMPUTED_VALUE"""),"Houston Baptist")</f>
        <v>Houston Baptist</v>
      </c>
      <c r="C335" s="1" t="str">
        <f ca="1">IFERROR(__xludf.DUMMYFUNCTION("""COMPUTED_VALUE"""),"GWC")</f>
        <v>GWC</v>
      </c>
      <c r="D335" s="2">
        <f ca="1">IFERROR(__xludf.DUMMYFUNCTION("""COMPUTED_VALUE"""),44854)</f>
        <v>44854</v>
      </c>
      <c r="E335" s="1">
        <f ca="1">IFERROR(__xludf.DUMMYFUNCTION("""COMPUTED_VALUE"""),-17.48)</f>
        <v>-17.48</v>
      </c>
      <c r="F335" s="1">
        <f ca="1">IFERROR(__xludf.DUMMYFUNCTION("""COMPUTED_VALUE"""),93.2)</f>
        <v>93.2</v>
      </c>
      <c r="G335" s="1">
        <f ca="1">IFERROR(__xludf.DUMMYFUNCTION("""COMPUTED_VALUE"""),311)</f>
        <v>311</v>
      </c>
      <c r="H335" s="1">
        <f ca="1">IFERROR(__xludf.DUMMYFUNCTION("""COMPUTED_VALUE"""),110.7)</f>
        <v>110.7</v>
      </c>
      <c r="I335" s="1">
        <f ca="1">IFERROR(__xludf.DUMMYFUNCTION("""COMPUTED_VALUE"""),310)</f>
        <v>310</v>
      </c>
      <c r="J335" s="1">
        <f ca="1">IFERROR(__xludf.DUMMYFUNCTION("""COMPUTED_VALUE"""),70.2)</f>
        <v>70.2</v>
      </c>
      <c r="K335" s="1">
        <f ca="1">IFERROR(__xludf.DUMMYFUNCTION("""COMPUTED_VALUE"""),14)</f>
        <v>14</v>
      </c>
      <c r="L335" s="1" t="str">
        <f ca="1">IFERROR(__xludf.DUMMYFUNCTION("""COMPUTED_VALUE"""),"+.015")</f>
        <v>+.015</v>
      </c>
      <c r="M335" s="1">
        <f ca="1">IFERROR(__xludf.DUMMYFUNCTION("""COMPUTED_VALUE"""),137)</f>
        <v>137</v>
      </c>
      <c r="N335" s="1">
        <f ca="1">IFERROR(__xludf.DUMMYFUNCTION("""COMPUTED_VALUE"""),-7.25)</f>
        <v>-7.25</v>
      </c>
      <c r="O335" s="1">
        <f ca="1">IFERROR(__xludf.DUMMYFUNCTION("""COMPUTED_VALUE"""),327)</f>
        <v>327</v>
      </c>
      <c r="P335" s="1">
        <f ca="1">IFERROR(__xludf.DUMMYFUNCTION("""COMPUTED_VALUE"""),100.1)</f>
        <v>100.1</v>
      </c>
      <c r="Q335" s="1">
        <f ca="1">IFERROR(__xludf.DUMMYFUNCTION("""COMPUTED_VALUE"""),301)</f>
        <v>301</v>
      </c>
      <c r="R335" s="1">
        <f ca="1">IFERROR(__xludf.DUMMYFUNCTION("""COMPUTED_VALUE"""),107.3)</f>
        <v>107.3</v>
      </c>
      <c r="S335" s="1">
        <f ca="1">IFERROR(__xludf.DUMMYFUNCTION("""COMPUTED_VALUE"""),340)</f>
        <v>340</v>
      </c>
      <c r="T335" s="1">
        <f ca="1">IFERROR(__xludf.DUMMYFUNCTION("""COMPUTED_VALUE"""),-2.02)</f>
        <v>-2.02</v>
      </c>
      <c r="U335" s="1">
        <f ca="1">IFERROR(__xludf.DUMMYFUNCTION("""COMPUTED_VALUE"""),214)</f>
        <v>214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IFERROR(__xludf.DUMMYFUNCTION("""COMPUTED_VALUE"""),"Central Arkansas")</f>
        <v>Central Arkansas</v>
      </c>
      <c r="C336" s="1" t="str">
        <f ca="1">IFERROR(__xludf.DUMMYFUNCTION("""COMPUTED_VALUE"""),"Slnd")</f>
        <v>Slnd</v>
      </c>
      <c r="D336" s="2">
        <f ca="1">IFERROR(__xludf.DUMMYFUNCTION("""COMPUTED_VALUE"""),44794)</f>
        <v>44794</v>
      </c>
      <c r="E336" s="1">
        <f ca="1">IFERROR(__xludf.DUMMYFUNCTION("""COMPUTED_VALUE"""),-17.91)</f>
        <v>-17.91</v>
      </c>
      <c r="F336" s="1">
        <f ca="1">IFERROR(__xludf.DUMMYFUNCTION("""COMPUTED_VALUE"""),93.1)</f>
        <v>93.1</v>
      </c>
      <c r="G336" s="1">
        <f ca="1">IFERROR(__xludf.DUMMYFUNCTION("""COMPUTED_VALUE"""),312)</f>
        <v>312</v>
      </c>
      <c r="H336" s="1">
        <f ca="1">IFERROR(__xludf.DUMMYFUNCTION("""COMPUTED_VALUE"""),111)</f>
        <v>111</v>
      </c>
      <c r="I336" s="1">
        <f ca="1">IFERROR(__xludf.DUMMYFUNCTION("""COMPUTED_VALUE"""),314)</f>
        <v>314</v>
      </c>
      <c r="J336" s="1">
        <f ca="1">IFERROR(__xludf.DUMMYFUNCTION("""COMPUTED_VALUE"""),71.7)</f>
        <v>71.7</v>
      </c>
      <c r="K336" s="1">
        <f ca="1">IFERROR(__xludf.DUMMYFUNCTION("""COMPUTED_VALUE"""),7)</f>
        <v>7</v>
      </c>
      <c r="L336" s="1" t="str">
        <f ca="1">IFERROR(__xludf.DUMMYFUNCTION("""COMPUTED_VALUE"""),"+.003")</f>
        <v>+.003</v>
      </c>
      <c r="M336" s="1">
        <f ca="1">IFERROR(__xludf.DUMMYFUNCTION("""COMPUTED_VALUE"""),167)</f>
        <v>167</v>
      </c>
      <c r="N336" s="1">
        <f ca="1">IFERROR(__xludf.DUMMYFUNCTION("""COMPUTED_VALUE"""),-4.36)</f>
        <v>-4.3600000000000003</v>
      </c>
      <c r="O336" s="1">
        <f ca="1">IFERROR(__xludf.DUMMYFUNCTION("""COMPUTED_VALUE"""),269)</f>
        <v>269</v>
      </c>
      <c r="P336" s="1">
        <f ca="1">IFERROR(__xludf.DUMMYFUNCTION("""COMPUTED_VALUE"""),100.2)</f>
        <v>100.2</v>
      </c>
      <c r="Q336" s="1">
        <f ca="1">IFERROR(__xludf.DUMMYFUNCTION("""COMPUTED_VALUE"""),294)</f>
        <v>294</v>
      </c>
      <c r="R336" s="1">
        <f ca="1">IFERROR(__xludf.DUMMYFUNCTION("""COMPUTED_VALUE"""),104.6)</f>
        <v>104.6</v>
      </c>
      <c r="S336" s="1">
        <f ca="1">IFERROR(__xludf.DUMMYFUNCTION("""COMPUTED_VALUE"""),234)</f>
        <v>234</v>
      </c>
      <c r="T336" s="1" t="str">
        <f ca="1">IFERROR(__xludf.DUMMYFUNCTION("""COMPUTED_VALUE"""),"+0.77")</f>
        <v>+0.77</v>
      </c>
      <c r="U336" s="1">
        <f ca="1">IFERROR(__xludf.DUMMYFUNCTION("""COMPUTED_VALUE"""),135)</f>
        <v>135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IFERROR(__xludf.DUMMYFUNCTION("""COMPUTED_VALUE"""),"Arkansas Pine Bluff")</f>
        <v>Arkansas Pine Bluff</v>
      </c>
      <c r="C339" s="1" t="str">
        <f ca="1">IFERROR(__xludf.DUMMYFUNCTION("""COMPUTED_VALUE"""),"SWAC")</f>
        <v>SWAC</v>
      </c>
      <c r="D339" s="2">
        <f ca="1">IFERROR(__xludf.DUMMYFUNCTION("""COMPUTED_VALUE"""),44887)</f>
        <v>44887</v>
      </c>
      <c r="E339" s="1">
        <f ca="1">IFERROR(__xludf.DUMMYFUNCTION("""COMPUTED_VALUE"""),-17.97)</f>
        <v>-17.97</v>
      </c>
      <c r="F339" s="1">
        <f ca="1">IFERROR(__xludf.DUMMYFUNCTION("""COMPUTED_VALUE"""),93.5)</f>
        <v>93.5</v>
      </c>
      <c r="G339" s="1">
        <f ca="1">IFERROR(__xludf.DUMMYFUNCTION("""COMPUTED_VALUE"""),307)</f>
        <v>307</v>
      </c>
      <c r="H339" s="1">
        <f ca="1">IFERROR(__xludf.DUMMYFUNCTION("""COMPUTED_VALUE"""),111.5)</f>
        <v>111.5</v>
      </c>
      <c r="I339" s="1">
        <f ca="1">IFERROR(__xludf.DUMMYFUNCTION("""COMPUTED_VALUE"""),319)</f>
        <v>319</v>
      </c>
      <c r="J339" s="1">
        <f ca="1">IFERROR(__xludf.DUMMYFUNCTION("""COMPUTED_VALUE"""),65.2)</f>
        <v>65.2</v>
      </c>
      <c r="K339" s="1">
        <f ca="1">IFERROR(__xludf.DUMMYFUNCTION("""COMPUTED_VALUE"""),165)</f>
        <v>165</v>
      </c>
      <c r="L339" s="1" t="str">
        <f ca="1">IFERROR(__xludf.DUMMYFUNCTION("""COMPUTED_VALUE"""),"+.062")</f>
        <v>+.062</v>
      </c>
      <c r="M339" s="1">
        <f ca="1">IFERROR(__xludf.DUMMYFUNCTION("""COMPUTED_VALUE"""),34)</f>
        <v>34</v>
      </c>
      <c r="N339" s="1">
        <f ca="1">IFERROR(__xludf.DUMMYFUNCTION("""COMPUTED_VALUE"""),-8.05)</f>
        <v>-8.0500000000000007</v>
      </c>
      <c r="O339" s="1">
        <f ca="1">IFERROR(__xludf.DUMMYFUNCTION("""COMPUTED_VALUE"""),333)</f>
        <v>333</v>
      </c>
      <c r="P339" s="1">
        <f ca="1">IFERROR(__xludf.DUMMYFUNCTION("""COMPUTED_VALUE"""),96.2)</f>
        <v>96.2</v>
      </c>
      <c r="Q339" s="1">
        <f ca="1">IFERROR(__xludf.DUMMYFUNCTION("""COMPUTED_VALUE"""),338)</f>
        <v>338</v>
      </c>
      <c r="R339" s="1">
        <f ca="1">IFERROR(__xludf.DUMMYFUNCTION("""COMPUTED_VALUE"""),104.2)</f>
        <v>104.2</v>
      </c>
      <c r="S339" s="1">
        <f ca="1">IFERROR(__xludf.DUMMYFUNCTION("""COMPUTED_VALUE"""),210)</f>
        <v>210</v>
      </c>
      <c r="T339" s="1" t="str">
        <f ca="1">IFERROR(__xludf.DUMMYFUNCTION("""COMPUTED_VALUE"""),"+8.51")</f>
        <v>+8.51</v>
      </c>
      <c r="U339" s="1">
        <f ca="1">IFERROR(__xludf.DUMMYFUNCTION("""COMPUTED_VALUE"""),14)</f>
        <v>14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IFERROR(__xludf.DUMMYFUNCTION("""COMPUTED_VALUE"""),"Prairie View A&amp;M")</f>
        <v>Prairie View A&amp;M</v>
      </c>
      <c r="C340" s="1" t="str">
        <f ca="1">IFERROR(__xludf.DUMMYFUNCTION("""COMPUTED_VALUE"""),"SWAC")</f>
        <v>SWAC</v>
      </c>
      <c r="D340" s="1" t="str">
        <f ca="1">IFERROR(__xludf.DUMMYFUNCTION("""COMPUTED_VALUE"""),"14-18")</f>
        <v>14-18</v>
      </c>
      <c r="E340" s="1">
        <f ca="1">IFERROR(__xludf.DUMMYFUNCTION("""COMPUTED_VALUE"""),-18.01)</f>
        <v>-18.010000000000002</v>
      </c>
      <c r="F340" s="1">
        <f ca="1">IFERROR(__xludf.DUMMYFUNCTION("""COMPUTED_VALUE"""),85.5)</f>
        <v>85.5</v>
      </c>
      <c r="G340" s="1">
        <f ca="1">IFERROR(__xludf.DUMMYFUNCTION("""COMPUTED_VALUE"""),344)</f>
        <v>344</v>
      </c>
      <c r="H340" s="1">
        <f ca="1">IFERROR(__xludf.DUMMYFUNCTION("""COMPUTED_VALUE"""),103.5)</f>
        <v>103.5</v>
      </c>
      <c r="I340" s="1">
        <f ca="1">IFERROR(__xludf.DUMMYFUNCTION("""COMPUTED_VALUE"""),187)</f>
        <v>187</v>
      </c>
      <c r="J340" s="1">
        <f ca="1">IFERROR(__xludf.DUMMYFUNCTION("""COMPUTED_VALUE"""),70)</f>
        <v>70</v>
      </c>
      <c r="K340" s="1">
        <f ca="1">IFERROR(__xludf.DUMMYFUNCTION("""COMPUTED_VALUE"""),16)</f>
        <v>16</v>
      </c>
      <c r="L340" s="1" t="str">
        <f ca="1">IFERROR(__xludf.DUMMYFUNCTION("""COMPUTED_VALUE"""),"+.045")</f>
        <v>+.045</v>
      </c>
      <c r="M340" s="1">
        <f ca="1">IFERROR(__xludf.DUMMYFUNCTION("""COMPUTED_VALUE"""),62)</f>
        <v>62</v>
      </c>
      <c r="N340" s="1">
        <f ca="1">IFERROR(__xludf.DUMMYFUNCTION("""COMPUTED_VALUE"""),-11.52)</f>
        <v>-11.52</v>
      </c>
      <c r="O340" s="1">
        <f ca="1">IFERROR(__xludf.DUMMYFUNCTION("""COMPUTED_VALUE"""),344)</f>
        <v>344</v>
      </c>
      <c r="P340" s="1">
        <f ca="1">IFERROR(__xludf.DUMMYFUNCTION("""COMPUTED_VALUE"""),95.2)</f>
        <v>95.2</v>
      </c>
      <c r="Q340" s="1">
        <f ca="1">IFERROR(__xludf.DUMMYFUNCTION("""COMPUTED_VALUE"""),342)</f>
        <v>342</v>
      </c>
      <c r="R340" s="1">
        <f ca="1">IFERROR(__xludf.DUMMYFUNCTION("""COMPUTED_VALUE"""),106.7)</f>
        <v>106.7</v>
      </c>
      <c r="S340" s="1">
        <f ca="1">IFERROR(__xludf.DUMMYFUNCTION("""COMPUTED_VALUE"""),329)</f>
        <v>329</v>
      </c>
      <c r="T340" s="1" t="str">
        <f ca="1">IFERROR(__xludf.DUMMYFUNCTION("""COMPUTED_VALUE"""),"+7.38")</f>
        <v>+7.38</v>
      </c>
      <c r="U340" s="1">
        <f ca="1">IFERROR(__xludf.DUMMYFUNCTION("""COMPUTED_VALUE"""),19)</f>
        <v>19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IFERROR(__xludf.DUMMYFUNCTION("""COMPUTED_VALUE"""),"The Citadel")</f>
        <v>The Citadel</v>
      </c>
      <c r="C341" s="1" t="str">
        <f ca="1">IFERROR(__xludf.DUMMYFUNCTION("""COMPUTED_VALUE"""),"SC")</f>
        <v>SC</v>
      </c>
      <c r="D341" s="2">
        <f ca="1">IFERROR(__xludf.DUMMYFUNCTION("""COMPUTED_VALUE"""),44736)</f>
        <v>44736</v>
      </c>
      <c r="E341" s="1">
        <f ca="1">IFERROR(__xludf.DUMMYFUNCTION("""COMPUTED_VALUE"""),-18.01)</f>
        <v>-18.010000000000002</v>
      </c>
      <c r="F341" s="1">
        <f ca="1">IFERROR(__xludf.DUMMYFUNCTION("""COMPUTED_VALUE"""),92.6)</f>
        <v>92.6</v>
      </c>
      <c r="G341" s="1">
        <f ca="1">IFERROR(__xludf.DUMMYFUNCTION("""COMPUTED_VALUE"""),315)</f>
        <v>315</v>
      </c>
      <c r="H341" s="1">
        <f ca="1">IFERROR(__xludf.DUMMYFUNCTION("""COMPUTED_VALUE"""),110.6)</f>
        <v>110.6</v>
      </c>
      <c r="I341" s="1">
        <f ca="1">IFERROR(__xludf.DUMMYFUNCTION("""COMPUTED_VALUE"""),306)</f>
        <v>306</v>
      </c>
      <c r="J341" s="1">
        <f ca="1">IFERROR(__xludf.DUMMYFUNCTION("""COMPUTED_VALUE"""),63.4)</f>
        <v>63.4</v>
      </c>
      <c r="K341" s="1">
        <f ca="1">IFERROR(__xludf.DUMMYFUNCTION("""COMPUTED_VALUE"""),257)</f>
        <v>257</v>
      </c>
      <c r="L341" s="1">
        <f ca="1">IFERROR(__xludf.DUMMYFUNCTION("""COMPUTED_VALUE"""),-0.042)</f>
        <v>-4.2000000000000003E-2</v>
      </c>
      <c r="M341" s="1">
        <f ca="1">IFERROR(__xludf.DUMMYFUNCTION("""COMPUTED_VALUE"""),267)</f>
        <v>267</v>
      </c>
      <c r="N341" s="1">
        <f ca="1">IFERROR(__xludf.DUMMYFUNCTION("""COMPUTED_VALUE"""),-4.34)</f>
        <v>-4.34</v>
      </c>
      <c r="O341" s="1">
        <f ca="1">IFERROR(__xludf.DUMMYFUNCTION("""COMPUTED_VALUE"""),268)</f>
        <v>268</v>
      </c>
      <c r="P341" s="1">
        <f ca="1">IFERROR(__xludf.DUMMYFUNCTION("""COMPUTED_VALUE"""),101.4)</f>
        <v>101.4</v>
      </c>
      <c r="Q341" s="1">
        <f ca="1">IFERROR(__xludf.DUMMYFUNCTION("""COMPUTED_VALUE"""),244)</f>
        <v>244</v>
      </c>
      <c r="R341" s="1">
        <f ca="1">IFERROR(__xludf.DUMMYFUNCTION("""COMPUTED_VALUE"""),105.7)</f>
        <v>105.7</v>
      </c>
      <c r="S341" s="1">
        <f ca="1">IFERROR(__xludf.DUMMYFUNCTION("""COMPUTED_VALUE"""),290)</f>
        <v>290</v>
      </c>
      <c r="T341" s="1">
        <f ca="1">IFERROR(__xludf.DUMMYFUNCTION("""COMPUTED_VALUE"""),-1.64)</f>
        <v>-1.64</v>
      </c>
      <c r="U341" s="1">
        <f ca="1">IFERROR(__xludf.DUMMYFUNCTION("""COMPUTED_VALUE"""),203)</f>
        <v>203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IFERROR(__xludf.DUMMYFUNCTION("""COMPUTED_VALUE"""),"Colgate")</f>
        <v>Colgate</v>
      </c>
      <c r="C342" s="1" t="str">
        <f ca="1">IFERROR(__xludf.DUMMYFUNCTION("""COMPUTED_VALUE"""),"Pat")</f>
        <v>Pat</v>
      </c>
      <c r="D342" s="2">
        <f ca="1">IFERROR(__xludf.DUMMYFUNCTION("""COMPUTED_VALUE"""),44795)</f>
        <v>44795</v>
      </c>
      <c r="E342" s="1">
        <f ca="1">IFERROR(__xludf.DUMMYFUNCTION("""COMPUTED_VALUE"""),-18.21)</f>
        <v>-18.21</v>
      </c>
      <c r="F342" s="1">
        <f ca="1">IFERROR(__xludf.DUMMYFUNCTION("""COMPUTED_VALUE"""),97.7)</f>
        <v>97.7</v>
      </c>
      <c r="G342" s="1">
        <f ca="1">IFERROR(__xludf.DUMMYFUNCTION("""COMPUTED_VALUE"""),269)</f>
        <v>269</v>
      </c>
      <c r="H342" s="1">
        <f ca="1">IFERROR(__xludf.DUMMYFUNCTION("""COMPUTED_VALUE"""),115.9)</f>
        <v>115.9</v>
      </c>
      <c r="I342" s="1">
        <f ca="1">IFERROR(__xludf.DUMMYFUNCTION("""COMPUTED_VALUE"""),339)</f>
        <v>339</v>
      </c>
      <c r="J342" s="1">
        <f ca="1">IFERROR(__xludf.DUMMYFUNCTION("""COMPUTED_VALUE"""),64.8)</f>
        <v>64.8</v>
      </c>
      <c r="K342" s="1">
        <f ca="1">IFERROR(__xludf.DUMMYFUNCTION("""COMPUTED_VALUE"""),187)</f>
        <v>187</v>
      </c>
      <c r="L342" s="1" t="str">
        <f ca="1">IFERROR(__xludf.DUMMYFUNCTION("""COMPUTED_VALUE"""),"+.064")</f>
        <v>+.064</v>
      </c>
      <c r="M342" s="1">
        <f ca="1">IFERROR(__xludf.DUMMYFUNCTION("""COMPUTED_VALUE"""),32)</f>
        <v>32</v>
      </c>
      <c r="N342" s="1">
        <f ca="1">IFERROR(__xludf.DUMMYFUNCTION("""COMPUTED_VALUE"""),-4.45)</f>
        <v>-4.45</v>
      </c>
      <c r="O342" s="1">
        <f ca="1">IFERROR(__xludf.DUMMYFUNCTION("""COMPUTED_VALUE"""),272)</f>
        <v>272</v>
      </c>
      <c r="P342" s="1">
        <f ca="1">IFERROR(__xludf.DUMMYFUNCTION("""COMPUTED_VALUE"""),100.1)</f>
        <v>100.1</v>
      </c>
      <c r="Q342" s="1">
        <f ca="1">IFERROR(__xludf.DUMMYFUNCTION("""COMPUTED_VALUE"""),296)</f>
        <v>296</v>
      </c>
      <c r="R342" s="1">
        <f ca="1">IFERROR(__xludf.DUMMYFUNCTION("""COMPUTED_VALUE"""),104.5)</f>
        <v>104.5</v>
      </c>
      <c r="S342" s="1">
        <f ca="1">IFERROR(__xludf.DUMMYFUNCTION("""COMPUTED_VALUE"""),231)</f>
        <v>231</v>
      </c>
      <c r="T342" s="1">
        <f ca="1">IFERROR(__xludf.DUMMYFUNCTION("""COMPUTED_VALUE"""),-5.74)</f>
        <v>-5.74</v>
      </c>
      <c r="U342" s="1">
        <f ca="1">IFERROR(__xludf.DUMMYFUNCTION("""COMPUTED_VALUE"""),309)</f>
        <v>309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IFERROR(__xludf.DUMMYFUNCTION("""COMPUTED_VALUE"""),"Nicholls St.")</f>
        <v>Nicholls St.</v>
      </c>
      <c r="C343" s="1" t="str">
        <f ca="1">IFERROR(__xludf.DUMMYFUNCTION("""COMPUTED_VALUE"""),"Slnd")</f>
        <v>Slnd</v>
      </c>
      <c r="D343" s="2">
        <f ca="1">IFERROR(__xludf.DUMMYFUNCTION("""COMPUTED_VALUE"""),44854)</f>
        <v>44854</v>
      </c>
      <c r="E343" s="1">
        <f ca="1">IFERROR(__xludf.DUMMYFUNCTION("""COMPUTED_VALUE"""),-18.45)</f>
        <v>-18.45</v>
      </c>
      <c r="F343" s="1">
        <f ca="1">IFERROR(__xludf.DUMMYFUNCTION("""COMPUTED_VALUE"""),100.8)</f>
        <v>100.8</v>
      </c>
      <c r="G343" s="1">
        <f ca="1">IFERROR(__xludf.DUMMYFUNCTION("""COMPUTED_VALUE"""),213)</f>
        <v>213</v>
      </c>
      <c r="H343" s="1">
        <f ca="1">IFERROR(__xludf.DUMMYFUNCTION("""COMPUTED_VALUE"""),119.2)</f>
        <v>119.2</v>
      </c>
      <c r="I343" s="1">
        <f ca="1">IFERROR(__xludf.DUMMYFUNCTION("""COMPUTED_VALUE"""),344)</f>
        <v>344</v>
      </c>
      <c r="J343" s="1">
        <f ca="1">IFERROR(__xludf.DUMMYFUNCTION("""COMPUTED_VALUE"""),64.8)</f>
        <v>64.8</v>
      </c>
      <c r="K343" s="1">
        <f ca="1">IFERROR(__xludf.DUMMYFUNCTION("""COMPUTED_VALUE"""),184)</f>
        <v>184</v>
      </c>
      <c r="L343" s="1" t="str">
        <f ca="1">IFERROR(__xludf.DUMMYFUNCTION("""COMPUTED_VALUE"""),"+.048")</f>
        <v>+.048</v>
      </c>
      <c r="M343" s="1">
        <f ca="1">IFERROR(__xludf.DUMMYFUNCTION("""COMPUTED_VALUE"""),60)</f>
        <v>60</v>
      </c>
      <c r="N343" s="1">
        <f ca="1">IFERROR(__xludf.DUMMYFUNCTION("""COMPUTED_VALUE"""),-3.73)</f>
        <v>-3.73</v>
      </c>
      <c r="O343" s="1">
        <f ca="1">IFERROR(__xludf.DUMMYFUNCTION("""COMPUTED_VALUE"""),248)</f>
        <v>248</v>
      </c>
      <c r="P343" s="1">
        <f ca="1">IFERROR(__xludf.DUMMYFUNCTION("""COMPUTED_VALUE"""),99.7)</f>
        <v>99.7</v>
      </c>
      <c r="Q343" s="1">
        <f ca="1">IFERROR(__xludf.DUMMYFUNCTION("""COMPUTED_VALUE"""),307)</f>
        <v>307</v>
      </c>
      <c r="R343" s="1">
        <f ca="1">IFERROR(__xludf.DUMMYFUNCTION("""COMPUTED_VALUE"""),103.4)</f>
        <v>103.4</v>
      </c>
      <c r="S343" s="1">
        <f ca="1">IFERROR(__xludf.DUMMYFUNCTION("""COMPUTED_VALUE"""),174)</f>
        <v>174</v>
      </c>
      <c r="T343" s="1" t="str">
        <f ca="1">IFERROR(__xludf.DUMMYFUNCTION("""COMPUTED_VALUE"""),"+0.86")</f>
        <v>+0.86</v>
      </c>
      <c r="U343" s="1">
        <f ca="1">IFERROR(__xludf.DUMMYFUNCTION("""COMPUTED_VALUE"""),130)</f>
        <v>130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IFERROR(__xludf.DUMMYFUNCTION("""COMPUTED_VALUE"""),"Canisius")</f>
        <v>Canisius</v>
      </c>
      <c r="C344" s="1" t="str">
        <f ca="1">IFERROR(__xludf.DUMMYFUNCTION("""COMPUTED_VALUE"""),"MAAC")</f>
        <v>MAAC</v>
      </c>
      <c r="D344" s="2">
        <f ca="1">IFERROR(__xludf.DUMMYFUNCTION("""COMPUTED_VALUE"""),44706)</f>
        <v>44706</v>
      </c>
      <c r="E344" s="1">
        <f ca="1">IFERROR(__xludf.DUMMYFUNCTION("""COMPUTED_VALUE"""),-18.63)</f>
        <v>-18.63</v>
      </c>
      <c r="F344" s="1">
        <f ca="1">IFERROR(__xludf.DUMMYFUNCTION("""COMPUTED_VALUE"""),94.9)</f>
        <v>94.9</v>
      </c>
      <c r="G344" s="1">
        <f ca="1">IFERROR(__xludf.DUMMYFUNCTION("""COMPUTED_VALUE"""),297)</f>
        <v>297</v>
      </c>
      <c r="H344" s="1">
        <f ca="1">IFERROR(__xludf.DUMMYFUNCTION("""COMPUTED_VALUE"""),113.5)</f>
        <v>113.5</v>
      </c>
      <c r="I344" s="1">
        <f ca="1">IFERROR(__xludf.DUMMYFUNCTION("""COMPUTED_VALUE"""),333)</f>
        <v>333</v>
      </c>
      <c r="J344" s="1">
        <f ca="1">IFERROR(__xludf.DUMMYFUNCTION("""COMPUTED_VALUE"""),65.3)</f>
        <v>65.3</v>
      </c>
      <c r="K344" s="1">
        <f ca="1">IFERROR(__xludf.DUMMYFUNCTION("""COMPUTED_VALUE"""),159)</f>
        <v>159</v>
      </c>
      <c r="L344" s="1" t="str">
        <f ca="1">IFERROR(__xludf.DUMMYFUNCTION("""COMPUTED_VALUE"""),"+.003")</f>
        <v>+.003</v>
      </c>
      <c r="M344" s="1">
        <f ca="1">IFERROR(__xludf.DUMMYFUNCTION("""COMPUTED_VALUE"""),166)</f>
        <v>166</v>
      </c>
      <c r="N344" s="1">
        <f ca="1">IFERROR(__xludf.DUMMYFUNCTION("""COMPUTED_VALUE"""),-4.34)</f>
        <v>-4.34</v>
      </c>
      <c r="O344" s="1">
        <f ca="1">IFERROR(__xludf.DUMMYFUNCTION("""COMPUTED_VALUE"""),267)</f>
        <v>267</v>
      </c>
      <c r="P344" s="1">
        <f ca="1">IFERROR(__xludf.DUMMYFUNCTION("""COMPUTED_VALUE"""),101.2)</f>
        <v>101.2</v>
      </c>
      <c r="Q344" s="1">
        <f ca="1">IFERROR(__xludf.DUMMYFUNCTION("""COMPUTED_VALUE"""),248)</f>
        <v>248</v>
      </c>
      <c r="R344" s="1">
        <f ca="1">IFERROR(__xludf.DUMMYFUNCTION("""COMPUTED_VALUE"""),105.6)</f>
        <v>105.6</v>
      </c>
      <c r="S344" s="1">
        <f ca="1">IFERROR(__xludf.DUMMYFUNCTION("""COMPUTED_VALUE"""),287)</f>
        <v>287</v>
      </c>
      <c r="T344" s="1">
        <f ca="1">IFERROR(__xludf.DUMMYFUNCTION("""COMPUTED_VALUE"""),-7.7)</f>
        <v>-7.7</v>
      </c>
      <c r="U344" s="1">
        <f ca="1">IFERROR(__xludf.DUMMYFUNCTION("""COMPUTED_VALUE"""),331)</f>
        <v>331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IFERROR(__xludf.DUMMYFUNCTION("""COMPUTED_VALUE"""),"Maryland Eastern Shore")</f>
        <v>Maryland Eastern Shore</v>
      </c>
      <c r="C345" s="1" t="str">
        <f ca="1">IFERROR(__xludf.DUMMYFUNCTION("""COMPUTED_VALUE"""),"MEAC")</f>
        <v>MEAC</v>
      </c>
      <c r="D345" s="2">
        <f ca="1">IFERROR(__xludf.DUMMYFUNCTION("""COMPUTED_VALUE"""),44765)</f>
        <v>44765</v>
      </c>
      <c r="E345" s="1">
        <f ca="1">IFERROR(__xludf.DUMMYFUNCTION("""COMPUTED_VALUE"""),-18.74)</f>
        <v>-18.739999999999998</v>
      </c>
      <c r="F345" s="1">
        <f ca="1">IFERROR(__xludf.DUMMYFUNCTION("""COMPUTED_VALUE"""),87.1)</f>
        <v>87.1</v>
      </c>
      <c r="G345" s="1">
        <f ca="1">IFERROR(__xludf.DUMMYFUNCTION("""COMPUTED_VALUE"""),341)</f>
        <v>341</v>
      </c>
      <c r="H345" s="1">
        <f ca="1">IFERROR(__xludf.DUMMYFUNCTION("""COMPUTED_VALUE"""),105.9)</f>
        <v>105.9</v>
      </c>
      <c r="I345" s="1">
        <f ca="1">IFERROR(__xludf.DUMMYFUNCTION("""COMPUTED_VALUE"""),236)</f>
        <v>236</v>
      </c>
      <c r="J345" s="1">
        <f ca="1">IFERROR(__xludf.DUMMYFUNCTION("""COMPUTED_VALUE"""),66.9)</f>
        <v>66.900000000000006</v>
      </c>
      <c r="K345" s="1">
        <f ca="1">IFERROR(__xludf.DUMMYFUNCTION("""COMPUTED_VALUE"""),87)</f>
        <v>87</v>
      </c>
      <c r="L345" s="1" t="str">
        <f ca="1">IFERROR(__xludf.DUMMYFUNCTION("""COMPUTED_VALUE"""),"+.004")</f>
        <v>+.004</v>
      </c>
      <c r="M345" s="1">
        <f ca="1">IFERROR(__xludf.DUMMYFUNCTION("""COMPUTED_VALUE"""),162)</f>
        <v>162</v>
      </c>
      <c r="N345" s="1">
        <f ca="1">IFERROR(__xludf.DUMMYFUNCTION("""COMPUTED_VALUE"""),-4.06)</f>
        <v>-4.0599999999999996</v>
      </c>
      <c r="O345" s="1">
        <f ca="1">IFERROR(__xludf.DUMMYFUNCTION("""COMPUTED_VALUE"""),259)</f>
        <v>259</v>
      </c>
      <c r="P345" s="1">
        <f ca="1">IFERROR(__xludf.DUMMYFUNCTION("""COMPUTED_VALUE"""),100.1)</f>
        <v>100.1</v>
      </c>
      <c r="Q345" s="1">
        <f ca="1">IFERROR(__xludf.DUMMYFUNCTION("""COMPUTED_VALUE"""),298)</f>
        <v>298</v>
      </c>
      <c r="R345" s="1">
        <f ca="1">IFERROR(__xludf.DUMMYFUNCTION("""COMPUTED_VALUE"""),104.1)</f>
        <v>104.1</v>
      </c>
      <c r="S345" s="1">
        <f ca="1">IFERROR(__xludf.DUMMYFUNCTION("""COMPUTED_VALUE"""),202)</f>
        <v>202</v>
      </c>
      <c r="T345" s="1" t="str">
        <f ca="1">IFERROR(__xludf.DUMMYFUNCTION("""COMPUTED_VALUE"""),"+4.31")</f>
        <v>+4.31</v>
      </c>
      <c r="U345" s="1">
        <f ca="1">IFERROR(__xludf.DUMMYFUNCTION("""COMPUTED_VALUE"""),53)</f>
        <v>53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IFERROR(__xludf.DUMMYFUNCTION("""COMPUTED_VALUE"""),"UC Davis")</f>
        <v>UC Davis</v>
      </c>
      <c r="C346" s="1" t="str">
        <f ca="1">IFERROR(__xludf.DUMMYFUNCTION("""COMPUTED_VALUE"""),"BW")</f>
        <v>BW</v>
      </c>
      <c r="D346" s="2">
        <f ca="1">IFERROR(__xludf.DUMMYFUNCTION("""COMPUTED_VALUE"""),44707)</f>
        <v>44707</v>
      </c>
      <c r="E346" s="1">
        <f ca="1">IFERROR(__xludf.DUMMYFUNCTION("""COMPUTED_VALUE"""),-18.82)</f>
        <v>-18.82</v>
      </c>
      <c r="F346" s="1">
        <f ca="1">IFERROR(__xludf.DUMMYFUNCTION("""COMPUTED_VALUE"""),94.6)</f>
        <v>94.6</v>
      </c>
      <c r="G346" s="1">
        <f ca="1">IFERROR(__xludf.DUMMYFUNCTION("""COMPUTED_VALUE"""),301)</f>
        <v>301</v>
      </c>
      <c r="H346" s="1">
        <f ca="1">IFERROR(__xludf.DUMMYFUNCTION("""COMPUTED_VALUE"""),113.4)</f>
        <v>113.4</v>
      </c>
      <c r="I346" s="1">
        <f ca="1">IFERROR(__xludf.DUMMYFUNCTION("""COMPUTED_VALUE"""),331)</f>
        <v>331</v>
      </c>
      <c r="J346" s="1">
        <f ca="1">IFERROR(__xludf.DUMMYFUNCTION("""COMPUTED_VALUE"""),64.8)</f>
        <v>64.8</v>
      </c>
      <c r="K346" s="1">
        <f ca="1">IFERROR(__xludf.DUMMYFUNCTION("""COMPUTED_VALUE"""),185)</f>
        <v>185</v>
      </c>
      <c r="L346" s="1">
        <f ca="1">IFERROR(__xludf.DUMMYFUNCTION("""COMPUTED_VALUE"""),-0.039)</f>
        <v>-3.9E-2</v>
      </c>
      <c r="M346" s="1">
        <f ca="1">IFERROR(__xludf.DUMMYFUNCTION("""COMPUTED_VALUE"""),263)</f>
        <v>263</v>
      </c>
      <c r="N346" s="1">
        <f ca="1">IFERROR(__xludf.DUMMYFUNCTION("""COMPUTED_VALUE"""),-2.4)</f>
        <v>-2.4</v>
      </c>
      <c r="O346" s="1">
        <f ca="1">IFERROR(__xludf.DUMMYFUNCTION("""COMPUTED_VALUE"""),211)</f>
        <v>211</v>
      </c>
      <c r="P346" s="1">
        <f ca="1">IFERROR(__xludf.DUMMYFUNCTION("""COMPUTED_VALUE"""),102.2)</f>
        <v>102.2</v>
      </c>
      <c r="Q346" s="1">
        <f ca="1">IFERROR(__xludf.DUMMYFUNCTION("""COMPUTED_VALUE"""),201)</f>
        <v>201</v>
      </c>
      <c r="R346" s="1">
        <f ca="1">IFERROR(__xludf.DUMMYFUNCTION("""COMPUTED_VALUE"""),104.7)</f>
        <v>104.7</v>
      </c>
      <c r="S346" s="1">
        <f ca="1">IFERROR(__xludf.DUMMYFUNCTION("""COMPUTED_VALUE"""),239)</f>
        <v>239</v>
      </c>
      <c r="T346" s="1">
        <f ca="1">IFERROR(__xludf.DUMMYFUNCTION("""COMPUTED_VALUE"""),-2.73)</f>
        <v>-2.73</v>
      </c>
      <c r="U346" s="1">
        <f ca="1">IFERROR(__xludf.DUMMYFUNCTION("""COMPUTED_VALUE"""),239)</f>
        <v>239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IFERROR(__xludf.DUMMYFUNCTION("""COMPUTED_VALUE"""),"Navy")</f>
        <v>Navy</v>
      </c>
      <c r="C347" s="1" t="str">
        <f ca="1">IFERROR(__xludf.DUMMYFUNCTION("""COMPUTED_VALUE"""),"Pat")</f>
        <v>Pat</v>
      </c>
      <c r="D347" s="2">
        <f ca="1">IFERROR(__xludf.DUMMYFUNCTION("""COMPUTED_VALUE"""),44646)</f>
        <v>44646</v>
      </c>
      <c r="E347" s="1">
        <f ca="1">IFERROR(__xludf.DUMMYFUNCTION("""COMPUTED_VALUE"""),-19.15)</f>
        <v>-19.149999999999999</v>
      </c>
      <c r="F347" s="1">
        <f ca="1">IFERROR(__xludf.DUMMYFUNCTION("""COMPUTED_VALUE"""),91.4)</f>
        <v>91.4</v>
      </c>
      <c r="G347" s="1">
        <f ca="1">IFERROR(__xludf.DUMMYFUNCTION("""COMPUTED_VALUE"""),318)</f>
        <v>318</v>
      </c>
      <c r="H347" s="1">
        <f ca="1">IFERROR(__xludf.DUMMYFUNCTION("""COMPUTED_VALUE"""),110.6)</f>
        <v>110.6</v>
      </c>
      <c r="I347" s="1">
        <f ca="1">IFERROR(__xludf.DUMMYFUNCTION("""COMPUTED_VALUE"""),305)</f>
        <v>305</v>
      </c>
      <c r="J347" s="1">
        <f ca="1">IFERROR(__xludf.DUMMYFUNCTION("""COMPUTED_VALUE"""),59.5)</f>
        <v>59.5</v>
      </c>
      <c r="K347" s="1">
        <f ca="1">IFERROR(__xludf.DUMMYFUNCTION("""COMPUTED_VALUE"""),334)</f>
        <v>334</v>
      </c>
      <c r="L347" s="1">
        <f ca="1">IFERROR(__xludf.DUMMYFUNCTION("""COMPUTED_VALUE"""),-0.055)</f>
        <v>-5.5E-2</v>
      </c>
      <c r="M347" s="1">
        <f ca="1">IFERROR(__xludf.DUMMYFUNCTION("""COMPUTED_VALUE"""),296)</f>
        <v>296</v>
      </c>
      <c r="N347" s="1">
        <f ca="1">IFERROR(__xludf.DUMMYFUNCTION("""COMPUTED_VALUE"""),-4.03)</f>
        <v>-4.03</v>
      </c>
      <c r="O347" s="1">
        <f ca="1">IFERROR(__xludf.DUMMYFUNCTION("""COMPUTED_VALUE"""),256)</f>
        <v>256</v>
      </c>
      <c r="P347" s="1">
        <f ca="1">IFERROR(__xludf.DUMMYFUNCTION("""COMPUTED_VALUE"""),101.8)</f>
        <v>101.8</v>
      </c>
      <c r="Q347" s="1">
        <f ca="1">IFERROR(__xludf.DUMMYFUNCTION("""COMPUTED_VALUE"""),220)</f>
        <v>220</v>
      </c>
      <c r="R347" s="1">
        <f ca="1">IFERROR(__xludf.DUMMYFUNCTION("""COMPUTED_VALUE"""),105.8)</f>
        <v>105.8</v>
      </c>
      <c r="S347" s="1">
        <f ca="1">IFERROR(__xludf.DUMMYFUNCTION("""COMPUTED_VALUE"""),297)</f>
        <v>297</v>
      </c>
      <c r="T347" s="1">
        <f ca="1">IFERROR(__xludf.DUMMYFUNCTION("""COMPUTED_VALUE"""),-4.85)</f>
        <v>-4.8499999999999996</v>
      </c>
      <c r="U347" s="1">
        <f ca="1">IFERROR(__xludf.DUMMYFUNCTION("""COMPUTED_VALUE"""),290)</f>
        <v>290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IFERROR(__xludf.DUMMYFUNCTION("""COMPUTED_VALUE"""),"Northern Illinois")</f>
        <v>Northern Illinois</v>
      </c>
      <c r="C348" s="1" t="str">
        <f ca="1">IFERROR(__xludf.DUMMYFUNCTION("""COMPUTED_VALUE"""),"MAC")</f>
        <v>MAC</v>
      </c>
      <c r="D348" s="2">
        <f ca="1">IFERROR(__xludf.DUMMYFUNCTION("""COMPUTED_VALUE"""),44707)</f>
        <v>44707</v>
      </c>
      <c r="E348" s="1">
        <f ca="1">IFERROR(__xludf.DUMMYFUNCTION("""COMPUTED_VALUE"""),-19.58)</f>
        <v>-19.579999999999998</v>
      </c>
      <c r="F348" s="1">
        <f ca="1">IFERROR(__xludf.DUMMYFUNCTION("""COMPUTED_VALUE"""),90.3)</f>
        <v>90.3</v>
      </c>
      <c r="G348" s="1">
        <f ca="1">IFERROR(__xludf.DUMMYFUNCTION("""COMPUTED_VALUE"""),327)</f>
        <v>327</v>
      </c>
      <c r="H348" s="1">
        <f ca="1">IFERROR(__xludf.DUMMYFUNCTION("""COMPUTED_VALUE"""),109.9)</f>
        <v>109.9</v>
      </c>
      <c r="I348" s="1">
        <f ca="1">IFERROR(__xludf.DUMMYFUNCTION("""COMPUTED_VALUE"""),298)</f>
        <v>298</v>
      </c>
      <c r="J348" s="1">
        <f ca="1">IFERROR(__xludf.DUMMYFUNCTION("""COMPUTED_VALUE"""),62.1)</f>
        <v>62.1</v>
      </c>
      <c r="K348" s="1">
        <f ca="1">IFERROR(__xludf.DUMMYFUNCTION("""COMPUTED_VALUE"""),295)</f>
        <v>295</v>
      </c>
      <c r="L348" s="1">
        <f ca="1">IFERROR(__xludf.DUMMYFUNCTION("""COMPUTED_VALUE"""),-0.022)</f>
        <v>-2.1999999999999999E-2</v>
      </c>
      <c r="M348" s="1">
        <f ca="1">IFERROR(__xludf.DUMMYFUNCTION("""COMPUTED_VALUE"""),227)</f>
        <v>227</v>
      </c>
      <c r="N348" s="1">
        <f ca="1">IFERROR(__xludf.DUMMYFUNCTION("""COMPUTED_VALUE"""),-2.39)</f>
        <v>-2.39</v>
      </c>
      <c r="O348" s="1">
        <f ca="1">IFERROR(__xludf.DUMMYFUNCTION("""COMPUTED_VALUE"""),210)</f>
        <v>210</v>
      </c>
      <c r="P348" s="1">
        <f ca="1">IFERROR(__xludf.DUMMYFUNCTION("""COMPUTED_VALUE"""),101.9)</f>
        <v>101.9</v>
      </c>
      <c r="Q348" s="1">
        <f ca="1">IFERROR(__xludf.DUMMYFUNCTION("""COMPUTED_VALUE"""),211)</f>
        <v>211</v>
      </c>
      <c r="R348" s="1">
        <f ca="1">IFERROR(__xludf.DUMMYFUNCTION("""COMPUTED_VALUE"""),104.3)</f>
        <v>104.3</v>
      </c>
      <c r="S348" s="1">
        <f ca="1">IFERROR(__xludf.DUMMYFUNCTION("""COMPUTED_VALUE"""),214)</f>
        <v>214</v>
      </c>
      <c r="T348" s="1">
        <f ca="1">IFERROR(__xludf.DUMMYFUNCTION("""COMPUTED_VALUE"""),-4.21)</f>
        <v>-4.21</v>
      </c>
      <c r="U348" s="1">
        <f ca="1">IFERROR(__xludf.DUMMYFUNCTION("""COMPUTED_VALUE"""),276)</f>
        <v>276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IFERROR(__xludf.DUMMYFUNCTION("""COMPUTED_VALUE"""),"Alcorn St.")</f>
        <v>Alcorn St.</v>
      </c>
      <c r="C349" s="1" t="str">
        <f ca="1">IFERROR(__xludf.DUMMYFUNCTION("""COMPUTED_VALUE"""),"SWAC")</f>
        <v>SWAC</v>
      </c>
      <c r="D349" s="2">
        <f ca="1">IFERROR(__xludf.DUMMYFUNCTION("""COMPUTED_VALUE"""),44826)</f>
        <v>44826</v>
      </c>
      <c r="E349" s="1">
        <f ca="1">IFERROR(__xludf.DUMMYFUNCTION("""COMPUTED_VALUE"""),-20.18)</f>
        <v>-20.18</v>
      </c>
      <c r="F349" s="1">
        <f ca="1">IFERROR(__xludf.DUMMYFUNCTION("""COMPUTED_VALUE"""),88.4)</f>
        <v>88.4</v>
      </c>
      <c r="G349" s="1">
        <f ca="1">IFERROR(__xludf.DUMMYFUNCTION("""COMPUTED_VALUE"""),337)</f>
        <v>337</v>
      </c>
      <c r="H349" s="1">
        <f ca="1">IFERROR(__xludf.DUMMYFUNCTION("""COMPUTED_VALUE"""),108.6)</f>
        <v>108.6</v>
      </c>
      <c r="I349" s="1">
        <f ca="1">IFERROR(__xludf.DUMMYFUNCTION("""COMPUTED_VALUE"""),280)</f>
        <v>280</v>
      </c>
      <c r="J349" s="1">
        <f ca="1">IFERROR(__xludf.DUMMYFUNCTION("""COMPUTED_VALUE"""),67.4)</f>
        <v>67.400000000000006</v>
      </c>
      <c r="K349" s="1">
        <f ca="1">IFERROR(__xludf.DUMMYFUNCTION("""COMPUTED_VALUE"""),61)</f>
        <v>61</v>
      </c>
      <c r="L349" s="1">
        <f ca="1">IFERROR(__xludf.DUMMYFUNCTION("""COMPUTED_VALUE"""),-0.046)</f>
        <v>-4.5999999999999999E-2</v>
      </c>
      <c r="M349" s="1">
        <f ca="1">IFERROR(__xludf.DUMMYFUNCTION("""COMPUTED_VALUE"""),273)</f>
        <v>273</v>
      </c>
      <c r="N349" s="1">
        <f ca="1">IFERROR(__xludf.DUMMYFUNCTION("""COMPUTED_VALUE"""),-11.22)</f>
        <v>-11.22</v>
      </c>
      <c r="O349" s="1">
        <f ca="1">IFERROR(__xludf.DUMMYFUNCTION("""COMPUTED_VALUE"""),343)</f>
        <v>343</v>
      </c>
      <c r="P349" s="1">
        <f ca="1">IFERROR(__xludf.DUMMYFUNCTION("""COMPUTED_VALUE"""),94.2)</f>
        <v>94.2</v>
      </c>
      <c r="Q349" s="1">
        <f ca="1">IFERROR(__xludf.DUMMYFUNCTION("""COMPUTED_VALUE"""),343)</f>
        <v>343</v>
      </c>
      <c r="R349" s="1">
        <f ca="1">IFERROR(__xludf.DUMMYFUNCTION("""COMPUTED_VALUE"""),105.4)</f>
        <v>105.4</v>
      </c>
      <c r="S349" s="1">
        <f ca="1">IFERROR(__xludf.DUMMYFUNCTION("""COMPUTED_VALUE"""),280)</f>
        <v>280</v>
      </c>
      <c r="T349" s="1" t="str">
        <f ca="1">IFERROR(__xludf.DUMMYFUNCTION("""COMPUTED_VALUE"""),"+7.42")</f>
        <v>+7.42</v>
      </c>
      <c r="U349" s="1">
        <f ca="1">IFERROR(__xludf.DUMMYFUNCTION("""COMPUTED_VALUE"""),18)</f>
        <v>18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IFERROR(__xludf.DUMMYFUNCTION("""COMPUTED_VALUE"""),"Jackson St.")</f>
        <v>Jackson St.</v>
      </c>
      <c r="C350" s="1" t="str">
        <f ca="1">IFERROR(__xludf.DUMMYFUNCTION("""COMPUTED_VALUE"""),"SWAC")</f>
        <v>SWAC</v>
      </c>
      <c r="D350" s="2">
        <f ca="1">IFERROR(__xludf.DUMMYFUNCTION("""COMPUTED_VALUE"""),44766)</f>
        <v>44766</v>
      </c>
      <c r="E350" s="1">
        <f ca="1">IFERROR(__xludf.DUMMYFUNCTION("""COMPUTED_VALUE"""),-20.45)</f>
        <v>-20.45</v>
      </c>
      <c r="F350" s="1">
        <f ca="1">IFERROR(__xludf.DUMMYFUNCTION("""COMPUTED_VALUE"""),88.5)</f>
        <v>88.5</v>
      </c>
      <c r="G350" s="1">
        <f ca="1">IFERROR(__xludf.DUMMYFUNCTION("""COMPUTED_VALUE"""),336)</f>
        <v>336</v>
      </c>
      <c r="H350" s="1">
        <f ca="1">IFERROR(__xludf.DUMMYFUNCTION("""COMPUTED_VALUE"""),108.9)</f>
        <v>108.9</v>
      </c>
      <c r="I350" s="1">
        <f ca="1">IFERROR(__xludf.DUMMYFUNCTION("""COMPUTED_VALUE"""),283)</f>
        <v>283</v>
      </c>
      <c r="J350" s="1">
        <f ca="1">IFERROR(__xludf.DUMMYFUNCTION("""COMPUTED_VALUE"""),60.7)</f>
        <v>60.7</v>
      </c>
      <c r="K350" s="1">
        <f ca="1">IFERROR(__xludf.DUMMYFUNCTION("""COMPUTED_VALUE"""),324)</f>
        <v>324</v>
      </c>
      <c r="L350" s="1">
        <f ca="1">IFERROR(__xludf.DUMMYFUNCTION("""COMPUTED_VALUE"""),-0.027)</f>
        <v>-2.7E-2</v>
      </c>
      <c r="M350" s="1">
        <f ca="1">IFERROR(__xludf.DUMMYFUNCTION("""COMPUTED_VALUE"""),242)</f>
        <v>242</v>
      </c>
      <c r="N350" s="1">
        <f ca="1">IFERROR(__xludf.DUMMYFUNCTION("""COMPUTED_VALUE"""),-7.13)</f>
        <v>-7.13</v>
      </c>
      <c r="O350" s="1">
        <f ca="1">IFERROR(__xludf.DUMMYFUNCTION("""COMPUTED_VALUE"""),324)</f>
        <v>324</v>
      </c>
      <c r="P350" s="1">
        <f ca="1">IFERROR(__xludf.DUMMYFUNCTION("""COMPUTED_VALUE"""),97)</f>
        <v>97</v>
      </c>
      <c r="Q350" s="1">
        <f ca="1">IFERROR(__xludf.DUMMYFUNCTION("""COMPUTED_VALUE"""),336)</f>
        <v>336</v>
      </c>
      <c r="R350" s="1">
        <f ca="1">IFERROR(__xludf.DUMMYFUNCTION("""COMPUTED_VALUE"""),104.2)</f>
        <v>104.2</v>
      </c>
      <c r="S350" s="1">
        <f ca="1">IFERROR(__xludf.DUMMYFUNCTION("""COMPUTED_VALUE"""),204)</f>
        <v>204</v>
      </c>
      <c r="T350" s="1" t="str">
        <f ca="1">IFERROR(__xludf.DUMMYFUNCTION("""COMPUTED_VALUE"""),"+15.79")</f>
        <v>+15.79</v>
      </c>
      <c r="U350" s="1">
        <f ca="1">IFERROR(__xludf.DUMMYFUNCTION("""COMPUTED_VALUE"""),1)</f>
        <v>1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IFERROR(__xludf.DUMMYFUNCTION("""COMPUTED_VALUE"""),"Nebraska Omaha")</f>
        <v>Nebraska Omaha</v>
      </c>
      <c r="C351" s="1" t="str">
        <f ca="1">IFERROR(__xludf.DUMMYFUNCTION("""COMPUTED_VALUE"""),"ind")</f>
        <v>ind</v>
      </c>
      <c r="D351" s="2">
        <f ca="1">IFERROR(__xludf.DUMMYFUNCTION("""COMPUTED_VALUE"""),44883)</f>
        <v>44883</v>
      </c>
      <c r="E351" s="1">
        <f ca="1">IFERROR(__xludf.DUMMYFUNCTION("""COMPUTED_VALUE"""),-20.56)</f>
        <v>-20.56</v>
      </c>
      <c r="F351" s="1">
        <f ca="1">IFERROR(__xludf.DUMMYFUNCTION("""COMPUTED_VALUE"""),97.1)</f>
        <v>97.1</v>
      </c>
      <c r="G351" s="1">
        <f ca="1">IFERROR(__xludf.DUMMYFUNCTION("""COMPUTED_VALUE"""),281)</f>
        <v>281</v>
      </c>
      <c r="H351" s="1">
        <f ca="1">IFERROR(__xludf.DUMMYFUNCTION("""COMPUTED_VALUE"""),117.6)</f>
        <v>117.6</v>
      </c>
      <c r="I351" s="1">
        <f ca="1">IFERROR(__xludf.DUMMYFUNCTION("""COMPUTED_VALUE"""),343)</f>
        <v>343</v>
      </c>
      <c r="J351" s="1">
        <f ca="1">IFERROR(__xludf.DUMMYFUNCTION("""COMPUTED_VALUE"""),70.4)</f>
        <v>70.400000000000006</v>
      </c>
      <c r="K351" s="1">
        <f ca="1">IFERROR(__xludf.DUMMYFUNCTION("""COMPUTED_VALUE"""),13)</f>
        <v>13</v>
      </c>
      <c r="L351" s="1">
        <f ca="1">IFERROR(__xludf.DUMMYFUNCTION("""COMPUTED_VALUE"""),-0.054)</f>
        <v>-5.3999999999999999E-2</v>
      </c>
      <c r="M351" s="1">
        <f ca="1">IFERROR(__xludf.DUMMYFUNCTION("""COMPUTED_VALUE"""),294)</f>
        <v>294</v>
      </c>
      <c r="N351" s="1">
        <f ca="1">IFERROR(__xludf.DUMMYFUNCTION("""COMPUTED_VALUE"""),-1.49)</f>
        <v>-1.49</v>
      </c>
      <c r="O351" s="1">
        <f ca="1">IFERROR(__xludf.DUMMYFUNCTION("""COMPUTED_VALUE"""),190)</f>
        <v>190</v>
      </c>
      <c r="P351" s="1">
        <f ca="1">IFERROR(__xludf.DUMMYFUNCTION("""COMPUTED_VALUE"""),102.5)</f>
        <v>102.5</v>
      </c>
      <c r="Q351" s="1">
        <f ca="1">IFERROR(__xludf.DUMMYFUNCTION("""COMPUTED_VALUE"""),182)</f>
        <v>182</v>
      </c>
      <c r="R351" s="1">
        <f ca="1">IFERROR(__xludf.DUMMYFUNCTION("""COMPUTED_VALUE"""),104)</f>
        <v>104</v>
      </c>
      <c r="S351" s="1">
        <f ca="1">IFERROR(__xludf.DUMMYFUNCTION("""COMPUTED_VALUE"""),201)</f>
        <v>201</v>
      </c>
      <c r="T351" s="1">
        <f ca="1">IFERROR(__xludf.DUMMYFUNCTION("""COMPUTED_VALUE"""),-0.42)</f>
        <v>-0.42</v>
      </c>
      <c r="U351" s="1">
        <f ca="1">IFERROR(__xludf.DUMMYFUNCTION("""COMPUTED_VALUE"""),170)</f>
        <v>170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IFERROR(__xludf.DUMMYFUNCTION("""COMPUTED_VALUE"""),"Chicago St.")</f>
        <v>Chicago St.</v>
      </c>
      <c r="C352" s="1" t="str">
        <f ca="1">IFERROR(__xludf.DUMMYFUNCTION("""COMPUTED_VALUE"""),"GWC")</f>
        <v>GWC</v>
      </c>
      <c r="D352" s="2">
        <f ca="1">IFERROR(__xludf.DUMMYFUNCTION("""COMPUTED_VALUE"""),44677)</f>
        <v>44677</v>
      </c>
      <c r="E352" s="1">
        <f ca="1">IFERROR(__xludf.DUMMYFUNCTION("""COMPUTED_VALUE"""),-20.89)</f>
        <v>-20.89</v>
      </c>
      <c r="F352" s="1">
        <f ca="1">IFERROR(__xludf.DUMMYFUNCTION("""COMPUTED_VALUE"""),88.7)</f>
        <v>88.7</v>
      </c>
      <c r="G352" s="1">
        <f ca="1">IFERROR(__xludf.DUMMYFUNCTION("""COMPUTED_VALUE"""),335)</f>
        <v>335</v>
      </c>
      <c r="H352" s="1">
        <f ca="1">IFERROR(__xludf.DUMMYFUNCTION("""COMPUTED_VALUE"""),109.6)</f>
        <v>109.6</v>
      </c>
      <c r="I352" s="1">
        <f ca="1">IFERROR(__xludf.DUMMYFUNCTION("""COMPUTED_VALUE"""),291)</f>
        <v>291</v>
      </c>
      <c r="J352" s="1">
        <f ca="1">IFERROR(__xludf.DUMMYFUNCTION("""COMPUTED_VALUE"""),69.2)</f>
        <v>69.2</v>
      </c>
      <c r="K352" s="1">
        <f ca="1">IFERROR(__xludf.DUMMYFUNCTION("""COMPUTED_VALUE"""),25)</f>
        <v>25</v>
      </c>
      <c r="L352" s="1">
        <f ca="1">IFERROR(__xludf.DUMMYFUNCTION("""COMPUTED_VALUE"""),-0.048)</f>
        <v>-4.8000000000000001E-2</v>
      </c>
      <c r="M352" s="1">
        <f ca="1">IFERROR(__xludf.DUMMYFUNCTION("""COMPUTED_VALUE"""),279)</f>
        <v>279</v>
      </c>
      <c r="N352" s="1">
        <f ca="1">IFERROR(__xludf.DUMMYFUNCTION("""COMPUTED_VALUE"""),-3.11)</f>
        <v>-3.11</v>
      </c>
      <c r="O352" s="1">
        <f ca="1">IFERROR(__xludf.DUMMYFUNCTION("""COMPUTED_VALUE"""),237)</f>
        <v>237</v>
      </c>
      <c r="P352" s="1">
        <f ca="1">IFERROR(__xludf.DUMMYFUNCTION("""COMPUTED_VALUE"""),101.7)</f>
        <v>101.7</v>
      </c>
      <c r="Q352" s="1">
        <f ca="1">IFERROR(__xludf.DUMMYFUNCTION("""COMPUTED_VALUE"""),230)</f>
        <v>230</v>
      </c>
      <c r="R352" s="1">
        <f ca="1">IFERROR(__xludf.DUMMYFUNCTION("""COMPUTED_VALUE"""),104.8)</f>
        <v>104.8</v>
      </c>
      <c r="S352" s="1">
        <f ca="1">IFERROR(__xludf.DUMMYFUNCTION("""COMPUTED_VALUE"""),248)</f>
        <v>248</v>
      </c>
      <c r="T352" s="1" t="str">
        <f ca="1">IFERROR(__xludf.DUMMYFUNCTION("""COMPUTED_VALUE"""),"+3.58")</f>
        <v>+3.58</v>
      </c>
      <c r="U352" s="1">
        <f ca="1">IFERROR(__xludf.DUMMYFUNCTION("""COMPUTED_VALUE"""),70)</f>
        <v>70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IFERROR(__xludf.DUMMYFUNCTION("""COMPUTED_VALUE"""),"Fairleigh Dickinson")</f>
        <v>Fairleigh Dickinson</v>
      </c>
      <c r="C353" s="1" t="str">
        <f ca="1">IFERROR(__xludf.DUMMYFUNCTION("""COMPUTED_VALUE"""),"NEC")</f>
        <v>NEC</v>
      </c>
      <c r="D353" s="2">
        <f ca="1">IFERROR(__xludf.DUMMYFUNCTION("""COMPUTED_VALUE"""),44646)</f>
        <v>44646</v>
      </c>
      <c r="E353" s="1">
        <f ca="1">IFERROR(__xludf.DUMMYFUNCTION("""COMPUTED_VALUE"""),-21.19)</f>
        <v>-21.19</v>
      </c>
      <c r="F353" s="1">
        <f ca="1">IFERROR(__xludf.DUMMYFUNCTION("""COMPUTED_VALUE"""),87.8)</f>
        <v>87.8</v>
      </c>
      <c r="G353" s="1">
        <f ca="1">IFERROR(__xludf.DUMMYFUNCTION("""COMPUTED_VALUE"""),339)</f>
        <v>339</v>
      </c>
      <c r="H353" s="1">
        <f ca="1">IFERROR(__xludf.DUMMYFUNCTION("""COMPUTED_VALUE"""),109)</f>
        <v>109</v>
      </c>
      <c r="I353" s="1">
        <f ca="1">IFERROR(__xludf.DUMMYFUNCTION("""COMPUTED_VALUE"""),284)</f>
        <v>284</v>
      </c>
      <c r="J353" s="1">
        <f ca="1">IFERROR(__xludf.DUMMYFUNCTION("""COMPUTED_VALUE"""),66.5)</f>
        <v>66.5</v>
      </c>
      <c r="K353" s="1">
        <f ca="1">IFERROR(__xludf.DUMMYFUNCTION("""COMPUTED_VALUE"""),99)</f>
        <v>99</v>
      </c>
      <c r="L353" s="1" t="str">
        <f ca="1">IFERROR(__xludf.DUMMYFUNCTION("""COMPUTED_VALUE"""),"+.034")</f>
        <v>+.034</v>
      </c>
      <c r="M353" s="1">
        <f ca="1">IFERROR(__xludf.DUMMYFUNCTION("""COMPUTED_VALUE"""),82)</f>
        <v>82</v>
      </c>
      <c r="N353" s="1">
        <f ca="1">IFERROR(__xludf.DUMMYFUNCTION("""COMPUTED_VALUE"""),-3.99)</f>
        <v>-3.99</v>
      </c>
      <c r="O353" s="1">
        <f ca="1">IFERROR(__xludf.DUMMYFUNCTION("""COMPUTED_VALUE"""),253)</f>
        <v>253</v>
      </c>
      <c r="P353" s="1">
        <f ca="1">IFERROR(__xludf.DUMMYFUNCTION("""COMPUTED_VALUE"""),101.5)</f>
        <v>101.5</v>
      </c>
      <c r="Q353" s="1">
        <f ca="1">IFERROR(__xludf.DUMMYFUNCTION("""COMPUTED_VALUE"""),241)</f>
        <v>241</v>
      </c>
      <c r="R353" s="1">
        <f ca="1">IFERROR(__xludf.DUMMYFUNCTION("""COMPUTED_VALUE"""),105.5)</f>
        <v>105.5</v>
      </c>
      <c r="S353" s="1">
        <f ca="1">IFERROR(__xludf.DUMMYFUNCTION("""COMPUTED_VALUE"""),283)</f>
        <v>283</v>
      </c>
      <c r="T353" s="1">
        <f ca="1">IFERROR(__xludf.DUMMYFUNCTION("""COMPUTED_VALUE"""),-0.61)</f>
        <v>-0.61</v>
      </c>
      <c r="U353" s="1">
        <f ca="1">IFERROR(__xludf.DUMMYFUNCTION("""COMPUTED_VALUE"""),178)</f>
        <v>178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IFERROR(__xludf.DUMMYFUNCTION("""COMPUTED_VALUE"""),"Tennessee Martin")</f>
        <v>Tennessee Martin</v>
      </c>
      <c r="C354" s="1" t="str">
        <f ca="1">IFERROR(__xludf.DUMMYFUNCTION("""COMPUTED_VALUE"""),"OVC")</f>
        <v>OVC</v>
      </c>
      <c r="D354" s="2">
        <f ca="1">IFERROR(__xludf.DUMMYFUNCTION("""COMPUTED_VALUE"""),44678)</f>
        <v>44678</v>
      </c>
      <c r="E354" s="1">
        <f ca="1">IFERROR(__xludf.DUMMYFUNCTION("""COMPUTED_VALUE"""),-21.2)</f>
        <v>-21.2</v>
      </c>
      <c r="F354" s="1">
        <f ca="1">IFERROR(__xludf.DUMMYFUNCTION("""COMPUTED_VALUE"""),94.1)</f>
        <v>94.1</v>
      </c>
      <c r="G354" s="1">
        <f ca="1">IFERROR(__xludf.DUMMYFUNCTION("""COMPUTED_VALUE"""),303)</f>
        <v>303</v>
      </c>
      <c r="H354" s="1">
        <f ca="1">IFERROR(__xludf.DUMMYFUNCTION("""COMPUTED_VALUE"""),115.3)</f>
        <v>115.3</v>
      </c>
      <c r="I354" s="1">
        <f ca="1">IFERROR(__xludf.DUMMYFUNCTION("""COMPUTED_VALUE"""),337)</f>
        <v>337</v>
      </c>
      <c r="J354" s="1">
        <f ca="1">IFERROR(__xludf.DUMMYFUNCTION("""COMPUTED_VALUE"""),65.1)</f>
        <v>65.099999999999994</v>
      </c>
      <c r="K354" s="1">
        <f ca="1">IFERROR(__xludf.DUMMYFUNCTION("""COMPUTED_VALUE"""),169)</f>
        <v>169</v>
      </c>
      <c r="L354" s="1">
        <f ca="1">IFERROR(__xludf.DUMMYFUNCTION("""COMPUTED_VALUE"""),-0.012)</f>
        <v>-1.2E-2</v>
      </c>
      <c r="M354" s="1">
        <f ca="1">IFERROR(__xludf.DUMMYFUNCTION("""COMPUTED_VALUE"""),201)</f>
        <v>201</v>
      </c>
      <c r="N354" s="1">
        <f ca="1">IFERROR(__xludf.DUMMYFUNCTION("""COMPUTED_VALUE"""),-1.78)</f>
        <v>-1.78</v>
      </c>
      <c r="O354" s="1">
        <f ca="1">IFERROR(__xludf.DUMMYFUNCTION("""COMPUTED_VALUE"""),196)</f>
        <v>196</v>
      </c>
      <c r="P354" s="1">
        <f ca="1">IFERROR(__xludf.DUMMYFUNCTION("""COMPUTED_VALUE"""),101.8)</f>
        <v>101.8</v>
      </c>
      <c r="Q354" s="1">
        <f ca="1">IFERROR(__xludf.DUMMYFUNCTION("""COMPUTED_VALUE"""),225)</f>
        <v>225</v>
      </c>
      <c r="R354" s="1">
        <f ca="1">IFERROR(__xludf.DUMMYFUNCTION("""COMPUTED_VALUE"""),103.6)</f>
        <v>103.6</v>
      </c>
      <c r="S354" s="1">
        <f ca="1">IFERROR(__xludf.DUMMYFUNCTION("""COMPUTED_VALUE"""),178)</f>
        <v>178</v>
      </c>
      <c r="T354" s="1" t="str">
        <f ca="1">IFERROR(__xludf.DUMMYFUNCTION("""COMPUTED_VALUE"""),"+1.32")</f>
        <v>+1.32</v>
      </c>
      <c r="U354" s="1">
        <f ca="1">IFERROR(__xludf.DUMMYFUNCTION("""COMPUTED_VALUE"""),114)</f>
        <v>114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IFERROR(__xludf.DUMMYFUNCTION("""COMPUTED_VALUE"""),"Alabama A&amp;M")</f>
        <v>Alabama A&amp;M</v>
      </c>
      <c r="C355" s="1" t="str">
        <f ca="1">IFERROR(__xludf.DUMMYFUNCTION("""COMPUTED_VALUE"""),"SWAC")</f>
        <v>SWAC</v>
      </c>
      <c r="D355" s="2">
        <f ca="1">IFERROR(__xludf.DUMMYFUNCTION("""COMPUTED_VALUE"""),44763)</f>
        <v>44763</v>
      </c>
      <c r="E355" s="1">
        <f ca="1">IFERROR(__xludf.DUMMYFUNCTION("""COMPUTED_VALUE"""),-21.42)</f>
        <v>-21.42</v>
      </c>
      <c r="F355" s="1">
        <f ca="1">IFERROR(__xludf.DUMMYFUNCTION("""COMPUTED_VALUE"""),90)</f>
        <v>90</v>
      </c>
      <c r="G355" s="1">
        <f ca="1">IFERROR(__xludf.DUMMYFUNCTION("""COMPUTED_VALUE"""),329)</f>
        <v>329</v>
      </c>
      <c r="H355" s="1">
        <f ca="1">IFERROR(__xludf.DUMMYFUNCTION("""COMPUTED_VALUE"""),111.4)</f>
        <v>111.4</v>
      </c>
      <c r="I355" s="1">
        <f ca="1">IFERROR(__xludf.DUMMYFUNCTION("""COMPUTED_VALUE"""),318)</f>
        <v>318</v>
      </c>
      <c r="J355" s="1">
        <f ca="1">IFERROR(__xludf.DUMMYFUNCTION("""COMPUTED_VALUE"""),66.8)</f>
        <v>66.8</v>
      </c>
      <c r="K355" s="1">
        <f ca="1">IFERROR(__xludf.DUMMYFUNCTION("""COMPUTED_VALUE"""),91)</f>
        <v>91</v>
      </c>
      <c r="L355" s="1">
        <f ca="1">IFERROR(__xludf.DUMMYFUNCTION("""COMPUTED_VALUE"""),-0.063)</f>
        <v>-6.3E-2</v>
      </c>
      <c r="M355" s="1">
        <f ca="1">IFERROR(__xludf.DUMMYFUNCTION("""COMPUTED_VALUE"""),306)</f>
        <v>306</v>
      </c>
      <c r="N355" s="1">
        <f ca="1">IFERROR(__xludf.DUMMYFUNCTION("""COMPUTED_VALUE"""),-11.19)</f>
        <v>-11.19</v>
      </c>
      <c r="O355" s="1">
        <f ca="1">IFERROR(__xludf.DUMMYFUNCTION("""COMPUTED_VALUE"""),342)</f>
        <v>342</v>
      </c>
      <c r="P355" s="1">
        <f ca="1">IFERROR(__xludf.DUMMYFUNCTION("""COMPUTED_VALUE"""),93.6)</f>
        <v>93.6</v>
      </c>
      <c r="Q355" s="1">
        <f ca="1">IFERROR(__xludf.DUMMYFUNCTION("""COMPUTED_VALUE"""),345)</f>
        <v>345</v>
      </c>
      <c r="R355" s="1">
        <f ca="1">IFERROR(__xludf.DUMMYFUNCTION("""COMPUTED_VALUE"""),104.8)</f>
        <v>104.8</v>
      </c>
      <c r="S355" s="1">
        <f ca="1">IFERROR(__xludf.DUMMYFUNCTION("""COMPUTED_VALUE"""),247)</f>
        <v>247</v>
      </c>
      <c r="T355" s="1" t="str">
        <f ca="1">IFERROR(__xludf.DUMMYFUNCTION("""COMPUTED_VALUE"""),"+9.08")</f>
        <v>+9.08</v>
      </c>
      <c r="U355" s="1">
        <f ca="1">IFERROR(__xludf.DUMMYFUNCTION("""COMPUTED_VALUE"""),9)</f>
        <v>9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IFERROR(__xludf.DUMMYFUNCTION("""COMPUTED_VALUE"""),"Bryant")</f>
        <v>Bryant</v>
      </c>
      <c r="C356" s="1" t="str">
        <f ca="1">IFERROR(__xludf.DUMMYFUNCTION("""COMPUTED_VALUE"""),"NEC")</f>
        <v>NEC</v>
      </c>
      <c r="D356" s="2">
        <f ca="1">IFERROR(__xludf.DUMMYFUNCTION("""COMPUTED_VALUE"""),44620)</f>
        <v>44620</v>
      </c>
      <c r="E356" s="1">
        <f ca="1">IFERROR(__xludf.DUMMYFUNCTION("""COMPUTED_VALUE"""),-22.37)</f>
        <v>-22.37</v>
      </c>
      <c r="F356" s="1">
        <f ca="1">IFERROR(__xludf.DUMMYFUNCTION("""COMPUTED_VALUE"""),94)</f>
        <v>94</v>
      </c>
      <c r="G356" s="1">
        <f ca="1">IFERROR(__xludf.DUMMYFUNCTION("""COMPUTED_VALUE"""),304)</f>
        <v>304</v>
      </c>
      <c r="H356" s="1">
        <f ca="1">IFERROR(__xludf.DUMMYFUNCTION("""COMPUTED_VALUE"""),116.4)</f>
        <v>116.4</v>
      </c>
      <c r="I356" s="1">
        <f ca="1">IFERROR(__xludf.DUMMYFUNCTION("""COMPUTED_VALUE"""),341)</f>
        <v>341</v>
      </c>
      <c r="J356" s="1">
        <f ca="1">IFERROR(__xludf.DUMMYFUNCTION("""COMPUTED_VALUE"""),64.6)</f>
        <v>64.599999999999994</v>
      </c>
      <c r="K356" s="1">
        <f ca="1">IFERROR(__xludf.DUMMYFUNCTION("""COMPUTED_VALUE"""),196)</f>
        <v>196</v>
      </c>
      <c r="L356" s="1">
        <f ca="1">IFERROR(__xludf.DUMMYFUNCTION("""COMPUTED_VALUE"""),-0.037)</f>
        <v>-3.6999999999999998E-2</v>
      </c>
      <c r="M356" s="1">
        <f ca="1">IFERROR(__xludf.DUMMYFUNCTION("""COMPUTED_VALUE"""),259)</f>
        <v>259</v>
      </c>
      <c r="N356" s="1">
        <f ca="1">IFERROR(__xludf.DUMMYFUNCTION("""COMPUTED_VALUE"""),-3.04)</f>
        <v>-3.04</v>
      </c>
      <c r="O356" s="1">
        <f ca="1">IFERROR(__xludf.DUMMYFUNCTION("""COMPUTED_VALUE"""),231)</f>
        <v>231</v>
      </c>
      <c r="P356" s="1">
        <f ca="1">IFERROR(__xludf.DUMMYFUNCTION("""COMPUTED_VALUE"""),100.9)</f>
        <v>100.9</v>
      </c>
      <c r="Q356" s="1">
        <f ca="1">IFERROR(__xludf.DUMMYFUNCTION("""COMPUTED_VALUE"""),268)</f>
        <v>268</v>
      </c>
      <c r="R356" s="1">
        <f ca="1">IFERROR(__xludf.DUMMYFUNCTION("""COMPUTED_VALUE"""),104)</f>
        <v>104</v>
      </c>
      <c r="S356" s="1">
        <f ca="1">IFERROR(__xludf.DUMMYFUNCTION("""COMPUTED_VALUE"""),194)</f>
        <v>194</v>
      </c>
      <c r="T356" s="1" t="str">
        <f ca="1">IFERROR(__xludf.DUMMYFUNCTION("""COMPUTED_VALUE"""),"+0.40")</f>
        <v>+0.40</v>
      </c>
      <c r="U356" s="1">
        <f ca="1">IFERROR(__xludf.DUMMYFUNCTION("""COMPUTED_VALUE"""),144)</f>
        <v>144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IFERROR(__xludf.DUMMYFUNCTION("""COMPUTED_VALUE"""),"Towson")</f>
        <v>Towson</v>
      </c>
      <c r="C357" s="1" t="str">
        <f ca="1">IFERROR(__xludf.DUMMYFUNCTION("""COMPUTED_VALUE"""),"CAA")</f>
        <v>CAA</v>
      </c>
      <c r="D357" s="2">
        <f ca="1">IFERROR(__xludf.DUMMYFUNCTION("""COMPUTED_VALUE"""),44592)</f>
        <v>44592</v>
      </c>
      <c r="E357" s="1">
        <f ca="1">IFERROR(__xludf.DUMMYFUNCTION("""COMPUTED_VALUE"""),-22.63)</f>
        <v>-22.63</v>
      </c>
      <c r="F357" s="1">
        <f ca="1">IFERROR(__xludf.DUMMYFUNCTION("""COMPUTED_VALUE"""),87.3)</f>
        <v>87.3</v>
      </c>
      <c r="G357" s="1">
        <f ca="1">IFERROR(__xludf.DUMMYFUNCTION("""COMPUTED_VALUE"""),340)</f>
        <v>340</v>
      </c>
      <c r="H357" s="1">
        <f ca="1">IFERROR(__xludf.DUMMYFUNCTION("""COMPUTED_VALUE"""),109.9)</f>
        <v>109.9</v>
      </c>
      <c r="I357" s="1">
        <f ca="1">IFERROR(__xludf.DUMMYFUNCTION("""COMPUTED_VALUE"""),297)</f>
        <v>297</v>
      </c>
      <c r="J357" s="1">
        <f ca="1">IFERROR(__xludf.DUMMYFUNCTION("""COMPUTED_VALUE"""),61.5)</f>
        <v>61.5</v>
      </c>
      <c r="K357" s="1">
        <f ca="1">IFERROR(__xludf.DUMMYFUNCTION("""COMPUTED_VALUE"""),312)</f>
        <v>312</v>
      </c>
      <c r="L357" s="1">
        <f ca="1">IFERROR(__xludf.DUMMYFUNCTION("""COMPUTED_VALUE"""),-0.036)</f>
        <v>-3.5999999999999997E-2</v>
      </c>
      <c r="M357" s="1">
        <f ca="1">IFERROR(__xludf.DUMMYFUNCTION("""COMPUTED_VALUE"""),258)</f>
        <v>258</v>
      </c>
      <c r="N357" s="1" t="str">
        <f ca="1">IFERROR(__xludf.DUMMYFUNCTION("""COMPUTED_VALUE"""),"+2.73")</f>
        <v>+2.73</v>
      </c>
      <c r="O357" s="1">
        <f ca="1">IFERROR(__xludf.DUMMYFUNCTION("""COMPUTED_VALUE"""),105)</f>
        <v>105</v>
      </c>
      <c r="P357" s="1">
        <f ca="1">IFERROR(__xludf.DUMMYFUNCTION("""COMPUTED_VALUE"""),103.9)</f>
        <v>103.9</v>
      </c>
      <c r="Q357" s="1">
        <f ca="1">IFERROR(__xludf.DUMMYFUNCTION("""COMPUTED_VALUE"""),125)</f>
        <v>125</v>
      </c>
      <c r="R357" s="1">
        <f ca="1">IFERROR(__xludf.DUMMYFUNCTION("""COMPUTED_VALUE"""),101.1)</f>
        <v>101.1</v>
      </c>
      <c r="S357" s="1">
        <f ca="1">IFERROR(__xludf.DUMMYFUNCTION("""COMPUTED_VALUE"""),90)</f>
        <v>90</v>
      </c>
      <c r="T357" s="1" t="str">
        <f ca="1">IFERROR(__xludf.DUMMYFUNCTION("""COMPUTED_VALUE"""),"+4.62")</f>
        <v>+4.62</v>
      </c>
      <c r="U357" s="1">
        <f ca="1">IFERROR(__xludf.DUMMYFUNCTION("""COMPUTED_VALUE"""),46)</f>
        <v>46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IFERROR(__xludf.DUMMYFUNCTION("""COMPUTED_VALUE"""),"Northern Arizona")</f>
        <v>Northern Arizona</v>
      </c>
      <c r="C358" s="1" t="str">
        <f ca="1">IFERROR(__xludf.DUMMYFUNCTION("""COMPUTED_VALUE"""),"BSky")</f>
        <v>BSky</v>
      </c>
      <c r="D358" s="2">
        <f ca="1">IFERROR(__xludf.DUMMYFUNCTION("""COMPUTED_VALUE"""),44705)</f>
        <v>44705</v>
      </c>
      <c r="E358" s="1">
        <f ca="1">IFERROR(__xludf.DUMMYFUNCTION("""COMPUTED_VALUE"""),-22.81)</f>
        <v>-22.81</v>
      </c>
      <c r="F358" s="1">
        <f ca="1">IFERROR(__xludf.DUMMYFUNCTION("""COMPUTED_VALUE"""),89.8)</f>
        <v>89.8</v>
      </c>
      <c r="G358" s="1">
        <f ca="1">IFERROR(__xludf.DUMMYFUNCTION("""COMPUTED_VALUE"""),332)</f>
        <v>332</v>
      </c>
      <c r="H358" s="1">
        <f ca="1">IFERROR(__xludf.DUMMYFUNCTION("""COMPUTED_VALUE"""),112.6)</f>
        <v>112.6</v>
      </c>
      <c r="I358" s="1">
        <f ca="1">IFERROR(__xludf.DUMMYFUNCTION("""COMPUTED_VALUE"""),327)</f>
        <v>327</v>
      </c>
      <c r="J358" s="1">
        <f ca="1">IFERROR(__xludf.DUMMYFUNCTION("""COMPUTED_VALUE"""),64.6)</f>
        <v>64.599999999999994</v>
      </c>
      <c r="K358" s="1">
        <f ca="1">IFERROR(__xludf.DUMMYFUNCTION("""COMPUTED_VALUE"""),192)</f>
        <v>192</v>
      </c>
      <c r="L358" s="1">
        <f ca="1">IFERROR(__xludf.DUMMYFUNCTION("""COMPUTED_VALUE"""),-0.002)</f>
        <v>-2E-3</v>
      </c>
      <c r="M358" s="1">
        <f ca="1">IFERROR(__xludf.DUMMYFUNCTION("""COMPUTED_VALUE"""),178)</f>
        <v>178</v>
      </c>
      <c r="N358" s="1">
        <f ca="1">IFERROR(__xludf.DUMMYFUNCTION("""COMPUTED_VALUE"""),-4.42)</f>
        <v>-4.42</v>
      </c>
      <c r="O358" s="1">
        <f ca="1">IFERROR(__xludf.DUMMYFUNCTION("""COMPUTED_VALUE"""),271)</f>
        <v>271</v>
      </c>
      <c r="P358" s="1">
        <f ca="1">IFERROR(__xludf.DUMMYFUNCTION("""COMPUTED_VALUE"""),101.7)</f>
        <v>101.7</v>
      </c>
      <c r="Q358" s="1">
        <f ca="1">IFERROR(__xludf.DUMMYFUNCTION("""COMPUTED_VALUE"""),227)</f>
        <v>227</v>
      </c>
      <c r="R358" s="1">
        <f ca="1">IFERROR(__xludf.DUMMYFUNCTION("""COMPUTED_VALUE"""),106.1)</f>
        <v>106.1</v>
      </c>
      <c r="S358" s="1">
        <f ca="1">IFERROR(__xludf.DUMMYFUNCTION("""COMPUTED_VALUE"""),309)</f>
        <v>309</v>
      </c>
      <c r="T358" s="1">
        <f ca="1">IFERROR(__xludf.DUMMYFUNCTION("""COMPUTED_VALUE"""),-1.63)</f>
        <v>-1.63</v>
      </c>
      <c r="U358" s="1">
        <f ca="1">IFERROR(__xludf.DUMMYFUNCTION("""COMPUTED_VALUE"""),202)</f>
        <v>202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IFERROR(__xludf.DUMMYFUNCTION("""COMPUTED_VALUE"""),"Longwood")</f>
        <v>Longwood</v>
      </c>
      <c r="C359" s="1" t="str">
        <f ca="1">IFERROR(__xludf.DUMMYFUNCTION("""COMPUTED_VALUE"""),"ind")</f>
        <v>ind</v>
      </c>
      <c r="D359" s="2">
        <f ca="1">IFERROR(__xludf.DUMMYFUNCTION("""COMPUTED_VALUE"""),44855)</f>
        <v>44855</v>
      </c>
      <c r="E359" s="1">
        <f ca="1">IFERROR(__xludf.DUMMYFUNCTION("""COMPUTED_VALUE"""),-22.94)</f>
        <v>-22.94</v>
      </c>
      <c r="F359" s="1">
        <f ca="1">IFERROR(__xludf.DUMMYFUNCTION("""COMPUTED_VALUE"""),99.7)</f>
        <v>99.7</v>
      </c>
      <c r="G359" s="1">
        <f ca="1">IFERROR(__xludf.DUMMYFUNCTION("""COMPUTED_VALUE"""),234)</f>
        <v>234</v>
      </c>
      <c r="H359" s="1">
        <f ca="1">IFERROR(__xludf.DUMMYFUNCTION("""COMPUTED_VALUE"""),122.6)</f>
        <v>122.6</v>
      </c>
      <c r="I359" s="1">
        <f ca="1">IFERROR(__xludf.DUMMYFUNCTION("""COMPUTED_VALUE"""),345)</f>
        <v>345</v>
      </c>
      <c r="J359" s="1">
        <f ca="1">IFERROR(__xludf.DUMMYFUNCTION("""COMPUTED_VALUE"""),69.1)</f>
        <v>69.099999999999994</v>
      </c>
      <c r="K359" s="1">
        <f ca="1">IFERROR(__xludf.DUMMYFUNCTION("""COMPUTED_VALUE"""),26)</f>
        <v>26</v>
      </c>
      <c r="L359" s="1" t="str">
        <f ca="1">IFERROR(__xludf.DUMMYFUNCTION("""COMPUTED_VALUE"""),"+.010")</f>
        <v>+.010</v>
      </c>
      <c r="M359" s="1">
        <f ca="1">IFERROR(__xludf.DUMMYFUNCTION("""COMPUTED_VALUE"""),147)</f>
        <v>147</v>
      </c>
      <c r="N359" s="1">
        <f ca="1">IFERROR(__xludf.DUMMYFUNCTION("""COMPUTED_VALUE"""),-6.78)</f>
        <v>-6.78</v>
      </c>
      <c r="O359" s="1">
        <f ca="1">IFERROR(__xludf.DUMMYFUNCTION("""COMPUTED_VALUE"""),320)</f>
        <v>320</v>
      </c>
      <c r="P359" s="1">
        <f ca="1">IFERROR(__xludf.DUMMYFUNCTION("""COMPUTED_VALUE"""),98.6)</f>
        <v>98.6</v>
      </c>
      <c r="Q359" s="1">
        <f ca="1">IFERROR(__xludf.DUMMYFUNCTION("""COMPUTED_VALUE"""),326)</f>
        <v>326</v>
      </c>
      <c r="R359" s="1">
        <f ca="1">IFERROR(__xludf.DUMMYFUNCTION("""COMPUTED_VALUE"""),105.4)</f>
        <v>105.4</v>
      </c>
      <c r="S359" s="1">
        <f ca="1">IFERROR(__xludf.DUMMYFUNCTION("""COMPUTED_VALUE"""),278)</f>
        <v>278</v>
      </c>
      <c r="T359" s="1">
        <f ca="1">IFERROR(__xludf.DUMMYFUNCTION("""COMPUTED_VALUE"""),-6.87)</f>
        <v>-6.87</v>
      </c>
      <c r="U359" s="1">
        <f ca="1">IFERROR(__xludf.DUMMYFUNCTION("""COMPUTED_VALUE"""),322)</f>
        <v>322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IFERROR(__xludf.DUMMYFUNCTION("""COMPUTED_VALUE"""),"UMBC")</f>
        <v>UMBC</v>
      </c>
      <c r="C360" s="1" t="str">
        <f ca="1">IFERROR(__xludf.DUMMYFUNCTION("""COMPUTED_VALUE"""),"AE")</f>
        <v>AE</v>
      </c>
      <c r="D360" s="2">
        <f ca="1">IFERROR(__xludf.DUMMYFUNCTION("""COMPUTED_VALUE"""),44677)</f>
        <v>44677</v>
      </c>
      <c r="E360" s="1">
        <f ca="1">IFERROR(__xludf.DUMMYFUNCTION("""COMPUTED_VALUE"""),-23.39)</f>
        <v>-23.39</v>
      </c>
      <c r="F360" s="1">
        <f ca="1">IFERROR(__xludf.DUMMYFUNCTION("""COMPUTED_VALUE"""),91.4)</f>
        <v>91.4</v>
      </c>
      <c r="G360" s="1">
        <f ca="1">IFERROR(__xludf.DUMMYFUNCTION("""COMPUTED_VALUE"""),319)</f>
        <v>319</v>
      </c>
      <c r="H360" s="1">
        <f ca="1">IFERROR(__xludf.DUMMYFUNCTION("""COMPUTED_VALUE"""),114.8)</f>
        <v>114.8</v>
      </c>
      <c r="I360" s="1">
        <f ca="1">IFERROR(__xludf.DUMMYFUNCTION("""COMPUTED_VALUE"""),335)</f>
        <v>335</v>
      </c>
      <c r="J360" s="1">
        <f ca="1">IFERROR(__xludf.DUMMYFUNCTION("""COMPUTED_VALUE"""),67.9)</f>
        <v>67.900000000000006</v>
      </c>
      <c r="K360" s="1">
        <f ca="1">IFERROR(__xludf.DUMMYFUNCTION("""COMPUTED_VALUE"""),46)</f>
        <v>46</v>
      </c>
      <c r="L360" s="1">
        <f ca="1">IFERROR(__xludf.DUMMYFUNCTION("""COMPUTED_VALUE"""),-0.029)</f>
        <v>-2.9000000000000001E-2</v>
      </c>
      <c r="M360" s="1">
        <f ca="1">IFERROR(__xludf.DUMMYFUNCTION("""COMPUTED_VALUE"""),248)</f>
        <v>248</v>
      </c>
      <c r="N360" s="1">
        <f ca="1">IFERROR(__xludf.DUMMYFUNCTION("""COMPUTED_VALUE"""),-6.12)</f>
        <v>-6.12</v>
      </c>
      <c r="O360" s="1">
        <f ca="1">IFERROR(__xludf.DUMMYFUNCTION("""COMPUTED_VALUE"""),308)</f>
        <v>308</v>
      </c>
      <c r="P360" s="1">
        <f ca="1">IFERROR(__xludf.DUMMYFUNCTION("""COMPUTED_VALUE"""),99.4)</f>
        <v>99.4</v>
      </c>
      <c r="Q360" s="1">
        <f ca="1">IFERROR(__xludf.DUMMYFUNCTION("""COMPUTED_VALUE"""),312)</f>
        <v>312</v>
      </c>
      <c r="R360" s="1">
        <f ca="1">IFERROR(__xludf.DUMMYFUNCTION("""COMPUTED_VALUE"""),105.5)</f>
        <v>105.5</v>
      </c>
      <c r="S360" s="1">
        <f ca="1">IFERROR(__xludf.DUMMYFUNCTION("""COMPUTED_VALUE"""),285)</f>
        <v>285</v>
      </c>
      <c r="T360" s="1">
        <f ca="1">IFERROR(__xludf.DUMMYFUNCTION("""COMPUTED_VALUE"""),-2.37)</f>
        <v>-2.37</v>
      </c>
      <c r="U360" s="1">
        <f ca="1">IFERROR(__xludf.DUMMYFUNCTION("""COMPUTED_VALUE"""),230)</f>
        <v>230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IFERROR(__xludf.DUMMYFUNCTION("""COMPUTED_VALUE"""),"South Carolina St.")</f>
        <v>South Carolina St.</v>
      </c>
      <c r="C361" s="1" t="str">
        <f ca="1">IFERROR(__xludf.DUMMYFUNCTION("""COMPUTED_VALUE"""),"MEAC")</f>
        <v>MEAC</v>
      </c>
      <c r="D361" s="2">
        <f ca="1">IFERROR(__xludf.DUMMYFUNCTION("""COMPUTED_VALUE"""),44707)</f>
        <v>44707</v>
      </c>
      <c r="E361" s="1">
        <f ca="1">IFERROR(__xludf.DUMMYFUNCTION("""COMPUTED_VALUE"""),-24.49)</f>
        <v>-24.49</v>
      </c>
      <c r="F361" s="1">
        <f ca="1">IFERROR(__xludf.DUMMYFUNCTION("""COMPUTED_VALUE"""),92.4)</f>
        <v>92.4</v>
      </c>
      <c r="G361" s="1">
        <f ca="1">IFERROR(__xludf.DUMMYFUNCTION("""COMPUTED_VALUE"""),316)</f>
        <v>316</v>
      </c>
      <c r="H361" s="1">
        <f ca="1">IFERROR(__xludf.DUMMYFUNCTION("""COMPUTED_VALUE"""),116.9)</f>
        <v>116.9</v>
      </c>
      <c r="I361" s="1">
        <f ca="1">IFERROR(__xludf.DUMMYFUNCTION("""COMPUTED_VALUE"""),342)</f>
        <v>342</v>
      </c>
      <c r="J361" s="1">
        <f ca="1">IFERROR(__xludf.DUMMYFUNCTION("""COMPUTED_VALUE"""),68.5)</f>
        <v>68.5</v>
      </c>
      <c r="K361" s="1">
        <f ca="1">IFERROR(__xludf.DUMMYFUNCTION("""COMPUTED_VALUE"""),33)</f>
        <v>33</v>
      </c>
      <c r="L361" s="1">
        <f ca="1">IFERROR(__xludf.DUMMYFUNCTION("""COMPUTED_VALUE"""),-0.029)</f>
        <v>-2.9000000000000001E-2</v>
      </c>
      <c r="M361" s="1">
        <f ca="1">IFERROR(__xludf.DUMMYFUNCTION("""COMPUTED_VALUE"""),249)</f>
        <v>249</v>
      </c>
      <c r="N361" s="1">
        <f ca="1">IFERROR(__xludf.DUMMYFUNCTION("""COMPUTED_VALUE"""),-6.2)</f>
        <v>-6.2</v>
      </c>
      <c r="O361" s="1">
        <f ca="1">IFERROR(__xludf.DUMMYFUNCTION("""COMPUTED_VALUE"""),310)</f>
        <v>310</v>
      </c>
      <c r="P361" s="1">
        <f ca="1">IFERROR(__xludf.DUMMYFUNCTION("""COMPUTED_VALUE"""),99.7)</f>
        <v>99.7</v>
      </c>
      <c r="Q361" s="1">
        <f ca="1">IFERROR(__xludf.DUMMYFUNCTION("""COMPUTED_VALUE"""),308)</f>
        <v>308</v>
      </c>
      <c r="R361" s="1">
        <f ca="1">IFERROR(__xludf.DUMMYFUNCTION("""COMPUTED_VALUE"""),105.9)</f>
        <v>105.9</v>
      </c>
      <c r="S361" s="1">
        <f ca="1">IFERROR(__xludf.DUMMYFUNCTION("""COMPUTED_VALUE"""),298)</f>
        <v>298</v>
      </c>
      <c r="T361" s="1" t="str">
        <f ca="1">IFERROR(__xludf.DUMMYFUNCTION("""COMPUTED_VALUE"""),"+0.30")</f>
        <v>+0.30</v>
      </c>
      <c r="U361" s="1">
        <f ca="1">IFERROR(__xludf.DUMMYFUNCTION("""COMPUTED_VALUE"""),146)</f>
        <v>146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IFERROR(__xludf.DUMMYFUNCTION("""COMPUTED_VALUE"""),"Binghamton")</f>
        <v>Binghamton</v>
      </c>
      <c r="C362" s="1" t="str">
        <f ca="1">IFERROR(__xludf.DUMMYFUNCTION("""COMPUTED_VALUE"""),"AE")</f>
        <v>AE</v>
      </c>
      <c r="D362" s="1" t="str">
        <f ca="1">IFERROR(__xludf.DUMMYFUNCTION("""COMPUTED_VALUE"""),"2-29")</f>
        <v>2-29</v>
      </c>
      <c r="E362" s="1">
        <f ca="1">IFERROR(__xludf.DUMMYFUNCTION("""COMPUTED_VALUE"""),-25.99)</f>
        <v>-25.99</v>
      </c>
      <c r="F362" s="1">
        <f ca="1">IFERROR(__xludf.DUMMYFUNCTION("""COMPUTED_VALUE"""),86.5)</f>
        <v>86.5</v>
      </c>
      <c r="G362" s="1">
        <f ca="1">IFERROR(__xludf.DUMMYFUNCTION("""COMPUTED_VALUE"""),342)</f>
        <v>342</v>
      </c>
      <c r="H362" s="1">
        <f ca="1">IFERROR(__xludf.DUMMYFUNCTION("""COMPUTED_VALUE"""),112.5)</f>
        <v>112.5</v>
      </c>
      <c r="I362" s="1">
        <f ca="1">IFERROR(__xludf.DUMMYFUNCTION("""COMPUTED_VALUE"""),325)</f>
        <v>325</v>
      </c>
      <c r="J362" s="1">
        <f ca="1">IFERROR(__xludf.DUMMYFUNCTION("""COMPUTED_VALUE"""),64.6)</f>
        <v>64.599999999999994</v>
      </c>
      <c r="K362" s="1">
        <f ca="1">IFERROR(__xludf.DUMMYFUNCTION("""COMPUTED_VALUE"""),195)</f>
        <v>195</v>
      </c>
      <c r="L362" s="1">
        <f ca="1">IFERROR(__xludf.DUMMYFUNCTION("""COMPUTED_VALUE"""),-0.021)</f>
        <v>-2.1000000000000001E-2</v>
      </c>
      <c r="M362" s="1">
        <f ca="1">IFERROR(__xludf.DUMMYFUNCTION("""COMPUTED_VALUE"""),225)</f>
        <v>225</v>
      </c>
      <c r="N362" s="1">
        <f ca="1">IFERROR(__xludf.DUMMYFUNCTION("""COMPUTED_VALUE"""),-7.02)</f>
        <v>-7.02</v>
      </c>
      <c r="O362" s="1">
        <f ca="1">IFERROR(__xludf.DUMMYFUNCTION("""COMPUTED_VALUE"""),323)</f>
        <v>323</v>
      </c>
      <c r="P362" s="1">
        <f ca="1">IFERROR(__xludf.DUMMYFUNCTION("""COMPUTED_VALUE"""),98.8)</f>
        <v>98.8</v>
      </c>
      <c r="Q362" s="1">
        <f ca="1">IFERROR(__xludf.DUMMYFUNCTION("""COMPUTED_VALUE"""),325)</f>
        <v>325</v>
      </c>
      <c r="R362" s="1">
        <f ca="1">IFERROR(__xludf.DUMMYFUNCTION("""COMPUTED_VALUE"""),105.8)</f>
        <v>105.8</v>
      </c>
      <c r="S362" s="1">
        <f ca="1">IFERROR(__xludf.DUMMYFUNCTION("""COMPUTED_VALUE"""),292)</f>
        <v>292</v>
      </c>
      <c r="T362" s="1">
        <f ca="1">IFERROR(__xludf.DUMMYFUNCTION("""COMPUTED_VALUE"""),-5.28)</f>
        <v>-5.28</v>
      </c>
      <c r="U362" s="1">
        <f ca="1">IFERROR(__xludf.DUMMYFUNCTION("""COMPUTED_VALUE"""),302)</f>
        <v>302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IFERROR(__xludf.DUMMYFUNCTION("""COMPUTED_VALUE"""),"Grambling St.")</f>
        <v>Grambling St.</v>
      </c>
      <c r="C363" s="1" t="str">
        <f ca="1">IFERROR(__xludf.DUMMYFUNCTION("""COMPUTED_VALUE"""),"SWAC")</f>
        <v>SWAC</v>
      </c>
      <c r="D363" s="2">
        <f ca="1">IFERROR(__xludf.DUMMYFUNCTION("""COMPUTED_VALUE"""),44675)</f>
        <v>44675</v>
      </c>
      <c r="E363" s="1">
        <f ca="1">IFERROR(__xludf.DUMMYFUNCTION("""COMPUTED_VALUE"""),-30.22)</f>
        <v>-30.22</v>
      </c>
      <c r="F363" s="1">
        <f ca="1">IFERROR(__xludf.DUMMYFUNCTION("""COMPUTED_VALUE"""),85.3)</f>
        <v>85.3</v>
      </c>
      <c r="G363" s="1">
        <f ca="1">IFERROR(__xludf.DUMMYFUNCTION("""COMPUTED_VALUE"""),345)</f>
        <v>345</v>
      </c>
      <c r="H363" s="1">
        <f ca="1">IFERROR(__xludf.DUMMYFUNCTION("""COMPUTED_VALUE"""),115.5)</f>
        <v>115.5</v>
      </c>
      <c r="I363" s="1">
        <f ca="1">IFERROR(__xludf.DUMMYFUNCTION("""COMPUTED_VALUE"""),338)</f>
        <v>338</v>
      </c>
      <c r="J363" s="1">
        <f ca="1">IFERROR(__xludf.DUMMYFUNCTION("""COMPUTED_VALUE"""),64.3)</f>
        <v>64.3</v>
      </c>
      <c r="K363" s="1">
        <f ca="1">IFERROR(__xludf.DUMMYFUNCTION("""COMPUTED_VALUE"""),208)</f>
        <v>208</v>
      </c>
      <c r="L363" s="1" t="str">
        <f ca="1">IFERROR(__xludf.DUMMYFUNCTION("""COMPUTED_VALUE"""),"+.024")</f>
        <v>+.024</v>
      </c>
      <c r="M363" s="1">
        <f ca="1">IFERROR(__xludf.DUMMYFUNCTION("""COMPUTED_VALUE"""),108)</f>
        <v>108</v>
      </c>
      <c r="N363" s="1">
        <f ca="1">IFERROR(__xludf.DUMMYFUNCTION("""COMPUTED_VALUE"""),-9.08)</f>
        <v>-9.08</v>
      </c>
      <c r="O363" s="1">
        <f ca="1">IFERROR(__xludf.DUMMYFUNCTION("""COMPUTED_VALUE"""),338)</f>
        <v>338</v>
      </c>
      <c r="P363" s="1">
        <f ca="1">IFERROR(__xludf.DUMMYFUNCTION("""COMPUTED_VALUE"""),96)</f>
        <v>96</v>
      </c>
      <c r="Q363" s="1">
        <f ca="1">IFERROR(__xludf.DUMMYFUNCTION("""COMPUTED_VALUE"""),340)</f>
        <v>340</v>
      </c>
      <c r="R363" s="1">
        <f ca="1">IFERROR(__xludf.DUMMYFUNCTION("""COMPUTED_VALUE"""),105.1)</f>
        <v>105.1</v>
      </c>
      <c r="S363" s="1">
        <f ca="1">IFERROR(__xludf.DUMMYFUNCTION("""COMPUTED_VALUE"""),260)</f>
        <v>260</v>
      </c>
      <c r="T363" s="1" t="str">
        <f ca="1">IFERROR(__xludf.DUMMYFUNCTION("""COMPUTED_VALUE"""),"+5.28")</f>
        <v>+5.28</v>
      </c>
      <c r="U363" s="1">
        <f ca="1">IFERROR(__xludf.DUMMYFUNCTION("""COMPUTED_VALUE"""),36)</f>
        <v>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U365"/>
  <sheetViews>
    <sheetView topLeftCell="E1" workbookViewId="0">
      <selection activeCell="E2" sqref="A2:XFD2"/>
    </sheetView>
  </sheetViews>
  <sheetFormatPr baseColWidth="10" defaultColWidth="12.6640625" defaultRowHeight="15.75" customHeight="1" x14ac:dyDescent="0.15"/>
  <sheetData>
    <row r="1" spans="1:21" ht="13" x14ac:dyDescent="0.15">
      <c r="A1" s="3" t="str">
        <f ca="1">IFERROR(__xludf.DUMMYFUNCTION("IMPORThtML(""https://kenpom.com/index.php?y=2013"",""table"",1)"),"")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2</v>
      </c>
      <c r="H2" s="1" t="str">
        <f ca="1">IFERROR(__xludf.DUMMYFUNCTION("""COMPUTED_VALUE"""),"AdjD")</f>
        <v>AdjD</v>
      </c>
      <c r="I2" s="1" t="s">
        <v>3</v>
      </c>
      <c r="J2" s="1" t="str">
        <f ca="1">IFERROR(__xludf.DUMMYFUNCTION("""COMPUTED_VALUE"""),"AdjT")</f>
        <v>AdjT</v>
      </c>
      <c r="K2" s="1" t="s">
        <v>4</v>
      </c>
      <c r="L2" s="1" t="str">
        <f ca="1">IFERROR(__xludf.DUMMYFUNCTION("""COMPUTED_VALUE"""),"Luck")</f>
        <v>Luck</v>
      </c>
      <c r="M2" s="1" t="s">
        <v>5</v>
      </c>
      <c r="N2" s="1" t="s">
        <v>0</v>
      </c>
      <c r="O2" s="1" t="s">
        <v>6</v>
      </c>
      <c r="P2" s="1" t="str">
        <f ca="1">IFERROR(__xludf.DUMMYFUNCTION("""COMPUTED_VALUE"""),"OppO")</f>
        <v>OppO</v>
      </c>
      <c r="Q2" s="1" t="s">
        <v>7</v>
      </c>
      <c r="R2" s="1" t="str">
        <f ca="1">IFERROR(__xludf.DUMMYFUNCTION("""COMPUTED_VALUE"""),"OppD")</f>
        <v>OppD</v>
      </c>
      <c r="S2" s="1" t="s">
        <v>8</v>
      </c>
      <c r="T2" s="1" t="s">
        <v>1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IFERROR(__xludf.DUMMYFUNCTION("""COMPUTED_VALUE"""),"Louisville1")</f>
        <v>Louisville1</v>
      </c>
      <c r="C3" s="1" t="str">
        <f ca="1">IFERROR(__xludf.DUMMYFUNCTION("""COMPUTED_VALUE"""),"BE")</f>
        <v>BE</v>
      </c>
      <c r="D3" s="1" t="str">
        <f ca="1">IFERROR(__xludf.DUMMYFUNCTION("""COMPUTED_VALUE"""),"35-5")</f>
        <v>35-5</v>
      </c>
      <c r="E3" s="1" t="str">
        <f ca="1">IFERROR(__xludf.DUMMYFUNCTION("""COMPUTED_VALUE"""),"+32.92")</f>
        <v>+32.92</v>
      </c>
      <c r="F3" s="1">
        <f ca="1">IFERROR(__xludf.DUMMYFUNCTION("""COMPUTED_VALUE"""),117.7)</f>
        <v>117.7</v>
      </c>
      <c r="G3" s="1">
        <f ca="1">IFERROR(__xludf.DUMMYFUNCTION("""COMPUTED_VALUE"""),7)</f>
        <v>7</v>
      </c>
      <c r="H3" s="1">
        <f ca="1">IFERROR(__xludf.DUMMYFUNCTION("""COMPUTED_VALUE"""),84.8)</f>
        <v>84.8</v>
      </c>
      <c r="I3" s="1">
        <f ca="1">IFERROR(__xludf.DUMMYFUNCTION("""COMPUTED_VALUE"""),1)</f>
        <v>1</v>
      </c>
      <c r="J3" s="1">
        <f ca="1">IFERROR(__xludf.DUMMYFUNCTION("""COMPUTED_VALUE"""),65.8)</f>
        <v>65.8</v>
      </c>
      <c r="K3" s="1">
        <f ca="1">IFERROR(__xludf.DUMMYFUNCTION("""COMPUTED_VALUE"""),116)</f>
        <v>116</v>
      </c>
      <c r="L3" s="1">
        <f ca="1">IFERROR(__xludf.DUMMYFUNCTION("""COMPUTED_VALUE"""),-0.016)</f>
        <v>-1.6E-2</v>
      </c>
      <c r="M3" s="1">
        <f ca="1">IFERROR(__xludf.DUMMYFUNCTION("""COMPUTED_VALUE"""),230)</f>
        <v>230</v>
      </c>
      <c r="N3" s="1" t="str">
        <f ca="1">IFERROR(__xludf.DUMMYFUNCTION("""COMPUTED_VALUE"""),"+10.23")</f>
        <v>+10.23</v>
      </c>
      <c r="O3" s="1">
        <f ca="1">IFERROR(__xludf.DUMMYFUNCTION("""COMPUTED_VALUE"""),7)</f>
        <v>7</v>
      </c>
      <c r="P3" s="1">
        <f ca="1">IFERROR(__xludf.DUMMYFUNCTION("""COMPUTED_VALUE"""),107.4)</f>
        <v>107.4</v>
      </c>
      <c r="Q3" s="1">
        <f ca="1">IFERROR(__xludf.DUMMYFUNCTION("""COMPUTED_VALUE"""),11)</f>
        <v>11</v>
      </c>
      <c r="R3" s="1">
        <f ca="1">IFERROR(__xludf.DUMMYFUNCTION("""COMPUTED_VALUE"""),97.2)</f>
        <v>97.2</v>
      </c>
      <c r="S3" s="1">
        <f ca="1">IFERROR(__xludf.DUMMYFUNCTION("""COMPUTED_VALUE"""),6)</f>
        <v>6</v>
      </c>
      <c r="T3" s="1" t="str">
        <f ca="1">IFERROR(__xludf.DUMMYFUNCTION("""COMPUTED_VALUE"""),"+2.15")</f>
        <v>+2.15</v>
      </c>
      <c r="U3" s="1">
        <f ca="1">IFERROR(__xludf.DUMMYFUNCTION("""COMPUTED_VALUE"""),100)</f>
        <v>100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IFERROR(__xludf.DUMMYFUNCTION("""COMPUTED_VALUE"""),"Florida3")</f>
        <v>Florida3</v>
      </c>
      <c r="C4" s="1" t="str">
        <f ca="1">IFERROR(__xludf.DUMMYFUNCTION("""COMPUTED_VALUE"""),"SEC")</f>
        <v>SEC</v>
      </c>
      <c r="D4" s="1" t="str">
        <f ca="1">IFERROR(__xludf.DUMMYFUNCTION("""COMPUTED_VALUE"""),"29-8")</f>
        <v>29-8</v>
      </c>
      <c r="E4" s="1" t="str">
        <f ca="1">IFERROR(__xludf.DUMMYFUNCTION("""COMPUTED_VALUE"""),"+31.18")</f>
        <v>+31.18</v>
      </c>
      <c r="F4" s="1">
        <f ca="1">IFERROR(__xludf.DUMMYFUNCTION("""COMPUTED_VALUE"""),117.2)</f>
        <v>117.2</v>
      </c>
      <c r="G4" s="1">
        <f ca="1">IFERROR(__xludf.DUMMYFUNCTION("""COMPUTED_VALUE"""),9)</f>
        <v>9</v>
      </c>
      <c r="H4" s="1">
        <f ca="1">IFERROR(__xludf.DUMMYFUNCTION("""COMPUTED_VALUE"""),86)</f>
        <v>86</v>
      </c>
      <c r="I4" s="1">
        <f ca="1">IFERROR(__xludf.DUMMYFUNCTION("""COMPUTED_VALUE"""),3)</f>
        <v>3</v>
      </c>
      <c r="J4" s="1">
        <f ca="1">IFERROR(__xludf.DUMMYFUNCTION("""COMPUTED_VALUE"""),61.9)</f>
        <v>61.9</v>
      </c>
      <c r="K4" s="1">
        <f ca="1">IFERROR(__xludf.DUMMYFUNCTION("""COMPUTED_VALUE"""),280)</f>
        <v>280</v>
      </c>
      <c r="L4" s="1">
        <f ca="1">IFERROR(__xludf.DUMMYFUNCTION("""COMPUTED_VALUE"""),-0.089)</f>
        <v>-8.8999999999999996E-2</v>
      </c>
      <c r="M4" s="1">
        <f ca="1">IFERROR(__xludf.DUMMYFUNCTION("""COMPUTED_VALUE"""),332)</f>
        <v>332</v>
      </c>
      <c r="N4" s="1" t="str">
        <f ca="1">IFERROR(__xludf.DUMMYFUNCTION("""COMPUTED_VALUE"""),"+7.00")</f>
        <v>+7.00</v>
      </c>
      <c r="O4" s="1">
        <f ca="1">IFERROR(__xludf.DUMMYFUNCTION("""COMPUTED_VALUE"""),41)</f>
        <v>41</v>
      </c>
      <c r="P4" s="1">
        <f ca="1">IFERROR(__xludf.DUMMYFUNCTION("""COMPUTED_VALUE"""),105.6)</f>
        <v>105.6</v>
      </c>
      <c r="Q4" s="1">
        <f ca="1">IFERROR(__xludf.DUMMYFUNCTION("""COMPUTED_VALUE"""),63)</f>
        <v>63</v>
      </c>
      <c r="R4" s="1">
        <f ca="1">IFERROR(__xludf.DUMMYFUNCTION("""COMPUTED_VALUE"""),98.6)</f>
        <v>98.6</v>
      </c>
      <c r="S4" s="1">
        <f ca="1">IFERROR(__xludf.DUMMYFUNCTION("""COMPUTED_VALUE"""),36)</f>
        <v>36</v>
      </c>
      <c r="T4" s="1" t="str">
        <f ca="1">IFERROR(__xludf.DUMMYFUNCTION("""COMPUTED_VALUE"""),"+4.09")</f>
        <v>+4.09</v>
      </c>
      <c r="U4" s="1">
        <f ca="1">IFERROR(__xludf.DUMMYFUNCTION("""COMPUTED_VALUE"""),62)</f>
        <v>62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IFERROR(__xludf.DUMMYFUNCTION("""COMPUTED_VALUE"""),"Indiana1")</f>
        <v>Indiana1</v>
      </c>
      <c r="C5" s="1" t="str">
        <f ca="1">IFERROR(__xludf.DUMMYFUNCTION("""COMPUTED_VALUE"""),"B10")</f>
        <v>B10</v>
      </c>
      <c r="D5" s="1" t="str">
        <f ca="1">IFERROR(__xludf.DUMMYFUNCTION("""COMPUTED_VALUE"""),"29-7")</f>
        <v>29-7</v>
      </c>
      <c r="E5" s="1" t="str">
        <f ca="1">IFERROR(__xludf.DUMMYFUNCTION("""COMPUTED_VALUE"""),"+29.31")</f>
        <v>+29.31</v>
      </c>
      <c r="F5" s="1">
        <f ca="1">IFERROR(__xludf.DUMMYFUNCTION("""COMPUTED_VALUE"""),120.8)</f>
        <v>120.8</v>
      </c>
      <c r="G5" s="1">
        <f ca="1">IFERROR(__xludf.DUMMYFUNCTION("""COMPUTED_VALUE"""),2)</f>
        <v>2</v>
      </c>
      <c r="H5" s="1">
        <f ca="1">IFERROR(__xludf.DUMMYFUNCTION("""COMPUTED_VALUE"""),91.5)</f>
        <v>91.5</v>
      </c>
      <c r="I5" s="1">
        <f ca="1">IFERROR(__xludf.DUMMYFUNCTION("""COMPUTED_VALUE"""),19)</f>
        <v>19</v>
      </c>
      <c r="J5" s="1">
        <f ca="1">IFERROR(__xludf.DUMMYFUNCTION("""COMPUTED_VALUE"""),66)</f>
        <v>66</v>
      </c>
      <c r="K5" s="1">
        <f ca="1">IFERROR(__xludf.DUMMYFUNCTION("""COMPUTED_VALUE"""),105)</f>
        <v>105</v>
      </c>
      <c r="L5" s="1">
        <f ca="1">IFERROR(__xludf.DUMMYFUNCTION("""COMPUTED_VALUE"""),-0.021)</f>
        <v>-2.1000000000000001E-2</v>
      </c>
      <c r="M5" s="1">
        <f ca="1">IFERROR(__xludf.DUMMYFUNCTION("""COMPUTED_VALUE"""),239)</f>
        <v>239</v>
      </c>
      <c r="N5" s="1" t="str">
        <f ca="1">IFERROR(__xludf.DUMMYFUNCTION("""COMPUTED_VALUE"""),"+8.86")</f>
        <v>+8.86</v>
      </c>
      <c r="O5" s="1">
        <f ca="1">IFERROR(__xludf.DUMMYFUNCTION("""COMPUTED_VALUE"""),17)</f>
        <v>17</v>
      </c>
      <c r="P5" s="1">
        <f ca="1">IFERROR(__xludf.DUMMYFUNCTION("""COMPUTED_VALUE"""),106.7)</f>
        <v>106.7</v>
      </c>
      <c r="Q5" s="1">
        <f ca="1">IFERROR(__xludf.DUMMYFUNCTION("""COMPUTED_VALUE"""),23)</f>
        <v>23</v>
      </c>
      <c r="R5" s="1">
        <f ca="1">IFERROR(__xludf.DUMMYFUNCTION("""COMPUTED_VALUE"""),97.8)</f>
        <v>97.8</v>
      </c>
      <c r="S5" s="1">
        <f ca="1">IFERROR(__xludf.DUMMYFUNCTION("""COMPUTED_VALUE"""),14)</f>
        <v>14</v>
      </c>
      <c r="T5" s="1">
        <f ca="1">IFERROR(__xludf.DUMMYFUNCTION("""COMPUTED_VALUE"""),-5.16)</f>
        <v>-5.16</v>
      </c>
      <c r="U5" s="1">
        <f ca="1">IFERROR(__xludf.DUMMYFUNCTION("""COMPUTED_VALUE"""),294)</f>
        <v>294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IFERROR(__xludf.DUMMYFUNCTION("""COMPUTED_VALUE"""),"Michigan4")</f>
        <v>Michigan4</v>
      </c>
      <c r="C6" s="1" t="str">
        <f ca="1">IFERROR(__xludf.DUMMYFUNCTION("""COMPUTED_VALUE"""),"B10")</f>
        <v>B10</v>
      </c>
      <c r="D6" s="1" t="str">
        <f ca="1">IFERROR(__xludf.DUMMYFUNCTION("""COMPUTED_VALUE"""),"31-8")</f>
        <v>31-8</v>
      </c>
      <c r="E6" s="1" t="str">
        <f ca="1">IFERROR(__xludf.DUMMYFUNCTION("""COMPUTED_VALUE"""),"+27.86")</f>
        <v>+27.86</v>
      </c>
      <c r="F6" s="1">
        <f ca="1">IFERROR(__xludf.DUMMYFUNCTION("""COMPUTED_VALUE"""),121.9)</f>
        <v>121.9</v>
      </c>
      <c r="G6" s="1">
        <f ca="1">IFERROR(__xludf.DUMMYFUNCTION("""COMPUTED_VALUE"""),1)</f>
        <v>1</v>
      </c>
      <c r="H6" s="1">
        <f ca="1">IFERROR(__xludf.DUMMYFUNCTION("""COMPUTED_VALUE"""),94)</f>
        <v>94</v>
      </c>
      <c r="I6" s="1">
        <f ca="1">IFERROR(__xludf.DUMMYFUNCTION("""COMPUTED_VALUE"""),37)</f>
        <v>37</v>
      </c>
      <c r="J6" s="1">
        <f ca="1">IFERROR(__xludf.DUMMYFUNCTION("""COMPUTED_VALUE"""),64)</f>
        <v>64</v>
      </c>
      <c r="K6" s="1">
        <f ca="1">IFERROR(__xludf.DUMMYFUNCTION("""COMPUTED_VALUE"""),198)</f>
        <v>198</v>
      </c>
      <c r="L6" s="1">
        <f ca="1">IFERROR(__xludf.DUMMYFUNCTION("""COMPUTED_VALUE"""),-0.007)</f>
        <v>-7.0000000000000001E-3</v>
      </c>
      <c r="M6" s="1">
        <f ca="1">IFERROR(__xludf.DUMMYFUNCTION("""COMPUTED_VALUE"""),197)</f>
        <v>197</v>
      </c>
      <c r="N6" s="1" t="str">
        <f ca="1">IFERROR(__xludf.DUMMYFUNCTION("""COMPUTED_VALUE"""),"+11.13")</f>
        <v>+11.13</v>
      </c>
      <c r="O6" s="1">
        <f ca="1">IFERROR(__xludf.DUMMYFUNCTION("""COMPUTED_VALUE"""),3)</f>
        <v>3</v>
      </c>
      <c r="P6" s="1">
        <f ca="1">IFERROR(__xludf.DUMMYFUNCTION("""COMPUTED_VALUE"""),108.2)</f>
        <v>108.2</v>
      </c>
      <c r="Q6" s="1">
        <f ca="1">IFERROR(__xludf.DUMMYFUNCTION("""COMPUTED_VALUE"""),5)</f>
        <v>5</v>
      </c>
      <c r="R6" s="1">
        <f ca="1">IFERROR(__xludf.DUMMYFUNCTION("""COMPUTED_VALUE"""),97)</f>
        <v>97</v>
      </c>
      <c r="S6" s="1">
        <f ca="1">IFERROR(__xludf.DUMMYFUNCTION("""COMPUTED_VALUE"""),3)</f>
        <v>3</v>
      </c>
      <c r="T6" s="1">
        <f ca="1">IFERROR(__xludf.DUMMYFUNCTION("""COMPUTED_VALUE"""),-3.09)</f>
        <v>-3.09</v>
      </c>
      <c r="U6" s="1">
        <f ca="1">IFERROR(__xludf.DUMMYFUNCTION("""COMPUTED_VALUE"""),257)</f>
        <v>257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IFERROR(__xludf.DUMMYFUNCTION("""COMPUTED_VALUE"""),"Gonzaga1")</f>
        <v>Gonzaga1</v>
      </c>
      <c r="C7" s="1" t="str">
        <f ca="1">IFERROR(__xludf.DUMMYFUNCTION("""COMPUTED_VALUE"""),"WCC")</f>
        <v>WCC</v>
      </c>
      <c r="D7" s="1" t="str">
        <f ca="1">IFERROR(__xludf.DUMMYFUNCTION("""COMPUTED_VALUE"""),"32-3")</f>
        <v>32-3</v>
      </c>
      <c r="E7" s="1" t="str">
        <f ca="1">IFERROR(__xludf.DUMMYFUNCTION("""COMPUTED_VALUE"""),"+27.81")</f>
        <v>+27.81</v>
      </c>
      <c r="F7" s="1">
        <f ca="1">IFERROR(__xludf.DUMMYFUNCTION("""COMPUTED_VALUE"""),120.5)</f>
        <v>120.5</v>
      </c>
      <c r="G7" s="1">
        <f ca="1">IFERROR(__xludf.DUMMYFUNCTION("""COMPUTED_VALUE"""),3)</f>
        <v>3</v>
      </c>
      <c r="H7" s="1">
        <f ca="1">IFERROR(__xludf.DUMMYFUNCTION("""COMPUTED_VALUE"""),92.7)</f>
        <v>92.7</v>
      </c>
      <c r="I7" s="1">
        <f ca="1">IFERROR(__xludf.DUMMYFUNCTION("""COMPUTED_VALUE"""),30)</f>
        <v>30</v>
      </c>
      <c r="J7" s="1">
        <f ca="1">IFERROR(__xludf.DUMMYFUNCTION("""COMPUTED_VALUE"""),63.3)</f>
        <v>63.3</v>
      </c>
      <c r="K7" s="1">
        <f ca="1">IFERROR(__xludf.DUMMYFUNCTION("""COMPUTED_VALUE"""),232)</f>
        <v>232</v>
      </c>
      <c r="L7" s="1" t="str">
        <f ca="1">IFERROR(__xludf.DUMMYFUNCTION("""COMPUTED_VALUE"""),"+.026")</f>
        <v>+.026</v>
      </c>
      <c r="M7" s="1">
        <f ca="1">IFERROR(__xludf.DUMMYFUNCTION("""COMPUTED_VALUE"""),116)</f>
        <v>116</v>
      </c>
      <c r="N7" s="1" t="str">
        <f ca="1">IFERROR(__xludf.DUMMYFUNCTION("""COMPUTED_VALUE"""),"+4.37")</f>
        <v>+4.37</v>
      </c>
      <c r="O7" s="1">
        <f ca="1">IFERROR(__xludf.DUMMYFUNCTION("""COMPUTED_VALUE"""),87)</f>
        <v>87</v>
      </c>
      <c r="P7" s="1">
        <f ca="1">IFERROR(__xludf.DUMMYFUNCTION("""COMPUTED_VALUE"""),105.4)</f>
        <v>105.4</v>
      </c>
      <c r="Q7" s="1">
        <f ca="1">IFERROR(__xludf.DUMMYFUNCTION("""COMPUTED_VALUE"""),75)</f>
        <v>75</v>
      </c>
      <c r="R7" s="1">
        <f ca="1">IFERROR(__xludf.DUMMYFUNCTION("""COMPUTED_VALUE"""),101)</f>
        <v>101</v>
      </c>
      <c r="S7" s="1">
        <f ca="1">IFERROR(__xludf.DUMMYFUNCTION("""COMPUTED_VALUE"""),102)</f>
        <v>102</v>
      </c>
      <c r="T7" s="1" t="str">
        <f ca="1">IFERROR(__xludf.DUMMYFUNCTION("""COMPUTED_VALUE"""),"+5.03")</f>
        <v>+5.03</v>
      </c>
      <c r="U7" s="1">
        <f ca="1">IFERROR(__xludf.DUMMYFUNCTION("""COMPUTED_VALUE"""),39)</f>
        <v>39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IFERROR(__xludf.DUMMYFUNCTION("""COMPUTED_VALUE"""),"Duke2")</f>
        <v>Duke2</v>
      </c>
      <c r="C8" s="1" t="str">
        <f ca="1">IFERROR(__xludf.DUMMYFUNCTION("""COMPUTED_VALUE"""),"ACC")</f>
        <v>ACC</v>
      </c>
      <c r="D8" s="1" t="str">
        <f ca="1">IFERROR(__xludf.DUMMYFUNCTION("""COMPUTED_VALUE"""),"30-6")</f>
        <v>30-6</v>
      </c>
      <c r="E8" s="1" t="str">
        <f ca="1">IFERROR(__xludf.DUMMYFUNCTION("""COMPUTED_VALUE"""),"+26.98")</f>
        <v>+26.98</v>
      </c>
      <c r="F8" s="1">
        <f ca="1">IFERROR(__xludf.DUMMYFUNCTION("""COMPUTED_VALUE"""),119.1)</f>
        <v>119.1</v>
      </c>
      <c r="G8" s="1">
        <f ca="1">IFERROR(__xludf.DUMMYFUNCTION("""COMPUTED_VALUE"""),4)</f>
        <v>4</v>
      </c>
      <c r="H8" s="1">
        <f ca="1">IFERROR(__xludf.DUMMYFUNCTION("""COMPUTED_VALUE"""),92.1)</f>
        <v>92.1</v>
      </c>
      <c r="I8" s="1">
        <f ca="1">IFERROR(__xludf.DUMMYFUNCTION("""COMPUTED_VALUE"""),26)</f>
        <v>26</v>
      </c>
      <c r="J8" s="1">
        <f ca="1">IFERROR(__xludf.DUMMYFUNCTION("""COMPUTED_VALUE"""),66.7)</f>
        <v>66.7</v>
      </c>
      <c r="K8" s="1">
        <f ca="1">IFERROR(__xludf.DUMMYFUNCTION("""COMPUTED_VALUE"""),75)</f>
        <v>75</v>
      </c>
      <c r="L8" s="1" t="str">
        <f ca="1">IFERROR(__xludf.DUMMYFUNCTION("""COMPUTED_VALUE"""),"+.033")</f>
        <v>+.033</v>
      </c>
      <c r="M8" s="1">
        <f ca="1">IFERROR(__xludf.DUMMYFUNCTION("""COMPUTED_VALUE"""),97)</f>
        <v>97</v>
      </c>
      <c r="N8" s="1" t="str">
        <f ca="1">IFERROR(__xludf.DUMMYFUNCTION("""COMPUTED_VALUE"""),"+9.95")</f>
        <v>+9.95</v>
      </c>
      <c r="O8" s="1">
        <f ca="1">IFERROR(__xludf.DUMMYFUNCTION("""COMPUTED_VALUE"""),10)</f>
        <v>10</v>
      </c>
      <c r="P8" s="1">
        <f ca="1">IFERROR(__xludf.DUMMYFUNCTION("""COMPUTED_VALUE"""),108.4)</f>
        <v>108.4</v>
      </c>
      <c r="Q8" s="1">
        <f ca="1">IFERROR(__xludf.DUMMYFUNCTION("""COMPUTED_VALUE"""),4)</f>
        <v>4</v>
      </c>
      <c r="R8" s="1">
        <f ca="1">IFERROR(__xludf.DUMMYFUNCTION("""COMPUTED_VALUE"""),98.5)</f>
        <v>98.5</v>
      </c>
      <c r="S8" s="1">
        <f ca="1">IFERROR(__xludf.DUMMYFUNCTION("""COMPUTED_VALUE"""),29)</f>
        <v>29</v>
      </c>
      <c r="T8" s="1" t="str">
        <f ca="1">IFERROR(__xludf.DUMMYFUNCTION("""COMPUTED_VALUE"""),"+6.85")</f>
        <v>+6.85</v>
      </c>
      <c r="U8" s="1">
        <f ca="1">IFERROR(__xludf.DUMMYFUNCTION("""COMPUTED_VALUE"""),18)</f>
        <v>18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IFERROR(__xludf.DUMMYFUNCTION("""COMPUTED_VALUE"""),"Ohio St.2")</f>
        <v>Ohio St.2</v>
      </c>
      <c r="C9" s="1" t="str">
        <f ca="1">IFERROR(__xludf.DUMMYFUNCTION("""COMPUTED_VALUE"""),"B10")</f>
        <v>B10</v>
      </c>
      <c r="D9" s="1" t="str">
        <f ca="1">IFERROR(__xludf.DUMMYFUNCTION("""COMPUTED_VALUE"""),"29-8")</f>
        <v>29-8</v>
      </c>
      <c r="E9" s="1" t="str">
        <f ca="1">IFERROR(__xludf.DUMMYFUNCTION("""COMPUTED_VALUE"""),"+25.42")</f>
        <v>+25.42</v>
      </c>
      <c r="F9" s="1">
        <f ca="1">IFERROR(__xludf.DUMMYFUNCTION("""COMPUTED_VALUE"""),115.1)</f>
        <v>115.1</v>
      </c>
      <c r="G9" s="1">
        <f ca="1">IFERROR(__xludf.DUMMYFUNCTION("""COMPUTED_VALUE"""),14)</f>
        <v>14</v>
      </c>
      <c r="H9" s="1">
        <f ca="1">IFERROR(__xludf.DUMMYFUNCTION("""COMPUTED_VALUE"""),89.7)</f>
        <v>89.7</v>
      </c>
      <c r="I9" s="1">
        <f ca="1">IFERROR(__xludf.DUMMYFUNCTION("""COMPUTED_VALUE"""),9)</f>
        <v>9</v>
      </c>
      <c r="J9" s="1">
        <f ca="1">IFERROR(__xludf.DUMMYFUNCTION("""COMPUTED_VALUE"""),63.6)</f>
        <v>63.6</v>
      </c>
      <c r="K9" s="1">
        <f ca="1">IFERROR(__xludf.DUMMYFUNCTION("""COMPUTED_VALUE"""),218)</f>
        <v>218</v>
      </c>
      <c r="L9" s="1" t="str">
        <f ca="1">IFERROR(__xludf.DUMMYFUNCTION("""COMPUTED_VALUE"""),"+.020")</f>
        <v>+.020</v>
      </c>
      <c r="M9" s="1">
        <f ca="1">IFERROR(__xludf.DUMMYFUNCTION("""COMPUTED_VALUE"""),135)</f>
        <v>135</v>
      </c>
      <c r="N9" s="1" t="str">
        <f ca="1">IFERROR(__xludf.DUMMYFUNCTION("""COMPUTED_VALUE"""),"+10.18")</f>
        <v>+10.18</v>
      </c>
      <c r="O9" s="1">
        <f ca="1">IFERROR(__xludf.DUMMYFUNCTION("""COMPUTED_VALUE"""),9)</f>
        <v>9</v>
      </c>
      <c r="P9" s="1">
        <f ca="1">IFERROR(__xludf.DUMMYFUNCTION("""COMPUTED_VALUE"""),107.3)</f>
        <v>107.3</v>
      </c>
      <c r="Q9" s="1">
        <f ca="1">IFERROR(__xludf.DUMMYFUNCTION("""COMPUTED_VALUE"""),12)</f>
        <v>12</v>
      </c>
      <c r="R9" s="1">
        <f ca="1">IFERROR(__xludf.DUMMYFUNCTION("""COMPUTED_VALUE"""),97.1)</f>
        <v>97.1</v>
      </c>
      <c r="S9" s="1">
        <f ca="1">IFERROR(__xludf.DUMMYFUNCTION("""COMPUTED_VALUE"""),5)</f>
        <v>5</v>
      </c>
      <c r="T9" s="1">
        <f ca="1">IFERROR(__xludf.DUMMYFUNCTION("""COMPUTED_VALUE"""),-5.53)</f>
        <v>-5.53</v>
      </c>
      <c r="U9" s="1">
        <f ca="1">IFERROR(__xludf.DUMMYFUNCTION("""COMPUTED_VALUE"""),302)</f>
        <v>302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IFERROR(__xludf.DUMMYFUNCTION("""COMPUTED_VALUE"""),"Kansas1")</f>
        <v>Kansas1</v>
      </c>
      <c r="C10" s="1" t="str">
        <f ca="1">IFERROR(__xludf.DUMMYFUNCTION("""COMPUTED_VALUE"""),"B12")</f>
        <v>B12</v>
      </c>
      <c r="D10" s="1" t="str">
        <f ca="1">IFERROR(__xludf.DUMMYFUNCTION("""COMPUTED_VALUE"""),"31-6")</f>
        <v>31-6</v>
      </c>
      <c r="E10" s="1" t="str">
        <f ca="1">IFERROR(__xludf.DUMMYFUNCTION("""COMPUTED_VALUE"""),"+25.23")</f>
        <v>+25.23</v>
      </c>
      <c r="F10" s="1">
        <f ca="1">IFERROR(__xludf.DUMMYFUNCTION("""COMPUTED_VALUE"""),112.7)</f>
        <v>112.7</v>
      </c>
      <c r="G10" s="1">
        <f ca="1">IFERROR(__xludf.DUMMYFUNCTION("""COMPUTED_VALUE"""),27)</f>
        <v>27</v>
      </c>
      <c r="H10" s="1">
        <f ca="1">IFERROR(__xludf.DUMMYFUNCTION("""COMPUTED_VALUE"""),87.5)</f>
        <v>87.5</v>
      </c>
      <c r="I10" s="1">
        <f ca="1">IFERROR(__xludf.DUMMYFUNCTION("""COMPUTED_VALUE"""),5)</f>
        <v>5</v>
      </c>
      <c r="J10" s="1">
        <f ca="1">IFERROR(__xludf.DUMMYFUNCTION("""COMPUTED_VALUE"""),66.4)</f>
        <v>66.400000000000006</v>
      </c>
      <c r="K10" s="1">
        <f ca="1">IFERROR(__xludf.DUMMYFUNCTION("""COMPUTED_VALUE"""),86)</f>
        <v>86</v>
      </c>
      <c r="L10" s="1" t="str">
        <f ca="1">IFERROR(__xludf.DUMMYFUNCTION("""COMPUTED_VALUE"""),"+.010")</f>
        <v>+.010</v>
      </c>
      <c r="M10" s="1">
        <f ca="1">IFERROR(__xludf.DUMMYFUNCTION("""COMPUTED_VALUE"""),153)</f>
        <v>153</v>
      </c>
      <c r="N10" s="1" t="str">
        <f ca="1">IFERROR(__xludf.DUMMYFUNCTION("""COMPUTED_VALUE"""),"+7.05")</f>
        <v>+7.05</v>
      </c>
      <c r="O10" s="1">
        <f ca="1">IFERROR(__xludf.DUMMYFUNCTION("""COMPUTED_VALUE"""),40)</f>
        <v>40</v>
      </c>
      <c r="P10" s="1">
        <f ca="1">IFERROR(__xludf.DUMMYFUNCTION("""COMPUTED_VALUE"""),106.8)</f>
        <v>106.8</v>
      </c>
      <c r="Q10" s="1">
        <f ca="1">IFERROR(__xludf.DUMMYFUNCTION("""COMPUTED_VALUE"""),19)</f>
        <v>19</v>
      </c>
      <c r="R10" s="1">
        <f ca="1">IFERROR(__xludf.DUMMYFUNCTION("""COMPUTED_VALUE"""),99.8)</f>
        <v>99.8</v>
      </c>
      <c r="S10" s="1">
        <f ca="1">IFERROR(__xludf.DUMMYFUNCTION("""COMPUTED_VALUE"""),66)</f>
        <v>66</v>
      </c>
      <c r="T10" s="1" t="str">
        <f ca="1">IFERROR(__xludf.DUMMYFUNCTION("""COMPUTED_VALUE"""),"+2.64")</f>
        <v>+2.64</v>
      </c>
      <c r="U10" s="1">
        <f ca="1">IFERROR(__xludf.DUMMYFUNCTION("""COMPUTED_VALUE"""),87)</f>
        <v>87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IFERROR(__xludf.DUMMYFUNCTION("""COMPUTED_VALUE"""),"Syracuse4")</f>
        <v>Syracuse4</v>
      </c>
      <c r="C11" s="1" t="str">
        <f ca="1">IFERROR(__xludf.DUMMYFUNCTION("""COMPUTED_VALUE"""),"BE")</f>
        <v>BE</v>
      </c>
      <c r="D11" s="1" t="str">
        <f ca="1">IFERROR(__xludf.DUMMYFUNCTION("""COMPUTED_VALUE"""),"30-10")</f>
        <v>30-10</v>
      </c>
      <c r="E11" s="1" t="str">
        <f ca="1">IFERROR(__xludf.DUMMYFUNCTION("""COMPUTED_VALUE"""),"+24.83")</f>
        <v>+24.83</v>
      </c>
      <c r="F11" s="1">
        <f ca="1">IFERROR(__xludf.DUMMYFUNCTION("""COMPUTED_VALUE"""),113.1)</f>
        <v>113.1</v>
      </c>
      <c r="G11" s="1">
        <f ca="1">IFERROR(__xludf.DUMMYFUNCTION("""COMPUTED_VALUE"""),26)</f>
        <v>26</v>
      </c>
      <c r="H11" s="1">
        <f ca="1">IFERROR(__xludf.DUMMYFUNCTION("""COMPUTED_VALUE"""),88.3)</f>
        <v>88.3</v>
      </c>
      <c r="I11" s="1">
        <f ca="1">IFERROR(__xludf.DUMMYFUNCTION("""COMPUTED_VALUE"""),6)</f>
        <v>6</v>
      </c>
      <c r="J11" s="1">
        <f ca="1">IFERROR(__xludf.DUMMYFUNCTION("""COMPUTED_VALUE"""),63.1)</f>
        <v>63.1</v>
      </c>
      <c r="K11" s="1">
        <f ca="1">IFERROR(__xludf.DUMMYFUNCTION("""COMPUTED_VALUE"""),235)</f>
        <v>235</v>
      </c>
      <c r="L11" s="1">
        <f ca="1">IFERROR(__xludf.DUMMYFUNCTION("""COMPUTED_VALUE"""),-0.004)</f>
        <v>-4.0000000000000001E-3</v>
      </c>
      <c r="M11" s="1">
        <f ca="1">IFERROR(__xludf.DUMMYFUNCTION("""COMPUTED_VALUE"""),188)</f>
        <v>188</v>
      </c>
      <c r="N11" s="1" t="str">
        <f ca="1">IFERROR(__xludf.DUMMYFUNCTION("""COMPUTED_VALUE"""),"+9.46")</f>
        <v>+9.46</v>
      </c>
      <c r="O11" s="1">
        <f ca="1">IFERROR(__xludf.DUMMYFUNCTION("""COMPUTED_VALUE"""),11)</f>
        <v>11</v>
      </c>
      <c r="P11" s="1">
        <f ca="1">IFERROR(__xludf.DUMMYFUNCTION("""COMPUTED_VALUE"""),106.8)</f>
        <v>106.8</v>
      </c>
      <c r="Q11" s="1">
        <f ca="1">IFERROR(__xludf.DUMMYFUNCTION("""COMPUTED_VALUE"""),20)</f>
        <v>20</v>
      </c>
      <c r="R11" s="1">
        <f ca="1">IFERROR(__xludf.DUMMYFUNCTION("""COMPUTED_VALUE"""),97.4)</f>
        <v>97.4</v>
      </c>
      <c r="S11" s="1">
        <f ca="1">IFERROR(__xludf.DUMMYFUNCTION("""COMPUTED_VALUE"""),9)</f>
        <v>9</v>
      </c>
      <c r="T11" s="1">
        <f ca="1">IFERROR(__xludf.DUMMYFUNCTION("""COMPUTED_VALUE"""),-4.44)</f>
        <v>-4.4400000000000004</v>
      </c>
      <c r="U11" s="1">
        <f ca="1">IFERROR(__xludf.DUMMYFUNCTION("""COMPUTED_VALUE"""),282)</f>
        <v>282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IFERROR(__xludf.DUMMYFUNCTION("""COMPUTED_VALUE"""),"Michigan St.3")</f>
        <v>Michigan St.3</v>
      </c>
      <c r="C12" s="1" t="str">
        <f ca="1">IFERROR(__xludf.DUMMYFUNCTION("""COMPUTED_VALUE"""),"B10")</f>
        <v>B10</v>
      </c>
      <c r="D12" s="1" t="str">
        <f ca="1">IFERROR(__xludf.DUMMYFUNCTION("""COMPUTED_VALUE"""),"27-9")</f>
        <v>27-9</v>
      </c>
      <c r="E12" s="1" t="str">
        <f ca="1">IFERROR(__xludf.DUMMYFUNCTION("""COMPUTED_VALUE"""),"+24.17")</f>
        <v>+24.17</v>
      </c>
      <c r="F12" s="1">
        <f ca="1">IFERROR(__xludf.DUMMYFUNCTION("""COMPUTED_VALUE"""),112.6)</f>
        <v>112.6</v>
      </c>
      <c r="G12" s="1">
        <f ca="1">IFERROR(__xludf.DUMMYFUNCTION("""COMPUTED_VALUE"""),29)</f>
        <v>29</v>
      </c>
      <c r="H12" s="1">
        <f ca="1">IFERROR(__xludf.DUMMYFUNCTION("""COMPUTED_VALUE"""),88.5)</f>
        <v>88.5</v>
      </c>
      <c r="I12" s="1">
        <f ca="1">IFERROR(__xludf.DUMMYFUNCTION("""COMPUTED_VALUE"""),7)</f>
        <v>7</v>
      </c>
      <c r="J12" s="1">
        <f ca="1">IFERROR(__xludf.DUMMYFUNCTION("""COMPUTED_VALUE"""),63.1)</f>
        <v>63.1</v>
      </c>
      <c r="K12" s="1">
        <f ca="1">IFERROR(__xludf.DUMMYFUNCTION("""COMPUTED_VALUE"""),238)</f>
        <v>238</v>
      </c>
      <c r="L12" s="1" t="str">
        <f ca="1">IFERROR(__xludf.DUMMYFUNCTION("""COMPUTED_VALUE"""),"+.001")</f>
        <v>+.001</v>
      </c>
      <c r="M12" s="1">
        <f ca="1">IFERROR(__xludf.DUMMYFUNCTION("""COMPUTED_VALUE"""),174)</f>
        <v>174</v>
      </c>
      <c r="N12" s="1" t="str">
        <f ca="1">IFERROR(__xludf.DUMMYFUNCTION("""COMPUTED_VALUE"""),"+11.91")</f>
        <v>+11.91</v>
      </c>
      <c r="O12" s="1">
        <f ca="1">IFERROR(__xludf.DUMMYFUNCTION("""COMPUTED_VALUE"""),1)</f>
        <v>1</v>
      </c>
      <c r="P12" s="1">
        <f ca="1">IFERROR(__xludf.DUMMYFUNCTION("""COMPUTED_VALUE"""),108.8)</f>
        <v>108.8</v>
      </c>
      <c r="Q12" s="1">
        <f ca="1">IFERROR(__xludf.DUMMYFUNCTION("""COMPUTED_VALUE"""),2)</f>
        <v>2</v>
      </c>
      <c r="R12" s="1">
        <f ca="1">IFERROR(__xludf.DUMMYFUNCTION("""COMPUTED_VALUE"""),96.9)</f>
        <v>96.9</v>
      </c>
      <c r="S12" s="1">
        <f ca="1">IFERROR(__xludf.DUMMYFUNCTION("""COMPUTED_VALUE"""),2)</f>
        <v>2</v>
      </c>
      <c r="T12" s="1">
        <f ca="1">IFERROR(__xludf.DUMMYFUNCTION("""COMPUTED_VALUE"""),-0.75)</f>
        <v>-0.75</v>
      </c>
      <c r="U12" s="1">
        <f ca="1">IFERROR(__xludf.DUMMYFUNCTION("""COMPUTED_VALUE"""),183)</f>
        <v>183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IFERROR(__xludf.DUMMYFUNCTION("""COMPUTED_VALUE"""),"Pittsburgh8")</f>
        <v>Pittsburgh8</v>
      </c>
      <c r="C13" s="1" t="str">
        <f ca="1">IFERROR(__xludf.DUMMYFUNCTION("""COMPUTED_VALUE"""),"BE")</f>
        <v>BE</v>
      </c>
      <c r="D13" s="1" t="str">
        <f ca="1">IFERROR(__xludf.DUMMYFUNCTION("""COMPUTED_VALUE"""),"24-9")</f>
        <v>24-9</v>
      </c>
      <c r="E13" s="1" t="str">
        <f ca="1">IFERROR(__xludf.DUMMYFUNCTION("""COMPUTED_VALUE"""),"+24.08")</f>
        <v>+24.08</v>
      </c>
      <c r="F13" s="1">
        <f ca="1">IFERROR(__xludf.DUMMYFUNCTION("""COMPUTED_VALUE"""),115.6)</f>
        <v>115.6</v>
      </c>
      <c r="G13" s="1">
        <f ca="1">IFERROR(__xludf.DUMMYFUNCTION("""COMPUTED_VALUE"""),12)</f>
        <v>12</v>
      </c>
      <c r="H13" s="1">
        <f ca="1">IFERROR(__xludf.DUMMYFUNCTION("""COMPUTED_VALUE"""),91.5)</f>
        <v>91.5</v>
      </c>
      <c r="I13" s="1">
        <f ca="1">IFERROR(__xludf.DUMMYFUNCTION("""COMPUTED_VALUE"""),21)</f>
        <v>21</v>
      </c>
      <c r="J13" s="1">
        <f ca="1">IFERROR(__xludf.DUMMYFUNCTION("""COMPUTED_VALUE"""),59.3)</f>
        <v>59.3</v>
      </c>
      <c r="K13" s="1">
        <f ca="1">IFERROR(__xludf.DUMMYFUNCTION("""COMPUTED_VALUE"""),337)</f>
        <v>337</v>
      </c>
      <c r="L13" s="1">
        <f ca="1">IFERROR(__xludf.DUMMYFUNCTION("""COMPUTED_VALUE"""),-0.058)</f>
        <v>-5.8000000000000003E-2</v>
      </c>
      <c r="M13" s="1">
        <f ca="1">IFERROR(__xludf.DUMMYFUNCTION("""COMPUTED_VALUE"""),304)</f>
        <v>304</v>
      </c>
      <c r="N13" s="1" t="str">
        <f ca="1">IFERROR(__xludf.DUMMYFUNCTION("""COMPUTED_VALUE"""),"+4.52")</f>
        <v>+4.52</v>
      </c>
      <c r="O13" s="1">
        <f ca="1">IFERROR(__xludf.DUMMYFUNCTION("""COMPUTED_VALUE"""),84)</f>
        <v>84</v>
      </c>
      <c r="P13" s="1">
        <f ca="1">IFERROR(__xludf.DUMMYFUNCTION("""COMPUTED_VALUE"""),104.9)</f>
        <v>104.9</v>
      </c>
      <c r="Q13" s="1">
        <f ca="1">IFERROR(__xludf.DUMMYFUNCTION("""COMPUTED_VALUE"""),89)</f>
        <v>89</v>
      </c>
      <c r="R13" s="1">
        <f ca="1">IFERROR(__xludf.DUMMYFUNCTION("""COMPUTED_VALUE"""),100.4)</f>
        <v>100.4</v>
      </c>
      <c r="S13" s="1">
        <f ca="1">IFERROR(__xludf.DUMMYFUNCTION("""COMPUTED_VALUE"""),87)</f>
        <v>87</v>
      </c>
      <c r="T13" s="1">
        <f ca="1">IFERROR(__xludf.DUMMYFUNCTION("""COMPUTED_VALUE"""),-9.69)</f>
        <v>-9.69</v>
      </c>
      <c r="U13" s="1">
        <f ca="1">IFERROR(__xludf.DUMMYFUNCTION("""COMPUTED_VALUE"""),340)</f>
        <v>340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IFERROR(__xludf.DUMMYFUNCTION("""COMPUTED_VALUE"""),"Wisconsin5")</f>
        <v>Wisconsin5</v>
      </c>
      <c r="C14" s="1" t="str">
        <f ca="1">IFERROR(__xludf.DUMMYFUNCTION("""COMPUTED_VALUE"""),"B10")</f>
        <v>B10</v>
      </c>
      <c r="D14" s="1" t="str">
        <f ca="1">IFERROR(__xludf.DUMMYFUNCTION("""COMPUTED_VALUE"""),"23-12")</f>
        <v>23-12</v>
      </c>
      <c r="E14" s="1" t="str">
        <f ca="1">IFERROR(__xludf.DUMMYFUNCTION("""COMPUTED_VALUE"""),"+22.57")</f>
        <v>+22.57</v>
      </c>
      <c r="F14" s="1">
        <f ca="1">IFERROR(__xludf.DUMMYFUNCTION("""COMPUTED_VALUE"""),108.3)</f>
        <v>108.3</v>
      </c>
      <c r="G14" s="1">
        <f ca="1">IFERROR(__xludf.DUMMYFUNCTION("""COMPUTED_VALUE"""),73)</f>
        <v>73</v>
      </c>
      <c r="H14" s="1">
        <f ca="1">IFERROR(__xludf.DUMMYFUNCTION("""COMPUTED_VALUE"""),85.7)</f>
        <v>85.7</v>
      </c>
      <c r="I14" s="1">
        <f ca="1">IFERROR(__xludf.DUMMYFUNCTION("""COMPUTED_VALUE"""),2)</f>
        <v>2</v>
      </c>
      <c r="J14" s="1">
        <f ca="1">IFERROR(__xludf.DUMMYFUNCTION("""COMPUTED_VALUE"""),60.4)</f>
        <v>60.4</v>
      </c>
      <c r="K14" s="1">
        <f ca="1">IFERROR(__xludf.DUMMYFUNCTION("""COMPUTED_VALUE"""),319)</f>
        <v>319</v>
      </c>
      <c r="L14" s="1">
        <f ca="1">IFERROR(__xludf.DUMMYFUNCTION("""COMPUTED_VALUE"""),-0.033)</f>
        <v>-3.3000000000000002E-2</v>
      </c>
      <c r="M14" s="1">
        <f ca="1">IFERROR(__xludf.DUMMYFUNCTION("""COMPUTED_VALUE"""),268)</f>
        <v>268</v>
      </c>
      <c r="N14" s="1" t="str">
        <f ca="1">IFERROR(__xludf.DUMMYFUNCTION("""COMPUTED_VALUE"""),"+11.08")</f>
        <v>+11.08</v>
      </c>
      <c r="O14" s="1">
        <f ca="1">IFERROR(__xludf.DUMMYFUNCTION("""COMPUTED_VALUE"""),4)</f>
        <v>4</v>
      </c>
      <c r="P14" s="1">
        <f ca="1">IFERROR(__xludf.DUMMYFUNCTION("""COMPUTED_VALUE"""),108.8)</f>
        <v>108.8</v>
      </c>
      <c r="Q14" s="1">
        <f ca="1">IFERROR(__xludf.DUMMYFUNCTION("""COMPUTED_VALUE"""),1)</f>
        <v>1</v>
      </c>
      <c r="R14" s="1">
        <f ca="1">IFERROR(__xludf.DUMMYFUNCTION("""COMPUTED_VALUE"""),97.7)</f>
        <v>97.7</v>
      </c>
      <c r="S14" s="1">
        <f ca="1">IFERROR(__xludf.DUMMYFUNCTION("""COMPUTED_VALUE"""),12)</f>
        <v>12</v>
      </c>
      <c r="T14" s="1">
        <f ca="1">IFERROR(__xludf.DUMMYFUNCTION("""COMPUTED_VALUE"""),-3.2)</f>
        <v>-3.2</v>
      </c>
      <c r="U14" s="1">
        <f ca="1">IFERROR(__xludf.DUMMYFUNCTION("""COMPUTED_VALUE"""),262)</f>
        <v>262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IFERROR(__xludf.DUMMYFUNCTION("""COMPUTED_VALUE"""),"Miami FL2")</f>
        <v>Miami FL2</v>
      </c>
      <c r="C15" s="1" t="str">
        <f ca="1">IFERROR(__xludf.DUMMYFUNCTION("""COMPUTED_VALUE"""),"ACC")</f>
        <v>ACC</v>
      </c>
      <c r="D15" s="1" t="str">
        <f ca="1">IFERROR(__xludf.DUMMYFUNCTION("""COMPUTED_VALUE"""),"29-7")</f>
        <v>29-7</v>
      </c>
      <c r="E15" s="1" t="str">
        <f ca="1">IFERROR(__xludf.DUMMYFUNCTION("""COMPUTED_VALUE"""),"+22.37")</f>
        <v>+22.37</v>
      </c>
      <c r="F15" s="1">
        <f ca="1">IFERROR(__xludf.DUMMYFUNCTION("""COMPUTED_VALUE"""),113.6)</f>
        <v>113.6</v>
      </c>
      <c r="G15" s="1">
        <f ca="1">IFERROR(__xludf.DUMMYFUNCTION("""COMPUTED_VALUE"""),22)</f>
        <v>22</v>
      </c>
      <c r="H15" s="1">
        <f ca="1">IFERROR(__xludf.DUMMYFUNCTION("""COMPUTED_VALUE"""),91.3)</f>
        <v>91.3</v>
      </c>
      <c r="I15" s="1">
        <f ca="1">IFERROR(__xludf.DUMMYFUNCTION("""COMPUTED_VALUE"""),18)</f>
        <v>18</v>
      </c>
      <c r="J15" s="1">
        <f ca="1">IFERROR(__xludf.DUMMYFUNCTION("""COMPUTED_VALUE"""),61.9)</f>
        <v>61.9</v>
      </c>
      <c r="K15" s="1">
        <f ca="1">IFERROR(__xludf.DUMMYFUNCTION("""COMPUTED_VALUE"""),281)</f>
        <v>281</v>
      </c>
      <c r="L15" s="1" t="str">
        <f ca="1">IFERROR(__xludf.DUMMYFUNCTION("""COMPUTED_VALUE"""),"+.028")</f>
        <v>+.028</v>
      </c>
      <c r="M15" s="1">
        <f ca="1">IFERROR(__xludf.DUMMYFUNCTION("""COMPUTED_VALUE"""),108)</f>
        <v>108</v>
      </c>
      <c r="N15" s="1" t="str">
        <f ca="1">IFERROR(__xludf.DUMMYFUNCTION("""COMPUTED_VALUE"""),"+8.41")</f>
        <v>+8.41</v>
      </c>
      <c r="O15" s="1">
        <f ca="1">IFERROR(__xludf.DUMMYFUNCTION("""COMPUTED_VALUE"""),20)</f>
        <v>20</v>
      </c>
      <c r="P15" s="1">
        <f ca="1">IFERROR(__xludf.DUMMYFUNCTION("""COMPUTED_VALUE"""),107.7)</f>
        <v>107.7</v>
      </c>
      <c r="Q15" s="1">
        <f ca="1">IFERROR(__xludf.DUMMYFUNCTION("""COMPUTED_VALUE"""),9)</f>
        <v>9</v>
      </c>
      <c r="R15" s="1">
        <f ca="1">IFERROR(__xludf.DUMMYFUNCTION("""COMPUTED_VALUE"""),99.3)</f>
        <v>99.3</v>
      </c>
      <c r="S15" s="1">
        <f ca="1">IFERROR(__xludf.DUMMYFUNCTION("""COMPUTED_VALUE"""),54)</f>
        <v>54</v>
      </c>
      <c r="T15" s="1" t="str">
        <f ca="1">IFERROR(__xludf.DUMMYFUNCTION("""COMPUTED_VALUE"""),"+4.96")</f>
        <v>+4.96</v>
      </c>
      <c r="U15" s="1">
        <f ca="1">IFERROR(__xludf.DUMMYFUNCTION("""COMPUTED_VALUE"""),42)</f>
        <v>42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IFERROR(__xludf.DUMMYFUNCTION("""COMPUTED_VALUE"""),"Arizona6")</f>
        <v>Arizona6</v>
      </c>
      <c r="C16" s="1" t="str">
        <f ca="1">IFERROR(__xludf.DUMMYFUNCTION("""COMPUTED_VALUE"""),"P12")</f>
        <v>P12</v>
      </c>
      <c r="D16" s="1" t="str">
        <f ca="1">IFERROR(__xludf.DUMMYFUNCTION("""COMPUTED_VALUE"""),"27-8")</f>
        <v>27-8</v>
      </c>
      <c r="E16" s="1" t="str">
        <f ca="1">IFERROR(__xludf.DUMMYFUNCTION("""COMPUTED_VALUE"""),"+21.88")</f>
        <v>+21.88</v>
      </c>
      <c r="F16" s="1">
        <f ca="1">IFERROR(__xludf.DUMMYFUNCTION("""COMPUTED_VALUE"""),115.4)</f>
        <v>115.4</v>
      </c>
      <c r="G16" s="1">
        <f ca="1">IFERROR(__xludf.DUMMYFUNCTION("""COMPUTED_VALUE"""),13)</f>
        <v>13</v>
      </c>
      <c r="H16" s="1">
        <f ca="1">IFERROR(__xludf.DUMMYFUNCTION("""COMPUTED_VALUE"""),93.5)</f>
        <v>93.5</v>
      </c>
      <c r="I16" s="1">
        <f ca="1">IFERROR(__xludf.DUMMYFUNCTION("""COMPUTED_VALUE"""),32)</f>
        <v>32</v>
      </c>
      <c r="J16" s="1">
        <f ca="1">IFERROR(__xludf.DUMMYFUNCTION("""COMPUTED_VALUE"""),65.5)</f>
        <v>65.5</v>
      </c>
      <c r="K16" s="1">
        <f ca="1">IFERROR(__xludf.DUMMYFUNCTION("""COMPUTED_VALUE"""),133)</f>
        <v>133</v>
      </c>
      <c r="L16" s="1">
        <f ca="1">IFERROR(__xludf.DUMMYFUNCTION("""COMPUTED_VALUE"""),-0.012)</f>
        <v>-1.2E-2</v>
      </c>
      <c r="M16" s="1">
        <f ca="1">IFERROR(__xludf.DUMMYFUNCTION("""COMPUTED_VALUE"""),214)</f>
        <v>214</v>
      </c>
      <c r="N16" s="1" t="str">
        <f ca="1">IFERROR(__xludf.DUMMYFUNCTION("""COMPUTED_VALUE"""),"+7.99")</f>
        <v>+7.99</v>
      </c>
      <c r="O16" s="1">
        <f ca="1">IFERROR(__xludf.DUMMYFUNCTION("""COMPUTED_VALUE"""),24)</f>
        <v>24</v>
      </c>
      <c r="P16" s="1">
        <f ca="1">IFERROR(__xludf.DUMMYFUNCTION("""COMPUTED_VALUE"""),106.4)</f>
        <v>106.4</v>
      </c>
      <c r="Q16" s="1">
        <f ca="1">IFERROR(__xludf.DUMMYFUNCTION("""COMPUTED_VALUE"""),29)</f>
        <v>29</v>
      </c>
      <c r="R16" s="1">
        <f ca="1">IFERROR(__xludf.DUMMYFUNCTION("""COMPUTED_VALUE"""),98.5)</f>
        <v>98.5</v>
      </c>
      <c r="S16" s="1">
        <f ca="1">IFERROR(__xludf.DUMMYFUNCTION("""COMPUTED_VALUE"""),27)</f>
        <v>27</v>
      </c>
      <c r="T16" s="1" t="str">
        <f ca="1">IFERROR(__xludf.DUMMYFUNCTION("""COMPUTED_VALUE"""),"+1.45")</f>
        <v>+1.45</v>
      </c>
      <c r="U16" s="1">
        <f ca="1">IFERROR(__xludf.DUMMYFUNCTION("""COMPUTED_VALUE"""),116)</f>
        <v>116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IFERROR(__xludf.DUMMYFUNCTION("""COMPUTED_VALUE"""),"Creighton7")</f>
        <v>Creighton7</v>
      </c>
      <c r="C17" s="1" t="str">
        <f ca="1">IFERROR(__xludf.DUMMYFUNCTION("""COMPUTED_VALUE"""),"MVC")</f>
        <v>MVC</v>
      </c>
      <c r="D17" s="1" t="str">
        <f ca="1">IFERROR(__xludf.DUMMYFUNCTION("""COMPUTED_VALUE"""),"28-8")</f>
        <v>28-8</v>
      </c>
      <c r="E17" s="1" t="str">
        <f ca="1">IFERROR(__xludf.DUMMYFUNCTION("""COMPUTED_VALUE"""),"+21.75")</f>
        <v>+21.75</v>
      </c>
      <c r="F17" s="1">
        <f ca="1">IFERROR(__xludf.DUMMYFUNCTION("""COMPUTED_VALUE"""),118.3)</f>
        <v>118.3</v>
      </c>
      <c r="G17" s="1">
        <f ca="1">IFERROR(__xludf.DUMMYFUNCTION("""COMPUTED_VALUE"""),5)</f>
        <v>5</v>
      </c>
      <c r="H17" s="1">
        <f ca="1">IFERROR(__xludf.DUMMYFUNCTION("""COMPUTED_VALUE"""),96.5)</f>
        <v>96.5</v>
      </c>
      <c r="I17" s="1">
        <f ca="1">IFERROR(__xludf.DUMMYFUNCTION("""COMPUTED_VALUE"""),66)</f>
        <v>66</v>
      </c>
      <c r="J17" s="1">
        <f ca="1">IFERROR(__xludf.DUMMYFUNCTION("""COMPUTED_VALUE"""),63.8)</f>
        <v>63.8</v>
      </c>
      <c r="K17" s="1">
        <f ca="1">IFERROR(__xludf.DUMMYFUNCTION("""COMPUTED_VALUE"""),211)</f>
        <v>211</v>
      </c>
      <c r="L17" s="1">
        <f ca="1">IFERROR(__xludf.DUMMYFUNCTION("""COMPUTED_VALUE"""),-0.009)</f>
        <v>-8.9999999999999993E-3</v>
      </c>
      <c r="M17" s="1">
        <f ca="1">IFERROR(__xludf.DUMMYFUNCTION("""COMPUTED_VALUE"""),208)</f>
        <v>208</v>
      </c>
      <c r="N17" s="1" t="str">
        <f ca="1">IFERROR(__xludf.DUMMYFUNCTION("""COMPUTED_VALUE"""),"+5.73")</f>
        <v>+5.73</v>
      </c>
      <c r="O17" s="1">
        <f ca="1">IFERROR(__xludf.DUMMYFUNCTION("""COMPUTED_VALUE"""),67)</f>
        <v>67</v>
      </c>
      <c r="P17" s="1">
        <f ca="1">IFERROR(__xludf.DUMMYFUNCTION("""COMPUTED_VALUE"""),105.5)</f>
        <v>105.5</v>
      </c>
      <c r="Q17" s="1">
        <f ca="1">IFERROR(__xludf.DUMMYFUNCTION("""COMPUTED_VALUE"""),74)</f>
        <v>74</v>
      </c>
      <c r="R17" s="1">
        <f ca="1">IFERROR(__xludf.DUMMYFUNCTION("""COMPUTED_VALUE"""),99.7)</f>
        <v>99.7</v>
      </c>
      <c r="S17" s="1">
        <f ca="1">IFERROR(__xludf.DUMMYFUNCTION("""COMPUTED_VALUE"""),65)</f>
        <v>65</v>
      </c>
      <c r="T17" s="1" t="str">
        <f ca="1">IFERROR(__xludf.DUMMYFUNCTION("""COMPUTED_VALUE"""),"+1.63")</f>
        <v>+1.63</v>
      </c>
      <c r="U17" s="1">
        <f ca="1">IFERROR(__xludf.DUMMYFUNCTION("""COMPUTED_VALUE"""),113)</f>
        <v>113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IFERROR(__xludf.DUMMYFUNCTION("""COMPUTED_VALUE"""),"Georgetown2")</f>
        <v>Georgetown2</v>
      </c>
      <c r="C18" s="1" t="str">
        <f ca="1">IFERROR(__xludf.DUMMYFUNCTION("""COMPUTED_VALUE"""),"BE")</f>
        <v>BE</v>
      </c>
      <c r="D18" s="1" t="str">
        <f ca="1">IFERROR(__xludf.DUMMYFUNCTION("""COMPUTED_VALUE"""),"25-7")</f>
        <v>25-7</v>
      </c>
      <c r="E18" s="1" t="str">
        <f ca="1">IFERROR(__xludf.DUMMYFUNCTION("""COMPUTED_VALUE"""),"+21.24")</f>
        <v>+21.24</v>
      </c>
      <c r="F18" s="1">
        <f ca="1">IFERROR(__xludf.DUMMYFUNCTION("""COMPUTED_VALUE"""),107.6)</f>
        <v>107.6</v>
      </c>
      <c r="G18" s="1">
        <f ca="1">IFERROR(__xludf.DUMMYFUNCTION("""COMPUTED_VALUE"""),80)</f>
        <v>80</v>
      </c>
      <c r="H18" s="1">
        <f ca="1">IFERROR(__xludf.DUMMYFUNCTION("""COMPUTED_VALUE"""),86.4)</f>
        <v>86.4</v>
      </c>
      <c r="I18" s="1">
        <f ca="1">IFERROR(__xludf.DUMMYFUNCTION("""COMPUTED_VALUE"""),4)</f>
        <v>4</v>
      </c>
      <c r="J18" s="1">
        <f ca="1">IFERROR(__xludf.DUMMYFUNCTION("""COMPUTED_VALUE"""),61.2)</f>
        <v>61.2</v>
      </c>
      <c r="K18" s="1">
        <f ca="1">IFERROR(__xludf.DUMMYFUNCTION("""COMPUTED_VALUE"""),300)</f>
        <v>300</v>
      </c>
      <c r="L18" s="1" t="str">
        <f ca="1">IFERROR(__xludf.DUMMYFUNCTION("""COMPUTED_VALUE"""),"+.038")</f>
        <v>+.038</v>
      </c>
      <c r="M18" s="1">
        <f ca="1">IFERROR(__xludf.DUMMYFUNCTION("""COMPUTED_VALUE"""),82)</f>
        <v>82</v>
      </c>
      <c r="N18" s="1" t="str">
        <f ca="1">IFERROR(__xludf.DUMMYFUNCTION("""COMPUTED_VALUE"""),"+7.42")</f>
        <v>+7.42</v>
      </c>
      <c r="O18" s="1">
        <f ca="1">IFERROR(__xludf.DUMMYFUNCTION("""COMPUTED_VALUE"""),33)</f>
        <v>33</v>
      </c>
      <c r="P18" s="1">
        <f ca="1">IFERROR(__xludf.DUMMYFUNCTION("""COMPUTED_VALUE"""),106.3)</f>
        <v>106.3</v>
      </c>
      <c r="Q18" s="1">
        <f ca="1">IFERROR(__xludf.DUMMYFUNCTION("""COMPUTED_VALUE"""),34)</f>
        <v>34</v>
      </c>
      <c r="R18" s="1">
        <f ca="1">IFERROR(__xludf.DUMMYFUNCTION("""COMPUTED_VALUE"""),98.9)</f>
        <v>98.9</v>
      </c>
      <c r="S18" s="1">
        <f ca="1">IFERROR(__xludf.DUMMYFUNCTION("""COMPUTED_VALUE"""),43)</f>
        <v>43</v>
      </c>
      <c r="T18" s="1">
        <f ca="1">IFERROR(__xludf.DUMMYFUNCTION("""COMPUTED_VALUE"""),-6.15)</f>
        <v>-6.15</v>
      </c>
      <c r="U18" s="1">
        <f ca="1">IFERROR(__xludf.DUMMYFUNCTION("""COMPUTED_VALUE"""),312)</f>
        <v>312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IFERROR(__xludf.DUMMYFUNCTION("""COMPUTED_VALUE"""),"Wichita St.9")</f>
        <v>Wichita St.9</v>
      </c>
      <c r="C19" s="1" t="str">
        <f ca="1">IFERROR(__xludf.DUMMYFUNCTION("""COMPUTED_VALUE"""),"MVC")</f>
        <v>MVC</v>
      </c>
      <c r="D19" s="1" t="str">
        <f ca="1">IFERROR(__xludf.DUMMYFUNCTION("""COMPUTED_VALUE"""),"30-9")</f>
        <v>30-9</v>
      </c>
      <c r="E19" s="1" t="str">
        <f ca="1">IFERROR(__xludf.DUMMYFUNCTION("""COMPUTED_VALUE"""),"+20.31")</f>
        <v>+20.31</v>
      </c>
      <c r="F19" s="1">
        <f ca="1">IFERROR(__xludf.DUMMYFUNCTION("""COMPUTED_VALUE"""),111.8)</f>
        <v>111.8</v>
      </c>
      <c r="G19" s="1">
        <f ca="1">IFERROR(__xludf.DUMMYFUNCTION("""COMPUTED_VALUE"""),35)</f>
        <v>35</v>
      </c>
      <c r="H19" s="1">
        <f ca="1">IFERROR(__xludf.DUMMYFUNCTION("""COMPUTED_VALUE"""),91.5)</f>
        <v>91.5</v>
      </c>
      <c r="I19" s="1">
        <f ca="1">IFERROR(__xludf.DUMMYFUNCTION("""COMPUTED_VALUE"""),20)</f>
        <v>20</v>
      </c>
      <c r="J19" s="1">
        <f ca="1">IFERROR(__xludf.DUMMYFUNCTION("""COMPUTED_VALUE"""),63.8)</f>
        <v>63.8</v>
      </c>
      <c r="K19" s="1">
        <f ca="1">IFERROR(__xludf.DUMMYFUNCTION("""COMPUTED_VALUE"""),208)</f>
        <v>208</v>
      </c>
      <c r="L19" s="1">
        <f ca="1">IFERROR(__xludf.DUMMYFUNCTION("""COMPUTED_VALUE"""),-0.002)</f>
        <v>-2E-3</v>
      </c>
      <c r="M19" s="1">
        <f ca="1">IFERROR(__xludf.DUMMYFUNCTION("""COMPUTED_VALUE"""),185)</f>
        <v>185</v>
      </c>
      <c r="N19" s="1" t="str">
        <f ca="1">IFERROR(__xludf.DUMMYFUNCTION("""COMPUTED_VALUE"""),"+6.71")</f>
        <v>+6.71</v>
      </c>
      <c r="O19" s="1">
        <f ca="1">IFERROR(__xludf.DUMMYFUNCTION("""COMPUTED_VALUE"""),51)</f>
        <v>51</v>
      </c>
      <c r="P19" s="1">
        <f ca="1">IFERROR(__xludf.DUMMYFUNCTION("""COMPUTED_VALUE"""),106.9)</f>
        <v>106.9</v>
      </c>
      <c r="Q19" s="1">
        <f ca="1">IFERROR(__xludf.DUMMYFUNCTION("""COMPUTED_VALUE"""),17)</f>
        <v>17</v>
      </c>
      <c r="R19" s="1">
        <f ca="1">IFERROR(__xludf.DUMMYFUNCTION("""COMPUTED_VALUE"""),100.2)</f>
        <v>100.2</v>
      </c>
      <c r="S19" s="1">
        <f ca="1">IFERROR(__xludf.DUMMYFUNCTION("""COMPUTED_VALUE"""),79)</f>
        <v>79</v>
      </c>
      <c r="T19" s="1" t="str">
        <f ca="1">IFERROR(__xludf.DUMMYFUNCTION("""COMPUTED_VALUE"""),"+0.17")</f>
        <v>+0.17</v>
      </c>
      <c r="U19" s="1">
        <f ca="1">IFERROR(__xludf.DUMMYFUNCTION("""COMPUTED_VALUE"""),152)</f>
        <v>152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IFERROR(__xludf.DUMMYFUNCTION("""COMPUTED_VALUE"""),"VCU5")</f>
        <v>VCU5</v>
      </c>
      <c r="C20" s="1" t="str">
        <f ca="1">IFERROR(__xludf.DUMMYFUNCTION("""COMPUTED_VALUE"""),"A10")</f>
        <v>A10</v>
      </c>
      <c r="D20" s="1" t="str">
        <f ca="1">IFERROR(__xludf.DUMMYFUNCTION("""COMPUTED_VALUE"""),"27-9")</f>
        <v>27-9</v>
      </c>
      <c r="E20" s="1" t="str">
        <f ca="1">IFERROR(__xludf.DUMMYFUNCTION("""COMPUTED_VALUE"""),"+20.28")</f>
        <v>+20.28</v>
      </c>
      <c r="F20" s="1">
        <f ca="1">IFERROR(__xludf.DUMMYFUNCTION("""COMPUTED_VALUE"""),114)</f>
        <v>114</v>
      </c>
      <c r="G20" s="1">
        <f ca="1">IFERROR(__xludf.DUMMYFUNCTION("""COMPUTED_VALUE"""),20)</f>
        <v>20</v>
      </c>
      <c r="H20" s="1">
        <f ca="1">IFERROR(__xludf.DUMMYFUNCTION("""COMPUTED_VALUE"""),93.7)</f>
        <v>93.7</v>
      </c>
      <c r="I20" s="1">
        <f ca="1">IFERROR(__xludf.DUMMYFUNCTION("""COMPUTED_VALUE"""),36)</f>
        <v>36</v>
      </c>
      <c r="J20" s="1">
        <f ca="1">IFERROR(__xludf.DUMMYFUNCTION("""COMPUTED_VALUE"""),66.4)</f>
        <v>66.400000000000006</v>
      </c>
      <c r="K20" s="1">
        <f ca="1">IFERROR(__xludf.DUMMYFUNCTION("""COMPUTED_VALUE"""),91)</f>
        <v>91</v>
      </c>
      <c r="L20" s="1" t="str">
        <f ca="1">IFERROR(__xludf.DUMMYFUNCTION("""COMPUTED_VALUE"""),"+.002")</f>
        <v>+.002</v>
      </c>
      <c r="M20" s="1">
        <f ca="1">IFERROR(__xludf.DUMMYFUNCTION("""COMPUTED_VALUE"""),171)</f>
        <v>171</v>
      </c>
      <c r="N20" s="1" t="str">
        <f ca="1">IFERROR(__xludf.DUMMYFUNCTION("""COMPUTED_VALUE"""),"+5.09")</f>
        <v>+5.09</v>
      </c>
      <c r="O20" s="1">
        <f ca="1">IFERROR(__xludf.DUMMYFUNCTION("""COMPUTED_VALUE"""),76)</f>
        <v>76</v>
      </c>
      <c r="P20" s="1">
        <f ca="1">IFERROR(__xludf.DUMMYFUNCTION("""COMPUTED_VALUE"""),105.8)</f>
        <v>105.8</v>
      </c>
      <c r="Q20" s="1">
        <f ca="1">IFERROR(__xludf.DUMMYFUNCTION("""COMPUTED_VALUE"""),56)</f>
        <v>56</v>
      </c>
      <c r="R20" s="1">
        <f ca="1">IFERROR(__xludf.DUMMYFUNCTION("""COMPUTED_VALUE"""),100.7)</f>
        <v>100.7</v>
      </c>
      <c r="S20" s="1">
        <f ca="1">IFERROR(__xludf.DUMMYFUNCTION("""COMPUTED_VALUE"""),97)</f>
        <v>97</v>
      </c>
      <c r="T20" s="1">
        <f ca="1">IFERROR(__xludf.DUMMYFUNCTION("""COMPUTED_VALUE"""),-0.22)</f>
        <v>-0.22</v>
      </c>
      <c r="U20" s="1">
        <f ca="1">IFERROR(__xludf.DUMMYFUNCTION("""COMPUTED_VALUE"""),161)</f>
        <v>161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IFERROR(__xludf.DUMMYFUNCTION("""COMPUTED_VALUE"""),"Saint Louis4")</f>
        <v>Saint Louis4</v>
      </c>
      <c r="C21" s="1" t="str">
        <f ca="1">IFERROR(__xludf.DUMMYFUNCTION("""COMPUTED_VALUE"""),"A10")</f>
        <v>A10</v>
      </c>
      <c r="D21" s="1" t="str">
        <f ca="1">IFERROR(__xludf.DUMMYFUNCTION("""COMPUTED_VALUE"""),"28-7")</f>
        <v>28-7</v>
      </c>
      <c r="E21" s="1" t="str">
        <f ca="1">IFERROR(__xludf.DUMMYFUNCTION("""COMPUTED_VALUE"""),"+20.01")</f>
        <v>+20.01</v>
      </c>
      <c r="F21" s="1">
        <f ca="1">IFERROR(__xludf.DUMMYFUNCTION("""COMPUTED_VALUE"""),108.6)</f>
        <v>108.6</v>
      </c>
      <c r="G21" s="1">
        <f ca="1">IFERROR(__xludf.DUMMYFUNCTION("""COMPUTED_VALUE"""),71)</f>
        <v>71</v>
      </c>
      <c r="H21" s="1">
        <f ca="1">IFERROR(__xludf.DUMMYFUNCTION("""COMPUTED_VALUE"""),88.6)</f>
        <v>88.6</v>
      </c>
      <c r="I21" s="1">
        <f ca="1">IFERROR(__xludf.DUMMYFUNCTION("""COMPUTED_VALUE"""),8)</f>
        <v>8</v>
      </c>
      <c r="J21" s="1">
        <f ca="1">IFERROR(__xludf.DUMMYFUNCTION("""COMPUTED_VALUE"""),63.8)</f>
        <v>63.8</v>
      </c>
      <c r="K21" s="1">
        <f ca="1">IFERROR(__xludf.DUMMYFUNCTION("""COMPUTED_VALUE"""),213)</f>
        <v>213</v>
      </c>
      <c r="L21" s="1" t="str">
        <f ca="1">IFERROR(__xludf.DUMMYFUNCTION("""COMPUTED_VALUE"""),"+.000")</f>
        <v>+.000</v>
      </c>
      <c r="M21" s="1">
        <f ca="1">IFERROR(__xludf.DUMMYFUNCTION("""COMPUTED_VALUE"""),179)</f>
        <v>179</v>
      </c>
      <c r="N21" s="1" t="str">
        <f ca="1">IFERROR(__xludf.DUMMYFUNCTION("""COMPUTED_VALUE"""),"+3.91")</f>
        <v>+3.91</v>
      </c>
      <c r="O21" s="1">
        <f ca="1">IFERROR(__xludf.DUMMYFUNCTION("""COMPUTED_VALUE"""),97)</f>
        <v>97</v>
      </c>
      <c r="P21" s="1">
        <f ca="1">IFERROR(__xludf.DUMMYFUNCTION("""COMPUTED_VALUE"""),104.5)</f>
        <v>104.5</v>
      </c>
      <c r="Q21" s="1">
        <f ca="1">IFERROR(__xludf.DUMMYFUNCTION("""COMPUTED_VALUE"""),101)</f>
        <v>101</v>
      </c>
      <c r="R21" s="1">
        <f ca="1">IFERROR(__xludf.DUMMYFUNCTION("""COMPUTED_VALUE"""),100.6)</f>
        <v>100.6</v>
      </c>
      <c r="S21" s="1">
        <f ca="1">IFERROR(__xludf.DUMMYFUNCTION("""COMPUTED_VALUE"""),91)</f>
        <v>91</v>
      </c>
      <c r="T21" s="1">
        <f ca="1">IFERROR(__xludf.DUMMYFUNCTION("""COMPUTED_VALUE"""),-3.98)</f>
        <v>-3.98</v>
      </c>
      <c r="U21" s="1">
        <f ca="1">IFERROR(__xludf.DUMMYFUNCTION("""COMPUTED_VALUE"""),273)</f>
        <v>273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IFERROR(__xludf.DUMMYFUNCTION("""COMPUTED_VALUE"""),"Minnesota11")</f>
        <v>Minnesota11</v>
      </c>
      <c r="C22" s="1" t="str">
        <f ca="1">IFERROR(__xludf.DUMMYFUNCTION("""COMPUTED_VALUE"""),"B10")</f>
        <v>B10</v>
      </c>
      <c r="D22" s="1" t="str">
        <f ca="1">IFERROR(__xludf.DUMMYFUNCTION("""COMPUTED_VALUE"""),"21-13")</f>
        <v>21-13</v>
      </c>
      <c r="E22" s="1" t="str">
        <f ca="1">IFERROR(__xludf.DUMMYFUNCTION("""COMPUTED_VALUE"""),"+19.85")</f>
        <v>+19.85</v>
      </c>
      <c r="F22" s="1">
        <f ca="1">IFERROR(__xludf.DUMMYFUNCTION("""COMPUTED_VALUE"""),114.8)</f>
        <v>114.8</v>
      </c>
      <c r="G22" s="1">
        <f ca="1">IFERROR(__xludf.DUMMYFUNCTION("""COMPUTED_VALUE"""),16)</f>
        <v>16</v>
      </c>
      <c r="H22" s="1">
        <f ca="1">IFERROR(__xludf.DUMMYFUNCTION("""COMPUTED_VALUE"""),95)</f>
        <v>95</v>
      </c>
      <c r="I22" s="1">
        <f ca="1">IFERROR(__xludf.DUMMYFUNCTION("""COMPUTED_VALUE"""),46)</f>
        <v>46</v>
      </c>
      <c r="J22" s="1">
        <f ca="1">IFERROR(__xludf.DUMMYFUNCTION("""COMPUTED_VALUE"""),62.3)</f>
        <v>62.3</v>
      </c>
      <c r="K22" s="1">
        <f ca="1">IFERROR(__xludf.DUMMYFUNCTION("""COMPUTED_VALUE"""),274)</f>
        <v>274</v>
      </c>
      <c r="L22" s="1">
        <f ca="1">IFERROR(__xludf.DUMMYFUNCTION("""COMPUTED_VALUE"""),-0.036)</f>
        <v>-3.5999999999999997E-2</v>
      </c>
      <c r="M22" s="1">
        <f ca="1">IFERROR(__xludf.DUMMYFUNCTION("""COMPUTED_VALUE"""),273)</f>
        <v>273</v>
      </c>
      <c r="N22" s="1" t="str">
        <f ca="1">IFERROR(__xludf.DUMMYFUNCTION("""COMPUTED_VALUE"""),"+11.22")</f>
        <v>+11.22</v>
      </c>
      <c r="O22" s="1">
        <f ca="1">IFERROR(__xludf.DUMMYFUNCTION("""COMPUTED_VALUE"""),2)</f>
        <v>2</v>
      </c>
      <c r="P22" s="1">
        <f ca="1">IFERROR(__xludf.DUMMYFUNCTION("""COMPUTED_VALUE"""),108.5)</f>
        <v>108.5</v>
      </c>
      <c r="Q22" s="1">
        <f ca="1">IFERROR(__xludf.DUMMYFUNCTION("""COMPUTED_VALUE"""),3)</f>
        <v>3</v>
      </c>
      <c r="R22" s="1">
        <f ca="1">IFERROR(__xludf.DUMMYFUNCTION("""COMPUTED_VALUE"""),97.3)</f>
        <v>97.3</v>
      </c>
      <c r="S22" s="1">
        <f ca="1">IFERROR(__xludf.DUMMYFUNCTION("""COMPUTED_VALUE"""),7)</f>
        <v>7</v>
      </c>
      <c r="T22" s="1" t="str">
        <f ca="1">IFERROR(__xludf.DUMMYFUNCTION("""COMPUTED_VALUE"""),"+2.07")</f>
        <v>+2.07</v>
      </c>
      <c r="U22" s="1">
        <f ca="1">IFERROR(__xludf.DUMMYFUNCTION("""COMPUTED_VALUE"""),103)</f>
        <v>103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IFERROR(__xludf.DUMMYFUNCTION("""COMPUTED_VALUE"""),"Saint Mary's11")</f>
        <v>Saint Mary's11</v>
      </c>
      <c r="C23" s="1" t="str">
        <f ca="1">IFERROR(__xludf.DUMMYFUNCTION("""COMPUTED_VALUE"""),"WCC")</f>
        <v>WCC</v>
      </c>
      <c r="D23" s="1" t="str">
        <f ca="1">IFERROR(__xludf.DUMMYFUNCTION("""COMPUTED_VALUE"""),"28-7")</f>
        <v>28-7</v>
      </c>
      <c r="E23" s="1" t="str">
        <f ca="1">IFERROR(__xludf.DUMMYFUNCTION("""COMPUTED_VALUE"""),"+19.33")</f>
        <v>+19.33</v>
      </c>
      <c r="F23" s="1">
        <f ca="1">IFERROR(__xludf.DUMMYFUNCTION("""COMPUTED_VALUE"""),116.1)</f>
        <v>116.1</v>
      </c>
      <c r="G23" s="1">
        <f ca="1">IFERROR(__xludf.DUMMYFUNCTION("""COMPUTED_VALUE"""),11)</f>
        <v>11</v>
      </c>
      <c r="H23" s="1">
        <f ca="1">IFERROR(__xludf.DUMMYFUNCTION("""COMPUTED_VALUE"""),96.8)</f>
        <v>96.8</v>
      </c>
      <c r="I23" s="1">
        <f ca="1">IFERROR(__xludf.DUMMYFUNCTION("""COMPUTED_VALUE"""),73)</f>
        <v>73</v>
      </c>
      <c r="J23" s="1">
        <f ca="1">IFERROR(__xludf.DUMMYFUNCTION("""COMPUTED_VALUE"""),62.9)</f>
        <v>62.9</v>
      </c>
      <c r="K23" s="1">
        <f ca="1">IFERROR(__xludf.DUMMYFUNCTION("""COMPUTED_VALUE"""),246)</f>
        <v>246</v>
      </c>
      <c r="L23" s="1" t="str">
        <f ca="1">IFERROR(__xludf.DUMMYFUNCTION("""COMPUTED_VALUE"""),"+.023")</f>
        <v>+.023</v>
      </c>
      <c r="M23" s="1">
        <f ca="1">IFERROR(__xludf.DUMMYFUNCTION("""COMPUTED_VALUE"""),122)</f>
        <v>122</v>
      </c>
      <c r="N23" s="1" t="str">
        <f ca="1">IFERROR(__xludf.DUMMYFUNCTION("""COMPUTED_VALUE"""),"+3.18")</f>
        <v>+3.18</v>
      </c>
      <c r="O23" s="1">
        <f ca="1">IFERROR(__xludf.DUMMYFUNCTION("""COMPUTED_VALUE"""),109)</f>
        <v>109</v>
      </c>
      <c r="P23" s="1">
        <f ca="1">IFERROR(__xludf.DUMMYFUNCTION("""COMPUTED_VALUE"""),104.9)</f>
        <v>104.9</v>
      </c>
      <c r="Q23" s="1">
        <f ca="1">IFERROR(__xludf.DUMMYFUNCTION("""COMPUTED_VALUE"""),92)</f>
        <v>92</v>
      </c>
      <c r="R23" s="1">
        <f ca="1">IFERROR(__xludf.DUMMYFUNCTION("""COMPUTED_VALUE"""),101.7)</f>
        <v>101.7</v>
      </c>
      <c r="S23" s="1">
        <f ca="1">IFERROR(__xludf.DUMMYFUNCTION("""COMPUTED_VALUE"""),117)</f>
        <v>117</v>
      </c>
      <c r="T23" s="1">
        <f ca="1">IFERROR(__xludf.DUMMYFUNCTION("""COMPUTED_VALUE"""),-0.49)</f>
        <v>-0.49</v>
      </c>
      <c r="U23" s="1">
        <f ca="1">IFERROR(__xludf.DUMMYFUNCTION("""COMPUTED_VALUE"""),172)</f>
        <v>172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IFERROR(__xludf.DUMMYFUNCTION("""COMPUTED_VALUE"""),"Colorado St.8")</f>
        <v>Colorado St.8</v>
      </c>
      <c r="C24" s="1" t="str">
        <f ca="1">IFERROR(__xludf.DUMMYFUNCTION("""COMPUTED_VALUE"""),"MWC")</f>
        <v>MWC</v>
      </c>
      <c r="D24" s="1" t="str">
        <f ca="1">IFERROR(__xludf.DUMMYFUNCTION("""COMPUTED_VALUE"""),"26-9")</f>
        <v>26-9</v>
      </c>
      <c r="E24" s="1" t="str">
        <f ca="1">IFERROR(__xludf.DUMMYFUNCTION("""COMPUTED_VALUE"""),"+19.12")</f>
        <v>+19.12</v>
      </c>
      <c r="F24" s="1">
        <f ca="1">IFERROR(__xludf.DUMMYFUNCTION("""COMPUTED_VALUE"""),117.9)</f>
        <v>117.9</v>
      </c>
      <c r="G24" s="1">
        <f ca="1">IFERROR(__xludf.DUMMYFUNCTION("""COMPUTED_VALUE"""),6)</f>
        <v>6</v>
      </c>
      <c r="H24" s="1">
        <f ca="1">IFERROR(__xludf.DUMMYFUNCTION("""COMPUTED_VALUE"""),98.8)</f>
        <v>98.8</v>
      </c>
      <c r="I24" s="1">
        <f ca="1">IFERROR(__xludf.DUMMYFUNCTION("""COMPUTED_VALUE"""),104)</f>
        <v>104</v>
      </c>
      <c r="J24" s="1">
        <f ca="1">IFERROR(__xludf.DUMMYFUNCTION("""COMPUTED_VALUE"""),63.8)</f>
        <v>63.8</v>
      </c>
      <c r="K24" s="1">
        <f ca="1">IFERROR(__xludf.DUMMYFUNCTION("""COMPUTED_VALUE"""),210)</f>
        <v>210</v>
      </c>
      <c r="L24" s="1" t="str">
        <f ca="1">IFERROR(__xludf.DUMMYFUNCTION("""COMPUTED_VALUE"""),"+.020")</f>
        <v>+.020</v>
      </c>
      <c r="M24" s="1">
        <f ca="1">IFERROR(__xludf.DUMMYFUNCTION("""COMPUTED_VALUE"""),133)</f>
        <v>133</v>
      </c>
      <c r="N24" s="1" t="str">
        <f ca="1">IFERROR(__xludf.DUMMYFUNCTION("""COMPUTED_VALUE"""),"+7.17")</f>
        <v>+7.17</v>
      </c>
      <c r="O24" s="1">
        <f ca="1">IFERROR(__xludf.DUMMYFUNCTION("""COMPUTED_VALUE"""),37)</f>
        <v>37</v>
      </c>
      <c r="P24" s="1">
        <f ca="1">IFERROR(__xludf.DUMMYFUNCTION("""COMPUTED_VALUE"""),105.8)</f>
        <v>105.8</v>
      </c>
      <c r="Q24" s="1">
        <f ca="1">IFERROR(__xludf.DUMMYFUNCTION("""COMPUTED_VALUE"""),57)</f>
        <v>57</v>
      </c>
      <c r="R24" s="1">
        <f ca="1">IFERROR(__xludf.DUMMYFUNCTION("""COMPUTED_VALUE"""),98.6)</f>
        <v>98.6</v>
      </c>
      <c r="S24" s="1">
        <f ca="1">IFERROR(__xludf.DUMMYFUNCTION("""COMPUTED_VALUE"""),32)</f>
        <v>32</v>
      </c>
      <c r="T24" s="1">
        <f ca="1">IFERROR(__xludf.DUMMYFUNCTION("""COMPUTED_VALUE"""),-0.49)</f>
        <v>-0.49</v>
      </c>
      <c r="U24" s="1">
        <f ca="1">IFERROR(__xludf.DUMMYFUNCTION("""COMPUTED_VALUE"""),173)</f>
        <v>173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IFERROR(__xludf.DUMMYFUNCTION("""COMPUTED_VALUE"""),"New Mexico3")</f>
        <v>New Mexico3</v>
      </c>
      <c r="C25" s="1" t="str">
        <f ca="1">IFERROR(__xludf.DUMMYFUNCTION("""COMPUTED_VALUE"""),"MWC")</f>
        <v>MWC</v>
      </c>
      <c r="D25" s="1" t="str">
        <f ca="1">IFERROR(__xludf.DUMMYFUNCTION("""COMPUTED_VALUE"""),"29-6")</f>
        <v>29-6</v>
      </c>
      <c r="E25" s="1" t="str">
        <f ca="1">IFERROR(__xludf.DUMMYFUNCTION("""COMPUTED_VALUE"""),"+19.02")</f>
        <v>+19.02</v>
      </c>
      <c r="F25" s="1">
        <f ca="1">IFERROR(__xludf.DUMMYFUNCTION("""COMPUTED_VALUE"""),109.9)</f>
        <v>109.9</v>
      </c>
      <c r="G25" s="1">
        <f ca="1">IFERROR(__xludf.DUMMYFUNCTION("""COMPUTED_VALUE"""),53)</f>
        <v>53</v>
      </c>
      <c r="H25" s="1">
        <f ca="1">IFERROR(__xludf.DUMMYFUNCTION("""COMPUTED_VALUE"""),90.9)</f>
        <v>90.9</v>
      </c>
      <c r="I25" s="1">
        <f ca="1">IFERROR(__xludf.DUMMYFUNCTION("""COMPUTED_VALUE"""),16)</f>
        <v>16</v>
      </c>
      <c r="J25" s="1">
        <f ca="1">IFERROR(__xludf.DUMMYFUNCTION("""COMPUTED_VALUE"""),63.7)</f>
        <v>63.7</v>
      </c>
      <c r="K25" s="1">
        <f ca="1">IFERROR(__xludf.DUMMYFUNCTION("""COMPUTED_VALUE"""),214)</f>
        <v>214</v>
      </c>
      <c r="L25" s="1" t="str">
        <f ca="1">IFERROR(__xludf.DUMMYFUNCTION("""COMPUTED_VALUE"""),"+.073")</f>
        <v>+.073</v>
      </c>
      <c r="M25" s="1">
        <f ca="1">IFERROR(__xludf.DUMMYFUNCTION("""COMPUTED_VALUE"""),27)</f>
        <v>27</v>
      </c>
      <c r="N25" s="1" t="str">
        <f ca="1">IFERROR(__xludf.DUMMYFUNCTION("""COMPUTED_VALUE"""),"+7.98")</f>
        <v>+7.98</v>
      </c>
      <c r="O25" s="1">
        <f ca="1">IFERROR(__xludf.DUMMYFUNCTION("""COMPUTED_VALUE"""),25)</f>
        <v>25</v>
      </c>
      <c r="P25" s="1">
        <f ca="1">IFERROR(__xludf.DUMMYFUNCTION("""COMPUTED_VALUE"""),106.4)</f>
        <v>106.4</v>
      </c>
      <c r="Q25" s="1">
        <f ca="1">IFERROR(__xludf.DUMMYFUNCTION("""COMPUTED_VALUE"""),31)</f>
        <v>31</v>
      </c>
      <c r="R25" s="1">
        <f ca="1">IFERROR(__xludf.DUMMYFUNCTION("""COMPUTED_VALUE"""),98.4)</f>
        <v>98.4</v>
      </c>
      <c r="S25" s="1">
        <f ca="1">IFERROR(__xludf.DUMMYFUNCTION("""COMPUTED_VALUE"""),25)</f>
        <v>25</v>
      </c>
      <c r="T25" s="1" t="str">
        <f ca="1">IFERROR(__xludf.DUMMYFUNCTION("""COMPUTED_VALUE"""),"+4.42")</f>
        <v>+4.42</v>
      </c>
      <c r="U25" s="1">
        <f ca="1">IFERROR(__xludf.DUMMYFUNCTION("""COMPUTED_VALUE"""),51)</f>
        <v>51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IFERROR(__xludf.DUMMYFUNCTION("""COMPUTED_VALUE"""),"Oklahoma St.5")</f>
        <v>Oklahoma St.5</v>
      </c>
      <c r="C26" s="1" t="str">
        <f ca="1">IFERROR(__xludf.DUMMYFUNCTION("""COMPUTED_VALUE"""),"B12")</f>
        <v>B12</v>
      </c>
      <c r="D26" s="1" t="str">
        <f ca="1">IFERROR(__xludf.DUMMYFUNCTION("""COMPUTED_VALUE"""),"24-9")</f>
        <v>24-9</v>
      </c>
      <c r="E26" s="1" t="str">
        <f ca="1">IFERROR(__xludf.DUMMYFUNCTION("""COMPUTED_VALUE"""),"+18.69")</f>
        <v>+18.69</v>
      </c>
      <c r="F26" s="1">
        <f ca="1">IFERROR(__xludf.DUMMYFUNCTION("""COMPUTED_VALUE"""),109)</f>
        <v>109</v>
      </c>
      <c r="G26" s="1">
        <f ca="1">IFERROR(__xludf.DUMMYFUNCTION("""COMPUTED_VALUE"""),66)</f>
        <v>66</v>
      </c>
      <c r="H26" s="1">
        <f ca="1">IFERROR(__xludf.DUMMYFUNCTION("""COMPUTED_VALUE"""),90.3)</f>
        <v>90.3</v>
      </c>
      <c r="I26" s="1">
        <f ca="1">IFERROR(__xludf.DUMMYFUNCTION("""COMPUTED_VALUE"""),14)</f>
        <v>14</v>
      </c>
      <c r="J26" s="1">
        <f ca="1">IFERROR(__xludf.DUMMYFUNCTION("""COMPUTED_VALUE"""),66.1)</f>
        <v>66.099999999999994</v>
      </c>
      <c r="K26" s="1">
        <f ca="1">IFERROR(__xludf.DUMMYFUNCTION("""COMPUTED_VALUE"""),104)</f>
        <v>104</v>
      </c>
      <c r="L26" s="1">
        <f ca="1">IFERROR(__xludf.DUMMYFUNCTION("""COMPUTED_VALUE"""),-0.016)</f>
        <v>-1.6E-2</v>
      </c>
      <c r="M26" s="1">
        <f ca="1">IFERROR(__xludf.DUMMYFUNCTION("""COMPUTED_VALUE"""),229)</f>
        <v>229</v>
      </c>
      <c r="N26" s="1" t="str">
        <f ca="1">IFERROR(__xludf.DUMMYFUNCTION("""COMPUTED_VALUE"""),"+6.38")</f>
        <v>+6.38</v>
      </c>
      <c r="O26" s="1">
        <f ca="1">IFERROR(__xludf.DUMMYFUNCTION("""COMPUTED_VALUE"""),57)</f>
        <v>57</v>
      </c>
      <c r="P26" s="1">
        <f ca="1">IFERROR(__xludf.DUMMYFUNCTION("""COMPUTED_VALUE"""),106.8)</f>
        <v>106.8</v>
      </c>
      <c r="Q26" s="1">
        <f ca="1">IFERROR(__xludf.DUMMYFUNCTION("""COMPUTED_VALUE"""),22)</f>
        <v>22</v>
      </c>
      <c r="R26" s="1">
        <f ca="1">IFERROR(__xludf.DUMMYFUNCTION("""COMPUTED_VALUE"""),100.4)</f>
        <v>100.4</v>
      </c>
      <c r="S26" s="1">
        <f ca="1">IFERROR(__xludf.DUMMYFUNCTION("""COMPUTED_VALUE"""),86)</f>
        <v>86</v>
      </c>
      <c r="T26" s="1">
        <f ca="1">IFERROR(__xludf.DUMMYFUNCTION("""COMPUTED_VALUE"""),-2.26)</f>
        <v>-2.2599999999999998</v>
      </c>
      <c r="U26" s="1">
        <f ca="1">IFERROR(__xludf.DUMMYFUNCTION("""COMPUTED_VALUE"""),235)</f>
        <v>235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IFERROR(__xludf.DUMMYFUNCTION("""COMPUTED_VALUE"""),"Missouri9")</f>
        <v>Missouri9</v>
      </c>
      <c r="C27" s="1" t="str">
        <f ca="1">IFERROR(__xludf.DUMMYFUNCTION("""COMPUTED_VALUE"""),"SEC")</f>
        <v>SEC</v>
      </c>
      <c r="D27" s="1" t="str">
        <f ca="1">IFERROR(__xludf.DUMMYFUNCTION("""COMPUTED_VALUE"""),"23-11")</f>
        <v>23-11</v>
      </c>
      <c r="E27" s="1" t="str">
        <f ca="1">IFERROR(__xludf.DUMMYFUNCTION("""COMPUTED_VALUE"""),"+18.53")</f>
        <v>+18.53</v>
      </c>
      <c r="F27" s="1">
        <f ca="1">IFERROR(__xludf.DUMMYFUNCTION("""COMPUTED_VALUE"""),114.9)</f>
        <v>114.9</v>
      </c>
      <c r="G27" s="1">
        <f ca="1">IFERROR(__xludf.DUMMYFUNCTION("""COMPUTED_VALUE"""),15)</f>
        <v>15</v>
      </c>
      <c r="H27" s="1">
        <f ca="1">IFERROR(__xludf.DUMMYFUNCTION("""COMPUTED_VALUE"""),96.4)</f>
        <v>96.4</v>
      </c>
      <c r="I27" s="1">
        <f ca="1">IFERROR(__xludf.DUMMYFUNCTION("""COMPUTED_VALUE"""),63)</f>
        <v>63</v>
      </c>
      <c r="J27" s="1">
        <f ca="1">IFERROR(__xludf.DUMMYFUNCTION("""COMPUTED_VALUE"""),66.3)</f>
        <v>66.3</v>
      </c>
      <c r="K27" s="1">
        <f ca="1">IFERROR(__xludf.DUMMYFUNCTION("""COMPUTED_VALUE"""),93)</f>
        <v>93</v>
      </c>
      <c r="L27" s="1">
        <f ca="1">IFERROR(__xludf.DUMMYFUNCTION("""COMPUTED_VALUE"""),-0.032)</f>
        <v>-3.2000000000000001E-2</v>
      </c>
      <c r="M27" s="1">
        <f ca="1">IFERROR(__xludf.DUMMYFUNCTION("""COMPUTED_VALUE"""),263)</f>
        <v>263</v>
      </c>
      <c r="N27" s="1" t="str">
        <f ca="1">IFERROR(__xludf.DUMMYFUNCTION("""COMPUTED_VALUE"""),"+5.62")</f>
        <v>+5.62</v>
      </c>
      <c r="O27" s="1">
        <f ca="1">IFERROR(__xludf.DUMMYFUNCTION("""COMPUTED_VALUE"""),70)</f>
        <v>70</v>
      </c>
      <c r="P27" s="1">
        <f ca="1">IFERROR(__xludf.DUMMYFUNCTION("""COMPUTED_VALUE"""),105.1)</f>
        <v>105.1</v>
      </c>
      <c r="Q27" s="1">
        <f ca="1">IFERROR(__xludf.DUMMYFUNCTION("""COMPUTED_VALUE"""),83)</f>
        <v>83</v>
      </c>
      <c r="R27" s="1">
        <f ca="1">IFERROR(__xludf.DUMMYFUNCTION("""COMPUTED_VALUE"""),99.5)</f>
        <v>99.5</v>
      </c>
      <c r="S27" s="1">
        <f ca="1">IFERROR(__xludf.DUMMYFUNCTION("""COMPUTED_VALUE"""),59)</f>
        <v>59</v>
      </c>
      <c r="T27" s="1">
        <f ca="1">IFERROR(__xludf.DUMMYFUNCTION("""COMPUTED_VALUE"""),-2.02)</f>
        <v>-2.02</v>
      </c>
      <c r="U27" s="1">
        <f ca="1">IFERROR(__xludf.DUMMYFUNCTION("""COMPUTED_VALUE"""),225)</f>
        <v>225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IFERROR(__xludf.DUMMYFUNCTION("""COMPUTED_VALUE"""),"Marquette3")</f>
        <v>Marquette3</v>
      </c>
      <c r="C28" s="1" t="str">
        <f ca="1">IFERROR(__xludf.DUMMYFUNCTION("""COMPUTED_VALUE"""),"BE")</f>
        <v>BE</v>
      </c>
      <c r="D28" s="1" t="str">
        <f ca="1">IFERROR(__xludf.DUMMYFUNCTION("""COMPUTED_VALUE"""),"26-9")</f>
        <v>26-9</v>
      </c>
      <c r="E28" s="1" t="str">
        <f ca="1">IFERROR(__xludf.DUMMYFUNCTION("""COMPUTED_VALUE"""),"+18.32")</f>
        <v>+18.32</v>
      </c>
      <c r="F28" s="1">
        <f ca="1">IFERROR(__xludf.DUMMYFUNCTION("""COMPUTED_VALUE"""),113.2)</f>
        <v>113.2</v>
      </c>
      <c r="G28" s="1">
        <f ca="1">IFERROR(__xludf.DUMMYFUNCTION("""COMPUTED_VALUE"""),24)</f>
        <v>24</v>
      </c>
      <c r="H28" s="1">
        <f ca="1">IFERROR(__xludf.DUMMYFUNCTION("""COMPUTED_VALUE"""),94.9)</f>
        <v>94.9</v>
      </c>
      <c r="I28" s="1">
        <f ca="1">IFERROR(__xludf.DUMMYFUNCTION("""COMPUTED_VALUE"""),45)</f>
        <v>45</v>
      </c>
      <c r="J28" s="1">
        <f ca="1">IFERROR(__xludf.DUMMYFUNCTION("""COMPUTED_VALUE"""),63.3)</f>
        <v>63.3</v>
      </c>
      <c r="K28" s="1">
        <f ca="1">IFERROR(__xludf.DUMMYFUNCTION("""COMPUTED_VALUE"""),230)</f>
        <v>230</v>
      </c>
      <c r="L28" s="1" t="str">
        <f ca="1">IFERROR(__xludf.DUMMYFUNCTION("""COMPUTED_VALUE"""),"+.090")</f>
        <v>+.090</v>
      </c>
      <c r="M28" s="1">
        <f ca="1">IFERROR(__xludf.DUMMYFUNCTION("""COMPUTED_VALUE"""),11)</f>
        <v>11</v>
      </c>
      <c r="N28" s="1" t="str">
        <f ca="1">IFERROR(__xludf.DUMMYFUNCTION("""COMPUTED_VALUE"""),"+9.28")</f>
        <v>+9.28</v>
      </c>
      <c r="O28" s="1">
        <f ca="1">IFERROR(__xludf.DUMMYFUNCTION("""COMPUTED_VALUE"""),13)</f>
        <v>13</v>
      </c>
      <c r="P28" s="1">
        <f ca="1">IFERROR(__xludf.DUMMYFUNCTION("""COMPUTED_VALUE"""),105.9)</f>
        <v>105.9</v>
      </c>
      <c r="Q28" s="1">
        <f ca="1">IFERROR(__xludf.DUMMYFUNCTION("""COMPUTED_VALUE"""),49)</f>
        <v>49</v>
      </c>
      <c r="R28" s="1">
        <f ca="1">IFERROR(__xludf.DUMMYFUNCTION("""COMPUTED_VALUE"""),96.6)</f>
        <v>96.6</v>
      </c>
      <c r="S28" s="1">
        <f ca="1">IFERROR(__xludf.DUMMYFUNCTION("""COMPUTED_VALUE"""),1)</f>
        <v>1</v>
      </c>
      <c r="T28" s="1">
        <f ca="1">IFERROR(__xludf.DUMMYFUNCTION("""COMPUTED_VALUE"""),-1.14)</f>
        <v>-1.1399999999999999</v>
      </c>
      <c r="U28" s="1">
        <f ca="1">IFERROR(__xludf.DUMMYFUNCTION("""COMPUTED_VALUE"""),196)</f>
        <v>196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IFERROR(__xludf.DUMMYFUNCTION("""COMPUTED_VALUE"""),"Kansas St.4")</f>
        <v>Kansas St.4</v>
      </c>
      <c r="C29" s="1" t="str">
        <f ca="1">IFERROR(__xludf.DUMMYFUNCTION("""COMPUTED_VALUE"""),"B12")</f>
        <v>B12</v>
      </c>
      <c r="D29" s="1" t="str">
        <f ca="1">IFERROR(__xludf.DUMMYFUNCTION("""COMPUTED_VALUE"""),"27-8")</f>
        <v>27-8</v>
      </c>
      <c r="E29" s="1" t="str">
        <f ca="1">IFERROR(__xludf.DUMMYFUNCTION("""COMPUTED_VALUE"""),"+18.16")</f>
        <v>+18.16</v>
      </c>
      <c r="F29" s="1">
        <f ca="1">IFERROR(__xludf.DUMMYFUNCTION("""COMPUTED_VALUE"""),113.5)</f>
        <v>113.5</v>
      </c>
      <c r="G29" s="1">
        <f ca="1">IFERROR(__xludf.DUMMYFUNCTION("""COMPUTED_VALUE"""),23)</f>
        <v>23</v>
      </c>
      <c r="H29" s="1">
        <f ca="1">IFERROR(__xludf.DUMMYFUNCTION("""COMPUTED_VALUE"""),95.3)</f>
        <v>95.3</v>
      </c>
      <c r="I29" s="1">
        <f ca="1">IFERROR(__xludf.DUMMYFUNCTION("""COMPUTED_VALUE"""),52)</f>
        <v>52</v>
      </c>
      <c r="J29" s="1">
        <f ca="1">IFERROR(__xludf.DUMMYFUNCTION("""COMPUTED_VALUE"""),61.4)</f>
        <v>61.4</v>
      </c>
      <c r="K29" s="1">
        <f ca="1">IFERROR(__xludf.DUMMYFUNCTION("""COMPUTED_VALUE"""),296)</f>
        <v>296</v>
      </c>
      <c r="L29" s="1" t="str">
        <f ca="1">IFERROR(__xludf.DUMMYFUNCTION("""COMPUTED_VALUE"""),"+.051")</f>
        <v>+.051</v>
      </c>
      <c r="M29" s="1">
        <f ca="1">IFERROR(__xludf.DUMMYFUNCTION("""COMPUTED_VALUE"""),51)</f>
        <v>51</v>
      </c>
      <c r="N29" s="1" t="str">
        <f ca="1">IFERROR(__xludf.DUMMYFUNCTION("""COMPUTED_VALUE"""),"+6.82")</f>
        <v>+6.82</v>
      </c>
      <c r="O29" s="1">
        <f ca="1">IFERROR(__xludf.DUMMYFUNCTION("""COMPUTED_VALUE"""),47)</f>
        <v>47</v>
      </c>
      <c r="P29" s="1">
        <f ca="1">IFERROR(__xludf.DUMMYFUNCTION("""COMPUTED_VALUE"""),106.1)</f>
        <v>106.1</v>
      </c>
      <c r="Q29" s="1">
        <f ca="1">IFERROR(__xludf.DUMMYFUNCTION("""COMPUTED_VALUE"""),38)</f>
        <v>38</v>
      </c>
      <c r="R29" s="1">
        <f ca="1">IFERROR(__xludf.DUMMYFUNCTION("""COMPUTED_VALUE"""),99.3)</f>
        <v>99.3</v>
      </c>
      <c r="S29" s="1">
        <f ca="1">IFERROR(__xludf.DUMMYFUNCTION("""COMPUTED_VALUE"""),55)</f>
        <v>55</v>
      </c>
      <c r="T29" s="1">
        <f ca="1">IFERROR(__xludf.DUMMYFUNCTION("""COMPUTED_VALUE"""),-3.29)</f>
        <v>-3.29</v>
      </c>
      <c r="U29" s="1">
        <f ca="1">IFERROR(__xludf.DUMMYFUNCTION("""COMPUTED_VALUE"""),264)</f>
        <v>264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IFERROR(__xludf.DUMMYFUNCTION("""COMPUTED_VALUE"""),"Baylor2")</f>
        <v>Baylor2</v>
      </c>
      <c r="C30" s="1" t="str">
        <f ca="1">IFERROR(__xludf.DUMMYFUNCTION("""COMPUTED_VALUE"""),"B12")</f>
        <v>B12</v>
      </c>
      <c r="D30" s="1" t="str">
        <f ca="1">IFERROR(__xludf.DUMMYFUNCTION("""COMPUTED_VALUE"""),"23-14")</f>
        <v>23-14</v>
      </c>
      <c r="E30" s="1" t="str">
        <f ca="1">IFERROR(__xludf.DUMMYFUNCTION("""COMPUTED_VALUE"""),"+17.89")</f>
        <v>+17.89</v>
      </c>
      <c r="F30" s="1">
        <f ca="1">IFERROR(__xludf.DUMMYFUNCTION("""COMPUTED_VALUE"""),114.3)</f>
        <v>114.3</v>
      </c>
      <c r="G30" s="1">
        <f ca="1">IFERROR(__xludf.DUMMYFUNCTION("""COMPUTED_VALUE"""),19)</f>
        <v>19</v>
      </c>
      <c r="H30" s="1">
        <f ca="1">IFERROR(__xludf.DUMMYFUNCTION("""COMPUTED_VALUE"""),96.4)</f>
        <v>96.4</v>
      </c>
      <c r="I30" s="1">
        <f ca="1">IFERROR(__xludf.DUMMYFUNCTION("""COMPUTED_VALUE"""),62)</f>
        <v>62</v>
      </c>
      <c r="J30" s="1">
        <f ca="1">IFERROR(__xludf.DUMMYFUNCTION("""COMPUTED_VALUE"""),66.4)</f>
        <v>66.400000000000006</v>
      </c>
      <c r="K30" s="1">
        <f ca="1">IFERROR(__xludf.DUMMYFUNCTION("""COMPUTED_VALUE"""),85)</f>
        <v>85</v>
      </c>
      <c r="L30" s="1">
        <f ca="1">IFERROR(__xludf.DUMMYFUNCTION("""COMPUTED_VALUE"""),-0.09)</f>
        <v>-0.09</v>
      </c>
      <c r="M30" s="1">
        <f ca="1">IFERROR(__xludf.DUMMYFUNCTION("""COMPUTED_VALUE"""),333)</f>
        <v>333</v>
      </c>
      <c r="N30" s="1" t="str">
        <f ca="1">IFERROR(__xludf.DUMMYFUNCTION("""COMPUTED_VALUE"""),"+6.92")</f>
        <v>+6.92</v>
      </c>
      <c r="O30" s="1">
        <f ca="1">IFERROR(__xludf.DUMMYFUNCTION("""COMPUTED_VALUE"""),45)</f>
        <v>45</v>
      </c>
      <c r="P30" s="1">
        <f ca="1">IFERROR(__xludf.DUMMYFUNCTION("""COMPUTED_VALUE"""),106)</f>
        <v>106</v>
      </c>
      <c r="Q30" s="1">
        <f ca="1">IFERROR(__xludf.DUMMYFUNCTION("""COMPUTED_VALUE"""),41)</f>
        <v>41</v>
      </c>
      <c r="R30" s="1">
        <f ca="1">IFERROR(__xludf.DUMMYFUNCTION("""COMPUTED_VALUE"""),99.1)</f>
        <v>99.1</v>
      </c>
      <c r="S30" s="1">
        <f ca="1">IFERROR(__xludf.DUMMYFUNCTION("""COMPUTED_VALUE"""),48)</f>
        <v>48</v>
      </c>
      <c r="T30" s="1" t="str">
        <f ca="1">IFERROR(__xludf.DUMMYFUNCTION("""COMPUTED_VALUE"""),"+1.45")</f>
        <v>+1.45</v>
      </c>
      <c r="U30" s="1">
        <f ca="1">IFERROR(__xludf.DUMMYFUNCTION("""COMPUTED_VALUE"""),117)</f>
        <v>117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IFERROR(__xludf.DUMMYFUNCTION("""COMPUTED_VALUE"""),"Iowa3")</f>
        <v>Iowa3</v>
      </c>
      <c r="C31" s="1" t="str">
        <f ca="1">IFERROR(__xludf.DUMMYFUNCTION("""COMPUTED_VALUE"""),"B10")</f>
        <v>B10</v>
      </c>
      <c r="D31" s="1" t="str">
        <f ca="1">IFERROR(__xludf.DUMMYFUNCTION("""COMPUTED_VALUE"""),"25-13")</f>
        <v>25-13</v>
      </c>
      <c r="E31" s="1" t="str">
        <f ca="1">IFERROR(__xludf.DUMMYFUNCTION("""COMPUTED_VALUE"""),"+17.83")</f>
        <v>+17.83</v>
      </c>
      <c r="F31" s="1">
        <f ca="1">IFERROR(__xludf.DUMMYFUNCTION("""COMPUTED_VALUE"""),109.8)</f>
        <v>109.8</v>
      </c>
      <c r="G31" s="1">
        <f ca="1">IFERROR(__xludf.DUMMYFUNCTION("""COMPUTED_VALUE"""),58)</f>
        <v>58</v>
      </c>
      <c r="H31" s="1">
        <f ca="1">IFERROR(__xludf.DUMMYFUNCTION("""COMPUTED_VALUE"""),91.9)</f>
        <v>91.9</v>
      </c>
      <c r="I31" s="1">
        <f ca="1">IFERROR(__xludf.DUMMYFUNCTION("""COMPUTED_VALUE"""),24)</f>
        <v>24</v>
      </c>
      <c r="J31" s="1">
        <f ca="1">IFERROR(__xludf.DUMMYFUNCTION("""COMPUTED_VALUE"""),66.3)</f>
        <v>66.3</v>
      </c>
      <c r="K31" s="1">
        <f ca="1">IFERROR(__xludf.DUMMYFUNCTION("""COMPUTED_VALUE"""),95)</f>
        <v>95</v>
      </c>
      <c r="L31" s="1">
        <f ca="1">IFERROR(__xludf.DUMMYFUNCTION("""COMPUTED_VALUE"""),-0.029)</f>
        <v>-2.9000000000000001E-2</v>
      </c>
      <c r="M31" s="1">
        <f ca="1">IFERROR(__xludf.DUMMYFUNCTION("""COMPUTED_VALUE"""),256)</f>
        <v>256</v>
      </c>
      <c r="N31" s="1" t="str">
        <f ca="1">IFERROR(__xludf.DUMMYFUNCTION("""COMPUTED_VALUE"""),"+7.00")</f>
        <v>+7.00</v>
      </c>
      <c r="O31" s="1">
        <f ca="1">IFERROR(__xludf.DUMMYFUNCTION("""COMPUTED_VALUE"""),42)</f>
        <v>42</v>
      </c>
      <c r="P31" s="1">
        <f ca="1">IFERROR(__xludf.DUMMYFUNCTION("""COMPUTED_VALUE"""),106)</f>
        <v>106</v>
      </c>
      <c r="Q31" s="1">
        <f ca="1">IFERROR(__xludf.DUMMYFUNCTION("""COMPUTED_VALUE"""),42)</f>
        <v>42</v>
      </c>
      <c r="R31" s="1">
        <f ca="1">IFERROR(__xludf.DUMMYFUNCTION("""COMPUTED_VALUE"""),99)</f>
        <v>99</v>
      </c>
      <c r="S31" s="1">
        <f ca="1">IFERROR(__xludf.DUMMYFUNCTION("""COMPUTED_VALUE"""),46)</f>
        <v>46</v>
      </c>
      <c r="T31" s="1">
        <f ca="1">IFERROR(__xludf.DUMMYFUNCTION("""COMPUTED_VALUE"""),-9.03)</f>
        <v>-9.0299999999999994</v>
      </c>
      <c r="U31" s="1">
        <f ca="1">IFERROR(__xludf.DUMMYFUNCTION("""COMPUTED_VALUE"""),338)</f>
        <v>338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IFERROR(__xludf.DUMMYFUNCTION("""COMPUTED_VALUE"""),"Iowa St.10")</f>
        <v>Iowa St.10</v>
      </c>
      <c r="C32" s="1" t="str">
        <f ca="1">IFERROR(__xludf.DUMMYFUNCTION("""COMPUTED_VALUE"""),"B12")</f>
        <v>B12</v>
      </c>
      <c r="D32" s="1" t="str">
        <f ca="1">IFERROR(__xludf.DUMMYFUNCTION("""COMPUTED_VALUE"""),"23-12")</f>
        <v>23-12</v>
      </c>
      <c r="E32" s="1" t="str">
        <f ca="1">IFERROR(__xludf.DUMMYFUNCTION("""COMPUTED_VALUE"""),"+17.63")</f>
        <v>+17.63</v>
      </c>
      <c r="F32" s="1">
        <f ca="1">IFERROR(__xludf.DUMMYFUNCTION("""COMPUTED_VALUE"""),117.5)</f>
        <v>117.5</v>
      </c>
      <c r="G32" s="1">
        <f ca="1">IFERROR(__xludf.DUMMYFUNCTION("""COMPUTED_VALUE"""),8)</f>
        <v>8</v>
      </c>
      <c r="H32" s="1">
        <f ca="1">IFERROR(__xludf.DUMMYFUNCTION("""COMPUTED_VALUE"""),99.8)</f>
        <v>99.8</v>
      </c>
      <c r="I32" s="1">
        <f ca="1">IFERROR(__xludf.DUMMYFUNCTION("""COMPUTED_VALUE"""),123)</f>
        <v>123</v>
      </c>
      <c r="J32" s="1">
        <f ca="1">IFERROR(__xludf.DUMMYFUNCTION("""COMPUTED_VALUE"""),68.3)</f>
        <v>68.3</v>
      </c>
      <c r="K32" s="1">
        <f ca="1">IFERROR(__xludf.DUMMYFUNCTION("""COMPUTED_VALUE"""),30)</f>
        <v>30</v>
      </c>
      <c r="L32" s="1">
        <f ca="1">IFERROR(__xludf.DUMMYFUNCTION("""COMPUTED_VALUE"""),-0.046)</f>
        <v>-4.5999999999999999E-2</v>
      </c>
      <c r="M32" s="1">
        <f ca="1">IFERROR(__xludf.DUMMYFUNCTION("""COMPUTED_VALUE"""),288)</f>
        <v>288</v>
      </c>
      <c r="N32" s="1" t="str">
        <f ca="1">IFERROR(__xludf.DUMMYFUNCTION("""COMPUTED_VALUE"""),"+6.74")</f>
        <v>+6.74</v>
      </c>
      <c r="O32" s="1">
        <f ca="1">IFERROR(__xludf.DUMMYFUNCTION("""COMPUTED_VALUE"""),50)</f>
        <v>50</v>
      </c>
      <c r="P32" s="1">
        <f ca="1">IFERROR(__xludf.DUMMYFUNCTION("""COMPUTED_VALUE"""),105.5)</f>
        <v>105.5</v>
      </c>
      <c r="Q32" s="1">
        <f ca="1">IFERROR(__xludf.DUMMYFUNCTION("""COMPUTED_VALUE"""),71)</f>
        <v>71</v>
      </c>
      <c r="R32" s="1">
        <f ca="1">IFERROR(__xludf.DUMMYFUNCTION("""COMPUTED_VALUE"""),98.7)</f>
        <v>98.7</v>
      </c>
      <c r="S32" s="1">
        <f ca="1">IFERROR(__xludf.DUMMYFUNCTION("""COMPUTED_VALUE"""),40)</f>
        <v>40</v>
      </c>
      <c r="T32" s="1">
        <f ca="1">IFERROR(__xludf.DUMMYFUNCTION("""COMPUTED_VALUE"""),-3.12)</f>
        <v>-3.12</v>
      </c>
      <c r="U32" s="1">
        <f ca="1">IFERROR(__xludf.DUMMYFUNCTION("""COMPUTED_VALUE"""),258)</f>
        <v>258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IFERROR(__xludf.DUMMYFUNCTION("""COMPUTED_VALUE"""),"San Diego St.7")</f>
        <v>San Diego St.7</v>
      </c>
      <c r="C33" s="1" t="str">
        <f ca="1">IFERROR(__xludf.DUMMYFUNCTION("""COMPUTED_VALUE"""),"MWC")</f>
        <v>MWC</v>
      </c>
      <c r="D33" s="1" t="str">
        <f ca="1">IFERROR(__xludf.DUMMYFUNCTION("""COMPUTED_VALUE"""),"23-11")</f>
        <v>23-11</v>
      </c>
      <c r="E33" s="1" t="str">
        <f ca="1">IFERROR(__xludf.DUMMYFUNCTION("""COMPUTED_VALUE"""),"+17.43")</f>
        <v>+17.43</v>
      </c>
      <c r="F33" s="1">
        <f ca="1">IFERROR(__xludf.DUMMYFUNCTION("""COMPUTED_VALUE"""),107.7)</f>
        <v>107.7</v>
      </c>
      <c r="G33" s="1">
        <f ca="1">IFERROR(__xludf.DUMMYFUNCTION("""COMPUTED_VALUE"""),78)</f>
        <v>78</v>
      </c>
      <c r="H33" s="1">
        <f ca="1">IFERROR(__xludf.DUMMYFUNCTION("""COMPUTED_VALUE"""),90.3)</f>
        <v>90.3</v>
      </c>
      <c r="I33" s="1">
        <f ca="1">IFERROR(__xludf.DUMMYFUNCTION("""COMPUTED_VALUE"""),13)</f>
        <v>13</v>
      </c>
      <c r="J33" s="1">
        <f ca="1">IFERROR(__xludf.DUMMYFUNCTION("""COMPUTED_VALUE"""),65.5)</f>
        <v>65.5</v>
      </c>
      <c r="K33" s="1">
        <f ca="1">IFERROR(__xludf.DUMMYFUNCTION("""COMPUTED_VALUE"""),132)</f>
        <v>132</v>
      </c>
      <c r="L33" s="1">
        <f ca="1">IFERROR(__xludf.DUMMYFUNCTION("""COMPUTED_VALUE"""),-0.049)</f>
        <v>-4.9000000000000002E-2</v>
      </c>
      <c r="M33" s="1">
        <f ca="1">IFERROR(__xludf.DUMMYFUNCTION("""COMPUTED_VALUE"""),294)</f>
        <v>294</v>
      </c>
      <c r="N33" s="1" t="str">
        <f ca="1">IFERROR(__xludf.DUMMYFUNCTION("""COMPUTED_VALUE"""),"+7.65")</f>
        <v>+7.65</v>
      </c>
      <c r="O33" s="1">
        <f ca="1">IFERROR(__xludf.DUMMYFUNCTION("""COMPUTED_VALUE"""),29)</f>
        <v>29</v>
      </c>
      <c r="P33" s="1">
        <f ca="1">IFERROR(__xludf.DUMMYFUNCTION("""COMPUTED_VALUE"""),106.6)</f>
        <v>106.6</v>
      </c>
      <c r="Q33" s="1">
        <f ca="1">IFERROR(__xludf.DUMMYFUNCTION("""COMPUTED_VALUE"""),24)</f>
        <v>24</v>
      </c>
      <c r="R33" s="1">
        <f ca="1">IFERROR(__xludf.DUMMYFUNCTION("""COMPUTED_VALUE"""),98.9)</f>
        <v>98.9</v>
      </c>
      <c r="S33" s="1">
        <f ca="1">IFERROR(__xludf.DUMMYFUNCTION("""COMPUTED_VALUE"""),45)</f>
        <v>45</v>
      </c>
      <c r="T33" s="1" t="str">
        <f ca="1">IFERROR(__xludf.DUMMYFUNCTION("""COMPUTED_VALUE"""),"+1.92")</f>
        <v>+1.92</v>
      </c>
      <c r="U33" s="1">
        <f ca="1">IFERROR(__xludf.DUMMYFUNCTION("""COMPUTED_VALUE"""),106)</f>
        <v>106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IFERROR(__xludf.DUMMYFUNCTION("""COMPUTED_VALUE"""),"North Carolina8")</f>
        <v>North Carolina8</v>
      </c>
      <c r="C34" s="1" t="str">
        <f ca="1">IFERROR(__xludf.DUMMYFUNCTION("""COMPUTED_VALUE"""),"ACC")</f>
        <v>ACC</v>
      </c>
      <c r="D34" s="1" t="str">
        <f ca="1">IFERROR(__xludf.DUMMYFUNCTION("""COMPUTED_VALUE"""),"25-11")</f>
        <v>25-11</v>
      </c>
      <c r="E34" s="1" t="str">
        <f ca="1">IFERROR(__xludf.DUMMYFUNCTION("""COMPUTED_VALUE"""),"+17.14")</f>
        <v>+17.14</v>
      </c>
      <c r="F34" s="1">
        <f ca="1">IFERROR(__xludf.DUMMYFUNCTION("""COMPUTED_VALUE"""),112.2)</f>
        <v>112.2</v>
      </c>
      <c r="G34" s="1">
        <f ca="1">IFERROR(__xludf.DUMMYFUNCTION("""COMPUTED_VALUE"""),31)</f>
        <v>31</v>
      </c>
      <c r="H34" s="1">
        <f ca="1">IFERROR(__xludf.DUMMYFUNCTION("""COMPUTED_VALUE"""),95.1)</f>
        <v>95.1</v>
      </c>
      <c r="I34" s="1">
        <f ca="1">IFERROR(__xludf.DUMMYFUNCTION("""COMPUTED_VALUE"""),47)</f>
        <v>47</v>
      </c>
      <c r="J34" s="1">
        <f ca="1">IFERROR(__xludf.DUMMYFUNCTION("""COMPUTED_VALUE"""),69.6)</f>
        <v>69.599999999999994</v>
      </c>
      <c r="K34" s="1">
        <f ca="1">IFERROR(__xludf.DUMMYFUNCTION("""COMPUTED_VALUE"""),12)</f>
        <v>12</v>
      </c>
      <c r="L34" s="1" t="str">
        <f ca="1">IFERROR(__xludf.DUMMYFUNCTION("""COMPUTED_VALUE"""),"+.038")</f>
        <v>+.038</v>
      </c>
      <c r="M34" s="1">
        <f ca="1">IFERROR(__xludf.DUMMYFUNCTION("""COMPUTED_VALUE"""),86)</f>
        <v>86</v>
      </c>
      <c r="N34" s="1" t="str">
        <f ca="1">IFERROR(__xludf.DUMMYFUNCTION("""COMPUTED_VALUE"""),"+8.57")</f>
        <v>+8.57</v>
      </c>
      <c r="O34" s="1">
        <f ca="1">IFERROR(__xludf.DUMMYFUNCTION("""COMPUTED_VALUE"""),19)</f>
        <v>19</v>
      </c>
      <c r="P34" s="1">
        <f ca="1">IFERROR(__xludf.DUMMYFUNCTION("""COMPUTED_VALUE"""),106.6)</f>
        <v>106.6</v>
      </c>
      <c r="Q34" s="1">
        <f ca="1">IFERROR(__xludf.DUMMYFUNCTION("""COMPUTED_VALUE"""),25)</f>
        <v>25</v>
      </c>
      <c r="R34" s="1">
        <f ca="1">IFERROR(__xludf.DUMMYFUNCTION("""COMPUTED_VALUE"""),98)</f>
        <v>98</v>
      </c>
      <c r="S34" s="1">
        <f ca="1">IFERROR(__xludf.DUMMYFUNCTION("""COMPUTED_VALUE"""),17)</f>
        <v>17</v>
      </c>
      <c r="T34" s="1">
        <f ca="1">IFERROR(__xludf.DUMMYFUNCTION("""COMPUTED_VALUE"""),-0.95)</f>
        <v>-0.95</v>
      </c>
      <c r="U34" s="1">
        <f ca="1">IFERROR(__xludf.DUMMYFUNCTION("""COMPUTED_VALUE"""),189)</f>
        <v>189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IFERROR(__xludf.DUMMYFUNCTION("""COMPUTED_VALUE"""),"N.C. State8")</f>
        <v>N.C. State8</v>
      </c>
      <c r="C35" s="1" t="str">
        <f ca="1">IFERROR(__xludf.DUMMYFUNCTION("""COMPUTED_VALUE"""),"ACC")</f>
        <v>ACC</v>
      </c>
      <c r="D35" s="1" t="str">
        <f ca="1">IFERROR(__xludf.DUMMYFUNCTION("""COMPUTED_VALUE"""),"24-11")</f>
        <v>24-11</v>
      </c>
      <c r="E35" s="1" t="str">
        <f ca="1">IFERROR(__xludf.DUMMYFUNCTION("""COMPUTED_VALUE"""),"+16.99")</f>
        <v>+16.99</v>
      </c>
      <c r="F35" s="1">
        <f ca="1">IFERROR(__xludf.DUMMYFUNCTION("""COMPUTED_VALUE"""),116.8)</f>
        <v>116.8</v>
      </c>
      <c r="G35" s="1">
        <f ca="1">IFERROR(__xludf.DUMMYFUNCTION("""COMPUTED_VALUE"""),10)</f>
        <v>10</v>
      </c>
      <c r="H35" s="1">
        <f ca="1">IFERROR(__xludf.DUMMYFUNCTION("""COMPUTED_VALUE"""),99.8)</f>
        <v>99.8</v>
      </c>
      <c r="I35" s="1">
        <f ca="1">IFERROR(__xludf.DUMMYFUNCTION("""COMPUTED_VALUE"""),122)</f>
        <v>122</v>
      </c>
      <c r="J35" s="1">
        <f ca="1">IFERROR(__xludf.DUMMYFUNCTION("""COMPUTED_VALUE"""),66.8)</f>
        <v>66.8</v>
      </c>
      <c r="K35" s="1">
        <f ca="1">IFERROR(__xludf.DUMMYFUNCTION("""COMPUTED_VALUE"""),69)</f>
        <v>69</v>
      </c>
      <c r="L35" s="1">
        <f ca="1">IFERROR(__xludf.DUMMYFUNCTION("""COMPUTED_VALUE"""),-0.032)</f>
        <v>-3.2000000000000001E-2</v>
      </c>
      <c r="M35" s="1">
        <f ca="1">IFERROR(__xludf.DUMMYFUNCTION("""COMPUTED_VALUE"""),259)</f>
        <v>259</v>
      </c>
      <c r="N35" s="1" t="str">
        <f ca="1">IFERROR(__xludf.DUMMYFUNCTION("""COMPUTED_VALUE"""),"+6.54")</f>
        <v>+6.54</v>
      </c>
      <c r="O35" s="1">
        <f ca="1">IFERROR(__xludf.DUMMYFUNCTION("""COMPUTED_VALUE"""),53)</f>
        <v>53</v>
      </c>
      <c r="P35" s="1">
        <f ca="1">IFERROR(__xludf.DUMMYFUNCTION("""COMPUTED_VALUE"""),106.1)</f>
        <v>106.1</v>
      </c>
      <c r="Q35" s="1">
        <f ca="1">IFERROR(__xludf.DUMMYFUNCTION("""COMPUTED_VALUE"""),40)</f>
        <v>40</v>
      </c>
      <c r="R35" s="1">
        <f ca="1">IFERROR(__xludf.DUMMYFUNCTION("""COMPUTED_VALUE"""),99.5)</f>
        <v>99.5</v>
      </c>
      <c r="S35" s="1">
        <f ca="1">IFERROR(__xludf.DUMMYFUNCTION("""COMPUTED_VALUE"""),61)</f>
        <v>61</v>
      </c>
      <c r="T35" s="1">
        <f ca="1">IFERROR(__xludf.DUMMYFUNCTION("""COMPUTED_VALUE"""),-0.36)</f>
        <v>-0.36</v>
      </c>
      <c r="U35" s="1">
        <f ca="1">IFERROR(__xludf.DUMMYFUNCTION("""COMPUTED_VALUE"""),167)</f>
        <v>167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IFERROR(__xludf.DUMMYFUNCTION("""COMPUTED_VALUE"""),"Mississippi12")</f>
        <v>Mississippi12</v>
      </c>
      <c r="C36" s="1" t="str">
        <f ca="1">IFERROR(__xludf.DUMMYFUNCTION("""COMPUTED_VALUE"""),"SEC")</f>
        <v>SEC</v>
      </c>
      <c r="D36" s="1" t="str">
        <f ca="1">IFERROR(__xludf.DUMMYFUNCTION("""COMPUTED_VALUE"""),"27-9")</f>
        <v>27-9</v>
      </c>
      <c r="E36" s="1" t="str">
        <f ca="1">IFERROR(__xludf.DUMMYFUNCTION("""COMPUTED_VALUE"""),"+16.95")</f>
        <v>+16.95</v>
      </c>
      <c r="F36" s="1">
        <f ca="1">IFERROR(__xludf.DUMMYFUNCTION("""COMPUTED_VALUE"""),112.3)</f>
        <v>112.3</v>
      </c>
      <c r="G36" s="1">
        <f ca="1">IFERROR(__xludf.DUMMYFUNCTION("""COMPUTED_VALUE"""),30)</f>
        <v>30</v>
      </c>
      <c r="H36" s="1">
        <f ca="1">IFERROR(__xludf.DUMMYFUNCTION("""COMPUTED_VALUE"""),95.3)</f>
        <v>95.3</v>
      </c>
      <c r="I36" s="1">
        <f ca="1">IFERROR(__xludf.DUMMYFUNCTION("""COMPUTED_VALUE"""),51)</f>
        <v>51</v>
      </c>
      <c r="J36" s="1">
        <f ca="1">IFERROR(__xludf.DUMMYFUNCTION("""COMPUTED_VALUE"""),69.2)</f>
        <v>69.2</v>
      </c>
      <c r="K36" s="1">
        <f ca="1">IFERROR(__xludf.DUMMYFUNCTION("""COMPUTED_VALUE"""),19)</f>
        <v>19</v>
      </c>
      <c r="L36" s="1">
        <f ca="1">IFERROR(__xludf.DUMMYFUNCTION("""COMPUTED_VALUE"""),-0.011)</f>
        <v>-1.0999999999999999E-2</v>
      </c>
      <c r="M36" s="1">
        <f ca="1">IFERROR(__xludf.DUMMYFUNCTION("""COMPUTED_VALUE"""),213)</f>
        <v>213</v>
      </c>
      <c r="N36" s="1" t="str">
        <f ca="1">IFERROR(__xludf.DUMMYFUNCTION("""COMPUTED_VALUE"""),"+3.19")</f>
        <v>+3.19</v>
      </c>
      <c r="O36" s="1">
        <f ca="1">IFERROR(__xludf.DUMMYFUNCTION("""COMPUTED_VALUE"""),108)</f>
        <v>108</v>
      </c>
      <c r="P36" s="1">
        <f ca="1">IFERROR(__xludf.DUMMYFUNCTION("""COMPUTED_VALUE"""),103.4)</f>
        <v>103.4</v>
      </c>
      <c r="Q36" s="1">
        <f ca="1">IFERROR(__xludf.DUMMYFUNCTION("""COMPUTED_VALUE"""),131)</f>
        <v>131</v>
      </c>
      <c r="R36" s="1">
        <f ca="1">IFERROR(__xludf.DUMMYFUNCTION("""COMPUTED_VALUE"""),100.2)</f>
        <v>100.2</v>
      </c>
      <c r="S36" s="1">
        <f ca="1">IFERROR(__xludf.DUMMYFUNCTION("""COMPUTED_VALUE"""),80)</f>
        <v>80</v>
      </c>
      <c r="T36" s="1">
        <f ca="1">IFERROR(__xludf.DUMMYFUNCTION("""COMPUTED_VALUE"""),-7.55)</f>
        <v>-7.55</v>
      </c>
      <c r="U36" s="1">
        <f ca="1">IFERROR(__xludf.DUMMYFUNCTION("""COMPUTED_VALUE"""),326)</f>
        <v>326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IFERROR(__xludf.DUMMYFUNCTION("""COMPUTED_VALUE"""),"Oregon12")</f>
        <v>Oregon12</v>
      </c>
      <c r="C37" s="1" t="str">
        <f ca="1">IFERROR(__xludf.DUMMYFUNCTION("""COMPUTED_VALUE"""),"P12")</f>
        <v>P12</v>
      </c>
      <c r="D37" s="1" t="str">
        <f ca="1">IFERROR(__xludf.DUMMYFUNCTION("""COMPUTED_VALUE"""),"28-9")</f>
        <v>28-9</v>
      </c>
      <c r="E37" s="1" t="str">
        <f ca="1">IFERROR(__xludf.DUMMYFUNCTION("""COMPUTED_VALUE"""),"+16.78")</f>
        <v>+16.78</v>
      </c>
      <c r="F37" s="1">
        <f ca="1">IFERROR(__xludf.DUMMYFUNCTION("""COMPUTED_VALUE"""),106.6)</f>
        <v>106.6</v>
      </c>
      <c r="G37" s="1">
        <f ca="1">IFERROR(__xludf.DUMMYFUNCTION("""COMPUTED_VALUE"""),105)</f>
        <v>105</v>
      </c>
      <c r="H37" s="1">
        <f ca="1">IFERROR(__xludf.DUMMYFUNCTION("""COMPUTED_VALUE"""),89.8)</f>
        <v>89.8</v>
      </c>
      <c r="I37" s="1">
        <f ca="1">IFERROR(__xludf.DUMMYFUNCTION("""COMPUTED_VALUE"""),11)</f>
        <v>11</v>
      </c>
      <c r="J37" s="1">
        <f ca="1">IFERROR(__xludf.DUMMYFUNCTION("""COMPUTED_VALUE"""),67.9)</f>
        <v>67.900000000000006</v>
      </c>
      <c r="K37" s="1">
        <f ca="1">IFERROR(__xludf.DUMMYFUNCTION("""COMPUTED_VALUE"""),37)</f>
        <v>37</v>
      </c>
      <c r="L37" s="1" t="str">
        <f ca="1">IFERROR(__xludf.DUMMYFUNCTION("""COMPUTED_VALUE"""),"+.052")</f>
        <v>+.052</v>
      </c>
      <c r="M37" s="1">
        <f ca="1">IFERROR(__xludf.DUMMYFUNCTION("""COMPUTED_VALUE"""),47)</f>
        <v>47</v>
      </c>
      <c r="N37" s="1" t="str">
        <f ca="1">IFERROR(__xludf.DUMMYFUNCTION("""COMPUTED_VALUE"""),"+5.92")</f>
        <v>+5.92</v>
      </c>
      <c r="O37" s="1">
        <f ca="1">IFERROR(__xludf.DUMMYFUNCTION("""COMPUTED_VALUE"""),62)</f>
        <v>62</v>
      </c>
      <c r="P37" s="1">
        <f ca="1">IFERROR(__xludf.DUMMYFUNCTION("""COMPUTED_VALUE"""),105.1)</f>
        <v>105.1</v>
      </c>
      <c r="Q37" s="1">
        <f ca="1">IFERROR(__xludf.DUMMYFUNCTION("""COMPUTED_VALUE"""),84)</f>
        <v>84</v>
      </c>
      <c r="R37" s="1">
        <f ca="1">IFERROR(__xludf.DUMMYFUNCTION("""COMPUTED_VALUE"""),99.2)</f>
        <v>99.2</v>
      </c>
      <c r="S37" s="1">
        <f ca="1">IFERROR(__xludf.DUMMYFUNCTION("""COMPUTED_VALUE"""),50)</f>
        <v>50</v>
      </c>
      <c r="T37" s="1">
        <f ca="1">IFERROR(__xludf.DUMMYFUNCTION("""COMPUTED_VALUE"""),-8.08)</f>
        <v>-8.08</v>
      </c>
      <c r="U37" s="1">
        <f ca="1">IFERROR(__xludf.DUMMYFUNCTION("""COMPUTED_VALUE"""),332)</f>
        <v>332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IFERROR(__xludf.DUMMYFUNCTION("""COMPUTED_VALUE"""),"Notre Dame7")</f>
        <v>Notre Dame7</v>
      </c>
      <c r="C38" s="1" t="str">
        <f ca="1">IFERROR(__xludf.DUMMYFUNCTION("""COMPUTED_VALUE"""),"BE")</f>
        <v>BE</v>
      </c>
      <c r="D38" s="1" t="str">
        <f ca="1">IFERROR(__xludf.DUMMYFUNCTION("""COMPUTED_VALUE"""),"25-10")</f>
        <v>25-10</v>
      </c>
      <c r="E38" s="1" t="str">
        <f ca="1">IFERROR(__xludf.DUMMYFUNCTION("""COMPUTED_VALUE"""),"+16.65")</f>
        <v>+16.65</v>
      </c>
      <c r="F38" s="1">
        <f ca="1">IFERROR(__xludf.DUMMYFUNCTION("""COMPUTED_VALUE"""),114.6)</f>
        <v>114.6</v>
      </c>
      <c r="G38" s="1">
        <f ca="1">IFERROR(__xludf.DUMMYFUNCTION("""COMPUTED_VALUE"""),17)</f>
        <v>17</v>
      </c>
      <c r="H38" s="1">
        <f ca="1">IFERROR(__xludf.DUMMYFUNCTION("""COMPUTED_VALUE"""),97.9)</f>
        <v>97.9</v>
      </c>
      <c r="I38" s="1">
        <f ca="1">IFERROR(__xludf.DUMMYFUNCTION("""COMPUTED_VALUE"""),86)</f>
        <v>86</v>
      </c>
      <c r="J38" s="1">
        <f ca="1">IFERROR(__xludf.DUMMYFUNCTION("""COMPUTED_VALUE"""),60.3)</f>
        <v>60.3</v>
      </c>
      <c r="K38" s="1">
        <f ca="1">IFERROR(__xludf.DUMMYFUNCTION("""COMPUTED_VALUE"""),320)</f>
        <v>320</v>
      </c>
      <c r="L38" s="1" t="str">
        <f ca="1">IFERROR(__xludf.DUMMYFUNCTION("""COMPUTED_VALUE"""),"+.046")</f>
        <v>+.046</v>
      </c>
      <c r="M38" s="1">
        <f ca="1">IFERROR(__xludf.DUMMYFUNCTION("""COMPUTED_VALUE"""),62)</f>
        <v>62</v>
      </c>
      <c r="N38" s="1" t="str">
        <f ca="1">IFERROR(__xludf.DUMMYFUNCTION("""COMPUTED_VALUE"""),"+6.53")</f>
        <v>+6.53</v>
      </c>
      <c r="O38" s="1">
        <f ca="1">IFERROR(__xludf.DUMMYFUNCTION("""COMPUTED_VALUE"""),54)</f>
        <v>54</v>
      </c>
      <c r="P38" s="1">
        <f ca="1">IFERROR(__xludf.DUMMYFUNCTION("""COMPUTED_VALUE"""),105.1)</f>
        <v>105.1</v>
      </c>
      <c r="Q38" s="1">
        <f ca="1">IFERROR(__xludf.DUMMYFUNCTION("""COMPUTED_VALUE"""),82)</f>
        <v>82</v>
      </c>
      <c r="R38" s="1">
        <f ca="1">IFERROR(__xludf.DUMMYFUNCTION("""COMPUTED_VALUE"""),98.6)</f>
        <v>98.6</v>
      </c>
      <c r="S38" s="1">
        <f ca="1">IFERROR(__xludf.DUMMYFUNCTION("""COMPUTED_VALUE"""),34)</f>
        <v>34</v>
      </c>
      <c r="T38" s="1">
        <f ca="1">IFERROR(__xludf.DUMMYFUNCTION("""COMPUTED_VALUE"""),-6.61)</f>
        <v>-6.61</v>
      </c>
      <c r="U38" s="1">
        <f ca="1">IFERROR(__xludf.DUMMYFUNCTION("""COMPUTED_VALUE"""),318)</f>
        <v>318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IFERROR(__xludf.DUMMYFUNCTION("""COMPUTED_VALUE"""),"Memphis6")</f>
        <v>Memphis6</v>
      </c>
      <c r="C39" s="1" t="str">
        <f ca="1">IFERROR(__xludf.DUMMYFUNCTION("""COMPUTED_VALUE"""),"CUSA")</f>
        <v>CUSA</v>
      </c>
      <c r="D39" s="1" t="str">
        <f ca="1">IFERROR(__xludf.DUMMYFUNCTION("""COMPUTED_VALUE"""),"31-5")</f>
        <v>31-5</v>
      </c>
      <c r="E39" s="1" t="str">
        <f ca="1">IFERROR(__xludf.DUMMYFUNCTION("""COMPUTED_VALUE"""),"+16.33")</f>
        <v>+16.33</v>
      </c>
      <c r="F39" s="1">
        <f ca="1">IFERROR(__xludf.DUMMYFUNCTION("""COMPUTED_VALUE"""),107.3)</f>
        <v>107.3</v>
      </c>
      <c r="G39" s="1">
        <f ca="1">IFERROR(__xludf.DUMMYFUNCTION("""COMPUTED_VALUE"""),85)</f>
        <v>85</v>
      </c>
      <c r="H39" s="1">
        <f ca="1">IFERROR(__xludf.DUMMYFUNCTION("""COMPUTED_VALUE"""),91)</f>
        <v>91</v>
      </c>
      <c r="I39" s="1">
        <f ca="1">IFERROR(__xludf.DUMMYFUNCTION("""COMPUTED_VALUE"""),17)</f>
        <v>17</v>
      </c>
      <c r="J39" s="1">
        <f ca="1">IFERROR(__xludf.DUMMYFUNCTION("""COMPUTED_VALUE"""),68.3)</f>
        <v>68.3</v>
      </c>
      <c r="K39" s="1">
        <f ca="1">IFERROR(__xludf.DUMMYFUNCTION("""COMPUTED_VALUE"""),31)</f>
        <v>31</v>
      </c>
      <c r="L39" s="1" t="str">
        <f ca="1">IFERROR(__xludf.DUMMYFUNCTION("""COMPUTED_VALUE"""),"+.056")</f>
        <v>+.056</v>
      </c>
      <c r="M39" s="1">
        <f ca="1">IFERROR(__xludf.DUMMYFUNCTION("""COMPUTED_VALUE"""),39)</f>
        <v>39</v>
      </c>
      <c r="N39" s="1" t="str">
        <f ca="1">IFERROR(__xludf.DUMMYFUNCTION("""COMPUTED_VALUE"""),"+1.90")</f>
        <v>+1.90</v>
      </c>
      <c r="O39" s="1">
        <f ca="1">IFERROR(__xludf.DUMMYFUNCTION("""COMPUTED_VALUE"""),120)</f>
        <v>120</v>
      </c>
      <c r="P39" s="1">
        <f ca="1">IFERROR(__xludf.DUMMYFUNCTION("""COMPUTED_VALUE"""),104.8)</f>
        <v>104.8</v>
      </c>
      <c r="Q39" s="1">
        <f ca="1">IFERROR(__xludf.DUMMYFUNCTION("""COMPUTED_VALUE"""),93)</f>
        <v>93</v>
      </c>
      <c r="R39" s="1">
        <f ca="1">IFERROR(__xludf.DUMMYFUNCTION("""COMPUTED_VALUE"""),102.9)</f>
        <v>102.9</v>
      </c>
      <c r="S39" s="1">
        <f ca="1">IFERROR(__xludf.DUMMYFUNCTION("""COMPUTED_VALUE"""),161)</f>
        <v>161</v>
      </c>
      <c r="T39" s="1" t="str">
        <f ca="1">IFERROR(__xludf.DUMMYFUNCTION("""COMPUTED_VALUE"""),"+0.43")</f>
        <v>+0.43</v>
      </c>
      <c r="U39" s="1">
        <f ca="1">IFERROR(__xludf.DUMMYFUNCTION("""COMPUTED_VALUE"""),138)</f>
        <v>138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IFERROR(__xludf.DUMMYFUNCTION("""COMPUTED_VALUE"""),"UNLV5")</f>
        <v>UNLV5</v>
      </c>
      <c r="C40" s="1" t="str">
        <f ca="1">IFERROR(__xludf.DUMMYFUNCTION("""COMPUTED_VALUE"""),"MWC")</f>
        <v>MWC</v>
      </c>
      <c r="D40" s="1" t="str">
        <f ca="1">IFERROR(__xludf.DUMMYFUNCTION("""COMPUTED_VALUE"""),"25-10")</f>
        <v>25-10</v>
      </c>
      <c r="E40" s="1" t="str">
        <f ca="1">IFERROR(__xludf.DUMMYFUNCTION("""COMPUTED_VALUE"""),"+16.07")</f>
        <v>+16.07</v>
      </c>
      <c r="F40" s="1">
        <f ca="1">IFERROR(__xludf.DUMMYFUNCTION("""COMPUTED_VALUE"""),106)</f>
        <v>106</v>
      </c>
      <c r="G40" s="1">
        <f ca="1">IFERROR(__xludf.DUMMYFUNCTION("""COMPUTED_VALUE"""),115)</f>
        <v>115</v>
      </c>
      <c r="H40" s="1">
        <f ca="1">IFERROR(__xludf.DUMMYFUNCTION("""COMPUTED_VALUE"""),90)</f>
        <v>90</v>
      </c>
      <c r="I40" s="1">
        <f ca="1">IFERROR(__xludf.DUMMYFUNCTION("""COMPUTED_VALUE"""),12)</f>
        <v>12</v>
      </c>
      <c r="J40" s="1">
        <f ca="1">IFERROR(__xludf.DUMMYFUNCTION("""COMPUTED_VALUE"""),67.9)</f>
        <v>67.900000000000006</v>
      </c>
      <c r="K40" s="1">
        <f ca="1">IFERROR(__xludf.DUMMYFUNCTION("""COMPUTED_VALUE"""),42)</f>
        <v>42</v>
      </c>
      <c r="L40" s="1">
        <f ca="1">IFERROR(__xludf.DUMMYFUNCTION("""COMPUTED_VALUE"""),-0.015)</f>
        <v>-1.4999999999999999E-2</v>
      </c>
      <c r="M40" s="1">
        <f ca="1">IFERROR(__xludf.DUMMYFUNCTION("""COMPUTED_VALUE"""),226)</f>
        <v>226</v>
      </c>
      <c r="N40" s="1" t="str">
        <f ca="1">IFERROR(__xludf.DUMMYFUNCTION("""COMPUTED_VALUE"""),"+6.23")</f>
        <v>+6.23</v>
      </c>
      <c r="O40" s="1">
        <f ca="1">IFERROR(__xludf.DUMMYFUNCTION("""COMPUTED_VALUE"""),59)</f>
        <v>59</v>
      </c>
      <c r="P40" s="1">
        <f ca="1">IFERROR(__xludf.DUMMYFUNCTION("""COMPUTED_VALUE"""),106.1)</f>
        <v>106.1</v>
      </c>
      <c r="Q40" s="1">
        <f ca="1">IFERROR(__xludf.DUMMYFUNCTION("""COMPUTED_VALUE"""),37)</f>
        <v>37</v>
      </c>
      <c r="R40" s="1">
        <f ca="1">IFERROR(__xludf.DUMMYFUNCTION("""COMPUTED_VALUE"""),99.9)</f>
        <v>99.9</v>
      </c>
      <c r="S40" s="1">
        <f ca="1">IFERROR(__xludf.DUMMYFUNCTION("""COMPUTED_VALUE"""),70)</f>
        <v>70</v>
      </c>
      <c r="T40" s="1">
        <f ca="1">IFERROR(__xludf.DUMMYFUNCTION("""COMPUTED_VALUE"""),-0.28)</f>
        <v>-0.28000000000000003</v>
      </c>
      <c r="U40" s="1">
        <f ca="1">IFERROR(__xludf.DUMMYFUNCTION("""COMPUTED_VALUE"""),162)</f>
        <v>162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IFERROR(__xludf.DUMMYFUNCTION("""COMPUTED_VALUE"""),"Illinois7")</f>
        <v>Illinois7</v>
      </c>
      <c r="C41" s="1" t="str">
        <f ca="1">IFERROR(__xludf.DUMMYFUNCTION("""COMPUTED_VALUE"""),"B10")</f>
        <v>B10</v>
      </c>
      <c r="D41" s="1" t="str">
        <f ca="1">IFERROR(__xludf.DUMMYFUNCTION("""COMPUTED_VALUE"""),"23-13")</f>
        <v>23-13</v>
      </c>
      <c r="E41" s="1" t="str">
        <f ca="1">IFERROR(__xludf.DUMMYFUNCTION("""COMPUTED_VALUE"""),"+15.82")</f>
        <v>+15.82</v>
      </c>
      <c r="F41" s="1">
        <f ca="1">IFERROR(__xludf.DUMMYFUNCTION("""COMPUTED_VALUE"""),110.6)</f>
        <v>110.6</v>
      </c>
      <c r="G41" s="1">
        <f ca="1">IFERROR(__xludf.DUMMYFUNCTION("""COMPUTED_VALUE"""),46)</f>
        <v>46</v>
      </c>
      <c r="H41" s="1">
        <f ca="1">IFERROR(__xludf.DUMMYFUNCTION("""COMPUTED_VALUE"""),94.8)</f>
        <v>94.8</v>
      </c>
      <c r="I41" s="1">
        <f ca="1">IFERROR(__xludf.DUMMYFUNCTION("""COMPUTED_VALUE"""),44)</f>
        <v>44</v>
      </c>
      <c r="J41" s="1">
        <f ca="1">IFERROR(__xludf.DUMMYFUNCTION("""COMPUTED_VALUE"""),64.6)</f>
        <v>64.599999999999994</v>
      </c>
      <c r="K41" s="1">
        <f ca="1">IFERROR(__xludf.DUMMYFUNCTION("""COMPUTED_VALUE"""),180)</f>
        <v>180</v>
      </c>
      <c r="L41" s="1" t="str">
        <f ca="1">IFERROR(__xludf.DUMMYFUNCTION("""COMPUTED_VALUE"""),"+.042")</f>
        <v>+.042</v>
      </c>
      <c r="M41" s="1">
        <f ca="1">IFERROR(__xludf.DUMMYFUNCTION("""COMPUTED_VALUE"""),71)</f>
        <v>71</v>
      </c>
      <c r="N41" s="1" t="str">
        <f ca="1">IFERROR(__xludf.DUMMYFUNCTION("""COMPUTED_VALUE"""),"+10.84")</f>
        <v>+10.84</v>
      </c>
      <c r="O41" s="1">
        <f ca="1">IFERROR(__xludf.DUMMYFUNCTION("""COMPUTED_VALUE"""),5)</f>
        <v>5</v>
      </c>
      <c r="P41" s="1">
        <f ca="1">IFERROR(__xludf.DUMMYFUNCTION("""COMPUTED_VALUE"""),108.1)</f>
        <v>108.1</v>
      </c>
      <c r="Q41" s="1">
        <f ca="1">IFERROR(__xludf.DUMMYFUNCTION("""COMPUTED_VALUE"""),6)</f>
        <v>6</v>
      </c>
      <c r="R41" s="1">
        <f ca="1">IFERROR(__xludf.DUMMYFUNCTION("""COMPUTED_VALUE"""),97.3)</f>
        <v>97.3</v>
      </c>
      <c r="S41" s="1">
        <f ca="1">IFERROR(__xludf.DUMMYFUNCTION("""COMPUTED_VALUE"""),8)</f>
        <v>8</v>
      </c>
      <c r="T41" s="1">
        <f ca="1">IFERROR(__xludf.DUMMYFUNCTION("""COMPUTED_VALUE"""),-0.8)</f>
        <v>-0.8</v>
      </c>
      <c r="U41" s="1">
        <f ca="1">IFERROR(__xludf.DUMMYFUNCTION("""COMPUTED_VALUE"""),185)</f>
        <v>185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IFERROR(__xludf.DUMMYFUNCTION("""COMPUTED_VALUE"""),"Cincinnati10")</f>
        <v>Cincinnati10</v>
      </c>
      <c r="C42" s="1" t="str">
        <f ca="1">IFERROR(__xludf.DUMMYFUNCTION("""COMPUTED_VALUE"""),"BE")</f>
        <v>BE</v>
      </c>
      <c r="D42" s="1" t="str">
        <f ca="1">IFERROR(__xludf.DUMMYFUNCTION("""COMPUTED_VALUE"""),"22-12")</f>
        <v>22-12</v>
      </c>
      <c r="E42" s="1" t="str">
        <f ca="1">IFERROR(__xludf.DUMMYFUNCTION("""COMPUTED_VALUE"""),"+15.57")</f>
        <v>+15.57</v>
      </c>
      <c r="F42" s="1">
        <f ca="1">IFERROR(__xludf.DUMMYFUNCTION("""COMPUTED_VALUE"""),105.9)</f>
        <v>105.9</v>
      </c>
      <c r="G42" s="1">
        <f ca="1">IFERROR(__xludf.DUMMYFUNCTION("""COMPUTED_VALUE"""),118)</f>
        <v>118</v>
      </c>
      <c r="H42" s="1">
        <f ca="1">IFERROR(__xludf.DUMMYFUNCTION("""COMPUTED_VALUE"""),90.4)</f>
        <v>90.4</v>
      </c>
      <c r="I42" s="1">
        <f ca="1">IFERROR(__xludf.DUMMYFUNCTION("""COMPUTED_VALUE"""),15)</f>
        <v>15</v>
      </c>
      <c r="J42" s="1">
        <f ca="1">IFERROR(__xludf.DUMMYFUNCTION("""COMPUTED_VALUE"""),63)</f>
        <v>63</v>
      </c>
      <c r="K42" s="1">
        <f ca="1">IFERROR(__xludf.DUMMYFUNCTION("""COMPUTED_VALUE"""),243)</f>
        <v>243</v>
      </c>
      <c r="L42" s="1">
        <f ca="1">IFERROR(__xludf.DUMMYFUNCTION("""COMPUTED_VALUE"""),-0.012)</f>
        <v>-1.2E-2</v>
      </c>
      <c r="M42" s="1">
        <f ca="1">IFERROR(__xludf.DUMMYFUNCTION("""COMPUTED_VALUE"""),215)</f>
        <v>215</v>
      </c>
      <c r="N42" s="1" t="str">
        <f ca="1">IFERROR(__xludf.DUMMYFUNCTION("""COMPUTED_VALUE"""),"+7.31")</f>
        <v>+7.31</v>
      </c>
      <c r="O42" s="1">
        <f ca="1">IFERROR(__xludf.DUMMYFUNCTION("""COMPUTED_VALUE"""),35)</f>
        <v>35</v>
      </c>
      <c r="P42" s="1">
        <f ca="1">IFERROR(__xludf.DUMMYFUNCTION("""COMPUTED_VALUE"""),105.6)</f>
        <v>105.6</v>
      </c>
      <c r="Q42" s="1">
        <f ca="1">IFERROR(__xludf.DUMMYFUNCTION("""COMPUTED_VALUE"""),66)</f>
        <v>66</v>
      </c>
      <c r="R42" s="1">
        <f ca="1">IFERROR(__xludf.DUMMYFUNCTION("""COMPUTED_VALUE"""),98.3)</f>
        <v>98.3</v>
      </c>
      <c r="S42" s="1">
        <f ca="1">IFERROR(__xludf.DUMMYFUNCTION("""COMPUTED_VALUE"""),23)</f>
        <v>23</v>
      </c>
      <c r="T42" s="1">
        <f ca="1">IFERROR(__xludf.DUMMYFUNCTION("""COMPUTED_VALUE"""),-5.68)</f>
        <v>-5.68</v>
      </c>
      <c r="U42" s="1">
        <f ca="1">IFERROR(__xludf.DUMMYFUNCTION("""COMPUTED_VALUE"""),304)</f>
        <v>304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IFERROR(__xludf.DUMMYFUNCTION("""COMPUTED_VALUE"""),"Virginia1")</f>
        <v>Virginia1</v>
      </c>
      <c r="C45" s="1" t="str">
        <f ca="1">IFERROR(__xludf.DUMMYFUNCTION("""COMPUTED_VALUE"""),"ACC")</f>
        <v>ACC</v>
      </c>
      <c r="D45" s="1" t="str">
        <f ca="1">IFERROR(__xludf.DUMMYFUNCTION("""COMPUTED_VALUE"""),"23-12")</f>
        <v>23-12</v>
      </c>
      <c r="E45" s="1" t="str">
        <f ca="1">IFERROR(__xludf.DUMMYFUNCTION("""COMPUTED_VALUE"""),"+15.51")</f>
        <v>+15.51</v>
      </c>
      <c r="F45" s="1">
        <f ca="1">IFERROR(__xludf.DUMMYFUNCTION("""COMPUTED_VALUE"""),107.5)</f>
        <v>107.5</v>
      </c>
      <c r="G45" s="1">
        <f ca="1">IFERROR(__xludf.DUMMYFUNCTION("""COMPUTED_VALUE"""),83)</f>
        <v>83</v>
      </c>
      <c r="H45" s="1">
        <f ca="1">IFERROR(__xludf.DUMMYFUNCTION("""COMPUTED_VALUE"""),92)</f>
        <v>92</v>
      </c>
      <c r="I45" s="1">
        <f ca="1">IFERROR(__xludf.DUMMYFUNCTION("""COMPUTED_VALUE"""),25)</f>
        <v>25</v>
      </c>
      <c r="J45" s="1">
        <f ca="1">IFERROR(__xludf.DUMMYFUNCTION("""COMPUTED_VALUE"""),59.3)</f>
        <v>59.3</v>
      </c>
      <c r="K45" s="1">
        <f ca="1">IFERROR(__xludf.DUMMYFUNCTION("""COMPUTED_VALUE"""),336)</f>
        <v>336</v>
      </c>
      <c r="L45" s="1">
        <f ca="1">IFERROR(__xludf.DUMMYFUNCTION("""COMPUTED_VALUE"""),-0.067)</f>
        <v>-6.7000000000000004E-2</v>
      </c>
      <c r="M45" s="1">
        <f ca="1">IFERROR(__xludf.DUMMYFUNCTION("""COMPUTED_VALUE"""),313)</f>
        <v>313</v>
      </c>
      <c r="N45" s="1" t="str">
        <f ca="1">IFERROR(__xludf.DUMMYFUNCTION("""COMPUTED_VALUE"""),"+2.47")</f>
        <v>+2.47</v>
      </c>
      <c r="O45" s="1">
        <f ca="1">IFERROR(__xludf.DUMMYFUNCTION("""COMPUTED_VALUE"""),117)</f>
        <v>117</v>
      </c>
      <c r="P45" s="1">
        <f ca="1">IFERROR(__xludf.DUMMYFUNCTION("""COMPUTED_VALUE"""),103)</f>
        <v>103</v>
      </c>
      <c r="Q45" s="1">
        <f ca="1">IFERROR(__xludf.DUMMYFUNCTION("""COMPUTED_VALUE"""),137)</f>
        <v>137</v>
      </c>
      <c r="R45" s="1">
        <f ca="1">IFERROR(__xludf.DUMMYFUNCTION("""COMPUTED_VALUE"""),100.6)</f>
        <v>100.6</v>
      </c>
      <c r="S45" s="1">
        <f ca="1">IFERROR(__xludf.DUMMYFUNCTION("""COMPUTED_VALUE"""),93)</f>
        <v>93</v>
      </c>
      <c r="T45" s="1">
        <f ca="1">IFERROR(__xludf.DUMMYFUNCTION("""COMPUTED_VALUE"""),-8.69)</f>
        <v>-8.69</v>
      </c>
      <c r="U45" s="1">
        <f ca="1">IFERROR(__xludf.DUMMYFUNCTION("""COMPUTED_VALUE"""),337)</f>
        <v>337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IFERROR(__xludf.DUMMYFUNCTION("""COMPUTED_VALUE"""),"Butler6")</f>
        <v>Butler6</v>
      </c>
      <c r="C46" s="1" t="str">
        <f ca="1">IFERROR(__xludf.DUMMYFUNCTION("""COMPUTED_VALUE"""),"A10")</f>
        <v>A10</v>
      </c>
      <c r="D46" s="1" t="str">
        <f ca="1">IFERROR(__xludf.DUMMYFUNCTION("""COMPUTED_VALUE"""),"27-9")</f>
        <v>27-9</v>
      </c>
      <c r="E46" s="1" t="str">
        <f ca="1">IFERROR(__xludf.DUMMYFUNCTION("""COMPUTED_VALUE"""),"+15.41")</f>
        <v>+15.41</v>
      </c>
      <c r="F46" s="1">
        <f ca="1">IFERROR(__xludf.DUMMYFUNCTION("""COMPUTED_VALUE"""),110.5)</f>
        <v>110.5</v>
      </c>
      <c r="G46" s="1">
        <f ca="1">IFERROR(__xludf.DUMMYFUNCTION("""COMPUTED_VALUE"""),47)</f>
        <v>47</v>
      </c>
      <c r="H46" s="1">
        <f ca="1">IFERROR(__xludf.DUMMYFUNCTION("""COMPUTED_VALUE"""),95.1)</f>
        <v>95.1</v>
      </c>
      <c r="I46" s="1">
        <f ca="1">IFERROR(__xludf.DUMMYFUNCTION("""COMPUTED_VALUE"""),48)</f>
        <v>48</v>
      </c>
      <c r="J46" s="1">
        <f ca="1">IFERROR(__xludf.DUMMYFUNCTION("""COMPUTED_VALUE"""),63.6)</f>
        <v>63.6</v>
      </c>
      <c r="K46" s="1">
        <f ca="1">IFERROR(__xludf.DUMMYFUNCTION("""COMPUTED_VALUE"""),217)</f>
        <v>217</v>
      </c>
      <c r="L46" s="1" t="str">
        <f ca="1">IFERROR(__xludf.DUMMYFUNCTION("""COMPUTED_VALUE"""),"+.087")</f>
        <v>+.087</v>
      </c>
      <c r="M46" s="1">
        <f ca="1">IFERROR(__xludf.DUMMYFUNCTION("""COMPUTED_VALUE"""),14)</f>
        <v>14</v>
      </c>
      <c r="N46" s="1" t="str">
        <f ca="1">IFERROR(__xludf.DUMMYFUNCTION("""COMPUTED_VALUE"""),"+7.53")</f>
        <v>+7.53</v>
      </c>
      <c r="O46" s="1">
        <f ca="1">IFERROR(__xludf.DUMMYFUNCTION("""COMPUTED_VALUE"""),30)</f>
        <v>30</v>
      </c>
      <c r="P46" s="1">
        <f ca="1">IFERROR(__xludf.DUMMYFUNCTION("""COMPUTED_VALUE"""),106.8)</f>
        <v>106.8</v>
      </c>
      <c r="Q46" s="1">
        <f ca="1">IFERROR(__xludf.DUMMYFUNCTION("""COMPUTED_VALUE"""),21)</f>
        <v>21</v>
      </c>
      <c r="R46" s="1">
        <f ca="1">IFERROR(__xludf.DUMMYFUNCTION("""COMPUTED_VALUE"""),99.3)</f>
        <v>99.3</v>
      </c>
      <c r="S46" s="1">
        <f ca="1">IFERROR(__xludf.DUMMYFUNCTION("""COMPUTED_VALUE"""),53)</f>
        <v>53</v>
      </c>
      <c r="T46" s="1" t="str">
        <f ca="1">IFERROR(__xludf.DUMMYFUNCTION("""COMPUTED_VALUE"""),"+4.18")</f>
        <v>+4.18</v>
      </c>
      <c r="U46" s="1">
        <f ca="1">IFERROR(__xludf.DUMMYFUNCTION("""COMPUTED_VALUE"""),57)</f>
        <v>57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IFERROR(__xludf.DUMMYFUNCTION("""COMPUTED_VALUE"""),"Belmont11")</f>
        <v>Belmont11</v>
      </c>
      <c r="C47" s="1" t="str">
        <f ca="1">IFERROR(__xludf.DUMMYFUNCTION("""COMPUTED_VALUE"""),"OVC")</f>
        <v>OVC</v>
      </c>
      <c r="D47" s="1" t="str">
        <f ca="1">IFERROR(__xludf.DUMMYFUNCTION("""COMPUTED_VALUE"""),"26-7")</f>
        <v>26-7</v>
      </c>
      <c r="E47" s="1" t="str">
        <f ca="1">IFERROR(__xludf.DUMMYFUNCTION("""COMPUTED_VALUE"""),"+14.92")</f>
        <v>+14.92</v>
      </c>
      <c r="F47" s="1">
        <f ca="1">IFERROR(__xludf.DUMMYFUNCTION("""COMPUTED_VALUE"""),111.6)</f>
        <v>111.6</v>
      </c>
      <c r="G47" s="1">
        <f ca="1">IFERROR(__xludf.DUMMYFUNCTION("""COMPUTED_VALUE"""),37)</f>
        <v>37</v>
      </c>
      <c r="H47" s="1">
        <f ca="1">IFERROR(__xludf.DUMMYFUNCTION("""COMPUTED_VALUE"""),96.6)</f>
        <v>96.6</v>
      </c>
      <c r="I47" s="1">
        <f ca="1">IFERROR(__xludf.DUMMYFUNCTION("""COMPUTED_VALUE"""),69)</f>
        <v>69</v>
      </c>
      <c r="J47" s="1">
        <f ca="1">IFERROR(__xludf.DUMMYFUNCTION("""COMPUTED_VALUE"""),65.9)</f>
        <v>65.900000000000006</v>
      </c>
      <c r="K47" s="1">
        <f ca="1">IFERROR(__xludf.DUMMYFUNCTION("""COMPUTED_VALUE"""),114)</f>
        <v>114</v>
      </c>
      <c r="L47" s="1" t="str">
        <f ca="1">IFERROR(__xludf.DUMMYFUNCTION("""COMPUTED_VALUE"""),"+.013")</f>
        <v>+.013</v>
      </c>
      <c r="M47" s="1">
        <f ca="1">IFERROR(__xludf.DUMMYFUNCTION("""COMPUTED_VALUE"""),144)</f>
        <v>144</v>
      </c>
      <c r="N47" s="1">
        <f ca="1">IFERROR(__xludf.DUMMYFUNCTION("""COMPUTED_VALUE"""),-0.74)</f>
        <v>-0.74</v>
      </c>
      <c r="O47" s="1">
        <f ca="1">IFERROR(__xludf.DUMMYFUNCTION("""COMPUTED_VALUE"""),157)</f>
        <v>157</v>
      </c>
      <c r="P47" s="1">
        <f ca="1">IFERROR(__xludf.DUMMYFUNCTION("""COMPUTED_VALUE"""),103.8)</f>
        <v>103.8</v>
      </c>
      <c r="Q47" s="1">
        <f ca="1">IFERROR(__xludf.DUMMYFUNCTION("""COMPUTED_VALUE"""),118)</f>
        <v>118</v>
      </c>
      <c r="R47" s="1">
        <f ca="1">IFERROR(__xludf.DUMMYFUNCTION("""COMPUTED_VALUE"""),104.6)</f>
        <v>104.6</v>
      </c>
      <c r="S47" s="1">
        <f ca="1">IFERROR(__xludf.DUMMYFUNCTION("""COMPUTED_VALUE"""),244)</f>
        <v>244</v>
      </c>
      <c r="T47" s="1" t="str">
        <f ca="1">IFERROR(__xludf.DUMMYFUNCTION("""COMPUTED_VALUE"""),"+5.39")</f>
        <v>+5.39</v>
      </c>
      <c r="U47" s="1">
        <f ca="1">IFERROR(__xludf.DUMMYFUNCTION("""COMPUTED_VALUE"""),33)</f>
        <v>33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IFERROR(__xludf.DUMMYFUNCTION("""COMPUTED_VALUE"""),"Middle Tennessee11")</f>
        <v>Middle Tennessee11</v>
      </c>
      <c r="C48" s="1" t="str">
        <f ca="1">IFERROR(__xludf.DUMMYFUNCTION("""COMPUTED_VALUE"""),"SB")</f>
        <v>SB</v>
      </c>
      <c r="D48" s="1" t="str">
        <f ca="1">IFERROR(__xludf.DUMMYFUNCTION("""COMPUTED_VALUE"""),"28-6")</f>
        <v>28-6</v>
      </c>
      <c r="E48" s="1" t="str">
        <f ca="1">IFERROR(__xludf.DUMMYFUNCTION("""COMPUTED_VALUE"""),"+14.77")</f>
        <v>+14.77</v>
      </c>
      <c r="F48" s="1">
        <f ca="1">IFERROR(__xludf.DUMMYFUNCTION("""COMPUTED_VALUE"""),107.3)</f>
        <v>107.3</v>
      </c>
      <c r="G48" s="1">
        <f ca="1">IFERROR(__xludf.DUMMYFUNCTION("""COMPUTED_VALUE"""),89)</f>
        <v>89</v>
      </c>
      <c r="H48" s="1">
        <f ca="1">IFERROR(__xludf.DUMMYFUNCTION("""COMPUTED_VALUE"""),92.5)</f>
        <v>92.5</v>
      </c>
      <c r="I48" s="1">
        <f ca="1">IFERROR(__xludf.DUMMYFUNCTION("""COMPUTED_VALUE"""),28)</f>
        <v>28</v>
      </c>
      <c r="J48" s="1">
        <f ca="1">IFERROR(__xludf.DUMMYFUNCTION("""COMPUTED_VALUE"""),63.4)</f>
        <v>63.4</v>
      </c>
      <c r="K48" s="1">
        <f ca="1">IFERROR(__xludf.DUMMYFUNCTION("""COMPUTED_VALUE"""),223)</f>
        <v>223</v>
      </c>
      <c r="L48" s="1" t="str">
        <f ca="1">IFERROR(__xludf.DUMMYFUNCTION("""COMPUTED_VALUE"""),"+.052")</f>
        <v>+.052</v>
      </c>
      <c r="M48" s="1">
        <f ca="1">IFERROR(__xludf.DUMMYFUNCTION("""COMPUTED_VALUE"""),48)</f>
        <v>48</v>
      </c>
      <c r="N48" s="1">
        <f ca="1">IFERROR(__xludf.DUMMYFUNCTION("""COMPUTED_VALUE"""),-2.3)</f>
        <v>-2.2999999999999998</v>
      </c>
      <c r="O48" s="1">
        <f ca="1">IFERROR(__xludf.DUMMYFUNCTION("""COMPUTED_VALUE"""),191)</f>
        <v>191</v>
      </c>
      <c r="P48" s="1">
        <f ca="1">IFERROR(__xludf.DUMMYFUNCTION("""COMPUTED_VALUE"""),100.7)</f>
        <v>100.7</v>
      </c>
      <c r="Q48" s="1">
        <f ca="1">IFERROR(__xludf.DUMMYFUNCTION("""COMPUTED_VALUE"""),243)</f>
        <v>243</v>
      </c>
      <c r="R48" s="1">
        <f ca="1">IFERROR(__xludf.DUMMYFUNCTION("""COMPUTED_VALUE"""),103)</f>
        <v>103</v>
      </c>
      <c r="S48" s="1">
        <f ca="1">IFERROR(__xludf.DUMMYFUNCTION("""COMPUTED_VALUE"""),171)</f>
        <v>171</v>
      </c>
      <c r="T48" s="1" t="str">
        <f ca="1">IFERROR(__xludf.DUMMYFUNCTION("""COMPUTED_VALUE"""),"+4.87")</f>
        <v>+4.87</v>
      </c>
      <c r="U48" s="1">
        <f ca="1">IFERROR(__xludf.DUMMYFUNCTION("""COMPUTED_VALUE"""),43)</f>
        <v>43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IFERROR(__xludf.DUMMYFUNCTION("""COMPUTED_VALUE"""),"Colorado10")</f>
        <v>Colorado10</v>
      </c>
      <c r="C49" s="1" t="str">
        <f ca="1">IFERROR(__xludf.DUMMYFUNCTION("""COMPUTED_VALUE"""),"P12")</f>
        <v>P12</v>
      </c>
      <c r="D49" s="1" t="str">
        <f ca="1">IFERROR(__xludf.DUMMYFUNCTION("""COMPUTED_VALUE"""),"21-12")</f>
        <v>21-12</v>
      </c>
      <c r="E49" s="1" t="str">
        <f ca="1">IFERROR(__xludf.DUMMYFUNCTION("""COMPUTED_VALUE"""),"+14.62")</f>
        <v>+14.62</v>
      </c>
      <c r="F49" s="1">
        <f ca="1">IFERROR(__xludf.DUMMYFUNCTION("""COMPUTED_VALUE"""),106.5)</f>
        <v>106.5</v>
      </c>
      <c r="G49" s="1">
        <f ca="1">IFERROR(__xludf.DUMMYFUNCTION("""COMPUTED_VALUE"""),109)</f>
        <v>109</v>
      </c>
      <c r="H49" s="1">
        <f ca="1">IFERROR(__xludf.DUMMYFUNCTION("""COMPUTED_VALUE"""),91.9)</f>
        <v>91.9</v>
      </c>
      <c r="I49" s="1">
        <f ca="1">IFERROR(__xludf.DUMMYFUNCTION("""COMPUTED_VALUE"""),23)</f>
        <v>23</v>
      </c>
      <c r="J49" s="1">
        <f ca="1">IFERROR(__xludf.DUMMYFUNCTION("""COMPUTED_VALUE"""),63.7)</f>
        <v>63.7</v>
      </c>
      <c r="K49" s="1">
        <f ca="1">IFERROR(__xludf.DUMMYFUNCTION("""COMPUTED_VALUE"""),215)</f>
        <v>215</v>
      </c>
      <c r="L49" s="1" t="str">
        <f ca="1">IFERROR(__xludf.DUMMYFUNCTION("""COMPUTED_VALUE"""),"+.029")</f>
        <v>+.029</v>
      </c>
      <c r="M49" s="1">
        <f ca="1">IFERROR(__xludf.DUMMYFUNCTION("""COMPUTED_VALUE"""),104)</f>
        <v>104</v>
      </c>
      <c r="N49" s="1" t="str">
        <f ca="1">IFERROR(__xludf.DUMMYFUNCTION("""COMPUTED_VALUE"""),"+9.15")</f>
        <v>+9.15</v>
      </c>
      <c r="O49" s="1">
        <f ca="1">IFERROR(__xludf.DUMMYFUNCTION("""COMPUTED_VALUE"""),15)</f>
        <v>15</v>
      </c>
      <c r="P49" s="1">
        <f ca="1">IFERROR(__xludf.DUMMYFUNCTION("""COMPUTED_VALUE"""),107.3)</f>
        <v>107.3</v>
      </c>
      <c r="Q49" s="1">
        <f ca="1">IFERROR(__xludf.DUMMYFUNCTION("""COMPUTED_VALUE"""),13)</f>
        <v>13</v>
      </c>
      <c r="R49" s="1">
        <f ca="1">IFERROR(__xludf.DUMMYFUNCTION("""COMPUTED_VALUE"""),98.1)</f>
        <v>98.1</v>
      </c>
      <c r="S49" s="1">
        <f ca="1">IFERROR(__xludf.DUMMYFUNCTION("""COMPUTED_VALUE"""),18)</f>
        <v>18</v>
      </c>
      <c r="T49" s="1" t="str">
        <f ca="1">IFERROR(__xludf.DUMMYFUNCTION("""COMPUTED_VALUE"""),"+3.80")</f>
        <v>+3.80</v>
      </c>
      <c r="U49" s="1">
        <f ca="1">IFERROR(__xludf.DUMMYFUNCTION("""COMPUTED_VALUE"""),67)</f>
        <v>67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IFERROR(__xludf.DUMMYFUNCTION("""COMPUTED_VALUE"""),"UCLA6")</f>
        <v>UCLA6</v>
      </c>
      <c r="C50" s="1" t="str">
        <f ca="1">IFERROR(__xludf.DUMMYFUNCTION("""COMPUTED_VALUE"""),"P12")</f>
        <v>P12</v>
      </c>
      <c r="D50" s="1" t="str">
        <f ca="1">IFERROR(__xludf.DUMMYFUNCTION("""COMPUTED_VALUE"""),"25-10")</f>
        <v>25-10</v>
      </c>
      <c r="E50" s="1" t="str">
        <f ca="1">IFERROR(__xludf.DUMMYFUNCTION("""COMPUTED_VALUE"""),"+14.53")</f>
        <v>+14.53</v>
      </c>
      <c r="F50" s="1">
        <f ca="1">IFERROR(__xludf.DUMMYFUNCTION("""COMPUTED_VALUE"""),111.1)</f>
        <v>111.1</v>
      </c>
      <c r="G50" s="1">
        <f ca="1">IFERROR(__xludf.DUMMYFUNCTION("""COMPUTED_VALUE"""),42)</f>
        <v>42</v>
      </c>
      <c r="H50" s="1">
        <f ca="1">IFERROR(__xludf.DUMMYFUNCTION("""COMPUTED_VALUE"""),96.6)</f>
        <v>96.6</v>
      </c>
      <c r="I50" s="1">
        <f ca="1">IFERROR(__xludf.DUMMYFUNCTION("""COMPUTED_VALUE"""),67)</f>
        <v>67</v>
      </c>
      <c r="J50" s="1">
        <f ca="1">IFERROR(__xludf.DUMMYFUNCTION("""COMPUTED_VALUE"""),68.1)</f>
        <v>68.099999999999994</v>
      </c>
      <c r="K50" s="1">
        <f ca="1">IFERROR(__xludf.DUMMYFUNCTION("""COMPUTED_VALUE"""),35)</f>
        <v>35</v>
      </c>
      <c r="L50" s="1" t="str">
        <f ca="1">IFERROR(__xludf.DUMMYFUNCTION("""COMPUTED_VALUE"""),"+.068")</f>
        <v>+.068</v>
      </c>
      <c r="M50" s="1">
        <f ca="1">IFERROR(__xludf.DUMMYFUNCTION("""COMPUTED_VALUE"""),32)</f>
        <v>32</v>
      </c>
      <c r="N50" s="1" t="str">
        <f ca="1">IFERROR(__xludf.DUMMYFUNCTION("""COMPUTED_VALUE"""),"+8.06")</f>
        <v>+8.06</v>
      </c>
      <c r="O50" s="1">
        <f ca="1">IFERROR(__xludf.DUMMYFUNCTION("""COMPUTED_VALUE"""),22)</f>
        <v>22</v>
      </c>
      <c r="P50" s="1">
        <f ca="1">IFERROR(__xludf.DUMMYFUNCTION("""COMPUTED_VALUE"""),105.9)</f>
        <v>105.9</v>
      </c>
      <c r="Q50" s="1">
        <f ca="1">IFERROR(__xludf.DUMMYFUNCTION("""COMPUTED_VALUE"""),44)</f>
        <v>44</v>
      </c>
      <c r="R50" s="1">
        <f ca="1">IFERROR(__xludf.DUMMYFUNCTION("""COMPUTED_VALUE"""),97.9)</f>
        <v>97.9</v>
      </c>
      <c r="S50" s="1">
        <f ca="1">IFERROR(__xludf.DUMMYFUNCTION("""COMPUTED_VALUE"""),16)</f>
        <v>16</v>
      </c>
      <c r="T50" s="1" t="str">
        <f ca="1">IFERROR(__xludf.DUMMYFUNCTION("""COMPUTED_VALUE"""),"+0.43")</f>
        <v>+0.43</v>
      </c>
      <c r="U50" s="1">
        <f ca="1">IFERROR(__xludf.DUMMYFUNCTION("""COMPUTED_VALUE"""),139)</f>
        <v>139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IFERROR(__xludf.DUMMYFUNCTION("""COMPUTED_VALUE"""),"Denver3")</f>
        <v>Denver3</v>
      </c>
      <c r="C51" s="1" t="str">
        <f ca="1">IFERROR(__xludf.DUMMYFUNCTION("""COMPUTED_VALUE"""),"WAC")</f>
        <v>WAC</v>
      </c>
      <c r="D51" s="1" t="str">
        <f ca="1">IFERROR(__xludf.DUMMYFUNCTION("""COMPUTED_VALUE"""),"22-10")</f>
        <v>22-10</v>
      </c>
      <c r="E51" s="1" t="str">
        <f ca="1">IFERROR(__xludf.DUMMYFUNCTION("""COMPUTED_VALUE"""),"+14.30")</f>
        <v>+14.30</v>
      </c>
      <c r="F51" s="1">
        <f ca="1">IFERROR(__xludf.DUMMYFUNCTION("""COMPUTED_VALUE"""),110)</f>
        <v>110</v>
      </c>
      <c r="G51" s="1">
        <f ca="1">IFERROR(__xludf.DUMMYFUNCTION("""COMPUTED_VALUE"""),52)</f>
        <v>52</v>
      </c>
      <c r="H51" s="1">
        <f ca="1">IFERROR(__xludf.DUMMYFUNCTION("""COMPUTED_VALUE"""),95.7)</f>
        <v>95.7</v>
      </c>
      <c r="I51" s="1">
        <f ca="1">IFERROR(__xludf.DUMMYFUNCTION("""COMPUTED_VALUE"""),56)</f>
        <v>56</v>
      </c>
      <c r="J51" s="1">
        <f ca="1">IFERROR(__xludf.DUMMYFUNCTION("""COMPUTED_VALUE"""),57.5)</f>
        <v>57.5</v>
      </c>
      <c r="K51" s="1">
        <f ca="1">IFERROR(__xludf.DUMMYFUNCTION("""COMPUTED_VALUE"""),346)</f>
        <v>346</v>
      </c>
      <c r="L51" s="1">
        <f ca="1">IFERROR(__xludf.DUMMYFUNCTION("""COMPUTED_VALUE"""),-0.044)</f>
        <v>-4.3999999999999997E-2</v>
      </c>
      <c r="M51" s="1">
        <f ca="1">IFERROR(__xludf.DUMMYFUNCTION("""COMPUTED_VALUE"""),285)</f>
        <v>285</v>
      </c>
      <c r="N51" s="1">
        <f ca="1">IFERROR(__xludf.DUMMYFUNCTION("""COMPUTED_VALUE"""),-0.09)</f>
        <v>-0.09</v>
      </c>
      <c r="O51" s="1">
        <f ca="1">IFERROR(__xludf.DUMMYFUNCTION("""COMPUTED_VALUE"""),143)</f>
        <v>143</v>
      </c>
      <c r="P51" s="1">
        <f ca="1">IFERROR(__xludf.DUMMYFUNCTION("""COMPUTED_VALUE"""),102.8)</f>
        <v>102.8</v>
      </c>
      <c r="Q51" s="1">
        <f ca="1">IFERROR(__xludf.DUMMYFUNCTION("""COMPUTED_VALUE"""),144)</f>
        <v>144</v>
      </c>
      <c r="R51" s="1">
        <f ca="1">IFERROR(__xludf.DUMMYFUNCTION("""COMPUTED_VALUE"""),102.9)</f>
        <v>102.9</v>
      </c>
      <c r="S51" s="1">
        <f ca="1">IFERROR(__xludf.DUMMYFUNCTION("""COMPUTED_VALUE"""),159)</f>
        <v>159</v>
      </c>
      <c r="T51" s="1" t="str">
        <f ca="1">IFERROR(__xludf.DUMMYFUNCTION("""COMPUTED_VALUE"""),"+3.70")</f>
        <v>+3.70</v>
      </c>
      <c r="U51" s="1">
        <f ca="1">IFERROR(__xludf.DUMMYFUNCTION("""COMPUTED_VALUE"""),69)</f>
        <v>69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IFERROR(__xludf.DUMMYFUNCTION("""COMPUTED_VALUE"""),"Stanford4")</f>
        <v>Stanford4</v>
      </c>
      <c r="C52" s="1" t="str">
        <f ca="1">IFERROR(__xludf.DUMMYFUNCTION("""COMPUTED_VALUE"""),"P12")</f>
        <v>P12</v>
      </c>
      <c r="D52" s="1" t="str">
        <f ca="1">IFERROR(__xludf.DUMMYFUNCTION("""COMPUTED_VALUE"""),"19-15")</f>
        <v>19-15</v>
      </c>
      <c r="E52" s="1" t="str">
        <f ca="1">IFERROR(__xludf.DUMMYFUNCTION("""COMPUTED_VALUE"""),"+14.18")</f>
        <v>+14.18</v>
      </c>
      <c r="F52" s="1">
        <f ca="1">IFERROR(__xludf.DUMMYFUNCTION("""COMPUTED_VALUE"""),109.9)</f>
        <v>109.9</v>
      </c>
      <c r="G52" s="1">
        <f ca="1">IFERROR(__xludf.DUMMYFUNCTION("""COMPUTED_VALUE"""),56)</f>
        <v>56</v>
      </c>
      <c r="H52" s="1">
        <f ca="1">IFERROR(__xludf.DUMMYFUNCTION("""COMPUTED_VALUE"""),95.7)</f>
        <v>95.7</v>
      </c>
      <c r="I52" s="1">
        <f ca="1">IFERROR(__xludf.DUMMYFUNCTION("""COMPUTED_VALUE"""),57)</f>
        <v>57</v>
      </c>
      <c r="J52" s="1">
        <f ca="1">IFERROR(__xludf.DUMMYFUNCTION("""COMPUTED_VALUE"""),66.7)</f>
        <v>66.7</v>
      </c>
      <c r="K52" s="1">
        <f ca="1">IFERROR(__xludf.DUMMYFUNCTION("""COMPUTED_VALUE"""),72)</f>
        <v>72</v>
      </c>
      <c r="L52" s="1">
        <f ca="1">IFERROR(__xludf.DUMMYFUNCTION("""COMPUTED_VALUE"""),-0.075)</f>
        <v>-7.4999999999999997E-2</v>
      </c>
      <c r="M52" s="1">
        <f ca="1">IFERROR(__xludf.DUMMYFUNCTION("""COMPUTED_VALUE"""),323)</f>
        <v>323</v>
      </c>
      <c r="N52" s="1" t="str">
        <f ca="1">IFERROR(__xludf.DUMMYFUNCTION("""COMPUTED_VALUE"""),"+7.88")</f>
        <v>+7.88</v>
      </c>
      <c r="O52" s="1">
        <f ca="1">IFERROR(__xludf.DUMMYFUNCTION("""COMPUTED_VALUE"""),26)</f>
        <v>26</v>
      </c>
      <c r="P52" s="1">
        <f ca="1">IFERROR(__xludf.DUMMYFUNCTION("""COMPUTED_VALUE"""),106.3)</f>
        <v>106.3</v>
      </c>
      <c r="Q52" s="1">
        <f ca="1">IFERROR(__xludf.DUMMYFUNCTION("""COMPUTED_VALUE"""),33)</f>
        <v>33</v>
      </c>
      <c r="R52" s="1">
        <f ca="1">IFERROR(__xludf.DUMMYFUNCTION("""COMPUTED_VALUE"""),98.5)</f>
        <v>98.5</v>
      </c>
      <c r="S52" s="1">
        <f ca="1">IFERROR(__xludf.DUMMYFUNCTION("""COMPUTED_VALUE"""),28)</f>
        <v>28</v>
      </c>
      <c r="T52" s="1" t="str">
        <f ca="1">IFERROR(__xludf.DUMMYFUNCTION("""COMPUTED_VALUE"""),"+2.77")</f>
        <v>+2.77</v>
      </c>
      <c r="U52" s="1">
        <f ca="1">IFERROR(__xludf.DUMMYFUNCTION("""COMPUTED_VALUE"""),85)</f>
        <v>85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IFERROR(__xludf.DUMMYFUNCTION("""COMPUTED_VALUE"""),"Connecticut")</f>
        <v>Connecticut</v>
      </c>
      <c r="C53" s="1" t="str">
        <f ca="1">IFERROR(__xludf.DUMMYFUNCTION("""COMPUTED_VALUE"""),"BE")</f>
        <v>BE</v>
      </c>
      <c r="D53" s="1" t="str">
        <f ca="1">IFERROR(__xludf.DUMMYFUNCTION("""COMPUTED_VALUE"""),"20-10")</f>
        <v>20-10</v>
      </c>
      <c r="E53" s="1" t="str">
        <f ca="1">IFERROR(__xludf.DUMMYFUNCTION("""COMPUTED_VALUE"""),"+14.05")</f>
        <v>+14.05</v>
      </c>
      <c r="F53" s="1">
        <f ca="1">IFERROR(__xludf.DUMMYFUNCTION("""COMPUTED_VALUE"""),109.9)</f>
        <v>109.9</v>
      </c>
      <c r="G53" s="1">
        <f ca="1">IFERROR(__xludf.DUMMYFUNCTION("""COMPUTED_VALUE"""),55)</f>
        <v>55</v>
      </c>
      <c r="H53" s="1">
        <f ca="1">IFERROR(__xludf.DUMMYFUNCTION("""COMPUTED_VALUE"""),95.9)</f>
        <v>95.9</v>
      </c>
      <c r="I53" s="1">
        <f ca="1">IFERROR(__xludf.DUMMYFUNCTION("""COMPUTED_VALUE"""),60)</f>
        <v>60</v>
      </c>
      <c r="J53" s="1">
        <f ca="1">IFERROR(__xludf.DUMMYFUNCTION("""COMPUTED_VALUE"""),63.8)</f>
        <v>63.8</v>
      </c>
      <c r="K53" s="1">
        <f ca="1">IFERROR(__xludf.DUMMYFUNCTION("""COMPUTED_VALUE"""),206)</f>
        <v>206</v>
      </c>
      <c r="L53" s="1" t="str">
        <f ca="1">IFERROR(__xludf.DUMMYFUNCTION("""COMPUTED_VALUE"""),"+.011")</f>
        <v>+.011</v>
      </c>
      <c r="M53" s="1">
        <f ca="1">IFERROR(__xludf.DUMMYFUNCTION("""COMPUTED_VALUE"""),149)</f>
        <v>149</v>
      </c>
      <c r="N53" s="1" t="str">
        <f ca="1">IFERROR(__xludf.DUMMYFUNCTION("""COMPUTED_VALUE"""),"+7.49")</f>
        <v>+7.49</v>
      </c>
      <c r="O53" s="1">
        <f ca="1">IFERROR(__xludf.DUMMYFUNCTION("""COMPUTED_VALUE"""),32)</f>
        <v>32</v>
      </c>
      <c r="P53" s="1">
        <f ca="1">IFERROR(__xludf.DUMMYFUNCTION("""COMPUTED_VALUE"""),105.6)</f>
        <v>105.6</v>
      </c>
      <c r="Q53" s="1">
        <f ca="1">IFERROR(__xludf.DUMMYFUNCTION("""COMPUTED_VALUE"""),62)</f>
        <v>62</v>
      </c>
      <c r="R53" s="1">
        <f ca="1">IFERROR(__xludf.DUMMYFUNCTION("""COMPUTED_VALUE"""),98.1)</f>
        <v>98.1</v>
      </c>
      <c r="S53" s="1">
        <f ca="1">IFERROR(__xludf.DUMMYFUNCTION("""COMPUTED_VALUE"""),19)</f>
        <v>19</v>
      </c>
      <c r="T53" s="1" t="str">
        <f ca="1">IFERROR(__xludf.DUMMYFUNCTION("""COMPUTED_VALUE"""),"+0.29")</f>
        <v>+0.29</v>
      </c>
      <c r="U53" s="1">
        <f ca="1">IFERROR(__xludf.DUMMYFUNCTION("""COMPUTED_VALUE"""),145)</f>
        <v>145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IFERROR(__xludf.DUMMYFUNCTION("""COMPUTED_VALUE"""),"La Salle13")</f>
        <v>La Salle13</v>
      </c>
      <c r="C54" s="1" t="str">
        <f ca="1">IFERROR(__xludf.DUMMYFUNCTION("""COMPUTED_VALUE"""),"A10")</f>
        <v>A10</v>
      </c>
      <c r="D54" s="1" t="str">
        <f ca="1">IFERROR(__xludf.DUMMYFUNCTION("""COMPUTED_VALUE"""),"24-10")</f>
        <v>24-10</v>
      </c>
      <c r="E54" s="1" t="str">
        <f ca="1">IFERROR(__xludf.DUMMYFUNCTION("""COMPUTED_VALUE"""),"+13.89")</f>
        <v>+13.89</v>
      </c>
      <c r="F54" s="1">
        <f ca="1">IFERROR(__xludf.DUMMYFUNCTION("""COMPUTED_VALUE"""),111.8)</f>
        <v>111.8</v>
      </c>
      <c r="G54" s="1">
        <f ca="1">IFERROR(__xludf.DUMMYFUNCTION("""COMPUTED_VALUE"""),34)</f>
        <v>34</v>
      </c>
      <c r="H54" s="1">
        <f ca="1">IFERROR(__xludf.DUMMYFUNCTION("""COMPUTED_VALUE"""),98)</f>
        <v>98</v>
      </c>
      <c r="I54" s="1">
        <f ca="1">IFERROR(__xludf.DUMMYFUNCTION("""COMPUTED_VALUE"""),87)</f>
        <v>87</v>
      </c>
      <c r="J54" s="1">
        <f ca="1">IFERROR(__xludf.DUMMYFUNCTION("""COMPUTED_VALUE"""),64.6)</f>
        <v>64.599999999999994</v>
      </c>
      <c r="K54" s="1">
        <f ca="1">IFERROR(__xludf.DUMMYFUNCTION("""COMPUTED_VALUE"""),177)</f>
        <v>177</v>
      </c>
      <c r="L54" s="1" t="str">
        <f ca="1">IFERROR(__xludf.DUMMYFUNCTION("""COMPUTED_VALUE"""),"+.051")</f>
        <v>+.051</v>
      </c>
      <c r="M54" s="1">
        <f ca="1">IFERROR(__xludf.DUMMYFUNCTION("""COMPUTED_VALUE"""),50)</f>
        <v>50</v>
      </c>
      <c r="N54" s="1" t="str">
        <f ca="1">IFERROR(__xludf.DUMMYFUNCTION("""COMPUTED_VALUE"""),"+5.67")</f>
        <v>+5.67</v>
      </c>
      <c r="O54" s="1">
        <f ca="1">IFERROR(__xludf.DUMMYFUNCTION("""COMPUTED_VALUE"""),68)</f>
        <v>68</v>
      </c>
      <c r="P54" s="1">
        <f ca="1">IFERROR(__xludf.DUMMYFUNCTION("""COMPUTED_VALUE"""),105.8)</f>
        <v>105.8</v>
      </c>
      <c r="Q54" s="1">
        <f ca="1">IFERROR(__xludf.DUMMYFUNCTION("""COMPUTED_VALUE"""),53)</f>
        <v>53</v>
      </c>
      <c r="R54" s="1">
        <f ca="1">IFERROR(__xludf.DUMMYFUNCTION("""COMPUTED_VALUE"""),100.1)</f>
        <v>100.1</v>
      </c>
      <c r="S54" s="1">
        <f ca="1">IFERROR(__xludf.DUMMYFUNCTION("""COMPUTED_VALUE"""),77)</f>
        <v>77</v>
      </c>
      <c r="T54" s="1">
        <f ca="1">IFERROR(__xludf.DUMMYFUNCTION("""COMPUTED_VALUE"""),-0.5)</f>
        <v>-0.5</v>
      </c>
      <c r="U54" s="1">
        <f ca="1">IFERROR(__xludf.DUMMYFUNCTION("""COMPUTED_VALUE"""),174)</f>
        <v>174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IFERROR(__xludf.DUMMYFUNCTION("""COMPUTED_VALUE"""),"Oklahoma10")</f>
        <v>Oklahoma10</v>
      </c>
      <c r="C55" s="1" t="str">
        <f ca="1">IFERROR(__xludf.DUMMYFUNCTION("""COMPUTED_VALUE"""),"B12")</f>
        <v>B12</v>
      </c>
      <c r="D55" s="1" t="str">
        <f ca="1">IFERROR(__xludf.DUMMYFUNCTION("""COMPUTED_VALUE"""),"20-12")</f>
        <v>20-12</v>
      </c>
      <c r="E55" s="1" t="str">
        <f ca="1">IFERROR(__xludf.DUMMYFUNCTION("""COMPUTED_VALUE"""),"+13.80")</f>
        <v>+13.80</v>
      </c>
      <c r="F55" s="1">
        <f ca="1">IFERROR(__xludf.DUMMYFUNCTION("""COMPUTED_VALUE"""),111.1)</f>
        <v>111.1</v>
      </c>
      <c r="G55" s="1">
        <f ca="1">IFERROR(__xludf.DUMMYFUNCTION("""COMPUTED_VALUE"""),41)</f>
        <v>41</v>
      </c>
      <c r="H55" s="1">
        <f ca="1">IFERROR(__xludf.DUMMYFUNCTION("""COMPUTED_VALUE"""),97.3)</f>
        <v>97.3</v>
      </c>
      <c r="I55" s="1">
        <f ca="1">IFERROR(__xludf.DUMMYFUNCTION("""COMPUTED_VALUE"""),80)</f>
        <v>80</v>
      </c>
      <c r="J55" s="1">
        <f ca="1">IFERROR(__xludf.DUMMYFUNCTION("""COMPUTED_VALUE"""),65.2)</f>
        <v>65.2</v>
      </c>
      <c r="K55" s="1">
        <f ca="1">IFERROR(__xludf.DUMMYFUNCTION("""COMPUTED_VALUE"""),141)</f>
        <v>141</v>
      </c>
      <c r="L55" s="1" t="str">
        <f ca="1">IFERROR(__xludf.DUMMYFUNCTION("""COMPUTED_VALUE"""),"+.004")</f>
        <v>+.004</v>
      </c>
      <c r="M55" s="1">
        <f ca="1">IFERROR(__xludf.DUMMYFUNCTION("""COMPUTED_VALUE"""),166)</f>
        <v>166</v>
      </c>
      <c r="N55" s="1" t="str">
        <f ca="1">IFERROR(__xludf.DUMMYFUNCTION("""COMPUTED_VALUE"""),"+7.80")</f>
        <v>+7.80</v>
      </c>
      <c r="O55" s="1">
        <f ca="1">IFERROR(__xludf.DUMMYFUNCTION("""COMPUTED_VALUE"""),27)</f>
        <v>27</v>
      </c>
      <c r="P55" s="1">
        <f ca="1">IFERROR(__xludf.DUMMYFUNCTION("""COMPUTED_VALUE"""),106.4)</f>
        <v>106.4</v>
      </c>
      <c r="Q55" s="1">
        <f ca="1">IFERROR(__xludf.DUMMYFUNCTION("""COMPUTED_VALUE"""),30)</f>
        <v>30</v>
      </c>
      <c r="R55" s="1">
        <f ca="1">IFERROR(__xludf.DUMMYFUNCTION("""COMPUTED_VALUE"""),98.6)</f>
        <v>98.6</v>
      </c>
      <c r="S55" s="1">
        <f ca="1">IFERROR(__xludf.DUMMYFUNCTION("""COMPUTED_VALUE"""),31)</f>
        <v>31</v>
      </c>
      <c r="T55" s="1" t="str">
        <f ca="1">IFERROR(__xludf.DUMMYFUNCTION("""COMPUTED_VALUE"""),"+2.47")</f>
        <v>+2.47</v>
      </c>
      <c r="U55" s="1">
        <f ca="1">IFERROR(__xludf.DUMMYFUNCTION("""COMPUTED_VALUE"""),91)</f>
        <v>91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IFERROR(__xludf.DUMMYFUNCTION("""COMPUTED_VALUE"""),"Maryland2")</f>
        <v>Maryland2</v>
      </c>
      <c r="C56" s="1" t="str">
        <f ca="1">IFERROR(__xludf.DUMMYFUNCTION("""COMPUTED_VALUE"""),"ACC")</f>
        <v>ACC</v>
      </c>
      <c r="D56" s="1" t="str">
        <f ca="1">IFERROR(__xludf.DUMMYFUNCTION("""COMPUTED_VALUE"""),"25-13")</f>
        <v>25-13</v>
      </c>
      <c r="E56" s="1" t="str">
        <f ca="1">IFERROR(__xludf.DUMMYFUNCTION("""COMPUTED_VALUE"""),"+13.62")</f>
        <v>+13.62</v>
      </c>
      <c r="F56" s="1">
        <f ca="1">IFERROR(__xludf.DUMMYFUNCTION("""COMPUTED_VALUE"""),107.1)</f>
        <v>107.1</v>
      </c>
      <c r="G56" s="1">
        <f ca="1">IFERROR(__xludf.DUMMYFUNCTION("""COMPUTED_VALUE"""),96)</f>
        <v>96</v>
      </c>
      <c r="H56" s="1">
        <f ca="1">IFERROR(__xludf.DUMMYFUNCTION("""COMPUTED_VALUE"""),93.4)</f>
        <v>93.4</v>
      </c>
      <c r="I56" s="1">
        <f ca="1">IFERROR(__xludf.DUMMYFUNCTION("""COMPUTED_VALUE"""),31)</f>
        <v>31</v>
      </c>
      <c r="J56" s="1">
        <f ca="1">IFERROR(__xludf.DUMMYFUNCTION("""COMPUTED_VALUE"""),66.2)</f>
        <v>66.2</v>
      </c>
      <c r="K56" s="1">
        <f ca="1">IFERROR(__xludf.DUMMYFUNCTION("""COMPUTED_VALUE"""),97)</f>
        <v>97</v>
      </c>
      <c r="L56" s="1">
        <f ca="1">IFERROR(__xludf.DUMMYFUNCTION("""COMPUTED_VALUE"""),-0.032)</f>
        <v>-3.2000000000000001E-2</v>
      </c>
      <c r="M56" s="1">
        <f ca="1">IFERROR(__xludf.DUMMYFUNCTION("""COMPUTED_VALUE"""),262)</f>
        <v>262</v>
      </c>
      <c r="N56" s="1" t="str">
        <f ca="1">IFERROR(__xludf.DUMMYFUNCTION("""COMPUTED_VALUE"""),"+4.07")</f>
        <v>+4.07</v>
      </c>
      <c r="O56" s="1">
        <f ca="1">IFERROR(__xludf.DUMMYFUNCTION("""COMPUTED_VALUE"""),94)</f>
        <v>94</v>
      </c>
      <c r="P56" s="1">
        <f ca="1">IFERROR(__xludf.DUMMYFUNCTION("""COMPUTED_VALUE"""),105.3)</f>
        <v>105.3</v>
      </c>
      <c r="Q56" s="1">
        <f ca="1">IFERROR(__xludf.DUMMYFUNCTION("""COMPUTED_VALUE"""),77)</f>
        <v>77</v>
      </c>
      <c r="R56" s="1">
        <f ca="1">IFERROR(__xludf.DUMMYFUNCTION("""COMPUTED_VALUE"""),101.2)</f>
        <v>101.2</v>
      </c>
      <c r="S56" s="1">
        <f ca="1">IFERROR(__xludf.DUMMYFUNCTION("""COMPUTED_VALUE"""),107)</f>
        <v>107</v>
      </c>
      <c r="T56" s="1">
        <f ca="1">IFERROR(__xludf.DUMMYFUNCTION("""COMPUTED_VALUE"""),-11.03)</f>
        <v>-11.03</v>
      </c>
      <c r="U56" s="1">
        <f ca="1">IFERROR(__xludf.DUMMYFUNCTION("""COMPUTED_VALUE"""),344)</f>
        <v>344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IFERROR(__xludf.DUMMYFUNCTION("""COMPUTED_VALUE"""),"Villanova9")</f>
        <v>Villanova9</v>
      </c>
      <c r="C57" s="1" t="str">
        <f ca="1">IFERROR(__xludf.DUMMYFUNCTION("""COMPUTED_VALUE"""),"BE")</f>
        <v>BE</v>
      </c>
      <c r="D57" s="1" t="str">
        <f ca="1">IFERROR(__xludf.DUMMYFUNCTION("""COMPUTED_VALUE"""),"20-14")</f>
        <v>20-14</v>
      </c>
      <c r="E57" s="1" t="str">
        <f ca="1">IFERROR(__xludf.DUMMYFUNCTION("""COMPUTED_VALUE"""),"+13.57")</f>
        <v>+13.57</v>
      </c>
      <c r="F57" s="1">
        <f ca="1">IFERROR(__xludf.DUMMYFUNCTION("""COMPUTED_VALUE"""),106.3)</f>
        <v>106.3</v>
      </c>
      <c r="G57" s="1">
        <f ca="1">IFERROR(__xludf.DUMMYFUNCTION("""COMPUTED_VALUE"""),113)</f>
        <v>113</v>
      </c>
      <c r="H57" s="1">
        <f ca="1">IFERROR(__xludf.DUMMYFUNCTION("""COMPUTED_VALUE"""),92.7)</f>
        <v>92.7</v>
      </c>
      <c r="I57" s="1">
        <f ca="1">IFERROR(__xludf.DUMMYFUNCTION("""COMPUTED_VALUE"""),29)</f>
        <v>29</v>
      </c>
      <c r="J57" s="1">
        <f ca="1">IFERROR(__xludf.DUMMYFUNCTION("""COMPUTED_VALUE"""),66.4)</f>
        <v>66.400000000000006</v>
      </c>
      <c r="K57" s="1">
        <f ca="1">IFERROR(__xludf.DUMMYFUNCTION("""COMPUTED_VALUE"""),88)</f>
        <v>88</v>
      </c>
      <c r="L57" s="1" t="str">
        <f ca="1">IFERROR(__xludf.DUMMYFUNCTION("""COMPUTED_VALUE"""),"+.011")</f>
        <v>+.011</v>
      </c>
      <c r="M57" s="1">
        <f ca="1">IFERROR(__xludf.DUMMYFUNCTION("""COMPUTED_VALUE"""),150)</f>
        <v>150</v>
      </c>
      <c r="N57" s="1" t="str">
        <f ca="1">IFERROR(__xludf.DUMMYFUNCTION("""COMPUTED_VALUE"""),"+9.41")</f>
        <v>+9.41</v>
      </c>
      <c r="O57" s="1">
        <f ca="1">IFERROR(__xludf.DUMMYFUNCTION("""COMPUTED_VALUE"""),12)</f>
        <v>12</v>
      </c>
      <c r="P57" s="1">
        <f ca="1">IFERROR(__xludf.DUMMYFUNCTION("""COMPUTED_VALUE"""),106.5)</f>
        <v>106.5</v>
      </c>
      <c r="Q57" s="1">
        <f ca="1">IFERROR(__xludf.DUMMYFUNCTION("""COMPUTED_VALUE"""),27)</f>
        <v>27</v>
      </c>
      <c r="R57" s="1">
        <f ca="1">IFERROR(__xludf.DUMMYFUNCTION("""COMPUTED_VALUE"""),97.1)</f>
        <v>97.1</v>
      </c>
      <c r="S57" s="1">
        <f ca="1">IFERROR(__xludf.DUMMYFUNCTION("""COMPUTED_VALUE"""),4)</f>
        <v>4</v>
      </c>
      <c r="T57" s="1" t="str">
        <f ca="1">IFERROR(__xludf.DUMMYFUNCTION("""COMPUTED_VALUE"""),"+0.30")</f>
        <v>+0.30</v>
      </c>
      <c r="U57" s="1">
        <f ca="1">IFERROR(__xludf.DUMMYFUNCTION("""COMPUTED_VALUE"""),143)</f>
        <v>143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IFERROR(__xludf.DUMMYFUNCTION("""COMPUTED_VALUE"""),"Boise St.13")</f>
        <v>Boise St.13</v>
      </c>
      <c r="C58" s="1" t="str">
        <f ca="1">IFERROR(__xludf.DUMMYFUNCTION("""COMPUTED_VALUE"""),"MWC")</f>
        <v>MWC</v>
      </c>
      <c r="D58" s="1" t="str">
        <f ca="1">IFERROR(__xludf.DUMMYFUNCTION("""COMPUTED_VALUE"""),"21-11")</f>
        <v>21-11</v>
      </c>
      <c r="E58" s="1" t="str">
        <f ca="1">IFERROR(__xludf.DUMMYFUNCTION("""COMPUTED_VALUE"""),"+13.54")</f>
        <v>+13.54</v>
      </c>
      <c r="F58" s="1">
        <f ca="1">IFERROR(__xludf.DUMMYFUNCTION("""COMPUTED_VALUE"""),113.2)</f>
        <v>113.2</v>
      </c>
      <c r="G58" s="1">
        <f ca="1">IFERROR(__xludf.DUMMYFUNCTION("""COMPUTED_VALUE"""),25)</f>
        <v>25</v>
      </c>
      <c r="H58" s="1">
        <f ca="1">IFERROR(__xludf.DUMMYFUNCTION("""COMPUTED_VALUE"""),99.7)</f>
        <v>99.7</v>
      </c>
      <c r="I58" s="1">
        <f ca="1">IFERROR(__xludf.DUMMYFUNCTION("""COMPUTED_VALUE"""),119)</f>
        <v>119</v>
      </c>
      <c r="J58" s="1">
        <f ca="1">IFERROR(__xludf.DUMMYFUNCTION("""COMPUTED_VALUE"""),64.8)</f>
        <v>64.8</v>
      </c>
      <c r="K58" s="1">
        <f ca="1">IFERROR(__xludf.DUMMYFUNCTION("""COMPUTED_VALUE"""),166)</f>
        <v>166</v>
      </c>
      <c r="L58" s="1" t="str">
        <f ca="1">IFERROR(__xludf.DUMMYFUNCTION("""COMPUTED_VALUE"""),"+.004")</f>
        <v>+.004</v>
      </c>
      <c r="M58" s="1">
        <f ca="1">IFERROR(__xludf.DUMMYFUNCTION("""COMPUTED_VALUE"""),165)</f>
        <v>165</v>
      </c>
      <c r="N58" s="1" t="str">
        <f ca="1">IFERROR(__xludf.DUMMYFUNCTION("""COMPUTED_VALUE"""),"+6.74")</f>
        <v>+6.74</v>
      </c>
      <c r="O58" s="1">
        <f ca="1">IFERROR(__xludf.DUMMYFUNCTION("""COMPUTED_VALUE"""),49)</f>
        <v>49</v>
      </c>
      <c r="P58" s="1">
        <f ca="1">IFERROR(__xludf.DUMMYFUNCTION("""COMPUTED_VALUE"""),105.9)</f>
        <v>105.9</v>
      </c>
      <c r="Q58" s="1">
        <f ca="1">IFERROR(__xludf.DUMMYFUNCTION("""COMPUTED_VALUE"""),45)</f>
        <v>45</v>
      </c>
      <c r="R58" s="1">
        <f ca="1">IFERROR(__xludf.DUMMYFUNCTION("""COMPUTED_VALUE"""),99.2)</f>
        <v>99.2</v>
      </c>
      <c r="S58" s="1">
        <f ca="1">IFERROR(__xludf.DUMMYFUNCTION("""COMPUTED_VALUE"""),52)</f>
        <v>52</v>
      </c>
      <c r="T58" s="1">
        <f ca="1">IFERROR(__xludf.DUMMYFUNCTION("""COMPUTED_VALUE"""),-1.38)</f>
        <v>-1.38</v>
      </c>
      <c r="U58" s="1">
        <f ca="1">IFERROR(__xludf.DUMMYFUNCTION("""COMPUTED_VALUE"""),205)</f>
        <v>205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IFERROR(__xludf.DUMMYFUNCTION("""COMPUTED_VALUE"""),"Kentucky1")</f>
        <v>Kentucky1</v>
      </c>
      <c r="C59" s="1" t="str">
        <f ca="1">IFERROR(__xludf.DUMMYFUNCTION("""COMPUTED_VALUE"""),"SEC")</f>
        <v>SEC</v>
      </c>
      <c r="D59" s="1" t="str">
        <f ca="1">IFERROR(__xludf.DUMMYFUNCTION("""COMPUTED_VALUE"""),"21-12")</f>
        <v>21-12</v>
      </c>
      <c r="E59" s="1" t="str">
        <f ca="1">IFERROR(__xludf.DUMMYFUNCTION("""COMPUTED_VALUE"""),"+13.25")</f>
        <v>+13.25</v>
      </c>
      <c r="F59" s="1">
        <f ca="1">IFERROR(__xludf.DUMMYFUNCTION("""COMPUTED_VALUE"""),111.4)</f>
        <v>111.4</v>
      </c>
      <c r="G59" s="1">
        <f ca="1">IFERROR(__xludf.DUMMYFUNCTION("""COMPUTED_VALUE"""),38)</f>
        <v>38</v>
      </c>
      <c r="H59" s="1">
        <f ca="1">IFERROR(__xludf.DUMMYFUNCTION("""COMPUTED_VALUE"""),98.1)</f>
        <v>98.1</v>
      </c>
      <c r="I59" s="1">
        <f ca="1">IFERROR(__xludf.DUMMYFUNCTION("""COMPUTED_VALUE"""),88)</f>
        <v>88</v>
      </c>
      <c r="J59" s="1">
        <f ca="1">IFERROR(__xludf.DUMMYFUNCTION("""COMPUTED_VALUE"""),65.4)</f>
        <v>65.400000000000006</v>
      </c>
      <c r="K59" s="1">
        <f ca="1">IFERROR(__xludf.DUMMYFUNCTION("""COMPUTED_VALUE"""),135)</f>
        <v>135</v>
      </c>
      <c r="L59" s="1">
        <f ca="1">IFERROR(__xludf.DUMMYFUNCTION("""COMPUTED_VALUE"""),-0.006)</f>
        <v>-6.0000000000000001E-3</v>
      </c>
      <c r="M59" s="1">
        <f ca="1">IFERROR(__xludf.DUMMYFUNCTION("""COMPUTED_VALUE"""),194)</f>
        <v>194</v>
      </c>
      <c r="N59" s="1" t="str">
        <f ca="1">IFERROR(__xludf.DUMMYFUNCTION("""COMPUTED_VALUE"""),"+4.90")</f>
        <v>+4.90</v>
      </c>
      <c r="O59" s="1">
        <f ca="1">IFERROR(__xludf.DUMMYFUNCTION("""COMPUTED_VALUE"""),80)</f>
        <v>80</v>
      </c>
      <c r="P59" s="1">
        <f ca="1">IFERROR(__xludf.DUMMYFUNCTION("""COMPUTED_VALUE"""),104.8)</f>
        <v>104.8</v>
      </c>
      <c r="Q59" s="1">
        <f ca="1">IFERROR(__xludf.DUMMYFUNCTION("""COMPUTED_VALUE"""),96)</f>
        <v>96</v>
      </c>
      <c r="R59" s="1">
        <f ca="1">IFERROR(__xludf.DUMMYFUNCTION("""COMPUTED_VALUE"""),99.9)</f>
        <v>99.9</v>
      </c>
      <c r="S59" s="1">
        <f ca="1">IFERROR(__xludf.DUMMYFUNCTION("""COMPUTED_VALUE"""),68)</f>
        <v>68</v>
      </c>
      <c r="T59" s="1">
        <f ca="1">IFERROR(__xludf.DUMMYFUNCTION("""COMPUTED_VALUE"""),-1.44)</f>
        <v>-1.44</v>
      </c>
      <c r="U59" s="1">
        <f ca="1">IFERROR(__xludf.DUMMYFUNCTION("""COMPUTED_VALUE"""),207)</f>
        <v>207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IFERROR(__xludf.DUMMYFUNCTION("""COMPUTED_VALUE"""),"California12")</f>
        <v>California12</v>
      </c>
      <c r="C60" s="1" t="str">
        <f ca="1">IFERROR(__xludf.DUMMYFUNCTION("""COMPUTED_VALUE"""),"P12")</f>
        <v>P12</v>
      </c>
      <c r="D60" s="1" t="str">
        <f ca="1">IFERROR(__xludf.DUMMYFUNCTION("""COMPUTED_VALUE"""),"21-12")</f>
        <v>21-12</v>
      </c>
      <c r="E60" s="1" t="str">
        <f ca="1">IFERROR(__xludf.DUMMYFUNCTION("""COMPUTED_VALUE"""),"+13.11")</f>
        <v>+13.11</v>
      </c>
      <c r="F60" s="1">
        <f ca="1">IFERROR(__xludf.DUMMYFUNCTION("""COMPUTED_VALUE"""),107.3)</f>
        <v>107.3</v>
      </c>
      <c r="G60" s="1">
        <f ca="1">IFERROR(__xludf.DUMMYFUNCTION("""COMPUTED_VALUE"""),88)</f>
        <v>88</v>
      </c>
      <c r="H60" s="1">
        <f ca="1">IFERROR(__xludf.DUMMYFUNCTION("""COMPUTED_VALUE"""),94.2)</f>
        <v>94.2</v>
      </c>
      <c r="I60" s="1">
        <f ca="1">IFERROR(__xludf.DUMMYFUNCTION("""COMPUTED_VALUE"""),39)</f>
        <v>39</v>
      </c>
      <c r="J60" s="1">
        <f ca="1">IFERROR(__xludf.DUMMYFUNCTION("""COMPUTED_VALUE"""),64.9)</f>
        <v>64.900000000000006</v>
      </c>
      <c r="K60" s="1">
        <f ca="1">IFERROR(__xludf.DUMMYFUNCTION("""COMPUTED_VALUE"""),159)</f>
        <v>159</v>
      </c>
      <c r="L60" s="1" t="str">
        <f ca="1">IFERROR(__xludf.DUMMYFUNCTION("""COMPUTED_VALUE"""),"+.041")</f>
        <v>+.041</v>
      </c>
      <c r="M60" s="1">
        <f ca="1">IFERROR(__xludf.DUMMYFUNCTION("""COMPUTED_VALUE"""),77)</f>
        <v>77</v>
      </c>
      <c r="N60" s="1" t="str">
        <f ca="1">IFERROR(__xludf.DUMMYFUNCTION("""COMPUTED_VALUE"""),"+8.35")</f>
        <v>+8.35</v>
      </c>
      <c r="O60" s="1">
        <f ca="1">IFERROR(__xludf.DUMMYFUNCTION("""COMPUTED_VALUE"""),21)</f>
        <v>21</v>
      </c>
      <c r="P60" s="1">
        <f ca="1">IFERROR(__xludf.DUMMYFUNCTION("""COMPUTED_VALUE"""),106)</f>
        <v>106</v>
      </c>
      <c r="Q60" s="1">
        <f ca="1">IFERROR(__xludf.DUMMYFUNCTION("""COMPUTED_VALUE"""),43)</f>
        <v>43</v>
      </c>
      <c r="R60" s="1">
        <f ca="1">IFERROR(__xludf.DUMMYFUNCTION("""COMPUTED_VALUE"""),97.6)</f>
        <v>97.6</v>
      </c>
      <c r="S60" s="1">
        <f ca="1">IFERROR(__xludf.DUMMYFUNCTION("""COMPUTED_VALUE"""),10)</f>
        <v>10</v>
      </c>
      <c r="T60" s="1" t="str">
        <f ca="1">IFERROR(__xludf.DUMMYFUNCTION("""COMPUTED_VALUE"""),"+2.12")</f>
        <v>+2.12</v>
      </c>
      <c r="U60" s="1">
        <f ca="1">IFERROR(__xludf.DUMMYFUNCTION("""COMPUTED_VALUE"""),101)</f>
        <v>101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IFERROR(__xludf.DUMMYFUNCTION("""COMPUTED_VALUE"""),"BYU3")</f>
        <v>BYU3</v>
      </c>
      <c r="C61" s="1" t="str">
        <f ca="1">IFERROR(__xludf.DUMMYFUNCTION("""COMPUTED_VALUE"""),"WCC")</f>
        <v>WCC</v>
      </c>
      <c r="D61" s="1" t="str">
        <f ca="1">IFERROR(__xludf.DUMMYFUNCTION("""COMPUTED_VALUE"""),"24-12")</f>
        <v>24-12</v>
      </c>
      <c r="E61" s="1" t="str">
        <f ca="1">IFERROR(__xludf.DUMMYFUNCTION("""COMPUTED_VALUE"""),"+13.04")</f>
        <v>+13.04</v>
      </c>
      <c r="F61" s="1">
        <f ca="1">IFERROR(__xludf.DUMMYFUNCTION("""COMPUTED_VALUE"""),110.2)</f>
        <v>110.2</v>
      </c>
      <c r="G61" s="1">
        <f ca="1">IFERROR(__xludf.DUMMYFUNCTION("""COMPUTED_VALUE"""),50)</f>
        <v>50</v>
      </c>
      <c r="H61" s="1">
        <f ca="1">IFERROR(__xludf.DUMMYFUNCTION("""COMPUTED_VALUE"""),97.2)</f>
        <v>97.2</v>
      </c>
      <c r="I61" s="1">
        <f ca="1">IFERROR(__xludf.DUMMYFUNCTION("""COMPUTED_VALUE"""),79)</f>
        <v>79</v>
      </c>
      <c r="J61" s="1">
        <f ca="1">IFERROR(__xludf.DUMMYFUNCTION("""COMPUTED_VALUE"""),69.9)</f>
        <v>69.900000000000006</v>
      </c>
      <c r="K61" s="1">
        <f ca="1">IFERROR(__xludf.DUMMYFUNCTION("""COMPUTED_VALUE"""),7)</f>
        <v>7</v>
      </c>
      <c r="L61" s="1">
        <f ca="1">IFERROR(__xludf.DUMMYFUNCTION("""COMPUTED_VALUE"""),-0.016)</f>
        <v>-1.6E-2</v>
      </c>
      <c r="M61" s="1">
        <f ca="1">IFERROR(__xludf.DUMMYFUNCTION("""COMPUTED_VALUE"""),227)</f>
        <v>227</v>
      </c>
      <c r="N61" s="1" t="str">
        <f ca="1">IFERROR(__xludf.DUMMYFUNCTION("""COMPUTED_VALUE"""),"+3.15")</f>
        <v>+3.15</v>
      </c>
      <c r="O61" s="1">
        <f ca="1">IFERROR(__xludf.DUMMYFUNCTION("""COMPUTED_VALUE"""),110)</f>
        <v>110</v>
      </c>
      <c r="P61" s="1">
        <f ca="1">IFERROR(__xludf.DUMMYFUNCTION("""COMPUTED_VALUE"""),105.9)</f>
        <v>105.9</v>
      </c>
      <c r="Q61" s="1">
        <f ca="1">IFERROR(__xludf.DUMMYFUNCTION("""COMPUTED_VALUE"""),48)</f>
        <v>48</v>
      </c>
      <c r="R61" s="1">
        <f ca="1">IFERROR(__xludf.DUMMYFUNCTION("""COMPUTED_VALUE"""),102.8)</f>
        <v>102.8</v>
      </c>
      <c r="S61" s="1">
        <f ca="1">IFERROR(__xludf.DUMMYFUNCTION("""COMPUTED_VALUE"""),152)</f>
        <v>152</v>
      </c>
      <c r="T61" s="1" t="str">
        <f ca="1">IFERROR(__xludf.DUMMYFUNCTION("""COMPUTED_VALUE"""),"+0.57")</f>
        <v>+0.57</v>
      </c>
      <c r="U61" s="1">
        <f ca="1">IFERROR(__xludf.DUMMYFUNCTION("""COMPUTED_VALUE"""),135)</f>
        <v>135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IFERROR(__xludf.DUMMYFUNCTION("""COMPUTED_VALUE"""),"Bucknell11")</f>
        <v>Bucknell11</v>
      </c>
      <c r="C62" s="1" t="str">
        <f ca="1">IFERROR(__xludf.DUMMYFUNCTION("""COMPUTED_VALUE"""),"Pat")</f>
        <v>Pat</v>
      </c>
      <c r="D62" s="1" t="str">
        <f ca="1">IFERROR(__xludf.DUMMYFUNCTION("""COMPUTED_VALUE"""),"28-6")</f>
        <v>28-6</v>
      </c>
      <c r="E62" s="1" t="str">
        <f ca="1">IFERROR(__xludf.DUMMYFUNCTION("""COMPUTED_VALUE"""),"+12.72")</f>
        <v>+12.72</v>
      </c>
      <c r="F62" s="1">
        <f ca="1">IFERROR(__xludf.DUMMYFUNCTION("""COMPUTED_VALUE"""),107.3)</f>
        <v>107.3</v>
      </c>
      <c r="G62" s="1">
        <f ca="1">IFERROR(__xludf.DUMMYFUNCTION("""COMPUTED_VALUE"""),87)</f>
        <v>87</v>
      </c>
      <c r="H62" s="1">
        <f ca="1">IFERROR(__xludf.DUMMYFUNCTION("""COMPUTED_VALUE"""),94.6)</f>
        <v>94.6</v>
      </c>
      <c r="I62" s="1">
        <f ca="1">IFERROR(__xludf.DUMMYFUNCTION("""COMPUTED_VALUE"""),43)</f>
        <v>43</v>
      </c>
      <c r="J62" s="1">
        <f ca="1">IFERROR(__xludf.DUMMYFUNCTION("""COMPUTED_VALUE"""),61.9)</f>
        <v>61.9</v>
      </c>
      <c r="K62" s="1">
        <f ca="1">IFERROR(__xludf.DUMMYFUNCTION("""COMPUTED_VALUE"""),282)</f>
        <v>282</v>
      </c>
      <c r="L62" s="1">
        <f ca="1">IFERROR(__xludf.DUMMYFUNCTION("""COMPUTED_VALUE"""),-0.014)</f>
        <v>-1.4E-2</v>
      </c>
      <c r="M62" s="1">
        <f ca="1">IFERROR(__xludf.DUMMYFUNCTION("""COMPUTED_VALUE"""),220)</f>
        <v>220</v>
      </c>
      <c r="N62" s="1">
        <f ca="1">IFERROR(__xludf.DUMMYFUNCTION("""COMPUTED_VALUE"""),-1.72)</f>
        <v>-1.72</v>
      </c>
      <c r="O62" s="1">
        <f ca="1">IFERROR(__xludf.DUMMYFUNCTION("""COMPUTED_VALUE"""),178)</f>
        <v>178</v>
      </c>
      <c r="P62" s="1">
        <f ca="1">IFERROR(__xludf.DUMMYFUNCTION("""COMPUTED_VALUE"""),102.4)</f>
        <v>102.4</v>
      </c>
      <c r="Q62" s="1">
        <f ca="1">IFERROR(__xludf.DUMMYFUNCTION("""COMPUTED_VALUE"""),160)</f>
        <v>160</v>
      </c>
      <c r="R62" s="1">
        <f ca="1">IFERROR(__xludf.DUMMYFUNCTION("""COMPUTED_VALUE"""),104.1)</f>
        <v>104.1</v>
      </c>
      <c r="S62" s="1">
        <f ca="1">IFERROR(__xludf.DUMMYFUNCTION("""COMPUTED_VALUE"""),223)</f>
        <v>223</v>
      </c>
      <c r="T62" s="1" t="str">
        <f ca="1">IFERROR(__xludf.DUMMYFUNCTION("""COMPUTED_VALUE"""),"+2.78")</f>
        <v>+2.78</v>
      </c>
      <c r="U62" s="1">
        <f ca="1">IFERROR(__xludf.DUMMYFUNCTION("""COMPUTED_VALUE"""),84)</f>
        <v>84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IFERROR(__xludf.DUMMYFUNCTION("""COMPUTED_VALUE"""),"Temple9")</f>
        <v>Temple9</v>
      </c>
      <c r="C63" s="1" t="str">
        <f ca="1">IFERROR(__xludf.DUMMYFUNCTION("""COMPUTED_VALUE"""),"A10")</f>
        <v>A10</v>
      </c>
      <c r="D63" s="1" t="str">
        <f ca="1">IFERROR(__xludf.DUMMYFUNCTION("""COMPUTED_VALUE"""),"24-10")</f>
        <v>24-10</v>
      </c>
      <c r="E63" s="1" t="str">
        <f ca="1">IFERROR(__xludf.DUMMYFUNCTION("""COMPUTED_VALUE"""),"+12.67")</f>
        <v>+12.67</v>
      </c>
      <c r="F63" s="1">
        <f ca="1">IFERROR(__xludf.DUMMYFUNCTION("""COMPUTED_VALUE"""),111.3)</f>
        <v>111.3</v>
      </c>
      <c r="G63" s="1">
        <f ca="1">IFERROR(__xludf.DUMMYFUNCTION("""COMPUTED_VALUE"""),39)</f>
        <v>39</v>
      </c>
      <c r="H63" s="1">
        <f ca="1">IFERROR(__xludf.DUMMYFUNCTION("""COMPUTED_VALUE"""),98.6)</f>
        <v>98.6</v>
      </c>
      <c r="I63" s="1">
        <f ca="1">IFERROR(__xludf.DUMMYFUNCTION("""COMPUTED_VALUE"""),100)</f>
        <v>100</v>
      </c>
      <c r="J63" s="1">
        <f ca="1">IFERROR(__xludf.DUMMYFUNCTION("""COMPUTED_VALUE"""),65.6)</f>
        <v>65.599999999999994</v>
      </c>
      <c r="K63" s="1">
        <f ca="1">IFERROR(__xludf.DUMMYFUNCTION("""COMPUTED_VALUE"""),121)</f>
        <v>121</v>
      </c>
      <c r="L63" s="1" t="str">
        <f ca="1">IFERROR(__xludf.DUMMYFUNCTION("""COMPUTED_VALUE"""),"+.038")</f>
        <v>+.038</v>
      </c>
      <c r="M63" s="1">
        <f ca="1">IFERROR(__xludf.DUMMYFUNCTION("""COMPUTED_VALUE"""),87)</f>
        <v>87</v>
      </c>
      <c r="N63" s="1" t="str">
        <f ca="1">IFERROR(__xludf.DUMMYFUNCTION("""COMPUTED_VALUE"""),"+5.48")</f>
        <v>+5.48</v>
      </c>
      <c r="O63" s="1">
        <f ca="1">IFERROR(__xludf.DUMMYFUNCTION("""COMPUTED_VALUE"""),72)</f>
        <v>72</v>
      </c>
      <c r="P63" s="1">
        <f ca="1">IFERROR(__xludf.DUMMYFUNCTION("""COMPUTED_VALUE"""),105.7)</f>
        <v>105.7</v>
      </c>
      <c r="Q63" s="1">
        <f ca="1">IFERROR(__xludf.DUMMYFUNCTION("""COMPUTED_VALUE"""),58)</f>
        <v>58</v>
      </c>
      <c r="R63" s="1">
        <f ca="1">IFERROR(__xludf.DUMMYFUNCTION("""COMPUTED_VALUE"""),100.2)</f>
        <v>100.2</v>
      </c>
      <c r="S63" s="1">
        <f ca="1">IFERROR(__xludf.DUMMYFUNCTION("""COMPUTED_VALUE"""),82)</f>
        <v>82</v>
      </c>
      <c r="T63" s="1" t="str">
        <f ca="1">IFERROR(__xludf.DUMMYFUNCTION("""COMPUTED_VALUE"""),"+0.82")</f>
        <v>+0.82</v>
      </c>
      <c r="U63" s="1">
        <f ca="1">IFERROR(__xludf.DUMMYFUNCTION("""COMPUTED_VALUE"""),130)</f>
        <v>130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IFERROR(__xludf.DUMMYFUNCTION("""COMPUTED_VALUE"""),"Stony Brook7")</f>
        <v>Stony Brook7</v>
      </c>
      <c r="C64" s="1" t="str">
        <f ca="1">IFERROR(__xludf.DUMMYFUNCTION("""COMPUTED_VALUE"""),"AE")</f>
        <v>AE</v>
      </c>
      <c r="D64" s="1" t="str">
        <f ca="1">IFERROR(__xludf.DUMMYFUNCTION("""COMPUTED_VALUE"""),"25-8")</f>
        <v>25-8</v>
      </c>
      <c r="E64" s="1" t="str">
        <f ca="1">IFERROR(__xludf.DUMMYFUNCTION("""COMPUTED_VALUE"""),"+12.25")</f>
        <v>+12.25</v>
      </c>
      <c r="F64" s="1">
        <f ca="1">IFERROR(__xludf.DUMMYFUNCTION("""COMPUTED_VALUE"""),106.7)</f>
        <v>106.7</v>
      </c>
      <c r="G64" s="1">
        <f ca="1">IFERROR(__xludf.DUMMYFUNCTION("""COMPUTED_VALUE"""),102)</f>
        <v>102</v>
      </c>
      <c r="H64" s="1">
        <f ca="1">IFERROR(__xludf.DUMMYFUNCTION("""COMPUTED_VALUE"""),94.4)</f>
        <v>94.4</v>
      </c>
      <c r="I64" s="1">
        <f ca="1">IFERROR(__xludf.DUMMYFUNCTION("""COMPUTED_VALUE"""),40)</f>
        <v>40</v>
      </c>
      <c r="J64" s="1">
        <f ca="1">IFERROR(__xludf.DUMMYFUNCTION("""COMPUTED_VALUE"""),62.9)</f>
        <v>62.9</v>
      </c>
      <c r="K64" s="1">
        <f ca="1">IFERROR(__xludf.DUMMYFUNCTION("""COMPUTED_VALUE"""),244)</f>
        <v>244</v>
      </c>
      <c r="L64" s="1">
        <f ca="1">IFERROR(__xludf.DUMMYFUNCTION("""COMPUTED_VALUE"""),-0.034)</f>
        <v>-3.4000000000000002E-2</v>
      </c>
      <c r="M64" s="1">
        <f ca="1">IFERROR(__xludf.DUMMYFUNCTION("""COMPUTED_VALUE"""),270)</f>
        <v>270</v>
      </c>
      <c r="N64" s="1">
        <f ca="1">IFERROR(__xludf.DUMMYFUNCTION("""COMPUTED_VALUE"""),-2.71)</f>
        <v>-2.71</v>
      </c>
      <c r="O64" s="1">
        <f ca="1">IFERROR(__xludf.DUMMYFUNCTION("""COMPUTED_VALUE"""),211)</f>
        <v>211</v>
      </c>
      <c r="P64" s="1">
        <f ca="1">IFERROR(__xludf.DUMMYFUNCTION("""COMPUTED_VALUE"""),100.3)</f>
        <v>100.3</v>
      </c>
      <c r="Q64" s="1">
        <f ca="1">IFERROR(__xludf.DUMMYFUNCTION("""COMPUTED_VALUE"""),267)</f>
        <v>267</v>
      </c>
      <c r="R64" s="1">
        <f ca="1">IFERROR(__xludf.DUMMYFUNCTION("""COMPUTED_VALUE"""),103)</f>
        <v>103</v>
      </c>
      <c r="S64" s="1">
        <f ca="1">IFERROR(__xludf.DUMMYFUNCTION("""COMPUTED_VALUE"""),167)</f>
        <v>167</v>
      </c>
      <c r="T64" s="1" t="str">
        <f ca="1">IFERROR(__xludf.DUMMYFUNCTION("""COMPUTED_VALUE"""),"+1.32")</f>
        <v>+1.32</v>
      </c>
      <c r="U64" s="1">
        <f ca="1">IFERROR(__xludf.DUMMYFUNCTION("""COMPUTED_VALUE"""),122)</f>
        <v>122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IFERROR(__xludf.DUMMYFUNCTION("""COMPUTED_VALUE"""),"Southern Miss1")</f>
        <v>Southern Miss1</v>
      </c>
      <c r="C65" s="1" t="str">
        <f ca="1">IFERROR(__xludf.DUMMYFUNCTION("""COMPUTED_VALUE"""),"CUSA")</f>
        <v>CUSA</v>
      </c>
      <c r="D65" s="1" t="str">
        <f ca="1">IFERROR(__xludf.DUMMYFUNCTION("""COMPUTED_VALUE"""),"27-10")</f>
        <v>27-10</v>
      </c>
      <c r="E65" s="1" t="str">
        <f ca="1">IFERROR(__xludf.DUMMYFUNCTION("""COMPUTED_VALUE"""),"+12.19")</f>
        <v>+12.19</v>
      </c>
      <c r="F65" s="1">
        <f ca="1">IFERROR(__xludf.DUMMYFUNCTION("""COMPUTED_VALUE"""),110.4)</f>
        <v>110.4</v>
      </c>
      <c r="G65" s="1">
        <f ca="1">IFERROR(__xludf.DUMMYFUNCTION("""COMPUTED_VALUE"""),49)</f>
        <v>49</v>
      </c>
      <c r="H65" s="1">
        <f ca="1">IFERROR(__xludf.DUMMYFUNCTION("""COMPUTED_VALUE"""),98.2)</f>
        <v>98.2</v>
      </c>
      <c r="I65" s="1">
        <f ca="1">IFERROR(__xludf.DUMMYFUNCTION("""COMPUTED_VALUE"""),90)</f>
        <v>90</v>
      </c>
      <c r="J65" s="1">
        <f ca="1">IFERROR(__xludf.DUMMYFUNCTION("""COMPUTED_VALUE"""),63.3)</f>
        <v>63.3</v>
      </c>
      <c r="K65" s="1">
        <f ca="1">IFERROR(__xludf.DUMMYFUNCTION("""COMPUTED_VALUE"""),227)</f>
        <v>227</v>
      </c>
      <c r="L65" s="1" t="str">
        <f ca="1">IFERROR(__xludf.DUMMYFUNCTION("""COMPUTED_VALUE"""),"+.026")</f>
        <v>+.026</v>
      </c>
      <c r="M65" s="1">
        <f ca="1">IFERROR(__xludf.DUMMYFUNCTION("""COMPUTED_VALUE"""),115)</f>
        <v>115</v>
      </c>
      <c r="N65" s="1" t="str">
        <f ca="1">IFERROR(__xludf.DUMMYFUNCTION("""COMPUTED_VALUE"""),"+2.53")</f>
        <v>+2.53</v>
      </c>
      <c r="O65" s="1">
        <f ca="1">IFERROR(__xludf.DUMMYFUNCTION("""COMPUTED_VALUE"""),116)</f>
        <v>116</v>
      </c>
      <c r="P65" s="1">
        <f ca="1">IFERROR(__xludf.DUMMYFUNCTION("""COMPUTED_VALUE"""),103.6)</f>
        <v>103.6</v>
      </c>
      <c r="Q65" s="1">
        <f ca="1">IFERROR(__xludf.DUMMYFUNCTION("""COMPUTED_VALUE"""),128)</f>
        <v>128</v>
      </c>
      <c r="R65" s="1">
        <f ca="1">IFERROR(__xludf.DUMMYFUNCTION("""COMPUTED_VALUE"""),101.1)</f>
        <v>101.1</v>
      </c>
      <c r="S65" s="1">
        <f ca="1">IFERROR(__xludf.DUMMYFUNCTION("""COMPUTED_VALUE"""),105)</f>
        <v>105</v>
      </c>
      <c r="T65" s="1" t="str">
        <f ca="1">IFERROR(__xludf.DUMMYFUNCTION("""COMPUTED_VALUE"""),"+4.54")</f>
        <v>+4.54</v>
      </c>
      <c r="U65" s="1">
        <f ca="1">IFERROR(__xludf.DUMMYFUNCTION("""COMPUTED_VALUE"""),50)</f>
        <v>50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IFERROR(__xludf.DUMMYFUNCTION("""COMPUTED_VALUE"""),"Akron12")</f>
        <v>Akron12</v>
      </c>
      <c r="C66" s="1" t="str">
        <f ca="1">IFERROR(__xludf.DUMMYFUNCTION("""COMPUTED_VALUE"""),"MAC")</f>
        <v>MAC</v>
      </c>
      <c r="D66" s="1" t="str">
        <f ca="1">IFERROR(__xludf.DUMMYFUNCTION("""COMPUTED_VALUE"""),"26-7")</f>
        <v>26-7</v>
      </c>
      <c r="E66" s="1" t="str">
        <f ca="1">IFERROR(__xludf.DUMMYFUNCTION("""COMPUTED_VALUE"""),"+11.52")</f>
        <v>+11.52</v>
      </c>
      <c r="F66" s="1">
        <f ca="1">IFERROR(__xludf.DUMMYFUNCTION("""COMPUTED_VALUE"""),106.8)</f>
        <v>106.8</v>
      </c>
      <c r="G66" s="1">
        <f ca="1">IFERROR(__xludf.DUMMYFUNCTION("""COMPUTED_VALUE"""),101)</f>
        <v>101</v>
      </c>
      <c r="H66" s="1">
        <f ca="1">IFERROR(__xludf.DUMMYFUNCTION("""COMPUTED_VALUE"""),95.2)</f>
        <v>95.2</v>
      </c>
      <c r="I66" s="1">
        <f ca="1">IFERROR(__xludf.DUMMYFUNCTION("""COMPUTED_VALUE"""),50)</f>
        <v>50</v>
      </c>
      <c r="J66" s="1">
        <f ca="1">IFERROR(__xludf.DUMMYFUNCTION("""COMPUTED_VALUE"""),65.2)</f>
        <v>65.2</v>
      </c>
      <c r="K66" s="1">
        <f ca="1">IFERROR(__xludf.DUMMYFUNCTION("""COMPUTED_VALUE"""),140)</f>
        <v>140</v>
      </c>
      <c r="L66" s="1" t="str">
        <f ca="1">IFERROR(__xludf.DUMMYFUNCTION("""COMPUTED_VALUE"""),"+.085")</f>
        <v>+.085</v>
      </c>
      <c r="M66" s="1">
        <f ca="1">IFERROR(__xludf.DUMMYFUNCTION("""COMPUTED_VALUE"""),17)</f>
        <v>17</v>
      </c>
      <c r="N66" s="1">
        <f ca="1">IFERROR(__xludf.DUMMYFUNCTION("""COMPUTED_VALUE"""),-0.35)</f>
        <v>-0.35</v>
      </c>
      <c r="O66" s="1">
        <f ca="1">IFERROR(__xludf.DUMMYFUNCTION("""COMPUTED_VALUE"""),147)</f>
        <v>147</v>
      </c>
      <c r="P66" s="1">
        <f ca="1">IFERROR(__xludf.DUMMYFUNCTION("""COMPUTED_VALUE"""),102.4)</f>
        <v>102.4</v>
      </c>
      <c r="Q66" s="1">
        <f ca="1">IFERROR(__xludf.DUMMYFUNCTION("""COMPUTED_VALUE"""),157)</f>
        <v>157</v>
      </c>
      <c r="R66" s="1">
        <f ca="1">IFERROR(__xludf.DUMMYFUNCTION("""COMPUTED_VALUE"""),102.7)</f>
        <v>102.7</v>
      </c>
      <c r="S66" s="1">
        <f ca="1">IFERROR(__xludf.DUMMYFUNCTION("""COMPUTED_VALUE"""),150)</f>
        <v>150</v>
      </c>
      <c r="T66" s="1" t="str">
        <f ca="1">IFERROR(__xludf.DUMMYFUNCTION("""COMPUTED_VALUE"""),"+0.28")</f>
        <v>+0.28</v>
      </c>
      <c r="U66" s="1">
        <f ca="1">IFERROR(__xludf.DUMMYFUNCTION("""COMPUTED_VALUE"""),147)</f>
        <v>147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IFERROR(__xludf.DUMMYFUNCTION("""COMPUTED_VALUE"""),"Illinois St.")</f>
        <v>Illinois St.</v>
      </c>
      <c r="C67" s="1" t="str">
        <f ca="1">IFERROR(__xludf.DUMMYFUNCTION("""COMPUTED_VALUE"""),"MVC")</f>
        <v>MVC</v>
      </c>
      <c r="D67" s="1" t="str">
        <f ca="1">IFERROR(__xludf.DUMMYFUNCTION("""COMPUTED_VALUE"""),"18-15")</f>
        <v>18-15</v>
      </c>
      <c r="E67" s="1" t="str">
        <f ca="1">IFERROR(__xludf.DUMMYFUNCTION("""COMPUTED_VALUE"""),"+11.49")</f>
        <v>+11.49</v>
      </c>
      <c r="F67" s="1">
        <f ca="1">IFERROR(__xludf.DUMMYFUNCTION("""COMPUTED_VALUE"""),109.7)</f>
        <v>109.7</v>
      </c>
      <c r="G67" s="1">
        <f ca="1">IFERROR(__xludf.DUMMYFUNCTION("""COMPUTED_VALUE"""),61)</f>
        <v>61</v>
      </c>
      <c r="H67" s="1">
        <f ca="1">IFERROR(__xludf.DUMMYFUNCTION("""COMPUTED_VALUE"""),98.2)</f>
        <v>98.2</v>
      </c>
      <c r="I67" s="1">
        <f ca="1">IFERROR(__xludf.DUMMYFUNCTION("""COMPUTED_VALUE"""),89)</f>
        <v>89</v>
      </c>
      <c r="J67" s="1">
        <f ca="1">IFERROR(__xludf.DUMMYFUNCTION("""COMPUTED_VALUE"""),68.8)</f>
        <v>68.8</v>
      </c>
      <c r="K67" s="1">
        <f ca="1">IFERROR(__xludf.DUMMYFUNCTION("""COMPUTED_VALUE"""),24)</f>
        <v>24</v>
      </c>
      <c r="L67" s="1">
        <f ca="1">IFERROR(__xludf.DUMMYFUNCTION("""COMPUTED_VALUE"""),-0.094)</f>
        <v>-9.4E-2</v>
      </c>
      <c r="M67" s="1">
        <f ca="1">IFERROR(__xludf.DUMMYFUNCTION("""COMPUTED_VALUE"""),335)</f>
        <v>335</v>
      </c>
      <c r="N67" s="1" t="str">
        <f ca="1">IFERROR(__xludf.DUMMYFUNCTION("""COMPUTED_VALUE"""),"+4.14")</f>
        <v>+4.14</v>
      </c>
      <c r="O67" s="1">
        <f ca="1">IFERROR(__xludf.DUMMYFUNCTION("""COMPUTED_VALUE"""),93)</f>
        <v>93</v>
      </c>
      <c r="P67" s="1">
        <f ca="1">IFERROR(__xludf.DUMMYFUNCTION("""COMPUTED_VALUE"""),105)</f>
        <v>105</v>
      </c>
      <c r="Q67" s="1">
        <f ca="1">IFERROR(__xludf.DUMMYFUNCTION("""COMPUTED_VALUE"""),86)</f>
        <v>86</v>
      </c>
      <c r="R67" s="1">
        <f ca="1">IFERROR(__xludf.DUMMYFUNCTION("""COMPUTED_VALUE"""),100.8)</f>
        <v>100.8</v>
      </c>
      <c r="S67" s="1">
        <f ca="1">IFERROR(__xludf.DUMMYFUNCTION("""COMPUTED_VALUE"""),98)</f>
        <v>98</v>
      </c>
      <c r="T67" s="1">
        <f ca="1">IFERROR(__xludf.DUMMYFUNCTION("""COMPUTED_VALUE"""),-2.4)</f>
        <v>-2.4</v>
      </c>
      <c r="U67" s="1">
        <f ca="1">IFERROR(__xludf.DUMMYFUNCTION("""COMPUTED_VALUE"""),239)</f>
        <v>239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IFERROR(__xludf.DUMMYFUNCTION("""COMPUTED_VALUE"""),"Alabama1")</f>
        <v>Alabama1</v>
      </c>
      <c r="C68" s="1" t="str">
        <f ca="1">IFERROR(__xludf.DUMMYFUNCTION("""COMPUTED_VALUE"""),"SEC")</f>
        <v>SEC</v>
      </c>
      <c r="D68" s="1" t="str">
        <f ca="1">IFERROR(__xludf.DUMMYFUNCTION("""COMPUTED_VALUE"""),"23-13")</f>
        <v>23-13</v>
      </c>
      <c r="E68" s="1" t="str">
        <f ca="1">IFERROR(__xludf.DUMMYFUNCTION("""COMPUTED_VALUE"""),"+11.47")</f>
        <v>+11.47</v>
      </c>
      <c r="F68" s="1">
        <f ca="1">IFERROR(__xludf.DUMMYFUNCTION("""COMPUTED_VALUE"""),103.6)</f>
        <v>103.6</v>
      </c>
      <c r="G68" s="1">
        <f ca="1">IFERROR(__xludf.DUMMYFUNCTION("""COMPUTED_VALUE"""),151)</f>
        <v>151</v>
      </c>
      <c r="H68" s="1">
        <f ca="1">IFERROR(__xludf.DUMMYFUNCTION("""COMPUTED_VALUE"""),92.2)</f>
        <v>92.2</v>
      </c>
      <c r="I68" s="1">
        <f ca="1">IFERROR(__xludf.DUMMYFUNCTION("""COMPUTED_VALUE"""),27)</f>
        <v>27</v>
      </c>
      <c r="J68" s="1">
        <f ca="1">IFERROR(__xludf.DUMMYFUNCTION("""COMPUTED_VALUE"""),60.5)</f>
        <v>60.5</v>
      </c>
      <c r="K68" s="1">
        <f ca="1">IFERROR(__xludf.DUMMYFUNCTION("""COMPUTED_VALUE"""),315)</f>
        <v>315</v>
      </c>
      <c r="L68" s="1" t="str">
        <f ca="1">IFERROR(__xludf.DUMMYFUNCTION("""COMPUTED_VALUE"""),"+.001")</f>
        <v>+.001</v>
      </c>
      <c r="M68" s="1">
        <f ca="1">IFERROR(__xludf.DUMMYFUNCTION("""COMPUTED_VALUE"""),175)</f>
        <v>175</v>
      </c>
      <c r="N68" s="1" t="str">
        <f ca="1">IFERROR(__xludf.DUMMYFUNCTION("""COMPUTED_VALUE"""),"+4.52")</f>
        <v>+4.52</v>
      </c>
      <c r="O68" s="1">
        <f ca="1">IFERROR(__xludf.DUMMYFUNCTION("""COMPUTED_VALUE"""),83)</f>
        <v>83</v>
      </c>
      <c r="P68" s="1">
        <f ca="1">IFERROR(__xludf.DUMMYFUNCTION("""COMPUTED_VALUE"""),104.8)</f>
        <v>104.8</v>
      </c>
      <c r="Q68" s="1">
        <f ca="1">IFERROR(__xludf.DUMMYFUNCTION("""COMPUTED_VALUE"""),94)</f>
        <v>94</v>
      </c>
      <c r="R68" s="1">
        <f ca="1">IFERROR(__xludf.DUMMYFUNCTION("""COMPUTED_VALUE"""),100.3)</f>
        <v>100.3</v>
      </c>
      <c r="S68" s="1">
        <f ca="1">IFERROR(__xludf.DUMMYFUNCTION("""COMPUTED_VALUE"""),83)</f>
        <v>83</v>
      </c>
      <c r="T68" s="1" t="str">
        <f ca="1">IFERROR(__xludf.DUMMYFUNCTION("""COMPUTED_VALUE"""),"+1.07")</f>
        <v>+1.07</v>
      </c>
      <c r="U68" s="1">
        <f ca="1">IFERROR(__xludf.DUMMYFUNCTION("""COMPUTED_VALUE"""),127)</f>
        <v>127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IFERROR(__xludf.DUMMYFUNCTION("""COMPUTED_VALUE"""),"Valparaiso14")</f>
        <v>Valparaiso14</v>
      </c>
      <c r="C69" s="1" t="str">
        <f ca="1">IFERROR(__xludf.DUMMYFUNCTION("""COMPUTED_VALUE"""),"Horz")</f>
        <v>Horz</v>
      </c>
      <c r="D69" s="1" t="str">
        <f ca="1">IFERROR(__xludf.DUMMYFUNCTION("""COMPUTED_VALUE"""),"26-8")</f>
        <v>26-8</v>
      </c>
      <c r="E69" s="1" t="str">
        <f ca="1">IFERROR(__xludf.DUMMYFUNCTION("""COMPUTED_VALUE"""),"+11.42")</f>
        <v>+11.42</v>
      </c>
      <c r="F69" s="1">
        <f ca="1">IFERROR(__xludf.DUMMYFUNCTION("""COMPUTED_VALUE"""),110.7)</f>
        <v>110.7</v>
      </c>
      <c r="G69" s="1">
        <f ca="1">IFERROR(__xludf.DUMMYFUNCTION("""COMPUTED_VALUE"""),44)</f>
        <v>44</v>
      </c>
      <c r="H69" s="1">
        <f ca="1">IFERROR(__xludf.DUMMYFUNCTION("""COMPUTED_VALUE"""),99.3)</f>
        <v>99.3</v>
      </c>
      <c r="I69" s="1">
        <f ca="1">IFERROR(__xludf.DUMMYFUNCTION("""COMPUTED_VALUE"""),111)</f>
        <v>111</v>
      </c>
      <c r="J69" s="1">
        <f ca="1">IFERROR(__xludf.DUMMYFUNCTION("""COMPUTED_VALUE"""),64.3)</f>
        <v>64.3</v>
      </c>
      <c r="K69" s="1">
        <f ca="1">IFERROR(__xludf.DUMMYFUNCTION("""COMPUTED_VALUE"""),188)</f>
        <v>188</v>
      </c>
      <c r="L69" s="1" t="str">
        <f ca="1">IFERROR(__xludf.DUMMYFUNCTION("""COMPUTED_VALUE"""),"+.021")</f>
        <v>+.021</v>
      </c>
      <c r="M69" s="1">
        <f ca="1">IFERROR(__xludf.DUMMYFUNCTION("""COMPUTED_VALUE"""),130)</f>
        <v>130</v>
      </c>
      <c r="N69" s="1">
        <f ca="1">IFERROR(__xludf.DUMMYFUNCTION("""COMPUTED_VALUE"""),-1.5)</f>
        <v>-1.5</v>
      </c>
      <c r="O69" s="1">
        <f ca="1">IFERROR(__xludf.DUMMYFUNCTION("""COMPUTED_VALUE"""),173)</f>
        <v>173</v>
      </c>
      <c r="P69" s="1">
        <f ca="1">IFERROR(__xludf.DUMMYFUNCTION("""COMPUTED_VALUE"""),101.5)</f>
        <v>101.5</v>
      </c>
      <c r="Q69" s="1">
        <f ca="1">IFERROR(__xludf.DUMMYFUNCTION("""COMPUTED_VALUE"""),207)</f>
        <v>207</v>
      </c>
      <c r="R69" s="1">
        <f ca="1">IFERROR(__xludf.DUMMYFUNCTION("""COMPUTED_VALUE"""),103)</f>
        <v>103</v>
      </c>
      <c r="S69" s="1">
        <f ca="1">IFERROR(__xludf.DUMMYFUNCTION("""COMPUTED_VALUE"""),168)</f>
        <v>168</v>
      </c>
      <c r="T69" s="1">
        <f ca="1">IFERROR(__xludf.DUMMYFUNCTION("""COMPUTED_VALUE"""),-3.18)</f>
        <v>-3.18</v>
      </c>
      <c r="U69" s="1">
        <f ca="1">IFERROR(__xludf.DUMMYFUNCTION("""COMPUTED_VALUE"""),261)</f>
        <v>261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IFERROR(__xludf.DUMMYFUNCTION("""COMPUTED_VALUE"""),"Davidson14")</f>
        <v>Davidson14</v>
      </c>
      <c r="C70" s="1" t="str">
        <f ca="1">IFERROR(__xludf.DUMMYFUNCTION("""COMPUTED_VALUE"""),"SC")</f>
        <v>SC</v>
      </c>
      <c r="D70" s="1" t="str">
        <f ca="1">IFERROR(__xludf.DUMMYFUNCTION("""COMPUTED_VALUE"""),"26-8")</f>
        <v>26-8</v>
      </c>
      <c r="E70" s="1" t="str">
        <f ca="1">IFERROR(__xludf.DUMMYFUNCTION("""COMPUTED_VALUE"""),"+11.36")</f>
        <v>+11.36</v>
      </c>
      <c r="F70" s="1">
        <f ca="1">IFERROR(__xludf.DUMMYFUNCTION("""COMPUTED_VALUE"""),112.1)</f>
        <v>112.1</v>
      </c>
      <c r="G70" s="1">
        <f ca="1">IFERROR(__xludf.DUMMYFUNCTION("""COMPUTED_VALUE"""),32)</f>
        <v>32</v>
      </c>
      <c r="H70" s="1">
        <f ca="1">IFERROR(__xludf.DUMMYFUNCTION("""COMPUTED_VALUE"""),100.7)</f>
        <v>100.7</v>
      </c>
      <c r="I70" s="1">
        <f ca="1">IFERROR(__xludf.DUMMYFUNCTION("""COMPUTED_VALUE"""),136)</f>
        <v>136</v>
      </c>
      <c r="J70" s="1">
        <f ca="1">IFERROR(__xludf.DUMMYFUNCTION("""COMPUTED_VALUE"""),63.9)</f>
        <v>63.9</v>
      </c>
      <c r="K70" s="1">
        <f ca="1">IFERROR(__xludf.DUMMYFUNCTION("""COMPUTED_VALUE"""),205)</f>
        <v>205</v>
      </c>
      <c r="L70" s="1">
        <f ca="1">IFERROR(__xludf.DUMMYFUNCTION("""COMPUTED_VALUE"""),-0.002)</f>
        <v>-2E-3</v>
      </c>
      <c r="M70" s="1">
        <f ca="1">IFERROR(__xludf.DUMMYFUNCTION("""COMPUTED_VALUE"""),186)</f>
        <v>186</v>
      </c>
      <c r="N70" s="1">
        <f ca="1">IFERROR(__xludf.DUMMYFUNCTION("""COMPUTED_VALUE"""),-5.09)</f>
        <v>-5.09</v>
      </c>
      <c r="O70" s="1">
        <f ca="1">IFERROR(__xludf.DUMMYFUNCTION("""COMPUTED_VALUE"""),269)</f>
        <v>269</v>
      </c>
      <c r="P70" s="1">
        <f ca="1">IFERROR(__xludf.DUMMYFUNCTION("""COMPUTED_VALUE"""),100.3)</f>
        <v>100.3</v>
      </c>
      <c r="Q70" s="1">
        <f ca="1">IFERROR(__xludf.DUMMYFUNCTION("""COMPUTED_VALUE"""),266)</f>
        <v>266</v>
      </c>
      <c r="R70" s="1">
        <f ca="1">IFERROR(__xludf.DUMMYFUNCTION("""COMPUTED_VALUE"""),105.4)</f>
        <v>105.4</v>
      </c>
      <c r="S70" s="1">
        <f ca="1">IFERROR(__xludf.DUMMYFUNCTION("""COMPUTED_VALUE"""),283)</f>
        <v>283</v>
      </c>
      <c r="T70" s="1" t="str">
        <f ca="1">IFERROR(__xludf.DUMMYFUNCTION("""COMPUTED_VALUE"""),"+6.42")</f>
        <v>+6.42</v>
      </c>
      <c r="U70" s="1">
        <f ca="1">IFERROR(__xludf.DUMMYFUNCTION("""COMPUTED_VALUE"""),23)</f>
        <v>23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IFERROR(__xludf.DUMMYFUNCTION("""COMPUTED_VALUE"""),"Dayton")</f>
        <v>Dayton</v>
      </c>
      <c r="C71" s="1" t="str">
        <f ca="1">IFERROR(__xludf.DUMMYFUNCTION("""COMPUTED_VALUE"""),"A10")</f>
        <v>A10</v>
      </c>
      <c r="D71" s="1" t="str">
        <f ca="1">IFERROR(__xludf.DUMMYFUNCTION("""COMPUTED_VALUE"""),"17-14")</f>
        <v>17-14</v>
      </c>
      <c r="E71" s="1" t="str">
        <f ca="1">IFERROR(__xludf.DUMMYFUNCTION("""COMPUTED_VALUE"""),"+11.31")</f>
        <v>+11.31</v>
      </c>
      <c r="F71" s="1">
        <f ca="1">IFERROR(__xludf.DUMMYFUNCTION("""COMPUTED_VALUE"""),112.7)</f>
        <v>112.7</v>
      </c>
      <c r="G71" s="1">
        <f ca="1">IFERROR(__xludf.DUMMYFUNCTION("""COMPUTED_VALUE"""),28)</f>
        <v>28</v>
      </c>
      <c r="H71" s="1">
        <f ca="1">IFERROR(__xludf.DUMMYFUNCTION("""COMPUTED_VALUE"""),101.4)</f>
        <v>101.4</v>
      </c>
      <c r="I71" s="1">
        <f ca="1">IFERROR(__xludf.DUMMYFUNCTION("""COMPUTED_VALUE"""),145)</f>
        <v>145</v>
      </c>
      <c r="J71" s="1">
        <f ca="1">IFERROR(__xludf.DUMMYFUNCTION("""COMPUTED_VALUE"""),64.7)</f>
        <v>64.7</v>
      </c>
      <c r="K71" s="1">
        <f ca="1">IFERROR(__xludf.DUMMYFUNCTION("""COMPUTED_VALUE"""),174)</f>
        <v>174</v>
      </c>
      <c r="L71" s="1">
        <f ca="1">IFERROR(__xludf.DUMMYFUNCTION("""COMPUTED_VALUE"""),-0.1)</f>
        <v>-0.1</v>
      </c>
      <c r="M71" s="1">
        <f ca="1">IFERROR(__xludf.DUMMYFUNCTION("""COMPUTED_VALUE"""),337)</f>
        <v>337</v>
      </c>
      <c r="N71" s="1" t="str">
        <f ca="1">IFERROR(__xludf.DUMMYFUNCTION("""COMPUTED_VALUE"""),"+3.66")</f>
        <v>+3.66</v>
      </c>
      <c r="O71" s="1">
        <f ca="1">IFERROR(__xludf.DUMMYFUNCTION("""COMPUTED_VALUE"""),104)</f>
        <v>104</v>
      </c>
      <c r="P71" s="1">
        <f ca="1">IFERROR(__xludf.DUMMYFUNCTION("""COMPUTED_VALUE"""),103.7)</f>
        <v>103.7</v>
      </c>
      <c r="Q71" s="1">
        <f ca="1">IFERROR(__xludf.DUMMYFUNCTION("""COMPUTED_VALUE"""),121)</f>
        <v>121</v>
      </c>
      <c r="R71" s="1">
        <f ca="1">IFERROR(__xludf.DUMMYFUNCTION("""COMPUTED_VALUE"""),100.1)</f>
        <v>100.1</v>
      </c>
      <c r="S71" s="1">
        <f ca="1">IFERROR(__xludf.DUMMYFUNCTION("""COMPUTED_VALUE"""),76)</f>
        <v>76</v>
      </c>
      <c r="T71" s="1">
        <f ca="1">IFERROR(__xludf.DUMMYFUNCTION("""COMPUTED_VALUE"""),-1.09)</f>
        <v>-1.0900000000000001</v>
      </c>
      <c r="U71" s="1">
        <f ca="1">IFERROR(__xludf.DUMMYFUNCTION("""COMPUTED_VALUE"""),194)</f>
        <v>194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IFERROR(__xludf.DUMMYFUNCTION("""COMPUTED_VALUE"""),"Northern Iowa")</f>
        <v>Northern Iowa</v>
      </c>
      <c r="C72" s="1" t="str">
        <f ca="1">IFERROR(__xludf.DUMMYFUNCTION("""COMPUTED_VALUE"""),"MVC")</f>
        <v>MVC</v>
      </c>
      <c r="D72" s="1" t="str">
        <f ca="1">IFERROR(__xludf.DUMMYFUNCTION("""COMPUTED_VALUE"""),"21-15")</f>
        <v>21-15</v>
      </c>
      <c r="E72" s="1" t="str">
        <f ca="1">IFERROR(__xludf.DUMMYFUNCTION("""COMPUTED_VALUE"""),"+10.84")</f>
        <v>+10.84</v>
      </c>
      <c r="F72" s="1">
        <f ca="1">IFERROR(__xludf.DUMMYFUNCTION("""COMPUTED_VALUE"""),106.8)</f>
        <v>106.8</v>
      </c>
      <c r="G72" s="1">
        <f ca="1">IFERROR(__xludf.DUMMYFUNCTION("""COMPUTED_VALUE"""),100)</f>
        <v>100</v>
      </c>
      <c r="H72" s="1">
        <f ca="1">IFERROR(__xludf.DUMMYFUNCTION("""COMPUTED_VALUE"""),96)</f>
        <v>96</v>
      </c>
      <c r="I72" s="1">
        <f ca="1">IFERROR(__xludf.DUMMYFUNCTION("""COMPUTED_VALUE"""),61)</f>
        <v>61</v>
      </c>
      <c r="J72" s="1">
        <f ca="1">IFERROR(__xludf.DUMMYFUNCTION("""COMPUTED_VALUE"""),61.8)</f>
        <v>61.8</v>
      </c>
      <c r="K72" s="1">
        <f ca="1">IFERROR(__xludf.DUMMYFUNCTION("""COMPUTED_VALUE"""),288)</f>
        <v>288</v>
      </c>
      <c r="L72" s="1">
        <f ca="1">IFERROR(__xludf.DUMMYFUNCTION("""COMPUTED_VALUE"""),-0.034)</f>
        <v>-3.4000000000000002E-2</v>
      </c>
      <c r="M72" s="1">
        <f ca="1">IFERROR(__xludf.DUMMYFUNCTION("""COMPUTED_VALUE"""),269)</f>
        <v>269</v>
      </c>
      <c r="N72" s="1" t="str">
        <f ca="1">IFERROR(__xludf.DUMMYFUNCTION("""COMPUTED_VALUE"""),"+5.34")</f>
        <v>+5.34</v>
      </c>
      <c r="O72" s="1">
        <f ca="1">IFERROR(__xludf.DUMMYFUNCTION("""COMPUTED_VALUE"""),74)</f>
        <v>74</v>
      </c>
      <c r="P72" s="1">
        <f ca="1">IFERROR(__xludf.DUMMYFUNCTION("""COMPUTED_VALUE"""),105.6)</f>
        <v>105.6</v>
      </c>
      <c r="Q72" s="1">
        <f ca="1">IFERROR(__xludf.DUMMYFUNCTION("""COMPUTED_VALUE"""),68)</f>
        <v>68</v>
      </c>
      <c r="R72" s="1">
        <f ca="1">IFERROR(__xludf.DUMMYFUNCTION("""COMPUTED_VALUE"""),100.2)</f>
        <v>100.2</v>
      </c>
      <c r="S72" s="1">
        <f ca="1">IFERROR(__xludf.DUMMYFUNCTION("""COMPUTED_VALUE"""),81)</f>
        <v>81</v>
      </c>
      <c r="T72" s="1" t="str">
        <f ca="1">IFERROR(__xludf.DUMMYFUNCTION("""COMPUTED_VALUE"""),"+6.52")</f>
        <v>+6.52</v>
      </c>
      <c r="U72" s="1">
        <f ca="1">IFERROR(__xludf.DUMMYFUNCTION("""COMPUTED_VALUE"""),21)</f>
        <v>21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IFERROR(__xludf.DUMMYFUNCTION("""COMPUTED_VALUE"""),"Providence4")</f>
        <v>Providence4</v>
      </c>
      <c r="C73" s="1" t="str">
        <f ca="1">IFERROR(__xludf.DUMMYFUNCTION("""COMPUTED_VALUE"""),"BE")</f>
        <v>BE</v>
      </c>
      <c r="D73" s="1" t="str">
        <f ca="1">IFERROR(__xludf.DUMMYFUNCTION("""COMPUTED_VALUE"""),"19-15")</f>
        <v>19-15</v>
      </c>
      <c r="E73" s="1" t="str">
        <f ca="1">IFERROR(__xludf.DUMMYFUNCTION("""COMPUTED_VALUE"""),"+10.75")</f>
        <v>+10.75</v>
      </c>
      <c r="F73" s="1">
        <f ca="1">IFERROR(__xludf.DUMMYFUNCTION("""COMPUTED_VALUE"""),107.9)</f>
        <v>107.9</v>
      </c>
      <c r="G73" s="1">
        <f ca="1">IFERROR(__xludf.DUMMYFUNCTION("""COMPUTED_VALUE"""),76)</f>
        <v>76</v>
      </c>
      <c r="H73" s="1">
        <f ca="1">IFERROR(__xludf.DUMMYFUNCTION("""COMPUTED_VALUE"""),97.2)</f>
        <v>97.2</v>
      </c>
      <c r="I73" s="1">
        <f ca="1">IFERROR(__xludf.DUMMYFUNCTION("""COMPUTED_VALUE"""),78)</f>
        <v>78</v>
      </c>
      <c r="J73" s="1">
        <f ca="1">IFERROR(__xludf.DUMMYFUNCTION("""COMPUTED_VALUE"""),64.9)</f>
        <v>64.900000000000006</v>
      </c>
      <c r="K73" s="1">
        <f ca="1">IFERROR(__xludf.DUMMYFUNCTION("""COMPUTED_VALUE"""),160)</f>
        <v>160</v>
      </c>
      <c r="L73" s="1">
        <f ca="1">IFERROR(__xludf.DUMMYFUNCTION("""COMPUTED_VALUE"""),-0.027)</f>
        <v>-2.7E-2</v>
      </c>
      <c r="M73" s="1">
        <f ca="1">IFERROR(__xludf.DUMMYFUNCTION("""COMPUTED_VALUE"""),252)</f>
        <v>252</v>
      </c>
      <c r="N73" s="1" t="str">
        <f ca="1">IFERROR(__xludf.DUMMYFUNCTION("""COMPUTED_VALUE"""),"+5.77")</f>
        <v>+5.77</v>
      </c>
      <c r="O73" s="1">
        <f ca="1">IFERROR(__xludf.DUMMYFUNCTION("""COMPUTED_VALUE"""),65)</f>
        <v>65</v>
      </c>
      <c r="P73" s="1">
        <f ca="1">IFERROR(__xludf.DUMMYFUNCTION("""COMPUTED_VALUE"""),104.7)</f>
        <v>104.7</v>
      </c>
      <c r="Q73" s="1">
        <f ca="1">IFERROR(__xludf.DUMMYFUNCTION("""COMPUTED_VALUE"""),97)</f>
        <v>97</v>
      </c>
      <c r="R73" s="1">
        <f ca="1">IFERROR(__xludf.DUMMYFUNCTION("""COMPUTED_VALUE"""),98.9)</f>
        <v>98.9</v>
      </c>
      <c r="S73" s="1">
        <f ca="1">IFERROR(__xludf.DUMMYFUNCTION("""COMPUTED_VALUE"""),42)</f>
        <v>42</v>
      </c>
      <c r="T73" s="1">
        <f ca="1">IFERROR(__xludf.DUMMYFUNCTION("""COMPUTED_VALUE"""),-5.77)</f>
        <v>-5.77</v>
      </c>
      <c r="U73" s="1">
        <f ca="1">IFERROR(__xludf.DUMMYFUNCTION("""COMPUTED_VALUE"""),306)</f>
        <v>306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IFERROR(__xludf.DUMMYFUNCTION("""COMPUTED_VALUE"""),"Stephen F. Austin5")</f>
        <v>Stephen F. Austin5</v>
      </c>
      <c r="C74" s="1" t="str">
        <f ca="1">IFERROR(__xludf.DUMMYFUNCTION("""COMPUTED_VALUE"""),"Slnd")</f>
        <v>Slnd</v>
      </c>
      <c r="D74" s="1" t="str">
        <f ca="1">IFERROR(__xludf.DUMMYFUNCTION("""COMPUTED_VALUE"""),"27-5")</f>
        <v>27-5</v>
      </c>
      <c r="E74" s="1" t="str">
        <f ca="1">IFERROR(__xludf.DUMMYFUNCTION("""COMPUTED_VALUE"""),"+10.68")</f>
        <v>+10.68</v>
      </c>
      <c r="F74" s="1">
        <f ca="1">IFERROR(__xludf.DUMMYFUNCTION("""COMPUTED_VALUE"""),100.4)</f>
        <v>100.4</v>
      </c>
      <c r="G74" s="1">
        <f ca="1">IFERROR(__xludf.DUMMYFUNCTION("""COMPUTED_VALUE"""),215)</f>
        <v>215</v>
      </c>
      <c r="H74" s="1">
        <f ca="1">IFERROR(__xludf.DUMMYFUNCTION("""COMPUTED_VALUE"""),89.7)</f>
        <v>89.7</v>
      </c>
      <c r="I74" s="1">
        <f ca="1">IFERROR(__xludf.DUMMYFUNCTION("""COMPUTED_VALUE"""),10)</f>
        <v>10</v>
      </c>
      <c r="J74" s="1">
        <f ca="1">IFERROR(__xludf.DUMMYFUNCTION("""COMPUTED_VALUE"""),59.5)</f>
        <v>59.5</v>
      </c>
      <c r="K74" s="1">
        <f ca="1">IFERROR(__xludf.DUMMYFUNCTION("""COMPUTED_VALUE"""),332)</f>
        <v>332</v>
      </c>
      <c r="L74" s="1">
        <f ca="1">IFERROR(__xludf.DUMMYFUNCTION("""COMPUTED_VALUE"""),-0.021)</f>
        <v>-2.1000000000000001E-2</v>
      </c>
      <c r="M74" s="1">
        <f ca="1">IFERROR(__xludf.DUMMYFUNCTION("""COMPUTED_VALUE"""),238)</f>
        <v>238</v>
      </c>
      <c r="N74" s="1">
        <f ca="1">IFERROR(__xludf.DUMMYFUNCTION("""COMPUTED_VALUE"""),-6.39)</f>
        <v>-6.39</v>
      </c>
      <c r="O74" s="1">
        <f ca="1">IFERROR(__xludf.DUMMYFUNCTION("""COMPUTED_VALUE"""),307)</f>
        <v>307</v>
      </c>
      <c r="P74" s="1">
        <f ca="1">IFERROR(__xludf.DUMMYFUNCTION("""COMPUTED_VALUE"""),99.3)</f>
        <v>99.3</v>
      </c>
      <c r="Q74" s="1">
        <f ca="1">IFERROR(__xludf.DUMMYFUNCTION("""COMPUTED_VALUE"""),307)</f>
        <v>307</v>
      </c>
      <c r="R74" s="1">
        <f ca="1">IFERROR(__xludf.DUMMYFUNCTION("""COMPUTED_VALUE"""),105.7)</f>
        <v>105.7</v>
      </c>
      <c r="S74" s="1">
        <f ca="1">IFERROR(__xludf.DUMMYFUNCTION("""COMPUTED_VALUE"""),307)</f>
        <v>307</v>
      </c>
      <c r="T74" s="1" t="str">
        <f ca="1">IFERROR(__xludf.DUMMYFUNCTION("""COMPUTED_VALUE"""),"+2.29")</f>
        <v>+2.29</v>
      </c>
      <c r="U74" s="1">
        <f ca="1">IFERROR(__xludf.DUMMYFUNCTION("""COMPUTED_VALUE"""),98)</f>
        <v>98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IFERROR(__xludf.DUMMYFUNCTION("""COMPUTED_VALUE"""),"Weber St.")</f>
        <v>Weber St.</v>
      </c>
      <c r="C75" s="1" t="str">
        <f ca="1">IFERROR(__xludf.DUMMYFUNCTION("""COMPUTED_VALUE"""),"BSky")</f>
        <v>BSky</v>
      </c>
      <c r="D75" s="1" t="str">
        <f ca="1">IFERROR(__xludf.DUMMYFUNCTION("""COMPUTED_VALUE"""),"30-7")</f>
        <v>30-7</v>
      </c>
      <c r="E75" s="1" t="str">
        <f ca="1">IFERROR(__xludf.DUMMYFUNCTION("""COMPUTED_VALUE"""),"+10.65")</f>
        <v>+10.65</v>
      </c>
      <c r="F75" s="1">
        <f ca="1">IFERROR(__xludf.DUMMYFUNCTION("""COMPUTED_VALUE"""),109.1)</f>
        <v>109.1</v>
      </c>
      <c r="G75" s="1">
        <f ca="1">IFERROR(__xludf.DUMMYFUNCTION("""COMPUTED_VALUE"""),65)</f>
        <v>65</v>
      </c>
      <c r="H75" s="1">
        <f ca="1">IFERROR(__xludf.DUMMYFUNCTION("""COMPUTED_VALUE"""),98.4)</f>
        <v>98.4</v>
      </c>
      <c r="I75" s="1">
        <f ca="1">IFERROR(__xludf.DUMMYFUNCTION("""COMPUTED_VALUE"""),95)</f>
        <v>95</v>
      </c>
      <c r="J75" s="1">
        <f ca="1">IFERROR(__xludf.DUMMYFUNCTION("""COMPUTED_VALUE"""),64.1)</f>
        <v>64.099999999999994</v>
      </c>
      <c r="K75" s="1">
        <f ca="1">IFERROR(__xludf.DUMMYFUNCTION("""COMPUTED_VALUE"""),196)</f>
        <v>196</v>
      </c>
      <c r="L75" s="1">
        <f ca="1">IFERROR(__xludf.DUMMYFUNCTION("""COMPUTED_VALUE"""),-0.016)</f>
        <v>-1.6E-2</v>
      </c>
      <c r="M75" s="1">
        <f ca="1">IFERROR(__xludf.DUMMYFUNCTION("""COMPUTED_VALUE"""),231)</f>
        <v>231</v>
      </c>
      <c r="N75" s="1">
        <f ca="1">IFERROR(__xludf.DUMMYFUNCTION("""COMPUTED_VALUE"""),-6.8)</f>
        <v>-6.8</v>
      </c>
      <c r="O75" s="1">
        <f ca="1">IFERROR(__xludf.DUMMYFUNCTION("""COMPUTED_VALUE"""),313)</f>
        <v>313</v>
      </c>
      <c r="P75" s="1">
        <f ca="1">IFERROR(__xludf.DUMMYFUNCTION("""COMPUTED_VALUE"""),100.5)</f>
        <v>100.5</v>
      </c>
      <c r="Q75" s="1">
        <f ca="1">IFERROR(__xludf.DUMMYFUNCTION("""COMPUTED_VALUE"""),249)</f>
        <v>249</v>
      </c>
      <c r="R75" s="1">
        <f ca="1">IFERROR(__xludf.DUMMYFUNCTION("""COMPUTED_VALUE"""),107.3)</f>
        <v>107.3</v>
      </c>
      <c r="S75" s="1">
        <f ca="1">IFERROR(__xludf.DUMMYFUNCTION("""COMPUTED_VALUE"""),342)</f>
        <v>342</v>
      </c>
      <c r="T75" s="1" t="str">
        <f ca="1">IFERROR(__xludf.DUMMYFUNCTION("""COMPUTED_VALUE"""),"+1.69")</f>
        <v>+1.69</v>
      </c>
      <c r="U75" s="1">
        <f ca="1">IFERROR(__xludf.DUMMYFUNCTION("""COMPUTED_VALUE"""),111)</f>
        <v>111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IFERROR(__xludf.DUMMYFUNCTION("""COMPUTED_VALUE"""),"Arizona St.3")</f>
        <v>Arizona St.3</v>
      </c>
      <c r="C76" s="1" t="str">
        <f ca="1">IFERROR(__xludf.DUMMYFUNCTION("""COMPUTED_VALUE"""),"P12")</f>
        <v>P12</v>
      </c>
      <c r="D76" s="1" t="str">
        <f ca="1">IFERROR(__xludf.DUMMYFUNCTION("""COMPUTED_VALUE"""),"22-13")</f>
        <v>22-13</v>
      </c>
      <c r="E76" s="1" t="str">
        <f ca="1">IFERROR(__xludf.DUMMYFUNCTION("""COMPUTED_VALUE"""),"+10.50")</f>
        <v>+10.50</v>
      </c>
      <c r="F76" s="1">
        <f ca="1">IFERROR(__xludf.DUMMYFUNCTION("""COMPUTED_VALUE"""),108.3)</f>
        <v>108.3</v>
      </c>
      <c r="G76" s="1">
        <f ca="1">IFERROR(__xludf.DUMMYFUNCTION("""COMPUTED_VALUE"""),72)</f>
        <v>72</v>
      </c>
      <c r="H76" s="1">
        <f ca="1">IFERROR(__xludf.DUMMYFUNCTION("""COMPUTED_VALUE"""),97.8)</f>
        <v>97.8</v>
      </c>
      <c r="I76" s="1">
        <f ca="1">IFERROR(__xludf.DUMMYFUNCTION("""COMPUTED_VALUE"""),85)</f>
        <v>85</v>
      </c>
      <c r="J76" s="1">
        <f ca="1">IFERROR(__xludf.DUMMYFUNCTION("""COMPUTED_VALUE"""),64.8)</f>
        <v>64.8</v>
      </c>
      <c r="K76" s="1">
        <f ca="1">IFERROR(__xludf.DUMMYFUNCTION("""COMPUTED_VALUE"""),167)</f>
        <v>167</v>
      </c>
      <c r="L76" s="1">
        <f ca="1">IFERROR(__xludf.DUMMYFUNCTION("""COMPUTED_VALUE"""),-0.014)</f>
        <v>-1.4E-2</v>
      </c>
      <c r="M76" s="1">
        <f ca="1">IFERROR(__xludf.DUMMYFUNCTION("""COMPUTED_VALUE"""),219)</f>
        <v>219</v>
      </c>
      <c r="N76" s="1" t="str">
        <f ca="1">IFERROR(__xludf.DUMMYFUNCTION("""COMPUTED_VALUE"""),"+3.91")</f>
        <v>+3.91</v>
      </c>
      <c r="O76" s="1">
        <f ca="1">IFERROR(__xludf.DUMMYFUNCTION("""COMPUTED_VALUE"""),98)</f>
        <v>98</v>
      </c>
      <c r="P76" s="1">
        <f ca="1">IFERROR(__xludf.DUMMYFUNCTION("""COMPUTED_VALUE"""),104.8)</f>
        <v>104.8</v>
      </c>
      <c r="Q76" s="1">
        <f ca="1">IFERROR(__xludf.DUMMYFUNCTION("""COMPUTED_VALUE"""),95)</f>
        <v>95</v>
      </c>
      <c r="R76" s="1">
        <f ca="1">IFERROR(__xludf.DUMMYFUNCTION("""COMPUTED_VALUE"""),100.9)</f>
        <v>100.9</v>
      </c>
      <c r="S76" s="1">
        <f ca="1">IFERROR(__xludf.DUMMYFUNCTION("""COMPUTED_VALUE"""),100)</f>
        <v>100</v>
      </c>
      <c r="T76" s="1">
        <f ca="1">IFERROR(__xludf.DUMMYFUNCTION("""COMPUTED_VALUE"""),-11.29)</f>
        <v>-11.29</v>
      </c>
      <c r="U76" s="1">
        <f ca="1">IFERROR(__xludf.DUMMYFUNCTION("""COMPUTED_VALUE"""),345)</f>
        <v>345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IFERROR(__xludf.DUMMYFUNCTION("""COMPUTED_VALUE"""),"Tennessee2")</f>
        <v>Tennessee2</v>
      </c>
      <c r="C77" s="1" t="str">
        <f ca="1">IFERROR(__xludf.DUMMYFUNCTION("""COMPUTED_VALUE"""),"SEC")</f>
        <v>SEC</v>
      </c>
      <c r="D77" s="1" t="str">
        <f ca="1">IFERROR(__xludf.DUMMYFUNCTION("""COMPUTED_VALUE"""),"20-13")</f>
        <v>20-13</v>
      </c>
      <c r="E77" s="1" t="str">
        <f ca="1">IFERROR(__xludf.DUMMYFUNCTION("""COMPUTED_VALUE"""),"+10.47")</f>
        <v>+10.47</v>
      </c>
      <c r="F77" s="1">
        <f ca="1">IFERROR(__xludf.DUMMYFUNCTION("""COMPUTED_VALUE"""),109.1)</f>
        <v>109.1</v>
      </c>
      <c r="G77" s="1">
        <f ca="1">IFERROR(__xludf.DUMMYFUNCTION("""COMPUTED_VALUE"""),64)</f>
        <v>64</v>
      </c>
      <c r="H77" s="1">
        <f ca="1">IFERROR(__xludf.DUMMYFUNCTION("""COMPUTED_VALUE"""),98.6)</f>
        <v>98.6</v>
      </c>
      <c r="I77" s="1">
        <f ca="1">IFERROR(__xludf.DUMMYFUNCTION("""COMPUTED_VALUE"""),101)</f>
        <v>101</v>
      </c>
      <c r="J77" s="1">
        <f ca="1">IFERROR(__xludf.DUMMYFUNCTION("""COMPUTED_VALUE"""),62.4)</f>
        <v>62.4</v>
      </c>
      <c r="K77" s="1">
        <f ca="1">IFERROR(__xludf.DUMMYFUNCTION("""COMPUTED_VALUE"""),271)</f>
        <v>271</v>
      </c>
      <c r="L77" s="1" t="str">
        <f ca="1">IFERROR(__xludf.DUMMYFUNCTION("""COMPUTED_VALUE"""),"+.006")</f>
        <v>+.006</v>
      </c>
      <c r="M77" s="1">
        <f ca="1">IFERROR(__xludf.DUMMYFUNCTION("""COMPUTED_VALUE"""),161)</f>
        <v>161</v>
      </c>
      <c r="N77" s="1" t="str">
        <f ca="1">IFERROR(__xludf.DUMMYFUNCTION("""COMPUTED_VALUE"""),"+5.64")</f>
        <v>+5.64</v>
      </c>
      <c r="O77" s="1">
        <f ca="1">IFERROR(__xludf.DUMMYFUNCTION("""COMPUTED_VALUE"""),69)</f>
        <v>69</v>
      </c>
      <c r="P77" s="1">
        <f ca="1">IFERROR(__xludf.DUMMYFUNCTION("""COMPUTED_VALUE"""),104.3)</f>
        <v>104.3</v>
      </c>
      <c r="Q77" s="1">
        <f ca="1">IFERROR(__xludf.DUMMYFUNCTION("""COMPUTED_VALUE"""),106)</f>
        <v>106</v>
      </c>
      <c r="R77" s="1">
        <f ca="1">IFERROR(__xludf.DUMMYFUNCTION("""COMPUTED_VALUE"""),98.7)</f>
        <v>98.7</v>
      </c>
      <c r="S77" s="1">
        <f ca="1">IFERROR(__xludf.DUMMYFUNCTION("""COMPUTED_VALUE"""),37)</f>
        <v>37</v>
      </c>
      <c r="T77" s="1" t="str">
        <f ca="1">IFERROR(__xludf.DUMMYFUNCTION("""COMPUTED_VALUE"""),"+2.03")</f>
        <v>+2.03</v>
      </c>
      <c r="U77" s="1">
        <f ca="1">IFERROR(__xludf.DUMMYFUNCTION("""COMPUTED_VALUE"""),104)</f>
        <v>104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IFERROR(__xludf.DUMMYFUNCTION("""COMPUTED_VALUE"""),"Purdue")</f>
        <v>Purdue</v>
      </c>
      <c r="C78" s="1" t="str">
        <f ca="1">IFERROR(__xludf.DUMMYFUNCTION("""COMPUTED_VALUE"""),"B10")</f>
        <v>B10</v>
      </c>
      <c r="D78" s="1" t="str">
        <f ca="1">IFERROR(__xludf.DUMMYFUNCTION("""COMPUTED_VALUE"""),"16-18")</f>
        <v>16-18</v>
      </c>
      <c r="E78" s="1" t="str">
        <f ca="1">IFERROR(__xludf.DUMMYFUNCTION("""COMPUTED_VALUE"""),"+10.33")</f>
        <v>+10.33</v>
      </c>
      <c r="F78" s="1">
        <f ca="1">IFERROR(__xludf.DUMMYFUNCTION("""COMPUTED_VALUE"""),107)</f>
        <v>107</v>
      </c>
      <c r="G78" s="1">
        <f ca="1">IFERROR(__xludf.DUMMYFUNCTION("""COMPUTED_VALUE"""),98)</f>
        <v>98</v>
      </c>
      <c r="H78" s="1">
        <f ca="1">IFERROR(__xludf.DUMMYFUNCTION("""COMPUTED_VALUE"""),96.6)</f>
        <v>96.6</v>
      </c>
      <c r="I78" s="1">
        <f ca="1">IFERROR(__xludf.DUMMYFUNCTION("""COMPUTED_VALUE"""),70)</f>
        <v>70</v>
      </c>
      <c r="J78" s="1">
        <f ca="1">IFERROR(__xludf.DUMMYFUNCTION("""COMPUTED_VALUE"""),65.6)</f>
        <v>65.599999999999994</v>
      </c>
      <c r="K78" s="1">
        <f ca="1">IFERROR(__xludf.DUMMYFUNCTION("""COMPUTED_VALUE"""),125)</f>
        <v>125</v>
      </c>
      <c r="L78" s="1">
        <f ca="1">IFERROR(__xludf.DUMMYFUNCTION("""COMPUTED_VALUE"""),-0.06)</f>
        <v>-0.06</v>
      </c>
      <c r="M78" s="1">
        <f ca="1">IFERROR(__xludf.DUMMYFUNCTION("""COMPUTED_VALUE"""),307)</f>
        <v>307</v>
      </c>
      <c r="N78" s="1" t="str">
        <f ca="1">IFERROR(__xludf.DUMMYFUNCTION("""COMPUTED_VALUE"""),"+8.01")</f>
        <v>+8.01</v>
      </c>
      <c r="O78" s="1">
        <f ca="1">IFERROR(__xludf.DUMMYFUNCTION("""COMPUTED_VALUE"""),23)</f>
        <v>23</v>
      </c>
      <c r="P78" s="1">
        <f ca="1">IFERROR(__xludf.DUMMYFUNCTION("""COMPUTED_VALUE"""),106.3)</f>
        <v>106.3</v>
      </c>
      <c r="Q78" s="1">
        <f ca="1">IFERROR(__xludf.DUMMYFUNCTION("""COMPUTED_VALUE"""),35)</f>
        <v>35</v>
      </c>
      <c r="R78" s="1">
        <f ca="1">IFERROR(__xludf.DUMMYFUNCTION("""COMPUTED_VALUE"""),98.3)</f>
        <v>98.3</v>
      </c>
      <c r="S78" s="1">
        <f ca="1">IFERROR(__xludf.DUMMYFUNCTION("""COMPUTED_VALUE"""),24)</f>
        <v>24</v>
      </c>
      <c r="T78" s="1">
        <f ca="1">IFERROR(__xludf.DUMMYFUNCTION("""COMPUTED_VALUE"""),-2.89)</f>
        <v>-2.89</v>
      </c>
      <c r="U78" s="1">
        <f ca="1">IFERROR(__xludf.DUMMYFUNCTION("""COMPUTED_VALUE"""),253)</f>
        <v>253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IFERROR(__xludf.DUMMYFUNCTION("""COMPUTED_VALUE"""),"North Dakota St.")</f>
        <v>North Dakota St.</v>
      </c>
      <c r="C79" s="1" t="str">
        <f ca="1">IFERROR(__xludf.DUMMYFUNCTION("""COMPUTED_VALUE"""),"Sum")</f>
        <v>Sum</v>
      </c>
      <c r="D79" s="1" t="str">
        <f ca="1">IFERROR(__xludf.DUMMYFUNCTION("""COMPUTED_VALUE"""),"24-10")</f>
        <v>24-10</v>
      </c>
      <c r="E79" s="1" t="str">
        <f ca="1">IFERROR(__xludf.DUMMYFUNCTION("""COMPUTED_VALUE"""),"+10.03")</f>
        <v>+10.03</v>
      </c>
      <c r="F79" s="1">
        <f ca="1">IFERROR(__xludf.DUMMYFUNCTION("""COMPUTED_VALUE"""),105.5)</f>
        <v>105.5</v>
      </c>
      <c r="G79" s="1">
        <f ca="1">IFERROR(__xludf.DUMMYFUNCTION("""COMPUTED_VALUE"""),125)</f>
        <v>125</v>
      </c>
      <c r="H79" s="1">
        <f ca="1">IFERROR(__xludf.DUMMYFUNCTION("""COMPUTED_VALUE"""),95.4)</f>
        <v>95.4</v>
      </c>
      <c r="I79" s="1">
        <f ca="1">IFERROR(__xludf.DUMMYFUNCTION("""COMPUTED_VALUE"""),53)</f>
        <v>53</v>
      </c>
      <c r="J79" s="1">
        <f ca="1">IFERROR(__xludf.DUMMYFUNCTION("""COMPUTED_VALUE"""),59.6)</f>
        <v>59.6</v>
      </c>
      <c r="K79" s="1">
        <f ca="1">IFERROR(__xludf.DUMMYFUNCTION("""COMPUTED_VALUE"""),329)</f>
        <v>329</v>
      </c>
      <c r="L79" s="1">
        <f ca="1">IFERROR(__xludf.DUMMYFUNCTION("""COMPUTED_VALUE"""),-0.015)</f>
        <v>-1.4999999999999999E-2</v>
      </c>
      <c r="M79" s="1">
        <f ca="1">IFERROR(__xludf.DUMMYFUNCTION("""COMPUTED_VALUE"""),223)</f>
        <v>223</v>
      </c>
      <c r="N79" s="1">
        <f ca="1">IFERROR(__xludf.DUMMYFUNCTION("""COMPUTED_VALUE"""),-3.66)</f>
        <v>-3.66</v>
      </c>
      <c r="O79" s="1">
        <f ca="1">IFERROR(__xludf.DUMMYFUNCTION("""COMPUTED_VALUE"""),239)</f>
        <v>239</v>
      </c>
      <c r="P79" s="1">
        <f ca="1">IFERROR(__xludf.DUMMYFUNCTION("""COMPUTED_VALUE"""),102.4)</f>
        <v>102.4</v>
      </c>
      <c r="Q79" s="1">
        <f ca="1">IFERROR(__xludf.DUMMYFUNCTION("""COMPUTED_VALUE"""),153)</f>
        <v>153</v>
      </c>
      <c r="R79" s="1">
        <f ca="1">IFERROR(__xludf.DUMMYFUNCTION("""COMPUTED_VALUE"""),106.1)</f>
        <v>106.1</v>
      </c>
      <c r="S79" s="1">
        <f ca="1">IFERROR(__xludf.DUMMYFUNCTION("""COMPUTED_VALUE"""),315)</f>
        <v>315</v>
      </c>
      <c r="T79" s="1" t="str">
        <f ca="1">IFERROR(__xludf.DUMMYFUNCTION("""COMPUTED_VALUE"""),"+2.45")</f>
        <v>+2.45</v>
      </c>
      <c r="U79" s="1">
        <f ca="1">IFERROR(__xludf.DUMMYFUNCTION("""COMPUTED_VALUE"""),93)</f>
        <v>93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IFERROR(__xludf.DUMMYFUNCTION("""COMPUTED_VALUE"""),"Santa Clara")</f>
        <v>Santa Clara</v>
      </c>
      <c r="C80" s="1" t="str">
        <f ca="1">IFERROR(__xludf.DUMMYFUNCTION("""COMPUTED_VALUE"""),"WCC")</f>
        <v>WCC</v>
      </c>
      <c r="D80" s="1" t="str">
        <f ca="1">IFERROR(__xludf.DUMMYFUNCTION("""COMPUTED_VALUE"""),"26-12")</f>
        <v>26-12</v>
      </c>
      <c r="E80" s="1" t="str">
        <f ca="1">IFERROR(__xludf.DUMMYFUNCTION("""COMPUTED_VALUE"""),"+9.72")</f>
        <v>+9.72</v>
      </c>
      <c r="F80" s="1">
        <f ca="1">IFERROR(__xludf.DUMMYFUNCTION("""COMPUTED_VALUE"""),110.9)</f>
        <v>110.9</v>
      </c>
      <c r="G80" s="1">
        <f ca="1">IFERROR(__xludf.DUMMYFUNCTION("""COMPUTED_VALUE"""),43)</f>
        <v>43</v>
      </c>
      <c r="H80" s="1">
        <f ca="1">IFERROR(__xludf.DUMMYFUNCTION("""COMPUTED_VALUE"""),101.2)</f>
        <v>101.2</v>
      </c>
      <c r="I80" s="1">
        <f ca="1">IFERROR(__xludf.DUMMYFUNCTION("""COMPUTED_VALUE"""),142)</f>
        <v>142</v>
      </c>
      <c r="J80" s="1">
        <f ca="1">IFERROR(__xludf.DUMMYFUNCTION("""COMPUTED_VALUE"""),67.5)</f>
        <v>67.5</v>
      </c>
      <c r="K80" s="1">
        <f ca="1">IFERROR(__xludf.DUMMYFUNCTION("""COMPUTED_VALUE"""),52)</f>
        <v>52</v>
      </c>
      <c r="L80" s="1" t="str">
        <f ca="1">IFERROR(__xludf.DUMMYFUNCTION("""COMPUTED_VALUE"""),"+.046")</f>
        <v>+.046</v>
      </c>
      <c r="M80" s="1">
        <f ca="1">IFERROR(__xludf.DUMMYFUNCTION("""COMPUTED_VALUE"""),59)</f>
        <v>59</v>
      </c>
      <c r="N80" s="1" t="str">
        <f ca="1">IFERROR(__xludf.DUMMYFUNCTION("""COMPUTED_VALUE"""),"+1.07")</f>
        <v>+1.07</v>
      </c>
      <c r="O80" s="1">
        <f ca="1">IFERROR(__xludf.DUMMYFUNCTION("""COMPUTED_VALUE"""),128)</f>
        <v>128</v>
      </c>
      <c r="P80" s="1">
        <f ca="1">IFERROR(__xludf.DUMMYFUNCTION("""COMPUTED_VALUE"""),102.9)</f>
        <v>102.9</v>
      </c>
      <c r="Q80" s="1">
        <f ca="1">IFERROR(__xludf.DUMMYFUNCTION("""COMPUTED_VALUE"""),140)</f>
        <v>140</v>
      </c>
      <c r="R80" s="1">
        <f ca="1">IFERROR(__xludf.DUMMYFUNCTION("""COMPUTED_VALUE"""),101.8)</f>
        <v>101.8</v>
      </c>
      <c r="S80" s="1">
        <f ca="1">IFERROR(__xludf.DUMMYFUNCTION("""COMPUTED_VALUE"""),120)</f>
        <v>120</v>
      </c>
      <c r="T80" s="1">
        <f ca="1">IFERROR(__xludf.DUMMYFUNCTION("""COMPUTED_VALUE"""),-6.01)</f>
        <v>-6.01</v>
      </c>
      <c r="U80" s="1">
        <f ca="1">IFERROR(__xludf.DUMMYFUNCTION("""COMPUTED_VALUE"""),311)</f>
        <v>311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IFERROR(__xludf.DUMMYFUNCTION("""COMPUTED_VALUE"""),"Detroit6")</f>
        <v>Detroit6</v>
      </c>
      <c r="C81" s="1" t="str">
        <f ca="1">IFERROR(__xludf.DUMMYFUNCTION("""COMPUTED_VALUE"""),"Horz")</f>
        <v>Horz</v>
      </c>
      <c r="D81" s="1" t="str">
        <f ca="1">IFERROR(__xludf.DUMMYFUNCTION("""COMPUTED_VALUE"""),"20-13")</f>
        <v>20-13</v>
      </c>
      <c r="E81" s="1" t="str">
        <f ca="1">IFERROR(__xludf.DUMMYFUNCTION("""COMPUTED_VALUE"""),"+9.65")</f>
        <v>+9.65</v>
      </c>
      <c r="F81" s="1">
        <f ca="1">IFERROR(__xludf.DUMMYFUNCTION("""COMPUTED_VALUE"""),113.7)</f>
        <v>113.7</v>
      </c>
      <c r="G81" s="1">
        <f ca="1">IFERROR(__xludf.DUMMYFUNCTION("""COMPUTED_VALUE"""),21)</f>
        <v>21</v>
      </c>
      <c r="H81" s="1">
        <f ca="1">IFERROR(__xludf.DUMMYFUNCTION("""COMPUTED_VALUE"""),104.1)</f>
        <v>104.1</v>
      </c>
      <c r="I81" s="1">
        <f ca="1">IFERROR(__xludf.DUMMYFUNCTION("""COMPUTED_VALUE"""),200)</f>
        <v>200</v>
      </c>
      <c r="J81" s="1">
        <f ca="1">IFERROR(__xludf.DUMMYFUNCTION("""COMPUTED_VALUE"""),69)</f>
        <v>69</v>
      </c>
      <c r="K81" s="1">
        <f ca="1">IFERROR(__xludf.DUMMYFUNCTION("""COMPUTED_VALUE"""),20)</f>
        <v>20</v>
      </c>
      <c r="L81" s="1">
        <f ca="1">IFERROR(__xludf.DUMMYFUNCTION("""COMPUTED_VALUE"""),-0.044)</f>
        <v>-4.3999999999999997E-2</v>
      </c>
      <c r="M81" s="1">
        <f ca="1">IFERROR(__xludf.DUMMYFUNCTION("""COMPUTED_VALUE"""),284)</f>
        <v>284</v>
      </c>
      <c r="N81" s="1" t="str">
        <f ca="1">IFERROR(__xludf.DUMMYFUNCTION("""COMPUTED_VALUE"""),"+2.65")</f>
        <v>+2.65</v>
      </c>
      <c r="O81" s="1">
        <f ca="1">IFERROR(__xludf.DUMMYFUNCTION("""COMPUTED_VALUE"""),115)</f>
        <v>115</v>
      </c>
      <c r="P81" s="1">
        <f ca="1">IFERROR(__xludf.DUMMYFUNCTION("""COMPUTED_VALUE"""),103.2)</f>
        <v>103.2</v>
      </c>
      <c r="Q81" s="1">
        <f ca="1">IFERROR(__xludf.DUMMYFUNCTION("""COMPUTED_VALUE"""),134)</f>
        <v>134</v>
      </c>
      <c r="R81" s="1">
        <f ca="1">IFERROR(__xludf.DUMMYFUNCTION("""COMPUTED_VALUE"""),100.5)</f>
        <v>100.5</v>
      </c>
      <c r="S81" s="1">
        <f ca="1">IFERROR(__xludf.DUMMYFUNCTION("""COMPUTED_VALUE"""),89)</f>
        <v>89</v>
      </c>
      <c r="T81" s="1" t="str">
        <f ca="1">IFERROR(__xludf.DUMMYFUNCTION("""COMPUTED_VALUE"""),"+7.63")</f>
        <v>+7.63</v>
      </c>
      <c r="U81" s="1">
        <f ca="1">IFERROR(__xludf.DUMMYFUNCTION("""COMPUTED_VALUE"""),13)</f>
        <v>13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IFERROR(__xludf.DUMMYFUNCTION("""COMPUTED_VALUE"""),"Xavier")</f>
        <v>Xavier</v>
      </c>
      <c r="C82" s="1" t="str">
        <f ca="1">IFERROR(__xludf.DUMMYFUNCTION("""COMPUTED_VALUE"""),"A10")</f>
        <v>A10</v>
      </c>
      <c r="D82" s="1" t="str">
        <f ca="1">IFERROR(__xludf.DUMMYFUNCTION("""COMPUTED_VALUE"""),"17-14")</f>
        <v>17-14</v>
      </c>
      <c r="E82" s="1" t="str">
        <f ca="1">IFERROR(__xludf.DUMMYFUNCTION("""COMPUTED_VALUE"""),"+9.55")</f>
        <v>+9.55</v>
      </c>
      <c r="F82" s="1">
        <f ca="1">IFERROR(__xludf.DUMMYFUNCTION("""COMPUTED_VALUE"""),106)</f>
        <v>106</v>
      </c>
      <c r="G82" s="1">
        <f ca="1">IFERROR(__xludf.DUMMYFUNCTION("""COMPUTED_VALUE"""),116)</f>
        <v>116</v>
      </c>
      <c r="H82" s="1">
        <f ca="1">IFERROR(__xludf.DUMMYFUNCTION("""COMPUTED_VALUE"""),96.4)</f>
        <v>96.4</v>
      </c>
      <c r="I82" s="1">
        <f ca="1">IFERROR(__xludf.DUMMYFUNCTION("""COMPUTED_VALUE"""),64)</f>
        <v>64</v>
      </c>
      <c r="J82" s="1">
        <f ca="1">IFERROR(__xludf.DUMMYFUNCTION("""COMPUTED_VALUE"""),61.8)</f>
        <v>61.8</v>
      </c>
      <c r="K82" s="1">
        <f ca="1">IFERROR(__xludf.DUMMYFUNCTION("""COMPUTED_VALUE"""),287)</f>
        <v>287</v>
      </c>
      <c r="L82" s="1">
        <f ca="1">IFERROR(__xludf.DUMMYFUNCTION("""COMPUTED_VALUE"""),-0.055)</f>
        <v>-5.5E-2</v>
      </c>
      <c r="M82" s="1">
        <f ca="1">IFERROR(__xludf.DUMMYFUNCTION("""COMPUTED_VALUE"""),303)</f>
        <v>303</v>
      </c>
      <c r="N82" s="1" t="str">
        <f ca="1">IFERROR(__xludf.DUMMYFUNCTION("""COMPUTED_VALUE"""),"+5.45")</f>
        <v>+5.45</v>
      </c>
      <c r="O82" s="1">
        <f ca="1">IFERROR(__xludf.DUMMYFUNCTION("""COMPUTED_VALUE"""),73)</f>
        <v>73</v>
      </c>
      <c r="P82" s="1">
        <f ca="1">IFERROR(__xludf.DUMMYFUNCTION("""COMPUTED_VALUE"""),105.5)</f>
        <v>105.5</v>
      </c>
      <c r="Q82" s="1">
        <f ca="1">IFERROR(__xludf.DUMMYFUNCTION("""COMPUTED_VALUE"""),69)</f>
        <v>69</v>
      </c>
      <c r="R82" s="1">
        <f ca="1">IFERROR(__xludf.DUMMYFUNCTION("""COMPUTED_VALUE"""),100.1)</f>
        <v>100.1</v>
      </c>
      <c r="S82" s="1">
        <f ca="1">IFERROR(__xludf.DUMMYFUNCTION("""COMPUTED_VALUE"""),75)</f>
        <v>75</v>
      </c>
      <c r="T82" s="1" t="str">
        <f ca="1">IFERROR(__xludf.DUMMYFUNCTION("""COMPUTED_VALUE"""),"+2.84")</f>
        <v>+2.84</v>
      </c>
      <c r="U82" s="1">
        <f ca="1">IFERROR(__xludf.DUMMYFUNCTION("""COMPUTED_VALUE"""),82)</f>
        <v>82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IFERROR(__xludf.DUMMYFUNCTION("""COMPUTED_VALUE"""),"Saint Joseph's4")</f>
        <v>Saint Joseph's4</v>
      </c>
      <c r="C83" s="1" t="str">
        <f ca="1">IFERROR(__xludf.DUMMYFUNCTION("""COMPUTED_VALUE"""),"A10")</f>
        <v>A10</v>
      </c>
      <c r="D83" s="1" t="str">
        <f ca="1">IFERROR(__xludf.DUMMYFUNCTION("""COMPUTED_VALUE"""),"18-14")</f>
        <v>18-14</v>
      </c>
      <c r="E83" s="1" t="str">
        <f ca="1">IFERROR(__xludf.DUMMYFUNCTION("""COMPUTED_VALUE"""),"+9.35")</f>
        <v>+9.35</v>
      </c>
      <c r="F83" s="1">
        <f ca="1">IFERROR(__xludf.DUMMYFUNCTION("""COMPUTED_VALUE"""),109)</f>
        <v>109</v>
      </c>
      <c r="G83" s="1">
        <f ca="1">IFERROR(__xludf.DUMMYFUNCTION("""COMPUTED_VALUE"""),67)</f>
        <v>67</v>
      </c>
      <c r="H83" s="1">
        <f ca="1">IFERROR(__xludf.DUMMYFUNCTION("""COMPUTED_VALUE"""),99.6)</f>
        <v>99.6</v>
      </c>
      <c r="I83" s="1">
        <f ca="1">IFERROR(__xludf.DUMMYFUNCTION("""COMPUTED_VALUE"""),117)</f>
        <v>117</v>
      </c>
      <c r="J83" s="1">
        <f ca="1">IFERROR(__xludf.DUMMYFUNCTION("""COMPUTED_VALUE"""),61.6)</f>
        <v>61.6</v>
      </c>
      <c r="K83" s="1">
        <f ca="1">IFERROR(__xludf.DUMMYFUNCTION("""COMPUTED_VALUE"""),290)</f>
        <v>290</v>
      </c>
      <c r="L83" s="1">
        <f ca="1">IFERROR(__xludf.DUMMYFUNCTION("""COMPUTED_VALUE"""),-0.026)</f>
        <v>-2.5999999999999999E-2</v>
      </c>
      <c r="M83" s="1">
        <f ca="1">IFERROR(__xludf.DUMMYFUNCTION("""COMPUTED_VALUE"""),248)</f>
        <v>248</v>
      </c>
      <c r="N83" s="1" t="str">
        <f ca="1">IFERROR(__xludf.DUMMYFUNCTION("""COMPUTED_VALUE"""),"+4.29")</f>
        <v>+4.29</v>
      </c>
      <c r="O83" s="1">
        <f ca="1">IFERROR(__xludf.DUMMYFUNCTION("""COMPUTED_VALUE"""),89)</f>
        <v>89</v>
      </c>
      <c r="P83" s="1">
        <f ca="1">IFERROR(__xludf.DUMMYFUNCTION("""COMPUTED_VALUE"""),105.2)</f>
        <v>105.2</v>
      </c>
      <c r="Q83" s="1">
        <f ca="1">IFERROR(__xludf.DUMMYFUNCTION("""COMPUTED_VALUE"""),80)</f>
        <v>80</v>
      </c>
      <c r="R83" s="1">
        <f ca="1">IFERROR(__xludf.DUMMYFUNCTION("""COMPUTED_VALUE"""),100.9)</f>
        <v>100.9</v>
      </c>
      <c r="S83" s="1">
        <f ca="1">IFERROR(__xludf.DUMMYFUNCTION("""COMPUTED_VALUE"""),99)</f>
        <v>99</v>
      </c>
      <c r="T83" s="1" t="str">
        <f ca="1">IFERROR(__xludf.DUMMYFUNCTION("""COMPUTED_VALUE"""),"+1.35")</f>
        <v>+1.35</v>
      </c>
      <c r="U83" s="1">
        <f ca="1">IFERROR(__xludf.DUMMYFUNCTION("""COMPUTED_VALUE"""),121)</f>
        <v>121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IFERROR(__xludf.DUMMYFUNCTION("""COMPUTED_VALUE"""),"Arkansas")</f>
        <v>Arkansas</v>
      </c>
      <c r="C84" s="1" t="str">
        <f ca="1">IFERROR(__xludf.DUMMYFUNCTION("""COMPUTED_VALUE"""),"SEC")</f>
        <v>SEC</v>
      </c>
      <c r="D84" s="1" t="str">
        <f ca="1">IFERROR(__xludf.DUMMYFUNCTION("""COMPUTED_VALUE"""),"19-13")</f>
        <v>19-13</v>
      </c>
      <c r="E84" s="1" t="str">
        <f ca="1">IFERROR(__xludf.DUMMYFUNCTION("""COMPUTED_VALUE"""),"+9.29")</f>
        <v>+9.29</v>
      </c>
      <c r="F84" s="1">
        <f ca="1">IFERROR(__xludf.DUMMYFUNCTION("""COMPUTED_VALUE"""),106.7)</f>
        <v>106.7</v>
      </c>
      <c r="G84" s="1">
        <f ca="1">IFERROR(__xludf.DUMMYFUNCTION("""COMPUTED_VALUE"""),103)</f>
        <v>103</v>
      </c>
      <c r="H84" s="1">
        <f ca="1">IFERROR(__xludf.DUMMYFUNCTION("""COMPUTED_VALUE"""),97.4)</f>
        <v>97.4</v>
      </c>
      <c r="I84" s="1">
        <f ca="1">IFERROR(__xludf.DUMMYFUNCTION("""COMPUTED_VALUE"""),81)</f>
        <v>81</v>
      </c>
      <c r="J84" s="1">
        <f ca="1">IFERROR(__xludf.DUMMYFUNCTION("""COMPUTED_VALUE"""),69.6)</f>
        <v>69.599999999999994</v>
      </c>
      <c r="K84" s="1">
        <f ca="1">IFERROR(__xludf.DUMMYFUNCTION("""COMPUTED_VALUE"""),11)</f>
        <v>11</v>
      </c>
      <c r="L84" s="1" t="str">
        <f ca="1">IFERROR(__xludf.DUMMYFUNCTION("""COMPUTED_VALUE"""),"+.004")</f>
        <v>+.004</v>
      </c>
      <c r="M84" s="1">
        <f ca="1">IFERROR(__xludf.DUMMYFUNCTION("""COMPUTED_VALUE"""),167)</f>
        <v>167</v>
      </c>
      <c r="N84" s="1" t="str">
        <f ca="1">IFERROR(__xludf.DUMMYFUNCTION("""COMPUTED_VALUE"""),"+4.24")</f>
        <v>+4.24</v>
      </c>
      <c r="O84" s="1">
        <f ca="1">IFERROR(__xludf.DUMMYFUNCTION("""COMPUTED_VALUE"""),92)</f>
        <v>92</v>
      </c>
      <c r="P84" s="1">
        <f ca="1">IFERROR(__xludf.DUMMYFUNCTION("""COMPUTED_VALUE"""),103.7)</f>
        <v>103.7</v>
      </c>
      <c r="Q84" s="1">
        <f ca="1">IFERROR(__xludf.DUMMYFUNCTION("""COMPUTED_VALUE"""),123)</f>
        <v>123</v>
      </c>
      <c r="R84" s="1">
        <f ca="1">IFERROR(__xludf.DUMMYFUNCTION("""COMPUTED_VALUE"""),99.5)</f>
        <v>99.5</v>
      </c>
      <c r="S84" s="1">
        <f ca="1">IFERROR(__xludf.DUMMYFUNCTION("""COMPUTED_VALUE"""),58)</f>
        <v>58</v>
      </c>
      <c r="T84" s="1">
        <f ca="1">IFERROR(__xludf.DUMMYFUNCTION("""COMPUTED_VALUE"""),-4.85)</f>
        <v>-4.8499999999999996</v>
      </c>
      <c r="U84" s="1">
        <f ca="1">IFERROR(__xludf.DUMMYFUNCTION("""COMPUTED_VALUE"""),287)</f>
        <v>287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IFERROR(__xludf.DUMMYFUNCTION("""COMPUTED_VALUE"""),"Washington6")</f>
        <v>Washington6</v>
      </c>
      <c r="C87" s="1" t="str">
        <f ca="1">IFERROR(__xludf.DUMMYFUNCTION("""COMPUTED_VALUE"""),"P12")</f>
        <v>P12</v>
      </c>
      <c r="D87" s="1" t="str">
        <f ca="1">IFERROR(__xludf.DUMMYFUNCTION("""COMPUTED_VALUE"""),"18-16")</f>
        <v>18-16</v>
      </c>
      <c r="E87" s="1" t="str">
        <f ca="1">IFERROR(__xludf.DUMMYFUNCTION("""COMPUTED_VALUE"""),"+9.16")</f>
        <v>+9.16</v>
      </c>
      <c r="F87" s="1">
        <f ca="1">IFERROR(__xludf.DUMMYFUNCTION("""COMPUTED_VALUE"""),107.7)</f>
        <v>107.7</v>
      </c>
      <c r="G87" s="1">
        <f ca="1">IFERROR(__xludf.DUMMYFUNCTION("""COMPUTED_VALUE"""),79)</f>
        <v>79</v>
      </c>
      <c r="H87" s="1">
        <f ca="1">IFERROR(__xludf.DUMMYFUNCTION("""COMPUTED_VALUE"""),98.5)</f>
        <v>98.5</v>
      </c>
      <c r="I87" s="1">
        <f ca="1">IFERROR(__xludf.DUMMYFUNCTION("""COMPUTED_VALUE"""),98)</f>
        <v>98</v>
      </c>
      <c r="J87" s="1">
        <f ca="1">IFERROR(__xludf.DUMMYFUNCTION("""COMPUTED_VALUE"""),64.3)</f>
        <v>64.3</v>
      </c>
      <c r="K87" s="1">
        <f ca="1">IFERROR(__xludf.DUMMYFUNCTION("""COMPUTED_VALUE"""),187)</f>
        <v>187</v>
      </c>
      <c r="L87" s="1">
        <f ca="1">IFERROR(__xludf.DUMMYFUNCTION("""COMPUTED_VALUE"""),0)</f>
        <v>0</v>
      </c>
      <c r="M87" s="1">
        <f ca="1">IFERROR(__xludf.DUMMYFUNCTION("""COMPUTED_VALUE"""),180)</f>
        <v>180</v>
      </c>
      <c r="N87" s="1" t="str">
        <f ca="1">IFERROR(__xludf.DUMMYFUNCTION("""COMPUTED_VALUE"""),"+7.66")</f>
        <v>+7.66</v>
      </c>
      <c r="O87" s="1">
        <f ca="1">IFERROR(__xludf.DUMMYFUNCTION("""COMPUTED_VALUE"""),28)</f>
        <v>28</v>
      </c>
      <c r="P87" s="1">
        <f ca="1">IFERROR(__xludf.DUMMYFUNCTION("""COMPUTED_VALUE"""),106.3)</f>
        <v>106.3</v>
      </c>
      <c r="Q87" s="1">
        <f ca="1">IFERROR(__xludf.DUMMYFUNCTION("""COMPUTED_VALUE"""),36)</f>
        <v>36</v>
      </c>
      <c r="R87" s="1">
        <f ca="1">IFERROR(__xludf.DUMMYFUNCTION("""COMPUTED_VALUE"""),98.6)</f>
        <v>98.6</v>
      </c>
      <c r="S87" s="1">
        <f ca="1">IFERROR(__xludf.DUMMYFUNCTION("""COMPUTED_VALUE"""),35)</f>
        <v>35</v>
      </c>
      <c r="T87" s="1">
        <f ca="1">IFERROR(__xludf.DUMMYFUNCTION("""COMPUTED_VALUE"""),-0.37)</f>
        <v>-0.37</v>
      </c>
      <c r="U87" s="1">
        <f ca="1">IFERROR(__xludf.DUMMYFUNCTION("""COMPUTED_VALUE"""),168)</f>
        <v>168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IFERROR(__xludf.DUMMYFUNCTION("""COMPUTED_VALUE"""),"Ohio6")</f>
        <v>Ohio6</v>
      </c>
      <c r="C88" s="1" t="str">
        <f ca="1">IFERROR(__xludf.DUMMYFUNCTION("""COMPUTED_VALUE"""),"MAC")</f>
        <v>MAC</v>
      </c>
      <c r="D88" s="1" t="str">
        <f ca="1">IFERROR(__xludf.DUMMYFUNCTION("""COMPUTED_VALUE"""),"24-10")</f>
        <v>24-10</v>
      </c>
      <c r="E88" s="1" t="str">
        <f ca="1">IFERROR(__xludf.DUMMYFUNCTION("""COMPUTED_VALUE"""),"+9.06")</f>
        <v>+9.06</v>
      </c>
      <c r="F88" s="1">
        <f ca="1">IFERROR(__xludf.DUMMYFUNCTION("""COMPUTED_VALUE"""),106.6)</f>
        <v>106.6</v>
      </c>
      <c r="G88" s="1">
        <f ca="1">IFERROR(__xludf.DUMMYFUNCTION("""COMPUTED_VALUE"""),107)</f>
        <v>107</v>
      </c>
      <c r="H88" s="1">
        <f ca="1">IFERROR(__xludf.DUMMYFUNCTION("""COMPUTED_VALUE"""),97.5)</f>
        <v>97.5</v>
      </c>
      <c r="I88" s="1">
        <f ca="1">IFERROR(__xludf.DUMMYFUNCTION("""COMPUTED_VALUE"""),84)</f>
        <v>84</v>
      </c>
      <c r="J88" s="1">
        <f ca="1">IFERROR(__xludf.DUMMYFUNCTION("""COMPUTED_VALUE"""),66.5)</f>
        <v>66.5</v>
      </c>
      <c r="K88" s="1">
        <f ca="1">IFERROR(__xludf.DUMMYFUNCTION("""COMPUTED_VALUE"""),83)</f>
        <v>83</v>
      </c>
      <c r="L88" s="1" t="str">
        <f ca="1">IFERROR(__xludf.DUMMYFUNCTION("""COMPUTED_VALUE"""),"+.020")</f>
        <v>+.020</v>
      </c>
      <c r="M88" s="1">
        <f ca="1">IFERROR(__xludf.DUMMYFUNCTION("""COMPUTED_VALUE"""),131)</f>
        <v>131</v>
      </c>
      <c r="N88" s="1">
        <f ca="1">IFERROR(__xludf.DUMMYFUNCTION("""COMPUTED_VALUE"""),-1.81)</f>
        <v>-1.81</v>
      </c>
      <c r="O88" s="1">
        <f ca="1">IFERROR(__xludf.DUMMYFUNCTION("""COMPUTED_VALUE"""),179)</f>
        <v>179</v>
      </c>
      <c r="P88" s="1">
        <f ca="1">IFERROR(__xludf.DUMMYFUNCTION("""COMPUTED_VALUE"""),101.2)</f>
        <v>101.2</v>
      </c>
      <c r="Q88" s="1">
        <f ca="1">IFERROR(__xludf.DUMMYFUNCTION("""COMPUTED_VALUE"""),220)</f>
        <v>220</v>
      </c>
      <c r="R88" s="1">
        <f ca="1">IFERROR(__xludf.DUMMYFUNCTION("""COMPUTED_VALUE"""),103)</f>
        <v>103</v>
      </c>
      <c r="S88" s="1">
        <f ca="1">IFERROR(__xludf.DUMMYFUNCTION("""COMPUTED_VALUE"""),165)</f>
        <v>165</v>
      </c>
      <c r="T88" s="1">
        <f ca="1">IFERROR(__xludf.DUMMYFUNCTION("""COMPUTED_VALUE"""),-3.94)</f>
        <v>-3.94</v>
      </c>
      <c r="U88" s="1">
        <f ca="1">IFERROR(__xludf.DUMMYFUNCTION("""COMPUTED_VALUE"""),272)</f>
        <v>272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IFERROR(__xludf.DUMMYFUNCTION("""COMPUTED_VALUE"""),"Richmond")</f>
        <v>Richmond</v>
      </c>
      <c r="C89" s="1" t="str">
        <f ca="1">IFERROR(__xludf.DUMMYFUNCTION("""COMPUTED_VALUE"""),"A10")</f>
        <v>A10</v>
      </c>
      <c r="D89" s="1" t="str">
        <f ca="1">IFERROR(__xludf.DUMMYFUNCTION("""COMPUTED_VALUE"""),"19-15")</f>
        <v>19-15</v>
      </c>
      <c r="E89" s="1" t="str">
        <f ca="1">IFERROR(__xludf.DUMMYFUNCTION("""COMPUTED_VALUE"""),"+8.08")</f>
        <v>+8.08</v>
      </c>
      <c r="F89" s="1">
        <f ca="1">IFERROR(__xludf.DUMMYFUNCTION("""COMPUTED_VALUE"""),110)</f>
        <v>110</v>
      </c>
      <c r="G89" s="1">
        <f ca="1">IFERROR(__xludf.DUMMYFUNCTION("""COMPUTED_VALUE"""),51)</f>
        <v>51</v>
      </c>
      <c r="H89" s="1">
        <f ca="1">IFERROR(__xludf.DUMMYFUNCTION("""COMPUTED_VALUE"""),102)</f>
        <v>102</v>
      </c>
      <c r="I89" s="1">
        <f ca="1">IFERROR(__xludf.DUMMYFUNCTION("""COMPUTED_VALUE"""),154)</f>
        <v>154</v>
      </c>
      <c r="J89" s="1">
        <f ca="1">IFERROR(__xludf.DUMMYFUNCTION("""COMPUTED_VALUE"""),62.4)</f>
        <v>62.4</v>
      </c>
      <c r="K89" s="1">
        <f ca="1">IFERROR(__xludf.DUMMYFUNCTION("""COMPUTED_VALUE"""),270)</f>
        <v>270</v>
      </c>
      <c r="L89" s="1">
        <f ca="1">IFERROR(__xludf.DUMMYFUNCTION("""COMPUTED_VALUE"""),-0.017)</f>
        <v>-1.7000000000000001E-2</v>
      </c>
      <c r="M89" s="1">
        <f ca="1">IFERROR(__xludf.DUMMYFUNCTION("""COMPUTED_VALUE"""),232)</f>
        <v>232</v>
      </c>
      <c r="N89" s="1" t="str">
        <f ca="1">IFERROR(__xludf.DUMMYFUNCTION("""COMPUTED_VALUE"""),"+3.45")</f>
        <v>+3.45</v>
      </c>
      <c r="O89" s="1">
        <f ca="1">IFERROR(__xludf.DUMMYFUNCTION("""COMPUTED_VALUE"""),106)</f>
        <v>106</v>
      </c>
      <c r="P89" s="1">
        <f ca="1">IFERROR(__xludf.DUMMYFUNCTION("""COMPUTED_VALUE"""),104.5)</f>
        <v>104.5</v>
      </c>
      <c r="Q89" s="1">
        <f ca="1">IFERROR(__xludf.DUMMYFUNCTION("""COMPUTED_VALUE"""),99)</f>
        <v>99</v>
      </c>
      <c r="R89" s="1">
        <f ca="1">IFERROR(__xludf.DUMMYFUNCTION("""COMPUTED_VALUE"""),101.1)</f>
        <v>101.1</v>
      </c>
      <c r="S89" s="1">
        <f ca="1">IFERROR(__xludf.DUMMYFUNCTION("""COMPUTED_VALUE"""),104)</f>
        <v>104</v>
      </c>
      <c r="T89" s="1">
        <f ca="1">IFERROR(__xludf.DUMMYFUNCTION("""COMPUTED_VALUE"""),-2.48)</f>
        <v>-2.48</v>
      </c>
      <c r="U89" s="1">
        <f ca="1">IFERROR(__xludf.DUMMYFUNCTION("""COMPUTED_VALUE"""),245)</f>
        <v>245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IFERROR(__xludf.DUMMYFUNCTION("""COMPUTED_VALUE"""),"Evansville")</f>
        <v>Evansville</v>
      </c>
      <c r="C90" s="1" t="str">
        <f ca="1">IFERROR(__xludf.DUMMYFUNCTION("""COMPUTED_VALUE"""),"MVC")</f>
        <v>MVC</v>
      </c>
      <c r="D90" s="1" t="str">
        <f ca="1">IFERROR(__xludf.DUMMYFUNCTION("""COMPUTED_VALUE"""),"21-15")</f>
        <v>21-15</v>
      </c>
      <c r="E90" s="1" t="str">
        <f ca="1">IFERROR(__xludf.DUMMYFUNCTION("""COMPUTED_VALUE"""),"+8.08")</f>
        <v>+8.08</v>
      </c>
      <c r="F90" s="1">
        <f ca="1">IFERROR(__xludf.DUMMYFUNCTION("""COMPUTED_VALUE"""),106.4)</f>
        <v>106.4</v>
      </c>
      <c r="G90" s="1">
        <f ca="1">IFERROR(__xludf.DUMMYFUNCTION("""COMPUTED_VALUE"""),110)</f>
        <v>110</v>
      </c>
      <c r="H90" s="1">
        <f ca="1">IFERROR(__xludf.DUMMYFUNCTION("""COMPUTED_VALUE"""),98.3)</f>
        <v>98.3</v>
      </c>
      <c r="I90" s="1">
        <f ca="1">IFERROR(__xludf.DUMMYFUNCTION("""COMPUTED_VALUE"""),92)</f>
        <v>92</v>
      </c>
      <c r="J90" s="1">
        <f ca="1">IFERROR(__xludf.DUMMYFUNCTION("""COMPUTED_VALUE"""),64.6)</f>
        <v>64.599999999999994</v>
      </c>
      <c r="K90" s="1">
        <f ca="1">IFERROR(__xludf.DUMMYFUNCTION("""COMPUTED_VALUE"""),176)</f>
        <v>176</v>
      </c>
      <c r="L90" s="1">
        <f ca="1">IFERROR(__xludf.DUMMYFUNCTION("""COMPUTED_VALUE"""),-0.011)</f>
        <v>-1.0999999999999999E-2</v>
      </c>
      <c r="M90" s="1">
        <f ca="1">IFERROR(__xludf.DUMMYFUNCTION("""COMPUTED_VALUE"""),212)</f>
        <v>212</v>
      </c>
      <c r="N90" s="1" t="str">
        <f ca="1">IFERROR(__xludf.DUMMYFUNCTION("""COMPUTED_VALUE"""),"+3.86")</f>
        <v>+3.86</v>
      </c>
      <c r="O90" s="1">
        <f ca="1">IFERROR(__xludf.DUMMYFUNCTION("""COMPUTED_VALUE"""),100)</f>
        <v>100</v>
      </c>
      <c r="P90" s="1">
        <f ca="1">IFERROR(__xludf.DUMMYFUNCTION("""COMPUTED_VALUE"""),105.3)</f>
        <v>105.3</v>
      </c>
      <c r="Q90" s="1">
        <f ca="1">IFERROR(__xludf.DUMMYFUNCTION("""COMPUTED_VALUE"""),76)</f>
        <v>76</v>
      </c>
      <c r="R90" s="1">
        <f ca="1">IFERROR(__xludf.DUMMYFUNCTION("""COMPUTED_VALUE"""),101.4)</f>
        <v>101.4</v>
      </c>
      <c r="S90" s="1">
        <f ca="1">IFERROR(__xludf.DUMMYFUNCTION("""COMPUTED_VALUE"""),113)</f>
        <v>113</v>
      </c>
      <c r="T90" s="1">
        <f ca="1">IFERROR(__xludf.DUMMYFUNCTION("""COMPUTED_VALUE"""),-2.62)</f>
        <v>-2.62</v>
      </c>
      <c r="U90" s="1">
        <f ca="1">IFERROR(__xludf.DUMMYFUNCTION("""COMPUTED_VALUE"""),247)</f>
        <v>247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IFERROR(__xludf.DUMMYFUNCTION("""COMPUTED_VALUE"""),"Louisiana Tech5")</f>
        <v>Louisiana Tech5</v>
      </c>
      <c r="C91" s="1" t="str">
        <f ca="1">IFERROR(__xludf.DUMMYFUNCTION("""COMPUTED_VALUE"""),"WAC")</f>
        <v>WAC</v>
      </c>
      <c r="D91" s="1" t="str">
        <f ca="1">IFERROR(__xludf.DUMMYFUNCTION("""COMPUTED_VALUE"""),"27-7")</f>
        <v>27-7</v>
      </c>
      <c r="E91" s="1" t="str">
        <f ca="1">IFERROR(__xludf.DUMMYFUNCTION("""COMPUTED_VALUE"""),"+8.05")</f>
        <v>+8.05</v>
      </c>
      <c r="F91" s="1">
        <f ca="1">IFERROR(__xludf.DUMMYFUNCTION("""COMPUTED_VALUE"""),101.8)</f>
        <v>101.8</v>
      </c>
      <c r="G91" s="1">
        <f ca="1">IFERROR(__xludf.DUMMYFUNCTION("""COMPUTED_VALUE"""),187)</f>
        <v>187</v>
      </c>
      <c r="H91" s="1">
        <f ca="1">IFERROR(__xludf.DUMMYFUNCTION("""COMPUTED_VALUE"""),93.7)</f>
        <v>93.7</v>
      </c>
      <c r="I91" s="1">
        <f ca="1">IFERROR(__xludf.DUMMYFUNCTION("""COMPUTED_VALUE"""),35)</f>
        <v>35</v>
      </c>
      <c r="J91" s="1">
        <f ca="1">IFERROR(__xludf.DUMMYFUNCTION("""COMPUTED_VALUE"""),68.7)</f>
        <v>68.7</v>
      </c>
      <c r="K91" s="1">
        <f ca="1">IFERROR(__xludf.DUMMYFUNCTION("""COMPUTED_VALUE"""),25)</f>
        <v>25</v>
      </c>
      <c r="L91" s="1" t="str">
        <f ca="1">IFERROR(__xludf.DUMMYFUNCTION("""COMPUTED_VALUE"""),"+.082")</f>
        <v>+.082</v>
      </c>
      <c r="M91" s="1">
        <f ca="1">IFERROR(__xludf.DUMMYFUNCTION("""COMPUTED_VALUE"""),19)</f>
        <v>19</v>
      </c>
      <c r="N91" s="1">
        <f ca="1">IFERROR(__xludf.DUMMYFUNCTION("""COMPUTED_VALUE"""),-2.4)</f>
        <v>-2.4</v>
      </c>
      <c r="O91" s="1">
        <f ca="1">IFERROR(__xludf.DUMMYFUNCTION("""COMPUTED_VALUE"""),197)</f>
        <v>197</v>
      </c>
      <c r="P91" s="1">
        <f ca="1">IFERROR(__xludf.DUMMYFUNCTION("""COMPUTED_VALUE"""),101.9)</f>
        <v>101.9</v>
      </c>
      <c r="Q91" s="1">
        <f ca="1">IFERROR(__xludf.DUMMYFUNCTION("""COMPUTED_VALUE"""),182)</f>
        <v>182</v>
      </c>
      <c r="R91" s="1">
        <f ca="1">IFERROR(__xludf.DUMMYFUNCTION("""COMPUTED_VALUE"""),104.3)</f>
        <v>104.3</v>
      </c>
      <c r="S91" s="1">
        <f ca="1">IFERROR(__xludf.DUMMYFUNCTION("""COMPUTED_VALUE"""),232)</f>
        <v>232</v>
      </c>
      <c r="T91" s="1">
        <f ca="1">IFERROR(__xludf.DUMMYFUNCTION("""COMPUTED_VALUE"""),-4.77)</f>
        <v>-4.7699999999999996</v>
      </c>
      <c r="U91" s="1">
        <f ca="1">IFERROR(__xludf.DUMMYFUNCTION("""COMPUTED_VALUE"""),285)</f>
        <v>285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IFERROR(__xludf.DUMMYFUNCTION("""COMPUTED_VALUE"""),"Massachusetts2")</f>
        <v>Massachusetts2</v>
      </c>
      <c r="C92" s="1" t="str">
        <f ca="1">IFERROR(__xludf.DUMMYFUNCTION("""COMPUTED_VALUE"""),"A10")</f>
        <v>A10</v>
      </c>
      <c r="D92" s="1" t="str">
        <f ca="1">IFERROR(__xludf.DUMMYFUNCTION("""COMPUTED_VALUE"""),"21-12")</f>
        <v>21-12</v>
      </c>
      <c r="E92" s="1" t="str">
        <f ca="1">IFERROR(__xludf.DUMMYFUNCTION("""COMPUTED_VALUE"""),"+7.91")</f>
        <v>+7.91</v>
      </c>
      <c r="F92" s="1">
        <f ca="1">IFERROR(__xludf.DUMMYFUNCTION("""COMPUTED_VALUE"""),107.4)</f>
        <v>107.4</v>
      </c>
      <c r="G92" s="1">
        <f ca="1">IFERROR(__xludf.DUMMYFUNCTION("""COMPUTED_VALUE"""),84)</f>
        <v>84</v>
      </c>
      <c r="H92" s="1">
        <f ca="1">IFERROR(__xludf.DUMMYFUNCTION("""COMPUTED_VALUE"""),99.5)</f>
        <v>99.5</v>
      </c>
      <c r="I92" s="1">
        <f ca="1">IFERROR(__xludf.DUMMYFUNCTION("""COMPUTED_VALUE"""),114)</f>
        <v>114</v>
      </c>
      <c r="J92" s="1">
        <f ca="1">IFERROR(__xludf.DUMMYFUNCTION("""COMPUTED_VALUE"""),69.8)</f>
        <v>69.8</v>
      </c>
      <c r="K92" s="1">
        <f ca="1">IFERROR(__xludf.DUMMYFUNCTION("""COMPUTED_VALUE"""),8)</f>
        <v>8</v>
      </c>
      <c r="L92" s="1" t="str">
        <f ca="1">IFERROR(__xludf.DUMMYFUNCTION("""COMPUTED_VALUE"""),"+.080")</f>
        <v>+.080</v>
      </c>
      <c r="M92" s="1">
        <f ca="1">IFERROR(__xludf.DUMMYFUNCTION("""COMPUTED_VALUE"""),22)</f>
        <v>22</v>
      </c>
      <c r="N92" s="1" t="str">
        <f ca="1">IFERROR(__xludf.DUMMYFUNCTION("""COMPUTED_VALUE"""),"+4.89")</f>
        <v>+4.89</v>
      </c>
      <c r="O92" s="1">
        <f ca="1">IFERROR(__xludf.DUMMYFUNCTION("""COMPUTED_VALUE"""),81)</f>
        <v>81</v>
      </c>
      <c r="P92" s="1">
        <f ca="1">IFERROR(__xludf.DUMMYFUNCTION("""COMPUTED_VALUE"""),105.2)</f>
        <v>105.2</v>
      </c>
      <c r="Q92" s="1">
        <f ca="1">IFERROR(__xludf.DUMMYFUNCTION("""COMPUTED_VALUE"""),79)</f>
        <v>79</v>
      </c>
      <c r="R92" s="1">
        <f ca="1">IFERROR(__xludf.DUMMYFUNCTION("""COMPUTED_VALUE"""),100.3)</f>
        <v>100.3</v>
      </c>
      <c r="S92" s="1">
        <f ca="1">IFERROR(__xludf.DUMMYFUNCTION("""COMPUTED_VALUE"""),84)</f>
        <v>84</v>
      </c>
      <c r="T92" s="1" t="str">
        <f ca="1">IFERROR(__xludf.DUMMYFUNCTION("""COMPUTED_VALUE"""),"+1.28")</f>
        <v>+1.28</v>
      </c>
      <c r="U92" s="1">
        <f ca="1">IFERROR(__xludf.DUMMYFUNCTION("""COMPUTED_VALUE"""),124)</f>
        <v>124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IFERROR(__xludf.DUMMYFUNCTION("""COMPUTED_VALUE"""),"Princeton")</f>
        <v>Princeton</v>
      </c>
      <c r="C93" s="1" t="str">
        <f ca="1">IFERROR(__xludf.DUMMYFUNCTION("""COMPUTED_VALUE"""),"Ivy")</f>
        <v>Ivy</v>
      </c>
      <c r="D93" s="1" t="str">
        <f ca="1">IFERROR(__xludf.DUMMYFUNCTION("""COMPUTED_VALUE"""),"17-11")</f>
        <v>17-11</v>
      </c>
      <c r="E93" s="1" t="str">
        <f ca="1">IFERROR(__xludf.DUMMYFUNCTION("""COMPUTED_VALUE"""),"+7.88")</f>
        <v>+7.88</v>
      </c>
      <c r="F93" s="1">
        <f ca="1">IFERROR(__xludf.DUMMYFUNCTION("""COMPUTED_VALUE"""),108.8)</f>
        <v>108.8</v>
      </c>
      <c r="G93" s="1">
        <f ca="1">IFERROR(__xludf.DUMMYFUNCTION("""COMPUTED_VALUE"""),70)</f>
        <v>70</v>
      </c>
      <c r="H93" s="1">
        <f ca="1">IFERROR(__xludf.DUMMYFUNCTION("""COMPUTED_VALUE"""),100.9)</f>
        <v>100.9</v>
      </c>
      <c r="I93" s="1">
        <f ca="1">IFERROR(__xludf.DUMMYFUNCTION("""COMPUTED_VALUE"""),139)</f>
        <v>139</v>
      </c>
      <c r="J93" s="1">
        <f ca="1">IFERROR(__xludf.DUMMYFUNCTION("""COMPUTED_VALUE"""),59.4)</f>
        <v>59.4</v>
      </c>
      <c r="K93" s="1">
        <f ca="1">IFERROR(__xludf.DUMMYFUNCTION("""COMPUTED_VALUE"""),335)</f>
        <v>335</v>
      </c>
      <c r="L93" s="1">
        <f ca="1">IFERROR(__xludf.DUMMYFUNCTION("""COMPUTED_VALUE"""),-0.071)</f>
        <v>-7.0999999999999994E-2</v>
      </c>
      <c r="M93" s="1">
        <f ca="1">IFERROR(__xludf.DUMMYFUNCTION("""COMPUTED_VALUE"""),321)</f>
        <v>321</v>
      </c>
      <c r="N93" s="1">
        <f ca="1">IFERROR(__xludf.DUMMYFUNCTION("""COMPUTED_VALUE"""),-1.29)</f>
        <v>-1.29</v>
      </c>
      <c r="O93" s="1">
        <f ca="1">IFERROR(__xludf.DUMMYFUNCTION("""COMPUTED_VALUE"""),167)</f>
        <v>167</v>
      </c>
      <c r="P93" s="1">
        <f ca="1">IFERROR(__xludf.DUMMYFUNCTION("""COMPUTED_VALUE"""),101.7)</f>
        <v>101.7</v>
      </c>
      <c r="Q93" s="1">
        <f ca="1">IFERROR(__xludf.DUMMYFUNCTION("""COMPUTED_VALUE"""),193)</f>
        <v>193</v>
      </c>
      <c r="R93" s="1">
        <f ca="1">IFERROR(__xludf.DUMMYFUNCTION("""COMPUTED_VALUE"""),103)</f>
        <v>103</v>
      </c>
      <c r="S93" s="1">
        <f ca="1">IFERROR(__xludf.DUMMYFUNCTION("""COMPUTED_VALUE"""),170)</f>
        <v>170</v>
      </c>
      <c r="T93" s="1" t="str">
        <f ca="1">IFERROR(__xludf.DUMMYFUNCTION("""COMPUTED_VALUE"""),"+3.16")</f>
        <v>+3.16</v>
      </c>
      <c r="U93" s="1">
        <f ca="1">IFERROR(__xludf.DUMMYFUNCTION("""COMPUTED_VALUE"""),76)</f>
        <v>76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IFERROR(__xludf.DUMMYFUNCTION("""COMPUTED_VALUE"""),"New Mexico St.13")</f>
        <v>New Mexico St.13</v>
      </c>
      <c r="C94" s="1" t="str">
        <f ca="1">IFERROR(__xludf.DUMMYFUNCTION("""COMPUTED_VALUE"""),"WAC")</f>
        <v>WAC</v>
      </c>
      <c r="D94" s="1" t="str">
        <f ca="1">IFERROR(__xludf.DUMMYFUNCTION("""COMPUTED_VALUE"""),"24-11")</f>
        <v>24-11</v>
      </c>
      <c r="E94" s="1" t="str">
        <f ca="1">IFERROR(__xludf.DUMMYFUNCTION("""COMPUTED_VALUE"""),"+7.68")</f>
        <v>+7.68</v>
      </c>
      <c r="F94" s="1">
        <f ca="1">IFERROR(__xludf.DUMMYFUNCTION("""COMPUTED_VALUE"""),104.7)</f>
        <v>104.7</v>
      </c>
      <c r="G94" s="1">
        <f ca="1">IFERROR(__xludf.DUMMYFUNCTION("""COMPUTED_VALUE"""),137)</f>
        <v>137</v>
      </c>
      <c r="H94" s="1">
        <f ca="1">IFERROR(__xludf.DUMMYFUNCTION("""COMPUTED_VALUE"""),97.1)</f>
        <v>97.1</v>
      </c>
      <c r="I94" s="1">
        <f ca="1">IFERROR(__xludf.DUMMYFUNCTION("""COMPUTED_VALUE"""),76)</f>
        <v>76</v>
      </c>
      <c r="J94" s="1">
        <f ca="1">IFERROR(__xludf.DUMMYFUNCTION("""COMPUTED_VALUE"""),63.8)</f>
        <v>63.8</v>
      </c>
      <c r="K94" s="1">
        <f ca="1">IFERROR(__xludf.DUMMYFUNCTION("""COMPUTED_VALUE"""),212)</f>
        <v>212</v>
      </c>
      <c r="L94" s="1" t="str">
        <f ca="1">IFERROR(__xludf.DUMMYFUNCTION("""COMPUTED_VALUE"""),"+.039")</f>
        <v>+.039</v>
      </c>
      <c r="M94" s="1">
        <f ca="1">IFERROR(__xludf.DUMMYFUNCTION("""COMPUTED_VALUE"""),78)</f>
        <v>78</v>
      </c>
      <c r="N94" s="1" t="str">
        <f ca="1">IFERROR(__xludf.DUMMYFUNCTION("""COMPUTED_VALUE"""),"+0.36")</f>
        <v>+0.36</v>
      </c>
      <c r="O94" s="1">
        <f ca="1">IFERROR(__xludf.DUMMYFUNCTION("""COMPUTED_VALUE"""),138)</f>
        <v>138</v>
      </c>
      <c r="P94" s="1">
        <f ca="1">IFERROR(__xludf.DUMMYFUNCTION("""COMPUTED_VALUE"""),102.7)</f>
        <v>102.7</v>
      </c>
      <c r="Q94" s="1">
        <f ca="1">IFERROR(__xludf.DUMMYFUNCTION("""COMPUTED_VALUE"""),148)</f>
        <v>148</v>
      </c>
      <c r="R94" s="1">
        <f ca="1">IFERROR(__xludf.DUMMYFUNCTION("""COMPUTED_VALUE"""),102.3)</f>
        <v>102.3</v>
      </c>
      <c r="S94" s="1">
        <f ca="1">IFERROR(__xludf.DUMMYFUNCTION("""COMPUTED_VALUE"""),135)</f>
        <v>135</v>
      </c>
      <c r="T94" s="1" t="str">
        <f ca="1">IFERROR(__xludf.DUMMYFUNCTION("""COMPUTED_VALUE"""),"+3.94")</f>
        <v>+3.94</v>
      </c>
      <c r="U94" s="1">
        <f ca="1">IFERROR(__xludf.DUMMYFUNCTION("""COMPUTED_VALUE"""),64)</f>
        <v>64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IFERROR(__xludf.DUMMYFUNCTION("""COMPUTED_VALUE"""),"Iona15")</f>
        <v>Iona15</v>
      </c>
      <c r="C95" s="1" t="str">
        <f ca="1">IFERROR(__xludf.DUMMYFUNCTION("""COMPUTED_VALUE"""),"MAAC")</f>
        <v>MAAC</v>
      </c>
      <c r="D95" s="1" t="str">
        <f ca="1">IFERROR(__xludf.DUMMYFUNCTION("""COMPUTED_VALUE"""),"20-14")</f>
        <v>20-14</v>
      </c>
      <c r="E95" s="1" t="str">
        <f ca="1">IFERROR(__xludf.DUMMYFUNCTION("""COMPUTED_VALUE"""),"+7.45")</f>
        <v>+7.45</v>
      </c>
      <c r="F95" s="1">
        <f ca="1">IFERROR(__xludf.DUMMYFUNCTION("""COMPUTED_VALUE"""),114.4)</f>
        <v>114.4</v>
      </c>
      <c r="G95" s="1">
        <f ca="1">IFERROR(__xludf.DUMMYFUNCTION("""COMPUTED_VALUE"""),18)</f>
        <v>18</v>
      </c>
      <c r="H95" s="1">
        <f ca="1">IFERROR(__xludf.DUMMYFUNCTION("""COMPUTED_VALUE"""),106.9)</f>
        <v>106.9</v>
      </c>
      <c r="I95" s="1">
        <f ca="1">IFERROR(__xludf.DUMMYFUNCTION("""COMPUTED_VALUE"""),256)</f>
        <v>256</v>
      </c>
      <c r="J95" s="1">
        <f ca="1">IFERROR(__xludf.DUMMYFUNCTION("""COMPUTED_VALUE"""),69.7)</f>
        <v>69.7</v>
      </c>
      <c r="K95" s="1">
        <f ca="1">IFERROR(__xludf.DUMMYFUNCTION("""COMPUTED_VALUE"""),10)</f>
        <v>10</v>
      </c>
      <c r="L95" s="1">
        <f ca="1">IFERROR(__xludf.DUMMYFUNCTION("""COMPUTED_VALUE"""),-0.07)</f>
        <v>-7.0000000000000007E-2</v>
      </c>
      <c r="M95" s="1">
        <f ca="1">IFERROR(__xludf.DUMMYFUNCTION("""COMPUTED_VALUE"""),317)</f>
        <v>317</v>
      </c>
      <c r="N95" s="1" t="str">
        <f ca="1">IFERROR(__xludf.DUMMYFUNCTION("""COMPUTED_VALUE"""),"+0.94")</f>
        <v>+0.94</v>
      </c>
      <c r="O95" s="1">
        <f ca="1">IFERROR(__xludf.DUMMYFUNCTION("""COMPUTED_VALUE"""),129)</f>
        <v>129</v>
      </c>
      <c r="P95" s="1">
        <f ca="1">IFERROR(__xludf.DUMMYFUNCTION("""COMPUTED_VALUE"""),102.4)</f>
        <v>102.4</v>
      </c>
      <c r="Q95" s="1">
        <f ca="1">IFERROR(__xludf.DUMMYFUNCTION("""COMPUTED_VALUE"""),159)</f>
        <v>159</v>
      </c>
      <c r="R95" s="1">
        <f ca="1">IFERROR(__xludf.DUMMYFUNCTION("""COMPUTED_VALUE"""),101.4)</f>
        <v>101.4</v>
      </c>
      <c r="S95" s="1">
        <f ca="1">IFERROR(__xludf.DUMMYFUNCTION("""COMPUTED_VALUE"""),111)</f>
        <v>111</v>
      </c>
      <c r="T95" s="1" t="str">
        <f ca="1">IFERROR(__xludf.DUMMYFUNCTION("""COMPUTED_VALUE"""),"+4.09")</f>
        <v>+4.09</v>
      </c>
      <c r="U95" s="1">
        <f ca="1">IFERROR(__xludf.DUMMYFUNCTION("""COMPUTED_VALUE"""),61)</f>
        <v>61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IFERROR(__xludf.DUMMYFUNCTION("""COMPUTED_VALUE"""),"Washington St.")</f>
        <v>Washington St.</v>
      </c>
      <c r="C96" s="1" t="str">
        <f ca="1">IFERROR(__xludf.DUMMYFUNCTION("""COMPUTED_VALUE"""),"P12")</f>
        <v>P12</v>
      </c>
      <c r="D96" s="1" t="str">
        <f ca="1">IFERROR(__xludf.DUMMYFUNCTION("""COMPUTED_VALUE"""),"13-19")</f>
        <v>13-19</v>
      </c>
      <c r="E96" s="1" t="str">
        <f ca="1">IFERROR(__xludf.DUMMYFUNCTION("""COMPUTED_VALUE"""),"+7.45")</f>
        <v>+7.45</v>
      </c>
      <c r="F96" s="1">
        <f ca="1">IFERROR(__xludf.DUMMYFUNCTION("""COMPUTED_VALUE"""),107.6)</f>
        <v>107.6</v>
      </c>
      <c r="G96" s="1">
        <f ca="1">IFERROR(__xludf.DUMMYFUNCTION("""COMPUTED_VALUE"""),81)</f>
        <v>81</v>
      </c>
      <c r="H96" s="1">
        <f ca="1">IFERROR(__xludf.DUMMYFUNCTION("""COMPUTED_VALUE"""),100.2)</f>
        <v>100.2</v>
      </c>
      <c r="I96" s="1">
        <f ca="1">IFERROR(__xludf.DUMMYFUNCTION("""COMPUTED_VALUE"""),129)</f>
        <v>129</v>
      </c>
      <c r="J96" s="1">
        <f ca="1">IFERROR(__xludf.DUMMYFUNCTION("""COMPUTED_VALUE"""),60.7)</f>
        <v>60.7</v>
      </c>
      <c r="K96" s="1">
        <f ca="1">IFERROR(__xludf.DUMMYFUNCTION("""COMPUTED_VALUE"""),312)</f>
        <v>312</v>
      </c>
      <c r="L96" s="1">
        <f ca="1">IFERROR(__xludf.DUMMYFUNCTION("""COMPUTED_VALUE"""),-0.135)</f>
        <v>-0.13500000000000001</v>
      </c>
      <c r="M96" s="1">
        <f ca="1">IFERROR(__xludf.DUMMYFUNCTION("""COMPUTED_VALUE"""),345)</f>
        <v>345</v>
      </c>
      <c r="N96" s="1" t="str">
        <f ca="1">IFERROR(__xludf.DUMMYFUNCTION("""COMPUTED_VALUE"""),"+4.91")</f>
        <v>+4.91</v>
      </c>
      <c r="O96" s="1">
        <f ca="1">IFERROR(__xludf.DUMMYFUNCTION("""COMPUTED_VALUE"""),78)</f>
        <v>78</v>
      </c>
      <c r="P96" s="1">
        <f ca="1">IFERROR(__xludf.DUMMYFUNCTION("""COMPUTED_VALUE"""),104.9)</f>
        <v>104.9</v>
      </c>
      <c r="Q96" s="1">
        <f ca="1">IFERROR(__xludf.DUMMYFUNCTION("""COMPUTED_VALUE"""),91)</f>
        <v>91</v>
      </c>
      <c r="R96" s="1">
        <f ca="1">IFERROR(__xludf.DUMMYFUNCTION("""COMPUTED_VALUE"""),100)</f>
        <v>100</v>
      </c>
      <c r="S96" s="1">
        <f ca="1">IFERROR(__xludf.DUMMYFUNCTION("""COMPUTED_VALUE"""),73)</f>
        <v>73</v>
      </c>
      <c r="T96" s="1">
        <f ca="1">IFERROR(__xludf.DUMMYFUNCTION("""COMPUTED_VALUE"""),-7.39)</f>
        <v>-7.39</v>
      </c>
      <c r="U96" s="1">
        <f ca="1">IFERROR(__xludf.DUMMYFUNCTION("""COMPUTED_VALUE"""),324)</f>
        <v>324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IFERROR(__xludf.DUMMYFUNCTION("""COMPUTED_VALUE"""),"Lehigh")</f>
        <v>Lehigh</v>
      </c>
      <c r="C97" s="1" t="str">
        <f ca="1">IFERROR(__xludf.DUMMYFUNCTION("""COMPUTED_VALUE"""),"Pat")</f>
        <v>Pat</v>
      </c>
      <c r="D97" s="1" t="str">
        <f ca="1">IFERROR(__xludf.DUMMYFUNCTION("""COMPUTED_VALUE"""),"21-10")</f>
        <v>21-10</v>
      </c>
      <c r="E97" s="1" t="str">
        <f ca="1">IFERROR(__xludf.DUMMYFUNCTION("""COMPUTED_VALUE"""),"+7.32")</f>
        <v>+7.32</v>
      </c>
      <c r="F97" s="1">
        <f ca="1">IFERROR(__xludf.DUMMYFUNCTION("""COMPUTED_VALUE"""),108.9)</f>
        <v>108.9</v>
      </c>
      <c r="G97" s="1">
        <f ca="1">IFERROR(__xludf.DUMMYFUNCTION("""COMPUTED_VALUE"""),68)</f>
        <v>68</v>
      </c>
      <c r="H97" s="1">
        <f ca="1">IFERROR(__xludf.DUMMYFUNCTION("""COMPUTED_VALUE"""),101.6)</f>
        <v>101.6</v>
      </c>
      <c r="I97" s="1">
        <f ca="1">IFERROR(__xludf.DUMMYFUNCTION("""COMPUTED_VALUE"""),149)</f>
        <v>149</v>
      </c>
      <c r="J97" s="1">
        <f ca="1">IFERROR(__xludf.DUMMYFUNCTION("""COMPUTED_VALUE"""),65.8)</f>
        <v>65.8</v>
      </c>
      <c r="K97" s="1">
        <f ca="1">IFERROR(__xludf.DUMMYFUNCTION("""COMPUTED_VALUE"""),115)</f>
        <v>115</v>
      </c>
      <c r="L97" s="1">
        <f ca="1">IFERROR(__xludf.DUMMYFUNCTION("""COMPUTED_VALUE"""),-0.003)</f>
        <v>-3.0000000000000001E-3</v>
      </c>
      <c r="M97" s="1">
        <f ca="1">IFERROR(__xludf.DUMMYFUNCTION("""COMPUTED_VALUE"""),187)</f>
        <v>187</v>
      </c>
      <c r="N97" s="1">
        <f ca="1">IFERROR(__xludf.DUMMYFUNCTION("""COMPUTED_VALUE"""),-3.16)</f>
        <v>-3.16</v>
      </c>
      <c r="O97" s="1">
        <f ca="1">IFERROR(__xludf.DUMMYFUNCTION("""COMPUTED_VALUE"""),224)</f>
        <v>224</v>
      </c>
      <c r="P97" s="1">
        <f ca="1">IFERROR(__xludf.DUMMYFUNCTION("""COMPUTED_VALUE"""),101.5)</f>
        <v>101.5</v>
      </c>
      <c r="Q97" s="1">
        <f ca="1">IFERROR(__xludf.DUMMYFUNCTION("""COMPUTED_VALUE"""),208)</f>
        <v>208</v>
      </c>
      <c r="R97" s="1">
        <f ca="1">IFERROR(__xludf.DUMMYFUNCTION("""COMPUTED_VALUE"""),104.6)</f>
        <v>104.6</v>
      </c>
      <c r="S97" s="1">
        <f ca="1">IFERROR(__xludf.DUMMYFUNCTION("""COMPUTED_VALUE"""),246)</f>
        <v>246</v>
      </c>
      <c r="T97" s="1">
        <f ca="1">IFERROR(__xludf.DUMMYFUNCTION("""COMPUTED_VALUE"""),-1.85)</f>
        <v>-1.85</v>
      </c>
      <c r="U97" s="1">
        <f ca="1">IFERROR(__xludf.DUMMYFUNCTION("""COMPUTED_VALUE"""),219)</f>
        <v>219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IFERROR(__xludf.DUMMYFUNCTION("""COMPUTED_VALUE"""),"Indiana St.6")</f>
        <v>Indiana St.6</v>
      </c>
      <c r="C98" s="1" t="str">
        <f ca="1">IFERROR(__xludf.DUMMYFUNCTION("""COMPUTED_VALUE"""),"MVC")</f>
        <v>MVC</v>
      </c>
      <c r="D98" s="1" t="str">
        <f ca="1">IFERROR(__xludf.DUMMYFUNCTION("""COMPUTED_VALUE"""),"18-15")</f>
        <v>18-15</v>
      </c>
      <c r="E98" s="1" t="str">
        <f ca="1">IFERROR(__xludf.DUMMYFUNCTION("""COMPUTED_VALUE"""),"+7.31")</f>
        <v>+7.31</v>
      </c>
      <c r="F98" s="1">
        <f ca="1">IFERROR(__xludf.DUMMYFUNCTION("""COMPUTED_VALUE"""),103)</f>
        <v>103</v>
      </c>
      <c r="G98" s="1">
        <f ca="1">IFERROR(__xludf.DUMMYFUNCTION("""COMPUTED_VALUE"""),161)</f>
        <v>161</v>
      </c>
      <c r="H98" s="1">
        <f ca="1">IFERROR(__xludf.DUMMYFUNCTION("""COMPUTED_VALUE"""),95.7)</f>
        <v>95.7</v>
      </c>
      <c r="I98" s="1">
        <f ca="1">IFERROR(__xludf.DUMMYFUNCTION("""COMPUTED_VALUE"""),55)</f>
        <v>55</v>
      </c>
      <c r="J98" s="1">
        <f ca="1">IFERROR(__xludf.DUMMYFUNCTION("""COMPUTED_VALUE"""),64)</f>
        <v>64</v>
      </c>
      <c r="K98" s="1">
        <f ca="1">IFERROR(__xludf.DUMMYFUNCTION("""COMPUTED_VALUE"""),199)</f>
        <v>199</v>
      </c>
      <c r="L98" s="1" t="str">
        <f ca="1">IFERROR(__xludf.DUMMYFUNCTION("""COMPUTED_VALUE"""),"+.041")</f>
        <v>+.041</v>
      </c>
      <c r="M98" s="1">
        <f ca="1">IFERROR(__xludf.DUMMYFUNCTION("""COMPUTED_VALUE"""),73)</f>
        <v>73</v>
      </c>
      <c r="N98" s="1" t="str">
        <f ca="1">IFERROR(__xludf.DUMMYFUNCTION("""COMPUTED_VALUE"""),"+7.31")</f>
        <v>+7.31</v>
      </c>
      <c r="O98" s="1">
        <f ca="1">IFERROR(__xludf.DUMMYFUNCTION("""COMPUTED_VALUE"""),36)</f>
        <v>36</v>
      </c>
      <c r="P98" s="1">
        <f ca="1">IFERROR(__xludf.DUMMYFUNCTION("""COMPUTED_VALUE"""),107.2)</f>
        <v>107.2</v>
      </c>
      <c r="Q98" s="1">
        <f ca="1">IFERROR(__xludf.DUMMYFUNCTION("""COMPUTED_VALUE"""),14)</f>
        <v>14</v>
      </c>
      <c r="R98" s="1">
        <f ca="1">IFERROR(__xludf.DUMMYFUNCTION("""COMPUTED_VALUE"""),99.9)</f>
        <v>99.9</v>
      </c>
      <c r="S98" s="1">
        <f ca="1">IFERROR(__xludf.DUMMYFUNCTION("""COMPUTED_VALUE"""),69)</f>
        <v>69</v>
      </c>
      <c r="T98" s="1" t="str">
        <f ca="1">IFERROR(__xludf.DUMMYFUNCTION("""COMPUTED_VALUE"""),"+4.10")</f>
        <v>+4.10</v>
      </c>
      <c r="U98" s="1">
        <f ca="1">IFERROR(__xludf.DUMMYFUNCTION("""COMPUTED_VALUE"""),60)</f>
        <v>60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IFERROR(__xludf.DUMMYFUNCTION("""COMPUTED_VALUE"""),"Harvard14")</f>
        <v>Harvard14</v>
      </c>
      <c r="C99" s="1" t="str">
        <f ca="1">IFERROR(__xludf.DUMMYFUNCTION("""COMPUTED_VALUE"""),"Ivy")</f>
        <v>Ivy</v>
      </c>
      <c r="D99" s="1" t="str">
        <f ca="1">IFERROR(__xludf.DUMMYFUNCTION("""COMPUTED_VALUE"""),"20-10")</f>
        <v>20-10</v>
      </c>
      <c r="E99" s="1" t="str">
        <f ca="1">IFERROR(__xludf.DUMMYFUNCTION("""COMPUTED_VALUE"""),"+7.07")</f>
        <v>+7.07</v>
      </c>
      <c r="F99" s="1">
        <f ca="1">IFERROR(__xludf.DUMMYFUNCTION("""COMPUTED_VALUE"""),108.1)</f>
        <v>108.1</v>
      </c>
      <c r="G99" s="1">
        <f ca="1">IFERROR(__xludf.DUMMYFUNCTION("""COMPUTED_VALUE"""),74)</f>
        <v>74</v>
      </c>
      <c r="H99" s="1">
        <f ca="1">IFERROR(__xludf.DUMMYFUNCTION("""COMPUTED_VALUE"""),101.1)</f>
        <v>101.1</v>
      </c>
      <c r="I99" s="1">
        <f ca="1">IFERROR(__xludf.DUMMYFUNCTION("""COMPUTED_VALUE"""),140)</f>
        <v>140</v>
      </c>
      <c r="J99" s="1">
        <f ca="1">IFERROR(__xludf.DUMMYFUNCTION("""COMPUTED_VALUE"""),63.3)</f>
        <v>63.3</v>
      </c>
      <c r="K99" s="1">
        <f ca="1">IFERROR(__xludf.DUMMYFUNCTION("""COMPUTED_VALUE"""),229)</f>
        <v>229</v>
      </c>
      <c r="L99" s="1" t="str">
        <f ca="1">IFERROR(__xludf.DUMMYFUNCTION("""COMPUTED_VALUE"""),"+.037")</f>
        <v>+.037</v>
      </c>
      <c r="M99" s="1">
        <f ca="1">IFERROR(__xludf.DUMMYFUNCTION("""COMPUTED_VALUE"""),89)</f>
        <v>89</v>
      </c>
      <c r="N99" s="1" t="str">
        <f ca="1">IFERROR(__xludf.DUMMYFUNCTION("""COMPUTED_VALUE"""),"+0.60")</f>
        <v>+0.60</v>
      </c>
      <c r="O99" s="1">
        <f ca="1">IFERROR(__xludf.DUMMYFUNCTION("""COMPUTED_VALUE"""),133)</f>
        <v>133</v>
      </c>
      <c r="P99" s="1">
        <f ca="1">IFERROR(__xludf.DUMMYFUNCTION("""COMPUTED_VALUE"""),102.8)</f>
        <v>102.8</v>
      </c>
      <c r="Q99" s="1">
        <f ca="1">IFERROR(__xludf.DUMMYFUNCTION("""COMPUTED_VALUE"""),145)</f>
        <v>145</v>
      </c>
      <c r="R99" s="1">
        <f ca="1">IFERROR(__xludf.DUMMYFUNCTION("""COMPUTED_VALUE"""),102.2)</f>
        <v>102.2</v>
      </c>
      <c r="S99" s="1">
        <f ca="1">IFERROR(__xludf.DUMMYFUNCTION("""COMPUTED_VALUE"""),126)</f>
        <v>126</v>
      </c>
      <c r="T99" s="1" t="str">
        <f ca="1">IFERROR(__xludf.DUMMYFUNCTION("""COMPUTED_VALUE"""),"+5.07")</f>
        <v>+5.07</v>
      </c>
      <c r="U99" s="1">
        <f ca="1">IFERROR(__xludf.DUMMYFUNCTION("""COMPUTED_VALUE"""),38)</f>
        <v>38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IFERROR(__xludf.DUMMYFUNCTION("""COMPUTED_VALUE"""),"Texas")</f>
        <v>Texas</v>
      </c>
      <c r="C100" s="1" t="str">
        <f ca="1">IFERROR(__xludf.DUMMYFUNCTION("""COMPUTED_VALUE"""),"B12")</f>
        <v>B12</v>
      </c>
      <c r="D100" s="1" t="str">
        <f ca="1">IFERROR(__xludf.DUMMYFUNCTION("""COMPUTED_VALUE"""),"16-18")</f>
        <v>16-18</v>
      </c>
      <c r="E100" s="1" t="str">
        <f ca="1">IFERROR(__xludf.DUMMYFUNCTION("""COMPUTED_VALUE"""),"+7.02")</f>
        <v>+7.02</v>
      </c>
      <c r="F100" s="1">
        <f ca="1">IFERROR(__xludf.DUMMYFUNCTION("""COMPUTED_VALUE"""),102.5)</f>
        <v>102.5</v>
      </c>
      <c r="G100" s="1">
        <f ca="1">IFERROR(__xludf.DUMMYFUNCTION("""COMPUTED_VALUE"""),174)</f>
        <v>174</v>
      </c>
      <c r="H100" s="1">
        <f ca="1">IFERROR(__xludf.DUMMYFUNCTION("""COMPUTED_VALUE"""),95.5)</f>
        <v>95.5</v>
      </c>
      <c r="I100" s="1">
        <f ca="1">IFERROR(__xludf.DUMMYFUNCTION("""COMPUTED_VALUE"""),54)</f>
        <v>54</v>
      </c>
      <c r="J100" s="1">
        <f ca="1">IFERROR(__xludf.DUMMYFUNCTION("""COMPUTED_VALUE"""),64.7)</f>
        <v>64.7</v>
      </c>
      <c r="K100" s="1">
        <f ca="1">IFERROR(__xludf.DUMMYFUNCTION("""COMPUTED_VALUE"""),173)</f>
        <v>173</v>
      </c>
      <c r="L100" s="1">
        <f ca="1">IFERROR(__xludf.DUMMYFUNCTION("""COMPUTED_VALUE"""),-0.023)</f>
        <v>-2.3E-2</v>
      </c>
      <c r="M100" s="1">
        <f ca="1">IFERROR(__xludf.DUMMYFUNCTION("""COMPUTED_VALUE"""),243)</f>
        <v>243</v>
      </c>
      <c r="N100" s="1" t="str">
        <f ca="1">IFERROR(__xludf.DUMMYFUNCTION("""COMPUTED_VALUE"""),"+6.19")</f>
        <v>+6.19</v>
      </c>
      <c r="O100" s="1">
        <f ca="1">IFERROR(__xludf.DUMMYFUNCTION("""COMPUTED_VALUE"""),60)</f>
        <v>60</v>
      </c>
      <c r="P100" s="1">
        <f ca="1">IFERROR(__xludf.DUMMYFUNCTION("""COMPUTED_VALUE"""),105.3)</f>
        <v>105.3</v>
      </c>
      <c r="Q100" s="1">
        <f ca="1">IFERROR(__xludf.DUMMYFUNCTION("""COMPUTED_VALUE"""),78)</f>
        <v>78</v>
      </c>
      <c r="R100" s="1">
        <f ca="1">IFERROR(__xludf.DUMMYFUNCTION("""COMPUTED_VALUE"""),99.1)</f>
        <v>99.1</v>
      </c>
      <c r="S100" s="1">
        <f ca="1">IFERROR(__xludf.DUMMYFUNCTION("""COMPUTED_VALUE"""),47)</f>
        <v>47</v>
      </c>
      <c r="T100" s="1">
        <f ca="1">IFERROR(__xludf.DUMMYFUNCTION("""COMPUTED_VALUE"""),-1.35)</f>
        <v>-1.35</v>
      </c>
      <c r="U100" s="1">
        <f ca="1">IFERROR(__xludf.DUMMYFUNCTION("""COMPUTED_VALUE"""),204)</f>
        <v>204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IFERROR(__xludf.DUMMYFUNCTION("""COMPUTED_VALUE"""),"Texas A&amp;M")</f>
        <v>Texas A&amp;M</v>
      </c>
      <c r="C101" s="1" t="str">
        <f ca="1">IFERROR(__xludf.DUMMYFUNCTION("""COMPUTED_VALUE"""),"SEC")</f>
        <v>SEC</v>
      </c>
      <c r="D101" s="1" t="str">
        <f ca="1">IFERROR(__xludf.DUMMYFUNCTION("""COMPUTED_VALUE"""),"18-15")</f>
        <v>18-15</v>
      </c>
      <c r="E101" s="1" t="str">
        <f ca="1">IFERROR(__xludf.DUMMYFUNCTION("""COMPUTED_VALUE"""),"+6.83")</f>
        <v>+6.83</v>
      </c>
      <c r="F101" s="1">
        <f ca="1">IFERROR(__xludf.DUMMYFUNCTION("""COMPUTED_VALUE"""),105.2)</f>
        <v>105.2</v>
      </c>
      <c r="G101" s="1">
        <f ca="1">IFERROR(__xludf.DUMMYFUNCTION("""COMPUTED_VALUE"""),129)</f>
        <v>129</v>
      </c>
      <c r="H101" s="1">
        <f ca="1">IFERROR(__xludf.DUMMYFUNCTION("""COMPUTED_VALUE"""),98.4)</f>
        <v>98.4</v>
      </c>
      <c r="I101" s="1">
        <f ca="1">IFERROR(__xludf.DUMMYFUNCTION("""COMPUTED_VALUE"""),93)</f>
        <v>93</v>
      </c>
      <c r="J101" s="1">
        <f ca="1">IFERROR(__xludf.DUMMYFUNCTION("""COMPUTED_VALUE"""),59.8)</f>
        <v>59.8</v>
      </c>
      <c r="K101" s="1">
        <f ca="1">IFERROR(__xludf.DUMMYFUNCTION("""COMPUTED_VALUE"""),325)</f>
        <v>325</v>
      </c>
      <c r="L101" s="1">
        <f ca="1">IFERROR(__xludf.DUMMYFUNCTION("""COMPUTED_VALUE"""),-0.013)</f>
        <v>-1.2999999999999999E-2</v>
      </c>
      <c r="M101" s="1">
        <f ca="1">IFERROR(__xludf.DUMMYFUNCTION("""COMPUTED_VALUE"""),217)</f>
        <v>217</v>
      </c>
      <c r="N101" s="1" t="str">
        <f ca="1">IFERROR(__xludf.DUMMYFUNCTION("""COMPUTED_VALUE"""),"+3.92")</f>
        <v>+3.92</v>
      </c>
      <c r="O101" s="1">
        <f ca="1">IFERROR(__xludf.DUMMYFUNCTION("""COMPUTED_VALUE"""),96)</f>
        <v>96</v>
      </c>
      <c r="P101" s="1">
        <f ca="1">IFERROR(__xludf.DUMMYFUNCTION("""COMPUTED_VALUE"""),103.8)</f>
        <v>103.8</v>
      </c>
      <c r="Q101" s="1">
        <f ca="1">IFERROR(__xludf.DUMMYFUNCTION("""COMPUTED_VALUE"""),120)</f>
        <v>120</v>
      </c>
      <c r="R101" s="1">
        <f ca="1">IFERROR(__xludf.DUMMYFUNCTION("""COMPUTED_VALUE"""),99.8)</f>
        <v>99.8</v>
      </c>
      <c r="S101" s="1">
        <f ca="1">IFERROR(__xludf.DUMMYFUNCTION("""COMPUTED_VALUE"""),67)</f>
        <v>67</v>
      </c>
      <c r="T101" s="1">
        <f ca="1">IFERROR(__xludf.DUMMYFUNCTION("""COMPUTED_VALUE"""),-4.04)</f>
        <v>-4.04</v>
      </c>
      <c r="U101" s="1">
        <f ca="1">IFERROR(__xludf.DUMMYFUNCTION("""COMPUTED_VALUE"""),276)</f>
        <v>276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IFERROR(__xludf.DUMMYFUNCTION("""COMPUTED_VALUE"""),"South Dakota St.13")</f>
        <v>South Dakota St.13</v>
      </c>
      <c r="C102" s="1" t="str">
        <f ca="1">IFERROR(__xludf.DUMMYFUNCTION("""COMPUTED_VALUE"""),"Sum")</f>
        <v>Sum</v>
      </c>
      <c r="D102" s="1" t="str">
        <f ca="1">IFERROR(__xludf.DUMMYFUNCTION("""COMPUTED_VALUE"""),"25-10")</f>
        <v>25-10</v>
      </c>
      <c r="E102" s="1" t="str">
        <f ca="1">IFERROR(__xludf.DUMMYFUNCTION("""COMPUTED_VALUE"""),"+6.79")</f>
        <v>+6.79</v>
      </c>
      <c r="F102" s="1">
        <f ca="1">IFERROR(__xludf.DUMMYFUNCTION("""COMPUTED_VALUE"""),112)</f>
        <v>112</v>
      </c>
      <c r="G102" s="1">
        <f ca="1">IFERROR(__xludf.DUMMYFUNCTION("""COMPUTED_VALUE"""),33)</f>
        <v>33</v>
      </c>
      <c r="H102" s="1">
        <f ca="1">IFERROR(__xludf.DUMMYFUNCTION("""COMPUTED_VALUE"""),105.2)</f>
        <v>105.2</v>
      </c>
      <c r="I102" s="1">
        <f ca="1">IFERROR(__xludf.DUMMYFUNCTION("""COMPUTED_VALUE"""),223)</f>
        <v>223</v>
      </c>
      <c r="J102" s="1">
        <f ca="1">IFERROR(__xludf.DUMMYFUNCTION("""COMPUTED_VALUE"""),62.6)</f>
        <v>62.6</v>
      </c>
      <c r="K102" s="1">
        <f ca="1">IFERROR(__xludf.DUMMYFUNCTION("""COMPUTED_VALUE"""),261)</f>
        <v>261</v>
      </c>
      <c r="L102" s="1" t="str">
        <f ca="1">IFERROR(__xludf.DUMMYFUNCTION("""COMPUTED_VALUE"""),"+.030")</f>
        <v>+.030</v>
      </c>
      <c r="M102" s="1">
        <f ca="1">IFERROR(__xludf.DUMMYFUNCTION("""COMPUTED_VALUE"""),103)</f>
        <v>103</v>
      </c>
      <c r="N102" s="1">
        <f ca="1">IFERROR(__xludf.DUMMYFUNCTION("""COMPUTED_VALUE"""),-3.31)</f>
        <v>-3.31</v>
      </c>
      <c r="O102" s="1">
        <f ca="1">IFERROR(__xludf.DUMMYFUNCTION("""COMPUTED_VALUE"""),231)</f>
        <v>231</v>
      </c>
      <c r="P102" s="1">
        <f ca="1">IFERROR(__xludf.DUMMYFUNCTION("""COMPUTED_VALUE"""),102)</f>
        <v>102</v>
      </c>
      <c r="Q102" s="1">
        <f ca="1">IFERROR(__xludf.DUMMYFUNCTION("""COMPUTED_VALUE"""),174)</f>
        <v>174</v>
      </c>
      <c r="R102" s="1">
        <f ca="1">IFERROR(__xludf.DUMMYFUNCTION("""COMPUTED_VALUE"""),105.3)</f>
        <v>105.3</v>
      </c>
      <c r="S102" s="1">
        <f ca="1">IFERROR(__xludf.DUMMYFUNCTION("""COMPUTED_VALUE"""),280)</f>
        <v>280</v>
      </c>
      <c r="T102" s="1" t="str">
        <f ca="1">IFERROR(__xludf.DUMMYFUNCTION("""COMPUTED_VALUE"""),"+4.11")</f>
        <v>+4.11</v>
      </c>
      <c r="U102" s="1">
        <f ca="1">IFERROR(__xludf.DUMMYFUNCTION("""COMPUTED_VALUE"""),59)</f>
        <v>59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IFERROR(__xludf.DUMMYFUNCTION("""COMPUTED_VALUE"""),"Oregon St.")</f>
        <v>Oregon St.</v>
      </c>
      <c r="C103" s="1" t="str">
        <f ca="1">IFERROR(__xludf.DUMMYFUNCTION("""COMPUTED_VALUE"""),"P12")</f>
        <v>P12</v>
      </c>
      <c r="D103" s="1" t="str">
        <f ca="1">IFERROR(__xludf.DUMMYFUNCTION("""COMPUTED_VALUE"""),"14-18")</f>
        <v>14-18</v>
      </c>
      <c r="E103" s="1" t="str">
        <f ca="1">IFERROR(__xludf.DUMMYFUNCTION("""COMPUTED_VALUE"""),"+6.77")</f>
        <v>+6.77</v>
      </c>
      <c r="F103" s="1">
        <f ca="1">IFERROR(__xludf.DUMMYFUNCTION("""COMPUTED_VALUE"""),109.4)</f>
        <v>109.4</v>
      </c>
      <c r="G103" s="1">
        <f ca="1">IFERROR(__xludf.DUMMYFUNCTION("""COMPUTED_VALUE"""),62)</f>
        <v>62</v>
      </c>
      <c r="H103" s="1">
        <f ca="1">IFERROR(__xludf.DUMMYFUNCTION("""COMPUTED_VALUE"""),102.7)</f>
        <v>102.7</v>
      </c>
      <c r="I103" s="1">
        <f ca="1">IFERROR(__xludf.DUMMYFUNCTION("""COMPUTED_VALUE"""),169)</f>
        <v>169</v>
      </c>
      <c r="J103" s="1">
        <f ca="1">IFERROR(__xludf.DUMMYFUNCTION("""COMPUTED_VALUE"""),67.1)</f>
        <v>67.099999999999994</v>
      </c>
      <c r="K103" s="1">
        <f ca="1">IFERROR(__xludf.DUMMYFUNCTION("""COMPUTED_VALUE"""),59)</f>
        <v>59</v>
      </c>
      <c r="L103" s="1">
        <f ca="1">IFERROR(__xludf.DUMMYFUNCTION("""COMPUTED_VALUE"""),-0.12)</f>
        <v>-0.12</v>
      </c>
      <c r="M103" s="1">
        <f ca="1">IFERROR(__xludf.DUMMYFUNCTION("""COMPUTED_VALUE"""),343)</f>
        <v>343</v>
      </c>
      <c r="N103" s="1" t="str">
        <f ca="1">IFERROR(__xludf.DUMMYFUNCTION("""COMPUTED_VALUE"""),"+5.16")</f>
        <v>+5.16</v>
      </c>
      <c r="O103" s="1">
        <f ca="1">IFERROR(__xludf.DUMMYFUNCTION("""COMPUTED_VALUE"""),75)</f>
        <v>75</v>
      </c>
      <c r="P103" s="1">
        <f ca="1">IFERROR(__xludf.DUMMYFUNCTION("""COMPUTED_VALUE"""),104.3)</f>
        <v>104.3</v>
      </c>
      <c r="Q103" s="1">
        <f ca="1">IFERROR(__xludf.DUMMYFUNCTION("""COMPUTED_VALUE"""),107)</f>
        <v>107</v>
      </c>
      <c r="R103" s="1">
        <f ca="1">IFERROR(__xludf.DUMMYFUNCTION("""COMPUTED_VALUE"""),99.1)</f>
        <v>99.1</v>
      </c>
      <c r="S103" s="1">
        <f ca="1">IFERROR(__xludf.DUMMYFUNCTION("""COMPUTED_VALUE"""),49)</f>
        <v>49</v>
      </c>
      <c r="T103" s="1">
        <f ca="1">IFERROR(__xludf.DUMMYFUNCTION("""COMPUTED_VALUE"""),-7.59)</f>
        <v>-7.59</v>
      </c>
      <c r="U103" s="1">
        <f ca="1">IFERROR(__xludf.DUMMYFUNCTION("""COMPUTED_VALUE"""),327)</f>
        <v>327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IFERROR(__xludf.DUMMYFUNCTION("""COMPUTED_VALUE"""),"Vanderbilt")</f>
        <v>Vanderbilt</v>
      </c>
      <c r="C104" s="1" t="str">
        <f ca="1">IFERROR(__xludf.DUMMYFUNCTION("""COMPUTED_VALUE"""),"SEC")</f>
        <v>SEC</v>
      </c>
      <c r="D104" s="1" t="str">
        <f ca="1">IFERROR(__xludf.DUMMYFUNCTION("""COMPUTED_VALUE"""),"16-17")</f>
        <v>16-17</v>
      </c>
      <c r="E104" s="1" t="str">
        <f ca="1">IFERROR(__xludf.DUMMYFUNCTION("""COMPUTED_VALUE"""),"+6.77")</f>
        <v>+6.77</v>
      </c>
      <c r="F104" s="1">
        <f ca="1">IFERROR(__xludf.DUMMYFUNCTION("""COMPUTED_VALUE"""),102.6)</f>
        <v>102.6</v>
      </c>
      <c r="G104" s="1">
        <f ca="1">IFERROR(__xludf.DUMMYFUNCTION("""COMPUTED_VALUE"""),173)</f>
        <v>173</v>
      </c>
      <c r="H104" s="1">
        <f ca="1">IFERROR(__xludf.DUMMYFUNCTION("""COMPUTED_VALUE"""),95.8)</f>
        <v>95.8</v>
      </c>
      <c r="I104" s="1">
        <f ca="1">IFERROR(__xludf.DUMMYFUNCTION("""COMPUTED_VALUE"""),58)</f>
        <v>58</v>
      </c>
      <c r="J104" s="1">
        <f ca="1">IFERROR(__xludf.DUMMYFUNCTION("""COMPUTED_VALUE"""),59.7)</f>
        <v>59.7</v>
      </c>
      <c r="K104" s="1">
        <f ca="1">IFERROR(__xludf.DUMMYFUNCTION("""COMPUTED_VALUE"""),328)</f>
        <v>328</v>
      </c>
      <c r="L104" s="1">
        <f ca="1">IFERROR(__xludf.DUMMYFUNCTION("""COMPUTED_VALUE"""),-0.026)</f>
        <v>-2.5999999999999999E-2</v>
      </c>
      <c r="M104" s="1">
        <f ca="1">IFERROR(__xludf.DUMMYFUNCTION("""COMPUTED_VALUE"""),249)</f>
        <v>249</v>
      </c>
      <c r="N104" s="1" t="str">
        <f ca="1">IFERROR(__xludf.DUMMYFUNCTION("""COMPUTED_VALUE"""),"+4.98")</f>
        <v>+4.98</v>
      </c>
      <c r="O104" s="1">
        <f ca="1">IFERROR(__xludf.DUMMYFUNCTION("""COMPUTED_VALUE"""),77)</f>
        <v>77</v>
      </c>
      <c r="P104" s="1">
        <f ca="1">IFERROR(__xludf.DUMMYFUNCTION("""COMPUTED_VALUE"""),104.9)</f>
        <v>104.9</v>
      </c>
      <c r="Q104" s="1">
        <f ca="1">IFERROR(__xludf.DUMMYFUNCTION("""COMPUTED_VALUE"""),90)</f>
        <v>90</v>
      </c>
      <c r="R104" s="1">
        <f ca="1">IFERROR(__xludf.DUMMYFUNCTION("""COMPUTED_VALUE"""),99.9)</f>
        <v>99.9</v>
      </c>
      <c r="S104" s="1">
        <f ca="1">IFERROR(__xludf.DUMMYFUNCTION("""COMPUTED_VALUE"""),71)</f>
        <v>71</v>
      </c>
      <c r="T104" s="1" t="str">
        <f ca="1">IFERROR(__xludf.DUMMYFUNCTION("""COMPUTED_VALUE"""),"+0.50")</f>
        <v>+0.50</v>
      </c>
      <c r="U104" s="1">
        <f ca="1">IFERROR(__xludf.DUMMYFUNCTION("""COMPUTED_VALUE"""),137)</f>
        <v>137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IFERROR(__xludf.DUMMYFUNCTION("""COMPUTED_VALUE"""),"Air Force")</f>
        <v>Air Force</v>
      </c>
      <c r="C105" s="1" t="str">
        <f ca="1">IFERROR(__xludf.DUMMYFUNCTION("""COMPUTED_VALUE"""),"MWC")</f>
        <v>MWC</v>
      </c>
      <c r="D105" s="1" t="str">
        <f ca="1">IFERROR(__xludf.DUMMYFUNCTION("""COMPUTED_VALUE"""),"18-14")</f>
        <v>18-14</v>
      </c>
      <c r="E105" s="1" t="str">
        <f ca="1">IFERROR(__xludf.DUMMYFUNCTION("""COMPUTED_VALUE"""),"+6.74")</f>
        <v>+6.74</v>
      </c>
      <c r="F105" s="1">
        <f ca="1">IFERROR(__xludf.DUMMYFUNCTION("""COMPUTED_VALUE"""),111.7)</f>
        <v>111.7</v>
      </c>
      <c r="G105" s="1">
        <f ca="1">IFERROR(__xludf.DUMMYFUNCTION("""COMPUTED_VALUE"""),36)</f>
        <v>36</v>
      </c>
      <c r="H105" s="1">
        <f ca="1">IFERROR(__xludf.DUMMYFUNCTION("""COMPUTED_VALUE"""),104.9)</f>
        <v>104.9</v>
      </c>
      <c r="I105" s="1">
        <f ca="1">IFERROR(__xludf.DUMMYFUNCTION("""COMPUTED_VALUE"""),217)</f>
        <v>217</v>
      </c>
      <c r="J105" s="1">
        <f ca="1">IFERROR(__xludf.DUMMYFUNCTION("""COMPUTED_VALUE"""),63.2)</f>
        <v>63.2</v>
      </c>
      <c r="K105" s="1">
        <f ca="1">IFERROR(__xludf.DUMMYFUNCTION("""COMPUTED_VALUE"""),233)</f>
        <v>233</v>
      </c>
      <c r="L105" s="1" t="str">
        <f ca="1">IFERROR(__xludf.DUMMYFUNCTION("""COMPUTED_VALUE"""),"+.034")</f>
        <v>+.034</v>
      </c>
      <c r="M105" s="1">
        <f ca="1">IFERROR(__xludf.DUMMYFUNCTION("""COMPUTED_VALUE"""),93)</f>
        <v>93</v>
      </c>
      <c r="N105" s="1" t="str">
        <f ca="1">IFERROR(__xludf.DUMMYFUNCTION("""COMPUTED_VALUE"""),"+7.17")</f>
        <v>+7.17</v>
      </c>
      <c r="O105" s="1">
        <f ca="1">IFERROR(__xludf.DUMMYFUNCTION("""COMPUTED_VALUE"""),38)</f>
        <v>38</v>
      </c>
      <c r="P105" s="1">
        <f ca="1">IFERROR(__xludf.DUMMYFUNCTION("""COMPUTED_VALUE"""),105.7)</f>
        <v>105.7</v>
      </c>
      <c r="Q105" s="1">
        <f ca="1">IFERROR(__xludf.DUMMYFUNCTION("""COMPUTED_VALUE"""),59)</f>
        <v>59</v>
      </c>
      <c r="R105" s="1">
        <f ca="1">IFERROR(__xludf.DUMMYFUNCTION("""COMPUTED_VALUE"""),98.5)</f>
        <v>98.5</v>
      </c>
      <c r="S105" s="1">
        <f ca="1">IFERROR(__xludf.DUMMYFUNCTION("""COMPUTED_VALUE"""),30)</f>
        <v>30</v>
      </c>
      <c r="T105" s="1">
        <f ca="1">IFERROR(__xludf.DUMMYFUNCTION("""COMPUTED_VALUE"""),-4.78)</f>
        <v>-4.78</v>
      </c>
      <c r="U105" s="1">
        <f ca="1">IFERROR(__xludf.DUMMYFUNCTION("""COMPUTED_VALUE"""),286)</f>
        <v>286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IFERROR(__xludf.DUMMYFUNCTION("""COMPUTED_VALUE"""),"Wyoming")</f>
        <v>Wyoming</v>
      </c>
      <c r="C106" s="1" t="str">
        <f ca="1">IFERROR(__xludf.DUMMYFUNCTION("""COMPUTED_VALUE"""),"MWC")</f>
        <v>MWC</v>
      </c>
      <c r="D106" s="1" t="str">
        <f ca="1">IFERROR(__xludf.DUMMYFUNCTION("""COMPUTED_VALUE"""),"20-14")</f>
        <v>20-14</v>
      </c>
      <c r="E106" s="1" t="str">
        <f ca="1">IFERROR(__xludf.DUMMYFUNCTION("""COMPUTED_VALUE"""),"+6.53")</f>
        <v>+6.53</v>
      </c>
      <c r="F106" s="1">
        <f ca="1">IFERROR(__xludf.DUMMYFUNCTION("""COMPUTED_VALUE"""),103)</f>
        <v>103</v>
      </c>
      <c r="G106" s="1">
        <f ca="1">IFERROR(__xludf.DUMMYFUNCTION("""COMPUTED_VALUE"""),160)</f>
        <v>160</v>
      </c>
      <c r="H106" s="1">
        <f ca="1">IFERROR(__xludf.DUMMYFUNCTION("""COMPUTED_VALUE"""),96.5)</f>
        <v>96.5</v>
      </c>
      <c r="I106" s="1">
        <f ca="1">IFERROR(__xludf.DUMMYFUNCTION("""COMPUTED_VALUE"""),65)</f>
        <v>65</v>
      </c>
      <c r="J106" s="1">
        <f ca="1">IFERROR(__xludf.DUMMYFUNCTION("""COMPUTED_VALUE"""),60)</f>
        <v>60</v>
      </c>
      <c r="K106" s="1">
        <f ca="1">IFERROR(__xludf.DUMMYFUNCTION("""COMPUTED_VALUE"""),322)</f>
        <v>322</v>
      </c>
      <c r="L106" s="1" t="str">
        <f ca="1">IFERROR(__xludf.DUMMYFUNCTION("""COMPUTED_VALUE"""),"+.045")</f>
        <v>+.045</v>
      </c>
      <c r="M106" s="1">
        <f ca="1">IFERROR(__xludf.DUMMYFUNCTION("""COMPUTED_VALUE"""),63)</f>
        <v>63</v>
      </c>
      <c r="N106" s="1" t="str">
        <f ca="1">IFERROR(__xludf.DUMMYFUNCTION("""COMPUTED_VALUE"""),"+5.49")</f>
        <v>+5.49</v>
      </c>
      <c r="O106" s="1">
        <f ca="1">IFERROR(__xludf.DUMMYFUNCTION("""COMPUTED_VALUE"""),71)</f>
        <v>71</v>
      </c>
      <c r="P106" s="1">
        <f ca="1">IFERROR(__xludf.DUMMYFUNCTION("""COMPUTED_VALUE"""),105.5)</f>
        <v>105.5</v>
      </c>
      <c r="Q106" s="1">
        <f ca="1">IFERROR(__xludf.DUMMYFUNCTION("""COMPUTED_VALUE"""),73)</f>
        <v>73</v>
      </c>
      <c r="R106" s="1">
        <f ca="1">IFERROR(__xludf.DUMMYFUNCTION("""COMPUTED_VALUE"""),100)</f>
        <v>100</v>
      </c>
      <c r="S106" s="1">
        <f ca="1">IFERROR(__xludf.DUMMYFUNCTION("""COMPUTED_VALUE"""),72)</f>
        <v>72</v>
      </c>
      <c r="T106" s="1">
        <f ca="1">IFERROR(__xludf.DUMMYFUNCTION("""COMPUTED_VALUE"""),-1.81)</f>
        <v>-1.81</v>
      </c>
      <c r="U106" s="1">
        <f ca="1">IFERROR(__xludf.DUMMYFUNCTION("""COMPUTED_VALUE"""),216)</f>
        <v>216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IFERROR(__xludf.DUMMYFUNCTION("""COMPUTED_VALUE"""),"USC")</f>
        <v>USC</v>
      </c>
      <c r="C107" s="1" t="str">
        <f ca="1">IFERROR(__xludf.DUMMYFUNCTION("""COMPUTED_VALUE"""),"P12")</f>
        <v>P12</v>
      </c>
      <c r="D107" s="1" t="str">
        <f ca="1">IFERROR(__xludf.DUMMYFUNCTION("""COMPUTED_VALUE"""),"14-18")</f>
        <v>14-18</v>
      </c>
      <c r="E107" s="1" t="str">
        <f ca="1">IFERROR(__xludf.DUMMYFUNCTION("""COMPUTED_VALUE"""),"+6.39")</f>
        <v>+6.39</v>
      </c>
      <c r="F107" s="1">
        <f ca="1">IFERROR(__xludf.DUMMYFUNCTION("""COMPUTED_VALUE"""),103.4)</f>
        <v>103.4</v>
      </c>
      <c r="G107" s="1">
        <f ca="1">IFERROR(__xludf.DUMMYFUNCTION("""COMPUTED_VALUE"""),154)</f>
        <v>154</v>
      </c>
      <c r="H107" s="1">
        <f ca="1">IFERROR(__xludf.DUMMYFUNCTION("""COMPUTED_VALUE"""),97)</f>
        <v>97</v>
      </c>
      <c r="I107" s="1">
        <f ca="1">IFERROR(__xludf.DUMMYFUNCTION("""COMPUTED_VALUE"""),75)</f>
        <v>75</v>
      </c>
      <c r="J107" s="1">
        <f ca="1">IFERROR(__xludf.DUMMYFUNCTION("""COMPUTED_VALUE"""),65.8)</f>
        <v>65.8</v>
      </c>
      <c r="K107" s="1">
        <f ca="1">IFERROR(__xludf.DUMMYFUNCTION("""COMPUTED_VALUE"""),118)</f>
        <v>118</v>
      </c>
      <c r="L107" s="1">
        <f ca="1">IFERROR(__xludf.DUMMYFUNCTION("""COMPUTED_VALUE"""),-0.014)</f>
        <v>-1.4E-2</v>
      </c>
      <c r="M107" s="1">
        <f ca="1">IFERROR(__xludf.DUMMYFUNCTION("""COMPUTED_VALUE"""),221)</f>
        <v>221</v>
      </c>
      <c r="N107" s="1" t="str">
        <f ca="1">IFERROR(__xludf.DUMMYFUNCTION("""COMPUTED_VALUE"""),"+9.18")</f>
        <v>+9.18</v>
      </c>
      <c r="O107" s="1">
        <f ca="1">IFERROR(__xludf.DUMMYFUNCTION("""COMPUTED_VALUE"""),14)</f>
        <v>14</v>
      </c>
      <c r="P107" s="1">
        <f ca="1">IFERROR(__xludf.DUMMYFUNCTION("""COMPUTED_VALUE"""),106.9)</f>
        <v>106.9</v>
      </c>
      <c r="Q107" s="1">
        <f ca="1">IFERROR(__xludf.DUMMYFUNCTION("""COMPUTED_VALUE"""),16)</f>
        <v>16</v>
      </c>
      <c r="R107" s="1">
        <f ca="1">IFERROR(__xludf.DUMMYFUNCTION("""COMPUTED_VALUE"""),97.7)</f>
        <v>97.7</v>
      </c>
      <c r="S107" s="1">
        <f ca="1">IFERROR(__xludf.DUMMYFUNCTION("""COMPUTED_VALUE"""),11)</f>
        <v>11</v>
      </c>
      <c r="T107" s="1" t="str">
        <f ca="1">IFERROR(__xludf.DUMMYFUNCTION("""COMPUTED_VALUE"""),"+5.31")</f>
        <v>+5.31</v>
      </c>
      <c r="U107" s="1">
        <f ca="1">IFERROR(__xludf.DUMMYFUNCTION("""COMPUTED_VALUE"""),35)</f>
        <v>35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IFERROR(__xludf.DUMMYFUNCTION("""COMPUTED_VALUE"""),"LSU")</f>
        <v>LSU</v>
      </c>
      <c r="C108" s="1" t="str">
        <f ca="1">IFERROR(__xludf.DUMMYFUNCTION("""COMPUTED_VALUE"""),"SEC")</f>
        <v>SEC</v>
      </c>
      <c r="D108" s="1" t="str">
        <f ca="1">IFERROR(__xludf.DUMMYFUNCTION("""COMPUTED_VALUE"""),"19-12")</f>
        <v>19-12</v>
      </c>
      <c r="E108" s="1" t="str">
        <f ca="1">IFERROR(__xludf.DUMMYFUNCTION("""COMPUTED_VALUE"""),"+6.38")</f>
        <v>+6.38</v>
      </c>
      <c r="F108" s="1">
        <f ca="1">IFERROR(__xludf.DUMMYFUNCTION("""COMPUTED_VALUE"""),105.6)</f>
        <v>105.6</v>
      </c>
      <c r="G108" s="1">
        <f ca="1">IFERROR(__xludf.DUMMYFUNCTION("""COMPUTED_VALUE"""),122)</f>
        <v>122</v>
      </c>
      <c r="H108" s="1">
        <f ca="1">IFERROR(__xludf.DUMMYFUNCTION("""COMPUTED_VALUE"""),99.3)</f>
        <v>99.3</v>
      </c>
      <c r="I108" s="1">
        <f ca="1">IFERROR(__xludf.DUMMYFUNCTION("""COMPUTED_VALUE"""),110)</f>
        <v>110</v>
      </c>
      <c r="J108" s="1">
        <f ca="1">IFERROR(__xludf.DUMMYFUNCTION("""COMPUTED_VALUE"""),67.7)</f>
        <v>67.7</v>
      </c>
      <c r="K108" s="1">
        <f ca="1">IFERROR(__xludf.DUMMYFUNCTION("""COMPUTED_VALUE"""),46)</f>
        <v>46</v>
      </c>
      <c r="L108" s="1" t="str">
        <f ca="1">IFERROR(__xludf.DUMMYFUNCTION("""COMPUTED_VALUE"""),"+.060")</f>
        <v>+.060</v>
      </c>
      <c r="M108" s="1">
        <f ca="1">IFERROR(__xludf.DUMMYFUNCTION("""COMPUTED_VALUE"""),37)</f>
        <v>37</v>
      </c>
      <c r="N108" s="1" t="str">
        <f ca="1">IFERROR(__xludf.DUMMYFUNCTION("""COMPUTED_VALUE"""),"+3.14")</f>
        <v>+3.14</v>
      </c>
      <c r="O108" s="1">
        <f ca="1">IFERROR(__xludf.DUMMYFUNCTION("""COMPUTED_VALUE"""),111)</f>
        <v>111</v>
      </c>
      <c r="P108" s="1">
        <f ca="1">IFERROR(__xludf.DUMMYFUNCTION("""COMPUTED_VALUE"""),103.3)</f>
        <v>103.3</v>
      </c>
      <c r="Q108" s="1">
        <f ca="1">IFERROR(__xludf.DUMMYFUNCTION("""COMPUTED_VALUE"""),133)</f>
        <v>133</v>
      </c>
      <c r="R108" s="1">
        <f ca="1">IFERROR(__xludf.DUMMYFUNCTION("""COMPUTED_VALUE"""),100.2)</f>
        <v>100.2</v>
      </c>
      <c r="S108" s="1">
        <f ca="1">IFERROR(__xludf.DUMMYFUNCTION("""COMPUTED_VALUE"""),78)</f>
        <v>78</v>
      </c>
      <c r="T108" s="1">
        <f ca="1">IFERROR(__xludf.DUMMYFUNCTION("""COMPUTED_VALUE"""),-8.05)</f>
        <v>-8.0500000000000007</v>
      </c>
      <c r="U108" s="1">
        <f ca="1">IFERROR(__xludf.DUMMYFUNCTION("""COMPUTED_VALUE"""),331)</f>
        <v>331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IFERROR(__xludf.DUMMYFUNCTION("""COMPUTED_VALUE"""),"St. John's5")</f>
        <v>St. John's5</v>
      </c>
      <c r="C109" s="1" t="str">
        <f ca="1">IFERROR(__xludf.DUMMYFUNCTION("""COMPUTED_VALUE"""),"BE")</f>
        <v>BE</v>
      </c>
      <c r="D109" s="1" t="str">
        <f ca="1">IFERROR(__xludf.DUMMYFUNCTION("""COMPUTED_VALUE"""),"17-16")</f>
        <v>17-16</v>
      </c>
      <c r="E109" s="1" t="str">
        <f ca="1">IFERROR(__xludf.DUMMYFUNCTION("""COMPUTED_VALUE"""),"+6.38")</f>
        <v>+6.38</v>
      </c>
      <c r="F109" s="1">
        <f ca="1">IFERROR(__xludf.DUMMYFUNCTION("""COMPUTED_VALUE"""),100.4)</f>
        <v>100.4</v>
      </c>
      <c r="G109" s="1">
        <f ca="1">IFERROR(__xludf.DUMMYFUNCTION("""COMPUTED_VALUE"""),212)</f>
        <v>212</v>
      </c>
      <c r="H109" s="1">
        <f ca="1">IFERROR(__xludf.DUMMYFUNCTION("""COMPUTED_VALUE"""),94)</f>
        <v>94</v>
      </c>
      <c r="I109" s="1">
        <f ca="1">IFERROR(__xludf.DUMMYFUNCTION("""COMPUTED_VALUE"""),38)</f>
        <v>38</v>
      </c>
      <c r="J109" s="1">
        <f ca="1">IFERROR(__xludf.DUMMYFUNCTION("""COMPUTED_VALUE"""),66.3)</f>
        <v>66.3</v>
      </c>
      <c r="K109" s="1">
        <f ca="1">IFERROR(__xludf.DUMMYFUNCTION("""COMPUTED_VALUE"""),94)</f>
        <v>94</v>
      </c>
      <c r="L109" s="1" t="str">
        <f ca="1">IFERROR(__xludf.DUMMYFUNCTION("""COMPUTED_VALUE"""),"+.058")</f>
        <v>+.058</v>
      </c>
      <c r="M109" s="1">
        <f ca="1">IFERROR(__xludf.DUMMYFUNCTION("""COMPUTED_VALUE"""),38)</f>
        <v>38</v>
      </c>
      <c r="N109" s="1" t="str">
        <f ca="1">IFERROR(__xludf.DUMMYFUNCTION("""COMPUTED_VALUE"""),"+7.33")</f>
        <v>+7.33</v>
      </c>
      <c r="O109" s="1">
        <f ca="1">IFERROR(__xludf.DUMMYFUNCTION("""COMPUTED_VALUE"""),34)</f>
        <v>34</v>
      </c>
      <c r="P109" s="1">
        <f ca="1">IFERROR(__xludf.DUMMYFUNCTION("""COMPUTED_VALUE"""),106.5)</f>
        <v>106.5</v>
      </c>
      <c r="Q109" s="1">
        <f ca="1">IFERROR(__xludf.DUMMYFUNCTION("""COMPUTED_VALUE"""),28)</f>
        <v>28</v>
      </c>
      <c r="R109" s="1">
        <f ca="1">IFERROR(__xludf.DUMMYFUNCTION("""COMPUTED_VALUE"""),99.2)</f>
        <v>99.2</v>
      </c>
      <c r="S109" s="1">
        <f ca="1">IFERROR(__xludf.DUMMYFUNCTION("""COMPUTED_VALUE"""),51)</f>
        <v>51</v>
      </c>
      <c r="T109" s="1">
        <f ca="1">IFERROR(__xludf.DUMMYFUNCTION("""COMPUTED_VALUE"""),-2.63)</f>
        <v>-2.63</v>
      </c>
      <c r="U109" s="1">
        <f ca="1">IFERROR(__xludf.DUMMYFUNCTION("""COMPUTED_VALUE"""),248)</f>
        <v>248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IFERROR(__xludf.DUMMYFUNCTION("""COMPUTED_VALUE"""),"Georgia Tech")</f>
        <v>Georgia Tech</v>
      </c>
      <c r="C110" s="1" t="str">
        <f ca="1">IFERROR(__xludf.DUMMYFUNCTION("""COMPUTED_VALUE"""),"ACC")</f>
        <v>ACC</v>
      </c>
      <c r="D110" s="1" t="str">
        <f ca="1">IFERROR(__xludf.DUMMYFUNCTION("""COMPUTED_VALUE"""),"16-15")</f>
        <v>16-15</v>
      </c>
      <c r="E110" s="1" t="str">
        <f ca="1">IFERROR(__xludf.DUMMYFUNCTION("""COMPUTED_VALUE"""),"+6.37")</f>
        <v>+6.37</v>
      </c>
      <c r="F110" s="1">
        <f ca="1">IFERROR(__xludf.DUMMYFUNCTION("""COMPUTED_VALUE"""),99.9)</f>
        <v>99.9</v>
      </c>
      <c r="G110" s="1">
        <f ca="1">IFERROR(__xludf.DUMMYFUNCTION("""COMPUTED_VALUE"""),222)</f>
        <v>222</v>
      </c>
      <c r="H110" s="1">
        <f ca="1">IFERROR(__xludf.DUMMYFUNCTION("""COMPUTED_VALUE"""),93.5)</f>
        <v>93.5</v>
      </c>
      <c r="I110" s="1">
        <f ca="1">IFERROR(__xludf.DUMMYFUNCTION("""COMPUTED_VALUE"""),33)</f>
        <v>33</v>
      </c>
      <c r="J110" s="1">
        <f ca="1">IFERROR(__xludf.DUMMYFUNCTION("""COMPUTED_VALUE"""),65.2)</f>
        <v>65.2</v>
      </c>
      <c r="K110" s="1">
        <f ca="1">IFERROR(__xludf.DUMMYFUNCTION("""COMPUTED_VALUE"""),142)</f>
        <v>142</v>
      </c>
      <c r="L110" s="1">
        <f ca="1">IFERROR(__xludf.DUMMYFUNCTION("""COMPUTED_VALUE"""),-0.038)</f>
        <v>-3.7999999999999999E-2</v>
      </c>
      <c r="M110" s="1">
        <f ca="1">IFERROR(__xludf.DUMMYFUNCTION("""COMPUTED_VALUE"""),274)</f>
        <v>274</v>
      </c>
      <c r="N110" s="1" t="str">
        <f ca="1">IFERROR(__xludf.DUMMYFUNCTION("""COMPUTED_VALUE"""),"+3.90")</f>
        <v>+3.90</v>
      </c>
      <c r="O110" s="1">
        <f ca="1">IFERROR(__xludf.DUMMYFUNCTION("""COMPUTED_VALUE"""),99)</f>
        <v>99</v>
      </c>
      <c r="P110" s="1">
        <f ca="1">IFERROR(__xludf.DUMMYFUNCTION("""COMPUTED_VALUE"""),105.7)</f>
        <v>105.7</v>
      </c>
      <c r="Q110" s="1">
        <f ca="1">IFERROR(__xludf.DUMMYFUNCTION("""COMPUTED_VALUE"""),60)</f>
        <v>60</v>
      </c>
      <c r="R110" s="1">
        <f ca="1">IFERROR(__xludf.DUMMYFUNCTION("""COMPUTED_VALUE"""),101.8)</f>
        <v>101.8</v>
      </c>
      <c r="S110" s="1">
        <f ca="1">IFERROR(__xludf.DUMMYFUNCTION("""COMPUTED_VALUE"""),118)</f>
        <v>118</v>
      </c>
      <c r="T110" s="1">
        <f ca="1">IFERROR(__xludf.DUMMYFUNCTION("""COMPUTED_VALUE"""),-10.65)</f>
        <v>-10.65</v>
      </c>
      <c r="U110" s="1">
        <f ca="1">IFERROR(__xludf.DUMMYFUNCTION("""COMPUTED_VALUE"""),342)</f>
        <v>342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IFERROR(__xludf.DUMMYFUNCTION("""COMPUTED_VALUE"""),"Florida Gulf Coast15")</f>
        <v>Florida Gulf Coast15</v>
      </c>
      <c r="C111" s="1" t="str">
        <f ca="1">IFERROR(__xludf.DUMMYFUNCTION("""COMPUTED_VALUE"""),"ASun")</f>
        <v>ASun</v>
      </c>
      <c r="D111" s="1" t="str">
        <f ca="1">IFERROR(__xludf.DUMMYFUNCTION("""COMPUTED_VALUE"""),"26-11")</f>
        <v>26-11</v>
      </c>
      <c r="E111" s="1" t="str">
        <f ca="1">IFERROR(__xludf.DUMMYFUNCTION("""COMPUTED_VALUE"""),"+6.27")</f>
        <v>+6.27</v>
      </c>
      <c r="F111" s="1">
        <f ca="1">IFERROR(__xludf.DUMMYFUNCTION("""COMPUTED_VALUE"""),104.9)</f>
        <v>104.9</v>
      </c>
      <c r="G111" s="1">
        <f ca="1">IFERROR(__xludf.DUMMYFUNCTION("""COMPUTED_VALUE"""),136)</f>
        <v>136</v>
      </c>
      <c r="H111" s="1">
        <f ca="1">IFERROR(__xludf.DUMMYFUNCTION("""COMPUTED_VALUE"""),98.6)</f>
        <v>98.6</v>
      </c>
      <c r="I111" s="1">
        <f ca="1">IFERROR(__xludf.DUMMYFUNCTION("""COMPUTED_VALUE"""),99)</f>
        <v>99</v>
      </c>
      <c r="J111" s="1">
        <f ca="1">IFERROR(__xludf.DUMMYFUNCTION("""COMPUTED_VALUE"""),67.9)</f>
        <v>67.900000000000006</v>
      </c>
      <c r="K111" s="1">
        <f ca="1">IFERROR(__xludf.DUMMYFUNCTION("""COMPUTED_VALUE"""),41)</f>
        <v>41</v>
      </c>
      <c r="L111" s="1" t="str">
        <f ca="1">IFERROR(__xludf.DUMMYFUNCTION("""COMPUTED_VALUE"""),"+.039")</f>
        <v>+.039</v>
      </c>
      <c r="M111" s="1">
        <f ca="1">IFERROR(__xludf.DUMMYFUNCTION("""COMPUTED_VALUE"""),79)</f>
        <v>79</v>
      </c>
      <c r="N111" s="1">
        <f ca="1">IFERROR(__xludf.DUMMYFUNCTION("""COMPUTED_VALUE"""),-2.79)</f>
        <v>-2.79</v>
      </c>
      <c r="O111" s="1">
        <f ca="1">IFERROR(__xludf.DUMMYFUNCTION("""COMPUTED_VALUE"""),213)</f>
        <v>213</v>
      </c>
      <c r="P111" s="1">
        <f ca="1">IFERROR(__xludf.DUMMYFUNCTION("""COMPUTED_VALUE"""),101.3)</f>
        <v>101.3</v>
      </c>
      <c r="Q111" s="1">
        <f ca="1">IFERROR(__xludf.DUMMYFUNCTION("""COMPUTED_VALUE"""),215)</f>
        <v>215</v>
      </c>
      <c r="R111" s="1">
        <f ca="1">IFERROR(__xludf.DUMMYFUNCTION("""COMPUTED_VALUE"""),104.1)</f>
        <v>104.1</v>
      </c>
      <c r="S111" s="1">
        <f ca="1">IFERROR(__xludf.DUMMYFUNCTION("""COMPUTED_VALUE"""),221)</f>
        <v>221</v>
      </c>
      <c r="T111" s="1" t="str">
        <f ca="1">IFERROR(__xludf.DUMMYFUNCTION("""COMPUTED_VALUE"""),"+4.57")</f>
        <v>+4.57</v>
      </c>
      <c r="U111" s="1">
        <f ca="1">IFERROR(__xludf.DUMMYFUNCTION("""COMPUTED_VALUE"""),48)</f>
        <v>48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IFERROR(__xludf.DUMMYFUNCTION("""COMPUTED_VALUE"""),"Rutgers")</f>
        <v>Rutgers</v>
      </c>
      <c r="C112" s="1" t="str">
        <f ca="1">IFERROR(__xludf.DUMMYFUNCTION("""COMPUTED_VALUE"""),"BE")</f>
        <v>BE</v>
      </c>
      <c r="D112" s="1" t="str">
        <f ca="1">IFERROR(__xludf.DUMMYFUNCTION("""COMPUTED_VALUE"""),"15-16")</f>
        <v>15-16</v>
      </c>
      <c r="E112" s="1" t="str">
        <f ca="1">IFERROR(__xludf.DUMMYFUNCTION("""COMPUTED_VALUE"""),"+6.07")</f>
        <v>+6.07</v>
      </c>
      <c r="F112" s="1">
        <f ca="1">IFERROR(__xludf.DUMMYFUNCTION("""COMPUTED_VALUE"""),107.5)</f>
        <v>107.5</v>
      </c>
      <c r="G112" s="1">
        <f ca="1">IFERROR(__xludf.DUMMYFUNCTION("""COMPUTED_VALUE"""),82)</f>
        <v>82</v>
      </c>
      <c r="H112" s="1">
        <f ca="1">IFERROR(__xludf.DUMMYFUNCTION("""COMPUTED_VALUE"""),101.4)</f>
        <v>101.4</v>
      </c>
      <c r="I112" s="1">
        <f ca="1">IFERROR(__xludf.DUMMYFUNCTION("""COMPUTED_VALUE"""),147)</f>
        <v>147</v>
      </c>
      <c r="J112" s="1">
        <f ca="1">IFERROR(__xludf.DUMMYFUNCTION("""COMPUTED_VALUE"""),63.1)</f>
        <v>63.1</v>
      </c>
      <c r="K112" s="1">
        <f ca="1">IFERROR(__xludf.DUMMYFUNCTION("""COMPUTED_VALUE"""),237)</f>
        <v>237</v>
      </c>
      <c r="L112" s="1" t="str">
        <f ca="1">IFERROR(__xludf.DUMMYFUNCTION("""COMPUTED_VALUE"""),"+.015")</f>
        <v>+.015</v>
      </c>
      <c r="M112" s="1">
        <f ca="1">IFERROR(__xludf.DUMMYFUNCTION("""COMPUTED_VALUE"""),141)</f>
        <v>141</v>
      </c>
      <c r="N112" s="1" t="str">
        <f ca="1">IFERROR(__xludf.DUMMYFUNCTION("""COMPUTED_VALUE"""),"+6.99")</f>
        <v>+6.99</v>
      </c>
      <c r="O112" s="1">
        <f ca="1">IFERROR(__xludf.DUMMYFUNCTION("""COMPUTED_VALUE"""),43)</f>
        <v>43</v>
      </c>
      <c r="P112" s="1">
        <f ca="1">IFERROR(__xludf.DUMMYFUNCTION("""COMPUTED_VALUE"""),105.2)</f>
        <v>105.2</v>
      </c>
      <c r="Q112" s="1">
        <f ca="1">IFERROR(__xludf.DUMMYFUNCTION("""COMPUTED_VALUE"""),81)</f>
        <v>81</v>
      </c>
      <c r="R112" s="1">
        <f ca="1">IFERROR(__xludf.DUMMYFUNCTION("""COMPUTED_VALUE"""),98.2)</f>
        <v>98.2</v>
      </c>
      <c r="S112" s="1">
        <f ca="1">IFERROR(__xludf.DUMMYFUNCTION("""COMPUTED_VALUE"""),20)</f>
        <v>20</v>
      </c>
      <c r="T112" s="1">
        <f ca="1">IFERROR(__xludf.DUMMYFUNCTION("""COMPUTED_VALUE"""),-4.13)</f>
        <v>-4.13</v>
      </c>
      <c r="U112" s="1">
        <f ca="1">IFERROR(__xludf.DUMMYFUNCTION("""COMPUTED_VALUE"""),278)</f>
        <v>278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IFERROR(__xludf.DUMMYFUNCTION("""COMPUTED_VALUE"""),"Boston College")</f>
        <v>Boston College</v>
      </c>
      <c r="C113" s="1" t="str">
        <f ca="1">IFERROR(__xludf.DUMMYFUNCTION("""COMPUTED_VALUE"""),"ACC")</f>
        <v>ACC</v>
      </c>
      <c r="D113" s="1" t="str">
        <f ca="1">IFERROR(__xludf.DUMMYFUNCTION("""COMPUTED_VALUE"""),"16-17")</f>
        <v>16-17</v>
      </c>
      <c r="E113" s="1" t="str">
        <f ca="1">IFERROR(__xludf.DUMMYFUNCTION("""COMPUTED_VALUE"""),"+6.04")</f>
        <v>+6.04</v>
      </c>
      <c r="F113" s="1">
        <f ca="1">IFERROR(__xludf.DUMMYFUNCTION("""COMPUTED_VALUE"""),109.9)</f>
        <v>109.9</v>
      </c>
      <c r="G113" s="1">
        <f ca="1">IFERROR(__xludf.DUMMYFUNCTION("""COMPUTED_VALUE"""),54)</f>
        <v>54</v>
      </c>
      <c r="H113" s="1">
        <f ca="1">IFERROR(__xludf.DUMMYFUNCTION("""COMPUTED_VALUE"""),103.9)</f>
        <v>103.9</v>
      </c>
      <c r="I113" s="1">
        <f ca="1">IFERROR(__xludf.DUMMYFUNCTION("""COMPUTED_VALUE"""),196)</f>
        <v>196</v>
      </c>
      <c r="J113" s="1">
        <f ca="1">IFERROR(__xludf.DUMMYFUNCTION("""COMPUTED_VALUE"""),62.6)</f>
        <v>62.6</v>
      </c>
      <c r="K113" s="1">
        <f ca="1">IFERROR(__xludf.DUMMYFUNCTION("""COMPUTED_VALUE"""),260)</f>
        <v>260</v>
      </c>
      <c r="L113" s="1" t="str">
        <f ca="1">IFERROR(__xludf.DUMMYFUNCTION("""COMPUTED_VALUE"""),"+.026")</f>
        <v>+.026</v>
      </c>
      <c r="M113" s="1">
        <f ca="1">IFERROR(__xludf.DUMMYFUNCTION("""COMPUTED_VALUE"""),117)</f>
        <v>117</v>
      </c>
      <c r="N113" s="1" t="str">
        <f ca="1">IFERROR(__xludf.DUMMYFUNCTION("""COMPUTED_VALUE"""),"+6.46")</f>
        <v>+6.46</v>
      </c>
      <c r="O113" s="1">
        <f ca="1">IFERROR(__xludf.DUMMYFUNCTION("""COMPUTED_VALUE"""),55)</f>
        <v>55</v>
      </c>
      <c r="P113" s="1">
        <f ca="1">IFERROR(__xludf.DUMMYFUNCTION("""COMPUTED_VALUE"""),105.8)</f>
        <v>105.8</v>
      </c>
      <c r="Q113" s="1">
        <f ca="1">IFERROR(__xludf.DUMMYFUNCTION("""COMPUTED_VALUE"""),50)</f>
        <v>50</v>
      </c>
      <c r="R113" s="1">
        <f ca="1">IFERROR(__xludf.DUMMYFUNCTION("""COMPUTED_VALUE"""),99.4)</f>
        <v>99.4</v>
      </c>
      <c r="S113" s="1">
        <f ca="1">IFERROR(__xludf.DUMMYFUNCTION("""COMPUTED_VALUE"""),57)</f>
        <v>57</v>
      </c>
      <c r="T113" s="1">
        <f ca="1">IFERROR(__xludf.DUMMYFUNCTION("""COMPUTED_VALUE"""),-3.14)</f>
        <v>-3.14</v>
      </c>
      <c r="U113" s="1">
        <f ca="1">IFERROR(__xludf.DUMMYFUNCTION("""COMPUTED_VALUE"""),259)</f>
        <v>259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IFERROR(__xludf.DUMMYFUNCTION("""COMPUTED_VALUE"""),"Utah St.")</f>
        <v>Utah St.</v>
      </c>
      <c r="C114" s="1" t="str">
        <f ca="1">IFERROR(__xludf.DUMMYFUNCTION("""COMPUTED_VALUE"""),"WAC")</f>
        <v>WAC</v>
      </c>
      <c r="D114" s="1" t="str">
        <f ca="1">IFERROR(__xludf.DUMMYFUNCTION("""COMPUTED_VALUE"""),"21-10")</f>
        <v>21-10</v>
      </c>
      <c r="E114" s="1" t="str">
        <f ca="1">IFERROR(__xludf.DUMMYFUNCTION("""COMPUTED_VALUE"""),"+5.53")</f>
        <v>+5.53</v>
      </c>
      <c r="F114" s="1">
        <f ca="1">IFERROR(__xludf.DUMMYFUNCTION("""COMPUTED_VALUE"""),109.7)</f>
        <v>109.7</v>
      </c>
      <c r="G114" s="1">
        <f ca="1">IFERROR(__xludf.DUMMYFUNCTION("""COMPUTED_VALUE"""),60)</f>
        <v>60</v>
      </c>
      <c r="H114" s="1">
        <f ca="1">IFERROR(__xludf.DUMMYFUNCTION("""COMPUTED_VALUE"""),104.2)</f>
        <v>104.2</v>
      </c>
      <c r="I114" s="1">
        <f ca="1">IFERROR(__xludf.DUMMYFUNCTION("""COMPUTED_VALUE"""),201)</f>
        <v>201</v>
      </c>
      <c r="J114" s="1">
        <f ca="1">IFERROR(__xludf.DUMMYFUNCTION("""COMPUTED_VALUE"""),60.6)</f>
        <v>60.6</v>
      </c>
      <c r="K114" s="1">
        <f ca="1">IFERROR(__xludf.DUMMYFUNCTION("""COMPUTED_VALUE"""),313)</f>
        <v>313</v>
      </c>
      <c r="L114" s="1" t="str">
        <f ca="1">IFERROR(__xludf.DUMMYFUNCTION("""COMPUTED_VALUE"""),"+.024")</f>
        <v>+.024</v>
      </c>
      <c r="M114" s="1">
        <f ca="1">IFERROR(__xludf.DUMMYFUNCTION("""COMPUTED_VALUE"""),121)</f>
        <v>121</v>
      </c>
      <c r="N114" s="1">
        <f ca="1">IFERROR(__xludf.DUMMYFUNCTION("""COMPUTED_VALUE"""),-2.1)</f>
        <v>-2.1</v>
      </c>
      <c r="O114" s="1">
        <f ca="1">IFERROR(__xludf.DUMMYFUNCTION("""COMPUTED_VALUE"""),186)</f>
        <v>186</v>
      </c>
      <c r="P114" s="1">
        <f ca="1">IFERROR(__xludf.DUMMYFUNCTION("""COMPUTED_VALUE"""),101.5)</f>
        <v>101.5</v>
      </c>
      <c r="Q114" s="1">
        <f ca="1">IFERROR(__xludf.DUMMYFUNCTION("""COMPUTED_VALUE"""),203)</f>
        <v>203</v>
      </c>
      <c r="R114" s="1">
        <f ca="1">IFERROR(__xludf.DUMMYFUNCTION("""COMPUTED_VALUE"""),103.6)</f>
        <v>103.6</v>
      </c>
      <c r="S114" s="1">
        <f ca="1">IFERROR(__xludf.DUMMYFUNCTION("""COMPUTED_VALUE"""),198)</f>
        <v>198</v>
      </c>
      <c r="T114" s="1">
        <f ca="1">IFERROR(__xludf.DUMMYFUNCTION("""COMPUTED_VALUE"""),-3.04)</f>
        <v>-3.04</v>
      </c>
      <c r="U114" s="1">
        <f ca="1">IFERROR(__xludf.DUMMYFUNCTION("""COMPUTED_VALUE"""),256)</f>
        <v>256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IFERROR(__xludf.DUMMYFUNCTION("""COMPUTED_VALUE"""),"Fresno St.")</f>
        <v>Fresno St.</v>
      </c>
      <c r="C115" s="1" t="str">
        <f ca="1">IFERROR(__xludf.DUMMYFUNCTION("""COMPUTED_VALUE"""),"MWC")</f>
        <v>MWC</v>
      </c>
      <c r="D115" s="2">
        <f ca="1">IFERROR(__xludf.DUMMYFUNCTION("""COMPUTED_VALUE"""),44884)</f>
        <v>44884</v>
      </c>
      <c r="E115" s="1" t="str">
        <f ca="1">IFERROR(__xludf.DUMMYFUNCTION("""COMPUTED_VALUE"""),"+5.46")</f>
        <v>+5.46</v>
      </c>
      <c r="F115" s="1">
        <f ca="1">IFERROR(__xludf.DUMMYFUNCTION("""COMPUTED_VALUE"""),100)</f>
        <v>100</v>
      </c>
      <c r="G115" s="1">
        <f ca="1">IFERROR(__xludf.DUMMYFUNCTION("""COMPUTED_VALUE"""),220)</f>
        <v>220</v>
      </c>
      <c r="H115" s="1">
        <f ca="1">IFERROR(__xludf.DUMMYFUNCTION("""COMPUTED_VALUE"""),94.5)</f>
        <v>94.5</v>
      </c>
      <c r="I115" s="1">
        <f ca="1">IFERROR(__xludf.DUMMYFUNCTION("""COMPUTED_VALUE"""),42)</f>
        <v>42</v>
      </c>
      <c r="J115" s="1">
        <f ca="1">IFERROR(__xludf.DUMMYFUNCTION("""COMPUTED_VALUE"""),60.5)</f>
        <v>60.5</v>
      </c>
      <c r="K115" s="1">
        <f ca="1">IFERROR(__xludf.DUMMYFUNCTION("""COMPUTED_VALUE"""),314)</f>
        <v>314</v>
      </c>
      <c r="L115" s="1">
        <f ca="1">IFERROR(__xludf.DUMMYFUNCTION("""COMPUTED_VALUE"""),-0.062)</f>
        <v>-6.2E-2</v>
      </c>
      <c r="M115" s="1">
        <f ca="1">IFERROR(__xludf.DUMMYFUNCTION("""COMPUTED_VALUE"""),310)</f>
        <v>310</v>
      </c>
      <c r="N115" s="1" t="str">
        <f ca="1">IFERROR(__xludf.DUMMYFUNCTION("""COMPUTED_VALUE"""),"+9.10")</f>
        <v>+9.10</v>
      </c>
      <c r="O115" s="1">
        <f ca="1">IFERROR(__xludf.DUMMYFUNCTION("""COMPUTED_VALUE"""),16)</f>
        <v>16</v>
      </c>
      <c r="P115" s="1">
        <f ca="1">IFERROR(__xludf.DUMMYFUNCTION("""COMPUTED_VALUE"""),107.7)</f>
        <v>107.7</v>
      </c>
      <c r="Q115" s="1">
        <f ca="1">IFERROR(__xludf.DUMMYFUNCTION("""COMPUTED_VALUE"""),10)</f>
        <v>10</v>
      </c>
      <c r="R115" s="1">
        <f ca="1">IFERROR(__xludf.DUMMYFUNCTION("""COMPUTED_VALUE"""),98.6)</f>
        <v>98.6</v>
      </c>
      <c r="S115" s="1">
        <f ca="1">IFERROR(__xludf.DUMMYFUNCTION("""COMPUTED_VALUE"""),33)</f>
        <v>33</v>
      </c>
      <c r="T115" s="1" t="str">
        <f ca="1">IFERROR(__xludf.DUMMYFUNCTION("""COMPUTED_VALUE"""),"+4.39")</f>
        <v>+4.39</v>
      </c>
      <c r="U115" s="1">
        <f ca="1">IFERROR(__xludf.DUMMYFUNCTION("""COMPUTED_VALUE"""),52)</f>
        <v>52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IFERROR(__xludf.DUMMYFUNCTION("""COMPUTED_VALUE"""),"Eastern Kentucky")</f>
        <v>Eastern Kentucky</v>
      </c>
      <c r="C116" s="1" t="str">
        <f ca="1">IFERROR(__xludf.DUMMYFUNCTION("""COMPUTED_VALUE"""),"OVC")</f>
        <v>OVC</v>
      </c>
      <c r="D116" s="1" t="str">
        <f ca="1">IFERROR(__xludf.DUMMYFUNCTION("""COMPUTED_VALUE"""),"25-10")</f>
        <v>25-10</v>
      </c>
      <c r="E116" s="1" t="str">
        <f ca="1">IFERROR(__xludf.DUMMYFUNCTION("""COMPUTED_VALUE"""),"+5.39")</f>
        <v>+5.39</v>
      </c>
      <c r="F116" s="1">
        <f ca="1">IFERROR(__xludf.DUMMYFUNCTION("""COMPUTED_VALUE"""),110.7)</f>
        <v>110.7</v>
      </c>
      <c r="G116" s="1">
        <f ca="1">IFERROR(__xludf.DUMMYFUNCTION("""COMPUTED_VALUE"""),45)</f>
        <v>45</v>
      </c>
      <c r="H116" s="1">
        <f ca="1">IFERROR(__xludf.DUMMYFUNCTION("""COMPUTED_VALUE"""),105.3)</f>
        <v>105.3</v>
      </c>
      <c r="I116" s="1">
        <f ca="1">IFERROR(__xludf.DUMMYFUNCTION("""COMPUTED_VALUE"""),225)</f>
        <v>225</v>
      </c>
      <c r="J116" s="1">
        <f ca="1">IFERROR(__xludf.DUMMYFUNCTION("""COMPUTED_VALUE"""),63.9)</f>
        <v>63.9</v>
      </c>
      <c r="K116" s="1">
        <f ca="1">IFERROR(__xludf.DUMMYFUNCTION("""COMPUTED_VALUE"""),202)</f>
        <v>202</v>
      </c>
      <c r="L116" s="1" t="str">
        <f ca="1">IFERROR(__xludf.DUMMYFUNCTION("""COMPUTED_VALUE"""),"+.028")</f>
        <v>+.028</v>
      </c>
      <c r="M116" s="1">
        <f ca="1">IFERROR(__xludf.DUMMYFUNCTION("""COMPUTED_VALUE"""),107)</f>
        <v>107</v>
      </c>
      <c r="N116" s="1">
        <f ca="1">IFERROR(__xludf.DUMMYFUNCTION("""COMPUTED_VALUE"""),-3.72)</f>
        <v>-3.72</v>
      </c>
      <c r="O116" s="1">
        <f ca="1">IFERROR(__xludf.DUMMYFUNCTION("""COMPUTED_VALUE"""),241)</f>
        <v>241</v>
      </c>
      <c r="P116" s="1">
        <f ca="1">IFERROR(__xludf.DUMMYFUNCTION("""COMPUTED_VALUE"""),101.1)</f>
        <v>101.1</v>
      </c>
      <c r="Q116" s="1">
        <f ca="1">IFERROR(__xludf.DUMMYFUNCTION("""COMPUTED_VALUE"""),225)</f>
        <v>225</v>
      </c>
      <c r="R116" s="1">
        <f ca="1">IFERROR(__xludf.DUMMYFUNCTION("""COMPUTED_VALUE"""),104.8)</f>
        <v>104.8</v>
      </c>
      <c r="S116" s="1">
        <f ca="1">IFERROR(__xludf.DUMMYFUNCTION("""COMPUTED_VALUE"""),253)</f>
        <v>253</v>
      </c>
      <c r="T116" s="1">
        <f ca="1">IFERROR(__xludf.DUMMYFUNCTION("""COMPUTED_VALUE"""),-4.37)</f>
        <v>-4.37</v>
      </c>
      <c r="U116" s="1">
        <f ca="1">IFERROR(__xludf.DUMMYFUNCTION("""COMPUTED_VALUE"""),280)</f>
        <v>280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IFERROR(__xludf.DUMMYFUNCTION("""COMPUTED_VALUE"""),"George Washington")</f>
        <v>George Washington</v>
      </c>
      <c r="C117" s="1" t="str">
        <f ca="1">IFERROR(__xludf.DUMMYFUNCTION("""COMPUTED_VALUE"""),"A10")</f>
        <v>A10</v>
      </c>
      <c r="D117" s="1" t="str">
        <f ca="1">IFERROR(__xludf.DUMMYFUNCTION("""COMPUTED_VALUE"""),"13-17")</f>
        <v>13-17</v>
      </c>
      <c r="E117" s="1" t="str">
        <f ca="1">IFERROR(__xludf.DUMMYFUNCTION("""COMPUTED_VALUE"""),"+5.34")</f>
        <v>+5.34</v>
      </c>
      <c r="F117" s="1">
        <f ca="1">IFERROR(__xludf.DUMMYFUNCTION("""COMPUTED_VALUE"""),100.4)</f>
        <v>100.4</v>
      </c>
      <c r="G117" s="1">
        <f ca="1">IFERROR(__xludf.DUMMYFUNCTION("""COMPUTED_VALUE"""),211)</f>
        <v>211</v>
      </c>
      <c r="H117" s="1">
        <f ca="1">IFERROR(__xludf.DUMMYFUNCTION("""COMPUTED_VALUE"""),95.1)</f>
        <v>95.1</v>
      </c>
      <c r="I117" s="1">
        <f ca="1">IFERROR(__xludf.DUMMYFUNCTION("""COMPUTED_VALUE"""),49)</f>
        <v>49</v>
      </c>
      <c r="J117" s="1">
        <f ca="1">IFERROR(__xludf.DUMMYFUNCTION("""COMPUTED_VALUE"""),66.5)</f>
        <v>66.5</v>
      </c>
      <c r="K117" s="1">
        <f ca="1">IFERROR(__xludf.DUMMYFUNCTION("""COMPUTED_VALUE"""),81)</f>
        <v>81</v>
      </c>
      <c r="L117" s="1">
        <f ca="1">IFERROR(__xludf.DUMMYFUNCTION("""COMPUTED_VALUE"""),-0.085)</f>
        <v>-8.5000000000000006E-2</v>
      </c>
      <c r="M117" s="1">
        <f ca="1">IFERROR(__xludf.DUMMYFUNCTION("""COMPUTED_VALUE"""),330)</f>
        <v>330</v>
      </c>
      <c r="N117" s="1" t="str">
        <f ca="1">IFERROR(__xludf.DUMMYFUNCTION("""COMPUTED_VALUE"""),"+4.39")</f>
        <v>+4.39</v>
      </c>
      <c r="O117" s="1">
        <f ca="1">IFERROR(__xludf.DUMMYFUNCTION("""COMPUTED_VALUE"""),86)</f>
        <v>86</v>
      </c>
      <c r="P117" s="1">
        <f ca="1">IFERROR(__xludf.DUMMYFUNCTION("""COMPUTED_VALUE"""),105.6)</f>
        <v>105.6</v>
      </c>
      <c r="Q117" s="1">
        <f ca="1">IFERROR(__xludf.DUMMYFUNCTION("""COMPUTED_VALUE"""),67)</f>
        <v>67</v>
      </c>
      <c r="R117" s="1">
        <f ca="1">IFERROR(__xludf.DUMMYFUNCTION("""COMPUTED_VALUE"""),101.2)</f>
        <v>101.2</v>
      </c>
      <c r="S117" s="1">
        <f ca="1">IFERROR(__xludf.DUMMYFUNCTION("""COMPUTED_VALUE"""),106)</f>
        <v>106</v>
      </c>
      <c r="T117" s="1">
        <f ca="1">IFERROR(__xludf.DUMMYFUNCTION("""COMPUTED_VALUE"""),-0.62)</f>
        <v>-0.62</v>
      </c>
      <c r="U117" s="1">
        <f ca="1">IFERROR(__xludf.DUMMYFUNCTION("""COMPUTED_VALUE"""),179)</f>
        <v>179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IFERROR(__xludf.DUMMYFUNCTION("""COMPUTED_VALUE"""),"Clemson")</f>
        <v>Clemson</v>
      </c>
      <c r="C118" s="1" t="str">
        <f ca="1">IFERROR(__xludf.DUMMYFUNCTION("""COMPUTED_VALUE"""),"ACC")</f>
        <v>ACC</v>
      </c>
      <c r="D118" s="1" t="str">
        <f ca="1">IFERROR(__xludf.DUMMYFUNCTION("""COMPUTED_VALUE"""),"13-18")</f>
        <v>13-18</v>
      </c>
      <c r="E118" s="1" t="str">
        <f ca="1">IFERROR(__xludf.DUMMYFUNCTION("""COMPUTED_VALUE"""),"+5.33")</f>
        <v>+5.33</v>
      </c>
      <c r="F118" s="1">
        <f ca="1">IFERROR(__xludf.DUMMYFUNCTION("""COMPUTED_VALUE"""),101.2)</f>
        <v>101.2</v>
      </c>
      <c r="G118" s="1">
        <f ca="1">IFERROR(__xludf.DUMMYFUNCTION("""COMPUTED_VALUE"""),198)</f>
        <v>198</v>
      </c>
      <c r="H118" s="1">
        <f ca="1">IFERROR(__xludf.DUMMYFUNCTION("""COMPUTED_VALUE"""),95.8)</f>
        <v>95.8</v>
      </c>
      <c r="I118" s="1">
        <f ca="1">IFERROR(__xludf.DUMMYFUNCTION("""COMPUTED_VALUE"""),59)</f>
        <v>59</v>
      </c>
      <c r="J118" s="1">
        <f ca="1">IFERROR(__xludf.DUMMYFUNCTION("""COMPUTED_VALUE"""),61)</f>
        <v>61</v>
      </c>
      <c r="K118" s="1">
        <f ca="1">IFERROR(__xludf.DUMMYFUNCTION("""COMPUTED_VALUE"""),303)</f>
        <v>303</v>
      </c>
      <c r="L118" s="1">
        <f ca="1">IFERROR(__xludf.DUMMYFUNCTION("""COMPUTED_VALUE"""),-0.111)</f>
        <v>-0.111</v>
      </c>
      <c r="M118" s="1">
        <f ca="1">IFERROR(__xludf.DUMMYFUNCTION("""COMPUTED_VALUE"""),339)</f>
        <v>339</v>
      </c>
      <c r="N118" s="1" t="str">
        <f ca="1">IFERROR(__xludf.DUMMYFUNCTION("""COMPUTED_VALUE"""),"+4.29")</f>
        <v>+4.29</v>
      </c>
      <c r="O118" s="1">
        <f ca="1">IFERROR(__xludf.DUMMYFUNCTION("""COMPUTED_VALUE"""),90)</f>
        <v>90</v>
      </c>
      <c r="P118" s="1">
        <f ca="1">IFERROR(__xludf.DUMMYFUNCTION("""COMPUTED_VALUE"""),105.7)</f>
        <v>105.7</v>
      </c>
      <c r="Q118" s="1">
        <f ca="1">IFERROR(__xludf.DUMMYFUNCTION("""COMPUTED_VALUE"""),61)</f>
        <v>61</v>
      </c>
      <c r="R118" s="1">
        <f ca="1">IFERROR(__xludf.DUMMYFUNCTION("""COMPUTED_VALUE"""),101.4)</f>
        <v>101.4</v>
      </c>
      <c r="S118" s="1">
        <f ca="1">IFERROR(__xludf.DUMMYFUNCTION("""COMPUTED_VALUE"""),110)</f>
        <v>110</v>
      </c>
      <c r="T118" s="1">
        <f ca="1">IFERROR(__xludf.DUMMYFUNCTION("""COMPUTED_VALUE"""),-7.53)</f>
        <v>-7.53</v>
      </c>
      <c r="U118" s="1">
        <f ca="1">IFERROR(__xludf.DUMMYFUNCTION("""COMPUTED_VALUE"""),325)</f>
        <v>325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IFERROR(__xludf.DUMMYFUNCTION("""COMPUTED_VALUE"""),"Georgia")</f>
        <v>Georgia</v>
      </c>
      <c r="C119" s="1" t="str">
        <f ca="1">IFERROR(__xludf.DUMMYFUNCTION("""COMPUTED_VALUE"""),"SEC")</f>
        <v>SEC</v>
      </c>
      <c r="D119" s="1" t="str">
        <f ca="1">IFERROR(__xludf.DUMMYFUNCTION("""COMPUTED_VALUE"""),"15-17")</f>
        <v>15-17</v>
      </c>
      <c r="E119" s="1" t="str">
        <f ca="1">IFERROR(__xludf.DUMMYFUNCTION("""COMPUTED_VALUE"""),"+5.27")</f>
        <v>+5.27</v>
      </c>
      <c r="F119" s="1">
        <f ca="1">IFERROR(__xludf.DUMMYFUNCTION("""COMPUTED_VALUE"""),101.9)</f>
        <v>101.9</v>
      </c>
      <c r="G119" s="1">
        <f ca="1">IFERROR(__xludf.DUMMYFUNCTION("""COMPUTED_VALUE"""),184)</f>
        <v>184</v>
      </c>
      <c r="H119" s="1">
        <f ca="1">IFERROR(__xludf.DUMMYFUNCTION("""COMPUTED_VALUE"""),96.7)</f>
        <v>96.7</v>
      </c>
      <c r="I119" s="1">
        <f ca="1">IFERROR(__xludf.DUMMYFUNCTION("""COMPUTED_VALUE"""),71)</f>
        <v>71</v>
      </c>
      <c r="J119" s="1">
        <f ca="1">IFERROR(__xludf.DUMMYFUNCTION("""COMPUTED_VALUE"""),60.9)</f>
        <v>60.9</v>
      </c>
      <c r="K119" s="1">
        <f ca="1">IFERROR(__xludf.DUMMYFUNCTION("""COMPUTED_VALUE"""),308)</f>
        <v>308</v>
      </c>
      <c r="L119" s="1">
        <f ca="1">IFERROR(__xludf.DUMMYFUNCTION("""COMPUTED_VALUE"""),-0.002)</f>
        <v>-2E-3</v>
      </c>
      <c r="M119" s="1">
        <f ca="1">IFERROR(__xludf.DUMMYFUNCTION("""COMPUTED_VALUE"""),183)</f>
        <v>183</v>
      </c>
      <c r="N119" s="1" t="str">
        <f ca="1">IFERROR(__xludf.DUMMYFUNCTION("""COMPUTED_VALUE"""),"+4.82")</f>
        <v>+4.82</v>
      </c>
      <c r="O119" s="1">
        <f ca="1">IFERROR(__xludf.DUMMYFUNCTION("""COMPUTED_VALUE"""),82)</f>
        <v>82</v>
      </c>
      <c r="P119" s="1">
        <f ca="1">IFERROR(__xludf.DUMMYFUNCTION("""COMPUTED_VALUE"""),104.5)</f>
        <v>104.5</v>
      </c>
      <c r="Q119" s="1">
        <f ca="1">IFERROR(__xludf.DUMMYFUNCTION("""COMPUTED_VALUE"""),100)</f>
        <v>100</v>
      </c>
      <c r="R119" s="1">
        <f ca="1">IFERROR(__xludf.DUMMYFUNCTION("""COMPUTED_VALUE"""),99.7)</f>
        <v>99.7</v>
      </c>
      <c r="S119" s="1">
        <f ca="1">IFERROR(__xludf.DUMMYFUNCTION("""COMPUTED_VALUE"""),63)</f>
        <v>63</v>
      </c>
      <c r="T119" s="1">
        <f ca="1">IFERROR(__xludf.DUMMYFUNCTION("""COMPUTED_VALUE"""),-0.89)</f>
        <v>-0.89</v>
      </c>
      <c r="U119" s="1">
        <f ca="1">IFERROR(__xludf.DUMMYFUNCTION("""COMPUTED_VALUE"""),188)</f>
        <v>188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IFERROR(__xludf.DUMMYFUNCTION("""COMPUTED_VALUE"""),"UTEP")</f>
        <v>UTEP</v>
      </c>
      <c r="C120" s="1" t="str">
        <f ca="1">IFERROR(__xludf.DUMMYFUNCTION("""COMPUTED_VALUE"""),"CUSA")</f>
        <v>CUSA</v>
      </c>
      <c r="D120" s="1" t="str">
        <f ca="1">IFERROR(__xludf.DUMMYFUNCTION("""COMPUTED_VALUE"""),"18-14")</f>
        <v>18-14</v>
      </c>
      <c r="E120" s="1" t="str">
        <f ca="1">IFERROR(__xludf.DUMMYFUNCTION("""COMPUTED_VALUE"""),"+5.25")</f>
        <v>+5.25</v>
      </c>
      <c r="F120" s="1">
        <f ca="1">IFERROR(__xludf.DUMMYFUNCTION("""COMPUTED_VALUE"""),103.7)</f>
        <v>103.7</v>
      </c>
      <c r="G120" s="1">
        <f ca="1">IFERROR(__xludf.DUMMYFUNCTION("""COMPUTED_VALUE"""),150)</f>
        <v>150</v>
      </c>
      <c r="H120" s="1">
        <f ca="1">IFERROR(__xludf.DUMMYFUNCTION("""COMPUTED_VALUE"""),98.5)</f>
        <v>98.5</v>
      </c>
      <c r="I120" s="1">
        <f ca="1">IFERROR(__xludf.DUMMYFUNCTION("""COMPUTED_VALUE"""),97)</f>
        <v>97</v>
      </c>
      <c r="J120" s="1">
        <f ca="1">IFERROR(__xludf.DUMMYFUNCTION("""COMPUTED_VALUE"""),59.9)</f>
        <v>59.9</v>
      </c>
      <c r="K120" s="1">
        <f ca="1">IFERROR(__xludf.DUMMYFUNCTION("""COMPUTED_VALUE"""),324)</f>
        <v>324</v>
      </c>
      <c r="L120" s="1" t="str">
        <f ca="1">IFERROR(__xludf.DUMMYFUNCTION("""COMPUTED_VALUE"""),"+.000")</f>
        <v>+.000</v>
      </c>
      <c r="M120" s="1">
        <f ca="1">IFERROR(__xludf.DUMMYFUNCTION("""COMPUTED_VALUE"""),178)</f>
        <v>178</v>
      </c>
      <c r="N120" s="1" t="str">
        <f ca="1">IFERROR(__xludf.DUMMYFUNCTION("""COMPUTED_VALUE"""),"+1.39")</f>
        <v>+1.39</v>
      </c>
      <c r="O120" s="1">
        <f ca="1">IFERROR(__xludf.DUMMYFUNCTION("""COMPUTED_VALUE"""),124)</f>
        <v>124</v>
      </c>
      <c r="P120" s="1">
        <f ca="1">IFERROR(__xludf.DUMMYFUNCTION("""COMPUTED_VALUE"""),103.9)</f>
        <v>103.9</v>
      </c>
      <c r="Q120" s="1">
        <f ca="1">IFERROR(__xludf.DUMMYFUNCTION("""COMPUTED_VALUE"""),117)</f>
        <v>117</v>
      </c>
      <c r="R120" s="1">
        <f ca="1">IFERROR(__xludf.DUMMYFUNCTION("""COMPUTED_VALUE"""),102.5)</f>
        <v>102.5</v>
      </c>
      <c r="S120" s="1">
        <f ca="1">IFERROR(__xludf.DUMMYFUNCTION("""COMPUTED_VALUE"""),142)</f>
        <v>142</v>
      </c>
      <c r="T120" s="1" t="str">
        <f ca="1">IFERROR(__xludf.DUMMYFUNCTION("""COMPUTED_VALUE"""),"+3.68")</f>
        <v>+3.68</v>
      </c>
      <c r="U120" s="1">
        <f ca="1">IFERROR(__xludf.DUMMYFUNCTION("""COMPUTED_VALUE"""),70)</f>
        <v>70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IFERROR(__xludf.DUMMYFUNCTION("""COMPUTED_VALUE"""),"Utah")</f>
        <v>Utah</v>
      </c>
      <c r="C121" s="1" t="str">
        <f ca="1">IFERROR(__xludf.DUMMYFUNCTION("""COMPUTED_VALUE"""),"P12")</f>
        <v>P12</v>
      </c>
      <c r="D121" s="1" t="str">
        <f ca="1">IFERROR(__xludf.DUMMYFUNCTION("""COMPUTED_VALUE"""),"15-18")</f>
        <v>15-18</v>
      </c>
      <c r="E121" s="1" t="str">
        <f ca="1">IFERROR(__xludf.DUMMYFUNCTION("""COMPUTED_VALUE"""),"+5.13")</f>
        <v>+5.13</v>
      </c>
      <c r="F121" s="1">
        <f ca="1">IFERROR(__xludf.DUMMYFUNCTION("""COMPUTED_VALUE"""),104.7)</f>
        <v>104.7</v>
      </c>
      <c r="G121" s="1">
        <f ca="1">IFERROR(__xludf.DUMMYFUNCTION("""COMPUTED_VALUE"""),138)</f>
        <v>138</v>
      </c>
      <c r="H121" s="1">
        <f ca="1">IFERROR(__xludf.DUMMYFUNCTION("""COMPUTED_VALUE"""),99.5)</f>
        <v>99.5</v>
      </c>
      <c r="I121" s="1">
        <f ca="1">IFERROR(__xludf.DUMMYFUNCTION("""COMPUTED_VALUE"""),116)</f>
        <v>116</v>
      </c>
      <c r="J121" s="1">
        <f ca="1">IFERROR(__xludf.DUMMYFUNCTION("""COMPUTED_VALUE"""),60.9)</f>
        <v>60.9</v>
      </c>
      <c r="K121" s="1">
        <f ca="1">IFERROR(__xludf.DUMMYFUNCTION("""COMPUTED_VALUE"""),304)</f>
        <v>304</v>
      </c>
      <c r="L121" s="1">
        <f ca="1">IFERROR(__xludf.DUMMYFUNCTION("""COMPUTED_VALUE"""),-0.027)</f>
        <v>-2.7E-2</v>
      </c>
      <c r="M121" s="1">
        <f ca="1">IFERROR(__xludf.DUMMYFUNCTION("""COMPUTED_VALUE"""),251)</f>
        <v>251</v>
      </c>
      <c r="N121" s="1" t="str">
        <f ca="1">IFERROR(__xludf.DUMMYFUNCTION("""COMPUTED_VALUE"""),"+7.13")</f>
        <v>+7.13</v>
      </c>
      <c r="O121" s="1">
        <f ca="1">IFERROR(__xludf.DUMMYFUNCTION("""COMPUTED_VALUE"""),39)</f>
        <v>39</v>
      </c>
      <c r="P121" s="1">
        <f ca="1">IFERROR(__xludf.DUMMYFUNCTION("""COMPUTED_VALUE"""),105.9)</f>
        <v>105.9</v>
      </c>
      <c r="Q121" s="1">
        <f ca="1">IFERROR(__xludf.DUMMYFUNCTION("""COMPUTED_VALUE"""),46)</f>
        <v>46</v>
      </c>
      <c r="R121" s="1">
        <f ca="1">IFERROR(__xludf.DUMMYFUNCTION("""COMPUTED_VALUE"""),98.8)</f>
        <v>98.8</v>
      </c>
      <c r="S121" s="1">
        <f ca="1">IFERROR(__xludf.DUMMYFUNCTION("""COMPUTED_VALUE"""),41)</f>
        <v>41</v>
      </c>
      <c r="T121" s="1">
        <f ca="1">IFERROR(__xludf.DUMMYFUNCTION("""COMPUTED_VALUE"""),-5.28)</f>
        <v>-5.28</v>
      </c>
      <c r="U121" s="1">
        <f ca="1">IFERROR(__xludf.DUMMYFUNCTION("""COMPUTED_VALUE"""),296)</f>
        <v>296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IFERROR(__xludf.DUMMYFUNCTION("""COMPUTED_VALUE"""),"Canisius")</f>
        <v>Canisius</v>
      </c>
      <c r="C122" s="1" t="str">
        <f ca="1">IFERROR(__xludf.DUMMYFUNCTION("""COMPUTED_VALUE"""),"MAAC")</f>
        <v>MAAC</v>
      </c>
      <c r="D122" s="1" t="str">
        <f ca="1">IFERROR(__xludf.DUMMYFUNCTION("""COMPUTED_VALUE"""),"20-14")</f>
        <v>20-14</v>
      </c>
      <c r="E122" s="1" t="str">
        <f ca="1">IFERROR(__xludf.DUMMYFUNCTION("""COMPUTED_VALUE"""),"+5.06")</f>
        <v>+5.06</v>
      </c>
      <c r="F122" s="1">
        <f ca="1">IFERROR(__xludf.DUMMYFUNCTION("""COMPUTED_VALUE"""),111.2)</f>
        <v>111.2</v>
      </c>
      <c r="G122" s="1">
        <f ca="1">IFERROR(__xludf.DUMMYFUNCTION("""COMPUTED_VALUE"""),40)</f>
        <v>40</v>
      </c>
      <c r="H122" s="1">
        <f ca="1">IFERROR(__xludf.DUMMYFUNCTION("""COMPUTED_VALUE"""),106.2)</f>
        <v>106.2</v>
      </c>
      <c r="I122" s="1">
        <f ca="1">IFERROR(__xludf.DUMMYFUNCTION("""COMPUTED_VALUE"""),248)</f>
        <v>248</v>
      </c>
      <c r="J122" s="1">
        <f ca="1">IFERROR(__xludf.DUMMYFUNCTION("""COMPUTED_VALUE"""),65.1)</f>
        <v>65.099999999999994</v>
      </c>
      <c r="K122" s="1">
        <f ca="1">IFERROR(__xludf.DUMMYFUNCTION("""COMPUTED_VALUE"""),146)</f>
        <v>146</v>
      </c>
      <c r="L122" s="1">
        <f ca="1">IFERROR(__xludf.DUMMYFUNCTION("""COMPUTED_VALUE"""),-0.015)</f>
        <v>-1.4999999999999999E-2</v>
      </c>
      <c r="M122" s="1">
        <f ca="1">IFERROR(__xludf.DUMMYFUNCTION("""COMPUTED_VALUE"""),225)</f>
        <v>225</v>
      </c>
      <c r="N122" s="1">
        <f ca="1">IFERROR(__xludf.DUMMYFUNCTION("""COMPUTED_VALUE"""),-0.12)</f>
        <v>-0.12</v>
      </c>
      <c r="O122" s="1">
        <f ca="1">IFERROR(__xludf.DUMMYFUNCTION("""COMPUTED_VALUE"""),144)</f>
        <v>144</v>
      </c>
      <c r="P122" s="1">
        <f ca="1">IFERROR(__xludf.DUMMYFUNCTION("""COMPUTED_VALUE"""),102.2)</f>
        <v>102.2</v>
      </c>
      <c r="Q122" s="1">
        <f ca="1">IFERROR(__xludf.DUMMYFUNCTION("""COMPUTED_VALUE"""),171)</f>
        <v>171</v>
      </c>
      <c r="R122" s="1">
        <f ca="1">IFERROR(__xludf.DUMMYFUNCTION("""COMPUTED_VALUE"""),102.3)</f>
        <v>102.3</v>
      </c>
      <c r="S122" s="1">
        <f ca="1">IFERROR(__xludf.DUMMYFUNCTION("""COMPUTED_VALUE"""),132)</f>
        <v>132</v>
      </c>
      <c r="T122" s="1" t="str">
        <f ca="1">IFERROR(__xludf.DUMMYFUNCTION("""COMPUTED_VALUE"""),"+3.47")</f>
        <v>+3.47</v>
      </c>
      <c r="U122" s="1">
        <f ca="1">IFERROR(__xludf.DUMMYFUNCTION("""COMPUTED_VALUE"""),71)</f>
        <v>71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IFERROR(__xludf.DUMMYFUNCTION("""COMPUTED_VALUE"""),"Seton Hall")</f>
        <v>Seton Hall</v>
      </c>
      <c r="C123" s="1" t="str">
        <f ca="1">IFERROR(__xludf.DUMMYFUNCTION("""COMPUTED_VALUE"""),"BE")</f>
        <v>BE</v>
      </c>
      <c r="D123" s="1" t="str">
        <f ca="1">IFERROR(__xludf.DUMMYFUNCTION("""COMPUTED_VALUE"""),"15-18")</f>
        <v>15-18</v>
      </c>
      <c r="E123" s="1" t="str">
        <f ca="1">IFERROR(__xludf.DUMMYFUNCTION("""COMPUTED_VALUE"""),"+4.94")</f>
        <v>+4.94</v>
      </c>
      <c r="F123" s="1">
        <f ca="1">IFERROR(__xludf.DUMMYFUNCTION("""COMPUTED_VALUE"""),104.3)</f>
        <v>104.3</v>
      </c>
      <c r="G123" s="1">
        <f ca="1">IFERROR(__xludf.DUMMYFUNCTION("""COMPUTED_VALUE"""),145)</f>
        <v>145</v>
      </c>
      <c r="H123" s="1">
        <f ca="1">IFERROR(__xludf.DUMMYFUNCTION("""COMPUTED_VALUE"""),99.4)</f>
        <v>99.4</v>
      </c>
      <c r="I123" s="1">
        <f ca="1">IFERROR(__xludf.DUMMYFUNCTION("""COMPUTED_VALUE"""),112)</f>
        <v>112</v>
      </c>
      <c r="J123" s="1">
        <f ca="1">IFERROR(__xludf.DUMMYFUNCTION("""COMPUTED_VALUE"""),63.5)</f>
        <v>63.5</v>
      </c>
      <c r="K123" s="1">
        <f ca="1">IFERROR(__xludf.DUMMYFUNCTION("""COMPUTED_VALUE"""),221)</f>
        <v>221</v>
      </c>
      <c r="L123" s="1">
        <f ca="1">IFERROR(__xludf.DUMMYFUNCTION("""COMPUTED_VALUE"""),-0.026)</f>
        <v>-2.5999999999999999E-2</v>
      </c>
      <c r="M123" s="1">
        <f ca="1">IFERROR(__xludf.DUMMYFUNCTION("""COMPUTED_VALUE"""),247)</f>
        <v>247</v>
      </c>
      <c r="N123" s="1" t="str">
        <f ca="1">IFERROR(__xludf.DUMMYFUNCTION("""COMPUTED_VALUE"""),"+6.27")</f>
        <v>+6.27</v>
      </c>
      <c r="O123" s="1">
        <f ca="1">IFERROR(__xludf.DUMMYFUNCTION("""COMPUTED_VALUE"""),58)</f>
        <v>58</v>
      </c>
      <c r="P123" s="1">
        <f ca="1">IFERROR(__xludf.DUMMYFUNCTION("""COMPUTED_VALUE"""),105)</f>
        <v>105</v>
      </c>
      <c r="Q123" s="1">
        <f ca="1">IFERROR(__xludf.DUMMYFUNCTION("""COMPUTED_VALUE"""),87)</f>
        <v>87</v>
      </c>
      <c r="R123" s="1">
        <f ca="1">IFERROR(__xludf.DUMMYFUNCTION("""COMPUTED_VALUE"""),98.7)</f>
        <v>98.7</v>
      </c>
      <c r="S123" s="1">
        <f ca="1">IFERROR(__xludf.DUMMYFUNCTION("""COMPUTED_VALUE"""),39)</f>
        <v>39</v>
      </c>
      <c r="T123" s="1">
        <f ca="1">IFERROR(__xludf.DUMMYFUNCTION("""COMPUTED_VALUE"""),-6.82)</f>
        <v>-6.82</v>
      </c>
      <c r="U123" s="1">
        <f ca="1">IFERROR(__xludf.DUMMYFUNCTION("""COMPUTED_VALUE"""),320)</f>
        <v>320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IFERROR(__xludf.DUMMYFUNCTION("""COMPUTED_VALUE"""),"Drake")</f>
        <v>Drake</v>
      </c>
      <c r="C124" s="1" t="str">
        <f ca="1">IFERROR(__xludf.DUMMYFUNCTION("""COMPUTED_VALUE"""),"MVC")</f>
        <v>MVC</v>
      </c>
      <c r="D124" s="1" t="str">
        <f ca="1">IFERROR(__xludf.DUMMYFUNCTION("""COMPUTED_VALUE"""),"15-17")</f>
        <v>15-17</v>
      </c>
      <c r="E124" s="1" t="str">
        <f ca="1">IFERROR(__xludf.DUMMYFUNCTION("""COMPUTED_VALUE"""),"+4.55")</f>
        <v>+4.55</v>
      </c>
      <c r="F124" s="1">
        <f ca="1">IFERROR(__xludf.DUMMYFUNCTION("""COMPUTED_VALUE"""),107.2)</f>
        <v>107.2</v>
      </c>
      <c r="G124" s="1">
        <f ca="1">IFERROR(__xludf.DUMMYFUNCTION("""COMPUTED_VALUE"""),93)</f>
        <v>93</v>
      </c>
      <c r="H124" s="1">
        <f ca="1">IFERROR(__xludf.DUMMYFUNCTION("""COMPUTED_VALUE"""),102.6)</f>
        <v>102.6</v>
      </c>
      <c r="I124" s="1">
        <f ca="1">IFERROR(__xludf.DUMMYFUNCTION("""COMPUTED_VALUE"""),167)</f>
        <v>167</v>
      </c>
      <c r="J124" s="1">
        <f ca="1">IFERROR(__xludf.DUMMYFUNCTION("""COMPUTED_VALUE"""),67.4)</f>
        <v>67.400000000000006</v>
      </c>
      <c r="K124" s="1">
        <f ca="1">IFERROR(__xludf.DUMMYFUNCTION("""COMPUTED_VALUE"""),53)</f>
        <v>53</v>
      </c>
      <c r="L124" s="1" t="str">
        <f ca="1">IFERROR(__xludf.DUMMYFUNCTION("""COMPUTED_VALUE"""),"+.002")</f>
        <v>+.002</v>
      </c>
      <c r="M124" s="1">
        <f ca="1">IFERROR(__xludf.DUMMYFUNCTION("""COMPUTED_VALUE"""),172)</f>
        <v>172</v>
      </c>
      <c r="N124" s="1" t="str">
        <f ca="1">IFERROR(__xludf.DUMMYFUNCTION("""COMPUTED_VALUE"""),"+5.89")</f>
        <v>+5.89</v>
      </c>
      <c r="O124" s="1">
        <f ca="1">IFERROR(__xludf.DUMMYFUNCTION("""COMPUTED_VALUE"""),63)</f>
        <v>63</v>
      </c>
      <c r="P124" s="1">
        <f ca="1">IFERROR(__xludf.DUMMYFUNCTION("""COMPUTED_VALUE"""),106.5)</f>
        <v>106.5</v>
      </c>
      <c r="Q124" s="1">
        <f ca="1">IFERROR(__xludf.DUMMYFUNCTION("""COMPUTED_VALUE"""),26)</f>
        <v>26</v>
      </c>
      <c r="R124" s="1">
        <f ca="1">IFERROR(__xludf.DUMMYFUNCTION("""COMPUTED_VALUE"""),100.6)</f>
        <v>100.6</v>
      </c>
      <c r="S124" s="1">
        <f ca="1">IFERROR(__xludf.DUMMYFUNCTION("""COMPUTED_VALUE"""),94)</f>
        <v>94</v>
      </c>
      <c r="T124" s="1" t="str">
        <f ca="1">IFERROR(__xludf.DUMMYFUNCTION("""COMPUTED_VALUE"""),"+1.78")</f>
        <v>+1.78</v>
      </c>
      <c r="U124" s="1">
        <f ca="1">IFERROR(__xludf.DUMMYFUNCTION("""COMPUTED_VALUE"""),110)</f>
        <v>110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IFERROR(__xludf.DUMMYFUNCTION("""COMPUTED_VALUE"""),"St. Bonaventure")</f>
        <v>St. Bonaventure</v>
      </c>
      <c r="C125" s="1" t="str">
        <f ca="1">IFERROR(__xludf.DUMMYFUNCTION("""COMPUTED_VALUE"""),"A10")</f>
        <v>A10</v>
      </c>
      <c r="D125" s="1" t="str">
        <f ca="1">IFERROR(__xludf.DUMMYFUNCTION("""COMPUTED_VALUE"""),"14-15")</f>
        <v>14-15</v>
      </c>
      <c r="E125" s="1" t="str">
        <f ca="1">IFERROR(__xludf.DUMMYFUNCTION("""COMPUTED_VALUE"""),"+4.53")</f>
        <v>+4.53</v>
      </c>
      <c r="F125" s="1">
        <f ca="1">IFERROR(__xludf.DUMMYFUNCTION("""COMPUTED_VALUE"""),109.7)</f>
        <v>109.7</v>
      </c>
      <c r="G125" s="1">
        <f ca="1">IFERROR(__xludf.DUMMYFUNCTION("""COMPUTED_VALUE"""),59)</f>
        <v>59</v>
      </c>
      <c r="H125" s="1">
        <f ca="1">IFERROR(__xludf.DUMMYFUNCTION("""COMPUTED_VALUE"""),105.2)</f>
        <v>105.2</v>
      </c>
      <c r="I125" s="1">
        <f ca="1">IFERROR(__xludf.DUMMYFUNCTION("""COMPUTED_VALUE"""),222)</f>
        <v>222</v>
      </c>
      <c r="J125" s="1">
        <f ca="1">IFERROR(__xludf.DUMMYFUNCTION("""COMPUTED_VALUE"""),65.1)</f>
        <v>65.099999999999994</v>
      </c>
      <c r="K125" s="1">
        <f ca="1">IFERROR(__xludf.DUMMYFUNCTION("""COMPUTED_VALUE"""),147)</f>
        <v>147</v>
      </c>
      <c r="L125" s="1">
        <f ca="1">IFERROR(__xludf.DUMMYFUNCTION("""COMPUTED_VALUE"""),-0.04)</f>
        <v>-0.04</v>
      </c>
      <c r="M125" s="1">
        <f ca="1">IFERROR(__xludf.DUMMYFUNCTION("""COMPUTED_VALUE"""),277)</f>
        <v>277</v>
      </c>
      <c r="N125" s="1" t="str">
        <f ca="1">IFERROR(__xludf.DUMMYFUNCTION("""COMPUTED_VALUE"""),"+3.71")</f>
        <v>+3.71</v>
      </c>
      <c r="O125" s="1">
        <f ca="1">IFERROR(__xludf.DUMMYFUNCTION("""COMPUTED_VALUE"""),102)</f>
        <v>102</v>
      </c>
      <c r="P125" s="1">
        <f ca="1">IFERROR(__xludf.DUMMYFUNCTION("""COMPUTED_VALUE"""),105.9)</f>
        <v>105.9</v>
      </c>
      <c r="Q125" s="1">
        <f ca="1">IFERROR(__xludf.DUMMYFUNCTION("""COMPUTED_VALUE"""),47)</f>
        <v>47</v>
      </c>
      <c r="R125" s="1">
        <f ca="1">IFERROR(__xludf.DUMMYFUNCTION("""COMPUTED_VALUE"""),102.2)</f>
        <v>102.2</v>
      </c>
      <c r="S125" s="1">
        <f ca="1">IFERROR(__xludf.DUMMYFUNCTION("""COMPUTED_VALUE"""),129)</f>
        <v>129</v>
      </c>
      <c r="T125" s="1">
        <f ca="1">IFERROR(__xludf.DUMMYFUNCTION("""COMPUTED_VALUE"""),-0.59)</f>
        <v>-0.59</v>
      </c>
      <c r="U125" s="1">
        <f ca="1">IFERROR(__xludf.DUMMYFUNCTION("""COMPUTED_VALUE"""),177)</f>
        <v>177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IFERROR(__xludf.DUMMYFUNCTION("""COMPUTED_VALUE"""),"Florida St.4")</f>
        <v>Florida St.4</v>
      </c>
      <c r="C126" s="1" t="str">
        <f ca="1">IFERROR(__xludf.DUMMYFUNCTION("""COMPUTED_VALUE"""),"ACC")</f>
        <v>ACC</v>
      </c>
      <c r="D126" s="1" t="str">
        <f ca="1">IFERROR(__xludf.DUMMYFUNCTION("""COMPUTED_VALUE"""),"18-16")</f>
        <v>18-16</v>
      </c>
      <c r="E126" s="1" t="str">
        <f ca="1">IFERROR(__xludf.DUMMYFUNCTION("""COMPUTED_VALUE"""),"+4.45")</f>
        <v>+4.45</v>
      </c>
      <c r="F126" s="1">
        <f ca="1">IFERROR(__xludf.DUMMYFUNCTION("""COMPUTED_VALUE"""),107.1)</f>
        <v>107.1</v>
      </c>
      <c r="G126" s="1">
        <f ca="1">IFERROR(__xludf.DUMMYFUNCTION("""COMPUTED_VALUE"""),94)</f>
        <v>94</v>
      </c>
      <c r="H126" s="1">
        <f ca="1">IFERROR(__xludf.DUMMYFUNCTION("""COMPUTED_VALUE"""),102.7)</f>
        <v>102.7</v>
      </c>
      <c r="I126" s="1">
        <f ca="1">IFERROR(__xludf.DUMMYFUNCTION("""COMPUTED_VALUE"""),170)</f>
        <v>170</v>
      </c>
      <c r="J126" s="1">
        <f ca="1">IFERROR(__xludf.DUMMYFUNCTION("""COMPUTED_VALUE"""),64.2)</f>
        <v>64.2</v>
      </c>
      <c r="K126" s="1">
        <f ca="1">IFERROR(__xludf.DUMMYFUNCTION("""COMPUTED_VALUE"""),191)</f>
        <v>191</v>
      </c>
      <c r="L126" s="1" t="str">
        <f ca="1">IFERROR(__xludf.DUMMYFUNCTION("""COMPUTED_VALUE"""),"+.085")</f>
        <v>+.085</v>
      </c>
      <c r="M126" s="1">
        <f ca="1">IFERROR(__xludf.DUMMYFUNCTION("""COMPUTED_VALUE"""),16)</f>
        <v>16</v>
      </c>
      <c r="N126" s="1" t="str">
        <f ca="1">IFERROR(__xludf.DUMMYFUNCTION("""COMPUTED_VALUE"""),"+6.95")</f>
        <v>+6.95</v>
      </c>
      <c r="O126" s="1">
        <f ca="1">IFERROR(__xludf.DUMMYFUNCTION("""COMPUTED_VALUE"""),44)</f>
        <v>44</v>
      </c>
      <c r="P126" s="1">
        <f ca="1">IFERROR(__xludf.DUMMYFUNCTION("""COMPUTED_VALUE"""),105.6)</f>
        <v>105.6</v>
      </c>
      <c r="Q126" s="1">
        <f ca="1">IFERROR(__xludf.DUMMYFUNCTION("""COMPUTED_VALUE"""),65)</f>
        <v>65</v>
      </c>
      <c r="R126" s="1">
        <f ca="1">IFERROR(__xludf.DUMMYFUNCTION("""COMPUTED_VALUE"""),98.7)</f>
        <v>98.7</v>
      </c>
      <c r="S126" s="1">
        <f ca="1">IFERROR(__xludf.DUMMYFUNCTION("""COMPUTED_VALUE"""),38)</f>
        <v>38</v>
      </c>
      <c r="T126" s="1">
        <f ca="1">IFERROR(__xludf.DUMMYFUNCTION("""COMPUTED_VALUE"""),-1.09)</f>
        <v>-1.0900000000000001</v>
      </c>
      <c r="U126" s="1">
        <f ca="1">IFERROR(__xludf.DUMMYFUNCTION("""COMPUTED_VALUE"""),193)</f>
        <v>193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IFERROR(__xludf.DUMMYFUNCTION("""COMPUTED_VALUE"""),"Kent St.")</f>
        <v>Kent St.</v>
      </c>
      <c r="C129" s="1" t="str">
        <f ca="1">IFERROR(__xludf.DUMMYFUNCTION("""COMPUTED_VALUE"""),"MAC")</f>
        <v>MAC</v>
      </c>
      <c r="D129" s="1" t="str">
        <f ca="1">IFERROR(__xludf.DUMMYFUNCTION("""COMPUTED_VALUE"""),"21-14")</f>
        <v>21-14</v>
      </c>
      <c r="E129" s="1" t="str">
        <f ca="1">IFERROR(__xludf.DUMMYFUNCTION("""COMPUTED_VALUE"""),"+4.43")</f>
        <v>+4.43</v>
      </c>
      <c r="F129" s="1">
        <f ca="1">IFERROR(__xludf.DUMMYFUNCTION("""COMPUTED_VALUE"""),107.8)</f>
        <v>107.8</v>
      </c>
      <c r="G129" s="1">
        <f ca="1">IFERROR(__xludf.DUMMYFUNCTION("""COMPUTED_VALUE"""),77)</f>
        <v>77</v>
      </c>
      <c r="H129" s="1">
        <f ca="1">IFERROR(__xludf.DUMMYFUNCTION("""COMPUTED_VALUE"""),103.4)</f>
        <v>103.4</v>
      </c>
      <c r="I129" s="1">
        <f ca="1">IFERROR(__xludf.DUMMYFUNCTION("""COMPUTED_VALUE"""),182)</f>
        <v>182</v>
      </c>
      <c r="J129" s="1">
        <f ca="1">IFERROR(__xludf.DUMMYFUNCTION("""COMPUTED_VALUE"""),65.6)</f>
        <v>65.599999999999994</v>
      </c>
      <c r="K129" s="1">
        <f ca="1">IFERROR(__xludf.DUMMYFUNCTION("""COMPUTED_VALUE"""),127)</f>
        <v>127</v>
      </c>
      <c r="L129" s="1">
        <f ca="1">IFERROR(__xludf.DUMMYFUNCTION("""COMPUTED_VALUE"""),-0.019)</f>
        <v>-1.9E-2</v>
      </c>
      <c r="M129" s="1">
        <f ca="1">IFERROR(__xludf.DUMMYFUNCTION("""COMPUTED_VALUE"""),236)</f>
        <v>236</v>
      </c>
      <c r="N129" s="1">
        <f ca="1">IFERROR(__xludf.DUMMYFUNCTION("""COMPUTED_VALUE"""),-0.86)</f>
        <v>-0.86</v>
      </c>
      <c r="O129" s="1">
        <f ca="1">IFERROR(__xludf.DUMMYFUNCTION("""COMPUTED_VALUE"""),160)</f>
        <v>160</v>
      </c>
      <c r="P129" s="1">
        <f ca="1">IFERROR(__xludf.DUMMYFUNCTION("""COMPUTED_VALUE"""),101.4)</f>
        <v>101.4</v>
      </c>
      <c r="Q129" s="1">
        <f ca="1">IFERROR(__xludf.DUMMYFUNCTION("""COMPUTED_VALUE"""),210)</f>
        <v>210</v>
      </c>
      <c r="R129" s="1">
        <f ca="1">IFERROR(__xludf.DUMMYFUNCTION("""COMPUTED_VALUE"""),102.3)</f>
        <v>102.3</v>
      </c>
      <c r="S129" s="1">
        <f ca="1">IFERROR(__xludf.DUMMYFUNCTION("""COMPUTED_VALUE"""),134)</f>
        <v>134</v>
      </c>
      <c r="T129" s="1">
        <f ca="1">IFERROR(__xludf.DUMMYFUNCTION("""COMPUTED_VALUE"""),-0.68)</f>
        <v>-0.68</v>
      </c>
      <c r="U129" s="1">
        <f ca="1">IFERROR(__xludf.DUMMYFUNCTION("""COMPUTED_VALUE"""),181)</f>
        <v>181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IFERROR(__xludf.DUMMYFUNCTION("""COMPUTED_VALUE"""),"Wright St.")</f>
        <v>Wright St.</v>
      </c>
      <c r="C130" s="1" t="str">
        <f ca="1">IFERROR(__xludf.DUMMYFUNCTION("""COMPUTED_VALUE"""),"Horz")</f>
        <v>Horz</v>
      </c>
      <c r="D130" s="1" t="str">
        <f ca="1">IFERROR(__xludf.DUMMYFUNCTION("""COMPUTED_VALUE"""),"23-13")</f>
        <v>23-13</v>
      </c>
      <c r="E130" s="1" t="str">
        <f ca="1">IFERROR(__xludf.DUMMYFUNCTION("""COMPUTED_VALUE"""),"+4.33")</f>
        <v>+4.33</v>
      </c>
      <c r="F130" s="1">
        <f ca="1">IFERROR(__xludf.DUMMYFUNCTION("""COMPUTED_VALUE"""),98)</f>
        <v>98</v>
      </c>
      <c r="G130" s="1">
        <f ca="1">IFERROR(__xludf.DUMMYFUNCTION("""COMPUTED_VALUE"""),256)</f>
        <v>256</v>
      </c>
      <c r="H130" s="1">
        <f ca="1">IFERROR(__xludf.DUMMYFUNCTION("""COMPUTED_VALUE"""),93.7)</f>
        <v>93.7</v>
      </c>
      <c r="I130" s="1">
        <f ca="1">IFERROR(__xludf.DUMMYFUNCTION("""COMPUTED_VALUE"""),34)</f>
        <v>34</v>
      </c>
      <c r="J130" s="1">
        <f ca="1">IFERROR(__xludf.DUMMYFUNCTION("""COMPUTED_VALUE"""),61.8)</f>
        <v>61.8</v>
      </c>
      <c r="K130" s="1">
        <f ca="1">IFERROR(__xludf.DUMMYFUNCTION("""COMPUTED_VALUE"""),283)</f>
        <v>283</v>
      </c>
      <c r="L130" s="1" t="str">
        <f ca="1">IFERROR(__xludf.DUMMYFUNCTION("""COMPUTED_VALUE"""),"+.008")</f>
        <v>+.008</v>
      </c>
      <c r="M130" s="1">
        <f ca="1">IFERROR(__xludf.DUMMYFUNCTION("""COMPUTED_VALUE"""),156)</f>
        <v>156</v>
      </c>
      <c r="N130" s="1">
        <f ca="1">IFERROR(__xludf.DUMMYFUNCTION("""COMPUTED_VALUE"""),-1.44)</f>
        <v>-1.44</v>
      </c>
      <c r="O130" s="1">
        <f ca="1">IFERROR(__xludf.DUMMYFUNCTION("""COMPUTED_VALUE"""),171)</f>
        <v>171</v>
      </c>
      <c r="P130" s="1">
        <f ca="1">IFERROR(__xludf.DUMMYFUNCTION("""COMPUTED_VALUE"""),102.7)</f>
        <v>102.7</v>
      </c>
      <c r="Q130" s="1">
        <f ca="1">IFERROR(__xludf.DUMMYFUNCTION("""COMPUTED_VALUE"""),146)</f>
        <v>146</v>
      </c>
      <c r="R130" s="1">
        <f ca="1">IFERROR(__xludf.DUMMYFUNCTION("""COMPUTED_VALUE"""),104.2)</f>
        <v>104.2</v>
      </c>
      <c r="S130" s="1">
        <f ca="1">IFERROR(__xludf.DUMMYFUNCTION("""COMPUTED_VALUE"""),228)</f>
        <v>228</v>
      </c>
      <c r="T130" s="1">
        <f ca="1">IFERROR(__xludf.DUMMYFUNCTION("""COMPUTED_VALUE"""),-4.86)</f>
        <v>-4.8600000000000003</v>
      </c>
      <c r="U130" s="1">
        <f ca="1">IFERROR(__xludf.DUMMYFUNCTION("""COMPUTED_VALUE"""),288)</f>
        <v>288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IFERROR(__xludf.DUMMYFUNCTION("""COMPUTED_VALUE"""),"West Virginia")</f>
        <v>West Virginia</v>
      </c>
      <c r="C131" s="1" t="str">
        <f ca="1">IFERROR(__xludf.DUMMYFUNCTION("""COMPUTED_VALUE"""),"B12")</f>
        <v>B12</v>
      </c>
      <c r="D131" s="1" t="str">
        <f ca="1">IFERROR(__xludf.DUMMYFUNCTION("""COMPUTED_VALUE"""),"13-19")</f>
        <v>13-19</v>
      </c>
      <c r="E131" s="1" t="str">
        <f ca="1">IFERROR(__xludf.DUMMYFUNCTION("""COMPUTED_VALUE"""),"+4.22")</f>
        <v>+4.22</v>
      </c>
      <c r="F131" s="1">
        <f ca="1">IFERROR(__xludf.DUMMYFUNCTION("""COMPUTED_VALUE"""),105)</f>
        <v>105</v>
      </c>
      <c r="G131" s="1">
        <f ca="1">IFERROR(__xludf.DUMMYFUNCTION("""COMPUTED_VALUE"""),133)</f>
        <v>133</v>
      </c>
      <c r="H131" s="1">
        <f ca="1">IFERROR(__xludf.DUMMYFUNCTION("""COMPUTED_VALUE"""),100.8)</f>
        <v>100.8</v>
      </c>
      <c r="I131" s="1">
        <f ca="1">IFERROR(__xludf.DUMMYFUNCTION("""COMPUTED_VALUE"""),137)</f>
        <v>137</v>
      </c>
      <c r="J131" s="1">
        <f ca="1">IFERROR(__xludf.DUMMYFUNCTION("""COMPUTED_VALUE"""),63)</f>
        <v>63</v>
      </c>
      <c r="K131" s="1">
        <f ca="1">IFERROR(__xludf.DUMMYFUNCTION("""COMPUTED_VALUE"""),242)</f>
        <v>242</v>
      </c>
      <c r="L131" s="1">
        <f ca="1">IFERROR(__xludf.DUMMYFUNCTION("""COMPUTED_VALUE"""),-0.042)</f>
        <v>-4.2000000000000003E-2</v>
      </c>
      <c r="M131" s="1">
        <f ca="1">IFERROR(__xludf.DUMMYFUNCTION("""COMPUTED_VALUE"""),280)</f>
        <v>280</v>
      </c>
      <c r="N131" s="1" t="str">
        <f ca="1">IFERROR(__xludf.DUMMYFUNCTION("""COMPUTED_VALUE"""),"+6.78")</f>
        <v>+6.78</v>
      </c>
      <c r="O131" s="1">
        <f ca="1">IFERROR(__xludf.DUMMYFUNCTION("""COMPUTED_VALUE"""),48)</f>
        <v>48</v>
      </c>
      <c r="P131" s="1">
        <f ca="1">IFERROR(__xludf.DUMMYFUNCTION("""COMPUTED_VALUE"""),107.2)</f>
        <v>107.2</v>
      </c>
      <c r="Q131" s="1">
        <f ca="1">IFERROR(__xludf.DUMMYFUNCTION("""COMPUTED_VALUE"""),15)</f>
        <v>15</v>
      </c>
      <c r="R131" s="1">
        <f ca="1">IFERROR(__xludf.DUMMYFUNCTION("""COMPUTED_VALUE"""),100.4)</f>
        <v>100.4</v>
      </c>
      <c r="S131" s="1">
        <f ca="1">IFERROR(__xludf.DUMMYFUNCTION("""COMPUTED_VALUE"""),85)</f>
        <v>85</v>
      </c>
      <c r="T131" s="1" t="str">
        <f ca="1">IFERROR(__xludf.DUMMYFUNCTION("""COMPUTED_VALUE"""),"+1.18")</f>
        <v>+1.18</v>
      </c>
      <c r="U131" s="1">
        <f ca="1">IFERROR(__xludf.DUMMYFUNCTION("""COMPUTED_VALUE"""),125)</f>
        <v>125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IFERROR(__xludf.DUMMYFUNCTION("""COMPUTED_VALUE"""),"Loyola MD")</f>
        <v>Loyola MD</v>
      </c>
      <c r="C132" s="1" t="str">
        <f ca="1">IFERROR(__xludf.DUMMYFUNCTION("""COMPUTED_VALUE"""),"MAAC")</f>
        <v>MAAC</v>
      </c>
      <c r="D132" s="1" t="str">
        <f ca="1">IFERROR(__xludf.DUMMYFUNCTION("""COMPUTED_VALUE"""),"23-12")</f>
        <v>23-12</v>
      </c>
      <c r="E132" s="1" t="str">
        <f ca="1">IFERROR(__xludf.DUMMYFUNCTION("""COMPUTED_VALUE"""),"+4.13")</f>
        <v>+4.13</v>
      </c>
      <c r="F132" s="1">
        <f ca="1">IFERROR(__xludf.DUMMYFUNCTION("""COMPUTED_VALUE"""),104.6)</f>
        <v>104.6</v>
      </c>
      <c r="G132" s="1">
        <f ca="1">IFERROR(__xludf.DUMMYFUNCTION("""COMPUTED_VALUE"""),140)</f>
        <v>140</v>
      </c>
      <c r="H132" s="1">
        <f ca="1">IFERROR(__xludf.DUMMYFUNCTION("""COMPUTED_VALUE"""),100.4)</f>
        <v>100.4</v>
      </c>
      <c r="I132" s="1">
        <f ca="1">IFERROR(__xludf.DUMMYFUNCTION("""COMPUTED_VALUE"""),132)</f>
        <v>132</v>
      </c>
      <c r="J132" s="1">
        <f ca="1">IFERROR(__xludf.DUMMYFUNCTION("""COMPUTED_VALUE"""),62.7)</f>
        <v>62.7</v>
      </c>
      <c r="K132" s="1">
        <f ca="1">IFERROR(__xludf.DUMMYFUNCTION("""COMPUTED_VALUE"""),254)</f>
        <v>254</v>
      </c>
      <c r="L132" s="1" t="str">
        <f ca="1">IFERROR(__xludf.DUMMYFUNCTION("""COMPUTED_VALUE"""),"+.047")</f>
        <v>+.047</v>
      </c>
      <c r="M132" s="1">
        <f ca="1">IFERROR(__xludf.DUMMYFUNCTION("""COMPUTED_VALUE"""),58)</f>
        <v>58</v>
      </c>
      <c r="N132" s="1">
        <f ca="1">IFERROR(__xludf.DUMMYFUNCTION("""COMPUTED_VALUE"""),-1.48)</f>
        <v>-1.48</v>
      </c>
      <c r="O132" s="1">
        <f ca="1">IFERROR(__xludf.DUMMYFUNCTION("""COMPUTED_VALUE"""),172)</f>
        <v>172</v>
      </c>
      <c r="P132" s="1">
        <f ca="1">IFERROR(__xludf.DUMMYFUNCTION("""COMPUTED_VALUE"""),101.3)</f>
        <v>101.3</v>
      </c>
      <c r="Q132" s="1">
        <f ca="1">IFERROR(__xludf.DUMMYFUNCTION("""COMPUTED_VALUE"""),213)</f>
        <v>213</v>
      </c>
      <c r="R132" s="1">
        <f ca="1">IFERROR(__xludf.DUMMYFUNCTION("""COMPUTED_VALUE"""),102.8)</f>
        <v>102.8</v>
      </c>
      <c r="S132" s="1">
        <f ca="1">IFERROR(__xludf.DUMMYFUNCTION("""COMPUTED_VALUE"""),154)</f>
        <v>154</v>
      </c>
      <c r="T132" s="1">
        <f ca="1">IFERROR(__xludf.DUMMYFUNCTION("""COMPUTED_VALUE"""),-1.26)</f>
        <v>-1.26</v>
      </c>
      <c r="U132" s="1">
        <f ca="1">IFERROR(__xludf.DUMMYFUNCTION("""COMPUTED_VALUE"""),201)</f>
        <v>201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IFERROR(__xludf.DUMMYFUNCTION("""COMPUTED_VALUE"""),"East Carolina")</f>
        <v>East Carolina</v>
      </c>
      <c r="C133" s="1" t="str">
        <f ca="1">IFERROR(__xludf.DUMMYFUNCTION("""COMPUTED_VALUE"""),"CUSA")</f>
        <v>CUSA</v>
      </c>
      <c r="D133" s="1" t="str">
        <f ca="1">IFERROR(__xludf.DUMMYFUNCTION("""COMPUTED_VALUE"""),"23-12")</f>
        <v>23-12</v>
      </c>
      <c r="E133" s="1" t="str">
        <f ca="1">IFERROR(__xludf.DUMMYFUNCTION("""COMPUTED_VALUE"""),"+4.02")</f>
        <v>+4.02</v>
      </c>
      <c r="F133" s="1">
        <f ca="1">IFERROR(__xludf.DUMMYFUNCTION("""COMPUTED_VALUE"""),108.9)</f>
        <v>108.9</v>
      </c>
      <c r="G133" s="1">
        <f ca="1">IFERROR(__xludf.DUMMYFUNCTION("""COMPUTED_VALUE"""),69)</f>
        <v>69</v>
      </c>
      <c r="H133" s="1">
        <f ca="1">IFERROR(__xludf.DUMMYFUNCTION("""COMPUTED_VALUE"""),104.9)</f>
        <v>104.9</v>
      </c>
      <c r="I133" s="1">
        <f ca="1">IFERROR(__xludf.DUMMYFUNCTION("""COMPUTED_VALUE"""),216)</f>
        <v>216</v>
      </c>
      <c r="J133" s="1">
        <f ca="1">IFERROR(__xludf.DUMMYFUNCTION("""COMPUTED_VALUE"""),67.5)</f>
        <v>67.5</v>
      </c>
      <c r="K133" s="1">
        <f ca="1">IFERROR(__xludf.DUMMYFUNCTION("""COMPUTED_VALUE"""),49)</f>
        <v>49</v>
      </c>
      <c r="L133" s="1" t="str">
        <f ca="1">IFERROR(__xludf.DUMMYFUNCTION("""COMPUTED_VALUE"""),"+.045")</f>
        <v>+.045</v>
      </c>
      <c r="M133" s="1">
        <f ca="1">IFERROR(__xludf.DUMMYFUNCTION("""COMPUTED_VALUE"""),64)</f>
        <v>64</v>
      </c>
      <c r="N133" s="1" t="str">
        <f ca="1">IFERROR(__xludf.DUMMYFUNCTION("""COMPUTED_VALUE"""),"+0.12")</f>
        <v>+0.12</v>
      </c>
      <c r="O133" s="1">
        <f ca="1">IFERROR(__xludf.DUMMYFUNCTION("""COMPUTED_VALUE"""),140)</f>
        <v>140</v>
      </c>
      <c r="P133" s="1">
        <f ca="1">IFERROR(__xludf.DUMMYFUNCTION("""COMPUTED_VALUE"""),102.3)</f>
        <v>102.3</v>
      </c>
      <c r="Q133" s="1">
        <f ca="1">IFERROR(__xludf.DUMMYFUNCTION("""COMPUTED_VALUE"""),163)</f>
        <v>163</v>
      </c>
      <c r="R133" s="1">
        <f ca="1">IFERROR(__xludf.DUMMYFUNCTION("""COMPUTED_VALUE"""),102.2)</f>
        <v>102.2</v>
      </c>
      <c r="S133" s="1">
        <f ca="1">IFERROR(__xludf.DUMMYFUNCTION("""COMPUTED_VALUE"""),128)</f>
        <v>128</v>
      </c>
      <c r="T133" s="1">
        <f ca="1">IFERROR(__xludf.DUMMYFUNCTION("""COMPUTED_VALUE"""),-3.26)</f>
        <v>-3.26</v>
      </c>
      <c r="U133" s="1">
        <f ca="1">IFERROR(__xludf.DUMMYFUNCTION("""COMPUTED_VALUE"""),263)</f>
        <v>263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IFERROR(__xludf.DUMMYFUNCTION("""COMPUTED_VALUE"""),"Green Bay")</f>
        <v>Green Bay</v>
      </c>
      <c r="C134" s="1" t="str">
        <f ca="1">IFERROR(__xludf.DUMMYFUNCTION("""COMPUTED_VALUE"""),"Horz")</f>
        <v>Horz</v>
      </c>
      <c r="D134" s="1" t="str">
        <f ca="1">IFERROR(__xludf.DUMMYFUNCTION("""COMPUTED_VALUE"""),"18-16")</f>
        <v>18-16</v>
      </c>
      <c r="E134" s="1" t="str">
        <f ca="1">IFERROR(__xludf.DUMMYFUNCTION("""COMPUTED_VALUE"""),"+3.99")</f>
        <v>+3.99</v>
      </c>
      <c r="F134" s="1">
        <f ca="1">IFERROR(__xludf.DUMMYFUNCTION("""COMPUTED_VALUE"""),104.5)</f>
        <v>104.5</v>
      </c>
      <c r="G134" s="1">
        <f ca="1">IFERROR(__xludf.DUMMYFUNCTION("""COMPUTED_VALUE"""),142)</f>
        <v>142</v>
      </c>
      <c r="H134" s="1">
        <f ca="1">IFERROR(__xludf.DUMMYFUNCTION("""COMPUTED_VALUE"""),100.5)</f>
        <v>100.5</v>
      </c>
      <c r="I134" s="1">
        <f ca="1">IFERROR(__xludf.DUMMYFUNCTION("""COMPUTED_VALUE"""),133)</f>
        <v>133</v>
      </c>
      <c r="J134" s="1">
        <f ca="1">IFERROR(__xludf.DUMMYFUNCTION("""COMPUTED_VALUE"""),62.5)</f>
        <v>62.5</v>
      </c>
      <c r="K134" s="1">
        <f ca="1">IFERROR(__xludf.DUMMYFUNCTION("""COMPUTED_VALUE"""),264)</f>
        <v>264</v>
      </c>
      <c r="L134" s="1">
        <f ca="1">IFERROR(__xludf.DUMMYFUNCTION("""COMPUTED_VALUE"""),-0.05)</f>
        <v>-0.05</v>
      </c>
      <c r="M134" s="1">
        <f ca="1">IFERROR(__xludf.DUMMYFUNCTION("""COMPUTED_VALUE"""),295)</f>
        <v>295</v>
      </c>
      <c r="N134" s="1" t="str">
        <f ca="1">IFERROR(__xludf.DUMMYFUNCTION("""COMPUTED_VALUE"""),"+0.01")</f>
        <v>+0.01</v>
      </c>
      <c r="O134" s="1">
        <f ca="1">IFERROR(__xludf.DUMMYFUNCTION("""COMPUTED_VALUE"""),141)</f>
        <v>141</v>
      </c>
      <c r="P134" s="1">
        <f ca="1">IFERROR(__xludf.DUMMYFUNCTION("""COMPUTED_VALUE"""),103)</f>
        <v>103</v>
      </c>
      <c r="Q134" s="1">
        <f ca="1">IFERROR(__xludf.DUMMYFUNCTION("""COMPUTED_VALUE"""),138)</f>
        <v>138</v>
      </c>
      <c r="R134" s="1">
        <f ca="1">IFERROR(__xludf.DUMMYFUNCTION("""COMPUTED_VALUE"""),103)</f>
        <v>103</v>
      </c>
      <c r="S134" s="1">
        <f ca="1">IFERROR(__xludf.DUMMYFUNCTION("""COMPUTED_VALUE"""),166)</f>
        <v>166</v>
      </c>
      <c r="T134" s="1" t="str">
        <f ca="1">IFERROR(__xludf.DUMMYFUNCTION("""COMPUTED_VALUE"""),"+0.61")</f>
        <v>+0.61</v>
      </c>
      <c r="U134" s="1">
        <f ca="1">IFERROR(__xludf.DUMMYFUNCTION("""COMPUTED_VALUE"""),132)</f>
        <v>132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IFERROR(__xludf.DUMMYFUNCTION("""COMPUTED_VALUE"""),"Mercer7")</f>
        <v>Mercer7</v>
      </c>
      <c r="C135" s="1" t="str">
        <f ca="1">IFERROR(__xludf.DUMMYFUNCTION("""COMPUTED_VALUE"""),"ASun")</f>
        <v>ASun</v>
      </c>
      <c r="D135" s="1" t="str">
        <f ca="1">IFERROR(__xludf.DUMMYFUNCTION("""COMPUTED_VALUE"""),"24-12")</f>
        <v>24-12</v>
      </c>
      <c r="E135" s="1" t="str">
        <f ca="1">IFERROR(__xludf.DUMMYFUNCTION("""COMPUTED_VALUE"""),"+3.96")</f>
        <v>+3.96</v>
      </c>
      <c r="F135" s="1">
        <f ca="1">IFERROR(__xludf.DUMMYFUNCTION("""COMPUTED_VALUE"""),104)</f>
        <v>104</v>
      </c>
      <c r="G135" s="1">
        <f ca="1">IFERROR(__xludf.DUMMYFUNCTION("""COMPUTED_VALUE"""),148)</f>
        <v>148</v>
      </c>
      <c r="H135" s="1">
        <f ca="1">IFERROR(__xludf.DUMMYFUNCTION("""COMPUTED_VALUE"""),100.1)</f>
        <v>100.1</v>
      </c>
      <c r="I135" s="1">
        <f ca="1">IFERROR(__xludf.DUMMYFUNCTION("""COMPUTED_VALUE"""),128)</f>
        <v>128</v>
      </c>
      <c r="J135" s="1">
        <f ca="1">IFERROR(__xludf.DUMMYFUNCTION("""COMPUTED_VALUE"""),61.3)</f>
        <v>61.3</v>
      </c>
      <c r="K135" s="1">
        <f ca="1">IFERROR(__xludf.DUMMYFUNCTION("""COMPUTED_VALUE"""),298)</f>
        <v>298</v>
      </c>
      <c r="L135" s="1" t="str">
        <f ca="1">IFERROR(__xludf.DUMMYFUNCTION("""COMPUTED_VALUE"""),"+.027")</f>
        <v>+.027</v>
      </c>
      <c r="M135" s="1">
        <f ca="1">IFERROR(__xludf.DUMMYFUNCTION("""COMPUTED_VALUE"""),113)</f>
        <v>113</v>
      </c>
      <c r="N135" s="1">
        <f ca="1">IFERROR(__xludf.DUMMYFUNCTION("""COMPUTED_VALUE"""),-4.51)</f>
        <v>-4.51</v>
      </c>
      <c r="O135" s="1">
        <f ca="1">IFERROR(__xludf.DUMMYFUNCTION("""COMPUTED_VALUE"""),260)</f>
        <v>260</v>
      </c>
      <c r="P135" s="1">
        <f ca="1">IFERROR(__xludf.DUMMYFUNCTION("""COMPUTED_VALUE"""),100.4)</f>
        <v>100.4</v>
      </c>
      <c r="Q135" s="1">
        <f ca="1">IFERROR(__xludf.DUMMYFUNCTION("""COMPUTED_VALUE"""),259)</f>
        <v>259</v>
      </c>
      <c r="R135" s="1">
        <f ca="1">IFERROR(__xludf.DUMMYFUNCTION("""COMPUTED_VALUE"""),104.9)</f>
        <v>104.9</v>
      </c>
      <c r="S135" s="1">
        <f ca="1">IFERROR(__xludf.DUMMYFUNCTION("""COMPUTED_VALUE"""),259)</f>
        <v>259</v>
      </c>
      <c r="T135" s="1" t="str">
        <f ca="1">IFERROR(__xludf.DUMMYFUNCTION("""COMPUTED_VALUE"""),"+2.75")</f>
        <v>+2.75</v>
      </c>
      <c r="U135" s="1">
        <f ca="1">IFERROR(__xludf.DUMMYFUNCTION("""COMPUTED_VALUE"""),86)</f>
        <v>86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IFERROR(__xludf.DUMMYFUNCTION("""COMPUTED_VALUE"""),"Pacific15")</f>
        <v>Pacific15</v>
      </c>
      <c r="C136" s="1" t="str">
        <f ca="1">IFERROR(__xludf.DUMMYFUNCTION("""COMPUTED_VALUE"""),"BW")</f>
        <v>BW</v>
      </c>
      <c r="D136" s="1" t="str">
        <f ca="1">IFERROR(__xludf.DUMMYFUNCTION("""COMPUTED_VALUE"""),"22-13")</f>
        <v>22-13</v>
      </c>
      <c r="E136" s="1" t="str">
        <f ca="1">IFERROR(__xludf.DUMMYFUNCTION("""COMPUTED_VALUE"""),"+3.96")</f>
        <v>+3.96</v>
      </c>
      <c r="F136" s="1">
        <f ca="1">IFERROR(__xludf.DUMMYFUNCTION("""COMPUTED_VALUE"""),106.1)</f>
        <v>106.1</v>
      </c>
      <c r="G136" s="1">
        <f ca="1">IFERROR(__xludf.DUMMYFUNCTION("""COMPUTED_VALUE"""),114)</f>
        <v>114</v>
      </c>
      <c r="H136" s="1">
        <f ca="1">IFERROR(__xludf.DUMMYFUNCTION("""COMPUTED_VALUE"""),102.2)</f>
        <v>102.2</v>
      </c>
      <c r="I136" s="1">
        <f ca="1">IFERROR(__xludf.DUMMYFUNCTION("""COMPUTED_VALUE"""),158)</f>
        <v>158</v>
      </c>
      <c r="J136" s="1">
        <f ca="1">IFERROR(__xludf.DUMMYFUNCTION("""COMPUTED_VALUE"""),62.2)</f>
        <v>62.2</v>
      </c>
      <c r="K136" s="1">
        <f ca="1">IFERROR(__xludf.DUMMYFUNCTION("""COMPUTED_VALUE"""),275)</f>
        <v>275</v>
      </c>
      <c r="L136" s="1" t="str">
        <f ca="1">IFERROR(__xludf.DUMMYFUNCTION("""COMPUTED_VALUE"""),"+.074")</f>
        <v>+.074</v>
      </c>
      <c r="M136" s="1">
        <f ca="1">IFERROR(__xludf.DUMMYFUNCTION("""COMPUTED_VALUE"""),26)</f>
        <v>26</v>
      </c>
      <c r="N136" s="1" t="str">
        <f ca="1">IFERROR(__xludf.DUMMYFUNCTION("""COMPUTED_VALUE"""),"+0.86")</f>
        <v>+0.86</v>
      </c>
      <c r="O136" s="1">
        <f ca="1">IFERROR(__xludf.DUMMYFUNCTION("""COMPUTED_VALUE"""),130)</f>
        <v>130</v>
      </c>
      <c r="P136" s="1">
        <f ca="1">IFERROR(__xludf.DUMMYFUNCTION("""COMPUTED_VALUE"""),104.2)</f>
        <v>104.2</v>
      </c>
      <c r="Q136" s="1">
        <f ca="1">IFERROR(__xludf.DUMMYFUNCTION("""COMPUTED_VALUE"""),111)</f>
        <v>111</v>
      </c>
      <c r="R136" s="1">
        <f ca="1">IFERROR(__xludf.DUMMYFUNCTION("""COMPUTED_VALUE"""),103.3)</f>
        <v>103.3</v>
      </c>
      <c r="S136" s="1">
        <f ca="1">IFERROR(__xludf.DUMMYFUNCTION("""COMPUTED_VALUE"""),187)</f>
        <v>187</v>
      </c>
      <c r="T136" s="1" t="str">
        <f ca="1">IFERROR(__xludf.DUMMYFUNCTION("""COMPUTED_VALUE"""),"+9.06")</f>
        <v>+9.06</v>
      </c>
      <c r="U136" s="1">
        <f ca="1">IFERROR(__xludf.DUMMYFUNCTION("""COMPUTED_VALUE"""),7)</f>
        <v>7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IFERROR(__xludf.DUMMYFUNCTION("""COMPUTED_VALUE"""),"Charlotte5")</f>
        <v>Charlotte5</v>
      </c>
      <c r="C137" s="1" t="str">
        <f ca="1">IFERROR(__xludf.DUMMYFUNCTION("""COMPUTED_VALUE"""),"A10")</f>
        <v>A10</v>
      </c>
      <c r="D137" s="1" t="str">
        <f ca="1">IFERROR(__xludf.DUMMYFUNCTION("""COMPUTED_VALUE"""),"21-12")</f>
        <v>21-12</v>
      </c>
      <c r="E137" s="1" t="str">
        <f ca="1">IFERROR(__xludf.DUMMYFUNCTION("""COMPUTED_VALUE"""),"+3.90")</f>
        <v>+3.90</v>
      </c>
      <c r="F137" s="1">
        <f ca="1">IFERROR(__xludf.DUMMYFUNCTION("""COMPUTED_VALUE"""),101.4)</f>
        <v>101.4</v>
      </c>
      <c r="G137" s="1">
        <f ca="1">IFERROR(__xludf.DUMMYFUNCTION("""COMPUTED_VALUE"""),195)</f>
        <v>195</v>
      </c>
      <c r="H137" s="1">
        <f ca="1">IFERROR(__xludf.DUMMYFUNCTION("""COMPUTED_VALUE"""),97.5)</f>
        <v>97.5</v>
      </c>
      <c r="I137" s="1">
        <f ca="1">IFERROR(__xludf.DUMMYFUNCTION("""COMPUTED_VALUE"""),83)</f>
        <v>83</v>
      </c>
      <c r="J137" s="1">
        <f ca="1">IFERROR(__xludf.DUMMYFUNCTION("""COMPUTED_VALUE"""),66.4)</f>
        <v>66.400000000000006</v>
      </c>
      <c r="K137" s="1">
        <f ca="1">IFERROR(__xludf.DUMMYFUNCTION("""COMPUTED_VALUE"""),84)</f>
        <v>84</v>
      </c>
      <c r="L137" s="1" t="str">
        <f ca="1">IFERROR(__xludf.DUMMYFUNCTION("""COMPUTED_VALUE"""),"+.133")</f>
        <v>+.133</v>
      </c>
      <c r="M137" s="1">
        <f ca="1">IFERROR(__xludf.DUMMYFUNCTION("""COMPUTED_VALUE"""),2)</f>
        <v>2</v>
      </c>
      <c r="N137" s="1" t="str">
        <f ca="1">IFERROR(__xludf.DUMMYFUNCTION("""COMPUTED_VALUE"""),"+2.81")</f>
        <v>+2.81</v>
      </c>
      <c r="O137" s="1">
        <f ca="1">IFERROR(__xludf.DUMMYFUNCTION("""COMPUTED_VALUE"""),114)</f>
        <v>114</v>
      </c>
      <c r="P137" s="1">
        <f ca="1">IFERROR(__xludf.DUMMYFUNCTION("""COMPUTED_VALUE"""),105)</f>
        <v>105</v>
      </c>
      <c r="Q137" s="1">
        <f ca="1">IFERROR(__xludf.DUMMYFUNCTION("""COMPUTED_VALUE"""),85)</f>
        <v>85</v>
      </c>
      <c r="R137" s="1">
        <f ca="1">IFERROR(__xludf.DUMMYFUNCTION("""COMPUTED_VALUE"""),102.2)</f>
        <v>102.2</v>
      </c>
      <c r="S137" s="1">
        <f ca="1">IFERROR(__xludf.DUMMYFUNCTION("""COMPUTED_VALUE"""),127)</f>
        <v>127</v>
      </c>
      <c r="T137" s="1">
        <f ca="1">IFERROR(__xludf.DUMMYFUNCTION("""COMPUTED_VALUE"""),-6.57)</f>
        <v>-6.57</v>
      </c>
      <c r="U137" s="1">
        <f ca="1">IFERROR(__xludf.DUMMYFUNCTION("""COMPUTED_VALUE"""),317)</f>
        <v>317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IFERROR(__xludf.DUMMYFUNCTION("""COMPUTED_VALUE"""),"UCF")</f>
        <v>UCF</v>
      </c>
      <c r="C138" s="1" t="str">
        <f ca="1">IFERROR(__xludf.DUMMYFUNCTION("""COMPUTED_VALUE"""),"CUSA")</f>
        <v>CUSA</v>
      </c>
      <c r="D138" s="1" t="str">
        <f ca="1">IFERROR(__xludf.DUMMYFUNCTION("""COMPUTED_VALUE"""),"20-11")</f>
        <v>20-11</v>
      </c>
      <c r="E138" s="1" t="str">
        <f ca="1">IFERROR(__xludf.DUMMYFUNCTION("""COMPUTED_VALUE"""),"+3.39")</f>
        <v>+3.39</v>
      </c>
      <c r="F138" s="1">
        <f ca="1">IFERROR(__xludf.DUMMYFUNCTION("""COMPUTED_VALUE"""),106.8)</f>
        <v>106.8</v>
      </c>
      <c r="G138" s="1">
        <f ca="1">IFERROR(__xludf.DUMMYFUNCTION("""COMPUTED_VALUE"""),99)</f>
        <v>99</v>
      </c>
      <c r="H138" s="1">
        <f ca="1">IFERROR(__xludf.DUMMYFUNCTION("""COMPUTED_VALUE"""),103.5)</f>
        <v>103.5</v>
      </c>
      <c r="I138" s="1">
        <f ca="1">IFERROR(__xludf.DUMMYFUNCTION("""COMPUTED_VALUE"""),186)</f>
        <v>186</v>
      </c>
      <c r="J138" s="1">
        <f ca="1">IFERROR(__xludf.DUMMYFUNCTION("""COMPUTED_VALUE"""),64.5)</f>
        <v>64.5</v>
      </c>
      <c r="K138" s="1">
        <f ca="1">IFERROR(__xludf.DUMMYFUNCTION("""COMPUTED_VALUE"""),181)</f>
        <v>181</v>
      </c>
      <c r="L138" s="1" t="str">
        <f ca="1">IFERROR(__xludf.DUMMYFUNCTION("""COMPUTED_VALUE"""),"+.050")</f>
        <v>+.050</v>
      </c>
      <c r="M138" s="1">
        <f ca="1">IFERROR(__xludf.DUMMYFUNCTION("""COMPUTED_VALUE"""),53)</f>
        <v>53</v>
      </c>
      <c r="N138" s="1">
        <f ca="1">IFERROR(__xludf.DUMMYFUNCTION("""COMPUTED_VALUE"""),-0.56)</f>
        <v>-0.56000000000000005</v>
      </c>
      <c r="O138" s="1">
        <f ca="1">IFERROR(__xludf.DUMMYFUNCTION("""COMPUTED_VALUE"""),153)</f>
        <v>153</v>
      </c>
      <c r="P138" s="1">
        <f ca="1">IFERROR(__xludf.DUMMYFUNCTION("""COMPUTED_VALUE"""),101.8)</f>
        <v>101.8</v>
      </c>
      <c r="Q138" s="1">
        <f ca="1">IFERROR(__xludf.DUMMYFUNCTION("""COMPUTED_VALUE"""),188)</f>
        <v>188</v>
      </c>
      <c r="R138" s="1">
        <f ca="1">IFERROR(__xludf.DUMMYFUNCTION("""COMPUTED_VALUE"""),102.4)</f>
        <v>102.4</v>
      </c>
      <c r="S138" s="1">
        <f ca="1">IFERROR(__xludf.DUMMYFUNCTION("""COMPUTED_VALUE"""),138)</f>
        <v>138</v>
      </c>
      <c r="T138" s="1">
        <f ca="1">IFERROR(__xludf.DUMMYFUNCTION("""COMPUTED_VALUE"""),-5)</f>
        <v>-5</v>
      </c>
      <c r="U138" s="1">
        <f ca="1">IFERROR(__xludf.DUMMYFUNCTION("""COMPUTED_VALUE"""),291)</f>
        <v>291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IFERROR(__xludf.DUMMYFUNCTION("""COMPUTED_VALUE"""),"Murray St.")</f>
        <v>Murray St.</v>
      </c>
      <c r="C139" s="1" t="str">
        <f ca="1">IFERROR(__xludf.DUMMYFUNCTION("""COMPUTED_VALUE"""),"OVC")</f>
        <v>OVC</v>
      </c>
      <c r="D139" s="1" t="str">
        <f ca="1">IFERROR(__xludf.DUMMYFUNCTION("""COMPUTED_VALUE"""),"21-10")</f>
        <v>21-10</v>
      </c>
      <c r="E139" s="1" t="str">
        <f ca="1">IFERROR(__xludf.DUMMYFUNCTION("""COMPUTED_VALUE"""),"+3.37")</f>
        <v>+3.37</v>
      </c>
      <c r="F139" s="1">
        <f ca="1">IFERROR(__xludf.DUMMYFUNCTION("""COMPUTED_VALUE"""),105.6)</f>
        <v>105.6</v>
      </c>
      <c r="G139" s="1">
        <f ca="1">IFERROR(__xludf.DUMMYFUNCTION("""COMPUTED_VALUE"""),123)</f>
        <v>123</v>
      </c>
      <c r="H139" s="1">
        <f ca="1">IFERROR(__xludf.DUMMYFUNCTION("""COMPUTED_VALUE"""),102.3)</f>
        <v>102.3</v>
      </c>
      <c r="I139" s="1">
        <f ca="1">IFERROR(__xludf.DUMMYFUNCTION("""COMPUTED_VALUE"""),161)</f>
        <v>161</v>
      </c>
      <c r="J139" s="1">
        <f ca="1">IFERROR(__xludf.DUMMYFUNCTION("""COMPUTED_VALUE"""),64.9)</f>
        <v>64.900000000000006</v>
      </c>
      <c r="K139" s="1">
        <f ca="1">IFERROR(__xludf.DUMMYFUNCTION("""COMPUTED_VALUE"""),157)</f>
        <v>157</v>
      </c>
      <c r="L139" s="1">
        <f ca="1">IFERROR(__xludf.DUMMYFUNCTION("""COMPUTED_VALUE"""),-0.012)</f>
        <v>-1.2E-2</v>
      </c>
      <c r="M139" s="1">
        <f ca="1">IFERROR(__xludf.DUMMYFUNCTION("""COMPUTED_VALUE"""),216)</f>
        <v>216</v>
      </c>
      <c r="N139" s="1">
        <f ca="1">IFERROR(__xludf.DUMMYFUNCTION("""COMPUTED_VALUE"""),-3.07)</f>
        <v>-3.07</v>
      </c>
      <c r="O139" s="1">
        <f ca="1">IFERROR(__xludf.DUMMYFUNCTION("""COMPUTED_VALUE"""),221)</f>
        <v>221</v>
      </c>
      <c r="P139" s="1">
        <f ca="1">IFERROR(__xludf.DUMMYFUNCTION("""COMPUTED_VALUE"""),102.2)</f>
        <v>102.2</v>
      </c>
      <c r="Q139" s="1">
        <f ca="1">IFERROR(__xludf.DUMMYFUNCTION("""COMPUTED_VALUE"""),168)</f>
        <v>168</v>
      </c>
      <c r="R139" s="1">
        <f ca="1">IFERROR(__xludf.DUMMYFUNCTION("""COMPUTED_VALUE"""),105.3)</f>
        <v>105.3</v>
      </c>
      <c r="S139" s="1">
        <f ca="1">IFERROR(__xludf.DUMMYFUNCTION("""COMPUTED_VALUE"""),278)</f>
        <v>278</v>
      </c>
      <c r="T139" s="1" t="str">
        <f ca="1">IFERROR(__xludf.DUMMYFUNCTION("""COMPUTED_VALUE"""),"+2.40")</f>
        <v>+2.40</v>
      </c>
      <c r="U139" s="1">
        <f ca="1">IFERROR(__xludf.DUMMYFUNCTION("""COMPUTED_VALUE"""),94)</f>
        <v>94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IFERROR(__xludf.DUMMYFUNCTION("""COMPUTED_VALUE"""),"Northwestern")</f>
        <v>Northwestern</v>
      </c>
      <c r="C140" s="1" t="str">
        <f ca="1">IFERROR(__xludf.DUMMYFUNCTION("""COMPUTED_VALUE"""),"B10")</f>
        <v>B10</v>
      </c>
      <c r="D140" s="1" t="str">
        <f ca="1">IFERROR(__xludf.DUMMYFUNCTION("""COMPUTED_VALUE"""),"13-19")</f>
        <v>13-19</v>
      </c>
      <c r="E140" s="1" t="str">
        <f ca="1">IFERROR(__xludf.DUMMYFUNCTION("""COMPUTED_VALUE"""),"+3.27")</f>
        <v>+3.27</v>
      </c>
      <c r="F140" s="1">
        <f ca="1">IFERROR(__xludf.DUMMYFUNCTION("""COMPUTED_VALUE"""),104.5)</f>
        <v>104.5</v>
      </c>
      <c r="G140" s="1">
        <f ca="1">IFERROR(__xludf.DUMMYFUNCTION("""COMPUTED_VALUE"""),141)</f>
        <v>141</v>
      </c>
      <c r="H140" s="1">
        <f ca="1">IFERROR(__xludf.DUMMYFUNCTION("""COMPUTED_VALUE"""),101.2)</f>
        <v>101.2</v>
      </c>
      <c r="I140" s="1">
        <f ca="1">IFERROR(__xludf.DUMMYFUNCTION("""COMPUTED_VALUE"""),143)</f>
        <v>143</v>
      </c>
      <c r="J140" s="1">
        <f ca="1">IFERROR(__xludf.DUMMYFUNCTION("""COMPUTED_VALUE"""),60)</f>
        <v>60</v>
      </c>
      <c r="K140" s="1">
        <f ca="1">IFERROR(__xludf.DUMMYFUNCTION("""COMPUTED_VALUE"""),323)</f>
        <v>323</v>
      </c>
      <c r="L140" s="1">
        <f ca="1">IFERROR(__xludf.DUMMYFUNCTION("""COMPUTED_VALUE"""),-0.022)</f>
        <v>-2.1999999999999999E-2</v>
      </c>
      <c r="M140" s="1">
        <f ca="1">IFERROR(__xludf.DUMMYFUNCTION("""COMPUTED_VALUE"""),241)</f>
        <v>241</v>
      </c>
      <c r="N140" s="1" t="str">
        <f ca="1">IFERROR(__xludf.DUMMYFUNCTION("""COMPUTED_VALUE"""),"+8.62")</f>
        <v>+8.62</v>
      </c>
      <c r="O140" s="1">
        <f ca="1">IFERROR(__xludf.DUMMYFUNCTION("""COMPUTED_VALUE"""),18)</f>
        <v>18</v>
      </c>
      <c r="P140" s="1">
        <f ca="1">IFERROR(__xludf.DUMMYFUNCTION("""COMPUTED_VALUE"""),106.9)</f>
        <v>106.9</v>
      </c>
      <c r="Q140" s="1">
        <f ca="1">IFERROR(__xludf.DUMMYFUNCTION("""COMPUTED_VALUE"""),18)</f>
        <v>18</v>
      </c>
      <c r="R140" s="1">
        <f ca="1">IFERROR(__xludf.DUMMYFUNCTION("""COMPUTED_VALUE"""),98.2)</f>
        <v>98.2</v>
      </c>
      <c r="S140" s="1">
        <f ca="1">IFERROR(__xludf.DUMMYFUNCTION("""COMPUTED_VALUE"""),21)</f>
        <v>21</v>
      </c>
      <c r="T140" s="1">
        <f ca="1">IFERROR(__xludf.DUMMYFUNCTION("""COMPUTED_VALUE"""),-5.6)</f>
        <v>-5.6</v>
      </c>
      <c r="U140" s="1">
        <f ca="1">IFERROR(__xludf.DUMMYFUNCTION("""COMPUTED_VALUE"""),303)</f>
        <v>303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IFERROR(__xludf.DUMMYFUNCTION("""COMPUTED_VALUE"""),"George Mason")</f>
        <v>George Mason</v>
      </c>
      <c r="C141" s="1" t="str">
        <f ca="1">IFERROR(__xludf.DUMMYFUNCTION("""COMPUTED_VALUE"""),"CAA")</f>
        <v>CAA</v>
      </c>
      <c r="D141" s="1" t="str">
        <f ca="1">IFERROR(__xludf.DUMMYFUNCTION("""COMPUTED_VALUE"""),"22-16")</f>
        <v>22-16</v>
      </c>
      <c r="E141" s="1" t="str">
        <f ca="1">IFERROR(__xludf.DUMMYFUNCTION("""COMPUTED_VALUE"""),"+3.21")</f>
        <v>+3.21</v>
      </c>
      <c r="F141" s="1">
        <f ca="1">IFERROR(__xludf.DUMMYFUNCTION("""COMPUTED_VALUE"""),103.5)</f>
        <v>103.5</v>
      </c>
      <c r="G141" s="1">
        <f ca="1">IFERROR(__xludf.DUMMYFUNCTION("""COMPUTED_VALUE"""),152)</f>
        <v>152</v>
      </c>
      <c r="H141" s="1">
        <f ca="1">IFERROR(__xludf.DUMMYFUNCTION("""COMPUTED_VALUE"""),100.3)</f>
        <v>100.3</v>
      </c>
      <c r="I141" s="1">
        <f ca="1">IFERROR(__xludf.DUMMYFUNCTION("""COMPUTED_VALUE"""),130)</f>
        <v>130</v>
      </c>
      <c r="J141" s="1">
        <f ca="1">IFERROR(__xludf.DUMMYFUNCTION("""COMPUTED_VALUE"""),65.6)</f>
        <v>65.599999999999994</v>
      </c>
      <c r="K141" s="1">
        <f ca="1">IFERROR(__xludf.DUMMYFUNCTION("""COMPUTED_VALUE"""),123)</f>
        <v>123</v>
      </c>
      <c r="L141" s="1">
        <f ca="1">IFERROR(__xludf.DUMMYFUNCTION("""COMPUTED_VALUE"""),-0.007)</f>
        <v>-7.0000000000000001E-3</v>
      </c>
      <c r="M141" s="1">
        <f ca="1">IFERROR(__xludf.DUMMYFUNCTION("""COMPUTED_VALUE"""),199)</f>
        <v>199</v>
      </c>
      <c r="N141" s="1">
        <f ca="1">IFERROR(__xludf.DUMMYFUNCTION("""COMPUTED_VALUE"""),-0.41)</f>
        <v>-0.41</v>
      </c>
      <c r="O141" s="1">
        <f ca="1">IFERROR(__xludf.DUMMYFUNCTION("""COMPUTED_VALUE"""),149)</f>
        <v>149</v>
      </c>
      <c r="P141" s="1">
        <f ca="1">IFERROR(__xludf.DUMMYFUNCTION("""COMPUTED_VALUE"""),103.2)</f>
        <v>103.2</v>
      </c>
      <c r="Q141" s="1">
        <f ca="1">IFERROR(__xludf.DUMMYFUNCTION("""COMPUTED_VALUE"""),135)</f>
        <v>135</v>
      </c>
      <c r="R141" s="1">
        <f ca="1">IFERROR(__xludf.DUMMYFUNCTION("""COMPUTED_VALUE"""),103.6)</f>
        <v>103.6</v>
      </c>
      <c r="S141" s="1">
        <f ca="1">IFERROR(__xludf.DUMMYFUNCTION("""COMPUTED_VALUE"""),195)</f>
        <v>195</v>
      </c>
      <c r="T141" s="1" t="str">
        <f ca="1">IFERROR(__xludf.DUMMYFUNCTION("""COMPUTED_VALUE"""),"+5.15")</f>
        <v>+5.15</v>
      </c>
      <c r="U141" s="1">
        <f ca="1">IFERROR(__xludf.DUMMYFUNCTION("""COMPUTED_VALUE"""),37)</f>
        <v>37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IFERROR(__xludf.DUMMYFUNCTION("""COMPUTED_VALUE"""),"San Francisco")</f>
        <v>San Francisco</v>
      </c>
      <c r="C142" s="1" t="str">
        <f ca="1">IFERROR(__xludf.DUMMYFUNCTION("""COMPUTED_VALUE"""),"WCC")</f>
        <v>WCC</v>
      </c>
      <c r="D142" s="1" t="str">
        <f ca="1">IFERROR(__xludf.DUMMYFUNCTION("""COMPUTED_VALUE"""),"15-16")</f>
        <v>15-16</v>
      </c>
      <c r="E142" s="1" t="str">
        <f ca="1">IFERROR(__xludf.DUMMYFUNCTION("""COMPUTED_VALUE"""),"+3.13")</f>
        <v>+3.13</v>
      </c>
      <c r="F142" s="1">
        <f ca="1">IFERROR(__xludf.DUMMYFUNCTION("""COMPUTED_VALUE"""),107.1)</f>
        <v>107.1</v>
      </c>
      <c r="G142" s="1">
        <f ca="1">IFERROR(__xludf.DUMMYFUNCTION("""COMPUTED_VALUE"""),95)</f>
        <v>95</v>
      </c>
      <c r="H142" s="1">
        <f ca="1">IFERROR(__xludf.DUMMYFUNCTION("""COMPUTED_VALUE"""),104)</f>
        <v>104</v>
      </c>
      <c r="I142" s="1">
        <f ca="1">IFERROR(__xludf.DUMMYFUNCTION("""COMPUTED_VALUE"""),198)</f>
        <v>198</v>
      </c>
      <c r="J142" s="1">
        <f ca="1">IFERROR(__xludf.DUMMYFUNCTION("""COMPUTED_VALUE"""),65.5)</f>
        <v>65.5</v>
      </c>
      <c r="K142" s="1">
        <f ca="1">IFERROR(__xludf.DUMMYFUNCTION("""COMPUTED_VALUE"""),131)</f>
        <v>131</v>
      </c>
      <c r="L142" s="1">
        <f ca="1">IFERROR(__xludf.DUMMYFUNCTION("""COMPUTED_VALUE"""),-0.041)</f>
        <v>-4.1000000000000002E-2</v>
      </c>
      <c r="M142" s="1">
        <f ca="1">IFERROR(__xludf.DUMMYFUNCTION("""COMPUTED_VALUE"""),279)</f>
        <v>279</v>
      </c>
      <c r="N142" s="1" t="str">
        <f ca="1">IFERROR(__xludf.DUMMYFUNCTION("""COMPUTED_VALUE"""),"+2.95")</f>
        <v>+2.95</v>
      </c>
      <c r="O142" s="1">
        <f ca="1">IFERROR(__xludf.DUMMYFUNCTION("""COMPUTED_VALUE"""),112)</f>
        <v>112</v>
      </c>
      <c r="P142" s="1">
        <f ca="1">IFERROR(__xludf.DUMMYFUNCTION("""COMPUTED_VALUE"""),104.3)</f>
        <v>104.3</v>
      </c>
      <c r="Q142" s="1">
        <f ca="1">IFERROR(__xludf.DUMMYFUNCTION("""COMPUTED_VALUE"""),104)</f>
        <v>104</v>
      </c>
      <c r="R142" s="1">
        <f ca="1">IFERROR(__xludf.DUMMYFUNCTION("""COMPUTED_VALUE"""),101.4)</f>
        <v>101.4</v>
      </c>
      <c r="S142" s="1">
        <f ca="1">IFERROR(__xludf.DUMMYFUNCTION("""COMPUTED_VALUE"""),109)</f>
        <v>109</v>
      </c>
      <c r="T142" s="1" t="str">
        <f ca="1">IFERROR(__xludf.DUMMYFUNCTION("""COMPUTED_VALUE"""),"+0.03")</f>
        <v>+0.03</v>
      </c>
      <c r="U142" s="1">
        <f ca="1">IFERROR(__xludf.DUMMYFUNCTION("""COMPUTED_VALUE"""),154)</f>
        <v>154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IFERROR(__xludf.DUMMYFUNCTION("""COMPUTED_VALUE"""),"Vermont")</f>
        <v>Vermont</v>
      </c>
      <c r="C143" s="1" t="str">
        <f ca="1">IFERROR(__xludf.DUMMYFUNCTION("""COMPUTED_VALUE"""),"AE")</f>
        <v>AE</v>
      </c>
      <c r="D143" s="1" t="str">
        <f ca="1">IFERROR(__xludf.DUMMYFUNCTION("""COMPUTED_VALUE"""),"21-12")</f>
        <v>21-12</v>
      </c>
      <c r="E143" s="1" t="str">
        <f ca="1">IFERROR(__xludf.DUMMYFUNCTION("""COMPUTED_VALUE"""),"+3.12")</f>
        <v>+3.12</v>
      </c>
      <c r="F143" s="1">
        <f ca="1">IFERROR(__xludf.DUMMYFUNCTION("""COMPUTED_VALUE"""),103)</f>
        <v>103</v>
      </c>
      <c r="G143" s="1">
        <f ca="1">IFERROR(__xludf.DUMMYFUNCTION("""COMPUTED_VALUE"""),159)</f>
        <v>159</v>
      </c>
      <c r="H143" s="1">
        <f ca="1">IFERROR(__xludf.DUMMYFUNCTION("""COMPUTED_VALUE"""),99.9)</f>
        <v>99.9</v>
      </c>
      <c r="I143" s="1">
        <f ca="1">IFERROR(__xludf.DUMMYFUNCTION("""COMPUTED_VALUE"""),126)</f>
        <v>126</v>
      </c>
      <c r="J143" s="1">
        <f ca="1">IFERROR(__xludf.DUMMYFUNCTION("""COMPUTED_VALUE"""),60.9)</f>
        <v>60.9</v>
      </c>
      <c r="K143" s="1">
        <f ca="1">IFERROR(__xludf.DUMMYFUNCTION("""COMPUTED_VALUE"""),306)</f>
        <v>306</v>
      </c>
      <c r="L143" s="1">
        <f ca="1">IFERROR(__xludf.DUMMYFUNCTION("""COMPUTED_VALUE"""),-0.006)</f>
        <v>-6.0000000000000001E-3</v>
      </c>
      <c r="M143" s="1">
        <f ca="1">IFERROR(__xludf.DUMMYFUNCTION("""COMPUTED_VALUE"""),195)</f>
        <v>195</v>
      </c>
      <c r="N143" s="1">
        <f ca="1">IFERROR(__xludf.DUMMYFUNCTION("""COMPUTED_VALUE"""),-4.47)</f>
        <v>-4.47</v>
      </c>
      <c r="O143" s="1">
        <f ca="1">IFERROR(__xludf.DUMMYFUNCTION("""COMPUTED_VALUE"""),259)</f>
        <v>259</v>
      </c>
      <c r="P143" s="1">
        <f ca="1">IFERROR(__xludf.DUMMYFUNCTION("""COMPUTED_VALUE"""),99.9)</f>
        <v>99.9</v>
      </c>
      <c r="Q143" s="1">
        <f ca="1">IFERROR(__xludf.DUMMYFUNCTION("""COMPUTED_VALUE"""),286)</f>
        <v>286</v>
      </c>
      <c r="R143" s="1">
        <f ca="1">IFERROR(__xludf.DUMMYFUNCTION("""COMPUTED_VALUE"""),104.3)</f>
        <v>104.3</v>
      </c>
      <c r="S143" s="1">
        <f ca="1">IFERROR(__xludf.DUMMYFUNCTION("""COMPUTED_VALUE"""),236)</f>
        <v>236</v>
      </c>
      <c r="T143" s="1">
        <f ca="1">IFERROR(__xludf.DUMMYFUNCTION("""COMPUTED_VALUE"""),-1.87)</f>
        <v>-1.87</v>
      </c>
      <c r="U143" s="1">
        <f ca="1">IFERROR(__xludf.DUMMYFUNCTION("""COMPUTED_VALUE"""),220)</f>
        <v>220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IFERROR(__xludf.DUMMYFUNCTION("""COMPUTED_VALUE"""),"Nebraska")</f>
        <v>Nebraska</v>
      </c>
      <c r="C144" s="1" t="str">
        <f ca="1">IFERROR(__xludf.DUMMYFUNCTION("""COMPUTED_VALUE"""),"B10")</f>
        <v>B10</v>
      </c>
      <c r="D144" s="1" t="str">
        <f ca="1">IFERROR(__xludf.DUMMYFUNCTION("""COMPUTED_VALUE"""),"15-18")</f>
        <v>15-18</v>
      </c>
      <c r="E144" s="1" t="str">
        <f ca="1">IFERROR(__xludf.DUMMYFUNCTION("""COMPUTED_VALUE"""),"+3.03")</f>
        <v>+3.03</v>
      </c>
      <c r="F144" s="1">
        <f ca="1">IFERROR(__xludf.DUMMYFUNCTION("""COMPUTED_VALUE"""),102.1)</f>
        <v>102.1</v>
      </c>
      <c r="G144" s="1">
        <f ca="1">IFERROR(__xludf.DUMMYFUNCTION("""COMPUTED_VALUE"""),181)</f>
        <v>181</v>
      </c>
      <c r="H144" s="1">
        <f ca="1">IFERROR(__xludf.DUMMYFUNCTION("""COMPUTED_VALUE"""),99.1)</f>
        <v>99.1</v>
      </c>
      <c r="I144" s="1">
        <f ca="1">IFERROR(__xludf.DUMMYFUNCTION("""COMPUTED_VALUE"""),107)</f>
        <v>107</v>
      </c>
      <c r="J144" s="1">
        <f ca="1">IFERROR(__xludf.DUMMYFUNCTION("""COMPUTED_VALUE"""),60.5)</f>
        <v>60.5</v>
      </c>
      <c r="K144" s="1">
        <f ca="1">IFERROR(__xludf.DUMMYFUNCTION("""COMPUTED_VALUE"""),318)</f>
        <v>318</v>
      </c>
      <c r="L144" s="1" t="str">
        <f ca="1">IFERROR(__xludf.DUMMYFUNCTION("""COMPUTED_VALUE"""),"+.104")</f>
        <v>+.104</v>
      </c>
      <c r="M144" s="1">
        <f ca="1">IFERROR(__xludf.DUMMYFUNCTION("""COMPUTED_VALUE"""),7)</f>
        <v>7</v>
      </c>
      <c r="N144" s="1" t="str">
        <f ca="1">IFERROR(__xludf.DUMMYFUNCTION("""COMPUTED_VALUE"""),"+10.22")</f>
        <v>+10.22</v>
      </c>
      <c r="O144" s="1">
        <f ca="1">IFERROR(__xludf.DUMMYFUNCTION("""COMPUTED_VALUE"""),8)</f>
        <v>8</v>
      </c>
      <c r="P144" s="1">
        <f ca="1">IFERROR(__xludf.DUMMYFUNCTION("""COMPUTED_VALUE"""),108)</f>
        <v>108</v>
      </c>
      <c r="Q144" s="1">
        <f ca="1">IFERROR(__xludf.DUMMYFUNCTION("""COMPUTED_VALUE"""),8)</f>
        <v>8</v>
      </c>
      <c r="R144" s="1">
        <f ca="1">IFERROR(__xludf.DUMMYFUNCTION("""COMPUTED_VALUE"""),97.8)</f>
        <v>97.8</v>
      </c>
      <c r="S144" s="1">
        <f ca="1">IFERROR(__xludf.DUMMYFUNCTION("""COMPUTED_VALUE"""),15)</f>
        <v>15</v>
      </c>
      <c r="T144" s="1">
        <f ca="1">IFERROR(__xludf.DUMMYFUNCTION("""COMPUTED_VALUE"""),-1.29)</f>
        <v>-1.29</v>
      </c>
      <c r="U144" s="1">
        <f ca="1">IFERROR(__xludf.DUMMYFUNCTION("""COMPUTED_VALUE"""),202)</f>
        <v>202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IFERROR(__xludf.DUMMYFUNCTION("""COMPUTED_VALUE"""),"Wake Forest")</f>
        <v>Wake Forest</v>
      </c>
      <c r="C145" s="1" t="str">
        <f ca="1">IFERROR(__xludf.DUMMYFUNCTION("""COMPUTED_VALUE"""),"ACC")</f>
        <v>ACC</v>
      </c>
      <c r="D145" s="1" t="str">
        <f ca="1">IFERROR(__xludf.DUMMYFUNCTION("""COMPUTED_VALUE"""),"13-18")</f>
        <v>13-18</v>
      </c>
      <c r="E145" s="1" t="str">
        <f ca="1">IFERROR(__xludf.DUMMYFUNCTION("""COMPUTED_VALUE"""),"+2.88")</f>
        <v>+2.88</v>
      </c>
      <c r="F145" s="1">
        <f ca="1">IFERROR(__xludf.DUMMYFUNCTION("""COMPUTED_VALUE"""),101.6)</f>
        <v>101.6</v>
      </c>
      <c r="G145" s="1">
        <f ca="1">IFERROR(__xludf.DUMMYFUNCTION("""COMPUTED_VALUE"""),191)</f>
        <v>191</v>
      </c>
      <c r="H145" s="1">
        <f ca="1">IFERROR(__xludf.DUMMYFUNCTION("""COMPUTED_VALUE"""),98.7)</f>
        <v>98.7</v>
      </c>
      <c r="I145" s="1">
        <f ca="1">IFERROR(__xludf.DUMMYFUNCTION("""COMPUTED_VALUE"""),102)</f>
        <v>102</v>
      </c>
      <c r="J145" s="1">
        <f ca="1">IFERROR(__xludf.DUMMYFUNCTION("""COMPUTED_VALUE"""),67.8)</f>
        <v>67.8</v>
      </c>
      <c r="K145" s="1">
        <f ca="1">IFERROR(__xludf.DUMMYFUNCTION("""COMPUTED_VALUE"""),45)</f>
        <v>45</v>
      </c>
      <c r="L145" s="1">
        <f ca="1">IFERROR(__xludf.DUMMYFUNCTION("""COMPUTED_VALUE"""),-0.006)</f>
        <v>-6.0000000000000001E-3</v>
      </c>
      <c r="M145" s="1">
        <f ca="1">IFERROR(__xludf.DUMMYFUNCTION("""COMPUTED_VALUE"""),196)</f>
        <v>196</v>
      </c>
      <c r="N145" s="1" t="str">
        <f ca="1">IFERROR(__xludf.DUMMYFUNCTION("""COMPUTED_VALUE"""),"+5.82")</f>
        <v>+5.82</v>
      </c>
      <c r="O145" s="1">
        <f ca="1">IFERROR(__xludf.DUMMYFUNCTION("""COMPUTED_VALUE"""),64)</f>
        <v>64</v>
      </c>
      <c r="P145" s="1">
        <f ca="1">IFERROR(__xludf.DUMMYFUNCTION("""COMPUTED_VALUE"""),106.4)</f>
        <v>106.4</v>
      </c>
      <c r="Q145" s="1">
        <f ca="1">IFERROR(__xludf.DUMMYFUNCTION("""COMPUTED_VALUE"""),32)</f>
        <v>32</v>
      </c>
      <c r="R145" s="1">
        <f ca="1">IFERROR(__xludf.DUMMYFUNCTION("""COMPUTED_VALUE"""),100.5)</f>
        <v>100.5</v>
      </c>
      <c r="S145" s="1">
        <f ca="1">IFERROR(__xludf.DUMMYFUNCTION("""COMPUTED_VALUE"""),90)</f>
        <v>90</v>
      </c>
      <c r="T145" s="1">
        <f ca="1">IFERROR(__xludf.DUMMYFUNCTION("""COMPUTED_VALUE"""),-3.18)</f>
        <v>-3.18</v>
      </c>
      <c r="U145" s="1">
        <f ca="1">IFERROR(__xludf.DUMMYFUNCTION("""COMPUTED_VALUE"""),260)</f>
        <v>260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IFERROR(__xludf.DUMMYFUNCTION("""COMPUTED_VALUE"""),"Northwestern St.14")</f>
        <v>Northwestern St.14</v>
      </c>
      <c r="C146" s="1" t="str">
        <f ca="1">IFERROR(__xludf.DUMMYFUNCTION("""COMPUTED_VALUE"""),"Slnd")</f>
        <v>Slnd</v>
      </c>
      <c r="D146" s="1" t="str">
        <f ca="1">IFERROR(__xludf.DUMMYFUNCTION("""COMPUTED_VALUE"""),"23-9")</f>
        <v>23-9</v>
      </c>
      <c r="E146" s="1" t="str">
        <f ca="1">IFERROR(__xludf.DUMMYFUNCTION("""COMPUTED_VALUE"""),"+2.82")</f>
        <v>+2.82</v>
      </c>
      <c r="F146" s="1">
        <f ca="1">IFERROR(__xludf.DUMMYFUNCTION("""COMPUTED_VALUE"""),106.6)</f>
        <v>106.6</v>
      </c>
      <c r="G146" s="1">
        <f ca="1">IFERROR(__xludf.DUMMYFUNCTION("""COMPUTED_VALUE"""),106)</f>
        <v>106</v>
      </c>
      <c r="H146" s="1">
        <f ca="1">IFERROR(__xludf.DUMMYFUNCTION("""COMPUTED_VALUE"""),103.8)</f>
        <v>103.8</v>
      </c>
      <c r="I146" s="1">
        <f ca="1">IFERROR(__xludf.DUMMYFUNCTION("""COMPUTED_VALUE"""),195)</f>
        <v>195</v>
      </c>
      <c r="J146" s="1">
        <f ca="1">IFERROR(__xludf.DUMMYFUNCTION("""COMPUTED_VALUE"""),71.9)</f>
        <v>71.900000000000006</v>
      </c>
      <c r="K146" s="1">
        <f ca="1">IFERROR(__xludf.DUMMYFUNCTION("""COMPUTED_VALUE"""),1)</f>
        <v>1</v>
      </c>
      <c r="L146" s="1" t="str">
        <f ca="1">IFERROR(__xludf.DUMMYFUNCTION("""COMPUTED_VALUE"""),"+.075")</f>
        <v>+.075</v>
      </c>
      <c r="M146" s="1">
        <f ca="1">IFERROR(__xludf.DUMMYFUNCTION("""COMPUTED_VALUE"""),25)</f>
        <v>25</v>
      </c>
      <c r="N146" s="1">
        <f ca="1">IFERROR(__xludf.DUMMYFUNCTION("""COMPUTED_VALUE"""),-3.56)</f>
        <v>-3.56</v>
      </c>
      <c r="O146" s="1">
        <f ca="1">IFERROR(__xludf.DUMMYFUNCTION("""COMPUTED_VALUE"""),235)</f>
        <v>235</v>
      </c>
      <c r="P146" s="1">
        <f ca="1">IFERROR(__xludf.DUMMYFUNCTION("""COMPUTED_VALUE"""),99.6)</f>
        <v>99.6</v>
      </c>
      <c r="Q146" s="1">
        <f ca="1">IFERROR(__xludf.DUMMYFUNCTION("""COMPUTED_VALUE"""),297)</f>
        <v>297</v>
      </c>
      <c r="R146" s="1">
        <f ca="1">IFERROR(__xludf.DUMMYFUNCTION("""COMPUTED_VALUE"""),103.2)</f>
        <v>103.2</v>
      </c>
      <c r="S146" s="1">
        <f ca="1">IFERROR(__xludf.DUMMYFUNCTION("""COMPUTED_VALUE"""),179)</f>
        <v>179</v>
      </c>
      <c r="T146" s="1" t="str">
        <f ca="1">IFERROR(__xludf.DUMMYFUNCTION("""COMPUTED_VALUE"""),"+8.11")</f>
        <v>+8.11</v>
      </c>
      <c r="U146" s="1">
        <f ca="1">IFERROR(__xludf.DUMMYFUNCTION("""COMPUTED_VALUE"""),12)</f>
        <v>12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IFERROR(__xludf.DUMMYFUNCTION("""COMPUTED_VALUE"""),"Niagara7")</f>
        <v>Niagara7</v>
      </c>
      <c r="C147" s="1" t="str">
        <f ca="1">IFERROR(__xludf.DUMMYFUNCTION("""COMPUTED_VALUE"""),"MAAC")</f>
        <v>MAAC</v>
      </c>
      <c r="D147" s="1" t="str">
        <f ca="1">IFERROR(__xludf.DUMMYFUNCTION("""COMPUTED_VALUE"""),"19-14")</f>
        <v>19-14</v>
      </c>
      <c r="E147" s="1" t="str">
        <f ca="1">IFERROR(__xludf.DUMMYFUNCTION("""COMPUTED_VALUE"""),"+2.81")</f>
        <v>+2.81</v>
      </c>
      <c r="F147" s="1">
        <f ca="1">IFERROR(__xludf.DUMMYFUNCTION("""COMPUTED_VALUE"""),107)</f>
        <v>107</v>
      </c>
      <c r="G147" s="1">
        <f ca="1">IFERROR(__xludf.DUMMYFUNCTION("""COMPUTED_VALUE"""),97)</f>
        <v>97</v>
      </c>
      <c r="H147" s="1">
        <f ca="1">IFERROR(__xludf.DUMMYFUNCTION("""COMPUTED_VALUE"""),104.2)</f>
        <v>104.2</v>
      </c>
      <c r="I147" s="1">
        <f ca="1">IFERROR(__xludf.DUMMYFUNCTION("""COMPUTED_VALUE"""),202)</f>
        <v>202</v>
      </c>
      <c r="J147" s="1">
        <f ca="1">IFERROR(__xludf.DUMMYFUNCTION("""COMPUTED_VALUE"""),67.7)</f>
        <v>67.7</v>
      </c>
      <c r="K147" s="1">
        <f ca="1">IFERROR(__xludf.DUMMYFUNCTION("""COMPUTED_VALUE"""),47)</f>
        <v>47</v>
      </c>
      <c r="L147" s="1" t="str">
        <f ca="1">IFERROR(__xludf.DUMMYFUNCTION("""COMPUTED_VALUE"""),"+.012")</f>
        <v>+.012</v>
      </c>
      <c r="M147" s="1">
        <f ca="1">IFERROR(__xludf.DUMMYFUNCTION("""COMPUTED_VALUE"""),146)</f>
        <v>146</v>
      </c>
      <c r="N147" s="1">
        <f ca="1">IFERROR(__xludf.DUMMYFUNCTION("""COMPUTED_VALUE"""),-0.54)</f>
        <v>-0.54</v>
      </c>
      <c r="O147" s="1">
        <f ca="1">IFERROR(__xludf.DUMMYFUNCTION("""COMPUTED_VALUE"""),152)</f>
        <v>152</v>
      </c>
      <c r="P147" s="1">
        <f ca="1">IFERROR(__xludf.DUMMYFUNCTION("""COMPUTED_VALUE"""),102.3)</f>
        <v>102.3</v>
      </c>
      <c r="Q147" s="1">
        <f ca="1">IFERROR(__xludf.DUMMYFUNCTION("""COMPUTED_VALUE"""),166)</f>
        <v>166</v>
      </c>
      <c r="R147" s="1">
        <f ca="1">IFERROR(__xludf.DUMMYFUNCTION("""COMPUTED_VALUE"""),102.8)</f>
        <v>102.8</v>
      </c>
      <c r="S147" s="1">
        <f ca="1">IFERROR(__xludf.DUMMYFUNCTION("""COMPUTED_VALUE"""),155)</f>
        <v>155</v>
      </c>
      <c r="T147" s="1" t="str">
        <f ca="1">IFERROR(__xludf.DUMMYFUNCTION("""COMPUTED_VALUE"""),"+0.28")</f>
        <v>+0.28</v>
      </c>
      <c r="U147" s="1">
        <f ca="1">IFERROR(__xludf.DUMMYFUNCTION("""COMPUTED_VALUE"""),148)</f>
        <v>148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IFERROR(__xludf.DUMMYFUNCTION("""COMPUTED_VALUE"""),"Western Michigan")</f>
        <v>Western Michigan</v>
      </c>
      <c r="C148" s="1" t="str">
        <f ca="1">IFERROR(__xludf.DUMMYFUNCTION("""COMPUTED_VALUE"""),"MAC")</f>
        <v>MAC</v>
      </c>
      <c r="D148" s="1" t="str">
        <f ca="1">IFERROR(__xludf.DUMMYFUNCTION("""COMPUTED_VALUE"""),"22-13")</f>
        <v>22-13</v>
      </c>
      <c r="E148" s="1" t="str">
        <f ca="1">IFERROR(__xludf.DUMMYFUNCTION("""COMPUTED_VALUE"""),"+2.63")</f>
        <v>+2.63</v>
      </c>
      <c r="F148" s="1">
        <f ca="1">IFERROR(__xludf.DUMMYFUNCTION("""COMPUTED_VALUE"""),102.6)</f>
        <v>102.6</v>
      </c>
      <c r="G148" s="1">
        <f ca="1">IFERROR(__xludf.DUMMYFUNCTION("""COMPUTED_VALUE"""),170)</f>
        <v>170</v>
      </c>
      <c r="H148" s="1">
        <f ca="1">IFERROR(__xludf.DUMMYFUNCTION("""COMPUTED_VALUE"""),100)</f>
        <v>100</v>
      </c>
      <c r="I148" s="1">
        <f ca="1">IFERROR(__xludf.DUMMYFUNCTION("""COMPUTED_VALUE"""),127)</f>
        <v>127</v>
      </c>
      <c r="J148" s="1">
        <f ca="1">IFERROR(__xludf.DUMMYFUNCTION("""COMPUTED_VALUE"""),65)</f>
        <v>65</v>
      </c>
      <c r="K148" s="1">
        <f ca="1">IFERROR(__xludf.DUMMYFUNCTION("""COMPUTED_VALUE"""),153)</f>
        <v>153</v>
      </c>
      <c r="L148" s="1" t="str">
        <f ca="1">IFERROR(__xludf.DUMMYFUNCTION("""COMPUTED_VALUE"""),"+.062")</f>
        <v>+.062</v>
      </c>
      <c r="M148" s="1">
        <f ca="1">IFERROR(__xludf.DUMMYFUNCTION("""COMPUTED_VALUE"""),35)</f>
        <v>35</v>
      </c>
      <c r="N148" s="1">
        <f ca="1">IFERROR(__xludf.DUMMYFUNCTION("""COMPUTED_VALUE"""),-1.42)</f>
        <v>-1.42</v>
      </c>
      <c r="O148" s="1">
        <f ca="1">IFERROR(__xludf.DUMMYFUNCTION("""COMPUTED_VALUE"""),170)</f>
        <v>170</v>
      </c>
      <c r="P148" s="1">
        <f ca="1">IFERROR(__xludf.DUMMYFUNCTION("""COMPUTED_VALUE"""),101.8)</f>
        <v>101.8</v>
      </c>
      <c r="Q148" s="1">
        <f ca="1">IFERROR(__xludf.DUMMYFUNCTION("""COMPUTED_VALUE"""),191)</f>
        <v>191</v>
      </c>
      <c r="R148" s="1">
        <f ca="1">IFERROR(__xludf.DUMMYFUNCTION("""COMPUTED_VALUE"""),103.2)</f>
        <v>103.2</v>
      </c>
      <c r="S148" s="1">
        <f ca="1">IFERROR(__xludf.DUMMYFUNCTION("""COMPUTED_VALUE"""),180)</f>
        <v>180</v>
      </c>
      <c r="T148" s="1" t="str">
        <f ca="1">IFERROR(__xludf.DUMMYFUNCTION("""COMPUTED_VALUE"""),"+0.34")</f>
        <v>+0.34</v>
      </c>
      <c r="U148" s="1">
        <f ca="1">IFERROR(__xludf.DUMMYFUNCTION("""COMPUTED_VALUE"""),142)</f>
        <v>142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IFERROR(__xludf.DUMMYFUNCTION("""COMPUTED_VALUE"""),"South Florida")</f>
        <v>South Florida</v>
      </c>
      <c r="C149" s="1" t="str">
        <f ca="1">IFERROR(__xludf.DUMMYFUNCTION("""COMPUTED_VALUE"""),"BE")</f>
        <v>BE</v>
      </c>
      <c r="D149" s="2">
        <f ca="1">IFERROR(__xludf.DUMMYFUNCTION("""COMPUTED_VALUE"""),44914)</f>
        <v>44914</v>
      </c>
      <c r="E149" s="1" t="str">
        <f ca="1">IFERROR(__xludf.DUMMYFUNCTION("""COMPUTED_VALUE"""),"+2.63")</f>
        <v>+2.63</v>
      </c>
      <c r="F149" s="1">
        <f ca="1">IFERROR(__xludf.DUMMYFUNCTION("""COMPUTED_VALUE"""),102.4)</f>
        <v>102.4</v>
      </c>
      <c r="G149" s="1">
        <f ca="1">IFERROR(__xludf.DUMMYFUNCTION("""COMPUTED_VALUE"""),176)</f>
        <v>176</v>
      </c>
      <c r="H149" s="1">
        <f ca="1">IFERROR(__xludf.DUMMYFUNCTION("""COMPUTED_VALUE"""),99.7)</f>
        <v>99.7</v>
      </c>
      <c r="I149" s="1">
        <f ca="1">IFERROR(__xludf.DUMMYFUNCTION("""COMPUTED_VALUE"""),121)</f>
        <v>121</v>
      </c>
      <c r="J149" s="1">
        <f ca="1">IFERROR(__xludf.DUMMYFUNCTION("""COMPUTED_VALUE"""),58.7)</f>
        <v>58.7</v>
      </c>
      <c r="K149" s="1">
        <f ca="1">IFERROR(__xludf.DUMMYFUNCTION("""COMPUTED_VALUE"""),341)</f>
        <v>341</v>
      </c>
      <c r="L149" s="1">
        <f ca="1">IFERROR(__xludf.DUMMYFUNCTION("""COMPUTED_VALUE"""),-0.007)</f>
        <v>-7.0000000000000001E-3</v>
      </c>
      <c r="M149" s="1">
        <f ca="1">IFERROR(__xludf.DUMMYFUNCTION("""COMPUTED_VALUE"""),198)</f>
        <v>198</v>
      </c>
      <c r="N149" s="1" t="str">
        <f ca="1">IFERROR(__xludf.DUMMYFUNCTION("""COMPUTED_VALUE"""),"+7.52")</f>
        <v>+7.52</v>
      </c>
      <c r="O149" s="1">
        <f ca="1">IFERROR(__xludf.DUMMYFUNCTION("""COMPUTED_VALUE"""),31)</f>
        <v>31</v>
      </c>
      <c r="P149" s="1">
        <f ca="1">IFERROR(__xludf.DUMMYFUNCTION("""COMPUTED_VALUE"""),105.8)</f>
        <v>105.8</v>
      </c>
      <c r="Q149" s="1">
        <f ca="1">IFERROR(__xludf.DUMMYFUNCTION("""COMPUTED_VALUE"""),55)</f>
        <v>55</v>
      </c>
      <c r="R149" s="1">
        <f ca="1">IFERROR(__xludf.DUMMYFUNCTION("""COMPUTED_VALUE"""),98.3)</f>
        <v>98.3</v>
      </c>
      <c r="S149" s="1">
        <f ca="1">IFERROR(__xludf.DUMMYFUNCTION("""COMPUTED_VALUE"""),22)</f>
        <v>22</v>
      </c>
      <c r="T149" s="1">
        <f ca="1">IFERROR(__xludf.DUMMYFUNCTION("""COMPUTED_VALUE"""),-3.98)</f>
        <v>-3.98</v>
      </c>
      <c r="U149" s="1">
        <f ca="1">IFERROR(__xludf.DUMMYFUNCTION("""COMPUTED_VALUE"""),274)</f>
        <v>274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IFERROR(__xludf.DUMMYFUNCTION("""COMPUTED_VALUE"""),"Robert Morris8")</f>
        <v>Robert Morris8</v>
      </c>
      <c r="C150" s="1" t="str">
        <f ca="1">IFERROR(__xludf.DUMMYFUNCTION("""COMPUTED_VALUE"""),"NEC")</f>
        <v>NEC</v>
      </c>
      <c r="D150" s="1" t="str">
        <f ca="1">IFERROR(__xludf.DUMMYFUNCTION("""COMPUTED_VALUE"""),"24-11")</f>
        <v>24-11</v>
      </c>
      <c r="E150" s="1" t="str">
        <f ca="1">IFERROR(__xludf.DUMMYFUNCTION("""COMPUTED_VALUE"""),"+2.28")</f>
        <v>+2.28</v>
      </c>
      <c r="F150" s="1">
        <f ca="1">IFERROR(__xludf.DUMMYFUNCTION("""COMPUTED_VALUE"""),105.1)</f>
        <v>105.1</v>
      </c>
      <c r="G150" s="1">
        <f ca="1">IFERROR(__xludf.DUMMYFUNCTION("""COMPUTED_VALUE"""),130)</f>
        <v>130</v>
      </c>
      <c r="H150" s="1">
        <f ca="1">IFERROR(__xludf.DUMMYFUNCTION("""COMPUTED_VALUE"""),102.9)</f>
        <v>102.9</v>
      </c>
      <c r="I150" s="1">
        <f ca="1">IFERROR(__xludf.DUMMYFUNCTION("""COMPUTED_VALUE"""),174)</f>
        <v>174</v>
      </c>
      <c r="J150" s="1">
        <f ca="1">IFERROR(__xludf.DUMMYFUNCTION("""COMPUTED_VALUE"""),63.3)</f>
        <v>63.3</v>
      </c>
      <c r="K150" s="1">
        <f ca="1">IFERROR(__xludf.DUMMYFUNCTION("""COMPUTED_VALUE"""),226)</f>
        <v>226</v>
      </c>
      <c r="L150" s="1" t="str">
        <f ca="1">IFERROR(__xludf.DUMMYFUNCTION("""COMPUTED_VALUE"""),"+.038")</f>
        <v>+.038</v>
      </c>
      <c r="M150" s="1">
        <f ca="1">IFERROR(__xludf.DUMMYFUNCTION("""COMPUTED_VALUE"""),88)</f>
        <v>88</v>
      </c>
      <c r="N150" s="1">
        <f ca="1">IFERROR(__xludf.DUMMYFUNCTION("""COMPUTED_VALUE"""),-5.77)</f>
        <v>-5.77</v>
      </c>
      <c r="O150" s="1">
        <f ca="1">IFERROR(__xludf.DUMMYFUNCTION("""COMPUTED_VALUE"""),294)</f>
        <v>294</v>
      </c>
      <c r="P150" s="1">
        <f ca="1">IFERROR(__xludf.DUMMYFUNCTION("""COMPUTED_VALUE"""),100.4)</f>
        <v>100.4</v>
      </c>
      <c r="Q150" s="1">
        <f ca="1">IFERROR(__xludf.DUMMYFUNCTION("""COMPUTED_VALUE"""),258)</f>
        <v>258</v>
      </c>
      <c r="R150" s="1">
        <f ca="1">IFERROR(__xludf.DUMMYFUNCTION("""COMPUTED_VALUE"""),106.2)</f>
        <v>106.2</v>
      </c>
      <c r="S150" s="1">
        <f ca="1">IFERROR(__xludf.DUMMYFUNCTION("""COMPUTED_VALUE"""),317)</f>
        <v>317</v>
      </c>
      <c r="T150" s="1">
        <f ca="1">IFERROR(__xludf.DUMMYFUNCTION("""COMPUTED_VALUE"""),-1.83)</f>
        <v>-1.83</v>
      </c>
      <c r="U150" s="1">
        <f ca="1">IFERROR(__xludf.DUMMYFUNCTION("""COMPUTED_VALUE"""),217)</f>
        <v>217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IFERROR(__xludf.DUMMYFUNCTION("""COMPUTED_VALUE"""),"Boston University")</f>
        <v>Boston University</v>
      </c>
      <c r="C151" s="1" t="str">
        <f ca="1">IFERROR(__xludf.DUMMYFUNCTION("""COMPUTED_VALUE"""),"AE")</f>
        <v>AE</v>
      </c>
      <c r="D151" s="1" t="str">
        <f ca="1">IFERROR(__xludf.DUMMYFUNCTION("""COMPUTED_VALUE"""),"17-13")</f>
        <v>17-13</v>
      </c>
      <c r="E151" s="1" t="str">
        <f ca="1">IFERROR(__xludf.DUMMYFUNCTION("""COMPUTED_VALUE"""),"+2.23")</f>
        <v>+2.23</v>
      </c>
      <c r="F151" s="1">
        <f ca="1">IFERROR(__xludf.DUMMYFUNCTION("""COMPUTED_VALUE"""),105.3)</f>
        <v>105.3</v>
      </c>
      <c r="G151" s="1">
        <f ca="1">IFERROR(__xludf.DUMMYFUNCTION("""COMPUTED_VALUE"""),127)</f>
        <v>127</v>
      </c>
      <c r="H151" s="1">
        <f ca="1">IFERROR(__xludf.DUMMYFUNCTION("""COMPUTED_VALUE"""),103)</f>
        <v>103</v>
      </c>
      <c r="I151" s="1">
        <f ca="1">IFERROR(__xludf.DUMMYFUNCTION("""COMPUTED_VALUE"""),178)</f>
        <v>178</v>
      </c>
      <c r="J151" s="1">
        <f ca="1">IFERROR(__xludf.DUMMYFUNCTION("""COMPUTED_VALUE"""),64.4)</f>
        <v>64.400000000000006</v>
      </c>
      <c r="K151" s="1">
        <f ca="1">IFERROR(__xludf.DUMMYFUNCTION("""COMPUTED_VALUE"""),185)</f>
        <v>185</v>
      </c>
      <c r="L151" s="1">
        <f ca="1">IFERROR(__xludf.DUMMYFUNCTION("""COMPUTED_VALUE"""),-0.036)</f>
        <v>-3.5999999999999997E-2</v>
      </c>
      <c r="M151" s="1">
        <f ca="1">IFERROR(__xludf.DUMMYFUNCTION("""COMPUTED_VALUE"""),272)</f>
        <v>272</v>
      </c>
      <c r="N151" s="1">
        <f ca="1">IFERROR(__xludf.DUMMYFUNCTION("""COMPUTED_VALUE"""),-3.12)</f>
        <v>-3.12</v>
      </c>
      <c r="O151" s="1">
        <f ca="1">IFERROR(__xludf.DUMMYFUNCTION("""COMPUTED_VALUE"""),223)</f>
        <v>223</v>
      </c>
      <c r="P151" s="1">
        <f ca="1">IFERROR(__xludf.DUMMYFUNCTION("""COMPUTED_VALUE"""),99.6)</f>
        <v>99.6</v>
      </c>
      <c r="Q151" s="1">
        <f ca="1">IFERROR(__xludf.DUMMYFUNCTION("""COMPUTED_VALUE"""),294)</f>
        <v>294</v>
      </c>
      <c r="R151" s="1">
        <f ca="1">IFERROR(__xludf.DUMMYFUNCTION("""COMPUTED_VALUE"""),102.8)</f>
        <v>102.8</v>
      </c>
      <c r="S151" s="1">
        <f ca="1">IFERROR(__xludf.DUMMYFUNCTION("""COMPUTED_VALUE"""),153)</f>
        <v>153</v>
      </c>
      <c r="T151" s="1">
        <f ca="1">IFERROR(__xludf.DUMMYFUNCTION("""COMPUTED_VALUE"""),-0.08)</f>
        <v>-0.08</v>
      </c>
      <c r="U151" s="1">
        <f ca="1">IFERROR(__xludf.DUMMYFUNCTION("""COMPUTED_VALUE"""),157)</f>
        <v>157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IFERROR(__xludf.DUMMYFUNCTION("""COMPUTED_VALUE"""),"Oral Roberts")</f>
        <v>Oral Roberts</v>
      </c>
      <c r="C152" s="1" t="str">
        <f ca="1">IFERROR(__xludf.DUMMYFUNCTION("""COMPUTED_VALUE"""),"Slnd")</f>
        <v>Slnd</v>
      </c>
      <c r="D152" s="1" t="str">
        <f ca="1">IFERROR(__xludf.DUMMYFUNCTION("""COMPUTED_VALUE"""),"20-15")</f>
        <v>20-15</v>
      </c>
      <c r="E152" s="1" t="str">
        <f ca="1">IFERROR(__xludf.DUMMYFUNCTION("""COMPUTED_VALUE"""),"+2.23")</f>
        <v>+2.23</v>
      </c>
      <c r="F152" s="1">
        <f ca="1">IFERROR(__xludf.DUMMYFUNCTION("""COMPUTED_VALUE"""),106.6)</f>
        <v>106.6</v>
      </c>
      <c r="G152" s="1">
        <f ca="1">IFERROR(__xludf.DUMMYFUNCTION("""COMPUTED_VALUE"""),104)</f>
        <v>104</v>
      </c>
      <c r="H152" s="1">
        <f ca="1">IFERROR(__xludf.DUMMYFUNCTION("""COMPUTED_VALUE"""),104.4)</f>
        <v>104.4</v>
      </c>
      <c r="I152" s="1">
        <f ca="1">IFERROR(__xludf.DUMMYFUNCTION("""COMPUTED_VALUE"""),205)</f>
        <v>205</v>
      </c>
      <c r="J152" s="1">
        <f ca="1">IFERROR(__xludf.DUMMYFUNCTION("""COMPUTED_VALUE"""),64.9)</f>
        <v>64.900000000000006</v>
      </c>
      <c r="K152" s="1">
        <f ca="1">IFERROR(__xludf.DUMMYFUNCTION("""COMPUTED_VALUE"""),163)</f>
        <v>163</v>
      </c>
      <c r="L152" s="1">
        <f ca="1">IFERROR(__xludf.DUMMYFUNCTION("""COMPUTED_VALUE"""),-0.028)</f>
        <v>-2.8000000000000001E-2</v>
      </c>
      <c r="M152" s="1">
        <f ca="1">IFERROR(__xludf.DUMMYFUNCTION("""COMPUTED_VALUE"""),253)</f>
        <v>253</v>
      </c>
      <c r="N152" s="1">
        <f ca="1">IFERROR(__xludf.DUMMYFUNCTION("""COMPUTED_VALUE"""),-2.51)</f>
        <v>-2.5099999999999998</v>
      </c>
      <c r="O152" s="1">
        <f ca="1">IFERROR(__xludf.DUMMYFUNCTION("""COMPUTED_VALUE"""),201)</f>
        <v>201</v>
      </c>
      <c r="P152" s="1">
        <f ca="1">IFERROR(__xludf.DUMMYFUNCTION("""COMPUTED_VALUE"""),100.3)</f>
        <v>100.3</v>
      </c>
      <c r="Q152" s="1">
        <f ca="1">IFERROR(__xludf.DUMMYFUNCTION("""COMPUTED_VALUE"""),261)</f>
        <v>261</v>
      </c>
      <c r="R152" s="1">
        <f ca="1">IFERROR(__xludf.DUMMYFUNCTION("""COMPUTED_VALUE"""),102.9)</f>
        <v>102.9</v>
      </c>
      <c r="S152" s="1">
        <f ca="1">IFERROR(__xludf.DUMMYFUNCTION("""COMPUTED_VALUE"""),156)</f>
        <v>156</v>
      </c>
      <c r="T152" s="1" t="str">
        <f ca="1">IFERROR(__xludf.DUMMYFUNCTION("""COMPUTED_VALUE"""),"+6.69")</f>
        <v>+6.69</v>
      </c>
      <c r="U152" s="1">
        <f ca="1">IFERROR(__xludf.DUMMYFUNCTION("""COMPUTED_VALUE"""),20)</f>
        <v>20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IFERROR(__xludf.DUMMYFUNCTION("""COMPUTED_VALUE"""),"Montana13")</f>
        <v>Montana13</v>
      </c>
      <c r="C153" s="1" t="str">
        <f ca="1">IFERROR(__xludf.DUMMYFUNCTION("""COMPUTED_VALUE"""),"BSky")</f>
        <v>BSky</v>
      </c>
      <c r="D153" s="1" t="str">
        <f ca="1">IFERROR(__xludf.DUMMYFUNCTION("""COMPUTED_VALUE"""),"25-7")</f>
        <v>25-7</v>
      </c>
      <c r="E153" s="1" t="str">
        <f ca="1">IFERROR(__xludf.DUMMYFUNCTION("""COMPUTED_VALUE"""),"+2.14")</f>
        <v>+2.14</v>
      </c>
      <c r="F153" s="1">
        <f ca="1">IFERROR(__xludf.DUMMYFUNCTION("""COMPUTED_VALUE"""),104.9)</f>
        <v>104.9</v>
      </c>
      <c r="G153" s="1">
        <f ca="1">IFERROR(__xludf.DUMMYFUNCTION("""COMPUTED_VALUE"""),134)</f>
        <v>134</v>
      </c>
      <c r="H153" s="1">
        <f ca="1">IFERROR(__xludf.DUMMYFUNCTION("""COMPUTED_VALUE"""),102.8)</f>
        <v>102.8</v>
      </c>
      <c r="I153" s="1">
        <f ca="1">IFERROR(__xludf.DUMMYFUNCTION("""COMPUTED_VALUE"""),173)</f>
        <v>173</v>
      </c>
      <c r="J153" s="1">
        <f ca="1">IFERROR(__xludf.DUMMYFUNCTION("""COMPUTED_VALUE"""),62.7)</f>
        <v>62.7</v>
      </c>
      <c r="K153" s="1">
        <f ca="1">IFERROR(__xludf.DUMMYFUNCTION("""COMPUTED_VALUE"""),253)</f>
        <v>253</v>
      </c>
      <c r="L153" s="1" t="str">
        <f ca="1">IFERROR(__xludf.DUMMYFUNCTION("""COMPUTED_VALUE"""),"+.175")</f>
        <v>+.175</v>
      </c>
      <c r="M153" s="1">
        <f ca="1">IFERROR(__xludf.DUMMYFUNCTION("""COMPUTED_VALUE"""),1)</f>
        <v>1</v>
      </c>
      <c r="N153" s="1">
        <f ca="1">IFERROR(__xludf.DUMMYFUNCTION("""COMPUTED_VALUE"""),-5.21)</f>
        <v>-5.21</v>
      </c>
      <c r="O153" s="1">
        <f ca="1">IFERROR(__xludf.DUMMYFUNCTION("""COMPUTED_VALUE"""),276)</f>
        <v>276</v>
      </c>
      <c r="P153" s="1">
        <f ca="1">IFERROR(__xludf.DUMMYFUNCTION("""COMPUTED_VALUE"""),101.8)</f>
        <v>101.8</v>
      </c>
      <c r="Q153" s="1">
        <f ca="1">IFERROR(__xludf.DUMMYFUNCTION("""COMPUTED_VALUE"""),186)</f>
        <v>186</v>
      </c>
      <c r="R153" s="1">
        <f ca="1">IFERROR(__xludf.DUMMYFUNCTION("""COMPUTED_VALUE"""),107)</f>
        <v>107</v>
      </c>
      <c r="S153" s="1">
        <f ca="1">IFERROR(__xludf.DUMMYFUNCTION("""COMPUTED_VALUE"""),337)</f>
        <v>337</v>
      </c>
      <c r="T153" s="1" t="str">
        <f ca="1">IFERROR(__xludf.DUMMYFUNCTION("""COMPUTED_VALUE"""),"+8.71")</f>
        <v>+8.71</v>
      </c>
      <c r="U153" s="1">
        <f ca="1">IFERROR(__xludf.DUMMYFUNCTION("""COMPUTED_VALUE"""),10)</f>
        <v>10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IFERROR(__xludf.DUMMYFUNCTION("""COMPUTED_VALUE"""),"Tulane")</f>
        <v>Tulane</v>
      </c>
      <c r="C154" s="1" t="str">
        <f ca="1">IFERROR(__xludf.DUMMYFUNCTION("""COMPUTED_VALUE"""),"CUSA")</f>
        <v>CUSA</v>
      </c>
      <c r="D154" s="1" t="str">
        <f ca="1">IFERROR(__xludf.DUMMYFUNCTION("""COMPUTED_VALUE"""),"20-15")</f>
        <v>20-15</v>
      </c>
      <c r="E154" s="1" t="str">
        <f ca="1">IFERROR(__xludf.DUMMYFUNCTION("""COMPUTED_VALUE"""),"+1.88")</f>
        <v>+1.88</v>
      </c>
      <c r="F154" s="1">
        <f ca="1">IFERROR(__xludf.DUMMYFUNCTION("""COMPUTED_VALUE"""),107.2)</f>
        <v>107.2</v>
      </c>
      <c r="G154" s="1">
        <f ca="1">IFERROR(__xludf.DUMMYFUNCTION("""COMPUTED_VALUE"""),91)</f>
        <v>91</v>
      </c>
      <c r="H154" s="1">
        <f ca="1">IFERROR(__xludf.DUMMYFUNCTION("""COMPUTED_VALUE"""),105.3)</f>
        <v>105.3</v>
      </c>
      <c r="I154" s="1">
        <f ca="1">IFERROR(__xludf.DUMMYFUNCTION("""COMPUTED_VALUE"""),228)</f>
        <v>228</v>
      </c>
      <c r="J154" s="1">
        <f ca="1">IFERROR(__xludf.DUMMYFUNCTION("""COMPUTED_VALUE"""),64.3)</f>
        <v>64.3</v>
      </c>
      <c r="K154" s="1">
        <f ca="1">IFERROR(__xludf.DUMMYFUNCTION("""COMPUTED_VALUE"""),189)</f>
        <v>189</v>
      </c>
      <c r="L154" s="1">
        <f ca="1">IFERROR(__xludf.DUMMYFUNCTION("""COMPUTED_VALUE"""),-0.052)</f>
        <v>-5.1999999999999998E-2</v>
      </c>
      <c r="M154" s="1">
        <f ca="1">IFERROR(__xludf.DUMMYFUNCTION("""COMPUTED_VALUE"""),299)</f>
        <v>299</v>
      </c>
      <c r="N154" s="1">
        <f ca="1">IFERROR(__xludf.DUMMYFUNCTION("""COMPUTED_VALUE"""),-3.85)</f>
        <v>-3.85</v>
      </c>
      <c r="O154" s="1">
        <f ca="1">IFERROR(__xludf.DUMMYFUNCTION("""COMPUTED_VALUE"""),243)</f>
        <v>243</v>
      </c>
      <c r="P154" s="1">
        <f ca="1">IFERROR(__xludf.DUMMYFUNCTION("""COMPUTED_VALUE"""),100)</f>
        <v>100</v>
      </c>
      <c r="Q154" s="1">
        <f ca="1">IFERROR(__xludf.DUMMYFUNCTION("""COMPUTED_VALUE"""),280)</f>
        <v>280</v>
      </c>
      <c r="R154" s="1">
        <f ca="1">IFERROR(__xludf.DUMMYFUNCTION("""COMPUTED_VALUE"""),103.8)</f>
        <v>103.8</v>
      </c>
      <c r="S154" s="1">
        <f ca="1">IFERROR(__xludf.DUMMYFUNCTION("""COMPUTED_VALUE"""),209)</f>
        <v>209</v>
      </c>
      <c r="T154" s="1">
        <f ca="1">IFERROR(__xludf.DUMMYFUNCTION("""COMPUTED_VALUE"""),-9.66)</f>
        <v>-9.66</v>
      </c>
      <c r="U154" s="1">
        <f ca="1">IFERROR(__xludf.DUMMYFUNCTION("""COMPUTED_VALUE"""),339)</f>
        <v>339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IFERROR(__xludf.DUMMYFUNCTION("""COMPUTED_VALUE"""),"UC Irvine")</f>
        <v>UC Irvine</v>
      </c>
      <c r="C155" s="1" t="str">
        <f ca="1">IFERROR(__xludf.DUMMYFUNCTION("""COMPUTED_VALUE"""),"BW")</f>
        <v>BW</v>
      </c>
      <c r="D155" s="1" t="str">
        <f ca="1">IFERROR(__xludf.DUMMYFUNCTION("""COMPUTED_VALUE"""),"21-16")</f>
        <v>21-16</v>
      </c>
      <c r="E155" s="1" t="str">
        <f ca="1">IFERROR(__xludf.DUMMYFUNCTION("""COMPUTED_VALUE"""),"+1.86")</f>
        <v>+1.86</v>
      </c>
      <c r="F155" s="1">
        <f ca="1">IFERROR(__xludf.DUMMYFUNCTION("""COMPUTED_VALUE"""),101.1)</f>
        <v>101.1</v>
      </c>
      <c r="G155" s="1">
        <f ca="1">IFERROR(__xludf.DUMMYFUNCTION("""COMPUTED_VALUE"""),201)</f>
        <v>201</v>
      </c>
      <c r="H155" s="1">
        <f ca="1">IFERROR(__xludf.DUMMYFUNCTION("""COMPUTED_VALUE"""),99.2)</f>
        <v>99.2</v>
      </c>
      <c r="I155" s="1">
        <f ca="1">IFERROR(__xludf.DUMMYFUNCTION("""COMPUTED_VALUE"""),108)</f>
        <v>108</v>
      </c>
      <c r="J155" s="1">
        <f ca="1">IFERROR(__xludf.DUMMYFUNCTION("""COMPUTED_VALUE"""),65.2)</f>
        <v>65.2</v>
      </c>
      <c r="K155" s="1">
        <f ca="1">IFERROR(__xludf.DUMMYFUNCTION("""COMPUTED_VALUE"""),143)</f>
        <v>143</v>
      </c>
      <c r="L155" s="1" t="str">
        <f ca="1">IFERROR(__xludf.DUMMYFUNCTION("""COMPUTED_VALUE"""),"+.018")</f>
        <v>+.018</v>
      </c>
      <c r="M155" s="1">
        <f ca="1">IFERROR(__xludf.DUMMYFUNCTION("""COMPUTED_VALUE"""),137)</f>
        <v>137</v>
      </c>
      <c r="N155" s="1">
        <f ca="1">IFERROR(__xludf.DUMMYFUNCTION("""COMPUTED_VALUE"""),-0.05)</f>
        <v>-0.05</v>
      </c>
      <c r="O155" s="1">
        <f ca="1">IFERROR(__xludf.DUMMYFUNCTION("""COMPUTED_VALUE"""),142)</f>
        <v>142</v>
      </c>
      <c r="P155" s="1">
        <f ca="1">IFERROR(__xludf.DUMMYFUNCTION("""COMPUTED_VALUE"""),103.4)</f>
        <v>103.4</v>
      </c>
      <c r="Q155" s="1">
        <f ca="1">IFERROR(__xludf.DUMMYFUNCTION("""COMPUTED_VALUE"""),132)</f>
        <v>132</v>
      </c>
      <c r="R155" s="1">
        <f ca="1">IFERROR(__xludf.DUMMYFUNCTION("""COMPUTED_VALUE"""),103.5)</f>
        <v>103.5</v>
      </c>
      <c r="S155" s="1">
        <f ca="1">IFERROR(__xludf.DUMMYFUNCTION("""COMPUTED_VALUE"""),191)</f>
        <v>191</v>
      </c>
      <c r="T155" s="1" t="str">
        <f ca="1">IFERROR(__xludf.DUMMYFUNCTION("""COMPUTED_VALUE"""),"+6.77")</f>
        <v>+6.77</v>
      </c>
      <c r="U155" s="1">
        <f ca="1">IFERROR(__xludf.DUMMYFUNCTION("""COMPUTED_VALUE"""),19)</f>
        <v>19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IFERROR(__xludf.DUMMYFUNCTION("""COMPUTED_VALUE"""),"Arkansas St.")</f>
        <v>Arkansas St.</v>
      </c>
      <c r="C156" s="1" t="str">
        <f ca="1">IFERROR(__xludf.DUMMYFUNCTION("""COMPUTED_VALUE"""),"SB")</f>
        <v>SB</v>
      </c>
      <c r="D156" s="1" t="str">
        <f ca="1">IFERROR(__xludf.DUMMYFUNCTION("""COMPUTED_VALUE"""),"19-12")</f>
        <v>19-12</v>
      </c>
      <c r="E156" s="1" t="str">
        <f ca="1">IFERROR(__xludf.DUMMYFUNCTION("""COMPUTED_VALUE"""),"+1.74")</f>
        <v>+1.74</v>
      </c>
      <c r="F156" s="1">
        <f ca="1">IFERROR(__xludf.DUMMYFUNCTION("""COMPUTED_VALUE"""),98.8)</f>
        <v>98.8</v>
      </c>
      <c r="G156" s="1">
        <f ca="1">IFERROR(__xludf.DUMMYFUNCTION("""COMPUTED_VALUE"""),239)</f>
        <v>239</v>
      </c>
      <c r="H156" s="1">
        <f ca="1">IFERROR(__xludf.DUMMYFUNCTION("""COMPUTED_VALUE"""),97.1)</f>
        <v>97.1</v>
      </c>
      <c r="I156" s="1">
        <f ca="1">IFERROR(__xludf.DUMMYFUNCTION("""COMPUTED_VALUE"""),77)</f>
        <v>77</v>
      </c>
      <c r="J156" s="1">
        <f ca="1">IFERROR(__xludf.DUMMYFUNCTION("""COMPUTED_VALUE"""),64.2)</f>
        <v>64.2</v>
      </c>
      <c r="K156" s="1">
        <f ca="1">IFERROR(__xludf.DUMMYFUNCTION("""COMPUTED_VALUE"""),192)</f>
        <v>192</v>
      </c>
      <c r="L156" s="1">
        <f ca="1">IFERROR(__xludf.DUMMYFUNCTION("""COMPUTED_VALUE"""),-0.033)</f>
        <v>-3.3000000000000002E-2</v>
      </c>
      <c r="M156" s="1">
        <f ca="1">IFERROR(__xludf.DUMMYFUNCTION("""COMPUTED_VALUE"""),266)</f>
        <v>266</v>
      </c>
      <c r="N156" s="1">
        <f ca="1">IFERROR(__xludf.DUMMYFUNCTION("""COMPUTED_VALUE"""),-5.65)</f>
        <v>-5.65</v>
      </c>
      <c r="O156" s="1">
        <f ca="1">IFERROR(__xludf.DUMMYFUNCTION("""COMPUTED_VALUE"""),290)</f>
        <v>290</v>
      </c>
      <c r="P156" s="1">
        <f ca="1">IFERROR(__xludf.DUMMYFUNCTION("""COMPUTED_VALUE"""),99.9)</f>
        <v>99.9</v>
      </c>
      <c r="Q156" s="1">
        <f ca="1">IFERROR(__xludf.DUMMYFUNCTION("""COMPUTED_VALUE"""),282)</f>
        <v>282</v>
      </c>
      <c r="R156" s="1">
        <f ca="1">IFERROR(__xludf.DUMMYFUNCTION("""COMPUTED_VALUE"""),105.6)</f>
        <v>105.6</v>
      </c>
      <c r="S156" s="1">
        <f ca="1">IFERROR(__xludf.DUMMYFUNCTION("""COMPUTED_VALUE"""),295)</f>
        <v>295</v>
      </c>
      <c r="T156" s="1">
        <f ca="1">IFERROR(__xludf.DUMMYFUNCTION("""COMPUTED_VALUE"""),-7.01)</f>
        <v>-7.01</v>
      </c>
      <c r="U156" s="1">
        <f ca="1">IFERROR(__xludf.DUMMYFUNCTION("""COMPUTED_VALUE"""),321)</f>
        <v>321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IFERROR(__xludf.DUMMYFUNCTION("""COMPUTED_VALUE"""),"UT Arlington")</f>
        <v>UT Arlington</v>
      </c>
      <c r="C157" s="1" t="str">
        <f ca="1">IFERROR(__xludf.DUMMYFUNCTION("""COMPUTED_VALUE"""),"WAC")</f>
        <v>WAC</v>
      </c>
      <c r="D157" s="1" t="str">
        <f ca="1">IFERROR(__xludf.DUMMYFUNCTION("""COMPUTED_VALUE"""),"19-14")</f>
        <v>19-14</v>
      </c>
      <c r="E157" s="1" t="str">
        <f ca="1">IFERROR(__xludf.DUMMYFUNCTION("""COMPUTED_VALUE"""),"+1.37")</f>
        <v>+1.37</v>
      </c>
      <c r="F157" s="1">
        <f ca="1">IFERROR(__xludf.DUMMYFUNCTION("""COMPUTED_VALUE"""),98.8)</f>
        <v>98.8</v>
      </c>
      <c r="G157" s="1">
        <f ca="1">IFERROR(__xludf.DUMMYFUNCTION("""COMPUTED_VALUE"""),238)</f>
        <v>238</v>
      </c>
      <c r="H157" s="1">
        <f ca="1">IFERROR(__xludf.DUMMYFUNCTION("""COMPUTED_VALUE"""),97.5)</f>
        <v>97.5</v>
      </c>
      <c r="I157" s="1">
        <f ca="1">IFERROR(__xludf.DUMMYFUNCTION("""COMPUTED_VALUE"""),82)</f>
        <v>82</v>
      </c>
      <c r="J157" s="1">
        <f ca="1">IFERROR(__xludf.DUMMYFUNCTION("""COMPUTED_VALUE"""),65.6)</f>
        <v>65.599999999999994</v>
      </c>
      <c r="K157" s="1">
        <f ca="1">IFERROR(__xludf.DUMMYFUNCTION("""COMPUTED_VALUE"""),128)</f>
        <v>128</v>
      </c>
      <c r="L157" s="1" t="str">
        <f ca="1">IFERROR(__xludf.DUMMYFUNCTION("""COMPUTED_VALUE"""),"+.043")</f>
        <v>+.043</v>
      </c>
      <c r="M157" s="1">
        <f ca="1">IFERROR(__xludf.DUMMYFUNCTION("""COMPUTED_VALUE"""),69)</f>
        <v>69</v>
      </c>
      <c r="N157" s="1">
        <f ca="1">IFERROR(__xludf.DUMMYFUNCTION("""COMPUTED_VALUE"""),-1.35)</f>
        <v>-1.35</v>
      </c>
      <c r="O157" s="1">
        <f ca="1">IFERROR(__xludf.DUMMYFUNCTION("""COMPUTED_VALUE"""),169)</f>
        <v>169</v>
      </c>
      <c r="P157" s="1">
        <f ca="1">IFERROR(__xludf.DUMMYFUNCTION("""COMPUTED_VALUE"""),101.9)</f>
        <v>101.9</v>
      </c>
      <c r="Q157" s="1">
        <f ca="1">IFERROR(__xludf.DUMMYFUNCTION("""COMPUTED_VALUE"""),181)</f>
        <v>181</v>
      </c>
      <c r="R157" s="1">
        <f ca="1">IFERROR(__xludf.DUMMYFUNCTION("""COMPUTED_VALUE"""),103.2)</f>
        <v>103.2</v>
      </c>
      <c r="S157" s="1">
        <f ca="1">IFERROR(__xludf.DUMMYFUNCTION("""COMPUTED_VALUE"""),182)</f>
        <v>182</v>
      </c>
      <c r="T157" s="1">
        <f ca="1">IFERROR(__xludf.DUMMYFUNCTION("""COMPUTED_VALUE"""),-1.84)</f>
        <v>-1.84</v>
      </c>
      <c r="U157" s="1">
        <f ca="1">IFERROR(__xludf.DUMMYFUNCTION("""COMPUTED_VALUE"""),218)</f>
        <v>218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IFERROR(__xludf.DUMMYFUNCTION("""COMPUTED_VALUE"""),"Albany15")</f>
        <v>Albany15</v>
      </c>
      <c r="C158" s="1" t="str">
        <f ca="1">IFERROR(__xludf.DUMMYFUNCTION("""COMPUTED_VALUE"""),"AE")</f>
        <v>AE</v>
      </c>
      <c r="D158" s="1" t="str">
        <f ca="1">IFERROR(__xludf.DUMMYFUNCTION("""COMPUTED_VALUE"""),"24-11")</f>
        <v>24-11</v>
      </c>
      <c r="E158" s="1" t="str">
        <f ca="1">IFERROR(__xludf.DUMMYFUNCTION("""COMPUTED_VALUE"""),"+1.36")</f>
        <v>+1.36</v>
      </c>
      <c r="F158" s="1">
        <f ca="1">IFERROR(__xludf.DUMMYFUNCTION("""COMPUTED_VALUE"""),102.6)</f>
        <v>102.6</v>
      </c>
      <c r="G158" s="1">
        <f ca="1">IFERROR(__xludf.DUMMYFUNCTION("""COMPUTED_VALUE"""),171)</f>
        <v>171</v>
      </c>
      <c r="H158" s="1">
        <f ca="1">IFERROR(__xludf.DUMMYFUNCTION("""COMPUTED_VALUE"""),101.3)</f>
        <v>101.3</v>
      </c>
      <c r="I158" s="1">
        <f ca="1">IFERROR(__xludf.DUMMYFUNCTION("""COMPUTED_VALUE"""),144)</f>
        <v>144</v>
      </c>
      <c r="J158" s="1">
        <f ca="1">IFERROR(__xludf.DUMMYFUNCTION("""COMPUTED_VALUE"""),61.7)</f>
        <v>61.7</v>
      </c>
      <c r="K158" s="1">
        <f ca="1">IFERROR(__xludf.DUMMYFUNCTION("""COMPUTED_VALUE"""),289)</f>
        <v>289</v>
      </c>
      <c r="L158" s="1" t="str">
        <f ca="1">IFERROR(__xludf.DUMMYFUNCTION("""COMPUTED_VALUE"""),"+.082")</f>
        <v>+.082</v>
      </c>
      <c r="M158" s="1">
        <f ca="1">IFERROR(__xludf.DUMMYFUNCTION("""COMPUTED_VALUE"""),18)</f>
        <v>18</v>
      </c>
      <c r="N158" s="1">
        <f ca="1">IFERROR(__xludf.DUMMYFUNCTION("""COMPUTED_VALUE"""),-5.19)</f>
        <v>-5.19</v>
      </c>
      <c r="O158" s="1">
        <f ca="1">IFERROR(__xludf.DUMMYFUNCTION("""COMPUTED_VALUE"""),275)</f>
        <v>275</v>
      </c>
      <c r="P158" s="1">
        <f ca="1">IFERROR(__xludf.DUMMYFUNCTION("""COMPUTED_VALUE"""),98.6)</f>
        <v>98.6</v>
      </c>
      <c r="Q158" s="1">
        <f ca="1">IFERROR(__xludf.DUMMYFUNCTION("""COMPUTED_VALUE"""),318)</f>
        <v>318</v>
      </c>
      <c r="R158" s="1">
        <f ca="1">IFERROR(__xludf.DUMMYFUNCTION("""COMPUTED_VALUE"""),103.8)</f>
        <v>103.8</v>
      </c>
      <c r="S158" s="1">
        <f ca="1">IFERROR(__xludf.DUMMYFUNCTION("""COMPUTED_VALUE"""),210)</f>
        <v>210</v>
      </c>
      <c r="T158" s="1">
        <f ca="1">IFERROR(__xludf.DUMMYFUNCTION("""COMPUTED_VALUE"""),-6.61)</f>
        <v>-6.61</v>
      </c>
      <c r="U158" s="1">
        <f ca="1">IFERROR(__xludf.DUMMYFUNCTION("""COMPUTED_VALUE"""),319)</f>
        <v>319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IFERROR(__xludf.DUMMYFUNCTION("""COMPUTED_VALUE"""),"Fairfield")</f>
        <v>Fairfield</v>
      </c>
      <c r="C159" s="1" t="str">
        <f ca="1">IFERROR(__xludf.DUMMYFUNCTION("""COMPUTED_VALUE"""),"MAAC")</f>
        <v>MAAC</v>
      </c>
      <c r="D159" s="1" t="str">
        <f ca="1">IFERROR(__xludf.DUMMYFUNCTION("""COMPUTED_VALUE"""),"19-16")</f>
        <v>19-16</v>
      </c>
      <c r="E159" s="1" t="str">
        <f ca="1">IFERROR(__xludf.DUMMYFUNCTION("""COMPUTED_VALUE"""),"+1.20")</f>
        <v>+1.20</v>
      </c>
      <c r="F159" s="1">
        <f ca="1">IFERROR(__xludf.DUMMYFUNCTION("""COMPUTED_VALUE"""),98)</f>
        <v>98</v>
      </c>
      <c r="G159" s="1">
        <f ca="1">IFERROR(__xludf.DUMMYFUNCTION("""COMPUTED_VALUE"""),255)</f>
        <v>255</v>
      </c>
      <c r="H159" s="1">
        <f ca="1">IFERROR(__xludf.DUMMYFUNCTION("""COMPUTED_VALUE"""),96.8)</f>
        <v>96.8</v>
      </c>
      <c r="I159" s="1">
        <f ca="1">IFERROR(__xludf.DUMMYFUNCTION("""COMPUTED_VALUE"""),74)</f>
        <v>74</v>
      </c>
      <c r="J159" s="1">
        <f ca="1">IFERROR(__xludf.DUMMYFUNCTION("""COMPUTED_VALUE"""),60.5)</f>
        <v>60.5</v>
      </c>
      <c r="K159" s="1">
        <f ca="1">IFERROR(__xludf.DUMMYFUNCTION("""COMPUTED_VALUE"""),316)</f>
        <v>316</v>
      </c>
      <c r="L159" s="1">
        <f ca="1">IFERROR(__xludf.DUMMYFUNCTION("""COMPUTED_VALUE"""),-0.002)</f>
        <v>-2E-3</v>
      </c>
      <c r="M159" s="1">
        <f ca="1">IFERROR(__xludf.DUMMYFUNCTION("""COMPUTED_VALUE"""),184)</f>
        <v>184</v>
      </c>
      <c r="N159" s="1">
        <f ca="1">IFERROR(__xludf.DUMMYFUNCTION("""COMPUTED_VALUE"""),-1.18)</f>
        <v>-1.18</v>
      </c>
      <c r="O159" s="1">
        <f ca="1">IFERROR(__xludf.DUMMYFUNCTION("""COMPUTED_VALUE"""),165)</f>
        <v>165</v>
      </c>
      <c r="P159" s="1">
        <f ca="1">IFERROR(__xludf.DUMMYFUNCTION("""COMPUTED_VALUE"""),101.9)</f>
        <v>101.9</v>
      </c>
      <c r="Q159" s="1">
        <f ca="1">IFERROR(__xludf.DUMMYFUNCTION("""COMPUTED_VALUE"""),178)</f>
        <v>178</v>
      </c>
      <c r="R159" s="1">
        <f ca="1">IFERROR(__xludf.DUMMYFUNCTION("""COMPUTED_VALUE"""),103.1)</f>
        <v>103.1</v>
      </c>
      <c r="S159" s="1">
        <f ca="1">IFERROR(__xludf.DUMMYFUNCTION("""COMPUTED_VALUE"""),175)</f>
        <v>175</v>
      </c>
      <c r="T159" s="1">
        <f ca="1">IFERROR(__xludf.DUMMYFUNCTION("""COMPUTED_VALUE"""),-0.84)</f>
        <v>-0.84</v>
      </c>
      <c r="U159" s="1">
        <f ca="1">IFERROR(__xludf.DUMMYFUNCTION("""COMPUTED_VALUE"""),187)</f>
        <v>187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IFERROR(__xludf.DUMMYFUNCTION("""COMPUTED_VALUE"""),"Cal Poly")</f>
        <v>Cal Poly</v>
      </c>
      <c r="C160" s="1" t="str">
        <f ca="1">IFERROR(__xludf.DUMMYFUNCTION("""COMPUTED_VALUE"""),"BW")</f>
        <v>BW</v>
      </c>
      <c r="D160" s="1" t="str">
        <f ca="1">IFERROR(__xludf.DUMMYFUNCTION("""COMPUTED_VALUE"""),"18-14")</f>
        <v>18-14</v>
      </c>
      <c r="E160" s="1" t="str">
        <f ca="1">IFERROR(__xludf.DUMMYFUNCTION("""COMPUTED_VALUE"""),"+1.16")</f>
        <v>+1.16</v>
      </c>
      <c r="F160" s="1">
        <f ca="1">IFERROR(__xludf.DUMMYFUNCTION("""COMPUTED_VALUE"""),106.4)</f>
        <v>106.4</v>
      </c>
      <c r="G160" s="1">
        <f ca="1">IFERROR(__xludf.DUMMYFUNCTION("""COMPUTED_VALUE"""),112)</f>
        <v>112</v>
      </c>
      <c r="H160" s="1">
        <f ca="1">IFERROR(__xludf.DUMMYFUNCTION("""COMPUTED_VALUE"""),105.3)</f>
        <v>105.3</v>
      </c>
      <c r="I160" s="1">
        <f ca="1">IFERROR(__xludf.DUMMYFUNCTION("""COMPUTED_VALUE"""),224)</f>
        <v>224</v>
      </c>
      <c r="J160" s="1">
        <f ca="1">IFERROR(__xludf.DUMMYFUNCTION("""COMPUTED_VALUE"""),58.3)</f>
        <v>58.3</v>
      </c>
      <c r="K160" s="1">
        <f ca="1">IFERROR(__xludf.DUMMYFUNCTION("""COMPUTED_VALUE"""),344)</f>
        <v>344</v>
      </c>
      <c r="L160" s="1" t="str">
        <f ca="1">IFERROR(__xludf.DUMMYFUNCTION("""COMPUTED_VALUE"""),"+.031")</f>
        <v>+.031</v>
      </c>
      <c r="M160" s="1">
        <f ca="1">IFERROR(__xludf.DUMMYFUNCTION("""COMPUTED_VALUE"""),102)</f>
        <v>102</v>
      </c>
      <c r="N160" s="1">
        <f ca="1">IFERROR(__xludf.DUMMYFUNCTION("""COMPUTED_VALUE"""),-0.38)</f>
        <v>-0.38</v>
      </c>
      <c r="O160" s="1">
        <f ca="1">IFERROR(__xludf.DUMMYFUNCTION("""COMPUTED_VALUE"""),148)</f>
        <v>148</v>
      </c>
      <c r="P160" s="1">
        <f ca="1">IFERROR(__xludf.DUMMYFUNCTION("""COMPUTED_VALUE"""),103.5)</f>
        <v>103.5</v>
      </c>
      <c r="Q160" s="1">
        <f ca="1">IFERROR(__xludf.DUMMYFUNCTION("""COMPUTED_VALUE"""),130)</f>
        <v>130</v>
      </c>
      <c r="R160" s="1">
        <f ca="1">IFERROR(__xludf.DUMMYFUNCTION("""COMPUTED_VALUE"""),103.9)</f>
        <v>103.9</v>
      </c>
      <c r="S160" s="1">
        <f ca="1">IFERROR(__xludf.DUMMYFUNCTION("""COMPUTED_VALUE"""),213)</f>
        <v>213</v>
      </c>
      <c r="T160" s="1" t="str">
        <f ca="1">IFERROR(__xludf.DUMMYFUNCTION("""COMPUTED_VALUE"""),"+5.90")</f>
        <v>+5.90</v>
      </c>
      <c r="U160" s="1">
        <f ca="1">IFERROR(__xludf.DUMMYFUNCTION("""COMPUTED_VALUE"""),28)</f>
        <v>28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IFERROR(__xludf.DUMMYFUNCTION("""COMPUTED_VALUE"""),"College of Charleston")</f>
        <v>College of Charleston</v>
      </c>
      <c r="C161" s="1" t="str">
        <f ca="1">IFERROR(__xludf.DUMMYFUNCTION("""COMPUTED_VALUE"""),"SC")</f>
        <v>SC</v>
      </c>
      <c r="D161" s="1" t="str">
        <f ca="1">IFERROR(__xludf.DUMMYFUNCTION("""COMPUTED_VALUE"""),"24-11")</f>
        <v>24-11</v>
      </c>
      <c r="E161" s="1" t="str">
        <f ca="1">IFERROR(__xludf.DUMMYFUNCTION("""COMPUTED_VALUE"""),"+1.10")</f>
        <v>+1.10</v>
      </c>
      <c r="F161" s="1">
        <f ca="1">IFERROR(__xludf.DUMMYFUNCTION("""COMPUTED_VALUE"""),102.7)</f>
        <v>102.7</v>
      </c>
      <c r="G161" s="1">
        <f ca="1">IFERROR(__xludf.DUMMYFUNCTION("""COMPUTED_VALUE"""),167)</f>
        <v>167</v>
      </c>
      <c r="H161" s="1">
        <f ca="1">IFERROR(__xludf.DUMMYFUNCTION("""COMPUTED_VALUE"""),101.6)</f>
        <v>101.6</v>
      </c>
      <c r="I161" s="1">
        <f ca="1">IFERROR(__xludf.DUMMYFUNCTION("""COMPUTED_VALUE"""),151)</f>
        <v>151</v>
      </c>
      <c r="J161" s="1">
        <f ca="1">IFERROR(__xludf.DUMMYFUNCTION("""COMPUTED_VALUE"""),62.9)</f>
        <v>62.9</v>
      </c>
      <c r="K161" s="1">
        <f ca="1">IFERROR(__xludf.DUMMYFUNCTION("""COMPUTED_VALUE"""),247)</f>
        <v>247</v>
      </c>
      <c r="L161" s="1" t="str">
        <f ca="1">IFERROR(__xludf.DUMMYFUNCTION("""COMPUTED_VALUE"""),"+.091")</f>
        <v>+.091</v>
      </c>
      <c r="M161" s="1">
        <f ca="1">IFERROR(__xludf.DUMMYFUNCTION("""COMPUTED_VALUE"""),9)</f>
        <v>9</v>
      </c>
      <c r="N161" s="1">
        <f ca="1">IFERROR(__xludf.DUMMYFUNCTION("""COMPUTED_VALUE"""),-6.36)</f>
        <v>-6.36</v>
      </c>
      <c r="O161" s="1">
        <f ca="1">IFERROR(__xludf.DUMMYFUNCTION("""COMPUTED_VALUE"""),305)</f>
        <v>305</v>
      </c>
      <c r="P161" s="1">
        <f ca="1">IFERROR(__xludf.DUMMYFUNCTION("""COMPUTED_VALUE"""),99.7)</f>
        <v>99.7</v>
      </c>
      <c r="Q161" s="1">
        <f ca="1">IFERROR(__xludf.DUMMYFUNCTION("""COMPUTED_VALUE"""),292)</f>
        <v>292</v>
      </c>
      <c r="R161" s="1">
        <f ca="1">IFERROR(__xludf.DUMMYFUNCTION("""COMPUTED_VALUE"""),106)</f>
        <v>106</v>
      </c>
      <c r="S161" s="1">
        <f ca="1">IFERROR(__xludf.DUMMYFUNCTION("""COMPUTED_VALUE"""),314)</f>
        <v>314</v>
      </c>
      <c r="T161" s="1">
        <f ca="1">IFERROR(__xludf.DUMMYFUNCTION("""COMPUTED_VALUE"""),-0.38)</f>
        <v>-0.38</v>
      </c>
      <c r="U161" s="1">
        <f ca="1">IFERROR(__xludf.DUMMYFUNCTION("""COMPUTED_VALUE"""),169)</f>
        <v>169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IFERROR(__xludf.DUMMYFUNCTION("""COMPUTED_VALUE"""),"Manhattan")</f>
        <v>Manhattan</v>
      </c>
      <c r="C162" s="1" t="str">
        <f ca="1">IFERROR(__xludf.DUMMYFUNCTION("""COMPUTED_VALUE"""),"MAAC")</f>
        <v>MAAC</v>
      </c>
      <c r="D162" s="1" t="str">
        <f ca="1">IFERROR(__xludf.DUMMYFUNCTION("""COMPUTED_VALUE"""),"14-18")</f>
        <v>14-18</v>
      </c>
      <c r="E162" s="1" t="str">
        <f ca="1">IFERROR(__xludf.DUMMYFUNCTION("""COMPUTED_VALUE"""),"+0.90")</f>
        <v>+0.90</v>
      </c>
      <c r="F162" s="1">
        <f ca="1">IFERROR(__xludf.DUMMYFUNCTION("""COMPUTED_VALUE"""),95.3)</f>
        <v>95.3</v>
      </c>
      <c r="G162" s="1">
        <f ca="1">IFERROR(__xludf.DUMMYFUNCTION("""COMPUTED_VALUE"""),290)</f>
        <v>290</v>
      </c>
      <c r="H162" s="1">
        <f ca="1">IFERROR(__xludf.DUMMYFUNCTION("""COMPUTED_VALUE"""),94.4)</f>
        <v>94.4</v>
      </c>
      <c r="I162" s="1">
        <f ca="1">IFERROR(__xludf.DUMMYFUNCTION("""COMPUTED_VALUE"""),41)</f>
        <v>41</v>
      </c>
      <c r="J162" s="1">
        <f ca="1">IFERROR(__xludf.DUMMYFUNCTION("""COMPUTED_VALUE"""),60.7)</f>
        <v>60.7</v>
      </c>
      <c r="K162" s="1">
        <f ca="1">IFERROR(__xludf.DUMMYFUNCTION("""COMPUTED_VALUE"""),311)</f>
        <v>311</v>
      </c>
      <c r="L162" s="1">
        <f ca="1">IFERROR(__xludf.DUMMYFUNCTION("""COMPUTED_VALUE"""),-0.021)</f>
        <v>-2.1000000000000001E-2</v>
      </c>
      <c r="M162" s="1">
        <f ca="1">IFERROR(__xludf.DUMMYFUNCTION("""COMPUTED_VALUE"""),237)</f>
        <v>237</v>
      </c>
      <c r="N162" s="1" t="str">
        <f ca="1">IFERROR(__xludf.DUMMYFUNCTION("""COMPUTED_VALUE"""),"+1.19")</f>
        <v>+1.19</v>
      </c>
      <c r="O162" s="1">
        <f ca="1">IFERROR(__xludf.DUMMYFUNCTION("""COMPUTED_VALUE"""),126)</f>
        <v>126</v>
      </c>
      <c r="P162" s="1">
        <f ca="1">IFERROR(__xludf.DUMMYFUNCTION("""COMPUTED_VALUE"""),103.6)</f>
        <v>103.6</v>
      </c>
      <c r="Q162" s="1">
        <f ca="1">IFERROR(__xludf.DUMMYFUNCTION("""COMPUTED_VALUE"""),126)</f>
        <v>126</v>
      </c>
      <c r="R162" s="1">
        <f ca="1">IFERROR(__xludf.DUMMYFUNCTION("""COMPUTED_VALUE"""),102.4)</f>
        <v>102.4</v>
      </c>
      <c r="S162" s="1">
        <f ca="1">IFERROR(__xludf.DUMMYFUNCTION("""COMPUTED_VALUE"""),139)</f>
        <v>139</v>
      </c>
      <c r="T162" s="1" t="str">
        <f ca="1">IFERROR(__xludf.DUMMYFUNCTION("""COMPUTED_VALUE"""),"+5.32")</f>
        <v>+5.32</v>
      </c>
      <c r="U162" s="1">
        <f ca="1">IFERROR(__xludf.DUMMYFUNCTION("""COMPUTED_VALUE"""),34)</f>
        <v>34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IFERROR(__xludf.DUMMYFUNCTION("""COMPUTED_VALUE"""),"Texas Southern")</f>
        <v>Texas Southern</v>
      </c>
      <c r="C163" s="1" t="str">
        <f ca="1">IFERROR(__xludf.DUMMYFUNCTION("""COMPUTED_VALUE"""),"SWAC")</f>
        <v>SWAC</v>
      </c>
      <c r="D163" s="1" t="str">
        <f ca="1">IFERROR(__xludf.DUMMYFUNCTION("""COMPUTED_VALUE"""),"17-14")</f>
        <v>17-14</v>
      </c>
      <c r="E163" s="1" t="str">
        <f ca="1">IFERROR(__xludf.DUMMYFUNCTION("""COMPUTED_VALUE"""),"+0.68")</f>
        <v>+0.68</v>
      </c>
      <c r="F163" s="1">
        <f ca="1">IFERROR(__xludf.DUMMYFUNCTION("""COMPUTED_VALUE"""),105.7)</f>
        <v>105.7</v>
      </c>
      <c r="G163" s="1">
        <f ca="1">IFERROR(__xludf.DUMMYFUNCTION("""COMPUTED_VALUE"""),121)</f>
        <v>121</v>
      </c>
      <c r="H163" s="1">
        <f ca="1">IFERROR(__xludf.DUMMYFUNCTION("""COMPUTED_VALUE"""),105)</f>
        <v>105</v>
      </c>
      <c r="I163" s="1">
        <f ca="1">IFERROR(__xludf.DUMMYFUNCTION("""COMPUTED_VALUE"""),218)</f>
        <v>218</v>
      </c>
      <c r="J163" s="1">
        <f ca="1">IFERROR(__xludf.DUMMYFUNCTION("""COMPUTED_VALUE"""),62.4)</f>
        <v>62.4</v>
      </c>
      <c r="K163" s="1">
        <f ca="1">IFERROR(__xludf.DUMMYFUNCTION("""COMPUTED_VALUE"""),272)</f>
        <v>272</v>
      </c>
      <c r="L163" s="1">
        <f ca="1">IFERROR(__xludf.DUMMYFUNCTION("""COMPUTED_VALUE"""),-0.061)</f>
        <v>-6.0999999999999999E-2</v>
      </c>
      <c r="M163" s="1">
        <f ca="1">IFERROR(__xludf.DUMMYFUNCTION("""COMPUTED_VALUE"""),309)</f>
        <v>309</v>
      </c>
      <c r="N163" s="1">
        <f ca="1">IFERROR(__xludf.DUMMYFUNCTION("""COMPUTED_VALUE"""),-8.1)</f>
        <v>-8.1</v>
      </c>
      <c r="O163" s="1">
        <f ca="1">IFERROR(__xludf.DUMMYFUNCTION("""COMPUTED_VALUE"""),333)</f>
        <v>333</v>
      </c>
      <c r="P163" s="1">
        <f ca="1">IFERROR(__xludf.DUMMYFUNCTION("""COMPUTED_VALUE"""),97)</f>
        <v>97</v>
      </c>
      <c r="Q163" s="1">
        <f ca="1">IFERROR(__xludf.DUMMYFUNCTION("""COMPUTED_VALUE"""),330)</f>
        <v>330</v>
      </c>
      <c r="R163" s="1">
        <f ca="1">IFERROR(__xludf.DUMMYFUNCTION("""COMPUTED_VALUE"""),105.1)</f>
        <v>105.1</v>
      </c>
      <c r="S163" s="1">
        <f ca="1">IFERROR(__xludf.DUMMYFUNCTION("""COMPUTED_VALUE"""),265)</f>
        <v>265</v>
      </c>
      <c r="T163" s="1" t="str">
        <f ca="1">IFERROR(__xludf.DUMMYFUNCTION("""COMPUTED_VALUE"""),"+9.89")</f>
        <v>+9.89</v>
      </c>
      <c r="U163" s="1">
        <f ca="1">IFERROR(__xludf.DUMMYFUNCTION("""COMPUTED_VALUE"""),4)</f>
        <v>4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IFERROR(__xludf.DUMMYFUNCTION("""COMPUTED_VALUE"""),"Western Illinois")</f>
        <v>Western Illinois</v>
      </c>
      <c r="C164" s="1" t="str">
        <f ca="1">IFERROR(__xludf.DUMMYFUNCTION("""COMPUTED_VALUE"""),"Sum")</f>
        <v>Sum</v>
      </c>
      <c r="D164" s="1" t="str">
        <f ca="1">IFERROR(__xludf.DUMMYFUNCTION("""COMPUTED_VALUE"""),"22-9")</f>
        <v>22-9</v>
      </c>
      <c r="E164" s="1" t="str">
        <f ca="1">IFERROR(__xludf.DUMMYFUNCTION("""COMPUTED_VALUE"""),"+0.66")</f>
        <v>+0.66</v>
      </c>
      <c r="F164" s="1">
        <f ca="1">IFERROR(__xludf.DUMMYFUNCTION("""COMPUTED_VALUE"""),97.3)</f>
        <v>97.3</v>
      </c>
      <c r="G164" s="1">
        <f ca="1">IFERROR(__xludf.DUMMYFUNCTION("""COMPUTED_VALUE"""),267)</f>
        <v>267</v>
      </c>
      <c r="H164" s="1">
        <f ca="1">IFERROR(__xludf.DUMMYFUNCTION("""COMPUTED_VALUE"""),96.6)</f>
        <v>96.6</v>
      </c>
      <c r="I164" s="1">
        <f ca="1">IFERROR(__xludf.DUMMYFUNCTION("""COMPUTED_VALUE"""),68)</f>
        <v>68</v>
      </c>
      <c r="J164" s="1">
        <f ca="1">IFERROR(__xludf.DUMMYFUNCTION("""COMPUTED_VALUE"""),56.7)</f>
        <v>56.7</v>
      </c>
      <c r="K164" s="1">
        <f ca="1">IFERROR(__xludf.DUMMYFUNCTION("""COMPUTED_VALUE"""),347)</f>
        <v>347</v>
      </c>
      <c r="L164" s="1" t="str">
        <f ca="1">IFERROR(__xludf.DUMMYFUNCTION("""COMPUTED_VALUE"""),"+.047")</f>
        <v>+.047</v>
      </c>
      <c r="M164" s="1">
        <f ca="1">IFERROR(__xludf.DUMMYFUNCTION("""COMPUTED_VALUE"""),57)</f>
        <v>57</v>
      </c>
      <c r="N164" s="1">
        <f ca="1">IFERROR(__xludf.DUMMYFUNCTION("""COMPUTED_VALUE"""),-5.83)</f>
        <v>-5.83</v>
      </c>
      <c r="O164" s="1">
        <f ca="1">IFERROR(__xludf.DUMMYFUNCTION("""COMPUTED_VALUE"""),297)</f>
        <v>297</v>
      </c>
      <c r="P164" s="1">
        <f ca="1">IFERROR(__xludf.DUMMYFUNCTION("""COMPUTED_VALUE"""),100.8)</f>
        <v>100.8</v>
      </c>
      <c r="Q164" s="1">
        <f ca="1">IFERROR(__xludf.DUMMYFUNCTION("""COMPUTED_VALUE"""),239)</f>
        <v>239</v>
      </c>
      <c r="R164" s="1">
        <f ca="1">IFERROR(__xludf.DUMMYFUNCTION("""COMPUTED_VALUE"""),106.6)</f>
        <v>106.6</v>
      </c>
      <c r="S164" s="1">
        <f ca="1">IFERROR(__xludf.DUMMYFUNCTION("""COMPUTED_VALUE"""),329)</f>
        <v>329</v>
      </c>
      <c r="T164" s="1">
        <f ca="1">IFERROR(__xludf.DUMMYFUNCTION("""COMPUTED_VALUE"""),-5.93)</f>
        <v>-5.93</v>
      </c>
      <c r="U164" s="1">
        <f ca="1">IFERROR(__xludf.DUMMYFUNCTION("""COMPUTED_VALUE"""),308)</f>
        <v>308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IFERROR(__xludf.DUMMYFUNCTION("""COMPUTED_VALUE"""),"Long Beach St.7")</f>
        <v>Long Beach St.7</v>
      </c>
      <c r="C165" s="1" t="str">
        <f ca="1">IFERROR(__xludf.DUMMYFUNCTION("""COMPUTED_VALUE"""),"BW")</f>
        <v>BW</v>
      </c>
      <c r="D165" s="1" t="str">
        <f ca="1">IFERROR(__xludf.DUMMYFUNCTION("""COMPUTED_VALUE"""),"19-14")</f>
        <v>19-14</v>
      </c>
      <c r="E165" s="1" t="str">
        <f ca="1">IFERROR(__xludf.DUMMYFUNCTION("""COMPUTED_VALUE"""),"+0.62")</f>
        <v>+0.62</v>
      </c>
      <c r="F165" s="1">
        <f ca="1">IFERROR(__xludf.DUMMYFUNCTION("""COMPUTED_VALUE"""),105.7)</f>
        <v>105.7</v>
      </c>
      <c r="G165" s="1">
        <f ca="1">IFERROR(__xludf.DUMMYFUNCTION("""COMPUTED_VALUE"""),120)</f>
        <v>120</v>
      </c>
      <c r="H165" s="1">
        <f ca="1">IFERROR(__xludf.DUMMYFUNCTION("""COMPUTED_VALUE"""),105.1)</f>
        <v>105.1</v>
      </c>
      <c r="I165" s="1">
        <f ca="1">IFERROR(__xludf.DUMMYFUNCTION("""COMPUTED_VALUE"""),220)</f>
        <v>220</v>
      </c>
      <c r="J165" s="1">
        <f ca="1">IFERROR(__xludf.DUMMYFUNCTION("""COMPUTED_VALUE"""),65.7)</f>
        <v>65.7</v>
      </c>
      <c r="K165" s="1">
        <f ca="1">IFERROR(__xludf.DUMMYFUNCTION("""COMPUTED_VALUE"""),120)</f>
        <v>120</v>
      </c>
      <c r="L165" s="1" t="str">
        <f ca="1">IFERROR(__xludf.DUMMYFUNCTION("""COMPUTED_VALUE"""),"+.107")</f>
        <v>+.107</v>
      </c>
      <c r="M165" s="1">
        <f ca="1">IFERROR(__xludf.DUMMYFUNCTION("""COMPUTED_VALUE"""),6)</f>
        <v>6</v>
      </c>
      <c r="N165" s="1" t="str">
        <f ca="1">IFERROR(__xludf.DUMMYFUNCTION("""COMPUTED_VALUE"""),"+2.45")</f>
        <v>+2.45</v>
      </c>
      <c r="O165" s="1">
        <f ca="1">IFERROR(__xludf.DUMMYFUNCTION("""COMPUTED_VALUE"""),118)</f>
        <v>118</v>
      </c>
      <c r="P165" s="1">
        <f ca="1">IFERROR(__xludf.DUMMYFUNCTION("""COMPUTED_VALUE"""),104.1)</f>
        <v>104.1</v>
      </c>
      <c r="Q165" s="1">
        <f ca="1">IFERROR(__xludf.DUMMYFUNCTION("""COMPUTED_VALUE"""),115)</f>
        <v>115</v>
      </c>
      <c r="R165" s="1">
        <f ca="1">IFERROR(__xludf.DUMMYFUNCTION("""COMPUTED_VALUE"""),101.7)</f>
        <v>101.7</v>
      </c>
      <c r="S165" s="1">
        <f ca="1">IFERROR(__xludf.DUMMYFUNCTION("""COMPUTED_VALUE"""),116)</f>
        <v>116</v>
      </c>
      <c r="T165" s="1" t="str">
        <f ca="1">IFERROR(__xludf.DUMMYFUNCTION("""COMPUTED_VALUE"""),"+14.35")</f>
        <v>+14.35</v>
      </c>
      <c r="U165" s="1">
        <f ca="1">IFERROR(__xludf.DUMMYFUNCTION("""COMPUTED_VALUE"""),1)</f>
        <v>1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IFERROR(__xludf.DUMMYFUNCTION("""COMPUTED_VALUE"""),"Army")</f>
        <v>Army</v>
      </c>
      <c r="C166" s="1" t="str">
        <f ca="1">IFERROR(__xludf.DUMMYFUNCTION("""COMPUTED_VALUE"""),"Pat")</f>
        <v>Pat</v>
      </c>
      <c r="D166" s="1" t="str">
        <f ca="1">IFERROR(__xludf.DUMMYFUNCTION("""COMPUTED_VALUE"""),"16-15")</f>
        <v>16-15</v>
      </c>
      <c r="E166" s="1" t="str">
        <f ca="1">IFERROR(__xludf.DUMMYFUNCTION("""COMPUTED_VALUE"""),"+0.60")</f>
        <v>+0.60</v>
      </c>
      <c r="F166" s="1">
        <f ca="1">IFERROR(__xludf.DUMMYFUNCTION("""COMPUTED_VALUE"""),105.3)</f>
        <v>105.3</v>
      </c>
      <c r="G166" s="1">
        <f ca="1">IFERROR(__xludf.DUMMYFUNCTION("""COMPUTED_VALUE"""),126)</f>
        <v>126</v>
      </c>
      <c r="H166" s="1">
        <f ca="1">IFERROR(__xludf.DUMMYFUNCTION("""COMPUTED_VALUE"""),104.7)</f>
        <v>104.7</v>
      </c>
      <c r="I166" s="1">
        <f ca="1">IFERROR(__xludf.DUMMYFUNCTION("""COMPUTED_VALUE"""),209)</f>
        <v>209</v>
      </c>
      <c r="J166" s="1">
        <f ca="1">IFERROR(__xludf.DUMMYFUNCTION("""COMPUTED_VALUE"""),66.7)</f>
        <v>66.7</v>
      </c>
      <c r="K166" s="1">
        <f ca="1">IFERROR(__xludf.DUMMYFUNCTION("""COMPUTED_VALUE"""),71)</f>
        <v>71</v>
      </c>
      <c r="L166" s="1">
        <f ca="1">IFERROR(__xludf.DUMMYFUNCTION("""COMPUTED_VALUE"""),-0.084)</f>
        <v>-8.4000000000000005E-2</v>
      </c>
      <c r="M166" s="1">
        <f ca="1">IFERROR(__xludf.DUMMYFUNCTION("""COMPUTED_VALUE"""),329)</f>
        <v>329</v>
      </c>
      <c r="N166" s="1">
        <f ca="1">IFERROR(__xludf.DUMMYFUNCTION("""COMPUTED_VALUE"""),-4.23)</f>
        <v>-4.2300000000000004</v>
      </c>
      <c r="O166" s="1">
        <f ca="1">IFERROR(__xludf.DUMMYFUNCTION("""COMPUTED_VALUE"""),252)</f>
        <v>252</v>
      </c>
      <c r="P166" s="1">
        <f ca="1">IFERROR(__xludf.DUMMYFUNCTION("""COMPUTED_VALUE"""),100.6)</f>
        <v>100.6</v>
      </c>
      <c r="Q166" s="1">
        <f ca="1">IFERROR(__xludf.DUMMYFUNCTION("""COMPUTED_VALUE"""),247)</f>
        <v>247</v>
      </c>
      <c r="R166" s="1">
        <f ca="1">IFERROR(__xludf.DUMMYFUNCTION("""COMPUTED_VALUE"""),104.9)</f>
        <v>104.9</v>
      </c>
      <c r="S166" s="1">
        <f ca="1">IFERROR(__xludf.DUMMYFUNCTION("""COMPUTED_VALUE"""),257)</f>
        <v>257</v>
      </c>
      <c r="T166" s="1">
        <f ca="1">IFERROR(__xludf.DUMMYFUNCTION("""COMPUTED_VALUE"""),-5)</f>
        <v>-5</v>
      </c>
      <c r="U166" s="1">
        <f ca="1">IFERROR(__xludf.DUMMYFUNCTION("""COMPUTED_VALUE"""),290)</f>
        <v>290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IFERROR(__xludf.DUMMYFUNCTION("""COMPUTED_VALUE"""),"Bradley")</f>
        <v>Bradley</v>
      </c>
      <c r="C167" s="1" t="str">
        <f ca="1">IFERROR(__xludf.DUMMYFUNCTION("""COMPUTED_VALUE"""),"MVC")</f>
        <v>MVC</v>
      </c>
      <c r="D167" s="1" t="str">
        <f ca="1">IFERROR(__xludf.DUMMYFUNCTION("""COMPUTED_VALUE"""),"18-17")</f>
        <v>18-17</v>
      </c>
      <c r="E167" s="1" t="str">
        <f ca="1">IFERROR(__xludf.DUMMYFUNCTION("""COMPUTED_VALUE"""),"+0.59")</f>
        <v>+0.59</v>
      </c>
      <c r="F167" s="1">
        <f ca="1">IFERROR(__xludf.DUMMYFUNCTION("""COMPUTED_VALUE"""),104.4)</f>
        <v>104.4</v>
      </c>
      <c r="G167" s="1">
        <f ca="1">IFERROR(__xludf.DUMMYFUNCTION("""COMPUTED_VALUE"""),144)</f>
        <v>144</v>
      </c>
      <c r="H167" s="1">
        <f ca="1">IFERROR(__xludf.DUMMYFUNCTION("""COMPUTED_VALUE"""),103.8)</f>
        <v>103.8</v>
      </c>
      <c r="I167" s="1">
        <f ca="1">IFERROR(__xludf.DUMMYFUNCTION("""COMPUTED_VALUE"""),194)</f>
        <v>194</v>
      </c>
      <c r="J167" s="1">
        <f ca="1">IFERROR(__xludf.DUMMYFUNCTION("""COMPUTED_VALUE"""),65.6)</f>
        <v>65.599999999999994</v>
      </c>
      <c r="K167" s="1">
        <f ca="1">IFERROR(__xludf.DUMMYFUNCTION("""COMPUTED_VALUE"""),122)</f>
        <v>122</v>
      </c>
      <c r="L167" s="1" t="str">
        <f ca="1">IFERROR(__xludf.DUMMYFUNCTION("""COMPUTED_VALUE"""),"+.043")</f>
        <v>+.043</v>
      </c>
      <c r="M167" s="1">
        <f ca="1">IFERROR(__xludf.DUMMYFUNCTION("""COMPUTED_VALUE"""),68)</f>
        <v>68</v>
      </c>
      <c r="N167" s="1" t="str">
        <f ca="1">IFERROR(__xludf.DUMMYFUNCTION("""COMPUTED_VALUE"""),"+1.92")</f>
        <v>+1.92</v>
      </c>
      <c r="O167" s="1">
        <f ca="1">IFERROR(__xludf.DUMMYFUNCTION("""COMPUTED_VALUE"""),119)</f>
        <v>119</v>
      </c>
      <c r="P167" s="1">
        <f ca="1">IFERROR(__xludf.DUMMYFUNCTION("""COMPUTED_VALUE"""),104.2)</f>
        <v>104.2</v>
      </c>
      <c r="Q167" s="1">
        <f ca="1">IFERROR(__xludf.DUMMYFUNCTION("""COMPUTED_VALUE"""),110)</f>
        <v>110</v>
      </c>
      <c r="R167" s="1">
        <f ca="1">IFERROR(__xludf.DUMMYFUNCTION("""COMPUTED_VALUE"""),102.3)</f>
        <v>102.3</v>
      </c>
      <c r="S167" s="1">
        <f ca="1">IFERROR(__xludf.DUMMYFUNCTION("""COMPUTED_VALUE"""),131)</f>
        <v>131</v>
      </c>
      <c r="T167" s="1">
        <f ca="1">IFERROR(__xludf.DUMMYFUNCTION("""COMPUTED_VALUE"""),-8.66)</f>
        <v>-8.66</v>
      </c>
      <c r="U167" s="1">
        <f ca="1">IFERROR(__xludf.DUMMYFUNCTION("""COMPUTED_VALUE"""),336)</f>
        <v>336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IFERROR(__xludf.DUMMYFUNCTION("""COMPUTED_VALUE"""),"Rider")</f>
        <v>Rider</v>
      </c>
      <c r="C168" s="1" t="str">
        <f ca="1">IFERROR(__xludf.DUMMYFUNCTION("""COMPUTED_VALUE"""),"MAAC")</f>
        <v>MAAC</v>
      </c>
      <c r="D168" s="1" t="str">
        <f ca="1">IFERROR(__xludf.DUMMYFUNCTION("""COMPUTED_VALUE"""),"19-15")</f>
        <v>19-15</v>
      </c>
      <c r="E168" s="1" t="str">
        <f ca="1">IFERROR(__xludf.DUMMYFUNCTION("""COMPUTED_VALUE"""),"+0.59")</f>
        <v>+0.59</v>
      </c>
      <c r="F168" s="1">
        <f ca="1">IFERROR(__xludf.DUMMYFUNCTION("""COMPUTED_VALUE"""),98.8)</f>
        <v>98.8</v>
      </c>
      <c r="G168" s="1">
        <f ca="1">IFERROR(__xludf.DUMMYFUNCTION("""COMPUTED_VALUE"""),241)</f>
        <v>241</v>
      </c>
      <c r="H168" s="1">
        <f ca="1">IFERROR(__xludf.DUMMYFUNCTION("""COMPUTED_VALUE"""),98.2)</f>
        <v>98.2</v>
      </c>
      <c r="I168" s="1">
        <f ca="1">IFERROR(__xludf.DUMMYFUNCTION("""COMPUTED_VALUE"""),91)</f>
        <v>91</v>
      </c>
      <c r="J168" s="1">
        <f ca="1">IFERROR(__xludf.DUMMYFUNCTION("""COMPUTED_VALUE"""),64.6)</f>
        <v>64.599999999999994</v>
      </c>
      <c r="K168" s="1">
        <f ca="1">IFERROR(__xludf.DUMMYFUNCTION("""COMPUTED_VALUE"""),178)</f>
        <v>178</v>
      </c>
      <c r="L168" s="1" t="str">
        <f ca="1">IFERROR(__xludf.DUMMYFUNCTION("""COMPUTED_VALUE"""),"+.048")</f>
        <v>+.048</v>
      </c>
      <c r="M168" s="1">
        <f ca="1">IFERROR(__xludf.DUMMYFUNCTION("""COMPUTED_VALUE"""),55)</f>
        <v>55</v>
      </c>
      <c r="N168" s="1">
        <f ca="1">IFERROR(__xludf.DUMMYFUNCTION("""COMPUTED_VALUE"""),-0.63)</f>
        <v>-0.63</v>
      </c>
      <c r="O168" s="1">
        <f ca="1">IFERROR(__xludf.DUMMYFUNCTION("""COMPUTED_VALUE"""),155)</f>
        <v>155</v>
      </c>
      <c r="P168" s="1">
        <f ca="1">IFERROR(__xludf.DUMMYFUNCTION("""COMPUTED_VALUE"""),102.1)</f>
        <v>102.1</v>
      </c>
      <c r="Q168" s="1">
        <f ca="1">IFERROR(__xludf.DUMMYFUNCTION("""COMPUTED_VALUE"""),172)</f>
        <v>172</v>
      </c>
      <c r="R168" s="1">
        <f ca="1">IFERROR(__xludf.DUMMYFUNCTION("""COMPUTED_VALUE"""),102.7)</f>
        <v>102.7</v>
      </c>
      <c r="S168" s="1">
        <f ca="1">IFERROR(__xludf.DUMMYFUNCTION("""COMPUTED_VALUE"""),149)</f>
        <v>149</v>
      </c>
      <c r="T168" s="1">
        <f ca="1">IFERROR(__xludf.DUMMYFUNCTION("""COMPUTED_VALUE"""),-0.33)</f>
        <v>-0.33</v>
      </c>
      <c r="U168" s="1">
        <f ca="1">IFERROR(__xludf.DUMMYFUNCTION("""COMPUTED_VALUE"""),165)</f>
        <v>165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IFERROR(__xludf.DUMMYFUNCTION("""COMPUTED_VALUE"""),"Penn St.")</f>
        <v>Penn St.</v>
      </c>
      <c r="C171" s="1" t="str">
        <f ca="1">IFERROR(__xludf.DUMMYFUNCTION("""COMPUTED_VALUE"""),"B10")</f>
        <v>B10</v>
      </c>
      <c r="D171" s="2">
        <f ca="1">IFERROR(__xludf.DUMMYFUNCTION("""COMPUTED_VALUE"""),44855)</f>
        <v>44855</v>
      </c>
      <c r="E171" s="1" t="str">
        <f ca="1">IFERROR(__xludf.DUMMYFUNCTION("""COMPUTED_VALUE"""),"+0.57")</f>
        <v>+0.57</v>
      </c>
      <c r="F171" s="1">
        <f ca="1">IFERROR(__xludf.DUMMYFUNCTION("""COMPUTED_VALUE"""),102.1)</f>
        <v>102.1</v>
      </c>
      <c r="G171" s="1">
        <f ca="1">IFERROR(__xludf.DUMMYFUNCTION("""COMPUTED_VALUE"""),182)</f>
        <v>182</v>
      </c>
      <c r="H171" s="1">
        <f ca="1">IFERROR(__xludf.DUMMYFUNCTION("""COMPUTED_VALUE"""),101.5)</f>
        <v>101.5</v>
      </c>
      <c r="I171" s="1">
        <f ca="1">IFERROR(__xludf.DUMMYFUNCTION("""COMPUTED_VALUE"""),148)</f>
        <v>148</v>
      </c>
      <c r="J171" s="1">
        <f ca="1">IFERROR(__xludf.DUMMYFUNCTION("""COMPUTED_VALUE"""),64)</f>
        <v>64</v>
      </c>
      <c r="K171" s="1">
        <f ca="1">IFERROR(__xludf.DUMMYFUNCTION("""COMPUTED_VALUE"""),200)</f>
        <v>200</v>
      </c>
      <c r="L171" s="1" t="str">
        <f ca="1">IFERROR(__xludf.DUMMYFUNCTION("""COMPUTED_VALUE"""),"+.020")</f>
        <v>+.020</v>
      </c>
      <c r="M171" s="1">
        <f ca="1">IFERROR(__xludf.DUMMYFUNCTION("""COMPUTED_VALUE"""),132)</f>
        <v>132</v>
      </c>
      <c r="N171" s="1" t="str">
        <f ca="1">IFERROR(__xludf.DUMMYFUNCTION("""COMPUTED_VALUE"""),"+10.35")</f>
        <v>+10.35</v>
      </c>
      <c r="O171" s="1">
        <f ca="1">IFERROR(__xludf.DUMMYFUNCTION("""COMPUTED_VALUE"""),6)</f>
        <v>6</v>
      </c>
      <c r="P171" s="1">
        <f ca="1">IFERROR(__xludf.DUMMYFUNCTION("""COMPUTED_VALUE"""),108.1)</f>
        <v>108.1</v>
      </c>
      <c r="Q171" s="1">
        <f ca="1">IFERROR(__xludf.DUMMYFUNCTION("""COMPUTED_VALUE"""),7)</f>
        <v>7</v>
      </c>
      <c r="R171" s="1">
        <f ca="1">IFERROR(__xludf.DUMMYFUNCTION("""COMPUTED_VALUE"""),97.8)</f>
        <v>97.8</v>
      </c>
      <c r="S171" s="1">
        <f ca="1">IFERROR(__xludf.DUMMYFUNCTION("""COMPUTED_VALUE"""),13)</f>
        <v>13</v>
      </c>
      <c r="T171" s="1">
        <f ca="1">IFERROR(__xludf.DUMMYFUNCTION("""COMPUTED_VALUE"""),-2.87)</f>
        <v>-2.87</v>
      </c>
      <c r="U171" s="1">
        <f ca="1">IFERROR(__xludf.DUMMYFUNCTION("""COMPUTED_VALUE"""),251)</f>
        <v>251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IFERROR(__xludf.DUMMYFUNCTION("""COMPUTED_VALUE"""),"Southern16")</f>
        <v>Southern16</v>
      </c>
      <c r="C172" s="1" t="str">
        <f ca="1">IFERROR(__xludf.DUMMYFUNCTION("""COMPUTED_VALUE"""),"SWAC")</f>
        <v>SWAC</v>
      </c>
      <c r="D172" s="1" t="str">
        <f ca="1">IFERROR(__xludf.DUMMYFUNCTION("""COMPUTED_VALUE"""),"23-10")</f>
        <v>23-10</v>
      </c>
      <c r="E172" s="1" t="str">
        <f ca="1">IFERROR(__xludf.DUMMYFUNCTION("""COMPUTED_VALUE"""),"+0.50")</f>
        <v>+0.50</v>
      </c>
      <c r="F172" s="1">
        <f ca="1">IFERROR(__xludf.DUMMYFUNCTION("""COMPUTED_VALUE"""),99.3)</f>
        <v>99.3</v>
      </c>
      <c r="G172" s="1">
        <f ca="1">IFERROR(__xludf.DUMMYFUNCTION("""COMPUTED_VALUE"""),231)</f>
        <v>231</v>
      </c>
      <c r="H172" s="1">
        <f ca="1">IFERROR(__xludf.DUMMYFUNCTION("""COMPUTED_VALUE"""),98.8)</f>
        <v>98.8</v>
      </c>
      <c r="I172" s="1">
        <f ca="1">IFERROR(__xludf.DUMMYFUNCTION("""COMPUTED_VALUE"""),103)</f>
        <v>103</v>
      </c>
      <c r="J172" s="1">
        <f ca="1">IFERROR(__xludf.DUMMYFUNCTION("""COMPUTED_VALUE"""),63.4)</f>
        <v>63.4</v>
      </c>
      <c r="K172" s="1">
        <f ca="1">IFERROR(__xludf.DUMMYFUNCTION("""COMPUTED_VALUE"""),222)</f>
        <v>222</v>
      </c>
      <c r="L172" s="1">
        <f ca="1">IFERROR(__xludf.DUMMYFUNCTION("""COMPUTED_VALUE"""),-0.031)</f>
        <v>-3.1E-2</v>
      </c>
      <c r="M172" s="1">
        <f ca="1">IFERROR(__xludf.DUMMYFUNCTION("""COMPUTED_VALUE"""),257)</f>
        <v>257</v>
      </c>
      <c r="N172" s="1">
        <f ca="1">IFERROR(__xludf.DUMMYFUNCTION("""COMPUTED_VALUE"""),-11.47)</f>
        <v>-11.47</v>
      </c>
      <c r="O172" s="1">
        <f ca="1">IFERROR(__xludf.DUMMYFUNCTION("""COMPUTED_VALUE"""),347)</f>
        <v>347</v>
      </c>
      <c r="P172" s="1">
        <f ca="1">IFERROR(__xludf.DUMMYFUNCTION("""COMPUTED_VALUE"""),95.2)</f>
        <v>95.2</v>
      </c>
      <c r="Q172" s="1">
        <f ca="1">IFERROR(__xludf.DUMMYFUNCTION("""COMPUTED_VALUE"""),347)</f>
        <v>347</v>
      </c>
      <c r="R172" s="1">
        <f ca="1">IFERROR(__xludf.DUMMYFUNCTION("""COMPUTED_VALUE"""),106.7)</f>
        <v>106.7</v>
      </c>
      <c r="S172" s="1">
        <f ca="1">IFERROR(__xludf.DUMMYFUNCTION("""COMPUTED_VALUE"""),331)</f>
        <v>331</v>
      </c>
      <c r="T172" s="1" t="str">
        <f ca="1">IFERROR(__xludf.DUMMYFUNCTION("""COMPUTED_VALUE"""),"+4.12")</f>
        <v>+4.12</v>
      </c>
      <c r="U172" s="1">
        <f ca="1">IFERROR(__xludf.DUMMYFUNCTION("""COMPUTED_VALUE"""),58)</f>
        <v>58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IFERROR(__xludf.DUMMYFUNCTION("""COMPUTED_VALUE"""),"UAB")</f>
        <v>UAB</v>
      </c>
      <c r="C173" s="1" t="str">
        <f ca="1">IFERROR(__xludf.DUMMYFUNCTION("""COMPUTED_VALUE"""),"CUSA")</f>
        <v>CUSA</v>
      </c>
      <c r="D173" s="1" t="str">
        <f ca="1">IFERROR(__xludf.DUMMYFUNCTION("""COMPUTED_VALUE"""),"16-17")</f>
        <v>16-17</v>
      </c>
      <c r="E173" s="1" t="str">
        <f ca="1">IFERROR(__xludf.DUMMYFUNCTION("""COMPUTED_VALUE"""),"+0.35")</f>
        <v>+0.35</v>
      </c>
      <c r="F173" s="1">
        <f ca="1">IFERROR(__xludf.DUMMYFUNCTION("""COMPUTED_VALUE"""),100.9)</f>
        <v>100.9</v>
      </c>
      <c r="G173" s="1">
        <f ca="1">IFERROR(__xludf.DUMMYFUNCTION("""COMPUTED_VALUE"""),205)</f>
        <v>205</v>
      </c>
      <c r="H173" s="1">
        <f ca="1">IFERROR(__xludf.DUMMYFUNCTION("""COMPUTED_VALUE"""),100.6)</f>
        <v>100.6</v>
      </c>
      <c r="I173" s="1">
        <f ca="1">IFERROR(__xludf.DUMMYFUNCTION("""COMPUTED_VALUE"""),134)</f>
        <v>134</v>
      </c>
      <c r="J173" s="1">
        <f ca="1">IFERROR(__xludf.DUMMYFUNCTION("""COMPUTED_VALUE"""),69.3)</f>
        <v>69.3</v>
      </c>
      <c r="K173" s="1">
        <f ca="1">IFERROR(__xludf.DUMMYFUNCTION("""COMPUTED_VALUE"""),16)</f>
        <v>16</v>
      </c>
      <c r="L173" s="1" t="str">
        <f ca="1">IFERROR(__xludf.DUMMYFUNCTION("""COMPUTED_VALUE"""),"+.003")</f>
        <v>+.003</v>
      </c>
      <c r="M173" s="1">
        <f ca="1">IFERROR(__xludf.DUMMYFUNCTION("""COMPUTED_VALUE"""),169)</f>
        <v>169</v>
      </c>
      <c r="N173" s="1" t="str">
        <f ca="1">IFERROR(__xludf.DUMMYFUNCTION("""COMPUTED_VALUE"""),"+1.54")</f>
        <v>+1.54</v>
      </c>
      <c r="O173" s="1">
        <f ca="1">IFERROR(__xludf.DUMMYFUNCTION("""COMPUTED_VALUE"""),122)</f>
        <v>122</v>
      </c>
      <c r="P173" s="1">
        <f ca="1">IFERROR(__xludf.DUMMYFUNCTION("""COMPUTED_VALUE"""),104)</f>
        <v>104</v>
      </c>
      <c r="Q173" s="1">
        <f ca="1">IFERROR(__xludf.DUMMYFUNCTION("""COMPUTED_VALUE"""),116)</f>
        <v>116</v>
      </c>
      <c r="R173" s="1">
        <f ca="1">IFERROR(__xludf.DUMMYFUNCTION("""COMPUTED_VALUE"""),102.4)</f>
        <v>102.4</v>
      </c>
      <c r="S173" s="1">
        <f ca="1">IFERROR(__xludf.DUMMYFUNCTION("""COMPUTED_VALUE"""),140)</f>
        <v>140</v>
      </c>
      <c r="T173" s="1">
        <f ca="1">IFERROR(__xludf.DUMMYFUNCTION("""COMPUTED_VALUE"""),-1.05)</f>
        <v>-1.05</v>
      </c>
      <c r="U173" s="1">
        <f ca="1">IFERROR(__xludf.DUMMYFUNCTION("""COMPUTED_VALUE"""),192)</f>
        <v>192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IFERROR(__xludf.DUMMYFUNCTION("""COMPUTED_VALUE"""),"North Carolina Central")</f>
        <v>North Carolina Central</v>
      </c>
      <c r="C174" s="1" t="str">
        <f ca="1">IFERROR(__xludf.DUMMYFUNCTION("""COMPUTED_VALUE"""),"MEAC")</f>
        <v>MEAC</v>
      </c>
      <c r="D174" s="1" t="str">
        <f ca="1">IFERROR(__xludf.DUMMYFUNCTION("""COMPUTED_VALUE"""),"22-9")</f>
        <v>22-9</v>
      </c>
      <c r="E174" s="1" t="str">
        <f ca="1">IFERROR(__xludf.DUMMYFUNCTION("""COMPUTED_VALUE"""),"+0.32")</f>
        <v>+0.32</v>
      </c>
      <c r="F174" s="1">
        <f ca="1">IFERROR(__xludf.DUMMYFUNCTION("""COMPUTED_VALUE"""),99.3)</f>
        <v>99.3</v>
      </c>
      <c r="G174" s="1">
        <f ca="1">IFERROR(__xludf.DUMMYFUNCTION("""COMPUTED_VALUE"""),230)</f>
        <v>230</v>
      </c>
      <c r="H174" s="1">
        <f ca="1">IFERROR(__xludf.DUMMYFUNCTION("""COMPUTED_VALUE"""),99)</f>
        <v>99</v>
      </c>
      <c r="I174" s="1">
        <f ca="1">IFERROR(__xludf.DUMMYFUNCTION("""COMPUTED_VALUE"""),106)</f>
        <v>106</v>
      </c>
      <c r="J174" s="1">
        <f ca="1">IFERROR(__xludf.DUMMYFUNCTION("""COMPUTED_VALUE"""),62.8)</f>
        <v>62.8</v>
      </c>
      <c r="K174" s="1">
        <f ca="1">IFERROR(__xludf.DUMMYFUNCTION("""COMPUTED_VALUE"""),252)</f>
        <v>252</v>
      </c>
      <c r="L174" s="1" t="str">
        <f ca="1">IFERROR(__xludf.DUMMYFUNCTION("""COMPUTED_VALUE"""),"+.026")</f>
        <v>+.026</v>
      </c>
      <c r="M174" s="1">
        <f ca="1">IFERROR(__xludf.DUMMYFUNCTION("""COMPUTED_VALUE"""),118)</f>
        <v>118</v>
      </c>
      <c r="N174" s="1">
        <f ca="1">IFERROR(__xludf.DUMMYFUNCTION("""COMPUTED_VALUE"""),-7.69)</f>
        <v>-7.69</v>
      </c>
      <c r="O174" s="1">
        <f ca="1">IFERROR(__xludf.DUMMYFUNCTION("""COMPUTED_VALUE"""),331)</f>
        <v>331</v>
      </c>
      <c r="P174" s="1">
        <f ca="1">IFERROR(__xludf.DUMMYFUNCTION("""COMPUTED_VALUE"""),96.3)</f>
        <v>96.3</v>
      </c>
      <c r="Q174" s="1">
        <f ca="1">IFERROR(__xludf.DUMMYFUNCTION("""COMPUTED_VALUE"""),340)</f>
        <v>340</v>
      </c>
      <c r="R174" s="1">
        <f ca="1">IFERROR(__xludf.DUMMYFUNCTION("""COMPUTED_VALUE"""),104)</f>
        <v>104</v>
      </c>
      <c r="S174" s="1">
        <f ca="1">IFERROR(__xludf.DUMMYFUNCTION("""COMPUTED_VALUE"""),219)</f>
        <v>219</v>
      </c>
      <c r="T174" s="1" t="str">
        <f ca="1">IFERROR(__xludf.DUMMYFUNCTION("""COMPUTED_VALUE"""),"+1.39")</f>
        <v>+1.39</v>
      </c>
      <c r="U174" s="1">
        <f ca="1">IFERROR(__xludf.DUMMYFUNCTION("""COMPUTED_VALUE"""),118)</f>
        <v>118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IFERROR(__xludf.DUMMYFUNCTION("""COMPUTED_VALUE"""),"Tennessee St.")</f>
        <v>Tennessee St.</v>
      </c>
      <c r="C175" s="1" t="str">
        <f ca="1">IFERROR(__xludf.DUMMYFUNCTION("""COMPUTED_VALUE"""),"OVC")</f>
        <v>OVC</v>
      </c>
      <c r="D175" s="1" t="str">
        <f ca="1">IFERROR(__xludf.DUMMYFUNCTION("""COMPUTED_VALUE"""),"18-15")</f>
        <v>18-15</v>
      </c>
      <c r="E175" s="1" t="str">
        <f ca="1">IFERROR(__xludf.DUMMYFUNCTION("""COMPUTED_VALUE"""),"+0.18")</f>
        <v>+0.18</v>
      </c>
      <c r="F175" s="1">
        <f ca="1">IFERROR(__xludf.DUMMYFUNCTION("""COMPUTED_VALUE"""),104.9)</f>
        <v>104.9</v>
      </c>
      <c r="G175" s="1">
        <f ca="1">IFERROR(__xludf.DUMMYFUNCTION("""COMPUTED_VALUE"""),135)</f>
        <v>135</v>
      </c>
      <c r="H175" s="1">
        <f ca="1">IFERROR(__xludf.DUMMYFUNCTION("""COMPUTED_VALUE"""),104.7)</f>
        <v>104.7</v>
      </c>
      <c r="I175" s="1">
        <f ca="1">IFERROR(__xludf.DUMMYFUNCTION("""COMPUTED_VALUE"""),210)</f>
        <v>210</v>
      </c>
      <c r="J175" s="1">
        <f ca="1">IFERROR(__xludf.DUMMYFUNCTION("""COMPUTED_VALUE"""),66.7)</f>
        <v>66.7</v>
      </c>
      <c r="K175" s="1">
        <f ca="1">IFERROR(__xludf.DUMMYFUNCTION("""COMPUTED_VALUE"""),70)</f>
        <v>70</v>
      </c>
      <c r="L175" s="1" t="str">
        <f ca="1">IFERROR(__xludf.DUMMYFUNCTION("""COMPUTED_VALUE"""),"+.038")</f>
        <v>+.038</v>
      </c>
      <c r="M175" s="1">
        <f ca="1">IFERROR(__xludf.DUMMYFUNCTION("""COMPUTED_VALUE"""),81)</f>
        <v>81</v>
      </c>
      <c r="N175" s="1">
        <f ca="1">IFERROR(__xludf.DUMMYFUNCTION("""COMPUTED_VALUE"""),-0.17)</f>
        <v>-0.17</v>
      </c>
      <c r="O175" s="1">
        <f ca="1">IFERROR(__xludf.DUMMYFUNCTION("""COMPUTED_VALUE"""),146)</f>
        <v>146</v>
      </c>
      <c r="P175" s="1">
        <f ca="1">IFERROR(__xludf.DUMMYFUNCTION("""COMPUTED_VALUE"""),103.6)</f>
        <v>103.6</v>
      </c>
      <c r="Q175" s="1">
        <f ca="1">IFERROR(__xludf.DUMMYFUNCTION("""COMPUTED_VALUE"""),125)</f>
        <v>125</v>
      </c>
      <c r="R175" s="1">
        <f ca="1">IFERROR(__xludf.DUMMYFUNCTION("""COMPUTED_VALUE"""),103.8)</f>
        <v>103.8</v>
      </c>
      <c r="S175" s="1">
        <f ca="1">IFERROR(__xludf.DUMMYFUNCTION("""COMPUTED_VALUE"""),211)</f>
        <v>211</v>
      </c>
      <c r="T175" s="1" t="str">
        <f ca="1">IFERROR(__xludf.DUMMYFUNCTION("""COMPUTED_VALUE"""),"+3.92")</f>
        <v>+3.92</v>
      </c>
      <c r="U175" s="1">
        <f ca="1">IFERROR(__xludf.DUMMYFUNCTION("""COMPUTED_VALUE"""),65)</f>
        <v>65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IFERROR(__xludf.DUMMYFUNCTION("""COMPUTED_VALUE"""),"Loyola Chicago")</f>
        <v>Loyola Chicago</v>
      </c>
      <c r="C176" s="1" t="str">
        <f ca="1">IFERROR(__xludf.DUMMYFUNCTION("""COMPUTED_VALUE"""),"Horz")</f>
        <v>Horz</v>
      </c>
      <c r="D176" s="1" t="str">
        <f ca="1">IFERROR(__xludf.DUMMYFUNCTION("""COMPUTED_VALUE"""),"15-16")</f>
        <v>15-16</v>
      </c>
      <c r="E176" s="1" t="str">
        <f ca="1">IFERROR(__xludf.DUMMYFUNCTION("""COMPUTED_VALUE"""),"+0.12")</f>
        <v>+0.12</v>
      </c>
      <c r="F176" s="1">
        <f ca="1">IFERROR(__xludf.DUMMYFUNCTION("""COMPUTED_VALUE"""),103.2)</f>
        <v>103.2</v>
      </c>
      <c r="G176" s="1">
        <f ca="1">IFERROR(__xludf.DUMMYFUNCTION("""COMPUTED_VALUE"""),156)</f>
        <v>156</v>
      </c>
      <c r="H176" s="1">
        <f ca="1">IFERROR(__xludf.DUMMYFUNCTION("""COMPUTED_VALUE"""),103.1)</f>
        <v>103.1</v>
      </c>
      <c r="I176" s="1">
        <f ca="1">IFERROR(__xludf.DUMMYFUNCTION("""COMPUTED_VALUE"""),180)</f>
        <v>180</v>
      </c>
      <c r="J176" s="1">
        <f ca="1">IFERROR(__xludf.DUMMYFUNCTION("""COMPUTED_VALUE"""),61.8)</f>
        <v>61.8</v>
      </c>
      <c r="K176" s="1">
        <f ca="1">IFERROR(__xludf.DUMMYFUNCTION("""COMPUTED_VALUE"""),284)</f>
        <v>284</v>
      </c>
      <c r="L176" s="1">
        <f ca="1">IFERROR(__xludf.DUMMYFUNCTION("""COMPUTED_VALUE"""),-0.083)</f>
        <v>-8.3000000000000004E-2</v>
      </c>
      <c r="M176" s="1">
        <f ca="1">IFERROR(__xludf.DUMMYFUNCTION("""COMPUTED_VALUE"""),327)</f>
        <v>327</v>
      </c>
      <c r="N176" s="1">
        <f ca="1">IFERROR(__xludf.DUMMYFUNCTION("""COMPUTED_VALUE"""),-2.56)</f>
        <v>-2.56</v>
      </c>
      <c r="O176" s="1">
        <f ca="1">IFERROR(__xludf.DUMMYFUNCTION("""COMPUTED_VALUE"""),204)</f>
        <v>204</v>
      </c>
      <c r="P176" s="1">
        <f ca="1">IFERROR(__xludf.DUMMYFUNCTION("""COMPUTED_VALUE"""),100.6)</f>
        <v>100.6</v>
      </c>
      <c r="Q176" s="1">
        <f ca="1">IFERROR(__xludf.DUMMYFUNCTION("""COMPUTED_VALUE"""),246)</f>
        <v>246</v>
      </c>
      <c r="R176" s="1">
        <f ca="1">IFERROR(__xludf.DUMMYFUNCTION("""COMPUTED_VALUE"""),103.2)</f>
        <v>103.2</v>
      </c>
      <c r="S176" s="1">
        <f ca="1">IFERROR(__xludf.DUMMYFUNCTION("""COMPUTED_VALUE"""),181)</f>
        <v>181</v>
      </c>
      <c r="T176" s="1">
        <f ca="1">IFERROR(__xludf.DUMMYFUNCTION("""COMPUTED_VALUE"""),-6.53)</f>
        <v>-6.53</v>
      </c>
      <c r="U176" s="1">
        <f ca="1">IFERROR(__xludf.DUMMYFUNCTION("""COMPUTED_VALUE"""),314)</f>
        <v>314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IFERROR(__xludf.DUMMYFUNCTION("""COMPUTED_VALUE"""),"Delaware")</f>
        <v>Delaware</v>
      </c>
      <c r="C177" s="1" t="str">
        <f ca="1">IFERROR(__xludf.DUMMYFUNCTION("""COMPUTED_VALUE"""),"CAA")</f>
        <v>CAA</v>
      </c>
      <c r="D177" s="1" t="str">
        <f ca="1">IFERROR(__xludf.DUMMYFUNCTION("""COMPUTED_VALUE"""),"19-14")</f>
        <v>19-14</v>
      </c>
      <c r="E177" s="1" t="str">
        <f ca="1">IFERROR(__xludf.DUMMYFUNCTION("""COMPUTED_VALUE"""),"+0.11")</f>
        <v>+0.11</v>
      </c>
      <c r="F177" s="1">
        <f ca="1">IFERROR(__xludf.DUMMYFUNCTION("""COMPUTED_VALUE"""),104.4)</f>
        <v>104.4</v>
      </c>
      <c r="G177" s="1">
        <f ca="1">IFERROR(__xludf.DUMMYFUNCTION("""COMPUTED_VALUE"""),143)</f>
        <v>143</v>
      </c>
      <c r="H177" s="1">
        <f ca="1">IFERROR(__xludf.DUMMYFUNCTION("""COMPUTED_VALUE"""),104.3)</f>
        <v>104.3</v>
      </c>
      <c r="I177" s="1">
        <f ca="1">IFERROR(__xludf.DUMMYFUNCTION("""COMPUTED_VALUE"""),204)</f>
        <v>204</v>
      </c>
      <c r="J177" s="1">
        <f ca="1">IFERROR(__xludf.DUMMYFUNCTION("""COMPUTED_VALUE"""),65.9)</f>
        <v>65.900000000000006</v>
      </c>
      <c r="K177" s="1">
        <f ca="1">IFERROR(__xludf.DUMMYFUNCTION("""COMPUTED_VALUE"""),108)</f>
        <v>108</v>
      </c>
      <c r="L177" s="1" t="str">
        <f ca="1">IFERROR(__xludf.DUMMYFUNCTION("""COMPUTED_VALUE"""),"+.079")</f>
        <v>+.079</v>
      </c>
      <c r="M177" s="1">
        <f ca="1">IFERROR(__xludf.DUMMYFUNCTION("""COMPUTED_VALUE"""),24)</f>
        <v>24</v>
      </c>
      <c r="N177" s="1">
        <f ca="1">IFERROR(__xludf.DUMMYFUNCTION("""COMPUTED_VALUE"""),-1.23)</f>
        <v>-1.23</v>
      </c>
      <c r="O177" s="1">
        <f ca="1">IFERROR(__xludf.DUMMYFUNCTION("""COMPUTED_VALUE"""),166)</f>
        <v>166</v>
      </c>
      <c r="P177" s="1">
        <f ca="1">IFERROR(__xludf.DUMMYFUNCTION("""COMPUTED_VALUE"""),101.7)</f>
        <v>101.7</v>
      </c>
      <c r="Q177" s="1">
        <f ca="1">IFERROR(__xludf.DUMMYFUNCTION("""COMPUTED_VALUE"""),194)</f>
        <v>194</v>
      </c>
      <c r="R177" s="1">
        <f ca="1">IFERROR(__xludf.DUMMYFUNCTION("""COMPUTED_VALUE"""),102.9)</f>
        <v>102.9</v>
      </c>
      <c r="S177" s="1">
        <f ca="1">IFERROR(__xludf.DUMMYFUNCTION("""COMPUTED_VALUE"""),160)</f>
        <v>160</v>
      </c>
      <c r="T177" s="1" t="str">
        <f ca="1">IFERROR(__xludf.DUMMYFUNCTION("""COMPUTED_VALUE"""),"+7.41")</f>
        <v>+7.41</v>
      </c>
      <c r="U177" s="1">
        <f ca="1">IFERROR(__xludf.DUMMYFUNCTION("""COMPUTED_VALUE"""),14)</f>
        <v>14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IFERROR(__xludf.DUMMYFUNCTION("""COMPUTED_VALUE"""),"Drexel")</f>
        <v>Drexel</v>
      </c>
      <c r="C178" s="1" t="str">
        <f ca="1">IFERROR(__xludf.DUMMYFUNCTION("""COMPUTED_VALUE"""),"CAA")</f>
        <v>CAA</v>
      </c>
      <c r="D178" s="1" t="str">
        <f ca="1">IFERROR(__xludf.DUMMYFUNCTION("""COMPUTED_VALUE"""),"13-18")</f>
        <v>13-18</v>
      </c>
      <c r="E178" s="1" t="str">
        <f ca="1">IFERROR(__xludf.DUMMYFUNCTION("""COMPUTED_VALUE"""),"+0.08")</f>
        <v>+0.08</v>
      </c>
      <c r="F178" s="1">
        <f ca="1">IFERROR(__xludf.DUMMYFUNCTION("""COMPUTED_VALUE"""),102.1)</f>
        <v>102.1</v>
      </c>
      <c r="G178" s="1">
        <f ca="1">IFERROR(__xludf.DUMMYFUNCTION("""COMPUTED_VALUE"""),183)</f>
        <v>183</v>
      </c>
      <c r="H178" s="1">
        <f ca="1">IFERROR(__xludf.DUMMYFUNCTION("""COMPUTED_VALUE"""),102)</f>
        <v>102</v>
      </c>
      <c r="I178" s="1">
        <f ca="1">IFERROR(__xludf.DUMMYFUNCTION("""COMPUTED_VALUE"""),155)</f>
        <v>155</v>
      </c>
      <c r="J178" s="1">
        <f ca="1">IFERROR(__xludf.DUMMYFUNCTION("""COMPUTED_VALUE"""),60.5)</f>
        <v>60.5</v>
      </c>
      <c r="K178" s="1">
        <f ca="1">IFERROR(__xludf.DUMMYFUNCTION("""COMPUTED_VALUE"""),317)</f>
        <v>317</v>
      </c>
      <c r="L178" s="1">
        <f ca="1">IFERROR(__xludf.DUMMYFUNCTION("""COMPUTED_VALUE"""),-0.089)</f>
        <v>-8.8999999999999996E-2</v>
      </c>
      <c r="M178" s="1">
        <f ca="1">IFERROR(__xludf.DUMMYFUNCTION("""COMPUTED_VALUE"""),331)</f>
        <v>331</v>
      </c>
      <c r="N178" s="1">
        <f ca="1">IFERROR(__xludf.DUMMYFUNCTION("""COMPUTED_VALUE"""),-0.75)</f>
        <v>-0.75</v>
      </c>
      <c r="O178" s="1">
        <f ca="1">IFERROR(__xludf.DUMMYFUNCTION("""COMPUTED_VALUE"""),158)</f>
        <v>158</v>
      </c>
      <c r="P178" s="1">
        <f ca="1">IFERROR(__xludf.DUMMYFUNCTION("""COMPUTED_VALUE"""),102.9)</f>
        <v>102.9</v>
      </c>
      <c r="Q178" s="1">
        <f ca="1">IFERROR(__xludf.DUMMYFUNCTION("""COMPUTED_VALUE"""),142)</f>
        <v>142</v>
      </c>
      <c r="R178" s="1">
        <f ca="1">IFERROR(__xludf.DUMMYFUNCTION("""COMPUTED_VALUE"""),103.6)</f>
        <v>103.6</v>
      </c>
      <c r="S178" s="1">
        <f ca="1">IFERROR(__xludf.DUMMYFUNCTION("""COMPUTED_VALUE"""),196)</f>
        <v>196</v>
      </c>
      <c r="T178" s="1" t="str">
        <f ca="1">IFERROR(__xludf.DUMMYFUNCTION("""COMPUTED_VALUE"""),"+4.20")</f>
        <v>+4.20</v>
      </c>
      <c r="U178" s="1">
        <f ca="1">IFERROR(__xludf.DUMMYFUNCTION("""COMPUTED_VALUE"""),56)</f>
        <v>56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IFERROR(__xludf.DUMMYFUNCTION("""COMPUTED_VALUE"""),"Virginia Tech")</f>
        <v>Virginia Tech</v>
      </c>
      <c r="C179" s="1" t="str">
        <f ca="1">IFERROR(__xludf.DUMMYFUNCTION("""COMPUTED_VALUE"""),"ACC")</f>
        <v>ACC</v>
      </c>
      <c r="D179" s="1" t="str">
        <f ca="1">IFERROR(__xludf.DUMMYFUNCTION("""COMPUTED_VALUE"""),"13-19")</f>
        <v>13-19</v>
      </c>
      <c r="E179" s="1">
        <f ca="1">IFERROR(__xludf.DUMMYFUNCTION("""COMPUTED_VALUE"""),-0.1)</f>
        <v>-0.1</v>
      </c>
      <c r="F179" s="1">
        <f ca="1">IFERROR(__xludf.DUMMYFUNCTION("""COMPUTED_VALUE"""),107.2)</f>
        <v>107.2</v>
      </c>
      <c r="G179" s="1">
        <f ca="1">IFERROR(__xludf.DUMMYFUNCTION("""COMPUTED_VALUE"""),90)</f>
        <v>90</v>
      </c>
      <c r="H179" s="1">
        <f ca="1">IFERROR(__xludf.DUMMYFUNCTION("""COMPUTED_VALUE"""),107.3)</f>
        <v>107.3</v>
      </c>
      <c r="I179" s="1">
        <f ca="1">IFERROR(__xludf.DUMMYFUNCTION("""COMPUTED_VALUE"""),265)</f>
        <v>265</v>
      </c>
      <c r="J179" s="1">
        <f ca="1">IFERROR(__xludf.DUMMYFUNCTION("""COMPUTED_VALUE"""),65.9)</f>
        <v>65.900000000000006</v>
      </c>
      <c r="K179" s="1">
        <f ca="1">IFERROR(__xludf.DUMMYFUNCTION("""COMPUTED_VALUE"""),111)</f>
        <v>111</v>
      </c>
      <c r="L179" s="1" t="str">
        <f ca="1">IFERROR(__xludf.DUMMYFUNCTION("""COMPUTED_VALUE"""),"+.032")</f>
        <v>+.032</v>
      </c>
      <c r="M179" s="1">
        <f ca="1">IFERROR(__xludf.DUMMYFUNCTION("""COMPUTED_VALUE"""),100)</f>
        <v>100</v>
      </c>
      <c r="N179" s="1" t="str">
        <f ca="1">IFERROR(__xludf.DUMMYFUNCTION("""COMPUTED_VALUE"""),"+6.45")</f>
        <v>+6.45</v>
      </c>
      <c r="O179" s="1">
        <f ca="1">IFERROR(__xludf.DUMMYFUNCTION("""COMPUTED_VALUE"""),56)</f>
        <v>56</v>
      </c>
      <c r="P179" s="1">
        <f ca="1">IFERROR(__xludf.DUMMYFUNCTION("""COMPUTED_VALUE"""),105.8)</f>
        <v>105.8</v>
      </c>
      <c r="Q179" s="1">
        <f ca="1">IFERROR(__xludf.DUMMYFUNCTION("""COMPUTED_VALUE"""),52)</f>
        <v>52</v>
      </c>
      <c r="R179" s="1">
        <f ca="1">IFERROR(__xludf.DUMMYFUNCTION("""COMPUTED_VALUE"""),99.4)</f>
        <v>99.4</v>
      </c>
      <c r="S179" s="1">
        <f ca="1">IFERROR(__xludf.DUMMYFUNCTION("""COMPUTED_VALUE"""),56)</f>
        <v>56</v>
      </c>
      <c r="T179" s="1">
        <f ca="1">IFERROR(__xludf.DUMMYFUNCTION("""COMPUTED_VALUE"""),-3.98)</f>
        <v>-3.98</v>
      </c>
      <c r="U179" s="1">
        <f ca="1">IFERROR(__xludf.DUMMYFUNCTION("""COMPUTED_VALUE"""),275)</f>
        <v>275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IFERROR(__xludf.DUMMYFUNCTION("""COMPUTED_VALUE"""),"San Diego")</f>
        <v>San Diego</v>
      </c>
      <c r="C180" s="1" t="str">
        <f ca="1">IFERROR(__xludf.DUMMYFUNCTION("""COMPUTED_VALUE"""),"WCC")</f>
        <v>WCC</v>
      </c>
      <c r="D180" s="1" t="str">
        <f ca="1">IFERROR(__xludf.DUMMYFUNCTION("""COMPUTED_VALUE"""),"16-18")</f>
        <v>16-18</v>
      </c>
      <c r="E180" s="1">
        <f ca="1">IFERROR(__xludf.DUMMYFUNCTION("""COMPUTED_VALUE"""),-0.14)</f>
        <v>-0.14000000000000001</v>
      </c>
      <c r="F180" s="1">
        <f ca="1">IFERROR(__xludf.DUMMYFUNCTION("""COMPUTED_VALUE"""),102.8)</f>
        <v>102.8</v>
      </c>
      <c r="G180" s="1">
        <f ca="1">IFERROR(__xludf.DUMMYFUNCTION("""COMPUTED_VALUE"""),164)</f>
        <v>164</v>
      </c>
      <c r="H180" s="1">
        <f ca="1">IFERROR(__xludf.DUMMYFUNCTION("""COMPUTED_VALUE"""),103)</f>
        <v>103</v>
      </c>
      <c r="I180" s="1">
        <f ca="1">IFERROR(__xludf.DUMMYFUNCTION("""COMPUTED_VALUE"""),176)</f>
        <v>176</v>
      </c>
      <c r="J180" s="1">
        <f ca="1">IFERROR(__xludf.DUMMYFUNCTION("""COMPUTED_VALUE"""),62.5)</f>
        <v>62.5</v>
      </c>
      <c r="K180" s="1">
        <f ca="1">IFERROR(__xludf.DUMMYFUNCTION("""COMPUTED_VALUE"""),268)</f>
        <v>268</v>
      </c>
      <c r="L180" s="1" t="str">
        <f ca="1">IFERROR(__xludf.DUMMYFUNCTION("""COMPUTED_VALUE"""),"+.039")</f>
        <v>+.039</v>
      </c>
      <c r="M180" s="1">
        <f ca="1">IFERROR(__xludf.DUMMYFUNCTION("""COMPUTED_VALUE"""),80)</f>
        <v>80</v>
      </c>
      <c r="N180" s="1" t="str">
        <f ca="1">IFERROR(__xludf.DUMMYFUNCTION("""COMPUTED_VALUE"""),"+2.94")</f>
        <v>+2.94</v>
      </c>
      <c r="O180" s="1">
        <f ca="1">IFERROR(__xludf.DUMMYFUNCTION("""COMPUTED_VALUE"""),113)</f>
        <v>113</v>
      </c>
      <c r="P180" s="1">
        <f ca="1">IFERROR(__xludf.DUMMYFUNCTION("""COMPUTED_VALUE"""),104.4)</f>
        <v>104.4</v>
      </c>
      <c r="Q180" s="1">
        <f ca="1">IFERROR(__xludf.DUMMYFUNCTION("""COMPUTED_VALUE"""),103)</f>
        <v>103</v>
      </c>
      <c r="R180" s="1">
        <f ca="1">IFERROR(__xludf.DUMMYFUNCTION("""COMPUTED_VALUE"""),101.4)</f>
        <v>101.4</v>
      </c>
      <c r="S180" s="1">
        <f ca="1">IFERROR(__xludf.DUMMYFUNCTION("""COMPUTED_VALUE"""),112)</f>
        <v>112</v>
      </c>
      <c r="T180" s="1">
        <f ca="1">IFERROR(__xludf.DUMMYFUNCTION("""COMPUTED_VALUE"""),-2.41)</f>
        <v>-2.41</v>
      </c>
      <c r="U180" s="1">
        <f ca="1">IFERROR(__xludf.DUMMYFUNCTION("""COMPUTED_VALUE"""),241)</f>
        <v>241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IFERROR(__xludf.DUMMYFUNCTION("""COMPUTED_VALUE"""),"Lafayette")</f>
        <v>Lafayette</v>
      </c>
      <c r="C181" s="1" t="str">
        <f ca="1">IFERROR(__xludf.DUMMYFUNCTION("""COMPUTED_VALUE"""),"Pat")</f>
        <v>Pat</v>
      </c>
      <c r="D181" s="1" t="str">
        <f ca="1">IFERROR(__xludf.DUMMYFUNCTION("""COMPUTED_VALUE"""),"19-15")</f>
        <v>19-15</v>
      </c>
      <c r="E181" s="1">
        <f ca="1">IFERROR(__xludf.DUMMYFUNCTION("""COMPUTED_VALUE"""),-0.25)</f>
        <v>-0.25</v>
      </c>
      <c r="F181" s="1">
        <f ca="1">IFERROR(__xludf.DUMMYFUNCTION("""COMPUTED_VALUE"""),106)</f>
        <v>106</v>
      </c>
      <c r="G181" s="1">
        <f ca="1">IFERROR(__xludf.DUMMYFUNCTION("""COMPUTED_VALUE"""),117)</f>
        <v>117</v>
      </c>
      <c r="H181" s="1">
        <f ca="1">IFERROR(__xludf.DUMMYFUNCTION("""COMPUTED_VALUE"""),106.2)</f>
        <v>106.2</v>
      </c>
      <c r="I181" s="1">
        <f ca="1">IFERROR(__xludf.DUMMYFUNCTION("""COMPUTED_VALUE"""),249)</f>
        <v>249</v>
      </c>
      <c r="J181" s="1">
        <f ca="1">IFERROR(__xludf.DUMMYFUNCTION("""COMPUTED_VALUE"""),64.5)</f>
        <v>64.5</v>
      </c>
      <c r="K181" s="1">
        <f ca="1">IFERROR(__xludf.DUMMYFUNCTION("""COMPUTED_VALUE"""),184)</f>
        <v>184</v>
      </c>
      <c r="L181" s="1" t="str">
        <f ca="1">IFERROR(__xludf.DUMMYFUNCTION("""COMPUTED_VALUE"""),"+.048")</f>
        <v>+.048</v>
      </c>
      <c r="M181" s="1">
        <f ca="1">IFERROR(__xludf.DUMMYFUNCTION("""COMPUTED_VALUE"""),56)</f>
        <v>56</v>
      </c>
      <c r="N181" s="1">
        <f ca="1">IFERROR(__xludf.DUMMYFUNCTION("""COMPUTED_VALUE"""),-2.64)</f>
        <v>-2.64</v>
      </c>
      <c r="O181" s="1">
        <f ca="1">IFERROR(__xludf.DUMMYFUNCTION("""COMPUTED_VALUE"""),208)</f>
        <v>208</v>
      </c>
      <c r="P181" s="1">
        <f ca="1">IFERROR(__xludf.DUMMYFUNCTION("""COMPUTED_VALUE"""),101.9)</f>
        <v>101.9</v>
      </c>
      <c r="Q181" s="1">
        <f ca="1">IFERROR(__xludf.DUMMYFUNCTION("""COMPUTED_VALUE"""),179)</f>
        <v>179</v>
      </c>
      <c r="R181" s="1">
        <f ca="1">IFERROR(__xludf.DUMMYFUNCTION("""COMPUTED_VALUE"""),104.6)</f>
        <v>104.6</v>
      </c>
      <c r="S181" s="1">
        <f ca="1">IFERROR(__xludf.DUMMYFUNCTION("""COMPUTED_VALUE"""),242)</f>
        <v>242</v>
      </c>
      <c r="T181" s="1">
        <f ca="1">IFERROR(__xludf.DUMMYFUNCTION("""COMPUTED_VALUE"""),-2.43)</f>
        <v>-2.4300000000000002</v>
      </c>
      <c r="U181" s="1">
        <f ca="1">IFERROR(__xludf.DUMMYFUNCTION("""COMPUTED_VALUE"""),244)</f>
        <v>244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IFERROR(__xludf.DUMMYFUNCTION("""COMPUTED_VALUE"""),"Nevada")</f>
        <v>Nevada</v>
      </c>
      <c r="C182" s="1" t="str">
        <f ca="1">IFERROR(__xludf.DUMMYFUNCTION("""COMPUTED_VALUE"""),"MWC")</f>
        <v>MWC</v>
      </c>
      <c r="D182" s="2">
        <f ca="1">IFERROR(__xludf.DUMMYFUNCTION("""COMPUTED_VALUE"""),44914)</f>
        <v>44914</v>
      </c>
      <c r="E182" s="1">
        <f ca="1">IFERROR(__xludf.DUMMYFUNCTION("""COMPUTED_VALUE"""),-0.28)</f>
        <v>-0.28000000000000003</v>
      </c>
      <c r="F182" s="1">
        <f ca="1">IFERROR(__xludf.DUMMYFUNCTION("""COMPUTED_VALUE"""),105.1)</f>
        <v>105.1</v>
      </c>
      <c r="G182" s="1">
        <f ca="1">IFERROR(__xludf.DUMMYFUNCTION("""COMPUTED_VALUE"""),131)</f>
        <v>131</v>
      </c>
      <c r="H182" s="1">
        <f ca="1">IFERROR(__xludf.DUMMYFUNCTION("""COMPUTED_VALUE"""),105.4)</f>
        <v>105.4</v>
      </c>
      <c r="I182" s="1">
        <f ca="1">IFERROR(__xludf.DUMMYFUNCTION("""COMPUTED_VALUE"""),233)</f>
        <v>233</v>
      </c>
      <c r="J182" s="1">
        <f ca="1">IFERROR(__xludf.DUMMYFUNCTION("""COMPUTED_VALUE"""),65.5)</f>
        <v>65.5</v>
      </c>
      <c r="K182" s="1">
        <f ca="1">IFERROR(__xludf.DUMMYFUNCTION("""COMPUTED_VALUE"""),130)</f>
        <v>130</v>
      </c>
      <c r="L182" s="1" t="str">
        <f ca="1">IFERROR(__xludf.DUMMYFUNCTION("""COMPUTED_VALUE"""),"+.038")</f>
        <v>+.038</v>
      </c>
      <c r="M182" s="1">
        <f ca="1">IFERROR(__xludf.DUMMYFUNCTION("""COMPUTED_VALUE"""),83)</f>
        <v>83</v>
      </c>
      <c r="N182" s="1" t="str">
        <f ca="1">IFERROR(__xludf.DUMMYFUNCTION("""COMPUTED_VALUE"""),"+6.56")</f>
        <v>+6.56</v>
      </c>
      <c r="O182" s="1">
        <f ca="1">IFERROR(__xludf.DUMMYFUNCTION("""COMPUTED_VALUE"""),52)</f>
        <v>52</v>
      </c>
      <c r="P182" s="1">
        <f ca="1">IFERROR(__xludf.DUMMYFUNCTION("""COMPUTED_VALUE"""),106.1)</f>
        <v>106.1</v>
      </c>
      <c r="Q182" s="1">
        <f ca="1">IFERROR(__xludf.DUMMYFUNCTION("""COMPUTED_VALUE"""),39)</f>
        <v>39</v>
      </c>
      <c r="R182" s="1">
        <f ca="1">IFERROR(__xludf.DUMMYFUNCTION("""COMPUTED_VALUE"""),99.5)</f>
        <v>99.5</v>
      </c>
      <c r="S182" s="1">
        <f ca="1">IFERROR(__xludf.DUMMYFUNCTION("""COMPUTED_VALUE"""),62)</f>
        <v>62</v>
      </c>
      <c r="T182" s="1">
        <f ca="1">IFERROR(__xludf.DUMMYFUNCTION("""COMPUTED_VALUE"""),-1.12)</f>
        <v>-1.1200000000000001</v>
      </c>
      <c r="U182" s="1">
        <f ca="1">IFERROR(__xludf.DUMMYFUNCTION("""COMPUTED_VALUE"""),195)</f>
        <v>195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IFERROR(__xludf.DUMMYFUNCTION("""COMPUTED_VALUE"""),"Western Kentucky16")</f>
        <v>Western Kentucky16</v>
      </c>
      <c r="C183" s="1" t="str">
        <f ca="1">IFERROR(__xludf.DUMMYFUNCTION("""COMPUTED_VALUE"""),"SB")</f>
        <v>SB</v>
      </c>
      <c r="D183" s="1" t="str">
        <f ca="1">IFERROR(__xludf.DUMMYFUNCTION("""COMPUTED_VALUE"""),"20-16")</f>
        <v>20-16</v>
      </c>
      <c r="E183" s="1">
        <f ca="1">IFERROR(__xludf.DUMMYFUNCTION("""COMPUTED_VALUE"""),-0.41)</f>
        <v>-0.41</v>
      </c>
      <c r="F183" s="1">
        <f ca="1">IFERROR(__xludf.DUMMYFUNCTION("""COMPUTED_VALUE"""),101.8)</f>
        <v>101.8</v>
      </c>
      <c r="G183" s="1">
        <f ca="1">IFERROR(__xludf.DUMMYFUNCTION("""COMPUTED_VALUE"""),188)</f>
        <v>188</v>
      </c>
      <c r="H183" s="1">
        <f ca="1">IFERROR(__xludf.DUMMYFUNCTION("""COMPUTED_VALUE"""),102.2)</f>
        <v>102.2</v>
      </c>
      <c r="I183" s="1">
        <f ca="1">IFERROR(__xludf.DUMMYFUNCTION("""COMPUTED_VALUE"""),157)</f>
        <v>157</v>
      </c>
      <c r="J183" s="1">
        <f ca="1">IFERROR(__xludf.DUMMYFUNCTION("""COMPUTED_VALUE"""),64.6)</f>
        <v>64.599999999999994</v>
      </c>
      <c r="K183" s="1">
        <f ca="1">IFERROR(__xludf.DUMMYFUNCTION("""COMPUTED_VALUE"""),179)</f>
        <v>179</v>
      </c>
      <c r="L183" s="1" t="str">
        <f ca="1">IFERROR(__xludf.DUMMYFUNCTION("""COMPUTED_VALUE"""),"+.029")</f>
        <v>+.029</v>
      </c>
      <c r="M183" s="1">
        <f ca="1">IFERROR(__xludf.DUMMYFUNCTION("""COMPUTED_VALUE"""),105)</f>
        <v>105</v>
      </c>
      <c r="N183" s="1">
        <f ca="1">IFERROR(__xludf.DUMMYFUNCTION("""COMPUTED_VALUE"""),-2.47)</f>
        <v>-2.4700000000000002</v>
      </c>
      <c r="O183" s="1">
        <f ca="1">IFERROR(__xludf.DUMMYFUNCTION("""COMPUTED_VALUE"""),199)</f>
        <v>199</v>
      </c>
      <c r="P183" s="1">
        <f ca="1">IFERROR(__xludf.DUMMYFUNCTION("""COMPUTED_VALUE"""),100.9)</f>
        <v>100.9</v>
      </c>
      <c r="Q183" s="1">
        <f ca="1">IFERROR(__xludf.DUMMYFUNCTION("""COMPUTED_VALUE"""),235)</f>
        <v>235</v>
      </c>
      <c r="R183" s="1">
        <f ca="1">IFERROR(__xludf.DUMMYFUNCTION("""COMPUTED_VALUE"""),103.3)</f>
        <v>103.3</v>
      </c>
      <c r="S183" s="1">
        <f ca="1">IFERROR(__xludf.DUMMYFUNCTION("""COMPUTED_VALUE"""),186)</f>
        <v>186</v>
      </c>
      <c r="T183" s="1" t="str">
        <f ca="1">IFERROR(__xludf.DUMMYFUNCTION("""COMPUTED_VALUE"""),"+3.24")</f>
        <v>+3.24</v>
      </c>
      <c r="U183" s="1">
        <f ca="1">IFERROR(__xludf.DUMMYFUNCTION("""COMPUTED_VALUE"""),75)</f>
        <v>75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IFERROR(__xludf.DUMMYFUNCTION("""COMPUTED_VALUE"""),"DePaul")</f>
        <v>DePaul</v>
      </c>
      <c r="C184" s="1" t="str">
        <f ca="1">IFERROR(__xludf.DUMMYFUNCTION("""COMPUTED_VALUE"""),"BE")</f>
        <v>BE</v>
      </c>
      <c r="D184" s="2">
        <f ca="1">IFERROR(__xludf.DUMMYFUNCTION("""COMPUTED_VALUE"""),44886)</f>
        <v>44886</v>
      </c>
      <c r="E184" s="1">
        <f ca="1">IFERROR(__xludf.DUMMYFUNCTION("""COMPUTED_VALUE"""),-0.43)</f>
        <v>-0.43</v>
      </c>
      <c r="F184" s="1">
        <f ca="1">IFERROR(__xludf.DUMMYFUNCTION("""COMPUTED_VALUE"""),105.5)</f>
        <v>105.5</v>
      </c>
      <c r="G184" s="1">
        <f ca="1">IFERROR(__xludf.DUMMYFUNCTION("""COMPUTED_VALUE"""),124)</f>
        <v>124</v>
      </c>
      <c r="H184" s="1">
        <f ca="1">IFERROR(__xludf.DUMMYFUNCTION("""COMPUTED_VALUE"""),105.9)</f>
        <v>105.9</v>
      </c>
      <c r="I184" s="1">
        <f ca="1">IFERROR(__xludf.DUMMYFUNCTION("""COMPUTED_VALUE"""),244)</f>
        <v>244</v>
      </c>
      <c r="J184" s="1">
        <f ca="1">IFERROR(__xludf.DUMMYFUNCTION("""COMPUTED_VALUE"""),70.7)</f>
        <v>70.7</v>
      </c>
      <c r="K184" s="1">
        <f ca="1">IFERROR(__xludf.DUMMYFUNCTION("""COMPUTED_VALUE"""),4)</f>
        <v>4</v>
      </c>
      <c r="L184" s="1">
        <f ca="1">IFERROR(__xludf.DUMMYFUNCTION("""COMPUTED_VALUE"""),-0.049)</f>
        <v>-4.9000000000000002E-2</v>
      </c>
      <c r="M184" s="1">
        <f ca="1">IFERROR(__xludf.DUMMYFUNCTION("""COMPUTED_VALUE"""),291)</f>
        <v>291</v>
      </c>
      <c r="N184" s="1" t="str">
        <f ca="1">IFERROR(__xludf.DUMMYFUNCTION("""COMPUTED_VALUE"""),"+5.76")</f>
        <v>+5.76</v>
      </c>
      <c r="O184" s="1">
        <f ca="1">IFERROR(__xludf.DUMMYFUNCTION("""COMPUTED_VALUE"""),66)</f>
        <v>66</v>
      </c>
      <c r="P184" s="1">
        <f ca="1">IFERROR(__xludf.DUMMYFUNCTION("""COMPUTED_VALUE"""),104.2)</f>
        <v>104.2</v>
      </c>
      <c r="Q184" s="1">
        <f ca="1">IFERROR(__xludf.DUMMYFUNCTION("""COMPUTED_VALUE"""),112)</f>
        <v>112</v>
      </c>
      <c r="R184" s="1">
        <f ca="1">IFERROR(__xludf.DUMMYFUNCTION("""COMPUTED_VALUE"""),98.4)</f>
        <v>98.4</v>
      </c>
      <c r="S184" s="1">
        <f ca="1">IFERROR(__xludf.DUMMYFUNCTION("""COMPUTED_VALUE"""),26)</f>
        <v>26</v>
      </c>
      <c r="T184" s="1">
        <f ca="1">IFERROR(__xludf.DUMMYFUNCTION("""COMPUTED_VALUE"""),-8.18)</f>
        <v>-8.18</v>
      </c>
      <c r="U184" s="1">
        <f ca="1">IFERROR(__xludf.DUMMYFUNCTION("""COMPUTED_VALUE"""),333)</f>
        <v>333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IFERROR(__xludf.DUMMYFUNCTION("""COMPUTED_VALUE"""),"Towson")</f>
        <v>Towson</v>
      </c>
      <c r="C185" s="1" t="str">
        <f ca="1">IFERROR(__xludf.DUMMYFUNCTION("""COMPUTED_VALUE"""),"CAA")</f>
        <v>CAA</v>
      </c>
      <c r="D185" s="1" t="str">
        <f ca="1">IFERROR(__xludf.DUMMYFUNCTION("""COMPUTED_VALUE"""),"18-13")</f>
        <v>18-13</v>
      </c>
      <c r="E185" s="1">
        <f ca="1">IFERROR(__xludf.DUMMYFUNCTION("""COMPUTED_VALUE"""),-0.45)</f>
        <v>-0.45</v>
      </c>
      <c r="F185" s="1">
        <f ca="1">IFERROR(__xludf.DUMMYFUNCTION("""COMPUTED_VALUE"""),103.1)</f>
        <v>103.1</v>
      </c>
      <c r="G185" s="1">
        <f ca="1">IFERROR(__xludf.DUMMYFUNCTION("""COMPUTED_VALUE"""),157)</f>
        <v>157</v>
      </c>
      <c r="H185" s="1">
        <f ca="1">IFERROR(__xludf.DUMMYFUNCTION("""COMPUTED_VALUE"""),103.6)</f>
        <v>103.6</v>
      </c>
      <c r="I185" s="1">
        <f ca="1">IFERROR(__xludf.DUMMYFUNCTION("""COMPUTED_VALUE"""),188)</f>
        <v>188</v>
      </c>
      <c r="J185" s="1">
        <f ca="1">IFERROR(__xludf.DUMMYFUNCTION("""COMPUTED_VALUE"""),64.7)</f>
        <v>64.7</v>
      </c>
      <c r="K185" s="1">
        <f ca="1">IFERROR(__xludf.DUMMYFUNCTION("""COMPUTED_VALUE"""),172)</f>
        <v>172</v>
      </c>
      <c r="L185" s="1" t="str">
        <f ca="1">IFERROR(__xludf.DUMMYFUNCTION("""COMPUTED_VALUE"""),"+.054")</f>
        <v>+.054</v>
      </c>
      <c r="M185" s="1">
        <f ca="1">IFERROR(__xludf.DUMMYFUNCTION("""COMPUTED_VALUE"""),43)</f>
        <v>43</v>
      </c>
      <c r="N185" s="1">
        <f ca="1">IFERROR(__xludf.DUMMYFUNCTION("""COMPUTED_VALUE"""),-1.92)</f>
        <v>-1.92</v>
      </c>
      <c r="O185" s="1">
        <f ca="1">IFERROR(__xludf.DUMMYFUNCTION("""COMPUTED_VALUE"""),182)</f>
        <v>182</v>
      </c>
      <c r="P185" s="1">
        <f ca="1">IFERROR(__xludf.DUMMYFUNCTION("""COMPUTED_VALUE"""),101.9)</f>
        <v>101.9</v>
      </c>
      <c r="Q185" s="1">
        <f ca="1">IFERROR(__xludf.DUMMYFUNCTION("""COMPUTED_VALUE"""),183)</f>
        <v>183</v>
      </c>
      <c r="R185" s="1">
        <f ca="1">IFERROR(__xludf.DUMMYFUNCTION("""COMPUTED_VALUE"""),103.8)</f>
        <v>103.8</v>
      </c>
      <c r="S185" s="1">
        <f ca="1">IFERROR(__xludf.DUMMYFUNCTION("""COMPUTED_VALUE"""),208)</f>
        <v>208</v>
      </c>
      <c r="T185" s="1" t="str">
        <f ca="1">IFERROR(__xludf.DUMMYFUNCTION("""COMPUTED_VALUE"""),"+2.86")</f>
        <v>+2.86</v>
      </c>
      <c r="U185" s="1">
        <f ca="1">IFERROR(__xludf.DUMMYFUNCTION("""COMPUTED_VALUE"""),81)</f>
        <v>81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IFERROR(__xludf.DUMMYFUNCTION("""COMPUTED_VALUE"""),"Bryant")</f>
        <v>Bryant</v>
      </c>
      <c r="C186" s="1" t="str">
        <f ca="1">IFERROR(__xludf.DUMMYFUNCTION("""COMPUTED_VALUE"""),"NEC")</f>
        <v>NEC</v>
      </c>
      <c r="D186" s="1" t="str">
        <f ca="1">IFERROR(__xludf.DUMMYFUNCTION("""COMPUTED_VALUE"""),"19-12")</f>
        <v>19-12</v>
      </c>
      <c r="E186" s="1">
        <f ca="1">IFERROR(__xludf.DUMMYFUNCTION("""COMPUTED_VALUE"""),-0.53)</f>
        <v>-0.53</v>
      </c>
      <c r="F186" s="1">
        <f ca="1">IFERROR(__xludf.DUMMYFUNCTION("""COMPUTED_VALUE"""),109.4)</f>
        <v>109.4</v>
      </c>
      <c r="G186" s="1">
        <f ca="1">IFERROR(__xludf.DUMMYFUNCTION("""COMPUTED_VALUE"""),63)</f>
        <v>63</v>
      </c>
      <c r="H186" s="1">
        <f ca="1">IFERROR(__xludf.DUMMYFUNCTION("""COMPUTED_VALUE"""),109.9)</f>
        <v>109.9</v>
      </c>
      <c r="I186" s="1">
        <f ca="1">IFERROR(__xludf.DUMMYFUNCTION("""COMPUTED_VALUE"""),301)</f>
        <v>301</v>
      </c>
      <c r="J186" s="1">
        <f ca="1">IFERROR(__xludf.DUMMYFUNCTION("""COMPUTED_VALUE"""),65.1)</f>
        <v>65.099999999999994</v>
      </c>
      <c r="K186" s="1">
        <f ca="1">IFERROR(__xludf.DUMMYFUNCTION("""COMPUTED_VALUE"""),150)</f>
        <v>150</v>
      </c>
      <c r="L186" s="1" t="str">
        <f ca="1">IFERROR(__xludf.DUMMYFUNCTION("""COMPUTED_VALUE"""),"+.043")</f>
        <v>+.043</v>
      </c>
      <c r="M186" s="1">
        <f ca="1">IFERROR(__xludf.DUMMYFUNCTION("""COMPUTED_VALUE"""),67)</f>
        <v>67</v>
      </c>
      <c r="N186" s="1">
        <f ca="1">IFERROR(__xludf.DUMMYFUNCTION("""COMPUTED_VALUE"""),-5.98)</f>
        <v>-5.98</v>
      </c>
      <c r="O186" s="1">
        <f ca="1">IFERROR(__xludf.DUMMYFUNCTION("""COMPUTED_VALUE"""),299)</f>
        <v>299</v>
      </c>
      <c r="P186" s="1">
        <f ca="1">IFERROR(__xludf.DUMMYFUNCTION("""COMPUTED_VALUE"""),100.5)</f>
        <v>100.5</v>
      </c>
      <c r="Q186" s="1">
        <f ca="1">IFERROR(__xludf.DUMMYFUNCTION("""COMPUTED_VALUE"""),255)</f>
        <v>255</v>
      </c>
      <c r="R186" s="1">
        <f ca="1">IFERROR(__xludf.DUMMYFUNCTION("""COMPUTED_VALUE"""),106.5)</f>
        <v>106.5</v>
      </c>
      <c r="S186" s="1">
        <f ca="1">IFERROR(__xludf.DUMMYFUNCTION("""COMPUTED_VALUE"""),324)</f>
        <v>324</v>
      </c>
      <c r="T186" s="1">
        <f ca="1">IFERROR(__xludf.DUMMYFUNCTION("""COMPUTED_VALUE"""),-2.16)</f>
        <v>-2.16</v>
      </c>
      <c r="U186" s="1">
        <f ca="1">IFERROR(__xludf.DUMMYFUNCTION("""COMPUTED_VALUE"""),229)</f>
        <v>229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IFERROR(__xludf.DUMMYFUNCTION("""COMPUTED_VALUE"""),"Southern Illinois")</f>
        <v>Southern Illinois</v>
      </c>
      <c r="C187" s="1" t="str">
        <f ca="1">IFERROR(__xludf.DUMMYFUNCTION("""COMPUTED_VALUE"""),"MVC")</f>
        <v>MVC</v>
      </c>
      <c r="D187" s="1" t="str">
        <f ca="1">IFERROR(__xludf.DUMMYFUNCTION("""COMPUTED_VALUE"""),"14-17")</f>
        <v>14-17</v>
      </c>
      <c r="E187" s="1">
        <f ca="1">IFERROR(__xludf.DUMMYFUNCTION("""COMPUTED_VALUE"""),-0.73)</f>
        <v>-0.73</v>
      </c>
      <c r="F187" s="1">
        <f ca="1">IFERROR(__xludf.DUMMYFUNCTION("""COMPUTED_VALUE"""),102.7)</f>
        <v>102.7</v>
      </c>
      <c r="G187" s="1">
        <f ca="1">IFERROR(__xludf.DUMMYFUNCTION("""COMPUTED_VALUE"""),169)</f>
        <v>169</v>
      </c>
      <c r="H187" s="1">
        <f ca="1">IFERROR(__xludf.DUMMYFUNCTION("""COMPUTED_VALUE"""),103.4)</f>
        <v>103.4</v>
      </c>
      <c r="I187" s="1">
        <f ca="1">IFERROR(__xludf.DUMMYFUNCTION("""COMPUTED_VALUE"""),184)</f>
        <v>184</v>
      </c>
      <c r="J187" s="1">
        <f ca="1">IFERROR(__xludf.DUMMYFUNCTION("""COMPUTED_VALUE"""),61.6)</f>
        <v>61.6</v>
      </c>
      <c r="K187" s="1">
        <f ca="1">IFERROR(__xludf.DUMMYFUNCTION("""COMPUTED_VALUE"""),291)</f>
        <v>291</v>
      </c>
      <c r="L187" s="1" t="str">
        <f ca="1">IFERROR(__xludf.DUMMYFUNCTION("""COMPUTED_VALUE"""),"+.046")</f>
        <v>+.046</v>
      </c>
      <c r="M187" s="1">
        <f ca="1">IFERROR(__xludf.DUMMYFUNCTION("""COMPUTED_VALUE"""),60)</f>
        <v>60</v>
      </c>
      <c r="N187" s="1" t="str">
        <f ca="1">IFERROR(__xludf.DUMMYFUNCTION("""COMPUTED_VALUE"""),"+3.67")</f>
        <v>+3.67</v>
      </c>
      <c r="O187" s="1">
        <f ca="1">IFERROR(__xludf.DUMMYFUNCTION("""COMPUTED_VALUE"""),103)</f>
        <v>103</v>
      </c>
      <c r="P187" s="1">
        <f ca="1">IFERROR(__xludf.DUMMYFUNCTION("""COMPUTED_VALUE"""),104.6)</f>
        <v>104.6</v>
      </c>
      <c r="Q187" s="1">
        <f ca="1">IFERROR(__xludf.DUMMYFUNCTION("""COMPUTED_VALUE"""),98)</f>
        <v>98</v>
      </c>
      <c r="R187" s="1">
        <f ca="1">IFERROR(__xludf.DUMMYFUNCTION("""COMPUTED_VALUE"""),100.9)</f>
        <v>100.9</v>
      </c>
      <c r="S187" s="1">
        <f ca="1">IFERROR(__xludf.DUMMYFUNCTION("""COMPUTED_VALUE"""),101)</f>
        <v>101</v>
      </c>
      <c r="T187" s="1">
        <f ca="1">IFERROR(__xludf.DUMMYFUNCTION("""COMPUTED_VALUE"""),-4.38)</f>
        <v>-4.38</v>
      </c>
      <c r="U187" s="1">
        <f ca="1">IFERROR(__xludf.DUMMYFUNCTION("""COMPUTED_VALUE"""),281)</f>
        <v>281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IFERROR(__xludf.DUMMYFUNCTION("""COMPUTED_VALUE"""),"Northeastern8")</f>
        <v>Northeastern8</v>
      </c>
      <c r="C188" s="1" t="str">
        <f ca="1">IFERROR(__xludf.DUMMYFUNCTION("""COMPUTED_VALUE"""),"CAA")</f>
        <v>CAA</v>
      </c>
      <c r="D188" s="1" t="str">
        <f ca="1">IFERROR(__xludf.DUMMYFUNCTION("""COMPUTED_VALUE"""),"20-13")</f>
        <v>20-13</v>
      </c>
      <c r="E188" s="1">
        <f ca="1">IFERROR(__xludf.DUMMYFUNCTION("""COMPUTED_VALUE"""),-0.76)</f>
        <v>-0.76</v>
      </c>
      <c r="F188" s="1">
        <f ca="1">IFERROR(__xludf.DUMMYFUNCTION("""COMPUTED_VALUE"""),106.4)</f>
        <v>106.4</v>
      </c>
      <c r="G188" s="1">
        <f ca="1">IFERROR(__xludf.DUMMYFUNCTION("""COMPUTED_VALUE"""),111)</f>
        <v>111</v>
      </c>
      <c r="H188" s="1">
        <f ca="1">IFERROR(__xludf.DUMMYFUNCTION("""COMPUTED_VALUE"""),107.2)</f>
        <v>107.2</v>
      </c>
      <c r="I188" s="1">
        <f ca="1">IFERROR(__xludf.DUMMYFUNCTION("""COMPUTED_VALUE"""),260)</f>
        <v>260</v>
      </c>
      <c r="J188" s="1">
        <f ca="1">IFERROR(__xludf.DUMMYFUNCTION("""COMPUTED_VALUE"""),62.7)</f>
        <v>62.7</v>
      </c>
      <c r="K188" s="1">
        <f ca="1">IFERROR(__xludf.DUMMYFUNCTION("""COMPUTED_VALUE"""),257)</f>
        <v>257</v>
      </c>
      <c r="L188" s="1" t="str">
        <f ca="1">IFERROR(__xludf.DUMMYFUNCTION("""COMPUTED_VALUE"""),"+.079")</f>
        <v>+.079</v>
      </c>
      <c r="M188" s="1">
        <f ca="1">IFERROR(__xludf.DUMMYFUNCTION("""COMPUTED_VALUE"""),23)</f>
        <v>23</v>
      </c>
      <c r="N188" s="1">
        <f ca="1">IFERROR(__xludf.DUMMYFUNCTION("""COMPUTED_VALUE"""),-2.45)</f>
        <v>-2.4500000000000002</v>
      </c>
      <c r="O188" s="1">
        <f ca="1">IFERROR(__xludf.DUMMYFUNCTION("""COMPUTED_VALUE"""),198)</f>
        <v>198</v>
      </c>
      <c r="P188" s="1">
        <f ca="1">IFERROR(__xludf.DUMMYFUNCTION("""COMPUTED_VALUE"""),101.5)</f>
        <v>101.5</v>
      </c>
      <c r="Q188" s="1">
        <f ca="1">IFERROR(__xludf.DUMMYFUNCTION("""COMPUTED_VALUE"""),206)</f>
        <v>206</v>
      </c>
      <c r="R188" s="1">
        <f ca="1">IFERROR(__xludf.DUMMYFUNCTION("""COMPUTED_VALUE"""),104)</f>
        <v>104</v>
      </c>
      <c r="S188" s="1">
        <f ca="1">IFERROR(__xludf.DUMMYFUNCTION("""COMPUTED_VALUE"""),217)</f>
        <v>217</v>
      </c>
      <c r="T188" s="1">
        <f ca="1">IFERROR(__xludf.DUMMYFUNCTION("""COMPUTED_VALUE"""),-0.63)</f>
        <v>-0.63</v>
      </c>
      <c r="U188" s="1">
        <f ca="1">IFERROR(__xludf.DUMMYFUNCTION("""COMPUTED_VALUE"""),180)</f>
        <v>180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IFERROR(__xludf.DUMMYFUNCTION("""COMPUTED_VALUE"""),"Charleston Southern8")</f>
        <v>Charleston Southern8</v>
      </c>
      <c r="C189" s="1" t="str">
        <f ca="1">IFERROR(__xludf.DUMMYFUNCTION("""COMPUTED_VALUE"""),"BSth")</f>
        <v>BSth</v>
      </c>
      <c r="D189" s="1" t="str">
        <f ca="1">IFERROR(__xludf.DUMMYFUNCTION("""COMPUTED_VALUE"""),"19-13")</f>
        <v>19-13</v>
      </c>
      <c r="E189" s="1">
        <f ca="1">IFERROR(__xludf.DUMMYFUNCTION("""COMPUTED_VALUE"""),-0.78)</f>
        <v>-0.78</v>
      </c>
      <c r="F189" s="1">
        <f ca="1">IFERROR(__xludf.DUMMYFUNCTION("""COMPUTED_VALUE"""),102.3)</f>
        <v>102.3</v>
      </c>
      <c r="G189" s="1">
        <f ca="1">IFERROR(__xludf.DUMMYFUNCTION("""COMPUTED_VALUE"""),180)</f>
        <v>180</v>
      </c>
      <c r="H189" s="1">
        <f ca="1">IFERROR(__xludf.DUMMYFUNCTION("""COMPUTED_VALUE"""),103.1)</f>
        <v>103.1</v>
      </c>
      <c r="I189" s="1">
        <f ca="1">IFERROR(__xludf.DUMMYFUNCTION("""COMPUTED_VALUE"""),179)</f>
        <v>179</v>
      </c>
      <c r="J189" s="1">
        <f ca="1">IFERROR(__xludf.DUMMYFUNCTION("""COMPUTED_VALUE"""),66.6)</f>
        <v>66.599999999999994</v>
      </c>
      <c r="K189" s="1">
        <f ca="1">IFERROR(__xludf.DUMMYFUNCTION("""COMPUTED_VALUE"""),78)</f>
        <v>78</v>
      </c>
      <c r="L189" s="1">
        <f ca="1">IFERROR(__xludf.DUMMYFUNCTION("""COMPUTED_VALUE"""),-0.059)</f>
        <v>-5.8999999999999997E-2</v>
      </c>
      <c r="M189" s="1">
        <f ca="1">IFERROR(__xludf.DUMMYFUNCTION("""COMPUTED_VALUE"""),306)</f>
        <v>306</v>
      </c>
      <c r="N189" s="1">
        <f ca="1">IFERROR(__xludf.DUMMYFUNCTION("""COMPUTED_VALUE"""),-6.88)</f>
        <v>-6.88</v>
      </c>
      <c r="O189" s="1">
        <f ca="1">IFERROR(__xludf.DUMMYFUNCTION("""COMPUTED_VALUE"""),316)</f>
        <v>316</v>
      </c>
      <c r="P189" s="1">
        <f ca="1">IFERROR(__xludf.DUMMYFUNCTION("""COMPUTED_VALUE"""),99.4)</f>
        <v>99.4</v>
      </c>
      <c r="Q189" s="1">
        <f ca="1">IFERROR(__xludf.DUMMYFUNCTION("""COMPUTED_VALUE"""),303)</f>
        <v>303</v>
      </c>
      <c r="R189" s="1">
        <f ca="1">IFERROR(__xludf.DUMMYFUNCTION("""COMPUTED_VALUE"""),106.3)</f>
        <v>106.3</v>
      </c>
      <c r="S189" s="1">
        <f ca="1">IFERROR(__xludf.DUMMYFUNCTION("""COMPUTED_VALUE"""),320)</f>
        <v>320</v>
      </c>
      <c r="T189" s="1" t="str">
        <f ca="1">IFERROR(__xludf.DUMMYFUNCTION("""COMPUTED_VALUE"""),"+2.49")</f>
        <v>+2.49</v>
      </c>
      <c r="U189" s="1">
        <f ca="1">IFERROR(__xludf.DUMMYFUNCTION("""COMPUTED_VALUE"""),90)</f>
        <v>90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IFERROR(__xludf.DUMMYFUNCTION("""COMPUTED_VALUE"""),"Houston")</f>
        <v>Houston</v>
      </c>
      <c r="C190" s="1" t="str">
        <f ca="1">IFERROR(__xludf.DUMMYFUNCTION("""COMPUTED_VALUE"""),"CUSA")</f>
        <v>CUSA</v>
      </c>
      <c r="D190" s="1" t="str">
        <f ca="1">IFERROR(__xludf.DUMMYFUNCTION("""COMPUTED_VALUE"""),"20-13")</f>
        <v>20-13</v>
      </c>
      <c r="E190" s="1">
        <f ca="1">IFERROR(__xludf.DUMMYFUNCTION("""COMPUTED_VALUE"""),-0.82)</f>
        <v>-0.82</v>
      </c>
      <c r="F190" s="1">
        <f ca="1">IFERROR(__xludf.DUMMYFUNCTION("""COMPUTED_VALUE"""),108)</f>
        <v>108</v>
      </c>
      <c r="G190" s="1">
        <f ca="1">IFERROR(__xludf.DUMMYFUNCTION("""COMPUTED_VALUE"""),75)</f>
        <v>75</v>
      </c>
      <c r="H190" s="1">
        <f ca="1">IFERROR(__xludf.DUMMYFUNCTION("""COMPUTED_VALUE"""),108.8)</f>
        <v>108.8</v>
      </c>
      <c r="I190" s="1">
        <f ca="1">IFERROR(__xludf.DUMMYFUNCTION("""COMPUTED_VALUE"""),287)</f>
        <v>287</v>
      </c>
      <c r="J190" s="1">
        <f ca="1">IFERROR(__xludf.DUMMYFUNCTION("""COMPUTED_VALUE"""),69)</f>
        <v>69</v>
      </c>
      <c r="K190" s="1">
        <f ca="1">IFERROR(__xludf.DUMMYFUNCTION("""COMPUTED_VALUE"""),21)</f>
        <v>21</v>
      </c>
      <c r="L190" s="1">
        <f ca="1">IFERROR(__xludf.DUMMYFUNCTION("""COMPUTED_VALUE"""),-0.007)</f>
        <v>-7.0000000000000001E-3</v>
      </c>
      <c r="M190" s="1">
        <f ca="1">IFERROR(__xludf.DUMMYFUNCTION("""COMPUTED_VALUE"""),202)</f>
        <v>202</v>
      </c>
      <c r="N190" s="1">
        <f ca="1">IFERROR(__xludf.DUMMYFUNCTION("""COMPUTED_VALUE"""),-5.79)</f>
        <v>-5.79</v>
      </c>
      <c r="O190" s="1">
        <f ca="1">IFERROR(__xludf.DUMMYFUNCTION("""COMPUTED_VALUE"""),296)</f>
        <v>296</v>
      </c>
      <c r="P190" s="1">
        <f ca="1">IFERROR(__xludf.DUMMYFUNCTION("""COMPUTED_VALUE"""),98.9)</f>
        <v>98.9</v>
      </c>
      <c r="Q190" s="1">
        <f ca="1">IFERROR(__xludf.DUMMYFUNCTION("""COMPUTED_VALUE"""),317)</f>
        <v>317</v>
      </c>
      <c r="R190" s="1">
        <f ca="1">IFERROR(__xludf.DUMMYFUNCTION("""COMPUTED_VALUE"""),104.7)</f>
        <v>104.7</v>
      </c>
      <c r="S190" s="1">
        <f ca="1">IFERROR(__xludf.DUMMYFUNCTION("""COMPUTED_VALUE"""),248)</f>
        <v>248</v>
      </c>
      <c r="T190" s="1">
        <f ca="1">IFERROR(__xludf.DUMMYFUNCTION("""COMPUTED_VALUE"""),-14.91)</f>
        <v>-14.91</v>
      </c>
      <c r="U190" s="1">
        <f ca="1">IFERROR(__xludf.DUMMYFUNCTION("""COMPUTED_VALUE"""),346)</f>
        <v>346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IFERROR(__xludf.DUMMYFUNCTION("""COMPUTED_VALUE"""),"Tulsa")</f>
        <v>Tulsa</v>
      </c>
      <c r="C191" s="1" t="str">
        <f ca="1">IFERROR(__xludf.DUMMYFUNCTION("""COMPUTED_VALUE"""),"CUSA")</f>
        <v>CUSA</v>
      </c>
      <c r="D191" s="1" t="str">
        <f ca="1">IFERROR(__xludf.DUMMYFUNCTION("""COMPUTED_VALUE"""),"17-16")</f>
        <v>17-16</v>
      </c>
      <c r="E191" s="1">
        <f ca="1">IFERROR(__xludf.DUMMYFUNCTION("""COMPUTED_VALUE"""),-0.87)</f>
        <v>-0.87</v>
      </c>
      <c r="F191" s="1">
        <f ca="1">IFERROR(__xludf.DUMMYFUNCTION("""COMPUTED_VALUE"""),99.5)</f>
        <v>99.5</v>
      </c>
      <c r="G191" s="1">
        <f ca="1">IFERROR(__xludf.DUMMYFUNCTION("""COMPUTED_VALUE"""),226)</f>
        <v>226</v>
      </c>
      <c r="H191" s="1">
        <f ca="1">IFERROR(__xludf.DUMMYFUNCTION("""COMPUTED_VALUE"""),100.3)</f>
        <v>100.3</v>
      </c>
      <c r="I191" s="1">
        <f ca="1">IFERROR(__xludf.DUMMYFUNCTION("""COMPUTED_VALUE"""),131)</f>
        <v>131</v>
      </c>
      <c r="J191" s="1">
        <f ca="1">IFERROR(__xludf.DUMMYFUNCTION("""COMPUTED_VALUE"""),66.3)</f>
        <v>66.3</v>
      </c>
      <c r="K191" s="1">
        <f ca="1">IFERROR(__xludf.DUMMYFUNCTION("""COMPUTED_VALUE"""),92)</f>
        <v>92</v>
      </c>
      <c r="L191" s="1" t="str">
        <f ca="1">IFERROR(__xludf.DUMMYFUNCTION("""COMPUTED_VALUE"""),"+.052")</f>
        <v>+.052</v>
      </c>
      <c r="M191" s="1">
        <f ca="1">IFERROR(__xludf.DUMMYFUNCTION("""COMPUTED_VALUE"""),49)</f>
        <v>49</v>
      </c>
      <c r="N191" s="1" t="str">
        <f ca="1">IFERROR(__xludf.DUMMYFUNCTION("""COMPUTED_VALUE"""),"+0.77")</f>
        <v>+0.77</v>
      </c>
      <c r="O191" s="1">
        <f ca="1">IFERROR(__xludf.DUMMYFUNCTION("""COMPUTED_VALUE"""),131)</f>
        <v>131</v>
      </c>
      <c r="P191" s="1">
        <f ca="1">IFERROR(__xludf.DUMMYFUNCTION("""COMPUTED_VALUE"""),103.5)</f>
        <v>103.5</v>
      </c>
      <c r="Q191" s="1">
        <f ca="1">IFERROR(__xludf.DUMMYFUNCTION("""COMPUTED_VALUE"""),129)</f>
        <v>129</v>
      </c>
      <c r="R191" s="1">
        <f ca="1">IFERROR(__xludf.DUMMYFUNCTION("""COMPUTED_VALUE"""),102.7)</f>
        <v>102.7</v>
      </c>
      <c r="S191" s="1">
        <f ca="1">IFERROR(__xludf.DUMMYFUNCTION("""COMPUTED_VALUE"""),148)</f>
        <v>148</v>
      </c>
      <c r="T191" s="1" t="str">
        <f ca="1">IFERROR(__xludf.DUMMYFUNCTION("""COMPUTED_VALUE"""),"+0.12")</f>
        <v>+0.12</v>
      </c>
      <c r="U191" s="1">
        <f ca="1">IFERROR(__xludf.DUMMYFUNCTION("""COMPUTED_VALUE"""),153)</f>
        <v>153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IFERROR(__xludf.DUMMYFUNCTION("""COMPUTED_VALUE"""),"James Madison16")</f>
        <v>James Madison16</v>
      </c>
      <c r="C192" s="1" t="str">
        <f ca="1">IFERROR(__xludf.DUMMYFUNCTION("""COMPUTED_VALUE"""),"CAA")</f>
        <v>CAA</v>
      </c>
      <c r="D192" s="1" t="str">
        <f ca="1">IFERROR(__xludf.DUMMYFUNCTION("""COMPUTED_VALUE"""),"21-15")</f>
        <v>21-15</v>
      </c>
      <c r="E192" s="1">
        <f ca="1">IFERROR(__xludf.DUMMYFUNCTION("""COMPUTED_VALUE"""),-0.92)</f>
        <v>-0.92</v>
      </c>
      <c r="F192" s="1">
        <f ca="1">IFERROR(__xludf.DUMMYFUNCTION("""COMPUTED_VALUE"""),100.2)</f>
        <v>100.2</v>
      </c>
      <c r="G192" s="1">
        <f ca="1">IFERROR(__xludf.DUMMYFUNCTION("""COMPUTED_VALUE"""),218)</f>
        <v>218</v>
      </c>
      <c r="H192" s="1">
        <f ca="1">IFERROR(__xludf.DUMMYFUNCTION("""COMPUTED_VALUE"""),101.1)</f>
        <v>101.1</v>
      </c>
      <c r="I192" s="1">
        <f ca="1">IFERROR(__xludf.DUMMYFUNCTION("""COMPUTED_VALUE"""),141)</f>
        <v>141</v>
      </c>
      <c r="J192" s="1">
        <f ca="1">IFERROR(__xludf.DUMMYFUNCTION("""COMPUTED_VALUE"""),62.9)</f>
        <v>62.9</v>
      </c>
      <c r="K192" s="1">
        <f ca="1">IFERROR(__xludf.DUMMYFUNCTION("""COMPUTED_VALUE"""),248)</f>
        <v>248</v>
      </c>
      <c r="L192" s="1" t="str">
        <f ca="1">IFERROR(__xludf.DUMMYFUNCTION("""COMPUTED_VALUE"""),"+.063")</f>
        <v>+.063</v>
      </c>
      <c r="M192" s="1">
        <f ca="1">IFERROR(__xludf.DUMMYFUNCTION("""COMPUTED_VALUE"""),34)</f>
        <v>34</v>
      </c>
      <c r="N192" s="1">
        <f ca="1">IFERROR(__xludf.DUMMYFUNCTION("""COMPUTED_VALUE"""),-3.42)</f>
        <v>-3.42</v>
      </c>
      <c r="O192" s="1">
        <f ca="1">IFERROR(__xludf.DUMMYFUNCTION("""COMPUTED_VALUE"""),233)</f>
        <v>233</v>
      </c>
      <c r="P192" s="1">
        <f ca="1">IFERROR(__xludf.DUMMYFUNCTION("""COMPUTED_VALUE"""),101.9)</f>
        <v>101.9</v>
      </c>
      <c r="Q192" s="1">
        <f ca="1">IFERROR(__xludf.DUMMYFUNCTION("""COMPUTED_VALUE"""),180)</f>
        <v>180</v>
      </c>
      <c r="R192" s="1">
        <f ca="1">IFERROR(__xludf.DUMMYFUNCTION("""COMPUTED_VALUE"""),105.3)</f>
        <v>105.3</v>
      </c>
      <c r="S192" s="1">
        <f ca="1">IFERROR(__xludf.DUMMYFUNCTION("""COMPUTED_VALUE"""),279)</f>
        <v>279</v>
      </c>
      <c r="T192" s="1">
        <f ca="1">IFERROR(__xludf.DUMMYFUNCTION("""COMPUTED_VALUE"""),-4.5)</f>
        <v>-4.5</v>
      </c>
      <c r="U192" s="1">
        <f ca="1">IFERROR(__xludf.DUMMYFUNCTION("""COMPUTED_VALUE"""),283)</f>
        <v>283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IFERROR(__xludf.DUMMYFUNCTION("""COMPUTED_VALUE"""),"Illinois Chicago")</f>
        <v>Illinois Chicago</v>
      </c>
      <c r="C193" s="1" t="str">
        <f ca="1">IFERROR(__xludf.DUMMYFUNCTION("""COMPUTED_VALUE"""),"Horz")</f>
        <v>Horz</v>
      </c>
      <c r="D193" s="1" t="str">
        <f ca="1">IFERROR(__xludf.DUMMYFUNCTION("""COMPUTED_VALUE"""),"18-16")</f>
        <v>18-16</v>
      </c>
      <c r="E193" s="1">
        <f ca="1">IFERROR(__xludf.DUMMYFUNCTION("""COMPUTED_VALUE"""),-1.11)</f>
        <v>-1.1100000000000001</v>
      </c>
      <c r="F193" s="1">
        <f ca="1">IFERROR(__xludf.DUMMYFUNCTION("""COMPUTED_VALUE"""),98.8)</f>
        <v>98.8</v>
      </c>
      <c r="G193" s="1">
        <f ca="1">IFERROR(__xludf.DUMMYFUNCTION("""COMPUTED_VALUE"""),244)</f>
        <v>244</v>
      </c>
      <c r="H193" s="1">
        <f ca="1">IFERROR(__xludf.DUMMYFUNCTION("""COMPUTED_VALUE"""),99.9)</f>
        <v>99.9</v>
      </c>
      <c r="I193" s="1">
        <f ca="1">IFERROR(__xludf.DUMMYFUNCTION("""COMPUTED_VALUE"""),125)</f>
        <v>125</v>
      </c>
      <c r="J193" s="1">
        <f ca="1">IFERROR(__xludf.DUMMYFUNCTION("""COMPUTED_VALUE"""),63)</f>
        <v>63</v>
      </c>
      <c r="K193" s="1">
        <f ca="1">IFERROR(__xludf.DUMMYFUNCTION("""COMPUTED_VALUE"""),240)</f>
        <v>240</v>
      </c>
      <c r="L193" s="1" t="str">
        <f ca="1">IFERROR(__xludf.DUMMYFUNCTION("""COMPUTED_VALUE"""),"+.041")</f>
        <v>+.041</v>
      </c>
      <c r="M193" s="1">
        <f ca="1">IFERROR(__xludf.DUMMYFUNCTION("""COMPUTED_VALUE"""),75)</f>
        <v>75</v>
      </c>
      <c r="N193" s="1">
        <f ca="1">IFERROR(__xludf.DUMMYFUNCTION("""COMPUTED_VALUE"""),-0.49)</f>
        <v>-0.49</v>
      </c>
      <c r="O193" s="1">
        <f ca="1">IFERROR(__xludf.DUMMYFUNCTION("""COMPUTED_VALUE"""),151)</f>
        <v>151</v>
      </c>
      <c r="P193" s="1">
        <f ca="1">IFERROR(__xludf.DUMMYFUNCTION("""COMPUTED_VALUE"""),102.3)</f>
        <v>102.3</v>
      </c>
      <c r="Q193" s="1">
        <f ca="1">IFERROR(__xludf.DUMMYFUNCTION("""COMPUTED_VALUE"""),167)</f>
        <v>167</v>
      </c>
      <c r="R193" s="1">
        <f ca="1">IFERROR(__xludf.DUMMYFUNCTION("""COMPUTED_VALUE"""),102.8)</f>
        <v>102.8</v>
      </c>
      <c r="S193" s="1">
        <f ca="1">IFERROR(__xludf.DUMMYFUNCTION("""COMPUTED_VALUE"""),151)</f>
        <v>151</v>
      </c>
      <c r="T193" s="1">
        <f ca="1">IFERROR(__xludf.DUMMYFUNCTION("""COMPUTED_VALUE"""),-0.22)</f>
        <v>-0.22</v>
      </c>
      <c r="U193" s="1">
        <f ca="1">IFERROR(__xludf.DUMMYFUNCTION("""COMPUTED_VALUE"""),160)</f>
        <v>160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IFERROR(__xludf.DUMMYFUNCTION("""COMPUTED_VALUE"""),"Wagner")</f>
        <v>Wagner</v>
      </c>
      <c r="C194" s="1" t="str">
        <f ca="1">IFERROR(__xludf.DUMMYFUNCTION("""COMPUTED_VALUE"""),"NEC")</f>
        <v>NEC</v>
      </c>
      <c r="D194" s="1" t="str">
        <f ca="1">IFERROR(__xludf.DUMMYFUNCTION("""COMPUTED_VALUE"""),"19-12")</f>
        <v>19-12</v>
      </c>
      <c r="E194" s="1">
        <f ca="1">IFERROR(__xludf.DUMMYFUNCTION("""COMPUTED_VALUE"""),-1.17)</f>
        <v>-1.17</v>
      </c>
      <c r="F194" s="1">
        <f ca="1">IFERROR(__xludf.DUMMYFUNCTION("""COMPUTED_VALUE"""),97.2)</f>
        <v>97.2</v>
      </c>
      <c r="G194" s="1">
        <f ca="1">IFERROR(__xludf.DUMMYFUNCTION("""COMPUTED_VALUE"""),271)</f>
        <v>271</v>
      </c>
      <c r="H194" s="1">
        <f ca="1">IFERROR(__xludf.DUMMYFUNCTION("""COMPUTED_VALUE"""),98.4)</f>
        <v>98.4</v>
      </c>
      <c r="I194" s="1">
        <f ca="1">IFERROR(__xludf.DUMMYFUNCTION("""COMPUTED_VALUE"""),94)</f>
        <v>94</v>
      </c>
      <c r="J194" s="1">
        <f ca="1">IFERROR(__xludf.DUMMYFUNCTION("""COMPUTED_VALUE"""),65.9)</f>
        <v>65.900000000000006</v>
      </c>
      <c r="K194" s="1">
        <f ca="1">IFERROR(__xludf.DUMMYFUNCTION("""COMPUTED_VALUE"""),113)</f>
        <v>113</v>
      </c>
      <c r="L194" s="1" t="str">
        <f ca="1">IFERROR(__xludf.DUMMYFUNCTION("""COMPUTED_VALUE"""),"+.053")</f>
        <v>+.053</v>
      </c>
      <c r="M194" s="1">
        <f ca="1">IFERROR(__xludf.DUMMYFUNCTION("""COMPUTED_VALUE"""),45)</f>
        <v>45</v>
      </c>
      <c r="N194" s="1">
        <f ca="1">IFERROR(__xludf.DUMMYFUNCTION("""COMPUTED_VALUE"""),-5.51)</f>
        <v>-5.51</v>
      </c>
      <c r="O194" s="1">
        <f ca="1">IFERROR(__xludf.DUMMYFUNCTION("""COMPUTED_VALUE"""),286)</f>
        <v>286</v>
      </c>
      <c r="P194" s="1">
        <f ca="1">IFERROR(__xludf.DUMMYFUNCTION("""COMPUTED_VALUE"""),101.6)</f>
        <v>101.6</v>
      </c>
      <c r="Q194" s="1">
        <f ca="1">IFERROR(__xludf.DUMMYFUNCTION("""COMPUTED_VALUE"""),201)</f>
        <v>201</v>
      </c>
      <c r="R194" s="1">
        <f ca="1">IFERROR(__xludf.DUMMYFUNCTION("""COMPUTED_VALUE"""),107.1)</f>
        <v>107.1</v>
      </c>
      <c r="S194" s="1">
        <f ca="1">IFERROR(__xludf.DUMMYFUNCTION("""COMPUTED_VALUE"""),338)</f>
        <v>338</v>
      </c>
      <c r="T194" s="1" t="str">
        <f ca="1">IFERROR(__xludf.DUMMYFUNCTION("""COMPUTED_VALUE"""),"+1.82")</f>
        <v>+1.82</v>
      </c>
      <c r="U194" s="1">
        <f ca="1">IFERROR(__xludf.DUMMYFUNCTION("""COMPUTED_VALUE"""),109)</f>
        <v>109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IFERROR(__xludf.DUMMYFUNCTION("""COMPUTED_VALUE"""),"SMU")</f>
        <v>SMU</v>
      </c>
      <c r="C195" s="1" t="str">
        <f ca="1">IFERROR(__xludf.DUMMYFUNCTION("""COMPUTED_VALUE"""),"CUSA")</f>
        <v>CUSA</v>
      </c>
      <c r="D195" s="1" t="str">
        <f ca="1">IFERROR(__xludf.DUMMYFUNCTION("""COMPUTED_VALUE"""),"15-17")</f>
        <v>15-17</v>
      </c>
      <c r="E195" s="1">
        <f ca="1">IFERROR(__xludf.DUMMYFUNCTION("""COMPUTED_VALUE"""),-1.25)</f>
        <v>-1.25</v>
      </c>
      <c r="F195" s="1">
        <f ca="1">IFERROR(__xludf.DUMMYFUNCTION("""COMPUTED_VALUE"""),100.8)</f>
        <v>100.8</v>
      </c>
      <c r="G195" s="1">
        <f ca="1">IFERROR(__xludf.DUMMYFUNCTION("""COMPUTED_VALUE"""),206)</f>
        <v>206</v>
      </c>
      <c r="H195" s="1">
        <f ca="1">IFERROR(__xludf.DUMMYFUNCTION("""COMPUTED_VALUE"""),102.1)</f>
        <v>102.1</v>
      </c>
      <c r="I195" s="1">
        <f ca="1">IFERROR(__xludf.DUMMYFUNCTION("""COMPUTED_VALUE"""),156)</f>
        <v>156</v>
      </c>
      <c r="J195" s="1">
        <f ca="1">IFERROR(__xludf.DUMMYFUNCTION("""COMPUTED_VALUE"""),62.4)</f>
        <v>62.4</v>
      </c>
      <c r="K195" s="1">
        <f ca="1">IFERROR(__xludf.DUMMYFUNCTION("""COMPUTED_VALUE"""),269)</f>
        <v>269</v>
      </c>
      <c r="L195" s="1">
        <f ca="1">IFERROR(__xludf.DUMMYFUNCTION("""COMPUTED_VALUE"""),-0.07)</f>
        <v>-7.0000000000000007E-2</v>
      </c>
      <c r="M195" s="1">
        <f ca="1">IFERROR(__xludf.DUMMYFUNCTION("""COMPUTED_VALUE"""),316)</f>
        <v>316</v>
      </c>
      <c r="N195" s="1">
        <f ca="1">IFERROR(__xludf.DUMMYFUNCTION("""COMPUTED_VALUE"""),-2.37)</f>
        <v>-2.37</v>
      </c>
      <c r="O195" s="1">
        <f ca="1">IFERROR(__xludf.DUMMYFUNCTION("""COMPUTED_VALUE"""),195)</f>
        <v>195</v>
      </c>
      <c r="P195" s="1">
        <f ca="1">IFERROR(__xludf.DUMMYFUNCTION("""COMPUTED_VALUE"""),100.9)</f>
        <v>100.9</v>
      </c>
      <c r="Q195" s="1">
        <f ca="1">IFERROR(__xludf.DUMMYFUNCTION("""COMPUTED_VALUE"""),231)</f>
        <v>231</v>
      </c>
      <c r="R195" s="1">
        <f ca="1">IFERROR(__xludf.DUMMYFUNCTION("""COMPUTED_VALUE"""),103.3)</f>
        <v>103.3</v>
      </c>
      <c r="S195" s="1">
        <f ca="1">IFERROR(__xludf.DUMMYFUNCTION("""COMPUTED_VALUE"""),185)</f>
        <v>185</v>
      </c>
      <c r="T195" s="1">
        <f ca="1">IFERROR(__xludf.DUMMYFUNCTION("""COMPUTED_VALUE"""),-5.48)</f>
        <v>-5.48</v>
      </c>
      <c r="U195" s="1">
        <f ca="1">IFERROR(__xludf.DUMMYFUNCTION("""COMPUTED_VALUE"""),301)</f>
        <v>301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IFERROR(__xludf.DUMMYFUNCTION("""COMPUTED_VALUE"""),"Toledo")</f>
        <v>Toledo</v>
      </c>
      <c r="C196" s="1" t="str">
        <f ca="1">IFERROR(__xludf.DUMMYFUNCTION("""COMPUTED_VALUE"""),"MAC")</f>
        <v>MAC</v>
      </c>
      <c r="D196" s="1" t="str">
        <f ca="1">IFERROR(__xludf.DUMMYFUNCTION("""COMPUTED_VALUE"""),"15-13")</f>
        <v>15-13</v>
      </c>
      <c r="E196" s="1">
        <f ca="1">IFERROR(__xludf.DUMMYFUNCTION("""COMPUTED_VALUE"""),-1.31)</f>
        <v>-1.31</v>
      </c>
      <c r="F196" s="1">
        <f ca="1">IFERROR(__xludf.DUMMYFUNCTION("""COMPUTED_VALUE"""),104.2)</f>
        <v>104.2</v>
      </c>
      <c r="G196" s="1">
        <f ca="1">IFERROR(__xludf.DUMMYFUNCTION("""COMPUTED_VALUE"""),146)</f>
        <v>146</v>
      </c>
      <c r="H196" s="1">
        <f ca="1">IFERROR(__xludf.DUMMYFUNCTION("""COMPUTED_VALUE"""),105.5)</f>
        <v>105.5</v>
      </c>
      <c r="I196" s="1">
        <f ca="1">IFERROR(__xludf.DUMMYFUNCTION("""COMPUTED_VALUE"""),236)</f>
        <v>236</v>
      </c>
      <c r="J196" s="1">
        <f ca="1">IFERROR(__xludf.DUMMYFUNCTION("""COMPUTED_VALUE"""),66.1)</f>
        <v>66.099999999999994</v>
      </c>
      <c r="K196" s="1">
        <f ca="1">IFERROR(__xludf.DUMMYFUNCTION("""COMPUTED_VALUE"""),98)</f>
        <v>98</v>
      </c>
      <c r="L196" s="1" t="str">
        <f ca="1">IFERROR(__xludf.DUMMYFUNCTION("""COMPUTED_VALUE"""),"+.012")</f>
        <v>+.012</v>
      </c>
      <c r="M196" s="1">
        <f ca="1">IFERROR(__xludf.DUMMYFUNCTION("""COMPUTED_VALUE"""),145)</f>
        <v>145</v>
      </c>
      <c r="N196" s="1">
        <f ca="1">IFERROR(__xludf.DUMMYFUNCTION("""COMPUTED_VALUE"""),-3.23)</f>
        <v>-3.23</v>
      </c>
      <c r="O196" s="1">
        <f ca="1">IFERROR(__xludf.DUMMYFUNCTION("""COMPUTED_VALUE"""),227)</f>
        <v>227</v>
      </c>
      <c r="P196" s="1">
        <f ca="1">IFERROR(__xludf.DUMMYFUNCTION("""COMPUTED_VALUE"""),100.5)</f>
        <v>100.5</v>
      </c>
      <c r="Q196" s="1">
        <f ca="1">IFERROR(__xludf.DUMMYFUNCTION("""COMPUTED_VALUE"""),256)</f>
        <v>256</v>
      </c>
      <c r="R196" s="1">
        <f ca="1">IFERROR(__xludf.DUMMYFUNCTION("""COMPUTED_VALUE"""),103.7)</f>
        <v>103.7</v>
      </c>
      <c r="S196" s="1">
        <f ca="1">IFERROR(__xludf.DUMMYFUNCTION("""COMPUTED_VALUE"""),200)</f>
        <v>200</v>
      </c>
      <c r="T196" s="1">
        <f ca="1">IFERROR(__xludf.DUMMYFUNCTION("""COMPUTED_VALUE"""),-1.55)</f>
        <v>-1.55</v>
      </c>
      <c r="U196" s="1">
        <f ca="1">IFERROR(__xludf.DUMMYFUNCTION("""COMPUTED_VALUE"""),212)</f>
        <v>212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IFERROR(__xludf.DUMMYFUNCTION("""COMPUTED_VALUE"""),"Georgia St.")</f>
        <v>Georgia St.</v>
      </c>
      <c r="C197" s="1" t="str">
        <f ca="1">IFERROR(__xludf.DUMMYFUNCTION("""COMPUTED_VALUE"""),"CAA")</f>
        <v>CAA</v>
      </c>
      <c r="D197" s="1" t="str">
        <f ca="1">IFERROR(__xludf.DUMMYFUNCTION("""COMPUTED_VALUE"""),"15-16")</f>
        <v>15-16</v>
      </c>
      <c r="E197" s="1">
        <f ca="1">IFERROR(__xludf.DUMMYFUNCTION("""COMPUTED_VALUE"""),-1.33)</f>
        <v>-1.33</v>
      </c>
      <c r="F197" s="1">
        <f ca="1">IFERROR(__xludf.DUMMYFUNCTION("""COMPUTED_VALUE"""),105.8)</f>
        <v>105.8</v>
      </c>
      <c r="G197" s="1">
        <f ca="1">IFERROR(__xludf.DUMMYFUNCTION("""COMPUTED_VALUE"""),119)</f>
        <v>119</v>
      </c>
      <c r="H197" s="1">
        <f ca="1">IFERROR(__xludf.DUMMYFUNCTION("""COMPUTED_VALUE"""),107.1)</f>
        <v>107.1</v>
      </c>
      <c r="I197" s="1">
        <f ca="1">IFERROR(__xludf.DUMMYFUNCTION("""COMPUTED_VALUE"""),259)</f>
        <v>259</v>
      </c>
      <c r="J197" s="1">
        <f ca="1">IFERROR(__xludf.DUMMYFUNCTION("""COMPUTED_VALUE"""),62.6)</f>
        <v>62.6</v>
      </c>
      <c r="K197" s="1">
        <f ca="1">IFERROR(__xludf.DUMMYFUNCTION("""COMPUTED_VALUE"""),262)</f>
        <v>262</v>
      </c>
      <c r="L197" s="1">
        <f ca="1">IFERROR(__xludf.DUMMYFUNCTION("""COMPUTED_VALUE"""),-0.051)</f>
        <v>-5.0999999999999997E-2</v>
      </c>
      <c r="M197" s="1">
        <f ca="1">IFERROR(__xludf.DUMMYFUNCTION("""COMPUTED_VALUE"""),296)</f>
        <v>296</v>
      </c>
      <c r="N197" s="1">
        <f ca="1">IFERROR(__xludf.DUMMYFUNCTION("""COMPUTED_VALUE"""),-3.29)</f>
        <v>-3.29</v>
      </c>
      <c r="O197" s="1">
        <f ca="1">IFERROR(__xludf.DUMMYFUNCTION("""COMPUTED_VALUE"""),230)</f>
        <v>230</v>
      </c>
      <c r="P197" s="1">
        <f ca="1">IFERROR(__xludf.DUMMYFUNCTION("""COMPUTED_VALUE"""),101.5)</f>
        <v>101.5</v>
      </c>
      <c r="Q197" s="1">
        <f ca="1">IFERROR(__xludf.DUMMYFUNCTION("""COMPUTED_VALUE"""),209)</f>
        <v>209</v>
      </c>
      <c r="R197" s="1">
        <f ca="1">IFERROR(__xludf.DUMMYFUNCTION("""COMPUTED_VALUE"""),104.7)</f>
        <v>104.7</v>
      </c>
      <c r="S197" s="1">
        <f ca="1">IFERROR(__xludf.DUMMYFUNCTION("""COMPUTED_VALUE"""),252)</f>
        <v>252</v>
      </c>
      <c r="T197" s="1">
        <f ca="1">IFERROR(__xludf.DUMMYFUNCTION("""COMPUTED_VALUE"""),-0.15)</f>
        <v>-0.15</v>
      </c>
      <c r="U197" s="1">
        <f ca="1">IFERROR(__xludf.DUMMYFUNCTION("""COMPUTED_VALUE"""),159)</f>
        <v>159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IFERROR(__xludf.DUMMYFUNCTION("""COMPUTED_VALUE"""),"FIU")</f>
        <v>FIU</v>
      </c>
      <c r="C198" s="1" t="str">
        <f ca="1">IFERROR(__xludf.DUMMYFUNCTION("""COMPUTED_VALUE"""),"SB")</f>
        <v>SB</v>
      </c>
      <c r="D198" s="1" t="str">
        <f ca="1">IFERROR(__xludf.DUMMYFUNCTION("""COMPUTED_VALUE"""),"18-14")</f>
        <v>18-14</v>
      </c>
      <c r="E198" s="1">
        <f ca="1">IFERROR(__xludf.DUMMYFUNCTION("""COMPUTED_VALUE"""),-1.39)</f>
        <v>-1.39</v>
      </c>
      <c r="F198" s="1">
        <f ca="1">IFERROR(__xludf.DUMMYFUNCTION("""COMPUTED_VALUE"""),101.6)</f>
        <v>101.6</v>
      </c>
      <c r="G198" s="1">
        <f ca="1">IFERROR(__xludf.DUMMYFUNCTION("""COMPUTED_VALUE"""),192)</f>
        <v>192</v>
      </c>
      <c r="H198" s="1">
        <f ca="1">IFERROR(__xludf.DUMMYFUNCTION("""COMPUTED_VALUE"""),102.9)</f>
        <v>102.9</v>
      </c>
      <c r="I198" s="1">
        <f ca="1">IFERROR(__xludf.DUMMYFUNCTION("""COMPUTED_VALUE"""),175)</f>
        <v>175</v>
      </c>
      <c r="J198" s="1">
        <f ca="1">IFERROR(__xludf.DUMMYFUNCTION("""COMPUTED_VALUE"""),67.8)</f>
        <v>67.8</v>
      </c>
      <c r="K198" s="1">
        <f ca="1">IFERROR(__xludf.DUMMYFUNCTION("""COMPUTED_VALUE"""),43)</f>
        <v>43</v>
      </c>
      <c r="L198" s="1" t="str">
        <f ca="1">IFERROR(__xludf.DUMMYFUNCTION("""COMPUTED_VALUE"""),"+.070")</f>
        <v>+.070</v>
      </c>
      <c r="M198" s="1">
        <f ca="1">IFERROR(__xludf.DUMMYFUNCTION("""COMPUTED_VALUE"""),29)</f>
        <v>29</v>
      </c>
      <c r="N198" s="1">
        <f ca="1">IFERROR(__xludf.DUMMYFUNCTION("""COMPUTED_VALUE"""),-2.29)</f>
        <v>-2.29</v>
      </c>
      <c r="O198" s="1">
        <f ca="1">IFERROR(__xludf.DUMMYFUNCTION("""COMPUTED_VALUE"""),190)</f>
        <v>190</v>
      </c>
      <c r="P198" s="1">
        <f ca="1">IFERROR(__xludf.DUMMYFUNCTION("""COMPUTED_VALUE"""),100.3)</f>
        <v>100.3</v>
      </c>
      <c r="Q198" s="1">
        <f ca="1">IFERROR(__xludf.DUMMYFUNCTION("""COMPUTED_VALUE"""),262)</f>
        <v>262</v>
      </c>
      <c r="R198" s="1">
        <f ca="1">IFERROR(__xludf.DUMMYFUNCTION("""COMPUTED_VALUE"""),102.6)</f>
        <v>102.6</v>
      </c>
      <c r="S198" s="1">
        <f ca="1">IFERROR(__xludf.DUMMYFUNCTION("""COMPUTED_VALUE"""),147)</f>
        <v>147</v>
      </c>
      <c r="T198" s="1" t="str">
        <f ca="1">IFERROR(__xludf.DUMMYFUNCTION("""COMPUTED_VALUE"""),"+2.36")</f>
        <v>+2.36</v>
      </c>
      <c r="U198" s="1">
        <f ca="1">IFERROR(__xludf.DUMMYFUNCTION("""COMPUTED_VALUE"""),96)</f>
        <v>96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IFERROR(__xludf.DUMMYFUNCTION("""COMPUTED_VALUE"""),"Buffalo")</f>
        <v>Buffalo</v>
      </c>
      <c r="C199" s="1" t="str">
        <f ca="1">IFERROR(__xludf.DUMMYFUNCTION("""COMPUTED_VALUE"""),"MAC")</f>
        <v>MAC</v>
      </c>
      <c r="D199" s="1" t="str">
        <f ca="1">IFERROR(__xludf.DUMMYFUNCTION("""COMPUTED_VALUE"""),"14-20")</f>
        <v>14-20</v>
      </c>
      <c r="E199" s="1">
        <f ca="1">IFERROR(__xludf.DUMMYFUNCTION("""COMPUTED_VALUE"""),-1.4)</f>
        <v>-1.4</v>
      </c>
      <c r="F199" s="1">
        <f ca="1">IFERROR(__xludf.DUMMYFUNCTION("""COMPUTED_VALUE"""),103.3)</f>
        <v>103.3</v>
      </c>
      <c r="G199" s="1">
        <f ca="1">IFERROR(__xludf.DUMMYFUNCTION("""COMPUTED_VALUE"""),155)</f>
        <v>155</v>
      </c>
      <c r="H199" s="1">
        <f ca="1">IFERROR(__xludf.DUMMYFUNCTION("""COMPUTED_VALUE"""),104.7)</f>
        <v>104.7</v>
      </c>
      <c r="I199" s="1">
        <f ca="1">IFERROR(__xludf.DUMMYFUNCTION("""COMPUTED_VALUE"""),211)</f>
        <v>211</v>
      </c>
      <c r="J199" s="1">
        <f ca="1">IFERROR(__xludf.DUMMYFUNCTION("""COMPUTED_VALUE"""),63.9)</f>
        <v>63.9</v>
      </c>
      <c r="K199" s="1">
        <f ca="1">IFERROR(__xludf.DUMMYFUNCTION("""COMPUTED_VALUE"""),201)</f>
        <v>201</v>
      </c>
      <c r="L199" s="1">
        <f ca="1">IFERROR(__xludf.DUMMYFUNCTION("""COMPUTED_VALUE"""),-0.067)</f>
        <v>-6.7000000000000004E-2</v>
      </c>
      <c r="M199" s="1">
        <f ca="1">IFERROR(__xludf.DUMMYFUNCTION("""COMPUTED_VALUE"""),314)</f>
        <v>314</v>
      </c>
      <c r="N199" s="1" t="str">
        <f ca="1">IFERROR(__xludf.DUMMYFUNCTION("""COMPUTED_VALUE"""),"+0.28")</f>
        <v>+0.28</v>
      </c>
      <c r="O199" s="1">
        <f ca="1">IFERROR(__xludf.DUMMYFUNCTION("""COMPUTED_VALUE"""),139)</f>
        <v>139</v>
      </c>
      <c r="P199" s="1">
        <f ca="1">IFERROR(__xludf.DUMMYFUNCTION("""COMPUTED_VALUE"""),102.9)</f>
        <v>102.9</v>
      </c>
      <c r="Q199" s="1">
        <f ca="1">IFERROR(__xludf.DUMMYFUNCTION("""COMPUTED_VALUE"""),139)</f>
        <v>139</v>
      </c>
      <c r="R199" s="1">
        <f ca="1">IFERROR(__xludf.DUMMYFUNCTION("""COMPUTED_VALUE"""),102.6)</f>
        <v>102.6</v>
      </c>
      <c r="S199" s="1">
        <f ca="1">IFERROR(__xludf.DUMMYFUNCTION("""COMPUTED_VALUE"""),146)</f>
        <v>146</v>
      </c>
      <c r="T199" s="1" t="str">
        <f ca="1">IFERROR(__xludf.DUMMYFUNCTION("""COMPUTED_VALUE"""),"+3.30")</f>
        <v>+3.30</v>
      </c>
      <c r="U199" s="1">
        <f ca="1">IFERROR(__xludf.DUMMYFUNCTION("""COMPUTED_VALUE"""),74)</f>
        <v>74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IFERROR(__xludf.DUMMYFUNCTION("""COMPUTED_VALUE"""),"Gardner Webb")</f>
        <v>Gardner Webb</v>
      </c>
      <c r="C200" s="1" t="str">
        <f ca="1">IFERROR(__xludf.DUMMYFUNCTION("""COMPUTED_VALUE"""),"BSth")</f>
        <v>BSth</v>
      </c>
      <c r="D200" s="1" t="str">
        <f ca="1">IFERROR(__xludf.DUMMYFUNCTION("""COMPUTED_VALUE"""),"21-13")</f>
        <v>21-13</v>
      </c>
      <c r="E200" s="1">
        <f ca="1">IFERROR(__xludf.DUMMYFUNCTION("""COMPUTED_VALUE"""),-1.63)</f>
        <v>-1.63</v>
      </c>
      <c r="F200" s="1">
        <f ca="1">IFERROR(__xludf.DUMMYFUNCTION("""COMPUTED_VALUE"""),98)</f>
        <v>98</v>
      </c>
      <c r="G200" s="1">
        <f ca="1">IFERROR(__xludf.DUMMYFUNCTION("""COMPUTED_VALUE"""),257)</f>
        <v>257</v>
      </c>
      <c r="H200" s="1">
        <f ca="1">IFERROR(__xludf.DUMMYFUNCTION("""COMPUTED_VALUE"""),99.6)</f>
        <v>99.6</v>
      </c>
      <c r="I200" s="1">
        <f ca="1">IFERROR(__xludf.DUMMYFUNCTION("""COMPUTED_VALUE"""),118)</f>
        <v>118</v>
      </c>
      <c r="J200" s="1">
        <f ca="1">IFERROR(__xludf.DUMMYFUNCTION("""COMPUTED_VALUE"""),61.5)</f>
        <v>61.5</v>
      </c>
      <c r="K200" s="1">
        <f ca="1">IFERROR(__xludf.DUMMYFUNCTION("""COMPUTED_VALUE"""),294)</f>
        <v>294</v>
      </c>
      <c r="L200" s="1">
        <f ca="1">IFERROR(__xludf.DUMMYFUNCTION("""COMPUTED_VALUE"""),-0.044)</f>
        <v>-4.3999999999999997E-2</v>
      </c>
      <c r="M200" s="1">
        <f ca="1">IFERROR(__xludf.DUMMYFUNCTION("""COMPUTED_VALUE"""),282)</f>
        <v>282</v>
      </c>
      <c r="N200" s="1">
        <f ca="1">IFERROR(__xludf.DUMMYFUNCTION("""COMPUTED_VALUE"""),-7.19)</f>
        <v>-7.19</v>
      </c>
      <c r="O200" s="1">
        <f ca="1">IFERROR(__xludf.DUMMYFUNCTION("""COMPUTED_VALUE"""),322)</f>
        <v>322</v>
      </c>
      <c r="P200" s="1">
        <f ca="1">IFERROR(__xludf.DUMMYFUNCTION("""COMPUTED_VALUE"""),99.6)</f>
        <v>99.6</v>
      </c>
      <c r="Q200" s="1">
        <f ca="1">IFERROR(__xludf.DUMMYFUNCTION("""COMPUTED_VALUE"""),293)</f>
        <v>293</v>
      </c>
      <c r="R200" s="1">
        <f ca="1">IFERROR(__xludf.DUMMYFUNCTION("""COMPUTED_VALUE"""),106.8)</f>
        <v>106.8</v>
      </c>
      <c r="S200" s="1">
        <f ca="1">IFERROR(__xludf.DUMMYFUNCTION("""COMPUTED_VALUE"""),335)</f>
        <v>335</v>
      </c>
      <c r="T200" s="1">
        <f ca="1">IFERROR(__xludf.DUMMYFUNCTION("""COMPUTED_VALUE"""),-1.03)</f>
        <v>-1.03</v>
      </c>
      <c r="U200" s="1">
        <f ca="1">IFERROR(__xludf.DUMMYFUNCTION("""COMPUTED_VALUE"""),190)</f>
        <v>190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IFERROR(__xludf.DUMMYFUNCTION("""COMPUTED_VALUE"""),"Youngstown St.")</f>
        <v>Youngstown St.</v>
      </c>
      <c r="C201" s="1" t="str">
        <f ca="1">IFERROR(__xludf.DUMMYFUNCTION("""COMPUTED_VALUE"""),"Horz")</f>
        <v>Horz</v>
      </c>
      <c r="D201" s="1" t="str">
        <f ca="1">IFERROR(__xludf.DUMMYFUNCTION("""COMPUTED_VALUE"""),"18-16")</f>
        <v>18-16</v>
      </c>
      <c r="E201" s="1">
        <f ca="1">IFERROR(__xludf.DUMMYFUNCTION("""COMPUTED_VALUE"""),-1.91)</f>
        <v>-1.91</v>
      </c>
      <c r="F201" s="1">
        <f ca="1">IFERROR(__xludf.DUMMYFUNCTION("""COMPUTED_VALUE"""),102.9)</f>
        <v>102.9</v>
      </c>
      <c r="G201" s="1">
        <f ca="1">IFERROR(__xludf.DUMMYFUNCTION("""COMPUTED_VALUE"""),163)</f>
        <v>163</v>
      </c>
      <c r="H201" s="1">
        <f ca="1">IFERROR(__xludf.DUMMYFUNCTION("""COMPUTED_VALUE"""),104.8)</f>
        <v>104.8</v>
      </c>
      <c r="I201" s="1">
        <f ca="1">IFERROR(__xludf.DUMMYFUNCTION("""COMPUTED_VALUE"""),213)</f>
        <v>213</v>
      </c>
      <c r="J201" s="1">
        <f ca="1">IFERROR(__xludf.DUMMYFUNCTION("""COMPUTED_VALUE"""),66.9)</f>
        <v>66.900000000000006</v>
      </c>
      <c r="K201" s="1">
        <f ca="1">IFERROR(__xludf.DUMMYFUNCTION("""COMPUTED_VALUE"""),66)</f>
        <v>66</v>
      </c>
      <c r="L201" s="1" t="str">
        <f ca="1">IFERROR(__xludf.DUMMYFUNCTION("""COMPUTED_VALUE"""),"+.025")</f>
        <v>+.025</v>
      </c>
      <c r="M201" s="1">
        <f ca="1">IFERROR(__xludf.DUMMYFUNCTION("""COMPUTED_VALUE"""),119)</f>
        <v>119</v>
      </c>
      <c r="N201" s="1">
        <f ca="1">IFERROR(__xludf.DUMMYFUNCTION("""COMPUTED_VALUE"""),-0.57)</f>
        <v>-0.56999999999999995</v>
      </c>
      <c r="O201" s="1">
        <f ca="1">IFERROR(__xludf.DUMMYFUNCTION("""COMPUTED_VALUE"""),154)</f>
        <v>154</v>
      </c>
      <c r="P201" s="1">
        <f ca="1">IFERROR(__xludf.DUMMYFUNCTION("""COMPUTED_VALUE"""),102.4)</f>
        <v>102.4</v>
      </c>
      <c r="Q201" s="1">
        <f ca="1">IFERROR(__xludf.DUMMYFUNCTION("""COMPUTED_VALUE"""),161)</f>
        <v>161</v>
      </c>
      <c r="R201" s="1">
        <f ca="1">IFERROR(__xludf.DUMMYFUNCTION("""COMPUTED_VALUE"""),102.9)</f>
        <v>102.9</v>
      </c>
      <c r="S201" s="1">
        <f ca="1">IFERROR(__xludf.DUMMYFUNCTION("""COMPUTED_VALUE"""),164)</f>
        <v>164</v>
      </c>
      <c r="T201" s="1">
        <f ca="1">IFERROR(__xludf.DUMMYFUNCTION("""COMPUTED_VALUE"""),-0.59)</f>
        <v>-0.59</v>
      </c>
      <c r="U201" s="1">
        <f ca="1">IFERROR(__xludf.DUMMYFUNCTION("""COMPUTED_VALUE"""),178)</f>
        <v>178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IFERROR(__xludf.DUMMYFUNCTION("""COMPUTED_VALUE"""),"LIU Brooklyn16")</f>
        <v>LIU Brooklyn16</v>
      </c>
      <c r="C202" s="1" t="str">
        <f ca="1">IFERROR(__xludf.DUMMYFUNCTION("""COMPUTED_VALUE"""),"NEC")</f>
        <v>NEC</v>
      </c>
      <c r="D202" s="1" t="str">
        <f ca="1">IFERROR(__xludf.DUMMYFUNCTION("""COMPUTED_VALUE"""),"20-14")</f>
        <v>20-14</v>
      </c>
      <c r="E202" s="1">
        <f ca="1">IFERROR(__xludf.DUMMYFUNCTION("""COMPUTED_VALUE"""),-2.13)</f>
        <v>-2.13</v>
      </c>
      <c r="F202" s="1">
        <f ca="1">IFERROR(__xludf.DUMMYFUNCTION("""COMPUTED_VALUE"""),110.5)</f>
        <v>110.5</v>
      </c>
      <c r="G202" s="1">
        <f ca="1">IFERROR(__xludf.DUMMYFUNCTION("""COMPUTED_VALUE"""),48)</f>
        <v>48</v>
      </c>
      <c r="H202" s="1">
        <f ca="1">IFERROR(__xludf.DUMMYFUNCTION("""COMPUTED_VALUE"""),112.6)</f>
        <v>112.6</v>
      </c>
      <c r="I202" s="1">
        <f ca="1">IFERROR(__xludf.DUMMYFUNCTION("""COMPUTED_VALUE"""),327)</f>
        <v>327</v>
      </c>
      <c r="J202" s="1">
        <f ca="1">IFERROR(__xludf.DUMMYFUNCTION("""COMPUTED_VALUE"""),67.3)</f>
        <v>67.3</v>
      </c>
      <c r="K202" s="1">
        <f ca="1">IFERROR(__xludf.DUMMYFUNCTION("""COMPUTED_VALUE"""),57)</f>
        <v>57</v>
      </c>
      <c r="L202" s="1" t="str">
        <f ca="1">IFERROR(__xludf.DUMMYFUNCTION("""COMPUTED_VALUE"""),"+.015")</f>
        <v>+.015</v>
      </c>
      <c r="M202" s="1">
        <f ca="1">IFERROR(__xludf.DUMMYFUNCTION("""COMPUTED_VALUE"""),142)</f>
        <v>142</v>
      </c>
      <c r="N202" s="1">
        <f ca="1">IFERROR(__xludf.DUMMYFUNCTION("""COMPUTED_VALUE"""),-6.79)</f>
        <v>-6.79</v>
      </c>
      <c r="O202" s="1">
        <f ca="1">IFERROR(__xludf.DUMMYFUNCTION("""COMPUTED_VALUE"""),312)</f>
        <v>312</v>
      </c>
      <c r="P202" s="1">
        <f ca="1">IFERROR(__xludf.DUMMYFUNCTION("""COMPUTED_VALUE"""),99.3)</f>
        <v>99.3</v>
      </c>
      <c r="Q202" s="1">
        <f ca="1">IFERROR(__xludf.DUMMYFUNCTION("""COMPUTED_VALUE"""),309)</f>
        <v>309</v>
      </c>
      <c r="R202" s="1">
        <f ca="1">IFERROR(__xludf.DUMMYFUNCTION("""COMPUTED_VALUE"""),106)</f>
        <v>106</v>
      </c>
      <c r="S202" s="1">
        <f ca="1">IFERROR(__xludf.DUMMYFUNCTION("""COMPUTED_VALUE"""),313)</f>
        <v>313</v>
      </c>
      <c r="T202" s="1">
        <f ca="1">IFERROR(__xludf.DUMMYFUNCTION("""COMPUTED_VALUE"""),-5.01)</f>
        <v>-5.01</v>
      </c>
      <c r="U202" s="1">
        <f ca="1">IFERROR(__xludf.DUMMYFUNCTION("""COMPUTED_VALUE"""),292)</f>
        <v>292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IFERROR(__xludf.DUMMYFUNCTION("""COMPUTED_VALUE"""),"Rhode Island")</f>
        <v>Rhode Island</v>
      </c>
      <c r="C203" s="1" t="str">
        <f ca="1">IFERROR(__xludf.DUMMYFUNCTION("""COMPUTED_VALUE"""),"A10")</f>
        <v>A10</v>
      </c>
      <c r="D203" s="2">
        <f ca="1">IFERROR(__xludf.DUMMYFUNCTION("""COMPUTED_VALUE"""),44794)</f>
        <v>44794</v>
      </c>
      <c r="E203" s="1">
        <f ca="1">IFERROR(__xludf.DUMMYFUNCTION("""COMPUTED_VALUE"""),-2.24)</f>
        <v>-2.2400000000000002</v>
      </c>
      <c r="F203" s="1">
        <f ca="1">IFERROR(__xludf.DUMMYFUNCTION("""COMPUTED_VALUE"""),100.5)</f>
        <v>100.5</v>
      </c>
      <c r="G203" s="1">
        <f ca="1">IFERROR(__xludf.DUMMYFUNCTION("""COMPUTED_VALUE"""),209)</f>
        <v>209</v>
      </c>
      <c r="H203" s="1">
        <f ca="1">IFERROR(__xludf.DUMMYFUNCTION("""COMPUTED_VALUE"""),102.8)</f>
        <v>102.8</v>
      </c>
      <c r="I203" s="1">
        <f ca="1">IFERROR(__xludf.DUMMYFUNCTION("""COMPUTED_VALUE"""),172)</f>
        <v>172</v>
      </c>
      <c r="J203" s="1">
        <f ca="1">IFERROR(__xludf.DUMMYFUNCTION("""COMPUTED_VALUE"""),61.6)</f>
        <v>61.6</v>
      </c>
      <c r="K203" s="1">
        <f ca="1">IFERROR(__xludf.DUMMYFUNCTION("""COMPUTED_VALUE"""),292)</f>
        <v>292</v>
      </c>
      <c r="L203" s="1">
        <f ca="1">IFERROR(__xludf.DUMMYFUNCTION("""COMPUTED_VALUE"""),-0.042)</f>
        <v>-4.2000000000000003E-2</v>
      </c>
      <c r="M203" s="1">
        <f ca="1">IFERROR(__xludf.DUMMYFUNCTION("""COMPUTED_VALUE"""),281)</f>
        <v>281</v>
      </c>
      <c r="N203" s="1" t="str">
        <f ca="1">IFERROR(__xludf.DUMMYFUNCTION("""COMPUTED_VALUE"""),"+4.91")</f>
        <v>+4.91</v>
      </c>
      <c r="O203" s="1">
        <f ca="1">IFERROR(__xludf.DUMMYFUNCTION("""COMPUTED_VALUE"""),79)</f>
        <v>79</v>
      </c>
      <c r="P203" s="1">
        <f ca="1">IFERROR(__xludf.DUMMYFUNCTION("""COMPUTED_VALUE"""),105.5)</f>
        <v>105.5</v>
      </c>
      <c r="Q203" s="1">
        <f ca="1">IFERROR(__xludf.DUMMYFUNCTION("""COMPUTED_VALUE"""),72)</f>
        <v>72</v>
      </c>
      <c r="R203" s="1">
        <f ca="1">IFERROR(__xludf.DUMMYFUNCTION("""COMPUTED_VALUE"""),100.6)</f>
        <v>100.6</v>
      </c>
      <c r="S203" s="1">
        <f ca="1">IFERROR(__xludf.DUMMYFUNCTION("""COMPUTED_VALUE"""),92)</f>
        <v>92</v>
      </c>
      <c r="T203" s="1" t="str">
        <f ca="1">IFERROR(__xludf.DUMMYFUNCTION("""COMPUTED_VALUE"""),"+1.39")</f>
        <v>+1.39</v>
      </c>
      <c r="U203" s="1">
        <f ca="1">IFERROR(__xludf.DUMMYFUNCTION("""COMPUTED_VALUE"""),120)</f>
        <v>120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IFERROR(__xludf.DUMMYFUNCTION("""COMPUTED_VALUE"""),"South Alabama")</f>
        <v>South Alabama</v>
      </c>
      <c r="C204" s="1" t="str">
        <f ca="1">IFERROR(__xludf.DUMMYFUNCTION("""COMPUTED_VALUE"""),"SB")</f>
        <v>SB</v>
      </c>
      <c r="D204" s="1" t="str">
        <f ca="1">IFERROR(__xludf.DUMMYFUNCTION("""COMPUTED_VALUE"""),"17-13")</f>
        <v>17-13</v>
      </c>
      <c r="E204" s="1">
        <f ca="1">IFERROR(__xludf.DUMMYFUNCTION("""COMPUTED_VALUE"""),-2.34)</f>
        <v>-2.34</v>
      </c>
      <c r="F204" s="1">
        <f ca="1">IFERROR(__xludf.DUMMYFUNCTION("""COMPUTED_VALUE"""),99.1)</f>
        <v>99.1</v>
      </c>
      <c r="G204" s="1">
        <f ca="1">IFERROR(__xludf.DUMMYFUNCTION("""COMPUTED_VALUE"""),233)</f>
        <v>233</v>
      </c>
      <c r="H204" s="1">
        <f ca="1">IFERROR(__xludf.DUMMYFUNCTION("""COMPUTED_VALUE"""),101.4)</f>
        <v>101.4</v>
      </c>
      <c r="I204" s="1">
        <f ca="1">IFERROR(__xludf.DUMMYFUNCTION("""COMPUTED_VALUE"""),146)</f>
        <v>146</v>
      </c>
      <c r="J204" s="1">
        <f ca="1">IFERROR(__xludf.DUMMYFUNCTION("""COMPUTED_VALUE"""),67)</f>
        <v>67</v>
      </c>
      <c r="K204" s="1">
        <f ca="1">IFERROR(__xludf.DUMMYFUNCTION("""COMPUTED_VALUE"""),61)</f>
        <v>61</v>
      </c>
      <c r="L204" s="1" t="str">
        <f ca="1">IFERROR(__xludf.DUMMYFUNCTION("""COMPUTED_VALUE"""),"+.043")</f>
        <v>+.043</v>
      </c>
      <c r="M204" s="1">
        <f ca="1">IFERROR(__xludf.DUMMYFUNCTION("""COMPUTED_VALUE"""),66)</f>
        <v>66</v>
      </c>
      <c r="N204" s="1">
        <f ca="1">IFERROR(__xludf.DUMMYFUNCTION("""COMPUTED_VALUE"""),-3.52)</f>
        <v>-3.52</v>
      </c>
      <c r="O204" s="1">
        <f ca="1">IFERROR(__xludf.DUMMYFUNCTION("""COMPUTED_VALUE"""),234)</f>
        <v>234</v>
      </c>
      <c r="P204" s="1">
        <f ca="1">IFERROR(__xludf.DUMMYFUNCTION("""COMPUTED_VALUE"""),100.3)</f>
        <v>100.3</v>
      </c>
      <c r="Q204" s="1">
        <f ca="1">IFERROR(__xludf.DUMMYFUNCTION("""COMPUTED_VALUE"""),263)</f>
        <v>263</v>
      </c>
      <c r="R204" s="1">
        <f ca="1">IFERROR(__xludf.DUMMYFUNCTION("""COMPUTED_VALUE"""),103.9)</f>
        <v>103.9</v>
      </c>
      <c r="S204" s="1">
        <f ca="1">IFERROR(__xludf.DUMMYFUNCTION("""COMPUTED_VALUE"""),212)</f>
        <v>212</v>
      </c>
      <c r="T204" s="1">
        <f ca="1">IFERROR(__xludf.DUMMYFUNCTION("""COMPUTED_VALUE"""),-1.94)</f>
        <v>-1.94</v>
      </c>
      <c r="U204" s="1">
        <f ca="1">IFERROR(__xludf.DUMMYFUNCTION("""COMPUTED_VALUE"""),222)</f>
        <v>222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IFERROR(__xludf.DUMMYFUNCTION("""COMPUTED_VALUE"""),"USC Upstate")</f>
        <v>USC Upstate</v>
      </c>
      <c r="C205" s="1" t="str">
        <f ca="1">IFERROR(__xludf.DUMMYFUNCTION("""COMPUTED_VALUE"""),"ASun")</f>
        <v>ASun</v>
      </c>
      <c r="D205" s="1" t="str">
        <f ca="1">IFERROR(__xludf.DUMMYFUNCTION("""COMPUTED_VALUE"""),"16-17")</f>
        <v>16-17</v>
      </c>
      <c r="E205" s="1">
        <f ca="1">IFERROR(__xludf.DUMMYFUNCTION("""COMPUTED_VALUE"""),-2.37)</f>
        <v>-2.37</v>
      </c>
      <c r="F205" s="1">
        <f ca="1">IFERROR(__xludf.DUMMYFUNCTION("""COMPUTED_VALUE"""),103)</f>
        <v>103</v>
      </c>
      <c r="G205" s="1">
        <f ca="1">IFERROR(__xludf.DUMMYFUNCTION("""COMPUTED_VALUE"""),162)</f>
        <v>162</v>
      </c>
      <c r="H205" s="1">
        <f ca="1">IFERROR(__xludf.DUMMYFUNCTION("""COMPUTED_VALUE"""),105.3)</f>
        <v>105.3</v>
      </c>
      <c r="I205" s="1">
        <f ca="1">IFERROR(__xludf.DUMMYFUNCTION("""COMPUTED_VALUE"""),230)</f>
        <v>230</v>
      </c>
      <c r="J205" s="1">
        <f ca="1">IFERROR(__xludf.DUMMYFUNCTION("""COMPUTED_VALUE"""),64.9)</f>
        <v>64.900000000000006</v>
      </c>
      <c r="K205" s="1">
        <f ca="1">IFERROR(__xludf.DUMMYFUNCTION("""COMPUTED_VALUE"""),155)</f>
        <v>155</v>
      </c>
      <c r="L205" s="1">
        <f ca="1">IFERROR(__xludf.DUMMYFUNCTION("""COMPUTED_VALUE"""),-0.076)</f>
        <v>-7.5999999999999998E-2</v>
      </c>
      <c r="M205" s="1">
        <f ca="1">IFERROR(__xludf.DUMMYFUNCTION("""COMPUTED_VALUE"""),324)</f>
        <v>324</v>
      </c>
      <c r="N205" s="1">
        <f ca="1">IFERROR(__xludf.DUMMYFUNCTION("""COMPUTED_VALUE"""),-4.87)</f>
        <v>-4.87</v>
      </c>
      <c r="O205" s="1">
        <f ca="1">IFERROR(__xludf.DUMMYFUNCTION("""COMPUTED_VALUE"""),266)</f>
        <v>266</v>
      </c>
      <c r="P205" s="1">
        <f ca="1">IFERROR(__xludf.DUMMYFUNCTION("""COMPUTED_VALUE"""),100.5)</f>
        <v>100.5</v>
      </c>
      <c r="Q205" s="1">
        <f ca="1">IFERROR(__xludf.DUMMYFUNCTION("""COMPUTED_VALUE"""),252)</f>
        <v>252</v>
      </c>
      <c r="R205" s="1">
        <f ca="1">IFERROR(__xludf.DUMMYFUNCTION("""COMPUTED_VALUE"""),105.4)</f>
        <v>105.4</v>
      </c>
      <c r="S205" s="1">
        <f ca="1">IFERROR(__xludf.DUMMYFUNCTION("""COMPUTED_VALUE"""),282)</f>
        <v>282</v>
      </c>
      <c r="T205" s="1" t="str">
        <f ca="1">IFERROR(__xludf.DUMMYFUNCTION("""COMPUTED_VALUE"""),"+2.46")</f>
        <v>+2.46</v>
      </c>
      <c r="U205" s="1">
        <f ca="1">IFERROR(__xludf.DUMMYFUNCTION("""COMPUTED_VALUE"""),92)</f>
        <v>92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IFERROR(__xludf.DUMMYFUNCTION("""COMPUTED_VALUE"""),"Columbia")</f>
        <v>Columbia</v>
      </c>
      <c r="C206" s="1" t="str">
        <f ca="1">IFERROR(__xludf.DUMMYFUNCTION("""COMPUTED_VALUE"""),"Ivy")</f>
        <v>Ivy</v>
      </c>
      <c r="D206" s="2">
        <f ca="1">IFERROR(__xludf.DUMMYFUNCTION("""COMPUTED_VALUE"""),44911)</f>
        <v>44911</v>
      </c>
      <c r="E206" s="1">
        <f ca="1">IFERROR(__xludf.DUMMYFUNCTION("""COMPUTED_VALUE"""),-2.42)</f>
        <v>-2.42</v>
      </c>
      <c r="F206" s="1">
        <f ca="1">IFERROR(__xludf.DUMMYFUNCTION("""COMPUTED_VALUE"""),101.1)</f>
        <v>101.1</v>
      </c>
      <c r="G206" s="1">
        <f ca="1">IFERROR(__xludf.DUMMYFUNCTION("""COMPUTED_VALUE"""),200)</f>
        <v>200</v>
      </c>
      <c r="H206" s="1">
        <f ca="1">IFERROR(__xludf.DUMMYFUNCTION("""COMPUTED_VALUE"""),103.5)</f>
        <v>103.5</v>
      </c>
      <c r="I206" s="1">
        <f ca="1">IFERROR(__xludf.DUMMYFUNCTION("""COMPUTED_VALUE"""),187)</f>
        <v>187</v>
      </c>
      <c r="J206" s="1">
        <f ca="1">IFERROR(__xludf.DUMMYFUNCTION("""COMPUTED_VALUE"""),60.3)</f>
        <v>60.3</v>
      </c>
      <c r="K206" s="1">
        <f ca="1">IFERROR(__xludf.DUMMYFUNCTION("""COMPUTED_VALUE"""),321)</f>
        <v>321</v>
      </c>
      <c r="L206" s="1">
        <f ca="1">IFERROR(__xludf.DUMMYFUNCTION("""COMPUTED_VALUE"""),-0.121)</f>
        <v>-0.121</v>
      </c>
      <c r="M206" s="1">
        <f ca="1">IFERROR(__xludf.DUMMYFUNCTION("""COMPUTED_VALUE"""),344)</f>
        <v>344</v>
      </c>
      <c r="N206" s="1">
        <f ca="1">IFERROR(__xludf.DUMMYFUNCTION("""COMPUTED_VALUE"""),-3.25)</f>
        <v>-3.25</v>
      </c>
      <c r="O206" s="1">
        <f ca="1">IFERROR(__xludf.DUMMYFUNCTION("""COMPUTED_VALUE"""),228)</f>
        <v>228</v>
      </c>
      <c r="P206" s="1">
        <f ca="1">IFERROR(__xludf.DUMMYFUNCTION("""COMPUTED_VALUE"""),101)</f>
        <v>101</v>
      </c>
      <c r="Q206" s="1">
        <f ca="1">IFERROR(__xludf.DUMMYFUNCTION("""COMPUTED_VALUE"""),230)</f>
        <v>230</v>
      </c>
      <c r="R206" s="1">
        <f ca="1">IFERROR(__xludf.DUMMYFUNCTION("""COMPUTED_VALUE"""),104.2)</f>
        <v>104.2</v>
      </c>
      <c r="S206" s="1">
        <f ca="1">IFERROR(__xludf.DUMMYFUNCTION("""COMPUTED_VALUE"""),230)</f>
        <v>230</v>
      </c>
      <c r="T206" s="1">
        <f ca="1">IFERROR(__xludf.DUMMYFUNCTION("""COMPUTED_VALUE"""),-2.38)</f>
        <v>-2.38</v>
      </c>
      <c r="U206" s="1">
        <f ca="1">IFERROR(__xludf.DUMMYFUNCTION("""COMPUTED_VALUE"""),238)</f>
        <v>238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IFERROR(__xludf.DUMMYFUNCTION("""COMPUTED_VALUE"""),"Auburn")</f>
        <v>Auburn</v>
      </c>
      <c r="C207" s="1" t="str">
        <f ca="1">IFERROR(__xludf.DUMMYFUNCTION("""COMPUTED_VALUE"""),"SEC")</f>
        <v>SEC</v>
      </c>
      <c r="D207" s="2">
        <f ca="1">IFERROR(__xludf.DUMMYFUNCTION("""COMPUTED_VALUE"""),44827)</f>
        <v>44827</v>
      </c>
      <c r="E207" s="1">
        <f ca="1">IFERROR(__xludf.DUMMYFUNCTION("""COMPUTED_VALUE"""),-2.83)</f>
        <v>-2.83</v>
      </c>
      <c r="F207" s="1">
        <f ca="1">IFERROR(__xludf.DUMMYFUNCTION("""COMPUTED_VALUE"""),98.8)</f>
        <v>98.8</v>
      </c>
      <c r="G207" s="1">
        <f ca="1">IFERROR(__xludf.DUMMYFUNCTION("""COMPUTED_VALUE"""),240)</f>
        <v>240</v>
      </c>
      <c r="H207" s="1">
        <f ca="1">IFERROR(__xludf.DUMMYFUNCTION("""COMPUTED_VALUE"""),101.6)</f>
        <v>101.6</v>
      </c>
      <c r="I207" s="1">
        <f ca="1">IFERROR(__xludf.DUMMYFUNCTION("""COMPUTED_VALUE"""),150)</f>
        <v>150</v>
      </c>
      <c r="J207" s="1">
        <f ca="1">IFERROR(__xludf.DUMMYFUNCTION("""COMPUTED_VALUE"""),65.6)</f>
        <v>65.599999999999994</v>
      </c>
      <c r="K207" s="1">
        <f ca="1">IFERROR(__xludf.DUMMYFUNCTION("""COMPUTED_VALUE"""),124)</f>
        <v>124</v>
      </c>
      <c r="L207" s="1">
        <f ca="1">IFERROR(__xludf.DUMMYFUNCTION("""COMPUTED_VALUE"""),-0.117)</f>
        <v>-0.11700000000000001</v>
      </c>
      <c r="M207" s="1">
        <f ca="1">IFERROR(__xludf.DUMMYFUNCTION("""COMPUTED_VALUE"""),342)</f>
        <v>342</v>
      </c>
      <c r="N207" s="1" t="str">
        <f ca="1">IFERROR(__xludf.DUMMYFUNCTION("""COMPUTED_VALUE"""),"+3.79")</f>
        <v>+3.79</v>
      </c>
      <c r="O207" s="1">
        <f ca="1">IFERROR(__xludf.DUMMYFUNCTION("""COMPUTED_VALUE"""),101)</f>
        <v>101</v>
      </c>
      <c r="P207" s="1">
        <f ca="1">IFERROR(__xludf.DUMMYFUNCTION("""COMPUTED_VALUE"""),104.3)</f>
        <v>104.3</v>
      </c>
      <c r="Q207" s="1">
        <f ca="1">IFERROR(__xludf.DUMMYFUNCTION("""COMPUTED_VALUE"""),108)</f>
        <v>108</v>
      </c>
      <c r="R207" s="1">
        <f ca="1">IFERROR(__xludf.DUMMYFUNCTION("""COMPUTED_VALUE"""),100.5)</f>
        <v>100.5</v>
      </c>
      <c r="S207" s="1">
        <f ca="1">IFERROR(__xludf.DUMMYFUNCTION("""COMPUTED_VALUE"""),88)</f>
        <v>88</v>
      </c>
      <c r="T207" s="1">
        <f ca="1">IFERROR(__xludf.DUMMYFUNCTION("""COMPUTED_VALUE"""),-5.98)</f>
        <v>-5.98</v>
      </c>
      <c r="U207" s="1">
        <f ca="1">IFERROR(__xludf.DUMMYFUNCTION("""COMPUTED_VALUE"""),309)</f>
        <v>309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IFERROR(__xludf.DUMMYFUNCTION("""COMPUTED_VALUE"""),"Yale")</f>
        <v>Yale</v>
      </c>
      <c r="C208" s="1" t="str">
        <f ca="1">IFERROR(__xludf.DUMMYFUNCTION("""COMPUTED_VALUE"""),"Ivy")</f>
        <v>Ivy</v>
      </c>
      <c r="D208" s="1" t="str">
        <f ca="1">IFERROR(__xludf.DUMMYFUNCTION("""COMPUTED_VALUE"""),"14-17")</f>
        <v>14-17</v>
      </c>
      <c r="E208" s="1">
        <f ca="1">IFERROR(__xludf.DUMMYFUNCTION("""COMPUTED_VALUE"""),-2.95)</f>
        <v>-2.95</v>
      </c>
      <c r="F208" s="1">
        <f ca="1">IFERROR(__xludf.DUMMYFUNCTION("""COMPUTED_VALUE"""),102.7)</f>
        <v>102.7</v>
      </c>
      <c r="G208" s="1">
        <f ca="1">IFERROR(__xludf.DUMMYFUNCTION("""COMPUTED_VALUE"""),168)</f>
        <v>168</v>
      </c>
      <c r="H208" s="1">
        <f ca="1">IFERROR(__xludf.DUMMYFUNCTION("""COMPUTED_VALUE"""),105.7)</f>
        <v>105.7</v>
      </c>
      <c r="I208" s="1">
        <f ca="1">IFERROR(__xludf.DUMMYFUNCTION("""COMPUTED_VALUE"""),240)</f>
        <v>240</v>
      </c>
      <c r="J208" s="1">
        <f ca="1">IFERROR(__xludf.DUMMYFUNCTION("""COMPUTED_VALUE"""),63)</f>
        <v>63</v>
      </c>
      <c r="K208" s="1">
        <f ca="1">IFERROR(__xludf.DUMMYFUNCTION("""COMPUTED_VALUE"""),239)</f>
        <v>239</v>
      </c>
      <c r="L208" s="1" t="str">
        <f ca="1">IFERROR(__xludf.DUMMYFUNCTION("""COMPUTED_VALUE"""),"+.032")</f>
        <v>+.032</v>
      </c>
      <c r="M208" s="1">
        <f ca="1">IFERROR(__xludf.DUMMYFUNCTION("""COMPUTED_VALUE"""),98)</f>
        <v>98</v>
      </c>
      <c r="N208" s="1" t="str">
        <f ca="1">IFERROR(__xludf.DUMMYFUNCTION("""COMPUTED_VALUE"""),"+0.66")</f>
        <v>+0.66</v>
      </c>
      <c r="O208" s="1">
        <f ca="1">IFERROR(__xludf.DUMMYFUNCTION("""COMPUTED_VALUE"""),132)</f>
        <v>132</v>
      </c>
      <c r="P208" s="1">
        <f ca="1">IFERROR(__xludf.DUMMYFUNCTION("""COMPUTED_VALUE"""),103.1)</f>
        <v>103.1</v>
      </c>
      <c r="Q208" s="1">
        <f ca="1">IFERROR(__xludf.DUMMYFUNCTION("""COMPUTED_VALUE"""),136)</f>
        <v>136</v>
      </c>
      <c r="R208" s="1">
        <f ca="1">IFERROR(__xludf.DUMMYFUNCTION("""COMPUTED_VALUE"""),102.5)</f>
        <v>102.5</v>
      </c>
      <c r="S208" s="1">
        <f ca="1">IFERROR(__xludf.DUMMYFUNCTION("""COMPUTED_VALUE"""),141)</f>
        <v>141</v>
      </c>
      <c r="T208" s="1" t="str">
        <f ca="1">IFERROR(__xludf.DUMMYFUNCTION("""COMPUTED_VALUE"""),"+5.22")</f>
        <v>+5.22</v>
      </c>
      <c r="U208" s="1">
        <f ca="1">IFERROR(__xludf.DUMMYFUNCTION("""COMPUTED_VALUE"""),36)</f>
        <v>36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IFERROR(__xludf.DUMMYFUNCTION("""COMPUTED_VALUE"""),"Idaho")</f>
        <v>Idaho</v>
      </c>
      <c r="C209" s="1" t="str">
        <f ca="1">IFERROR(__xludf.DUMMYFUNCTION("""COMPUTED_VALUE"""),"WAC")</f>
        <v>WAC</v>
      </c>
      <c r="D209" s="2">
        <f ca="1">IFERROR(__xludf.DUMMYFUNCTION("""COMPUTED_VALUE"""),44913)</f>
        <v>44913</v>
      </c>
      <c r="E209" s="1">
        <f ca="1">IFERROR(__xludf.DUMMYFUNCTION("""COMPUTED_VALUE"""),-2.97)</f>
        <v>-2.97</v>
      </c>
      <c r="F209" s="1">
        <f ca="1">IFERROR(__xludf.DUMMYFUNCTION("""COMPUTED_VALUE"""),109.9)</f>
        <v>109.9</v>
      </c>
      <c r="G209" s="1">
        <f ca="1">IFERROR(__xludf.DUMMYFUNCTION("""COMPUTED_VALUE"""),57)</f>
        <v>57</v>
      </c>
      <c r="H209" s="1">
        <f ca="1">IFERROR(__xludf.DUMMYFUNCTION("""COMPUTED_VALUE"""),112.8)</f>
        <v>112.8</v>
      </c>
      <c r="I209" s="1">
        <f ca="1">IFERROR(__xludf.DUMMYFUNCTION("""COMPUTED_VALUE"""),329)</f>
        <v>329</v>
      </c>
      <c r="J209" s="1">
        <f ca="1">IFERROR(__xludf.DUMMYFUNCTION("""COMPUTED_VALUE"""),62)</f>
        <v>62</v>
      </c>
      <c r="K209" s="1">
        <f ca="1">IFERROR(__xludf.DUMMYFUNCTION("""COMPUTED_VALUE"""),279)</f>
        <v>279</v>
      </c>
      <c r="L209" s="1">
        <f ca="1">IFERROR(__xludf.DUMMYFUNCTION("""COMPUTED_VALUE"""),0)</f>
        <v>0</v>
      </c>
      <c r="M209" s="1">
        <f ca="1">IFERROR(__xludf.DUMMYFUNCTION("""COMPUTED_VALUE"""),181)</f>
        <v>181</v>
      </c>
      <c r="N209" s="1" t="str">
        <f ca="1">IFERROR(__xludf.DUMMYFUNCTION("""COMPUTED_VALUE"""),"+0.49")</f>
        <v>+0.49</v>
      </c>
      <c r="O209" s="1">
        <f ca="1">IFERROR(__xludf.DUMMYFUNCTION("""COMPUTED_VALUE"""),135)</f>
        <v>135</v>
      </c>
      <c r="P209" s="1">
        <f ca="1">IFERROR(__xludf.DUMMYFUNCTION("""COMPUTED_VALUE"""),101.9)</f>
        <v>101.9</v>
      </c>
      <c r="Q209" s="1">
        <f ca="1">IFERROR(__xludf.DUMMYFUNCTION("""COMPUTED_VALUE"""),177)</f>
        <v>177</v>
      </c>
      <c r="R209" s="1">
        <f ca="1">IFERROR(__xludf.DUMMYFUNCTION("""COMPUTED_VALUE"""),101.4)</f>
        <v>101.4</v>
      </c>
      <c r="S209" s="1">
        <f ca="1">IFERROR(__xludf.DUMMYFUNCTION("""COMPUTED_VALUE"""),114)</f>
        <v>114</v>
      </c>
      <c r="T209" s="1" t="str">
        <f ca="1">IFERROR(__xludf.DUMMYFUNCTION("""COMPUTED_VALUE"""),"+2.26")</f>
        <v>+2.26</v>
      </c>
      <c r="U209" s="1">
        <f ca="1">IFERROR(__xludf.DUMMYFUNCTION("""COMPUTED_VALUE"""),99)</f>
        <v>99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IFERROR(__xludf.DUMMYFUNCTION("""COMPUTED_VALUE"""),"Oakland")</f>
        <v>Oakland</v>
      </c>
      <c r="C210" s="1" t="str">
        <f ca="1">IFERROR(__xludf.DUMMYFUNCTION("""COMPUTED_VALUE"""),"Sum")</f>
        <v>Sum</v>
      </c>
      <c r="D210" s="1" t="str">
        <f ca="1">IFERROR(__xludf.DUMMYFUNCTION("""COMPUTED_VALUE"""),"16-17")</f>
        <v>16-17</v>
      </c>
      <c r="E210" s="1">
        <f ca="1">IFERROR(__xludf.DUMMYFUNCTION("""COMPUTED_VALUE"""),-3.09)</f>
        <v>-3.09</v>
      </c>
      <c r="F210" s="1">
        <f ca="1">IFERROR(__xludf.DUMMYFUNCTION("""COMPUTED_VALUE"""),107.3)</f>
        <v>107.3</v>
      </c>
      <c r="G210" s="1">
        <f ca="1">IFERROR(__xludf.DUMMYFUNCTION("""COMPUTED_VALUE"""),86)</f>
        <v>86</v>
      </c>
      <c r="H210" s="1">
        <f ca="1">IFERROR(__xludf.DUMMYFUNCTION("""COMPUTED_VALUE"""),110.4)</f>
        <v>110.4</v>
      </c>
      <c r="I210" s="1">
        <f ca="1">IFERROR(__xludf.DUMMYFUNCTION("""COMPUTED_VALUE"""),309)</f>
        <v>309</v>
      </c>
      <c r="J210" s="1">
        <f ca="1">IFERROR(__xludf.DUMMYFUNCTION("""COMPUTED_VALUE"""),68.1)</f>
        <v>68.099999999999994</v>
      </c>
      <c r="K210" s="1">
        <f ca="1">IFERROR(__xludf.DUMMYFUNCTION("""COMPUTED_VALUE"""),34)</f>
        <v>34</v>
      </c>
      <c r="L210" s="1" t="str">
        <f ca="1">IFERROR(__xludf.DUMMYFUNCTION("""COMPUTED_VALUE"""),"+.041")</f>
        <v>+.041</v>
      </c>
      <c r="M210" s="1">
        <f ca="1">IFERROR(__xludf.DUMMYFUNCTION("""COMPUTED_VALUE"""),74)</f>
        <v>74</v>
      </c>
      <c r="N210" s="1" t="str">
        <f ca="1">IFERROR(__xludf.DUMMYFUNCTION("""COMPUTED_VALUE"""),"+0.37")</f>
        <v>+0.37</v>
      </c>
      <c r="O210" s="1">
        <f ca="1">IFERROR(__xludf.DUMMYFUNCTION("""COMPUTED_VALUE"""),137)</f>
        <v>137</v>
      </c>
      <c r="P210" s="1">
        <f ca="1">IFERROR(__xludf.DUMMYFUNCTION("""COMPUTED_VALUE"""),103.8)</f>
        <v>103.8</v>
      </c>
      <c r="Q210" s="1">
        <f ca="1">IFERROR(__xludf.DUMMYFUNCTION("""COMPUTED_VALUE"""),119)</f>
        <v>119</v>
      </c>
      <c r="R210" s="1">
        <f ca="1">IFERROR(__xludf.DUMMYFUNCTION("""COMPUTED_VALUE"""),103.4)</f>
        <v>103.4</v>
      </c>
      <c r="S210" s="1">
        <f ca="1">IFERROR(__xludf.DUMMYFUNCTION("""COMPUTED_VALUE"""),188)</f>
        <v>188</v>
      </c>
      <c r="T210" s="1" t="str">
        <f ca="1">IFERROR(__xludf.DUMMYFUNCTION("""COMPUTED_VALUE"""),"+10.33")</f>
        <v>+10.33</v>
      </c>
      <c r="U210" s="1">
        <f ca="1">IFERROR(__xludf.DUMMYFUNCTION("""COMPUTED_VALUE"""),2)</f>
        <v>2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IFERROR(__xludf.DUMMYFUNCTION("""COMPUTED_VALUE"""),"Cal St. Fullerton")</f>
        <v>Cal St. Fullerton</v>
      </c>
      <c r="C213" s="1" t="str">
        <f ca="1">IFERROR(__xludf.DUMMYFUNCTION("""COMPUTED_VALUE"""),"BW")</f>
        <v>BW</v>
      </c>
      <c r="D213" s="1" t="str">
        <f ca="1">IFERROR(__xludf.DUMMYFUNCTION("""COMPUTED_VALUE"""),"14-18")</f>
        <v>14-18</v>
      </c>
      <c r="E213" s="1">
        <f ca="1">IFERROR(__xludf.DUMMYFUNCTION("""COMPUTED_VALUE"""),-3.09)</f>
        <v>-3.09</v>
      </c>
      <c r="F213" s="1">
        <f ca="1">IFERROR(__xludf.DUMMYFUNCTION("""COMPUTED_VALUE"""),107.2)</f>
        <v>107.2</v>
      </c>
      <c r="G213" s="1">
        <f ca="1">IFERROR(__xludf.DUMMYFUNCTION("""COMPUTED_VALUE"""),92)</f>
        <v>92</v>
      </c>
      <c r="H213" s="1">
        <f ca="1">IFERROR(__xludf.DUMMYFUNCTION("""COMPUTED_VALUE"""),110.3)</f>
        <v>110.3</v>
      </c>
      <c r="I213" s="1">
        <f ca="1">IFERROR(__xludf.DUMMYFUNCTION("""COMPUTED_VALUE"""),306)</f>
        <v>306</v>
      </c>
      <c r="J213" s="1">
        <f ca="1">IFERROR(__xludf.DUMMYFUNCTION("""COMPUTED_VALUE"""),68.4)</f>
        <v>68.400000000000006</v>
      </c>
      <c r="K213" s="1">
        <f ca="1">IFERROR(__xludf.DUMMYFUNCTION("""COMPUTED_VALUE"""),29)</f>
        <v>29</v>
      </c>
      <c r="L213" s="1">
        <f ca="1">IFERROR(__xludf.DUMMYFUNCTION("""COMPUTED_VALUE"""),-0.097)</f>
        <v>-9.7000000000000003E-2</v>
      </c>
      <c r="M213" s="1">
        <f ca="1">IFERROR(__xludf.DUMMYFUNCTION("""COMPUTED_VALUE"""),336)</f>
        <v>336</v>
      </c>
      <c r="N213" s="1">
        <f ca="1">IFERROR(__xludf.DUMMYFUNCTION("""COMPUTED_VALUE"""),-2.88)</f>
        <v>-2.88</v>
      </c>
      <c r="O213" s="1">
        <f ca="1">IFERROR(__xludf.DUMMYFUNCTION("""COMPUTED_VALUE"""),216)</f>
        <v>216</v>
      </c>
      <c r="P213" s="1">
        <f ca="1">IFERROR(__xludf.DUMMYFUNCTION("""COMPUTED_VALUE"""),101.8)</f>
        <v>101.8</v>
      </c>
      <c r="Q213" s="1">
        <f ca="1">IFERROR(__xludf.DUMMYFUNCTION("""COMPUTED_VALUE"""),187)</f>
        <v>187</v>
      </c>
      <c r="R213" s="1">
        <f ca="1">IFERROR(__xludf.DUMMYFUNCTION("""COMPUTED_VALUE"""),104.7)</f>
        <v>104.7</v>
      </c>
      <c r="S213" s="1">
        <f ca="1">IFERROR(__xludf.DUMMYFUNCTION("""COMPUTED_VALUE"""),250)</f>
        <v>250</v>
      </c>
      <c r="T213" s="1">
        <f ca="1">IFERROR(__xludf.DUMMYFUNCTION("""COMPUTED_VALUE"""),-2.24)</f>
        <v>-2.2400000000000002</v>
      </c>
      <c r="U213" s="1">
        <f ca="1">IFERROR(__xludf.DUMMYFUNCTION("""COMPUTED_VALUE"""),233)</f>
        <v>233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IFERROR(__xludf.DUMMYFUNCTION("""COMPUTED_VALUE"""),"Morgan St.")</f>
        <v>Morgan St.</v>
      </c>
      <c r="C214" s="1" t="str">
        <f ca="1">IFERROR(__xludf.DUMMYFUNCTION("""COMPUTED_VALUE"""),"MEAC")</f>
        <v>MEAC</v>
      </c>
      <c r="D214" s="1" t="str">
        <f ca="1">IFERROR(__xludf.DUMMYFUNCTION("""COMPUTED_VALUE"""),"16-15")</f>
        <v>16-15</v>
      </c>
      <c r="E214" s="1">
        <f ca="1">IFERROR(__xludf.DUMMYFUNCTION("""COMPUTED_VALUE"""),-3.19)</f>
        <v>-3.19</v>
      </c>
      <c r="F214" s="1">
        <f ca="1">IFERROR(__xludf.DUMMYFUNCTION("""COMPUTED_VALUE"""),99.4)</f>
        <v>99.4</v>
      </c>
      <c r="G214" s="1">
        <f ca="1">IFERROR(__xludf.DUMMYFUNCTION("""COMPUTED_VALUE"""),229)</f>
        <v>229</v>
      </c>
      <c r="H214" s="1">
        <f ca="1">IFERROR(__xludf.DUMMYFUNCTION("""COMPUTED_VALUE"""),102.6)</f>
        <v>102.6</v>
      </c>
      <c r="I214" s="1">
        <f ca="1">IFERROR(__xludf.DUMMYFUNCTION("""COMPUTED_VALUE"""),166)</f>
        <v>166</v>
      </c>
      <c r="J214" s="1">
        <f ca="1">IFERROR(__xludf.DUMMYFUNCTION("""COMPUTED_VALUE"""),65.9)</f>
        <v>65.900000000000006</v>
      </c>
      <c r="K214" s="1">
        <f ca="1">IFERROR(__xludf.DUMMYFUNCTION("""COMPUTED_VALUE"""),110)</f>
        <v>110</v>
      </c>
      <c r="L214" s="1">
        <f ca="1">IFERROR(__xludf.DUMMYFUNCTION("""COMPUTED_VALUE"""),-0.049)</f>
        <v>-4.9000000000000002E-2</v>
      </c>
      <c r="M214" s="1">
        <f ca="1">IFERROR(__xludf.DUMMYFUNCTION("""COMPUTED_VALUE"""),293)</f>
        <v>293</v>
      </c>
      <c r="N214" s="1">
        <f ca="1">IFERROR(__xludf.DUMMYFUNCTION("""COMPUTED_VALUE"""),-6.89)</f>
        <v>-6.89</v>
      </c>
      <c r="O214" s="1">
        <f ca="1">IFERROR(__xludf.DUMMYFUNCTION("""COMPUTED_VALUE"""),317)</f>
        <v>317</v>
      </c>
      <c r="P214" s="1">
        <f ca="1">IFERROR(__xludf.DUMMYFUNCTION("""COMPUTED_VALUE"""),96.8)</f>
        <v>96.8</v>
      </c>
      <c r="Q214" s="1">
        <f ca="1">IFERROR(__xludf.DUMMYFUNCTION("""COMPUTED_VALUE"""),332)</f>
        <v>332</v>
      </c>
      <c r="R214" s="1">
        <f ca="1">IFERROR(__xludf.DUMMYFUNCTION("""COMPUTED_VALUE"""),103.6)</f>
        <v>103.6</v>
      </c>
      <c r="S214" s="1">
        <f ca="1">IFERROR(__xludf.DUMMYFUNCTION("""COMPUTED_VALUE"""),199)</f>
        <v>199</v>
      </c>
      <c r="T214" s="1" t="str">
        <f ca="1">IFERROR(__xludf.DUMMYFUNCTION("""COMPUTED_VALUE"""),"+0.88")</f>
        <v>+0.88</v>
      </c>
      <c r="U214" s="1">
        <f ca="1">IFERROR(__xludf.DUMMYFUNCTION("""COMPUTED_VALUE"""),129)</f>
        <v>129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IFERROR(__xludf.DUMMYFUNCTION("""COMPUTED_VALUE"""),"UNC Asheville")</f>
        <v>UNC Asheville</v>
      </c>
      <c r="C215" s="1" t="str">
        <f ca="1">IFERROR(__xludf.DUMMYFUNCTION("""COMPUTED_VALUE"""),"BSth")</f>
        <v>BSth</v>
      </c>
      <c r="D215" s="1" t="str">
        <f ca="1">IFERROR(__xludf.DUMMYFUNCTION("""COMPUTED_VALUE"""),"16-16")</f>
        <v>16-16</v>
      </c>
      <c r="E215" s="1">
        <f ca="1">IFERROR(__xludf.DUMMYFUNCTION("""COMPUTED_VALUE"""),-3.25)</f>
        <v>-3.25</v>
      </c>
      <c r="F215" s="1">
        <f ca="1">IFERROR(__xludf.DUMMYFUNCTION("""COMPUTED_VALUE"""),101.5)</f>
        <v>101.5</v>
      </c>
      <c r="G215" s="1">
        <f ca="1">IFERROR(__xludf.DUMMYFUNCTION("""COMPUTED_VALUE"""),194)</f>
        <v>194</v>
      </c>
      <c r="H215" s="1">
        <f ca="1">IFERROR(__xludf.DUMMYFUNCTION("""COMPUTED_VALUE"""),104.7)</f>
        <v>104.7</v>
      </c>
      <c r="I215" s="1">
        <f ca="1">IFERROR(__xludf.DUMMYFUNCTION("""COMPUTED_VALUE"""),208)</f>
        <v>208</v>
      </c>
      <c r="J215" s="1">
        <f ca="1">IFERROR(__xludf.DUMMYFUNCTION("""COMPUTED_VALUE"""),67.9)</f>
        <v>67.900000000000006</v>
      </c>
      <c r="K215" s="1">
        <f ca="1">IFERROR(__xludf.DUMMYFUNCTION("""COMPUTED_VALUE"""),38)</f>
        <v>38</v>
      </c>
      <c r="L215" s="1">
        <f ca="1">IFERROR(__xludf.DUMMYFUNCTION("""COMPUTED_VALUE"""),-0.076)</f>
        <v>-7.5999999999999998E-2</v>
      </c>
      <c r="M215" s="1">
        <f ca="1">IFERROR(__xludf.DUMMYFUNCTION("""COMPUTED_VALUE"""),325)</f>
        <v>325</v>
      </c>
      <c r="N215" s="1">
        <f ca="1">IFERROR(__xludf.DUMMYFUNCTION("""COMPUTED_VALUE"""),-4.68)</f>
        <v>-4.68</v>
      </c>
      <c r="O215" s="1">
        <f ca="1">IFERROR(__xludf.DUMMYFUNCTION("""COMPUTED_VALUE"""),262)</f>
        <v>262</v>
      </c>
      <c r="P215" s="1">
        <f ca="1">IFERROR(__xludf.DUMMYFUNCTION("""COMPUTED_VALUE"""),100.7)</f>
        <v>100.7</v>
      </c>
      <c r="Q215" s="1">
        <f ca="1">IFERROR(__xludf.DUMMYFUNCTION("""COMPUTED_VALUE"""),244)</f>
        <v>244</v>
      </c>
      <c r="R215" s="1">
        <f ca="1">IFERROR(__xludf.DUMMYFUNCTION("""COMPUTED_VALUE"""),105.4)</f>
        <v>105.4</v>
      </c>
      <c r="S215" s="1">
        <f ca="1">IFERROR(__xludf.DUMMYFUNCTION("""COMPUTED_VALUE"""),281)</f>
        <v>281</v>
      </c>
      <c r="T215" s="1" t="str">
        <f ca="1">IFERROR(__xludf.DUMMYFUNCTION("""COMPUTED_VALUE"""),"+5.53")</f>
        <v>+5.53</v>
      </c>
      <c r="U215" s="1">
        <f ca="1">IFERROR(__xludf.DUMMYFUNCTION("""COMPUTED_VALUE"""),32)</f>
        <v>32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IFERROR(__xludf.DUMMYFUNCTION("""COMPUTED_VALUE"""),"Jacksonville St.")</f>
        <v>Jacksonville St.</v>
      </c>
      <c r="C216" s="1" t="str">
        <f ca="1">IFERROR(__xludf.DUMMYFUNCTION("""COMPUTED_VALUE"""),"OVC")</f>
        <v>OVC</v>
      </c>
      <c r="D216" s="1" t="str">
        <f ca="1">IFERROR(__xludf.DUMMYFUNCTION("""COMPUTED_VALUE"""),"17-11")</f>
        <v>17-11</v>
      </c>
      <c r="E216" s="1">
        <f ca="1">IFERROR(__xludf.DUMMYFUNCTION("""COMPUTED_VALUE"""),-3.43)</f>
        <v>-3.43</v>
      </c>
      <c r="F216" s="1">
        <f ca="1">IFERROR(__xludf.DUMMYFUNCTION("""COMPUTED_VALUE"""),102.6)</f>
        <v>102.6</v>
      </c>
      <c r="G216" s="1">
        <f ca="1">IFERROR(__xludf.DUMMYFUNCTION("""COMPUTED_VALUE"""),172)</f>
        <v>172</v>
      </c>
      <c r="H216" s="1">
        <f ca="1">IFERROR(__xludf.DUMMYFUNCTION("""COMPUTED_VALUE"""),106)</f>
        <v>106</v>
      </c>
      <c r="I216" s="1">
        <f ca="1">IFERROR(__xludf.DUMMYFUNCTION("""COMPUTED_VALUE"""),246)</f>
        <v>246</v>
      </c>
      <c r="J216" s="1">
        <f ca="1">IFERROR(__xludf.DUMMYFUNCTION("""COMPUTED_VALUE"""),60.9)</f>
        <v>60.9</v>
      </c>
      <c r="K216" s="1">
        <f ca="1">IFERROR(__xludf.DUMMYFUNCTION("""COMPUTED_VALUE"""),309)</f>
        <v>309</v>
      </c>
      <c r="L216" s="1" t="str">
        <f ca="1">IFERROR(__xludf.DUMMYFUNCTION("""COMPUTED_VALUE"""),"+.087")</f>
        <v>+.087</v>
      </c>
      <c r="M216" s="1">
        <f ca="1">IFERROR(__xludf.DUMMYFUNCTION("""COMPUTED_VALUE"""),15)</f>
        <v>15</v>
      </c>
      <c r="N216" s="1">
        <f ca="1">IFERROR(__xludf.DUMMYFUNCTION("""COMPUTED_VALUE"""),-4.08)</f>
        <v>-4.08</v>
      </c>
      <c r="O216" s="1">
        <f ca="1">IFERROR(__xludf.DUMMYFUNCTION("""COMPUTED_VALUE"""),249)</f>
        <v>249</v>
      </c>
      <c r="P216" s="1">
        <f ca="1">IFERROR(__xludf.DUMMYFUNCTION("""COMPUTED_VALUE"""),100.5)</f>
        <v>100.5</v>
      </c>
      <c r="Q216" s="1">
        <f ca="1">IFERROR(__xludf.DUMMYFUNCTION("""COMPUTED_VALUE"""),254)</f>
        <v>254</v>
      </c>
      <c r="R216" s="1">
        <f ca="1">IFERROR(__xludf.DUMMYFUNCTION("""COMPUTED_VALUE"""),104.6)</f>
        <v>104.6</v>
      </c>
      <c r="S216" s="1">
        <f ca="1">IFERROR(__xludf.DUMMYFUNCTION("""COMPUTED_VALUE"""),241)</f>
        <v>241</v>
      </c>
      <c r="T216" s="1">
        <f ca="1">IFERROR(__xludf.DUMMYFUNCTION("""COMPUTED_VALUE"""),-4.06)</f>
        <v>-4.0599999999999996</v>
      </c>
      <c r="U216" s="1">
        <f ca="1">IFERROR(__xludf.DUMMYFUNCTION("""COMPUTED_VALUE"""),277)</f>
        <v>277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IFERROR(__xludf.DUMMYFUNCTION("""COMPUTED_VALUE"""),"Loyola Marymount")</f>
        <v>Loyola Marymount</v>
      </c>
      <c r="C217" s="1" t="str">
        <f ca="1">IFERROR(__xludf.DUMMYFUNCTION("""COMPUTED_VALUE"""),"WCC")</f>
        <v>WCC</v>
      </c>
      <c r="D217" s="2">
        <f ca="1">IFERROR(__xludf.DUMMYFUNCTION("""COMPUTED_VALUE"""),44888)</f>
        <v>44888</v>
      </c>
      <c r="E217" s="1">
        <f ca="1">IFERROR(__xludf.DUMMYFUNCTION("""COMPUTED_VALUE"""),-3.44)</f>
        <v>-3.44</v>
      </c>
      <c r="F217" s="1">
        <f ca="1">IFERROR(__xludf.DUMMYFUNCTION("""COMPUTED_VALUE"""),98.4)</f>
        <v>98.4</v>
      </c>
      <c r="G217" s="1">
        <f ca="1">IFERROR(__xludf.DUMMYFUNCTION("""COMPUTED_VALUE"""),249)</f>
        <v>249</v>
      </c>
      <c r="H217" s="1">
        <f ca="1">IFERROR(__xludf.DUMMYFUNCTION("""COMPUTED_VALUE"""),101.9)</f>
        <v>101.9</v>
      </c>
      <c r="I217" s="1">
        <f ca="1">IFERROR(__xludf.DUMMYFUNCTION("""COMPUTED_VALUE"""),153)</f>
        <v>153</v>
      </c>
      <c r="J217" s="1">
        <f ca="1">IFERROR(__xludf.DUMMYFUNCTION("""COMPUTED_VALUE"""),63.4)</f>
        <v>63.4</v>
      </c>
      <c r="K217" s="1">
        <f ca="1">IFERROR(__xludf.DUMMYFUNCTION("""COMPUTED_VALUE"""),224)</f>
        <v>224</v>
      </c>
      <c r="L217" s="1">
        <f ca="1">IFERROR(__xludf.DUMMYFUNCTION("""COMPUTED_VALUE"""),-0.016)</f>
        <v>-1.6E-2</v>
      </c>
      <c r="M217" s="1">
        <f ca="1">IFERROR(__xludf.DUMMYFUNCTION("""COMPUTED_VALUE"""),228)</f>
        <v>228</v>
      </c>
      <c r="N217" s="1" t="str">
        <f ca="1">IFERROR(__xludf.DUMMYFUNCTION("""COMPUTED_VALUE"""),"+3.33")</f>
        <v>+3.33</v>
      </c>
      <c r="O217" s="1">
        <f ca="1">IFERROR(__xludf.DUMMYFUNCTION("""COMPUTED_VALUE"""),107)</f>
        <v>107</v>
      </c>
      <c r="P217" s="1">
        <f ca="1">IFERROR(__xludf.DUMMYFUNCTION("""COMPUTED_VALUE"""),105.6)</f>
        <v>105.6</v>
      </c>
      <c r="Q217" s="1">
        <f ca="1">IFERROR(__xludf.DUMMYFUNCTION("""COMPUTED_VALUE"""),64)</f>
        <v>64</v>
      </c>
      <c r="R217" s="1">
        <f ca="1">IFERROR(__xludf.DUMMYFUNCTION("""COMPUTED_VALUE"""),102.3)</f>
        <v>102.3</v>
      </c>
      <c r="S217" s="1">
        <f ca="1">IFERROR(__xludf.DUMMYFUNCTION("""COMPUTED_VALUE"""),133)</f>
        <v>133</v>
      </c>
      <c r="T217" s="1">
        <f ca="1">IFERROR(__xludf.DUMMYFUNCTION("""COMPUTED_VALUE"""),-2.08)</f>
        <v>-2.08</v>
      </c>
      <c r="U217" s="1">
        <f ca="1">IFERROR(__xludf.DUMMYFUNCTION("""COMPUTED_VALUE"""),227)</f>
        <v>227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IFERROR(__xludf.DUMMYFUNCTION("""COMPUTED_VALUE"""),"Elon")</f>
        <v>Elon</v>
      </c>
      <c r="C218" s="1" t="str">
        <f ca="1">IFERROR(__xludf.DUMMYFUNCTION("""COMPUTED_VALUE"""),"SC")</f>
        <v>SC</v>
      </c>
      <c r="D218" s="1" t="str">
        <f ca="1">IFERROR(__xludf.DUMMYFUNCTION("""COMPUTED_VALUE"""),"21-12")</f>
        <v>21-12</v>
      </c>
      <c r="E218" s="1">
        <f ca="1">IFERROR(__xludf.DUMMYFUNCTION("""COMPUTED_VALUE"""),-3.51)</f>
        <v>-3.51</v>
      </c>
      <c r="F218" s="1">
        <f ca="1">IFERROR(__xludf.DUMMYFUNCTION("""COMPUTED_VALUE"""),99)</f>
        <v>99</v>
      </c>
      <c r="G218" s="1">
        <f ca="1">IFERROR(__xludf.DUMMYFUNCTION("""COMPUTED_VALUE"""),234)</f>
        <v>234</v>
      </c>
      <c r="H218" s="1">
        <f ca="1">IFERROR(__xludf.DUMMYFUNCTION("""COMPUTED_VALUE"""),102.5)</f>
        <v>102.5</v>
      </c>
      <c r="I218" s="1">
        <f ca="1">IFERROR(__xludf.DUMMYFUNCTION("""COMPUTED_VALUE"""),165)</f>
        <v>165</v>
      </c>
      <c r="J218" s="1">
        <f ca="1">IFERROR(__xludf.DUMMYFUNCTION("""COMPUTED_VALUE"""),64.8)</f>
        <v>64.8</v>
      </c>
      <c r="K218" s="1">
        <f ca="1">IFERROR(__xludf.DUMMYFUNCTION("""COMPUTED_VALUE"""),169)</f>
        <v>169</v>
      </c>
      <c r="L218" s="1" t="str">
        <f ca="1">IFERROR(__xludf.DUMMYFUNCTION("""COMPUTED_VALUE"""),"+.055")</f>
        <v>+.055</v>
      </c>
      <c r="M218" s="1">
        <f ca="1">IFERROR(__xludf.DUMMYFUNCTION("""COMPUTED_VALUE"""),41)</f>
        <v>41</v>
      </c>
      <c r="N218" s="1">
        <f ca="1">IFERROR(__xludf.DUMMYFUNCTION("""COMPUTED_VALUE"""),-6.87)</f>
        <v>-6.87</v>
      </c>
      <c r="O218" s="1">
        <f ca="1">IFERROR(__xludf.DUMMYFUNCTION("""COMPUTED_VALUE"""),315)</f>
        <v>315</v>
      </c>
      <c r="P218" s="1">
        <f ca="1">IFERROR(__xludf.DUMMYFUNCTION("""COMPUTED_VALUE"""),100)</f>
        <v>100</v>
      </c>
      <c r="Q218" s="1">
        <f ca="1">IFERROR(__xludf.DUMMYFUNCTION("""COMPUTED_VALUE"""),278)</f>
        <v>278</v>
      </c>
      <c r="R218" s="1">
        <f ca="1">IFERROR(__xludf.DUMMYFUNCTION("""COMPUTED_VALUE"""),106.9)</f>
        <v>106.9</v>
      </c>
      <c r="S218" s="1">
        <f ca="1">IFERROR(__xludf.DUMMYFUNCTION("""COMPUTED_VALUE"""),336)</f>
        <v>336</v>
      </c>
      <c r="T218" s="1" t="str">
        <f ca="1">IFERROR(__xludf.DUMMYFUNCTION("""COMPUTED_VALUE"""),"+0.61")</f>
        <v>+0.61</v>
      </c>
      <c r="U218" s="1">
        <f ca="1">IFERROR(__xludf.DUMMYFUNCTION("""COMPUTED_VALUE"""),133)</f>
        <v>133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IFERROR(__xludf.DUMMYFUNCTION("""COMPUTED_VALUE"""),"Quinnipiac")</f>
        <v>Quinnipiac</v>
      </c>
      <c r="C219" s="1" t="str">
        <f ca="1">IFERROR(__xludf.DUMMYFUNCTION("""COMPUTED_VALUE"""),"NEC")</f>
        <v>NEC</v>
      </c>
      <c r="D219" s="1" t="str">
        <f ca="1">IFERROR(__xludf.DUMMYFUNCTION("""COMPUTED_VALUE"""),"15-16")</f>
        <v>15-16</v>
      </c>
      <c r="E219" s="1">
        <f ca="1">IFERROR(__xludf.DUMMYFUNCTION("""COMPUTED_VALUE"""),-3.54)</f>
        <v>-3.54</v>
      </c>
      <c r="F219" s="1">
        <f ca="1">IFERROR(__xludf.DUMMYFUNCTION("""COMPUTED_VALUE"""),102.3)</f>
        <v>102.3</v>
      </c>
      <c r="G219" s="1">
        <f ca="1">IFERROR(__xludf.DUMMYFUNCTION("""COMPUTED_VALUE"""),177)</f>
        <v>177</v>
      </c>
      <c r="H219" s="1">
        <f ca="1">IFERROR(__xludf.DUMMYFUNCTION("""COMPUTED_VALUE"""),105.9)</f>
        <v>105.9</v>
      </c>
      <c r="I219" s="1">
        <f ca="1">IFERROR(__xludf.DUMMYFUNCTION("""COMPUTED_VALUE"""),243)</f>
        <v>243</v>
      </c>
      <c r="J219" s="1">
        <f ca="1">IFERROR(__xludf.DUMMYFUNCTION("""COMPUTED_VALUE"""),65.3)</f>
        <v>65.3</v>
      </c>
      <c r="K219" s="1">
        <f ca="1">IFERROR(__xludf.DUMMYFUNCTION("""COMPUTED_VALUE"""),139)</f>
        <v>139</v>
      </c>
      <c r="L219" s="1">
        <f ca="1">IFERROR(__xludf.DUMMYFUNCTION("""COMPUTED_VALUE"""),-0.032)</f>
        <v>-3.2000000000000001E-2</v>
      </c>
      <c r="M219" s="1">
        <f ca="1">IFERROR(__xludf.DUMMYFUNCTION("""COMPUTED_VALUE"""),260)</f>
        <v>260</v>
      </c>
      <c r="N219" s="1">
        <f ca="1">IFERROR(__xludf.DUMMYFUNCTION("""COMPUTED_VALUE"""),-4.77)</f>
        <v>-4.7699999999999996</v>
      </c>
      <c r="O219" s="1">
        <f ca="1">IFERROR(__xludf.DUMMYFUNCTION("""COMPUTED_VALUE"""),264)</f>
        <v>264</v>
      </c>
      <c r="P219" s="1">
        <f ca="1">IFERROR(__xludf.DUMMYFUNCTION("""COMPUTED_VALUE"""),102)</f>
        <v>102</v>
      </c>
      <c r="Q219" s="1">
        <f ca="1">IFERROR(__xludf.DUMMYFUNCTION("""COMPUTED_VALUE"""),173)</f>
        <v>173</v>
      </c>
      <c r="R219" s="1">
        <f ca="1">IFERROR(__xludf.DUMMYFUNCTION("""COMPUTED_VALUE"""),106.8)</f>
        <v>106.8</v>
      </c>
      <c r="S219" s="1">
        <f ca="1">IFERROR(__xludf.DUMMYFUNCTION("""COMPUTED_VALUE"""),334)</f>
        <v>334</v>
      </c>
      <c r="T219" s="1">
        <f ca="1">IFERROR(__xludf.DUMMYFUNCTION("""COMPUTED_VALUE"""),-1.5)</f>
        <v>-1.5</v>
      </c>
      <c r="U219" s="1">
        <f ca="1">IFERROR(__xludf.DUMMYFUNCTION("""COMPUTED_VALUE"""),208)</f>
        <v>208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IFERROR(__xludf.DUMMYFUNCTION("""COMPUTED_VALUE"""),"Savannah St.")</f>
        <v>Savannah St.</v>
      </c>
      <c r="C220" s="1" t="str">
        <f ca="1">IFERROR(__xludf.DUMMYFUNCTION("""COMPUTED_VALUE"""),"MEAC")</f>
        <v>MEAC</v>
      </c>
      <c r="D220" s="1" t="str">
        <f ca="1">IFERROR(__xludf.DUMMYFUNCTION("""COMPUTED_VALUE"""),"19-15")</f>
        <v>19-15</v>
      </c>
      <c r="E220" s="1">
        <f ca="1">IFERROR(__xludf.DUMMYFUNCTION("""COMPUTED_VALUE"""),-3.58)</f>
        <v>-3.58</v>
      </c>
      <c r="F220" s="1">
        <f ca="1">IFERROR(__xludf.DUMMYFUNCTION("""COMPUTED_VALUE"""),88.2)</f>
        <v>88.2</v>
      </c>
      <c r="G220" s="1">
        <f ca="1">IFERROR(__xludf.DUMMYFUNCTION("""COMPUTED_VALUE"""),337)</f>
        <v>337</v>
      </c>
      <c r="H220" s="1">
        <f ca="1">IFERROR(__xludf.DUMMYFUNCTION("""COMPUTED_VALUE"""),91.8)</f>
        <v>91.8</v>
      </c>
      <c r="I220" s="1">
        <f ca="1">IFERROR(__xludf.DUMMYFUNCTION("""COMPUTED_VALUE"""),22)</f>
        <v>22</v>
      </c>
      <c r="J220" s="1">
        <f ca="1">IFERROR(__xludf.DUMMYFUNCTION("""COMPUTED_VALUE"""),61.8)</f>
        <v>61.8</v>
      </c>
      <c r="K220" s="1">
        <f ca="1">IFERROR(__xludf.DUMMYFUNCTION("""COMPUTED_VALUE"""),286)</f>
        <v>286</v>
      </c>
      <c r="L220" s="1" t="str">
        <f ca="1">IFERROR(__xludf.DUMMYFUNCTION("""COMPUTED_VALUE"""),"+.044")</f>
        <v>+.044</v>
      </c>
      <c r="M220" s="1">
        <f ca="1">IFERROR(__xludf.DUMMYFUNCTION("""COMPUTED_VALUE"""),65)</f>
        <v>65</v>
      </c>
      <c r="N220" s="1">
        <f ca="1">IFERROR(__xludf.DUMMYFUNCTION("""COMPUTED_VALUE"""),-5.04)</f>
        <v>-5.04</v>
      </c>
      <c r="O220" s="1">
        <f ca="1">IFERROR(__xludf.DUMMYFUNCTION("""COMPUTED_VALUE"""),268)</f>
        <v>268</v>
      </c>
      <c r="P220" s="1">
        <f ca="1">IFERROR(__xludf.DUMMYFUNCTION("""COMPUTED_VALUE"""),98.1)</f>
        <v>98.1</v>
      </c>
      <c r="Q220" s="1">
        <f ca="1">IFERROR(__xludf.DUMMYFUNCTION("""COMPUTED_VALUE"""),323)</f>
        <v>323</v>
      </c>
      <c r="R220" s="1">
        <f ca="1">IFERROR(__xludf.DUMMYFUNCTION("""COMPUTED_VALUE"""),103.1)</f>
        <v>103.1</v>
      </c>
      <c r="S220" s="1">
        <f ca="1">IFERROR(__xludf.DUMMYFUNCTION("""COMPUTED_VALUE"""),177)</f>
        <v>177</v>
      </c>
      <c r="T220" s="1" t="str">
        <f ca="1">IFERROR(__xludf.DUMMYFUNCTION("""COMPUTED_VALUE"""),"+6.35")</f>
        <v>+6.35</v>
      </c>
      <c r="U220" s="1">
        <f ca="1">IFERROR(__xludf.DUMMYFUNCTION("""COMPUTED_VALUE"""),24)</f>
        <v>24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IFERROR(__xludf.DUMMYFUNCTION("""COMPUTED_VALUE"""),"South Carolina")</f>
        <v>South Carolina</v>
      </c>
      <c r="C221" s="1" t="str">
        <f ca="1">IFERROR(__xludf.DUMMYFUNCTION("""COMPUTED_VALUE"""),"SEC")</f>
        <v>SEC</v>
      </c>
      <c r="D221" s="1" t="str">
        <f ca="1">IFERROR(__xludf.DUMMYFUNCTION("""COMPUTED_VALUE"""),"14-18")</f>
        <v>14-18</v>
      </c>
      <c r="E221" s="1">
        <f ca="1">IFERROR(__xludf.DUMMYFUNCTION("""COMPUTED_VALUE"""),-3.58)</f>
        <v>-3.58</v>
      </c>
      <c r="F221" s="1">
        <f ca="1">IFERROR(__xludf.DUMMYFUNCTION("""COMPUTED_VALUE"""),101.7)</f>
        <v>101.7</v>
      </c>
      <c r="G221" s="1">
        <f ca="1">IFERROR(__xludf.DUMMYFUNCTION("""COMPUTED_VALUE"""),189)</f>
        <v>189</v>
      </c>
      <c r="H221" s="1">
        <f ca="1">IFERROR(__xludf.DUMMYFUNCTION("""COMPUTED_VALUE"""),105.3)</f>
        <v>105.3</v>
      </c>
      <c r="I221" s="1">
        <f ca="1">IFERROR(__xludf.DUMMYFUNCTION("""COMPUTED_VALUE"""),229)</f>
        <v>229</v>
      </c>
      <c r="J221" s="1">
        <f ca="1">IFERROR(__xludf.DUMMYFUNCTION("""COMPUTED_VALUE"""),65.2)</f>
        <v>65.2</v>
      </c>
      <c r="K221" s="1">
        <f ca="1">IFERROR(__xludf.DUMMYFUNCTION("""COMPUTED_VALUE"""),145)</f>
        <v>145</v>
      </c>
      <c r="L221" s="1" t="str">
        <f ca="1">IFERROR(__xludf.DUMMYFUNCTION("""COMPUTED_VALUE"""),"+.028")</f>
        <v>+.028</v>
      </c>
      <c r="M221" s="1">
        <f ca="1">IFERROR(__xludf.DUMMYFUNCTION("""COMPUTED_VALUE"""),110)</f>
        <v>110</v>
      </c>
      <c r="N221" s="1">
        <f ca="1">IFERROR(__xludf.DUMMYFUNCTION("""COMPUTED_VALUE"""),-0.15)</f>
        <v>-0.15</v>
      </c>
      <c r="O221" s="1">
        <f ca="1">IFERROR(__xludf.DUMMYFUNCTION("""COMPUTED_VALUE"""),145)</f>
        <v>145</v>
      </c>
      <c r="P221" s="1">
        <f ca="1">IFERROR(__xludf.DUMMYFUNCTION("""COMPUTED_VALUE"""),100.9)</f>
        <v>100.9</v>
      </c>
      <c r="Q221" s="1">
        <f ca="1">IFERROR(__xludf.DUMMYFUNCTION("""COMPUTED_VALUE"""),236)</f>
        <v>236</v>
      </c>
      <c r="R221" s="1">
        <f ca="1">IFERROR(__xludf.DUMMYFUNCTION("""COMPUTED_VALUE"""),101)</f>
        <v>101</v>
      </c>
      <c r="S221" s="1">
        <f ca="1">IFERROR(__xludf.DUMMYFUNCTION("""COMPUTED_VALUE"""),103)</f>
        <v>103</v>
      </c>
      <c r="T221" s="1">
        <f ca="1">IFERROR(__xludf.DUMMYFUNCTION("""COMPUTED_VALUE"""),-10.35)</f>
        <v>-10.35</v>
      </c>
      <c r="U221" s="1">
        <f ca="1">IFERROR(__xludf.DUMMYFUNCTION("""COMPUTED_VALUE"""),341)</f>
        <v>341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IFERROR(__xludf.DUMMYFUNCTION("""COMPUTED_VALUE"""),"Hawaii")</f>
        <v>Hawaii</v>
      </c>
      <c r="C222" s="1" t="str">
        <f ca="1">IFERROR(__xludf.DUMMYFUNCTION("""COMPUTED_VALUE"""),"BW")</f>
        <v>BW</v>
      </c>
      <c r="D222" s="1" t="str">
        <f ca="1">IFERROR(__xludf.DUMMYFUNCTION("""COMPUTED_VALUE"""),"17-15")</f>
        <v>17-15</v>
      </c>
      <c r="E222" s="1">
        <f ca="1">IFERROR(__xludf.DUMMYFUNCTION("""COMPUTED_VALUE"""),-3.72)</f>
        <v>-3.72</v>
      </c>
      <c r="F222" s="1">
        <f ca="1">IFERROR(__xludf.DUMMYFUNCTION("""COMPUTED_VALUE"""),102.8)</f>
        <v>102.8</v>
      </c>
      <c r="G222" s="1">
        <f ca="1">IFERROR(__xludf.DUMMYFUNCTION("""COMPUTED_VALUE"""),165)</f>
        <v>165</v>
      </c>
      <c r="H222" s="1">
        <f ca="1">IFERROR(__xludf.DUMMYFUNCTION("""COMPUTED_VALUE"""),106.6)</f>
        <v>106.6</v>
      </c>
      <c r="I222" s="1">
        <f ca="1">IFERROR(__xludf.DUMMYFUNCTION("""COMPUTED_VALUE"""),252)</f>
        <v>252</v>
      </c>
      <c r="J222" s="1">
        <f ca="1">IFERROR(__xludf.DUMMYFUNCTION("""COMPUTED_VALUE"""),67.9)</f>
        <v>67.900000000000006</v>
      </c>
      <c r="K222" s="1">
        <f ca="1">IFERROR(__xludf.DUMMYFUNCTION("""COMPUTED_VALUE"""),39)</f>
        <v>39</v>
      </c>
      <c r="L222" s="1" t="str">
        <f ca="1">IFERROR(__xludf.DUMMYFUNCTION("""COMPUTED_VALUE"""),"+.010")</f>
        <v>+.010</v>
      </c>
      <c r="M222" s="1">
        <f ca="1">IFERROR(__xludf.DUMMYFUNCTION("""COMPUTED_VALUE"""),154)</f>
        <v>154</v>
      </c>
      <c r="N222" s="1">
        <f ca="1">IFERROR(__xludf.DUMMYFUNCTION("""COMPUTED_VALUE"""),-4.44)</f>
        <v>-4.4400000000000004</v>
      </c>
      <c r="O222" s="1">
        <f ca="1">IFERROR(__xludf.DUMMYFUNCTION("""COMPUTED_VALUE"""),258)</f>
        <v>258</v>
      </c>
      <c r="P222" s="1">
        <f ca="1">IFERROR(__xludf.DUMMYFUNCTION("""COMPUTED_VALUE"""),100.7)</f>
        <v>100.7</v>
      </c>
      <c r="Q222" s="1">
        <f ca="1">IFERROR(__xludf.DUMMYFUNCTION("""COMPUTED_VALUE"""),245)</f>
        <v>245</v>
      </c>
      <c r="R222" s="1">
        <f ca="1">IFERROR(__xludf.DUMMYFUNCTION("""COMPUTED_VALUE"""),105.1)</f>
        <v>105.1</v>
      </c>
      <c r="S222" s="1">
        <f ca="1">IFERROR(__xludf.DUMMYFUNCTION("""COMPUTED_VALUE"""),266)</f>
        <v>266</v>
      </c>
      <c r="T222" s="1">
        <f ca="1">IFERROR(__xludf.DUMMYFUNCTION("""COMPUTED_VALUE"""),-8.66)</f>
        <v>-8.66</v>
      </c>
      <c r="U222" s="1">
        <f ca="1">IFERROR(__xludf.DUMMYFUNCTION("""COMPUTED_VALUE"""),335)</f>
        <v>335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IFERROR(__xludf.DUMMYFUNCTION("""COMPUTED_VALUE"""),"Mount St. Mary's")</f>
        <v>Mount St. Mary's</v>
      </c>
      <c r="C223" s="1" t="str">
        <f ca="1">IFERROR(__xludf.DUMMYFUNCTION("""COMPUTED_VALUE"""),"NEC")</f>
        <v>NEC</v>
      </c>
      <c r="D223" s="1" t="str">
        <f ca="1">IFERROR(__xludf.DUMMYFUNCTION("""COMPUTED_VALUE"""),"18-14")</f>
        <v>18-14</v>
      </c>
      <c r="E223" s="1">
        <f ca="1">IFERROR(__xludf.DUMMYFUNCTION("""COMPUTED_VALUE"""),-3.78)</f>
        <v>-3.78</v>
      </c>
      <c r="F223" s="1">
        <f ca="1">IFERROR(__xludf.DUMMYFUNCTION("""COMPUTED_VALUE"""),102.5)</f>
        <v>102.5</v>
      </c>
      <c r="G223" s="1">
        <f ca="1">IFERROR(__xludf.DUMMYFUNCTION("""COMPUTED_VALUE"""),175)</f>
        <v>175</v>
      </c>
      <c r="H223" s="1">
        <f ca="1">IFERROR(__xludf.DUMMYFUNCTION("""COMPUTED_VALUE"""),106.3)</f>
        <v>106.3</v>
      </c>
      <c r="I223" s="1">
        <f ca="1">IFERROR(__xludf.DUMMYFUNCTION("""COMPUTED_VALUE"""),250)</f>
        <v>250</v>
      </c>
      <c r="J223" s="1">
        <f ca="1">IFERROR(__xludf.DUMMYFUNCTION("""COMPUTED_VALUE"""),66)</f>
        <v>66</v>
      </c>
      <c r="K223" s="1">
        <f ca="1">IFERROR(__xludf.DUMMYFUNCTION("""COMPUTED_VALUE"""),107)</f>
        <v>107</v>
      </c>
      <c r="L223" s="1" t="str">
        <f ca="1">IFERROR(__xludf.DUMMYFUNCTION("""COMPUTED_VALUE"""),"+.118")</f>
        <v>+.118</v>
      </c>
      <c r="M223" s="1">
        <f ca="1">IFERROR(__xludf.DUMMYFUNCTION("""COMPUTED_VALUE"""),3)</f>
        <v>3</v>
      </c>
      <c r="N223" s="1">
        <f ca="1">IFERROR(__xludf.DUMMYFUNCTION("""COMPUTED_VALUE"""),-3.85)</f>
        <v>-3.85</v>
      </c>
      <c r="O223" s="1">
        <f ca="1">IFERROR(__xludf.DUMMYFUNCTION("""COMPUTED_VALUE"""),242)</f>
        <v>242</v>
      </c>
      <c r="P223" s="1">
        <f ca="1">IFERROR(__xludf.DUMMYFUNCTION("""COMPUTED_VALUE"""),101.8)</f>
        <v>101.8</v>
      </c>
      <c r="Q223" s="1">
        <f ca="1">IFERROR(__xludf.DUMMYFUNCTION("""COMPUTED_VALUE"""),190)</f>
        <v>190</v>
      </c>
      <c r="R223" s="1">
        <f ca="1">IFERROR(__xludf.DUMMYFUNCTION("""COMPUTED_VALUE"""),105.6)</f>
        <v>105.6</v>
      </c>
      <c r="S223" s="1">
        <f ca="1">IFERROR(__xludf.DUMMYFUNCTION("""COMPUTED_VALUE"""),299)</f>
        <v>299</v>
      </c>
      <c r="T223" s="1" t="str">
        <f ca="1">IFERROR(__xludf.DUMMYFUNCTION("""COMPUTED_VALUE"""),"+3.04")</f>
        <v>+3.04</v>
      </c>
      <c r="U223" s="1">
        <f ca="1">IFERROR(__xludf.DUMMYFUNCTION("""COMPUTED_VALUE"""),78)</f>
        <v>78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IFERROR(__xludf.DUMMYFUNCTION("""COMPUTED_VALUE"""),"Missouri St.")</f>
        <v>Missouri St.</v>
      </c>
      <c r="C224" s="1" t="str">
        <f ca="1">IFERROR(__xludf.DUMMYFUNCTION("""COMPUTED_VALUE"""),"MVC")</f>
        <v>MVC</v>
      </c>
      <c r="D224" s="2">
        <f ca="1">IFERROR(__xludf.DUMMYFUNCTION("""COMPUTED_VALUE"""),44887)</f>
        <v>44887</v>
      </c>
      <c r="E224" s="1">
        <f ca="1">IFERROR(__xludf.DUMMYFUNCTION("""COMPUTED_VALUE"""),-3.82)</f>
        <v>-3.82</v>
      </c>
      <c r="F224" s="1">
        <f ca="1">IFERROR(__xludf.DUMMYFUNCTION("""COMPUTED_VALUE"""),101)</f>
        <v>101</v>
      </c>
      <c r="G224" s="1">
        <f ca="1">IFERROR(__xludf.DUMMYFUNCTION("""COMPUTED_VALUE"""),202)</f>
        <v>202</v>
      </c>
      <c r="H224" s="1">
        <f ca="1">IFERROR(__xludf.DUMMYFUNCTION("""COMPUTED_VALUE"""),104.8)</f>
        <v>104.8</v>
      </c>
      <c r="I224" s="1">
        <f ca="1">IFERROR(__xludf.DUMMYFUNCTION("""COMPUTED_VALUE"""),214)</f>
        <v>214</v>
      </c>
      <c r="J224" s="1">
        <f ca="1">IFERROR(__xludf.DUMMYFUNCTION("""COMPUTED_VALUE"""),59.6)</f>
        <v>59.6</v>
      </c>
      <c r="K224" s="1">
        <f ca="1">IFERROR(__xludf.DUMMYFUNCTION("""COMPUTED_VALUE"""),330)</f>
        <v>330</v>
      </c>
      <c r="L224" s="1" t="str">
        <f ca="1">IFERROR(__xludf.DUMMYFUNCTION("""COMPUTED_VALUE"""),"+.023")</f>
        <v>+.023</v>
      </c>
      <c r="M224" s="1">
        <f ca="1">IFERROR(__xludf.DUMMYFUNCTION("""COMPUTED_VALUE"""),124)</f>
        <v>124</v>
      </c>
      <c r="N224" s="1" t="str">
        <f ca="1">IFERROR(__xludf.DUMMYFUNCTION("""COMPUTED_VALUE"""),"+6.00")</f>
        <v>+6.00</v>
      </c>
      <c r="O224" s="1">
        <f ca="1">IFERROR(__xludf.DUMMYFUNCTION("""COMPUTED_VALUE"""),61)</f>
        <v>61</v>
      </c>
      <c r="P224" s="1">
        <f ca="1">IFERROR(__xludf.DUMMYFUNCTION("""COMPUTED_VALUE"""),105.5)</f>
        <v>105.5</v>
      </c>
      <c r="Q224" s="1">
        <f ca="1">IFERROR(__xludf.DUMMYFUNCTION("""COMPUTED_VALUE"""),70)</f>
        <v>70</v>
      </c>
      <c r="R224" s="1">
        <f ca="1">IFERROR(__xludf.DUMMYFUNCTION("""COMPUTED_VALUE"""),99.5)</f>
        <v>99.5</v>
      </c>
      <c r="S224" s="1">
        <f ca="1">IFERROR(__xludf.DUMMYFUNCTION("""COMPUTED_VALUE"""),60)</f>
        <v>60</v>
      </c>
      <c r="T224" s="1" t="str">
        <f ca="1">IFERROR(__xludf.DUMMYFUNCTION("""COMPUTED_VALUE"""),"+0.98")</f>
        <v>+0.98</v>
      </c>
      <c r="U224" s="1">
        <f ca="1">IFERROR(__xludf.DUMMYFUNCTION("""COMPUTED_VALUE"""),128)</f>
        <v>128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IFERROR(__xludf.DUMMYFUNCTION("""COMPUTED_VALUE"""),"Bowling Green")</f>
        <v>Bowling Green</v>
      </c>
      <c r="C225" s="1" t="str">
        <f ca="1">IFERROR(__xludf.DUMMYFUNCTION("""COMPUTED_VALUE"""),"MAC")</f>
        <v>MAC</v>
      </c>
      <c r="D225" s="1" t="str">
        <f ca="1">IFERROR(__xludf.DUMMYFUNCTION("""COMPUTED_VALUE"""),"13-19")</f>
        <v>13-19</v>
      </c>
      <c r="E225" s="1">
        <f ca="1">IFERROR(__xludf.DUMMYFUNCTION("""COMPUTED_VALUE"""),-3.87)</f>
        <v>-3.87</v>
      </c>
      <c r="F225" s="1">
        <f ca="1">IFERROR(__xludf.DUMMYFUNCTION("""COMPUTED_VALUE"""),96.9)</f>
        <v>96.9</v>
      </c>
      <c r="G225" s="1">
        <f ca="1">IFERROR(__xludf.DUMMYFUNCTION("""COMPUTED_VALUE"""),277)</f>
        <v>277</v>
      </c>
      <c r="H225" s="1">
        <f ca="1">IFERROR(__xludf.DUMMYFUNCTION("""COMPUTED_VALUE"""),100.8)</f>
        <v>100.8</v>
      </c>
      <c r="I225" s="1">
        <f ca="1">IFERROR(__xludf.DUMMYFUNCTION("""COMPUTED_VALUE"""),138)</f>
        <v>138</v>
      </c>
      <c r="J225" s="1">
        <f ca="1">IFERROR(__xludf.DUMMYFUNCTION("""COMPUTED_VALUE"""),62.8)</f>
        <v>62.8</v>
      </c>
      <c r="K225" s="1">
        <f ca="1">IFERROR(__xludf.DUMMYFUNCTION("""COMPUTED_VALUE"""),250)</f>
        <v>250</v>
      </c>
      <c r="L225" s="1">
        <f ca="1">IFERROR(__xludf.DUMMYFUNCTION("""COMPUTED_VALUE"""),-0.091)</f>
        <v>-9.0999999999999998E-2</v>
      </c>
      <c r="M225" s="1">
        <f ca="1">IFERROR(__xludf.DUMMYFUNCTION("""COMPUTED_VALUE"""),334)</f>
        <v>334</v>
      </c>
      <c r="N225" s="1">
        <f ca="1">IFERROR(__xludf.DUMMYFUNCTION("""COMPUTED_VALUE"""),-2.2)</f>
        <v>-2.2000000000000002</v>
      </c>
      <c r="O225" s="1">
        <f ca="1">IFERROR(__xludf.DUMMYFUNCTION("""COMPUTED_VALUE"""),188)</f>
        <v>188</v>
      </c>
      <c r="P225" s="1">
        <f ca="1">IFERROR(__xludf.DUMMYFUNCTION("""COMPUTED_VALUE"""),101.6)</f>
        <v>101.6</v>
      </c>
      <c r="Q225" s="1">
        <f ca="1">IFERROR(__xludf.DUMMYFUNCTION("""COMPUTED_VALUE"""),196)</f>
        <v>196</v>
      </c>
      <c r="R225" s="1">
        <f ca="1">IFERROR(__xludf.DUMMYFUNCTION("""COMPUTED_VALUE"""),103.8)</f>
        <v>103.8</v>
      </c>
      <c r="S225" s="1">
        <f ca="1">IFERROR(__xludf.DUMMYFUNCTION("""COMPUTED_VALUE"""),206)</f>
        <v>206</v>
      </c>
      <c r="T225" s="1">
        <f ca="1">IFERROR(__xludf.DUMMYFUNCTION("""COMPUTED_VALUE"""),-2.94)</f>
        <v>-2.94</v>
      </c>
      <c r="U225" s="1">
        <f ca="1">IFERROR(__xludf.DUMMYFUNCTION("""COMPUTED_VALUE"""),255)</f>
        <v>255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IFERROR(__xludf.DUMMYFUNCTION("""COMPUTED_VALUE"""),"William &amp; Mary")</f>
        <v>William &amp; Mary</v>
      </c>
      <c r="C226" s="1" t="str">
        <f ca="1">IFERROR(__xludf.DUMMYFUNCTION("""COMPUTED_VALUE"""),"CAA")</f>
        <v>CAA</v>
      </c>
      <c r="D226" s="1" t="str">
        <f ca="1">IFERROR(__xludf.DUMMYFUNCTION("""COMPUTED_VALUE"""),"13-17")</f>
        <v>13-17</v>
      </c>
      <c r="E226" s="1">
        <f ca="1">IFERROR(__xludf.DUMMYFUNCTION("""COMPUTED_VALUE"""),-4.01)</f>
        <v>-4.01</v>
      </c>
      <c r="F226" s="1">
        <f ca="1">IFERROR(__xludf.DUMMYFUNCTION("""COMPUTED_VALUE"""),106.6)</f>
        <v>106.6</v>
      </c>
      <c r="G226" s="1">
        <f ca="1">IFERROR(__xludf.DUMMYFUNCTION("""COMPUTED_VALUE"""),108)</f>
        <v>108</v>
      </c>
      <c r="H226" s="1">
        <f ca="1">IFERROR(__xludf.DUMMYFUNCTION("""COMPUTED_VALUE"""),110.6)</f>
        <v>110.6</v>
      </c>
      <c r="I226" s="1">
        <f ca="1">IFERROR(__xludf.DUMMYFUNCTION("""COMPUTED_VALUE"""),311)</f>
        <v>311</v>
      </c>
      <c r="J226" s="1">
        <f ca="1">IFERROR(__xludf.DUMMYFUNCTION("""COMPUTED_VALUE"""),62.2)</f>
        <v>62.2</v>
      </c>
      <c r="K226" s="1">
        <f ca="1">IFERROR(__xludf.DUMMYFUNCTION("""COMPUTED_VALUE"""),278)</f>
        <v>278</v>
      </c>
      <c r="L226" s="1">
        <f ca="1">IFERROR(__xludf.DUMMYFUNCTION("""COMPUTED_VALUE"""),-0.064)</f>
        <v>-6.4000000000000001E-2</v>
      </c>
      <c r="M226" s="1">
        <f ca="1">IFERROR(__xludf.DUMMYFUNCTION("""COMPUTED_VALUE"""),311)</f>
        <v>311</v>
      </c>
      <c r="N226" s="1">
        <f ca="1">IFERROR(__xludf.DUMMYFUNCTION("""COMPUTED_VALUE"""),-3.6)</f>
        <v>-3.6</v>
      </c>
      <c r="O226" s="1">
        <f ca="1">IFERROR(__xludf.DUMMYFUNCTION("""COMPUTED_VALUE"""),236)</f>
        <v>236</v>
      </c>
      <c r="P226" s="1">
        <f ca="1">IFERROR(__xludf.DUMMYFUNCTION("""COMPUTED_VALUE"""),100.2)</f>
        <v>100.2</v>
      </c>
      <c r="Q226" s="1">
        <f ca="1">IFERROR(__xludf.DUMMYFUNCTION("""COMPUTED_VALUE"""),272)</f>
        <v>272</v>
      </c>
      <c r="R226" s="1">
        <f ca="1">IFERROR(__xludf.DUMMYFUNCTION("""COMPUTED_VALUE"""),103.8)</f>
        <v>103.8</v>
      </c>
      <c r="S226" s="1">
        <f ca="1">IFERROR(__xludf.DUMMYFUNCTION("""COMPUTED_VALUE"""),201)</f>
        <v>201</v>
      </c>
      <c r="T226" s="1">
        <f ca="1">IFERROR(__xludf.DUMMYFUNCTION("""COMPUTED_VALUE"""),-1.53)</f>
        <v>-1.53</v>
      </c>
      <c r="U226" s="1">
        <f ca="1">IFERROR(__xludf.DUMMYFUNCTION("""COMPUTED_VALUE"""),209)</f>
        <v>209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IFERROR(__xludf.DUMMYFUNCTION("""COMPUTED_VALUE"""),"UC Davis")</f>
        <v>UC Davis</v>
      </c>
      <c r="C227" s="1" t="str">
        <f ca="1">IFERROR(__xludf.DUMMYFUNCTION("""COMPUTED_VALUE"""),"BW")</f>
        <v>BW</v>
      </c>
      <c r="D227" s="1" t="str">
        <f ca="1">IFERROR(__xludf.DUMMYFUNCTION("""COMPUTED_VALUE"""),"14-17")</f>
        <v>14-17</v>
      </c>
      <c r="E227" s="1">
        <f ca="1">IFERROR(__xludf.DUMMYFUNCTION("""COMPUTED_VALUE"""),-4.06)</f>
        <v>-4.0599999999999996</v>
      </c>
      <c r="F227" s="1">
        <f ca="1">IFERROR(__xludf.DUMMYFUNCTION("""COMPUTED_VALUE"""),104.6)</f>
        <v>104.6</v>
      </c>
      <c r="G227" s="1">
        <f ca="1">IFERROR(__xludf.DUMMYFUNCTION("""COMPUTED_VALUE"""),139)</f>
        <v>139</v>
      </c>
      <c r="H227" s="1">
        <f ca="1">IFERROR(__xludf.DUMMYFUNCTION("""COMPUTED_VALUE"""),108.6)</f>
        <v>108.6</v>
      </c>
      <c r="I227" s="1">
        <f ca="1">IFERROR(__xludf.DUMMYFUNCTION("""COMPUTED_VALUE"""),285)</f>
        <v>285</v>
      </c>
      <c r="J227" s="1">
        <f ca="1">IFERROR(__xludf.DUMMYFUNCTION("""COMPUTED_VALUE"""),66.1)</f>
        <v>66.099999999999994</v>
      </c>
      <c r="K227" s="1">
        <f ca="1">IFERROR(__xludf.DUMMYFUNCTION("""COMPUTED_VALUE"""),100)</f>
        <v>100</v>
      </c>
      <c r="L227" s="1">
        <f ca="1">IFERROR(__xludf.DUMMYFUNCTION("""COMPUTED_VALUE"""),-0.008)</f>
        <v>-8.0000000000000002E-3</v>
      </c>
      <c r="M227" s="1">
        <f ca="1">IFERROR(__xludf.DUMMYFUNCTION("""COMPUTED_VALUE"""),206)</f>
        <v>206</v>
      </c>
      <c r="N227" s="1">
        <f ca="1">IFERROR(__xludf.DUMMYFUNCTION("""COMPUTED_VALUE"""),-3.18)</f>
        <v>-3.18</v>
      </c>
      <c r="O227" s="1">
        <f ca="1">IFERROR(__xludf.DUMMYFUNCTION("""COMPUTED_VALUE"""),225)</f>
        <v>225</v>
      </c>
      <c r="P227" s="1">
        <f ca="1">IFERROR(__xludf.DUMMYFUNCTION("""COMPUTED_VALUE"""),102.3)</f>
        <v>102.3</v>
      </c>
      <c r="Q227" s="1">
        <f ca="1">IFERROR(__xludf.DUMMYFUNCTION("""COMPUTED_VALUE"""),164)</f>
        <v>164</v>
      </c>
      <c r="R227" s="1">
        <f ca="1">IFERROR(__xludf.DUMMYFUNCTION("""COMPUTED_VALUE"""),105.5)</f>
        <v>105.5</v>
      </c>
      <c r="S227" s="1">
        <f ca="1">IFERROR(__xludf.DUMMYFUNCTION("""COMPUTED_VALUE"""),291)</f>
        <v>291</v>
      </c>
      <c r="T227" s="1">
        <f ca="1">IFERROR(__xludf.DUMMYFUNCTION("""COMPUTED_VALUE"""),-3.37)</f>
        <v>-3.37</v>
      </c>
      <c r="U227" s="1">
        <f ca="1">IFERROR(__xludf.DUMMYFUNCTION("""COMPUTED_VALUE"""),265)</f>
        <v>265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IFERROR(__xludf.DUMMYFUNCTION("""COMPUTED_VALUE"""),"Norfolk St.8")</f>
        <v>Norfolk St.8</v>
      </c>
      <c r="C228" s="1" t="str">
        <f ca="1">IFERROR(__xludf.DUMMYFUNCTION("""COMPUTED_VALUE"""),"MEAC")</f>
        <v>MEAC</v>
      </c>
      <c r="D228" s="1" t="str">
        <f ca="1">IFERROR(__xludf.DUMMYFUNCTION("""COMPUTED_VALUE"""),"21-12")</f>
        <v>21-12</v>
      </c>
      <c r="E228" s="1">
        <f ca="1">IFERROR(__xludf.DUMMYFUNCTION("""COMPUTED_VALUE"""),-4.26)</f>
        <v>-4.26</v>
      </c>
      <c r="F228" s="1">
        <f ca="1">IFERROR(__xludf.DUMMYFUNCTION("""COMPUTED_VALUE"""),96.4)</f>
        <v>96.4</v>
      </c>
      <c r="G228" s="1">
        <f ca="1">IFERROR(__xludf.DUMMYFUNCTION("""COMPUTED_VALUE"""),281)</f>
        <v>281</v>
      </c>
      <c r="H228" s="1">
        <f ca="1">IFERROR(__xludf.DUMMYFUNCTION("""COMPUTED_VALUE"""),100.6)</f>
        <v>100.6</v>
      </c>
      <c r="I228" s="1">
        <f ca="1">IFERROR(__xludf.DUMMYFUNCTION("""COMPUTED_VALUE"""),135)</f>
        <v>135</v>
      </c>
      <c r="J228" s="1">
        <f ca="1">IFERROR(__xludf.DUMMYFUNCTION("""COMPUTED_VALUE"""),67.1)</f>
        <v>67.099999999999994</v>
      </c>
      <c r="K228" s="1">
        <f ca="1">IFERROR(__xludf.DUMMYFUNCTION("""COMPUTED_VALUE"""),60)</f>
        <v>60</v>
      </c>
      <c r="L228" s="1" t="str">
        <f ca="1">IFERROR(__xludf.DUMMYFUNCTION("""COMPUTED_VALUE"""),"+.112")</f>
        <v>+.112</v>
      </c>
      <c r="M228" s="1">
        <f ca="1">IFERROR(__xludf.DUMMYFUNCTION("""COMPUTED_VALUE"""),5)</f>
        <v>5</v>
      </c>
      <c r="N228" s="1">
        <f ca="1">IFERROR(__xludf.DUMMYFUNCTION("""COMPUTED_VALUE"""),-7.02)</f>
        <v>-7.02</v>
      </c>
      <c r="O228" s="1">
        <f ca="1">IFERROR(__xludf.DUMMYFUNCTION("""COMPUTED_VALUE"""),319)</f>
        <v>319</v>
      </c>
      <c r="P228" s="1">
        <f ca="1">IFERROR(__xludf.DUMMYFUNCTION("""COMPUTED_VALUE"""),97.8)</f>
        <v>97.8</v>
      </c>
      <c r="Q228" s="1">
        <f ca="1">IFERROR(__xludf.DUMMYFUNCTION("""COMPUTED_VALUE"""),325)</f>
        <v>325</v>
      </c>
      <c r="R228" s="1">
        <f ca="1">IFERROR(__xludf.DUMMYFUNCTION("""COMPUTED_VALUE"""),104.8)</f>
        <v>104.8</v>
      </c>
      <c r="S228" s="1">
        <f ca="1">IFERROR(__xludf.DUMMYFUNCTION("""COMPUTED_VALUE"""),255)</f>
        <v>255</v>
      </c>
      <c r="T228" s="1" t="str">
        <f ca="1">IFERROR(__xludf.DUMMYFUNCTION("""COMPUTED_VALUE"""),"+0.29")</f>
        <v>+0.29</v>
      </c>
      <c r="U228" s="1">
        <f ca="1">IFERROR(__xludf.DUMMYFUNCTION("""COMPUTED_VALUE"""),144)</f>
        <v>144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IFERROR(__xludf.DUMMYFUNCTION("""COMPUTED_VALUE"""),"Marshall")</f>
        <v>Marshall</v>
      </c>
      <c r="C229" s="1" t="str">
        <f ca="1">IFERROR(__xludf.DUMMYFUNCTION("""COMPUTED_VALUE"""),"CUSA")</f>
        <v>CUSA</v>
      </c>
      <c r="D229" s="1" t="str">
        <f ca="1">IFERROR(__xludf.DUMMYFUNCTION("""COMPUTED_VALUE"""),"13-19")</f>
        <v>13-19</v>
      </c>
      <c r="E229" s="1">
        <f ca="1">IFERROR(__xludf.DUMMYFUNCTION("""COMPUTED_VALUE"""),-4.35)</f>
        <v>-4.3499999999999996</v>
      </c>
      <c r="F229" s="1">
        <f ca="1">IFERROR(__xludf.DUMMYFUNCTION("""COMPUTED_VALUE"""),102.3)</f>
        <v>102.3</v>
      </c>
      <c r="G229" s="1">
        <f ca="1">IFERROR(__xludf.DUMMYFUNCTION("""COMPUTED_VALUE"""),179)</f>
        <v>179</v>
      </c>
      <c r="H229" s="1">
        <f ca="1">IFERROR(__xludf.DUMMYFUNCTION("""COMPUTED_VALUE"""),106.6)</f>
        <v>106.6</v>
      </c>
      <c r="I229" s="1">
        <f ca="1">IFERROR(__xludf.DUMMYFUNCTION("""COMPUTED_VALUE"""),254)</f>
        <v>254</v>
      </c>
      <c r="J229" s="1">
        <f ca="1">IFERROR(__xludf.DUMMYFUNCTION("""COMPUTED_VALUE"""),66.4)</f>
        <v>66.400000000000006</v>
      </c>
      <c r="K229" s="1">
        <f ca="1">IFERROR(__xludf.DUMMYFUNCTION("""COMPUTED_VALUE"""),89)</f>
        <v>89</v>
      </c>
      <c r="L229" s="1">
        <f ca="1">IFERROR(__xludf.DUMMYFUNCTION("""COMPUTED_VALUE"""),-0.009)</f>
        <v>-8.9999999999999993E-3</v>
      </c>
      <c r="M229" s="1">
        <f ca="1">IFERROR(__xludf.DUMMYFUNCTION("""COMPUTED_VALUE"""),207)</f>
        <v>207</v>
      </c>
      <c r="N229" s="1" t="str">
        <f ca="1">IFERROR(__xludf.DUMMYFUNCTION("""COMPUTED_VALUE"""),"+0.39")</f>
        <v>+0.39</v>
      </c>
      <c r="O229" s="1">
        <f ca="1">IFERROR(__xludf.DUMMYFUNCTION("""COMPUTED_VALUE"""),136)</f>
        <v>136</v>
      </c>
      <c r="P229" s="1">
        <f ca="1">IFERROR(__xludf.DUMMYFUNCTION("""COMPUTED_VALUE"""),102.9)</f>
        <v>102.9</v>
      </c>
      <c r="Q229" s="1">
        <f ca="1">IFERROR(__xludf.DUMMYFUNCTION("""COMPUTED_VALUE"""),141)</f>
        <v>141</v>
      </c>
      <c r="R229" s="1">
        <f ca="1">IFERROR(__xludf.DUMMYFUNCTION("""COMPUTED_VALUE"""),102.5)</f>
        <v>102.5</v>
      </c>
      <c r="S229" s="1">
        <f ca="1">IFERROR(__xludf.DUMMYFUNCTION("""COMPUTED_VALUE"""),143)</f>
        <v>143</v>
      </c>
      <c r="T229" s="1">
        <f ca="1">IFERROR(__xludf.DUMMYFUNCTION("""COMPUTED_VALUE"""),-3.81)</f>
        <v>-3.81</v>
      </c>
      <c r="U229" s="1">
        <f ca="1">IFERROR(__xludf.DUMMYFUNCTION("""COMPUTED_VALUE"""),269)</f>
        <v>269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IFERROR(__xludf.DUMMYFUNCTION("""COMPUTED_VALUE"""),"High Point")</f>
        <v>High Point</v>
      </c>
      <c r="C230" s="1" t="str">
        <f ca="1">IFERROR(__xludf.DUMMYFUNCTION("""COMPUTED_VALUE"""),"BSth")</f>
        <v>BSth</v>
      </c>
      <c r="D230" s="1" t="str">
        <f ca="1">IFERROR(__xludf.DUMMYFUNCTION("""COMPUTED_VALUE"""),"17-14")</f>
        <v>17-14</v>
      </c>
      <c r="E230" s="1">
        <f ca="1">IFERROR(__xludf.DUMMYFUNCTION("""COMPUTED_VALUE"""),-4.37)</f>
        <v>-4.37</v>
      </c>
      <c r="F230" s="1">
        <f ca="1">IFERROR(__xludf.DUMMYFUNCTION("""COMPUTED_VALUE"""),100.2)</f>
        <v>100.2</v>
      </c>
      <c r="G230" s="1">
        <f ca="1">IFERROR(__xludf.DUMMYFUNCTION("""COMPUTED_VALUE"""),217)</f>
        <v>217</v>
      </c>
      <c r="H230" s="1">
        <f ca="1">IFERROR(__xludf.DUMMYFUNCTION("""COMPUTED_VALUE"""),104.5)</f>
        <v>104.5</v>
      </c>
      <c r="I230" s="1">
        <f ca="1">IFERROR(__xludf.DUMMYFUNCTION("""COMPUTED_VALUE"""),206)</f>
        <v>206</v>
      </c>
      <c r="J230" s="1">
        <f ca="1">IFERROR(__xludf.DUMMYFUNCTION("""COMPUTED_VALUE"""),64.5)</f>
        <v>64.5</v>
      </c>
      <c r="K230" s="1">
        <f ca="1">IFERROR(__xludf.DUMMYFUNCTION("""COMPUTED_VALUE"""),183)</f>
        <v>183</v>
      </c>
      <c r="L230" s="1">
        <f ca="1">IFERROR(__xludf.DUMMYFUNCTION("""COMPUTED_VALUE"""),-0.061)</f>
        <v>-6.0999999999999999E-2</v>
      </c>
      <c r="M230" s="1">
        <f ca="1">IFERROR(__xludf.DUMMYFUNCTION("""COMPUTED_VALUE"""),308)</f>
        <v>308</v>
      </c>
      <c r="N230" s="1">
        <f ca="1">IFERROR(__xludf.DUMMYFUNCTION("""COMPUTED_VALUE"""),-8.39)</f>
        <v>-8.39</v>
      </c>
      <c r="O230" s="1">
        <f ca="1">IFERROR(__xludf.DUMMYFUNCTION("""COMPUTED_VALUE"""),336)</f>
        <v>336</v>
      </c>
      <c r="P230" s="1">
        <f ca="1">IFERROR(__xludf.DUMMYFUNCTION("""COMPUTED_VALUE"""),99.3)</f>
        <v>99.3</v>
      </c>
      <c r="Q230" s="1">
        <f ca="1">IFERROR(__xludf.DUMMYFUNCTION("""COMPUTED_VALUE"""),308)</f>
        <v>308</v>
      </c>
      <c r="R230" s="1">
        <f ca="1">IFERROR(__xludf.DUMMYFUNCTION("""COMPUTED_VALUE"""),107.7)</f>
        <v>107.7</v>
      </c>
      <c r="S230" s="1">
        <f ca="1">IFERROR(__xludf.DUMMYFUNCTION("""COMPUTED_VALUE"""),347)</f>
        <v>347</v>
      </c>
      <c r="T230" s="1">
        <f ca="1">IFERROR(__xludf.DUMMYFUNCTION("""COMPUTED_VALUE"""),-4.24)</f>
        <v>-4.24</v>
      </c>
      <c r="U230" s="1">
        <f ca="1">IFERROR(__xludf.DUMMYFUNCTION("""COMPUTED_VALUE"""),279)</f>
        <v>279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IFERROR(__xludf.DUMMYFUNCTION("""COMPUTED_VALUE"""),"Cal St. Northridge")</f>
        <v>Cal St. Northridge</v>
      </c>
      <c r="C231" s="1" t="str">
        <f ca="1">IFERROR(__xludf.DUMMYFUNCTION("""COMPUTED_VALUE"""),"BW")</f>
        <v>BW</v>
      </c>
      <c r="D231" s="1" t="str">
        <f ca="1">IFERROR(__xludf.DUMMYFUNCTION("""COMPUTED_VALUE"""),"14-17")</f>
        <v>14-17</v>
      </c>
      <c r="E231" s="1">
        <f ca="1">IFERROR(__xludf.DUMMYFUNCTION("""COMPUTED_VALUE"""),-4.56)</f>
        <v>-4.5599999999999996</v>
      </c>
      <c r="F231" s="1">
        <f ca="1">IFERROR(__xludf.DUMMYFUNCTION("""COMPUTED_VALUE"""),104.1)</f>
        <v>104.1</v>
      </c>
      <c r="G231" s="1">
        <f ca="1">IFERROR(__xludf.DUMMYFUNCTION("""COMPUTED_VALUE"""),147)</f>
        <v>147</v>
      </c>
      <c r="H231" s="1">
        <f ca="1">IFERROR(__xludf.DUMMYFUNCTION("""COMPUTED_VALUE"""),108.6)</f>
        <v>108.6</v>
      </c>
      <c r="I231" s="1">
        <f ca="1">IFERROR(__xludf.DUMMYFUNCTION("""COMPUTED_VALUE"""),286)</f>
        <v>286</v>
      </c>
      <c r="J231" s="1">
        <f ca="1">IFERROR(__xludf.DUMMYFUNCTION("""COMPUTED_VALUE"""),69.2)</f>
        <v>69.2</v>
      </c>
      <c r="K231" s="1">
        <f ca="1">IFERROR(__xludf.DUMMYFUNCTION("""COMPUTED_VALUE"""),18)</f>
        <v>18</v>
      </c>
      <c r="L231" s="1">
        <f ca="1">IFERROR(__xludf.DUMMYFUNCTION("""COMPUTED_VALUE"""),-0.017)</f>
        <v>-1.7000000000000001E-2</v>
      </c>
      <c r="M231" s="1">
        <f ca="1">IFERROR(__xludf.DUMMYFUNCTION("""COMPUTED_VALUE"""),233)</f>
        <v>233</v>
      </c>
      <c r="N231" s="1">
        <f ca="1">IFERROR(__xludf.DUMMYFUNCTION("""COMPUTED_VALUE"""),-2.34)</f>
        <v>-2.34</v>
      </c>
      <c r="O231" s="1">
        <f ca="1">IFERROR(__xludf.DUMMYFUNCTION("""COMPUTED_VALUE"""),193)</f>
        <v>193</v>
      </c>
      <c r="P231" s="1">
        <f ca="1">IFERROR(__xludf.DUMMYFUNCTION("""COMPUTED_VALUE"""),102)</f>
        <v>102</v>
      </c>
      <c r="Q231" s="1">
        <f ca="1">IFERROR(__xludf.DUMMYFUNCTION("""COMPUTED_VALUE"""),176)</f>
        <v>176</v>
      </c>
      <c r="R231" s="1">
        <f ca="1">IFERROR(__xludf.DUMMYFUNCTION("""COMPUTED_VALUE"""),104.3)</f>
        <v>104.3</v>
      </c>
      <c r="S231" s="1">
        <f ca="1">IFERROR(__xludf.DUMMYFUNCTION("""COMPUTED_VALUE"""),233)</f>
        <v>233</v>
      </c>
      <c r="T231" s="1">
        <f ca="1">IFERROR(__xludf.DUMMYFUNCTION("""COMPUTED_VALUE"""),-0.55)</f>
        <v>-0.55000000000000004</v>
      </c>
      <c r="U231" s="1">
        <f ca="1">IFERROR(__xludf.DUMMYFUNCTION("""COMPUTED_VALUE"""),175)</f>
        <v>175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IFERROR(__xludf.DUMMYFUNCTION("""COMPUTED_VALUE"""),"Arkansas Little Rock")</f>
        <v>Arkansas Little Rock</v>
      </c>
      <c r="C232" s="1" t="str">
        <f ca="1">IFERROR(__xludf.DUMMYFUNCTION("""COMPUTED_VALUE"""),"SB")</f>
        <v>SB</v>
      </c>
      <c r="D232" s="1" t="str">
        <f ca="1">IFERROR(__xludf.DUMMYFUNCTION("""COMPUTED_VALUE"""),"17-15")</f>
        <v>17-15</v>
      </c>
      <c r="E232" s="1">
        <f ca="1">IFERROR(__xludf.DUMMYFUNCTION("""COMPUTED_VALUE"""),-4.74)</f>
        <v>-4.74</v>
      </c>
      <c r="F232" s="1">
        <f ca="1">IFERROR(__xludf.DUMMYFUNCTION("""COMPUTED_VALUE"""),97.6)</f>
        <v>97.6</v>
      </c>
      <c r="G232" s="1">
        <f ca="1">IFERROR(__xludf.DUMMYFUNCTION("""COMPUTED_VALUE"""),264)</f>
        <v>264</v>
      </c>
      <c r="H232" s="1">
        <f ca="1">IFERROR(__xludf.DUMMYFUNCTION("""COMPUTED_VALUE"""),102.4)</f>
        <v>102.4</v>
      </c>
      <c r="I232" s="1">
        <f ca="1">IFERROR(__xludf.DUMMYFUNCTION("""COMPUTED_VALUE"""),162)</f>
        <v>162</v>
      </c>
      <c r="J232" s="1">
        <f ca="1">IFERROR(__xludf.DUMMYFUNCTION("""COMPUTED_VALUE"""),66.4)</f>
        <v>66.400000000000006</v>
      </c>
      <c r="K232" s="1">
        <f ca="1">IFERROR(__xludf.DUMMYFUNCTION("""COMPUTED_VALUE"""),87)</f>
        <v>87</v>
      </c>
      <c r="L232" s="1" t="str">
        <f ca="1">IFERROR(__xludf.DUMMYFUNCTION("""COMPUTED_VALUE"""),"+.060")</f>
        <v>+.060</v>
      </c>
      <c r="M232" s="1">
        <f ca="1">IFERROR(__xludf.DUMMYFUNCTION("""COMPUTED_VALUE"""),36)</f>
        <v>36</v>
      </c>
      <c r="N232" s="1">
        <f ca="1">IFERROR(__xludf.DUMMYFUNCTION("""COMPUTED_VALUE"""),-3.9)</f>
        <v>-3.9</v>
      </c>
      <c r="O232" s="1">
        <f ca="1">IFERROR(__xludf.DUMMYFUNCTION("""COMPUTED_VALUE"""),245)</f>
        <v>245</v>
      </c>
      <c r="P232" s="1">
        <f ca="1">IFERROR(__xludf.DUMMYFUNCTION("""COMPUTED_VALUE"""),99.5)</f>
        <v>99.5</v>
      </c>
      <c r="Q232" s="1">
        <f ca="1">IFERROR(__xludf.DUMMYFUNCTION("""COMPUTED_VALUE"""),300)</f>
        <v>300</v>
      </c>
      <c r="R232" s="1">
        <f ca="1">IFERROR(__xludf.DUMMYFUNCTION("""COMPUTED_VALUE"""),103.4)</f>
        <v>103.4</v>
      </c>
      <c r="S232" s="1">
        <f ca="1">IFERROR(__xludf.DUMMYFUNCTION("""COMPUTED_VALUE"""),189)</f>
        <v>189</v>
      </c>
      <c r="T232" s="1">
        <f ca="1">IFERROR(__xludf.DUMMYFUNCTION("""COMPUTED_VALUE"""),-2.32)</f>
        <v>-2.3199999999999998</v>
      </c>
      <c r="U232" s="1">
        <f ca="1">IFERROR(__xludf.DUMMYFUNCTION("""COMPUTED_VALUE"""),236)</f>
        <v>236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IFERROR(__xludf.DUMMYFUNCTION("""COMPUTED_VALUE"""),"Pepperdine")</f>
        <v>Pepperdine</v>
      </c>
      <c r="C233" s="1" t="str">
        <f ca="1">IFERROR(__xludf.DUMMYFUNCTION("""COMPUTED_VALUE"""),"WCC")</f>
        <v>WCC</v>
      </c>
      <c r="D233" s="2">
        <f ca="1">IFERROR(__xludf.DUMMYFUNCTION("""COMPUTED_VALUE"""),44913)</f>
        <v>44913</v>
      </c>
      <c r="E233" s="1">
        <f ca="1">IFERROR(__xludf.DUMMYFUNCTION("""COMPUTED_VALUE"""),-4.77)</f>
        <v>-4.7699999999999996</v>
      </c>
      <c r="F233" s="1">
        <f ca="1">IFERROR(__xludf.DUMMYFUNCTION("""COMPUTED_VALUE"""),98.9)</f>
        <v>98.9</v>
      </c>
      <c r="G233" s="1">
        <f ca="1">IFERROR(__xludf.DUMMYFUNCTION("""COMPUTED_VALUE"""),236)</f>
        <v>236</v>
      </c>
      <c r="H233" s="1">
        <f ca="1">IFERROR(__xludf.DUMMYFUNCTION("""COMPUTED_VALUE"""),103.6)</f>
        <v>103.6</v>
      </c>
      <c r="I233" s="1">
        <f ca="1">IFERROR(__xludf.DUMMYFUNCTION("""COMPUTED_VALUE"""),190)</f>
        <v>190</v>
      </c>
      <c r="J233" s="1">
        <f ca="1">IFERROR(__xludf.DUMMYFUNCTION("""COMPUTED_VALUE"""),62.2)</f>
        <v>62.2</v>
      </c>
      <c r="K233" s="1">
        <f ca="1">IFERROR(__xludf.DUMMYFUNCTION("""COMPUTED_VALUE"""),276)</f>
        <v>276</v>
      </c>
      <c r="L233" s="1" t="str">
        <f ca="1">IFERROR(__xludf.DUMMYFUNCTION("""COMPUTED_VALUE"""),"+.027")</f>
        <v>+.027</v>
      </c>
      <c r="M233" s="1">
        <f ca="1">IFERROR(__xludf.DUMMYFUNCTION("""COMPUTED_VALUE"""),112)</f>
        <v>112</v>
      </c>
      <c r="N233" s="1" t="str">
        <f ca="1">IFERROR(__xludf.DUMMYFUNCTION("""COMPUTED_VALUE"""),"+1.39")</f>
        <v>+1.39</v>
      </c>
      <c r="O233" s="1">
        <f ca="1">IFERROR(__xludf.DUMMYFUNCTION("""COMPUTED_VALUE"""),125)</f>
        <v>125</v>
      </c>
      <c r="P233" s="1">
        <f ca="1">IFERROR(__xludf.DUMMYFUNCTION("""COMPUTED_VALUE"""),104.3)</f>
        <v>104.3</v>
      </c>
      <c r="Q233" s="1">
        <f ca="1">IFERROR(__xludf.DUMMYFUNCTION("""COMPUTED_VALUE"""),105)</f>
        <v>105</v>
      </c>
      <c r="R233" s="1">
        <f ca="1">IFERROR(__xludf.DUMMYFUNCTION("""COMPUTED_VALUE"""),102.9)</f>
        <v>102.9</v>
      </c>
      <c r="S233" s="1">
        <f ca="1">IFERROR(__xludf.DUMMYFUNCTION("""COMPUTED_VALUE"""),163)</f>
        <v>163</v>
      </c>
      <c r="T233" s="1">
        <f ca="1">IFERROR(__xludf.DUMMYFUNCTION("""COMPUTED_VALUE"""),-5.28)</f>
        <v>-5.28</v>
      </c>
      <c r="U233" s="1">
        <f ca="1">IFERROR(__xludf.DUMMYFUNCTION("""COMPUTED_VALUE"""),297)</f>
        <v>297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IFERROR(__xludf.DUMMYFUNCTION("""COMPUTED_VALUE"""),"St. Francis NY")</f>
        <v>St. Francis NY</v>
      </c>
      <c r="C234" s="1" t="str">
        <f ca="1">IFERROR(__xludf.DUMMYFUNCTION("""COMPUTED_VALUE"""),"NEC")</f>
        <v>NEC</v>
      </c>
      <c r="D234" s="2">
        <f ca="1">IFERROR(__xludf.DUMMYFUNCTION("""COMPUTED_VALUE"""),44913)</f>
        <v>44913</v>
      </c>
      <c r="E234" s="1">
        <f ca="1">IFERROR(__xludf.DUMMYFUNCTION("""COMPUTED_VALUE"""),-4.79)</f>
        <v>-4.79</v>
      </c>
      <c r="F234" s="1">
        <f ca="1">IFERROR(__xludf.DUMMYFUNCTION("""COMPUTED_VALUE"""),103.1)</f>
        <v>103.1</v>
      </c>
      <c r="G234" s="1">
        <f ca="1">IFERROR(__xludf.DUMMYFUNCTION("""COMPUTED_VALUE"""),158)</f>
        <v>158</v>
      </c>
      <c r="H234" s="1">
        <f ca="1">IFERROR(__xludf.DUMMYFUNCTION("""COMPUTED_VALUE"""),107.9)</f>
        <v>107.9</v>
      </c>
      <c r="I234" s="1">
        <f ca="1">IFERROR(__xludf.DUMMYFUNCTION("""COMPUTED_VALUE"""),271)</f>
        <v>271</v>
      </c>
      <c r="J234" s="1">
        <f ca="1">IFERROR(__xludf.DUMMYFUNCTION("""COMPUTED_VALUE"""),65.2)</f>
        <v>65.2</v>
      </c>
      <c r="K234" s="1">
        <f ca="1">IFERROR(__xludf.DUMMYFUNCTION("""COMPUTED_VALUE"""),144)</f>
        <v>144</v>
      </c>
      <c r="L234" s="1">
        <f ca="1">IFERROR(__xludf.DUMMYFUNCTION("""COMPUTED_VALUE"""),-0.068)</f>
        <v>-6.8000000000000005E-2</v>
      </c>
      <c r="M234" s="1">
        <f ca="1">IFERROR(__xludf.DUMMYFUNCTION("""COMPUTED_VALUE"""),315)</f>
        <v>315</v>
      </c>
      <c r="N234" s="1">
        <f ca="1">IFERROR(__xludf.DUMMYFUNCTION("""COMPUTED_VALUE"""),-3.69)</f>
        <v>-3.69</v>
      </c>
      <c r="O234" s="1">
        <f ca="1">IFERROR(__xludf.DUMMYFUNCTION("""COMPUTED_VALUE"""),240)</f>
        <v>240</v>
      </c>
      <c r="P234" s="1">
        <f ca="1">IFERROR(__xludf.DUMMYFUNCTION("""COMPUTED_VALUE"""),101.6)</f>
        <v>101.6</v>
      </c>
      <c r="Q234" s="1">
        <f ca="1">IFERROR(__xludf.DUMMYFUNCTION("""COMPUTED_VALUE"""),202)</f>
        <v>202</v>
      </c>
      <c r="R234" s="1">
        <f ca="1">IFERROR(__xludf.DUMMYFUNCTION("""COMPUTED_VALUE"""),105.2)</f>
        <v>105.2</v>
      </c>
      <c r="S234" s="1">
        <f ca="1">IFERROR(__xludf.DUMMYFUNCTION("""COMPUTED_VALUE"""),275)</f>
        <v>275</v>
      </c>
      <c r="T234" s="1" t="str">
        <f ca="1">IFERROR(__xludf.DUMMYFUNCTION("""COMPUTED_VALUE"""),"+2.54")</f>
        <v>+2.54</v>
      </c>
      <c r="U234" s="1">
        <f ca="1">IFERROR(__xludf.DUMMYFUNCTION("""COMPUTED_VALUE"""),88)</f>
        <v>88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IFERROR(__xludf.DUMMYFUNCTION("""COMPUTED_VALUE"""),"UC Santa Barbara")</f>
        <v>UC Santa Barbara</v>
      </c>
      <c r="C235" s="1" t="str">
        <f ca="1">IFERROR(__xludf.DUMMYFUNCTION("""COMPUTED_VALUE"""),"BW")</f>
        <v>BW</v>
      </c>
      <c r="D235" s="2">
        <f ca="1">IFERROR(__xludf.DUMMYFUNCTION("""COMPUTED_VALUE"""),44885)</f>
        <v>44885</v>
      </c>
      <c r="E235" s="1">
        <f ca="1">IFERROR(__xludf.DUMMYFUNCTION("""COMPUTED_VALUE"""),-4.8)</f>
        <v>-4.8</v>
      </c>
      <c r="F235" s="1">
        <f ca="1">IFERROR(__xludf.DUMMYFUNCTION("""COMPUTED_VALUE"""),98.5)</f>
        <v>98.5</v>
      </c>
      <c r="G235" s="1">
        <f ca="1">IFERROR(__xludf.DUMMYFUNCTION("""COMPUTED_VALUE"""),248)</f>
        <v>248</v>
      </c>
      <c r="H235" s="1">
        <f ca="1">IFERROR(__xludf.DUMMYFUNCTION("""COMPUTED_VALUE"""),103.3)</f>
        <v>103.3</v>
      </c>
      <c r="I235" s="1">
        <f ca="1">IFERROR(__xludf.DUMMYFUNCTION("""COMPUTED_VALUE"""),181)</f>
        <v>181</v>
      </c>
      <c r="J235" s="1">
        <f ca="1">IFERROR(__xludf.DUMMYFUNCTION("""COMPUTED_VALUE"""),62.5)</f>
        <v>62.5</v>
      </c>
      <c r="K235" s="1">
        <f ca="1">IFERROR(__xludf.DUMMYFUNCTION("""COMPUTED_VALUE"""),265)</f>
        <v>265</v>
      </c>
      <c r="L235" s="1">
        <f ca="1">IFERROR(__xludf.DUMMYFUNCTION("""COMPUTED_VALUE"""),-0.04)</f>
        <v>-0.04</v>
      </c>
      <c r="M235" s="1">
        <f ca="1">IFERROR(__xludf.DUMMYFUNCTION("""COMPUTED_VALUE"""),276)</f>
        <v>276</v>
      </c>
      <c r="N235" s="1" t="str">
        <f ca="1">IFERROR(__xludf.DUMMYFUNCTION("""COMPUTED_VALUE"""),"+1.14")</f>
        <v>+1.14</v>
      </c>
      <c r="O235" s="1">
        <f ca="1">IFERROR(__xludf.DUMMYFUNCTION("""COMPUTED_VALUE"""),127)</f>
        <v>127</v>
      </c>
      <c r="P235" s="1">
        <f ca="1">IFERROR(__xludf.DUMMYFUNCTION("""COMPUTED_VALUE"""),104.2)</f>
        <v>104.2</v>
      </c>
      <c r="Q235" s="1">
        <f ca="1">IFERROR(__xludf.DUMMYFUNCTION("""COMPUTED_VALUE"""),109)</f>
        <v>109</v>
      </c>
      <c r="R235" s="1">
        <f ca="1">IFERROR(__xludf.DUMMYFUNCTION("""COMPUTED_VALUE"""),103.1)</f>
        <v>103.1</v>
      </c>
      <c r="S235" s="1">
        <f ca="1">IFERROR(__xludf.DUMMYFUNCTION("""COMPUTED_VALUE"""),176)</f>
        <v>176</v>
      </c>
      <c r="T235" s="1" t="str">
        <f ca="1">IFERROR(__xludf.DUMMYFUNCTION("""COMPUTED_VALUE"""),"+10.04")</f>
        <v>+10.04</v>
      </c>
      <c r="U235" s="1">
        <f ca="1">IFERROR(__xludf.DUMMYFUNCTION("""COMPUTED_VALUE"""),3)</f>
        <v>3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IFERROR(__xludf.DUMMYFUNCTION("""COMPUTED_VALUE"""),"Southeast Missouri St.")</f>
        <v>Southeast Missouri St.</v>
      </c>
      <c r="C236" s="1" t="str">
        <f ca="1">IFERROR(__xludf.DUMMYFUNCTION("""COMPUTED_VALUE"""),"OVC")</f>
        <v>OVC</v>
      </c>
      <c r="D236" s="1" t="str">
        <f ca="1">IFERROR(__xludf.DUMMYFUNCTION("""COMPUTED_VALUE"""),"17-16")</f>
        <v>17-16</v>
      </c>
      <c r="E236" s="1">
        <f ca="1">IFERROR(__xludf.DUMMYFUNCTION("""COMPUTED_VALUE"""),-4.87)</f>
        <v>-4.87</v>
      </c>
      <c r="F236" s="1">
        <f ca="1">IFERROR(__xludf.DUMMYFUNCTION("""COMPUTED_VALUE"""),103.9)</f>
        <v>103.9</v>
      </c>
      <c r="G236" s="1">
        <f ca="1">IFERROR(__xludf.DUMMYFUNCTION("""COMPUTED_VALUE"""),149)</f>
        <v>149</v>
      </c>
      <c r="H236" s="1">
        <f ca="1">IFERROR(__xludf.DUMMYFUNCTION("""COMPUTED_VALUE"""),108.8)</f>
        <v>108.8</v>
      </c>
      <c r="I236" s="1">
        <f ca="1">IFERROR(__xludf.DUMMYFUNCTION("""COMPUTED_VALUE"""),291)</f>
        <v>291</v>
      </c>
      <c r="J236" s="1">
        <f ca="1">IFERROR(__xludf.DUMMYFUNCTION("""COMPUTED_VALUE"""),67)</f>
        <v>67</v>
      </c>
      <c r="K236" s="1">
        <f ca="1">IFERROR(__xludf.DUMMYFUNCTION("""COMPUTED_VALUE"""),63)</f>
        <v>63</v>
      </c>
      <c r="L236" s="1">
        <f ca="1">IFERROR(__xludf.DUMMYFUNCTION("""COMPUTED_VALUE"""),-0.033)</f>
        <v>-3.3000000000000002E-2</v>
      </c>
      <c r="M236" s="1">
        <f ca="1">IFERROR(__xludf.DUMMYFUNCTION("""COMPUTED_VALUE"""),267)</f>
        <v>267</v>
      </c>
      <c r="N236" s="1">
        <f ca="1">IFERROR(__xludf.DUMMYFUNCTION("""COMPUTED_VALUE"""),-7.51)</f>
        <v>-7.51</v>
      </c>
      <c r="O236" s="1">
        <f ca="1">IFERROR(__xludf.DUMMYFUNCTION("""COMPUTED_VALUE"""),328)</f>
        <v>328</v>
      </c>
      <c r="P236" s="1">
        <f ca="1">IFERROR(__xludf.DUMMYFUNCTION("""COMPUTED_VALUE"""),99.6)</f>
        <v>99.6</v>
      </c>
      <c r="Q236" s="1">
        <f ca="1">IFERROR(__xludf.DUMMYFUNCTION("""COMPUTED_VALUE"""),296)</f>
        <v>296</v>
      </c>
      <c r="R236" s="1">
        <f ca="1">IFERROR(__xludf.DUMMYFUNCTION("""COMPUTED_VALUE"""),107.1)</f>
        <v>107.1</v>
      </c>
      <c r="S236" s="1">
        <f ca="1">IFERROR(__xludf.DUMMYFUNCTION("""COMPUTED_VALUE"""),340)</f>
        <v>340</v>
      </c>
      <c r="T236" s="1">
        <f ca="1">IFERROR(__xludf.DUMMYFUNCTION("""COMPUTED_VALUE"""),-7.71)</f>
        <v>-7.71</v>
      </c>
      <c r="U236" s="1">
        <f ca="1">IFERROR(__xludf.DUMMYFUNCTION("""COMPUTED_VALUE"""),328)</f>
        <v>328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IFERROR(__xludf.DUMMYFUNCTION("""COMPUTED_VALUE"""),"Morehead St.")</f>
        <v>Morehead St.</v>
      </c>
      <c r="C237" s="1" t="str">
        <f ca="1">IFERROR(__xludf.DUMMYFUNCTION("""COMPUTED_VALUE"""),"OVC")</f>
        <v>OVC</v>
      </c>
      <c r="D237" s="1" t="str">
        <f ca="1">IFERROR(__xludf.DUMMYFUNCTION("""COMPUTED_VALUE"""),"15-18")</f>
        <v>15-18</v>
      </c>
      <c r="E237" s="1">
        <f ca="1">IFERROR(__xludf.DUMMYFUNCTION("""COMPUTED_VALUE"""),-5.04)</f>
        <v>-5.04</v>
      </c>
      <c r="F237" s="1">
        <f ca="1">IFERROR(__xludf.DUMMYFUNCTION("""COMPUTED_VALUE"""),99.6)</f>
        <v>99.6</v>
      </c>
      <c r="G237" s="1">
        <f ca="1">IFERROR(__xludf.DUMMYFUNCTION("""COMPUTED_VALUE"""),224)</f>
        <v>224</v>
      </c>
      <c r="H237" s="1">
        <f ca="1">IFERROR(__xludf.DUMMYFUNCTION("""COMPUTED_VALUE"""),104.6)</f>
        <v>104.6</v>
      </c>
      <c r="I237" s="1">
        <f ca="1">IFERROR(__xludf.DUMMYFUNCTION("""COMPUTED_VALUE"""),207)</f>
        <v>207</v>
      </c>
      <c r="J237" s="1">
        <f ca="1">IFERROR(__xludf.DUMMYFUNCTION("""COMPUTED_VALUE"""),68.2)</f>
        <v>68.2</v>
      </c>
      <c r="K237" s="1">
        <f ca="1">IFERROR(__xludf.DUMMYFUNCTION("""COMPUTED_VALUE"""),33)</f>
        <v>33</v>
      </c>
      <c r="L237" s="1" t="str">
        <f ca="1">IFERROR(__xludf.DUMMYFUNCTION("""COMPUTED_VALUE"""),"+.033")</f>
        <v>+.033</v>
      </c>
      <c r="M237" s="1">
        <f ca="1">IFERROR(__xludf.DUMMYFUNCTION("""COMPUTED_VALUE"""),96)</f>
        <v>96</v>
      </c>
      <c r="N237" s="1">
        <f ca="1">IFERROR(__xludf.DUMMYFUNCTION("""COMPUTED_VALUE"""),-0.87)</f>
        <v>-0.87</v>
      </c>
      <c r="O237" s="1">
        <f ca="1">IFERROR(__xludf.DUMMYFUNCTION("""COMPUTED_VALUE"""),161)</f>
        <v>161</v>
      </c>
      <c r="P237" s="1">
        <f ca="1">IFERROR(__xludf.DUMMYFUNCTION("""COMPUTED_VALUE"""),103.7)</f>
        <v>103.7</v>
      </c>
      <c r="Q237" s="1">
        <f ca="1">IFERROR(__xludf.DUMMYFUNCTION("""COMPUTED_VALUE"""),124)</f>
        <v>124</v>
      </c>
      <c r="R237" s="1">
        <f ca="1">IFERROR(__xludf.DUMMYFUNCTION("""COMPUTED_VALUE"""),104.5)</f>
        <v>104.5</v>
      </c>
      <c r="S237" s="1">
        <f ca="1">IFERROR(__xludf.DUMMYFUNCTION("""COMPUTED_VALUE"""),238)</f>
        <v>238</v>
      </c>
      <c r="T237" s="1" t="str">
        <f ca="1">IFERROR(__xludf.DUMMYFUNCTION("""COMPUTED_VALUE"""),"+4.03")</f>
        <v>+4.03</v>
      </c>
      <c r="U237" s="1">
        <f ca="1">IFERROR(__xludf.DUMMYFUNCTION("""COMPUTED_VALUE"""),63)</f>
        <v>63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IFERROR(__xludf.DUMMYFUNCTION("""COMPUTED_VALUE"""),"Hartford")</f>
        <v>Hartford</v>
      </c>
      <c r="C238" s="1" t="str">
        <f ca="1">IFERROR(__xludf.DUMMYFUNCTION("""COMPUTED_VALUE"""),"AE")</f>
        <v>AE</v>
      </c>
      <c r="D238" s="1" t="str">
        <f ca="1">IFERROR(__xludf.DUMMYFUNCTION("""COMPUTED_VALUE"""),"17-14")</f>
        <v>17-14</v>
      </c>
      <c r="E238" s="1">
        <f ca="1">IFERROR(__xludf.DUMMYFUNCTION("""COMPUTED_VALUE"""),-5.24)</f>
        <v>-5.24</v>
      </c>
      <c r="F238" s="1">
        <f ca="1">IFERROR(__xludf.DUMMYFUNCTION("""COMPUTED_VALUE"""),94)</f>
        <v>94</v>
      </c>
      <c r="G238" s="1">
        <f ca="1">IFERROR(__xludf.DUMMYFUNCTION("""COMPUTED_VALUE"""),302)</f>
        <v>302</v>
      </c>
      <c r="H238" s="1">
        <f ca="1">IFERROR(__xludf.DUMMYFUNCTION("""COMPUTED_VALUE"""),99.2)</f>
        <v>99.2</v>
      </c>
      <c r="I238" s="1">
        <f ca="1">IFERROR(__xludf.DUMMYFUNCTION("""COMPUTED_VALUE"""),109)</f>
        <v>109</v>
      </c>
      <c r="J238" s="1">
        <f ca="1">IFERROR(__xludf.DUMMYFUNCTION("""COMPUTED_VALUE"""),62.5)</f>
        <v>62.5</v>
      </c>
      <c r="K238" s="1">
        <f ca="1">IFERROR(__xludf.DUMMYFUNCTION("""COMPUTED_VALUE"""),267)</f>
        <v>267</v>
      </c>
      <c r="L238" s="1" t="str">
        <f ca="1">IFERROR(__xludf.DUMMYFUNCTION("""COMPUTED_VALUE"""),"+.080")</f>
        <v>+.080</v>
      </c>
      <c r="M238" s="1">
        <f ca="1">IFERROR(__xludf.DUMMYFUNCTION("""COMPUTED_VALUE"""),21)</f>
        <v>21</v>
      </c>
      <c r="N238" s="1">
        <f ca="1">IFERROR(__xludf.DUMMYFUNCTION("""COMPUTED_VALUE"""),-5.1)</f>
        <v>-5.0999999999999996</v>
      </c>
      <c r="O238" s="1">
        <f ca="1">IFERROR(__xludf.DUMMYFUNCTION("""COMPUTED_VALUE"""),271)</f>
        <v>271</v>
      </c>
      <c r="P238" s="1">
        <f ca="1">IFERROR(__xludf.DUMMYFUNCTION("""COMPUTED_VALUE"""),99.7)</f>
        <v>99.7</v>
      </c>
      <c r="Q238" s="1">
        <f ca="1">IFERROR(__xludf.DUMMYFUNCTION("""COMPUTED_VALUE"""),291)</f>
        <v>291</v>
      </c>
      <c r="R238" s="1">
        <f ca="1">IFERROR(__xludf.DUMMYFUNCTION("""COMPUTED_VALUE"""),104.8)</f>
        <v>104.8</v>
      </c>
      <c r="S238" s="1">
        <f ca="1">IFERROR(__xludf.DUMMYFUNCTION("""COMPUTED_VALUE"""),256)</f>
        <v>256</v>
      </c>
      <c r="T238" s="1">
        <f ca="1">IFERROR(__xludf.DUMMYFUNCTION("""COMPUTED_VALUE"""),-3.66)</f>
        <v>-3.66</v>
      </c>
      <c r="U238" s="1">
        <f ca="1">IFERROR(__xludf.DUMMYFUNCTION("""COMPUTED_VALUE"""),267)</f>
        <v>267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IFERROR(__xludf.DUMMYFUNCTION("""COMPUTED_VALUE"""),"North Carolina A&amp;T16")</f>
        <v>North Carolina A&amp;T16</v>
      </c>
      <c r="C239" s="1" t="str">
        <f ca="1">IFERROR(__xludf.DUMMYFUNCTION("""COMPUTED_VALUE"""),"MEAC")</f>
        <v>MEAC</v>
      </c>
      <c r="D239" s="1" t="str">
        <f ca="1">IFERROR(__xludf.DUMMYFUNCTION("""COMPUTED_VALUE"""),"20-17")</f>
        <v>20-17</v>
      </c>
      <c r="E239" s="1">
        <f ca="1">IFERROR(__xludf.DUMMYFUNCTION("""COMPUTED_VALUE"""),-5.3)</f>
        <v>-5.3</v>
      </c>
      <c r="F239" s="1">
        <f ca="1">IFERROR(__xludf.DUMMYFUNCTION("""COMPUTED_VALUE"""),93.2)</f>
        <v>93.2</v>
      </c>
      <c r="G239" s="1">
        <f ca="1">IFERROR(__xludf.DUMMYFUNCTION("""COMPUTED_VALUE"""),311)</f>
        <v>311</v>
      </c>
      <c r="H239" s="1">
        <f ca="1">IFERROR(__xludf.DUMMYFUNCTION("""COMPUTED_VALUE"""),98.5)</f>
        <v>98.5</v>
      </c>
      <c r="I239" s="1">
        <f ca="1">IFERROR(__xludf.DUMMYFUNCTION("""COMPUTED_VALUE"""),96)</f>
        <v>96</v>
      </c>
      <c r="J239" s="1">
        <f ca="1">IFERROR(__xludf.DUMMYFUNCTION("""COMPUTED_VALUE"""),65.5)</f>
        <v>65.5</v>
      </c>
      <c r="K239" s="1">
        <f ca="1">IFERROR(__xludf.DUMMYFUNCTION("""COMPUTED_VALUE"""),134)</f>
        <v>134</v>
      </c>
      <c r="L239" s="1" t="str">
        <f ca="1">IFERROR(__xludf.DUMMYFUNCTION("""COMPUTED_VALUE"""),"+.037")</f>
        <v>+.037</v>
      </c>
      <c r="M239" s="1">
        <f ca="1">IFERROR(__xludf.DUMMYFUNCTION("""COMPUTED_VALUE"""),90)</f>
        <v>90</v>
      </c>
      <c r="N239" s="1">
        <f ca="1">IFERROR(__xludf.DUMMYFUNCTION("""COMPUTED_VALUE"""),-6.98)</f>
        <v>-6.98</v>
      </c>
      <c r="O239" s="1">
        <f ca="1">IFERROR(__xludf.DUMMYFUNCTION("""COMPUTED_VALUE"""),318)</f>
        <v>318</v>
      </c>
      <c r="P239" s="1">
        <f ca="1">IFERROR(__xludf.DUMMYFUNCTION("""COMPUTED_VALUE"""),97.2)</f>
        <v>97.2</v>
      </c>
      <c r="Q239" s="1">
        <f ca="1">IFERROR(__xludf.DUMMYFUNCTION("""COMPUTED_VALUE"""),329)</f>
        <v>329</v>
      </c>
      <c r="R239" s="1">
        <f ca="1">IFERROR(__xludf.DUMMYFUNCTION("""COMPUTED_VALUE"""),104.2)</f>
        <v>104.2</v>
      </c>
      <c r="S239" s="1">
        <f ca="1">IFERROR(__xludf.DUMMYFUNCTION("""COMPUTED_VALUE"""),229)</f>
        <v>229</v>
      </c>
      <c r="T239" s="1">
        <f ca="1">IFERROR(__xludf.DUMMYFUNCTION("""COMPUTED_VALUE"""),-1.55)</f>
        <v>-1.55</v>
      </c>
      <c r="U239" s="1">
        <f ca="1">IFERROR(__xludf.DUMMYFUNCTION("""COMPUTED_VALUE"""),211)</f>
        <v>211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IFERROR(__xludf.DUMMYFUNCTION("""COMPUTED_VALUE"""),"Sam Houston St.")</f>
        <v>Sam Houston St.</v>
      </c>
      <c r="C240" s="1" t="str">
        <f ca="1">IFERROR(__xludf.DUMMYFUNCTION("""COMPUTED_VALUE"""),"Slnd")</f>
        <v>Slnd</v>
      </c>
      <c r="D240" s="1" t="str">
        <f ca="1">IFERROR(__xludf.DUMMYFUNCTION("""COMPUTED_VALUE"""),"17-17")</f>
        <v>17-17</v>
      </c>
      <c r="E240" s="1">
        <f ca="1">IFERROR(__xludf.DUMMYFUNCTION("""COMPUTED_VALUE"""),-5.46)</f>
        <v>-5.46</v>
      </c>
      <c r="F240" s="1">
        <f ca="1">IFERROR(__xludf.DUMMYFUNCTION("""COMPUTED_VALUE"""),94)</f>
        <v>94</v>
      </c>
      <c r="G240" s="1">
        <f ca="1">IFERROR(__xludf.DUMMYFUNCTION("""COMPUTED_VALUE"""),300)</f>
        <v>300</v>
      </c>
      <c r="H240" s="1">
        <f ca="1">IFERROR(__xludf.DUMMYFUNCTION("""COMPUTED_VALUE"""),99.5)</f>
        <v>99.5</v>
      </c>
      <c r="I240" s="1">
        <f ca="1">IFERROR(__xludf.DUMMYFUNCTION("""COMPUTED_VALUE"""),115)</f>
        <v>115</v>
      </c>
      <c r="J240" s="1">
        <f ca="1">IFERROR(__xludf.DUMMYFUNCTION("""COMPUTED_VALUE"""),61.3)</f>
        <v>61.3</v>
      </c>
      <c r="K240" s="1">
        <f ca="1">IFERROR(__xludf.DUMMYFUNCTION("""COMPUTED_VALUE"""),297)</f>
        <v>297</v>
      </c>
      <c r="L240" s="1">
        <f ca="1">IFERROR(__xludf.DUMMYFUNCTION("""COMPUTED_VALUE"""),-0.019)</f>
        <v>-1.9E-2</v>
      </c>
      <c r="M240" s="1">
        <f ca="1">IFERROR(__xludf.DUMMYFUNCTION("""COMPUTED_VALUE"""),235)</f>
        <v>235</v>
      </c>
      <c r="N240" s="1">
        <f ca="1">IFERROR(__xludf.DUMMYFUNCTION("""COMPUTED_VALUE"""),-5.68)</f>
        <v>-5.68</v>
      </c>
      <c r="O240" s="1">
        <f ca="1">IFERROR(__xludf.DUMMYFUNCTION("""COMPUTED_VALUE"""),292)</f>
        <v>292</v>
      </c>
      <c r="P240" s="1">
        <f ca="1">IFERROR(__xludf.DUMMYFUNCTION("""COMPUTED_VALUE"""),100)</f>
        <v>100</v>
      </c>
      <c r="Q240" s="1">
        <f ca="1">IFERROR(__xludf.DUMMYFUNCTION("""COMPUTED_VALUE"""),279)</f>
        <v>279</v>
      </c>
      <c r="R240" s="1">
        <f ca="1">IFERROR(__xludf.DUMMYFUNCTION("""COMPUTED_VALUE"""),105.6)</f>
        <v>105.6</v>
      </c>
      <c r="S240" s="1">
        <f ca="1">IFERROR(__xludf.DUMMYFUNCTION("""COMPUTED_VALUE"""),300)</f>
        <v>300</v>
      </c>
      <c r="T240" s="1">
        <f ca="1">IFERROR(__xludf.DUMMYFUNCTION("""COMPUTED_VALUE"""),-0.04)</f>
        <v>-0.04</v>
      </c>
      <c r="U240" s="1">
        <f ca="1">IFERROR(__xludf.DUMMYFUNCTION("""COMPUTED_VALUE"""),156)</f>
        <v>156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IFERROR(__xludf.DUMMYFUNCTION("""COMPUTED_VALUE"""),"Louisiana Lafayette")</f>
        <v>Louisiana Lafayette</v>
      </c>
      <c r="C241" s="1" t="str">
        <f ca="1">IFERROR(__xludf.DUMMYFUNCTION("""COMPUTED_VALUE"""),"SB")</f>
        <v>SB</v>
      </c>
      <c r="D241" s="1" t="str">
        <f ca="1">IFERROR(__xludf.DUMMYFUNCTION("""COMPUTED_VALUE"""),"13-20")</f>
        <v>13-20</v>
      </c>
      <c r="E241" s="1">
        <f ca="1">IFERROR(__xludf.DUMMYFUNCTION("""COMPUTED_VALUE"""),-5.73)</f>
        <v>-5.73</v>
      </c>
      <c r="F241" s="1">
        <f ca="1">IFERROR(__xludf.DUMMYFUNCTION("""COMPUTED_VALUE"""),100.6)</f>
        <v>100.6</v>
      </c>
      <c r="G241" s="1">
        <f ca="1">IFERROR(__xludf.DUMMYFUNCTION("""COMPUTED_VALUE"""),208)</f>
        <v>208</v>
      </c>
      <c r="H241" s="1">
        <f ca="1">IFERROR(__xludf.DUMMYFUNCTION("""COMPUTED_VALUE"""),106.4)</f>
        <v>106.4</v>
      </c>
      <c r="I241" s="1">
        <f ca="1">IFERROR(__xludf.DUMMYFUNCTION("""COMPUTED_VALUE"""),251)</f>
        <v>251</v>
      </c>
      <c r="J241" s="1">
        <f ca="1">IFERROR(__xludf.DUMMYFUNCTION("""COMPUTED_VALUE"""),68.6)</f>
        <v>68.599999999999994</v>
      </c>
      <c r="K241" s="1">
        <f ca="1">IFERROR(__xludf.DUMMYFUNCTION("""COMPUTED_VALUE"""),27)</f>
        <v>27</v>
      </c>
      <c r="L241" s="1">
        <f ca="1">IFERROR(__xludf.DUMMYFUNCTION("""COMPUTED_VALUE"""),-0.047)</f>
        <v>-4.7E-2</v>
      </c>
      <c r="M241" s="1">
        <f ca="1">IFERROR(__xludf.DUMMYFUNCTION("""COMPUTED_VALUE"""),289)</f>
        <v>289</v>
      </c>
      <c r="N241" s="1">
        <f ca="1">IFERROR(__xludf.DUMMYFUNCTION("""COMPUTED_VALUE"""),-2.68)</f>
        <v>-2.68</v>
      </c>
      <c r="O241" s="1">
        <f ca="1">IFERROR(__xludf.DUMMYFUNCTION("""COMPUTED_VALUE"""),210)</f>
        <v>210</v>
      </c>
      <c r="P241" s="1">
        <f ca="1">IFERROR(__xludf.DUMMYFUNCTION("""COMPUTED_VALUE"""),100.8)</f>
        <v>100.8</v>
      </c>
      <c r="Q241" s="1">
        <f ca="1">IFERROR(__xludf.DUMMYFUNCTION("""COMPUTED_VALUE"""),241)</f>
        <v>241</v>
      </c>
      <c r="R241" s="1">
        <f ca="1">IFERROR(__xludf.DUMMYFUNCTION("""COMPUTED_VALUE"""),103.4)</f>
        <v>103.4</v>
      </c>
      <c r="S241" s="1">
        <f ca="1">IFERROR(__xludf.DUMMYFUNCTION("""COMPUTED_VALUE"""),190)</f>
        <v>190</v>
      </c>
      <c r="T241" s="1" t="str">
        <f ca="1">IFERROR(__xludf.DUMMYFUNCTION("""COMPUTED_VALUE"""),"+0.38")</f>
        <v>+0.38</v>
      </c>
      <c r="U241" s="1">
        <f ca="1">IFERROR(__xludf.DUMMYFUNCTION("""COMPUTED_VALUE"""),140)</f>
        <v>140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IFERROR(__xludf.DUMMYFUNCTION("""COMPUTED_VALUE"""),"Seattle")</f>
        <v>Seattle</v>
      </c>
      <c r="C242" s="1" t="str">
        <f ca="1">IFERROR(__xludf.DUMMYFUNCTION("""COMPUTED_VALUE"""),"WAC")</f>
        <v>WAC</v>
      </c>
      <c r="D242" s="2">
        <f ca="1">IFERROR(__xludf.DUMMYFUNCTION("""COMPUTED_VALUE"""),44795)</f>
        <v>44795</v>
      </c>
      <c r="E242" s="1">
        <f ca="1">IFERROR(__xludf.DUMMYFUNCTION("""COMPUTED_VALUE"""),-5.73)</f>
        <v>-5.73</v>
      </c>
      <c r="F242" s="1">
        <f ca="1">IFERROR(__xludf.DUMMYFUNCTION("""COMPUTED_VALUE"""),94)</f>
        <v>94</v>
      </c>
      <c r="G242" s="1">
        <f ca="1">IFERROR(__xludf.DUMMYFUNCTION("""COMPUTED_VALUE"""),304)</f>
        <v>304</v>
      </c>
      <c r="H242" s="1">
        <f ca="1">IFERROR(__xludf.DUMMYFUNCTION("""COMPUTED_VALUE"""),99.7)</f>
        <v>99.7</v>
      </c>
      <c r="I242" s="1">
        <f ca="1">IFERROR(__xludf.DUMMYFUNCTION("""COMPUTED_VALUE"""),120)</f>
        <v>120</v>
      </c>
      <c r="J242" s="1">
        <f ca="1">IFERROR(__xludf.DUMMYFUNCTION("""COMPUTED_VALUE"""),68.2)</f>
        <v>68.2</v>
      </c>
      <c r="K242" s="1">
        <f ca="1">IFERROR(__xludf.DUMMYFUNCTION("""COMPUTED_VALUE"""),32)</f>
        <v>32</v>
      </c>
      <c r="L242" s="1">
        <f ca="1">IFERROR(__xludf.DUMMYFUNCTION("""COMPUTED_VALUE"""),-0.173)</f>
        <v>-0.17299999999999999</v>
      </c>
      <c r="M242" s="1">
        <f ca="1">IFERROR(__xludf.DUMMYFUNCTION("""COMPUTED_VALUE"""),347)</f>
        <v>347</v>
      </c>
      <c r="N242" s="1">
        <f ca="1">IFERROR(__xludf.DUMMYFUNCTION("""COMPUTED_VALUE"""),-2.53)</f>
        <v>-2.5299999999999998</v>
      </c>
      <c r="O242" s="1">
        <f ca="1">IFERROR(__xludf.DUMMYFUNCTION("""COMPUTED_VALUE"""),203)</f>
        <v>203</v>
      </c>
      <c r="P242" s="1">
        <f ca="1">IFERROR(__xludf.DUMMYFUNCTION("""COMPUTED_VALUE"""),101.6)</f>
        <v>101.6</v>
      </c>
      <c r="Q242" s="1">
        <f ca="1">IFERROR(__xludf.DUMMYFUNCTION("""COMPUTED_VALUE"""),200)</f>
        <v>200</v>
      </c>
      <c r="R242" s="1">
        <f ca="1">IFERROR(__xludf.DUMMYFUNCTION("""COMPUTED_VALUE"""),104.1)</f>
        <v>104.1</v>
      </c>
      <c r="S242" s="1">
        <f ca="1">IFERROR(__xludf.DUMMYFUNCTION("""COMPUTED_VALUE"""),224)</f>
        <v>224</v>
      </c>
      <c r="T242" s="1">
        <f ca="1">IFERROR(__xludf.DUMMYFUNCTION("""COMPUTED_VALUE"""),-6.31)</f>
        <v>-6.31</v>
      </c>
      <c r="U242" s="1">
        <f ca="1">IFERROR(__xludf.DUMMYFUNCTION("""COMPUTED_VALUE"""),313)</f>
        <v>313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IFERROR(__xludf.DUMMYFUNCTION("""COMPUTED_VALUE"""),"Coastal Carolina")</f>
        <v>Coastal Carolina</v>
      </c>
      <c r="C243" s="1" t="str">
        <f ca="1">IFERROR(__xludf.DUMMYFUNCTION("""COMPUTED_VALUE"""),"BSth")</f>
        <v>BSth</v>
      </c>
      <c r="D243" s="1" t="str">
        <f ca="1">IFERROR(__xludf.DUMMYFUNCTION("""COMPUTED_VALUE"""),"14-15")</f>
        <v>14-15</v>
      </c>
      <c r="E243" s="1">
        <f ca="1">IFERROR(__xludf.DUMMYFUNCTION("""COMPUTED_VALUE"""),-5.83)</f>
        <v>-5.83</v>
      </c>
      <c r="F243" s="1">
        <f ca="1">IFERROR(__xludf.DUMMYFUNCTION("""COMPUTED_VALUE"""),97.8)</f>
        <v>97.8</v>
      </c>
      <c r="G243" s="1">
        <f ca="1">IFERROR(__xludf.DUMMYFUNCTION("""COMPUTED_VALUE"""),260)</f>
        <v>260</v>
      </c>
      <c r="H243" s="1">
        <f ca="1">IFERROR(__xludf.DUMMYFUNCTION("""COMPUTED_VALUE"""),103.6)</f>
        <v>103.6</v>
      </c>
      <c r="I243" s="1">
        <f ca="1">IFERROR(__xludf.DUMMYFUNCTION("""COMPUTED_VALUE"""),189)</f>
        <v>189</v>
      </c>
      <c r="J243" s="1">
        <f ca="1">IFERROR(__xludf.DUMMYFUNCTION("""COMPUTED_VALUE"""),63.8)</f>
        <v>63.8</v>
      </c>
      <c r="K243" s="1">
        <f ca="1">IFERROR(__xludf.DUMMYFUNCTION("""COMPUTED_VALUE"""),209)</f>
        <v>209</v>
      </c>
      <c r="L243" s="1">
        <f ca="1">IFERROR(__xludf.DUMMYFUNCTION("""COMPUTED_VALUE"""),-0.074)</f>
        <v>-7.3999999999999996E-2</v>
      </c>
      <c r="M243" s="1">
        <f ca="1">IFERROR(__xludf.DUMMYFUNCTION("""COMPUTED_VALUE"""),322)</f>
        <v>322</v>
      </c>
      <c r="N243" s="1">
        <f ca="1">IFERROR(__xludf.DUMMYFUNCTION("""COMPUTED_VALUE"""),-6.18)</f>
        <v>-6.18</v>
      </c>
      <c r="O243" s="1">
        <f ca="1">IFERROR(__xludf.DUMMYFUNCTION("""COMPUTED_VALUE"""),301)</f>
        <v>301</v>
      </c>
      <c r="P243" s="1">
        <f ca="1">IFERROR(__xludf.DUMMYFUNCTION("""COMPUTED_VALUE"""),99.9)</f>
        <v>99.9</v>
      </c>
      <c r="Q243" s="1">
        <f ca="1">IFERROR(__xludf.DUMMYFUNCTION("""COMPUTED_VALUE"""),284)</f>
        <v>284</v>
      </c>
      <c r="R243" s="1">
        <f ca="1">IFERROR(__xludf.DUMMYFUNCTION("""COMPUTED_VALUE"""),106.1)</f>
        <v>106.1</v>
      </c>
      <c r="S243" s="1">
        <f ca="1">IFERROR(__xludf.DUMMYFUNCTION("""COMPUTED_VALUE"""),316)</f>
        <v>316</v>
      </c>
      <c r="T243" s="1" t="str">
        <f ca="1">IFERROR(__xludf.DUMMYFUNCTION("""COMPUTED_VALUE"""),"+1.87")</f>
        <v>+1.87</v>
      </c>
      <c r="U243" s="1">
        <f ca="1">IFERROR(__xludf.DUMMYFUNCTION("""COMPUTED_VALUE"""),108)</f>
        <v>108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IFERROR(__xludf.DUMMYFUNCTION("""COMPUTED_VALUE"""),"Brown")</f>
        <v>Brown</v>
      </c>
      <c r="C244" s="1" t="str">
        <f ca="1">IFERROR(__xludf.DUMMYFUNCTION("""COMPUTED_VALUE"""),"Ivy")</f>
        <v>Ivy</v>
      </c>
      <c r="D244" s="1" t="str">
        <f ca="1">IFERROR(__xludf.DUMMYFUNCTION("""COMPUTED_VALUE"""),"13-15")</f>
        <v>13-15</v>
      </c>
      <c r="E244" s="1">
        <f ca="1">IFERROR(__xludf.DUMMYFUNCTION("""COMPUTED_VALUE"""),-5.94)</f>
        <v>-5.94</v>
      </c>
      <c r="F244" s="1">
        <f ca="1">IFERROR(__xludf.DUMMYFUNCTION("""COMPUTED_VALUE"""),95.8)</f>
        <v>95.8</v>
      </c>
      <c r="G244" s="1">
        <f ca="1">IFERROR(__xludf.DUMMYFUNCTION("""COMPUTED_VALUE"""),287)</f>
        <v>287</v>
      </c>
      <c r="H244" s="1">
        <f ca="1">IFERROR(__xludf.DUMMYFUNCTION("""COMPUTED_VALUE"""),101.7)</f>
        <v>101.7</v>
      </c>
      <c r="I244" s="1">
        <f ca="1">IFERROR(__xludf.DUMMYFUNCTION("""COMPUTED_VALUE"""),152)</f>
        <v>152</v>
      </c>
      <c r="J244" s="1">
        <f ca="1">IFERROR(__xludf.DUMMYFUNCTION("""COMPUTED_VALUE"""),63.3)</f>
        <v>63.3</v>
      </c>
      <c r="K244" s="1">
        <f ca="1">IFERROR(__xludf.DUMMYFUNCTION("""COMPUTED_VALUE"""),231)</f>
        <v>231</v>
      </c>
      <c r="L244" s="1" t="str">
        <f ca="1">IFERROR(__xludf.DUMMYFUNCTION("""COMPUTED_VALUE"""),"+.042")</f>
        <v>+.042</v>
      </c>
      <c r="M244" s="1">
        <f ca="1">IFERROR(__xludf.DUMMYFUNCTION("""COMPUTED_VALUE"""),72)</f>
        <v>72</v>
      </c>
      <c r="N244" s="1">
        <f ca="1">IFERROR(__xludf.DUMMYFUNCTION("""COMPUTED_VALUE"""),-2.88)</f>
        <v>-2.88</v>
      </c>
      <c r="O244" s="1">
        <f ca="1">IFERROR(__xludf.DUMMYFUNCTION("""COMPUTED_VALUE"""),215)</f>
        <v>215</v>
      </c>
      <c r="P244" s="1">
        <f ca="1">IFERROR(__xludf.DUMMYFUNCTION("""COMPUTED_VALUE"""),101.8)</f>
        <v>101.8</v>
      </c>
      <c r="Q244" s="1">
        <f ca="1">IFERROR(__xludf.DUMMYFUNCTION("""COMPUTED_VALUE"""),185)</f>
        <v>185</v>
      </c>
      <c r="R244" s="1">
        <f ca="1">IFERROR(__xludf.DUMMYFUNCTION("""COMPUTED_VALUE"""),104.7)</f>
        <v>104.7</v>
      </c>
      <c r="S244" s="1">
        <f ca="1">IFERROR(__xludf.DUMMYFUNCTION("""COMPUTED_VALUE"""),251)</f>
        <v>251</v>
      </c>
      <c r="T244" s="1">
        <f ca="1">IFERROR(__xludf.DUMMYFUNCTION("""COMPUTED_VALUE"""),-2.26)</f>
        <v>-2.2599999999999998</v>
      </c>
      <c r="U244" s="1">
        <f ca="1">IFERROR(__xludf.DUMMYFUNCTION("""COMPUTED_VALUE"""),234)</f>
        <v>234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IFERROR(__xludf.DUMMYFUNCTION("""COMPUTED_VALUE"""),"Eastern Michigan")</f>
        <v>Eastern Michigan</v>
      </c>
      <c r="C245" s="1" t="str">
        <f ca="1">IFERROR(__xludf.DUMMYFUNCTION("""COMPUTED_VALUE"""),"MAC")</f>
        <v>MAC</v>
      </c>
      <c r="D245" s="1" t="str">
        <f ca="1">IFERROR(__xludf.DUMMYFUNCTION("""COMPUTED_VALUE"""),"16-18")</f>
        <v>16-18</v>
      </c>
      <c r="E245" s="1">
        <f ca="1">IFERROR(__xludf.DUMMYFUNCTION("""COMPUTED_VALUE"""),-5.94)</f>
        <v>-5.94</v>
      </c>
      <c r="F245" s="1">
        <f ca="1">IFERROR(__xludf.DUMMYFUNCTION("""COMPUTED_VALUE"""),93)</f>
        <v>93</v>
      </c>
      <c r="G245" s="1">
        <f ca="1">IFERROR(__xludf.DUMMYFUNCTION("""COMPUTED_VALUE"""),312)</f>
        <v>312</v>
      </c>
      <c r="H245" s="1">
        <f ca="1">IFERROR(__xludf.DUMMYFUNCTION("""COMPUTED_VALUE"""),99)</f>
        <v>99</v>
      </c>
      <c r="I245" s="1">
        <f ca="1">IFERROR(__xludf.DUMMYFUNCTION("""COMPUTED_VALUE"""),105)</f>
        <v>105</v>
      </c>
      <c r="J245" s="1">
        <f ca="1">IFERROR(__xludf.DUMMYFUNCTION("""COMPUTED_VALUE"""),58.9)</f>
        <v>58.9</v>
      </c>
      <c r="K245" s="1">
        <f ca="1">IFERROR(__xludf.DUMMYFUNCTION("""COMPUTED_VALUE"""),339)</f>
        <v>339</v>
      </c>
      <c r="L245" s="1" t="str">
        <f ca="1">IFERROR(__xludf.DUMMYFUNCTION("""COMPUTED_VALUE"""),"+.017")</f>
        <v>+.017</v>
      </c>
      <c r="M245" s="1">
        <f ca="1">IFERROR(__xludf.DUMMYFUNCTION("""COMPUTED_VALUE"""),139)</f>
        <v>139</v>
      </c>
      <c r="N245" s="1">
        <f ca="1">IFERROR(__xludf.DUMMYFUNCTION("""COMPUTED_VALUE"""),-2.33)</f>
        <v>-2.33</v>
      </c>
      <c r="O245" s="1">
        <f ca="1">IFERROR(__xludf.DUMMYFUNCTION("""COMPUTED_VALUE"""),192)</f>
        <v>192</v>
      </c>
      <c r="P245" s="1">
        <f ca="1">IFERROR(__xludf.DUMMYFUNCTION("""COMPUTED_VALUE"""),101.4)</f>
        <v>101.4</v>
      </c>
      <c r="Q245" s="1">
        <f ca="1">IFERROR(__xludf.DUMMYFUNCTION("""COMPUTED_VALUE"""),211)</f>
        <v>211</v>
      </c>
      <c r="R245" s="1">
        <f ca="1">IFERROR(__xludf.DUMMYFUNCTION("""COMPUTED_VALUE"""),103.8)</f>
        <v>103.8</v>
      </c>
      <c r="S245" s="1">
        <f ca="1">IFERROR(__xludf.DUMMYFUNCTION("""COMPUTED_VALUE"""),202)</f>
        <v>202</v>
      </c>
      <c r="T245" s="1" t="str">
        <f ca="1">IFERROR(__xludf.DUMMYFUNCTION("""COMPUTED_VALUE"""),"+2.07")</f>
        <v>+2.07</v>
      </c>
      <c r="U245" s="1">
        <f ca="1">IFERROR(__xludf.DUMMYFUNCTION("""COMPUTED_VALUE"""),102)</f>
        <v>102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IFERROR(__xludf.DUMMYFUNCTION("""COMPUTED_VALUE"""),"Stetson")</f>
        <v>Stetson</v>
      </c>
      <c r="C246" s="1" t="str">
        <f ca="1">IFERROR(__xludf.DUMMYFUNCTION("""COMPUTED_VALUE"""),"ASun")</f>
        <v>ASun</v>
      </c>
      <c r="D246" s="1" t="str">
        <f ca="1">IFERROR(__xludf.DUMMYFUNCTION("""COMPUTED_VALUE"""),"15-16")</f>
        <v>15-16</v>
      </c>
      <c r="E246" s="1">
        <f ca="1">IFERROR(__xludf.DUMMYFUNCTION("""COMPUTED_VALUE"""),-5.95)</f>
        <v>-5.95</v>
      </c>
      <c r="F246" s="1">
        <f ca="1">IFERROR(__xludf.DUMMYFUNCTION("""COMPUTED_VALUE"""),101.2)</f>
        <v>101.2</v>
      </c>
      <c r="G246" s="1">
        <f ca="1">IFERROR(__xludf.DUMMYFUNCTION("""COMPUTED_VALUE"""),197)</f>
        <v>197</v>
      </c>
      <c r="H246" s="1">
        <f ca="1">IFERROR(__xludf.DUMMYFUNCTION("""COMPUTED_VALUE"""),107.2)</f>
        <v>107.2</v>
      </c>
      <c r="I246" s="1">
        <f ca="1">IFERROR(__xludf.DUMMYFUNCTION("""COMPUTED_VALUE"""),261)</f>
        <v>261</v>
      </c>
      <c r="J246" s="1">
        <f ca="1">IFERROR(__xludf.DUMMYFUNCTION("""COMPUTED_VALUE"""),67.3)</f>
        <v>67.3</v>
      </c>
      <c r="K246" s="1">
        <f ca="1">IFERROR(__xludf.DUMMYFUNCTION("""COMPUTED_VALUE"""),55)</f>
        <v>55</v>
      </c>
      <c r="L246" s="1" t="str">
        <f ca="1">IFERROR(__xludf.DUMMYFUNCTION("""COMPUTED_VALUE"""),"+.016")</f>
        <v>+.016</v>
      </c>
      <c r="M246" s="1">
        <f ca="1">IFERROR(__xludf.DUMMYFUNCTION("""COMPUTED_VALUE"""),140)</f>
        <v>140</v>
      </c>
      <c r="N246" s="1">
        <f ca="1">IFERROR(__xludf.DUMMYFUNCTION("""COMPUTED_VALUE"""),-5.29)</f>
        <v>-5.29</v>
      </c>
      <c r="O246" s="1">
        <f ca="1">IFERROR(__xludf.DUMMYFUNCTION("""COMPUTED_VALUE"""),280)</f>
        <v>280</v>
      </c>
      <c r="P246" s="1">
        <f ca="1">IFERROR(__xludf.DUMMYFUNCTION("""COMPUTED_VALUE"""),100.2)</f>
        <v>100.2</v>
      </c>
      <c r="Q246" s="1">
        <f ca="1">IFERROR(__xludf.DUMMYFUNCTION("""COMPUTED_VALUE"""),273)</f>
        <v>273</v>
      </c>
      <c r="R246" s="1">
        <f ca="1">IFERROR(__xludf.DUMMYFUNCTION("""COMPUTED_VALUE"""),105.5)</f>
        <v>105.5</v>
      </c>
      <c r="S246" s="1">
        <f ca="1">IFERROR(__xludf.DUMMYFUNCTION("""COMPUTED_VALUE"""),287)</f>
        <v>287</v>
      </c>
      <c r="T246" s="1" t="str">
        <f ca="1">IFERROR(__xludf.DUMMYFUNCTION("""COMPUTED_VALUE"""),"+1.28")</f>
        <v>+1.28</v>
      </c>
      <c r="U246" s="1">
        <f ca="1">IFERROR(__xludf.DUMMYFUNCTION("""COMPUTED_VALUE"""),123)</f>
        <v>123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IFERROR(__xludf.DUMMYFUNCTION("""COMPUTED_VALUE"""),"Florida Atlantic")</f>
        <v>Florida Atlantic</v>
      </c>
      <c r="C247" s="1" t="str">
        <f ca="1">IFERROR(__xludf.DUMMYFUNCTION("""COMPUTED_VALUE"""),"SB")</f>
        <v>SB</v>
      </c>
      <c r="D247" s="1" t="str">
        <f ca="1">IFERROR(__xludf.DUMMYFUNCTION("""COMPUTED_VALUE"""),"14-18")</f>
        <v>14-18</v>
      </c>
      <c r="E247" s="1">
        <f ca="1">IFERROR(__xludf.DUMMYFUNCTION("""COMPUTED_VALUE"""),-6.11)</f>
        <v>-6.11</v>
      </c>
      <c r="F247" s="1">
        <f ca="1">IFERROR(__xludf.DUMMYFUNCTION("""COMPUTED_VALUE"""),99.5)</f>
        <v>99.5</v>
      </c>
      <c r="G247" s="1">
        <f ca="1">IFERROR(__xludf.DUMMYFUNCTION("""COMPUTED_VALUE"""),225)</f>
        <v>225</v>
      </c>
      <c r="H247" s="1">
        <f ca="1">IFERROR(__xludf.DUMMYFUNCTION("""COMPUTED_VALUE"""),105.7)</f>
        <v>105.7</v>
      </c>
      <c r="I247" s="1">
        <f ca="1">IFERROR(__xludf.DUMMYFUNCTION("""COMPUTED_VALUE"""),239)</f>
        <v>239</v>
      </c>
      <c r="J247" s="1">
        <f ca="1">IFERROR(__xludf.DUMMYFUNCTION("""COMPUTED_VALUE"""),63.8)</f>
        <v>63.8</v>
      </c>
      <c r="K247" s="1">
        <f ca="1">IFERROR(__xludf.DUMMYFUNCTION("""COMPUTED_VALUE"""),207)</f>
        <v>207</v>
      </c>
      <c r="L247" s="1" t="str">
        <f ca="1">IFERROR(__xludf.DUMMYFUNCTION("""COMPUTED_VALUE"""),"+.012")</f>
        <v>+.012</v>
      </c>
      <c r="M247" s="1">
        <f ca="1">IFERROR(__xludf.DUMMYFUNCTION("""COMPUTED_VALUE"""),147)</f>
        <v>147</v>
      </c>
      <c r="N247" s="1">
        <f ca="1">IFERROR(__xludf.DUMMYFUNCTION("""COMPUTED_VALUE"""),-3.61)</f>
        <v>-3.61</v>
      </c>
      <c r="O247" s="1">
        <f ca="1">IFERROR(__xludf.DUMMYFUNCTION("""COMPUTED_VALUE"""),237)</f>
        <v>237</v>
      </c>
      <c r="P247" s="1">
        <f ca="1">IFERROR(__xludf.DUMMYFUNCTION("""COMPUTED_VALUE"""),99.9)</f>
        <v>99.9</v>
      </c>
      <c r="Q247" s="1">
        <f ca="1">IFERROR(__xludf.DUMMYFUNCTION("""COMPUTED_VALUE"""),281)</f>
        <v>281</v>
      </c>
      <c r="R247" s="1">
        <f ca="1">IFERROR(__xludf.DUMMYFUNCTION("""COMPUTED_VALUE"""),103.6)</f>
        <v>103.6</v>
      </c>
      <c r="S247" s="1">
        <f ca="1">IFERROR(__xludf.DUMMYFUNCTION("""COMPUTED_VALUE"""),194)</f>
        <v>194</v>
      </c>
      <c r="T247" s="1">
        <f ca="1">IFERROR(__xludf.DUMMYFUNCTION("""COMPUTED_VALUE"""),-0.82)</f>
        <v>-0.82</v>
      </c>
      <c r="U247" s="1">
        <f ca="1">IFERROR(__xludf.DUMMYFUNCTION("""COMPUTED_VALUE"""),186)</f>
        <v>186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IFERROR(__xludf.DUMMYFUNCTION("""COMPUTED_VALUE"""),"Holy Cross")</f>
        <v>Holy Cross</v>
      </c>
      <c r="C248" s="1" t="str">
        <f ca="1">IFERROR(__xludf.DUMMYFUNCTION("""COMPUTED_VALUE"""),"Pat")</f>
        <v>Pat</v>
      </c>
      <c r="D248" s="2">
        <f ca="1">IFERROR(__xludf.DUMMYFUNCTION("""COMPUTED_VALUE"""),44913)</f>
        <v>44913</v>
      </c>
      <c r="E248" s="1">
        <f ca="1">IFERROR(__xludf.DUMMYFUNCTION("""COMPUTED_VALUE"""),-6.48)</f>
        <v>-6.48</v>
      </c>
      <c r="F248" s="1">
        <f ca="1">IFERROR(__xludf.DUMMYFUNCTION("""COMPUTED_VALUE"""),99)</f>
        <v>99</v>
      </c>
      <c r="G248" s="1">
        <f ca="1">IFERROR(__xludf.DUMMYFUNCTION("""COMPUTED_VALUE"""),235)</f>
        <v>235</v>
      </c>
      <c r="H248" s="1">
        <f ca="1">IFERROR(__xludf.DUMMYFUNCTION("""COMPUTED_VALUE"""),105.5)</f>
        <v>105.5</v>
      </c>
      <c r="I248" s="1">
        <f ca="1">IFERROR(__xludf.DUMMYFUNCTION("""COMPUTED_VALUE"""),235)</f>
        <v>235</v>
      </c>
      <c r="J248" s="1">
        <f ca="1">IFERROR(__xludf.DUMMYFUNCTION("""COMPUTED_VALUE"""),61.5)</f>
        <v>61.5</v>
      </c>
      <c r="K248" s="1">
        <f ca="1">IFERROR(__xludf.DUMMYFUNCTION("""COMPUTED_VALUE"""),293)</f>
        <v>293</v>
      </c>
      <c r="L248" s="1" t="str">
        <f ca="1">IFERROR(__xludf.DUMMYFUNCTION("""COMPUTED_VALUE"""),"+.002")</f>
        <v>+.002</v>
      </c>
      <c r="M248" s="1">
        <f ca="1">IFERROR(__xludf.DUMMYFUNCTION("""COMPUTED_VALUE"""),170)</f>
        <v>170</v>
      </c>
      <c r="N248" s="1">
        <f ca="1">IFERROR(__xludf.DUMMYFUNCTION("""COMPUTED_VALUE"""),-2.15)</f>
        <v>-2.15</v>
      </c>
      <c r="O248" s="1">
        <f ca="1">IFERROR(__xludf.DUMMYFUNCTION("""COMPUTED_VALUE"""),187)</f>
        <v>187</v>
      </c>
      <c r="P248" s="1">
        <f ca="1">IFERROR(__xludf.DUMMYFUNCTION("""COMPUTED_VALUE"""),101.8)</f>
        <v>101.8</v>
      </c>
      <c r="Q248" s="1">
        <f ca="1">IFERROR(__xludf.DUMMYFUNCTION("""COMPUTED_VALUE"""),189)</f>
        <v>189</v>
      </c>
      <c r="R248" s="1">
        <f ca="1">IFERROR(__xludf.DUMMYFUNCTION("""COMPUTED_VALUE"""),103.9)</f>
        <v>103.9</v>
      </c>
      <c r="S248" s="1">
        <f ca="1">IFERROR(__xludf.DUMMYFUNCTION("""COMPUTED_VALUE"""),215)</f>
        <v>215</v>
      </c>
      <c r="T248" s="1">
        <f ca="1">IFERROR(__xludf.DUMMYFUNCTION("""COMPUTED_VALUE"""),-2.17)</f>
        <v>-2.17</v>
      </c>
      <c r="U248" s="1">
        <f ca="1">IFERROR(__xludf.DUMMYFUNCTION("""COMPUTED_VALUE"""),231)</f>
        <v>231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IFERROR(__xludf.DUMMYFUNCTION("""COMPUTED_VALUE"""),"Cal St. Bakersfield")</f>
        <v>Cal St. Bakersfield</v>
      </c>
      <c r="C249" s="1" t="str">
        <f ca="1">IFERROR(__xludf.DUMMYFUNCTION("""COMPUTED_VALUE"""),"ind")</f>
        <v>ind</v>
      </c>
      <c r="D249" s="1" t="str">
        <f ca="1">IFERROR(__xludf.DUMMYFUNCTION("""COMPUTED_VALUE"""),"14-16")</f>
        <v>14-16</v>
      </c>
      <c r="E249" s="1">
        <f ca="1">IFERROR(__xludf.DUMMYFUNCTION("""COMPUTED_VALUE"""),-6.52)</f>
        <v>-6.52</v>
      </c>
      <c r="F249" s="1">
        <f ca="1">IFERROR(__xludf.DUMMYFUNCTION("""COMPUTED_VALUE"""),98.3)</f>
        <v>98.3</v>
      </c>
      <c r="G249" s="1">
        <f ca="1">IFERROR(__xludf.DUMMYFUNCTION("""COMPUTED_VALUE"""),251)</f>
        <v>251</v>
      </c>
      <c r="H249" s="1">
        <f ca="1">IFERROR(__xludf.DUMMYFUNCTION("""COMPUTED_VALUE"""),104.8)</f>
        <v>104.8</v>
      </c>
      <c r="I249" s="1">
        <f ca="1">IFERROR(__xludf.DUMMYFUNCTION("""COMPUTED_VALUE"""),215)</f>
        <v>215</v>
      </c>
      <c r="J249" s="1">
        <f ca="1">IFERROR(__xludf.DUMMYFUNCTION("""COMPUTED_VALUE"""),64.5)</f>
        <v>64.5</v>
      </c>
      <c r="K249" s="1">
        <f ca="1">IFERROR(__xludf.DUMMYFUNCTION("""COMPUTED_VALUE"""),182)</f>
        <v>182</v>
      </c>
      <c r="L249" s="1" t="str">
        <f ca="1">IFERROR(__xludf.DUMMYFUNCTION("""COMPUTED_VALUE"""),"+.006")</f>
        <v>+.006</v>
      </c>
      <c r="M249" s="1">
        <f ca="1">IFERROR(__xludf.DUMMYFUNCTION("""COMPUTED_VALUE"""),159)</f>
        <v>159</v>
      </c>
      <c r="N249" s="1">
        <f ca="1">IFERROR(__xludf.DUMMYFUNCTION("""COMPUTED_VALUE"""),-1.59)</f>
        <v>-1.59</v>
      </c>
      <c r="O249" s="1">
        <f ca="1">IFERROR(__xludf.DUMMYFUNCTION("""COMPUTED_VALUE"""),174)</f>
        <v>174</v>
      </c>
      <c r="P249" s="1">
        <f ca="1">IFERROR(__xludf.DUMMYFUNCTION("""COMPUTED_VALUE"""),102.2)</f>
        <v>102.2</v>
      </c>
      <c r="Q249" s="1">
        <f ca="1">IFERROR(__xludf.DUMMYFUNCTION("""COMPUTED_VALUE"""),169)</f>
        <v>169</v>
      </c>
      <c r="R249" s="1">
        <f ca="1">IFERROR(__xludf.DUMMYFUNCTION("""COMPUTED_VALUE"""),103.8)</f>
        <v>103.8</v>
      </c>
      <c r="S249" s="1">
        <f ca="1">IFERROR(__xludf.DUMMYFUNCTION("""COMPUTED_VALUE"""),207)</f>
        <v>207</v>
      </c>
      <c r="T249" s="1">
        <f ca="1">IFERROR(__xludf.DUMMYFUNCTION("""COMPUTED_VALUE"""),-1.59)</f>
        <v>-1.59</v>
      </c>
      <c r="U249" s="1">
        <f ca="1">IFERROR(__xludf.DUMMYFUNCTION("""COMPUTED_VALUE"""),214)</f>
        <v>214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IFERROR(__xludf.DUMMYFUNCTION("""COMPUTED_VALUE"""),"Marist")</f>
        <v>Marist</v>
      </c>
      <c r="C250" s="1" t="str">
        <f ca="1">IFERROR(__xludf.DUMMYFUNCTION("""COMPUTED_VALUE"""),"MAAC")</f>
        <v>MAAC</v>
      </c>
      <c r="D250" s="2">
        <f ca="1">IFERROR(__xludf.DUMMYFUNCTION("""COMPUTED_VALUE"""),44855)</f>
        <v>44855</v>
      </c>
      <c r="E250" s="1">
        <f ca="1">IFERROR(__xludf.DUMMYFUNCTION("""COMPUTED_VALUE"""),-6.6)</f>
        <v>-6.6</v>
      </c>
      <c r="F250" s="1">
        <f ca="1">IFERROR(__xludf.DUMMYFUNCTION("""COMPUTED_VALUE"""),98.8)</f>
        <v>98.8</v>
      </c>
      <c r="G250" s="1">
        <f ca="1">IFERROR(__xludf.DUMMYFUNCTION("""COMPUTED_VALUE"""),243)</f>
        <v>243</v>
      </c>
      <c r="H250" s="1">
        <f ca="1">IFERROR(__xludf.DUMMYFUNCTION("""COMPUTED_VALUE"""),105.4)</f>
        <v>105.4</v>
      </c>
      <c r="I250" s="1">
        <f ca="1">IFERROR(__xludf.DUMMYFUNCTION("""COMPUTED_VALUE"""),231)</f>
        <v>231</v>
      </c>
      <c r="J250" s="1">
        <f ca="1">IFERROR(__xludf.DUMMYFUNCTION("""COMPUTED_VALUE"""),66.8)</f>
        <v>66.8</v>
      </c>
      <c r="K250" s="1">
        <f ca="1">IFERROR(__xludf.DUMMYFUNCTION("""COMPUTED_VALUE"""),68)</f>
        <v>68</v>
      </c>
      <c r="L250" s="1">
        <f ca="1">IFERROR(__xludf.DUMMYFUNCTION("""COMPUTED_VALUE"""),-0.052)</f>
        <v>-5.1999999999999998E-2</v>
      </c>
      <c r="M250" s="1">
        <f ca="1">IFERROR(__xludf.DUMMYFUNCTION("""COMPUTED_VALUE"""),298)</f>
        <v>298</v>
      </c>
      <c r="N250" s="1">
        <f ca="1">IFERROR(__xludf.DUMMYFUNCTION("""COMPUTED_VALUE"""),-0.76)</f>
        <v>-0.76</v>
      </c>
      <c r="O250" s="1">
        <f ca="1">IFERROR(__xludf.DUMMYFUNCTION("""COMPUTED_VALUE"""),159)</f>
        <v>159</v>
      </c>
      <c r="P250" s="1">
        <f ca="1">IFERROR(__xludf.DUMMYFUNCTION("""COMPUTED_VALUE"""),101.6)</f>
        <v>101.6</v>
      </c>
      <c r="Q250" s="1">
        <f ca="1">IFERROR(__xludf.DUMMYFUNCTION("""COMPUTED_VALUE"""),198)</f>
        <v>198</v>
      </c>
      <c r="R250" s="1">
        <f ca="1">IFERROR(__xludf.DUMMYFUNCTION("""COMPUTED_VALUE"""),102.3)</f>
        <v>102.3</v>
      </c>
      <c r="S250" s="1">
        <f ca="1">IFERROR(__xludf.DUMMYFUNCTION("""COMPUTED_VALUE"""),137)</f>
        <v>137</v>
      </c>
      <c r="T250" s="1" t="str">
        <f ca="1">IFERROR(__xludf.DUMMYFUNCTION("""COMPUTED_VALUE"""),"+0.19")</f>
        <v>+0.19</v>
      </c>
      <c r="U250" s="1">
        <f ca="1">IFERROR(__xludf.DUMMYFUNCTION("""COMPUTED_VALUE"""),150)</f>
        <v>150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IFERROR(__xludf.DUMMYFUNCTION("""COMPUTED_VALUE"""),"Texas Tech")</f>
        <v>Texas Tech</v>
      </c>
      <c r="C251" s="1" t="str">
        <f ca="1">IFERROR(__xludf.DUMMYFUNCTION("""COMPUTED_VALUE"""),"B12")</f>
        <v>B12</v>
      </c>
      <c r="D251" s="2">
        <f ca="1">IFERROR(__xludf.DUMMYFUNCTION("""COMPUTED_VALUE"""),44885)</f>
        <v>44885</v>
      </c>
      <c r="E251" s="1">
        <f ca="1">IFERROR(__xludf.DUMMYFUNCTION("""COMPUTED_VALUE"""),-6.63)</f>
        <v>-6.63</v>
      </c>
      <c r="F251" s="1">
        <f ca="1">IFERROR(__xludf.DUMMYFUNCTION("""COMPUTED_VALUE"""),100.5)</f>
        <v>100.5</v>
      </c>
      <c r="G251" s="1">
        <f ca="1">IFERROR(__xludf.DUMMYFUNCTION("""COMPUTED_VALUE"""),210)</f>
        <v>210</v>
      </c>
      <c r="H251" s="1">
        <f ca="1">IFERROR(__xludf.DUMMYFUNCTION("""COMPUTED_VALUE"""),107.1)</f>
        <v>107.1</v>
      </c>
      <c r="I251" s="1">
        <f ca="1">IFERROR(__xludf.DUMMYFUNCTION("""COMPUTED_VALUE"""),258)</f>
        <v>258</v>
      </c>
      <c r="J251" s="1">
        <f ca="1">IFERROR(__xludf.DUMMYFUNCTION("""COMPUTED_VALUE"""),66.6)</f>
        <v>66.599999999999994</v>
      </c>
      <c r="K251" s="1">
        <f ca="1">IFERROR(__xludf.DUMMYFUNCTION("""COMPUTED_VALUE"""),80)</f>
        <v>80</v>
      </c>
      <c r="L251" s="1" t="str">
        <f ca="1">IFERROR(__xludf.DUMMYFUNCTION("""COMPUTED_VALUE"""),"+.024")</f>
        <v>+.024</v>
      </c>
      <c r="M251" s="1">
        <f ca="1">IFERROR(__xludf.DUMMYFUNCTION("""COMPUTED_VALUE"""),120)</f>
        <v>120</v>
      </c>
      <c r="N251" s="1" t="str">
        <f ca="1">IFERROR(__xludf.DUMMYFUNCTION("""COMPUTED_VALUE"""),"+4.48")</f>
        <v>+4.48</v>
      </c>
      <c r="O251" s="1">
        <f ca="1">IFERROR(__xludf.DUMMYFUNCTION("""COMPUTED_VALUE"""),85)</f>
        <v>85</v>
      </c>
      <c r="P251" s="1">
        <f ca="1">IFERROR(__xludf.DUMMYFUNCTION("""COMPUTED_VALUE"""),104.2)</f>
        <v>104.2</v>
      </c>
      <c r="Q251" s="1">
        <f ca="1">IFERROR(__xludf.DUMMYFUNCTION("""COMPUTED_VALUE"""),113)</f>
        <v>113</v>
      </c>
      <c r="R251" s="1">
        <f ca="1">IFERROR(__xludf.DUMMYFUNCTION("""COMPUTED_VALUE"""),99.7)</f>
        <v>99.7</v>
      </c>
      <c r="S251" s="1">
        <f ca="1">IFERROR(__xludf.DUMMYFUNCTION("""COMPUTED_VALUE"""),64)</f>
        <v>64</v>
      </c>
      <c r="T251" s="1">
        <f ca="1">IFERROR(__xludf.DUMMYFUNCTION("""COMPUTED_VALUE"""),-15.12)</f>
        <v>-15.12</v>
      </c>
      <c r="U251" s="1">
        <f ca="1">IFERROR(__xludf.DUMMYFUNCTION("""COMPUTED_VALUE"""),347)</f>
        <v>347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IFERROR(__xludf.DUMMYFUNCTION("""COMPUTED_VALUE"""),"Duquesne")</f>
        <v>Duquesne</v>
      </c>
      <c r="C252" s="1" t="str">
        <f ca="1">IFERROR(__xludf.DUMMYFUNCTION("""COMPUTED_VALUE"""),"A10")</f>
        <v>A10</v>
      </c>
      <c r="D252" s="2">
        <f ca="1">IFERROR(__xludf.DUMMYFUNCTION("""COMPUTED_VALUE"""),44795)</f>
        <v>44795</v>
      </c>
      <c r="E252" s="1">
        <f ca="1">IFERROR(__xludf.DUMMYFUNCTION("""COMPUTED_VALUE"""),-6.75)</f>
        <v>-6.75</v>
      </c>
      <c r="F252" s="1">
        <f ca="1">IFERROR(__xludf.DUMMYFUNCTION("""COMPUTED_VALUE"""),100.7)</f>
        <v>100.7</v>
      </c>
      <c r="G252" s="1">
        <f ca="1">IFERROR(__xludf.DUMMYFUNCTION("""COMPUTED_VALUE"""),207)</f>
        <v>207</v>
      </c>
      <c r="H252" s="1">
        <f ca="1">IFERROR(__xludf.DUMMYFUNCTION("""COMPUTED_VALUE"""),107.5)</f>
        <v>107.5</v>
      </c>
      <c r="I252" s="1">
        <f ca="1">IFERROR(__xludf.DUMMYFUNCTION("""COMPUTED_VALUE"""),266)</f>
        <v>266</v>
      </c>
      <c r="J252" s="1">
        <f ca="1">IFERROR(__xludf.DUMMYFUNCTION("""COMPUTED_VALUE"""),67.9)</f>
        <v>67.900000000000006</v>
      </c>
      <c r="K252" s="1">
        <f ca="1">IFERROR(__xludf.DUMMYFUNCTION("""COMPUTED_VALUE"""),40)</f>
        <v>40</v>
      </c>
      <c r="L252" s="1" t="str">
        <f ca="1">IFERROR(__xludf.DUMMYFUNCTION("""COMPUTED_VALUE"""),"+.022")</f>
        <v>+.022</v>
      </c>
      <c r="M252" s="1">
        <f ca="1">IFERROR(__xludf.DUMMYFUNCTION("""COMPUTED_VALUE"""),125)</f>
        <v>125</v>
      </c>
      <c r="N252" s="1" t="str">
        <f ca="1">IFERROR(__xludf.DUMMYFUNCTION("""COMPUTED_VALUE"""),"+4.27")</f>
        <v>+4.27</v>
      </c>
      <c r="O252" s="1">
        <f ca="1">IFERROR(__xludf.DUMMYFUNCTION("""COMPUTED_VALUE"""),91)</f>
        <v>91</v>
      </c>
      <c r="P252" s="1">
        <f ca="1">IFERROR(__xludf.DUMMYFUNCTION("""COMPUTED_VALUE"""),104.9)</f>
        <v>104.9</v>
      </c>
      <c r="Q252" s="1">
        <f ca="1">IFERROR(__xludf.DUMMYFUNCTION("""COMPUTED_VALUE"""),88)</f>
        <v>88</v>
      </c>
      <c r="R252" s="1">
        <f ca="1">IFERROR(__xludf.DUMMYFUNCTION("""COMPUTED_VALUE"""),100.7)</f>
        <v>100.7</v>
      </c>
      <c r="S252" s="1">
        <f ca="1">IFERROR(__xludf.DUMMYFUNCTION("""COMPUTED_VALUE"""),96)</f>
        <v>96</v>
      </c>
      <c r="T252" s="1">
        <f ca="1">IFERROR(__xludf.DUMMYFUNCTION("""COMPUTED_VALUE"""),-0.35)</f>
        <v>-0.35</v>
      </c>
      <c r="U252" s="1">
        <f ca="1">IFERROR(__xludf.DUMMYFUNCTION("""COMPUTED_VALUE"""),166)</f>
        <v>166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IFERROR(__xludf.DUMMYFUNCTION("""COMPUTED_VALUE"""),"Miami OH")</f>
        <v>Miami OH</v>
      </c>
      <c r="C255" s="1" t="str">
        <f ca="1">IFERROR(__xludf.DUMMYFUNCTION("""COMPUTED_VALUE"""),"MAC")</f>
        <v>MAC</v>
      </c>
      <c r="D255" s="2">
        <f ca="1">IFERROR(__xludf.DUMMYFUNCTION("""COMPUTED_VALUE"""),44826)</f>
        <v>44826</v>
      </c>
      <c r="E255" s="1">
        <f ca="1">IFERROR(__xludf.DUMMYFUNCTION("""COMPUTED_VALUE"""),-7.03)</f>
        <v>-7.03</v>
      </c>
      <c r="F255" s="1">
        <f ca="1">IFERROR(__xludf.DUMMYFUNCTION("""COMPUTED_VALUE"""),98.7)</f>
        <v>98.7</v>
      </c>
      <c r="G255" s="1">
        <f ca="1">IFERROR(__xludf.DUMMYFUNCTION("""COMPUTED_VALUE"""),245)</f>
        <v>245</v>
      </c>
      <c r="H255" s="1">
        <f ca="1">IFERROR(__xludf.DUMMYFUNCTION("""COMPUTED_VALUE"""),105.7)</f>
        <v>105.7</v>
      </c>
      <c r="I255" s="1">
        <f ca="1">IFERROR(__xludf.DUMMYFUNCTION("""COMPUTED_VALUE"""),241)</f>
        <v>241</v>
      </c>
      <c r="J255" s="1">
        <f ca="1">IFERROR(__xludf.DUMMYFUNCTION("""COMPUTED_VALUE"""),64.1)</f>
        <v>64.099999999999994</v>
      </c>
      <c r="K255" s="1">
        <f ca="1">IFERROR(__xludf.DUMMYFUNCTION("""COMPUTED_VALUE"""),195)</f>
        <v>195</v>
      </c>
      <c r="L255" s="1">
        <f ca="1">IFERROR(__xludf.DUMMYFUNCTION("""COMPUTED_VALUE"""),-0.066)</f>
        <v>-6.6000000000000003E-2</v>
      </c>
      <c r="M255" s="1">
        <f ca="1">IFERROR(__xludf.DUMMYFUNCTION("""COMPUTED_VALUE"""),312)</f>
        <v>312</v>
      </c>
      <c r="N255" s="1" t="str">
        <f ca="1">IFERROR(__xludf.DUMMYFUNCTION("""COMPUTED_VALUE"""),"+1.44")</f>
        <v>+1.44</v>
      </c>
      <c r="O255" s="1">
        <f ca="1">IFERROR(__xludf.DUMMYFUNCTION("""COMPUTED_VALUE"""),123)</f>
        <v>123</v>
      </c>
      <c r="P255" s="1">
        <f ca="1">IFERROR(__xludf.DUMMYFUNCTION("""COMPUTED_VALUE"""),102.7)</f>
        <v>102.7</v>
      </c>
      <c r="Q255" s="1">
        <f ca="1">IFERROR(__xludf.DUMMYFUNCTION("""COMPUTED_VALUE"""),147)</f>
        <v>147</v>
      </c>
      <c r="R255" s="1">
        <f ca="1">IFERROR(__xludf.DUMMYFUNCTION("""COMPUTED_VALUE"""),101.3)</f>
        <v>101.3</v>
      </c>
      <c r="S255" s="1">
        <f ca="1">IFERROR(__xludf.DUMMYFUNCTION("""COMPUTED_VALUE"""),108)</f>
        <v>108</v>
      </c>
      <c r="T255" s="1" t="str">
        <f ca="1">IFERROR(__xludf.DUMMYFUNCTION("""COMPUTED_VALUE"""),"+4.96")</f>
        <v>+4.96</v>
      </c>
      <c r="U255" s="1">
        <f ca="1">IFERROR(__xludf.DUMMYFUNCTION("""COMPUTED_VALUE"""),41)</f>
        <v>41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IFERROR(__xludf.DUMMYFUNCTION("""COMPUTED_VALUE"""),"Northern Colorado")</f>
        <v>Northern Colorado</v>
      </c>
      <c r="C256" s="1" t="str">
        <f ca="1">IFERROR(__xludf.DUMMYFUNCTION("""COMPUTED_VALUE"""),"BSky")</f>
        <v>BSky</v>
      </c>
      <c r="D256" s="1" t="str">
        <f ca="1">IFERROR(__xludf.DUMMYFUNCTION("""COMPUTED_VALUE"""),"13-18")</f>
        <v>13-18</v>
      </c>
      <c r="E256" s="1">
        <f ca="1">IFERROR(__xludf.DUMMYFUNCTION("""COMPUTED_VALUE"""),-7.09)</f>
        <v>-7.09</v>
      </c>
      <c r="F256" s="1">
        <f ca="1">IFERROR(__xludf.DUMMYFUNCTION("""COMPUTED_VALUE"""),102.8)</f>
        <v>102.8</v>
      </c>
      <c r="G256" s="1">
        <f ca="1">IFERROR(__xludf.DUMMYFUNCTION("""COMPUTED_VALUE"""),166)</f>
        <v>166</v>
      </c>
      <c r="H256" s="1">
        <f ca="1">IFERROR(__xludf.DUMMYFUNCTION("""COMPUTED_VALUE"""),109.8)</f>
        <v>109.8</v>
      </c>
      <c r="I256" s="1">
        <f ca="1">IFERROR(__xludf.DUMMYFUNCTION("""COMPUTED_VALUE"""),300)</f>
        <v>300</v>
      </c>
      <c r="J256" s="1">
        <f ca="1">IFERROR(__xludf.DUMMYFUNCTION("""COMPUTED_VALUE"""),64.9)</f>
        <v>64.900000000000006</v>
      </c>
      <c r="K256" s="1">
        <f ca="1">IFERROR(__xludf.DUMMYFUNCTION("""COMPUTED_VALUE"""),158)</f>
        <v>158</v>
      </c>
      <c r="L256" s="1">
        <f ca="1">IFERROR(__xludf.DUMMYFUNCTION("""COMPUTED_VALUE"""),-0.051)</f>
        <v>-5.0999999999999997E-2</v>
      </c>
      <c r="M256" s="1">
        <f ca="1">IFERROR(__xludf.DUMMYFUNCTION("""COMPUTED_VALUE"""),297)</f>
        <v>297</v>
      </c>
      <c r="N256" s="1">
        <f ca="1">IFERROR(__xludf.DUMMYFUNCTION("""COMPUTED_VALUE"""),-5.44)</f>
        <v>-5.44</v>
      </c>
      <c r="O256" s="1">
        <f ca="1">IFERROR(__xludf.DUMMYFUNCTION("""COMPUTED_VALUE"""),283)</f>
        <v>283</v>
      </c>
      <c r="P256" s="1">
        <f ca="1">IFERROR(__xludf.DUMMYFUNCTION("""COMPUTED_VALUE"""),100.8)</f>
        <v>100.8</v>
      </c>
      <c r="Q256" s="1">
        <f ca="1">IFERROR(__xludf.DUMMYFUNCTION("""COMPUTED_VALUE"""),240)</f>
        <v>240</v>
      </c>
      <c r="R256" s="1">
        <f ca="1">IFERROR(__xludf.DUMMYFUNCTION("""COMPUTED_VALUE"""),106.2)</f>
        <v>106.2</v>
      </c>
      <c r="S256" s="1">
        <f ca="1">IFERROR(__xludf.DUMMYFUNCTION("""COMPUTED_VALUE"""),318)</f>
        <v>318</v>
      </c>
      <c r="T256" s="1" t="str">
        <f ca="1">IFERROR(__xludf.DUMMYFUNCTION("""COMPUTED_VALUE"""),"+9.14")</f>
        <v>+9.14</v>
      </c>
      <c r="U256" s="1">
        <f ca="1">IFERROR(__xludf.DUMMYFUNCTION("""COMPUTED_VALUE"""),6)</f>
        <v>6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IFERROR(__xludf.DUMMYFUNCTION("""COMPUTED_VALUE"""),"IPFW")</f>
        <v>IPFW</v>
      </c>
      <c r="C257" s="1" t="str">
        <f ca="1">IFERROR(__xludf.DUMMYFUNCTION("""COMPUTED_VALUE"""),"Sum")</f>
        <v>Sum</v>
      </c>
      <c r="D257" s="1" t="str">
        <f ca="1">IFERROR(__xludf.DUMMYFUNCTION("""COMPUTED_VALUE"""),"16-17")</f>
        <v>16-17</v>
      </c>
      <c r="E257" s="1">
        <f ca="1">IFERROR(__xludf.DUMMYFUNCTION("""COMPUTED_VALUE"""),-7.22)</f>
        <v>-7.22</v>
      </c>
      <c r="F257" s="1">
        <f ca="1">IFERROR(__xludf.DUMMYFUNCTION("""COMPUTED_VALUE"""),98.2)</f>
        <v>98.2</v>
      </c>
      <c r="G257" s="1">
        <f ca="1">IFERROR(__xludf.DUMMYFUNCTION("""COMPUTED_VALUE"""),252)</f>
        <v>252</v>
      </c>
      <c r="H257" s="1">
        <f ca="1">IFERROR(__xludf.DUMMYFUNCTION("""COMPUTED_VALUE"""),105.4)</f>
        <v>105.4</v>
      </c>
      <c r="I257" s="1">
        <f ca="1">IFERROR(__xludf.DUMMYFUNCTION("""COMPUTED_VALUE"""),232)</f>
        <v>232</v>
      </c>
      <c r="J257" s="1">
        <f ca="1">IFERROR(__xludf.DUMMYFUNCTION("""COMPUTED_VALUE"""),64.7)</f>
        <v>64.7</v>
      </c>
      <c r="K257" s="1">
        <f ca="1">IFERROR(__xludf.DUMMYFUNCTION("""COMPUTED_VALUE"""),171)</f>
        <v>171</v>
      </c>
      <c r="L257" s="1" t="str">
        <f ca="1">IFERROR(__xludf.DUMMYFUNCTION("""COMPUTED_VALUE"""),"+.021")</f>
        <v>+.021</v>
      </c>
      <c r="M257" s="1">
        <f ca="1">IFERROR(__xludf.DUMMYFUNCTION("""COMPUTED_VALUE"""),127)</f>
        <v>127</v>
      </c>
      <c r="N257" s="1">
        <f ca="1">IFERROR(__xludf.DUMMYFUNCTION("""COMPUTED_VALUE"""),-5.56)</f>
        <v>-5.56</v>
      </c>
      <c r="O257" s="1">
        <f ca="1">IFERROR(__xludf.DUMMYFUNCTION("""COMPUTED_VALUE"""),289)</f>
        <v>289</v>
      </c>
      <c r="P257" s="1">
        <f ca="1">IFERROR(__xludf.DUMMYFUNCTION("""COMPUTED_VALUE"""),101.2)</f>
        <v>101.2</v>
      </c>
      <c r="Q257" s="1">
        <f ca="1">IFERROR(__xludf.DUMMYFUNCTION("""COMPUTED_VALUE"""),216)</f>
        <v>216</v>
      </c>
      <c r="R257" s="1">
        <f ca="1">IFERROR(__xludf.DUMMYFUNCTION("""COMPUTED_VALUE"""),106.8)</f>
        <v>106.8</v>
      </c>
      <c r="S257" s="1">
        <f ca="1">IFERROR(__xludf.DUMMYFUNCTION("""COMPUTED_VALUE"""),333)</f>
        <v>333</v>
      </c>
      <c r="T257" s="1">
        <f ca="1">IFERROR(__xludf.DUMMYFUNCTION("""COMPUTED_VALUE"""),-5.38)</f>
        <v>-5.38</v>
      </c>
      <c r="U257" s="1">
        <f ca="1">IFERROR(__xludf.DUMMYFUNCTION("""COMPUTED_VALUE"""),299)</f>
        <v>299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IFERROR(__xludf.DUMMYFUNCTION("""COMPUTED_VALUE"""),"Northern Kentucky")</f>
        <v>Northern Kentucky</v>
      </c>
      <c r="C258" s="1" t="str">
        <f ca="1">IFERROR(__xludf.DUMMYFUNCTION("""COMPUTED_VALUE"""),"ASun")</f>
        <v>ASun</v>
      </c>
      <c r="D258" s="2">
        <f ca="1">IFERROR(__xludf.DUMMYFUNCTION("""COMPUTED_VALUE"""),44881)</f>
        <v>44881</v>
      </c>
      <c r="E258" s="1">
        <f ca="1">IFERROR(__xludf.DUMMYFUNCTION("""COMPUTED_VALUE"""),-7.26)</f>
        <v>-7.26</v>
      </c>
      <c r="F258" s="1">
        <f ca="1">IFERROR(__xludf.DUMMYFUNCTION("""COMPUTED_VALUE"""),97.5)</f>
        <v>97.5</v>
      </c>
      <c r="G258" s="1">
        <f ca="1">IFERROR(__xludf.DUMMYFUNCTION("""COMPUTED_VALUE"""),266)</f>
        <v>266</v>
      </c>
      <c r="H258" s="1">
        <f ca="1">IFERROR(__xludf.DUMMYFUNCTION("""COMPUTED_VALUE"""),104.7)</f>
        <v>104.7</v>
      </c>
      <c r="I258" s="1">
        <f ca="1">IFERROR(__xludf.DUMMYFUNCTION("""COMPUTED_VALUE"""),212)</f>
        <v>212</v>
      </c>
      <c r="J258" s="1">
        <f ca="1">IFERROR(__xludf.DUMMYFUNCTION("""COMPUTED_VALUE"""),58.1)</f>
        <v>58.1</v>
      </c>
      <c r="K258" s="1">
        <f ca="1">IFERROR(__xludf.DUMMYFUNCTION("""COMPUTED_VALUE"""),345)</f>
        <v>345</v>
      </c>
      <c r="L258" s="1">
        <f ca="1">IFERROR(__xludf.DUMMYFUNCTION("""COMPUTED_VALUE"""),-0.033)</f>
        <v>-3.3000000000000002E-2</v>
      </c>
      <c r="M258" s="1">
        <f ca="1">IFERROR(__xludf.DUMMYFUNCTION("""COMPUTED_VALUE"""),265)</f>
        <v>265</v>
      </c>
      <c r="N258" s="1">
        <f ca="1">IFERROR(__xludf.DUMMYFUNCTION("""COMPUTED_VALUE"""),-5.25)</f>
        <v>-5.25</v>
      </c>
      <c r="O258" s="1">
        <f ca="1">IFERROR(__xludf.DUMMYFUNCTION("""COMPUTED_VALUE"""),278)</f>
        <v>278</v>
      </c>
      <c r="P258" s="1">
        <f ca="1">IFERROR(__xludf.DUMMYFUNCTION("""COMPUTED_VALUE"""),100.1)</f>
        <v>100.1</v>
      </c>
      <c r="Q258" s="1">
        <f ca="1">IFERROR(__xludf.DUMMYFUNCTION("""COMPUTED_VALUE"""),275)</f>
        <v>275</v>
      </c>
      <c r="R258" s="1">
        <f ca="1">IFERROR(__xludf.DUMMYFUNCTION("""COMPUTED_VALUE"""),105.3)</f>
        <v>105.3</v>
      </c>
      <c r="S258" s="1">
        <f ca="1">IFERROR(__xludf.DUMMYFUNCTION("""COMPUTED_VALUE"""),277)</f>
        <v>277</v>
      </c>
      <c r="T258" s="1" t="str">
        <f ca="1">IFERROR(__xludf.DUMMYFUNCTION("""COMPUTED_VALUE"""),"+0.63")</f>
        <v>+0.63</v>
      </c>
      <c r="U258" s="1">
        <f ca="1">IFERROR(__xludf.DUMMYFUNCTION("""COMPUTED_VALUE"""),131)</f>
        <v>131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IFERROR(__xludf.DUMMYFUNCTION("""COMPUTED_VALUE"""),"Western Carolina")</f>
        <v>Western Carolina</v>
      </c>
      <c r="C259" s="1" t="str">
        <f ca="1">IFERROR(__xludf.DUMMYFUNCTION("""COMPUTED_VALUE"""),"SC")</f>
        <v>SC</v>
      </c>
      <c r="D259" s="1" t="str">
        <f ca="1">IFERROR(__xludf.DUMMYFUNCTION("""COMPUTED_VALUE"""),"14-19")</f>
        <v>14-19</v>
      </c>
      <c r="E259" s="1">
        <f ca="1">IFERROR(__xludf.DUMMYFUNCTION("""COMPUTED_VALUE"""),-7.39)</f>
        <v>-7.39</v>
      </c>
      <c r="F259" s="1">
        <f ca="1">IFERROR(__xludf.DUMMYFUNCTION("""COMPUTED_VALUE"""),101.6)</f>
        <v>101.6</v>
      </c>
      <c r="G259" s="1">
        <f ca="1">IFERROR(__xludf.DUMMYFUNCTION("""COMPUTED_VALUE"""),190)</f>
        <v>190</v>
      </c>
      <c r="H259" s="1">
        <f ca="1">IFERROR(__xludf.DUMMYFUNCTION("""COMPUTED_VALUE"""),109)</f>
        <v>109</v>
      </c>
      <c r="I259" s="1">
        <f ca="1">IFERROR(__xludf.DUMMYFUNCTION("""COMPUTED_VALUE"""),293)</f>
        <v>293</v>
      </c>
      <c r="J259" s="1">
        <f ca="1">IFERROR(__xludf.DUMMYFUNCTION("""COMPUTED_VALUE"""),65)</f>
        <v>65</v>
      </c>
      <c r="K259" s="1">
        <f ca="1">IFERROR(__xludf.DUMMYFUNCTION("""COMPUTED_VALUE"""),151)</f>
        <v>151</v>
      </c>
      <c r="L259" s="1">
        <f ca="1">IFERROR(__xludf.DUMMYFUNCTION("""COMPUTED_VALUE"""),-0.031)</f>
        <v>-3.1E-2</v>
      </c>
      <c r="M259" s="1">
        <f ca="1">IFERROR(__xludf.DUMMYFUNCTION("""COMPUTED_VALUE"""),258)</f>
        <v>258</v>
      </c>
      <c r="N259" s="1">
        <f ca="1">IFERROR(__xludf.DUMMYFUNCTION("""COMPUTED_VALUE"""),-5.69)</f>
        <v>-5.69</v>
      </c>
      <c r="O259" s="1">
        <f ca="1">IFERROR(__xludf.DUMMYFUNCTION("""COMPUTED_VALUE"""),293)</f>
        <v>293</v>
      </c>
      <c r="P259" s="1">
        <f ca="1">IFERROR(__xludf.DUMMYFUNCTION("""COMPUTED_VALUE"""),100.2)</f>
        <v>100.2</v>
      </c>
      <c r="Q259" s="1">
        <f ca="1">IFERROR(__xludf.DUMMYFUNCTION("""COMPUTED_VALUE"""),271)</f>
        <v>271</v>
      </c>
      <c r="R259" s="1">
        <f ca="1">IFERROR(__xludf.DUMMYFUNCTION("""COMPUTED_VALUE"""),105.9)</f>
        <v>105.9</v>
      </c>
      <c r="S259" s="1">
        <f ca="1">IFERROR(__xludf.DUMMYFUNCTION("""COMPUTED_VALUE"""),310)</f>
        <v>310</v>
      </c>
      <c r="T259" s="1" t="str">
        <f ca="1">IFERROR(__xludf.DUMMYFUNCTION("""COMPUTED_VALUE"""),"+3.91")</f>
        <v>+3.91</v>
      </c>
      <c r="U259" s="1">
        <f ca="1">IFERROR(__xludf.DUMMYFUNCTION("""COMPUTED_VALUE"""),66)</f>
        <v>66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IFERROR(__xludf.DUMMYFUNCTION("""COMPUTED_VALUE"""),"Wofford")</f>
        <v>Wofford</v>
      </c>
      <c r="C260" s="1" t="str">
        <f ca="1">IFERROR(__xludf.DUMMYFUNCTION("""COMPUTED_VALUE"""),"SC")</f>
        <v>SC</v>
      </c>
      <c r="D260" s="1" t="str">
        <f ca="1">IFERROR(__xludf.DUMMYFUNCTION("""COMPUTED_VALUE"""),"13-19")</f>
        <v>13-19</v>
      </c>
      <c r="E260" s="1">
        <f ca="1">IFERROR(__xludf.DUMMYFUNCTION("""COMPUTED_VALUE"""),-7.42)</f>
        <v>-7.42</v>
      </c>
      <c r="F260" s="1">
        <f ca="1">IFERROR(__xludf.DUMMYFUNCTION("""COMPUTED_VALUE"""),89.2)</f>
        <v>89.2</v>
      </c>
      <c r="G260" s="1">
        <f ca="1">IFERROR(__xludf.DUMMYFUNCTION("""COMPUTED_VALUE"""),334)</f>
        <v>334</v>
      </c>
      <c r="H260" s="1">
        <f ca="1">IFERROR(__xludf.DUMMYFUNCTION("""COMPUTED_VALUE"""),96.7)</f>
        <v>96.7</v>
      </c>
      <c r="I260" s="1">
        <f ca="1">IFERROR(__xludf.DUMMYFUNCTION("""COMPUTED_VALUE"""),72)</f>
        <v>72</v>
      </c>
      <c r="J260" s="1">
        <f ca="1">IFERROR(__xludf.DUMMYFUNCTION("""COMPUTED_VALUE"""),62.3)</f>
        <v>62.3</v>
      </c>
      <c r="K260" s="1">
        <f ca="1">IFERROR(__xludf.DUMMYFUNCTION("""COMPUTED_VALUE"""),273)</f>
        <v>273</v>
      </c>
      <c r="L260" s="1">
        <f ca="1">IFERROR(__xludf.DUMMYFUNCTION("""COMPUTED_VALUE"""),-0.058)</f>
        <v>-5.8000000000000003E-2</v>
      </c>
      <c r="M260" s="1">
        <f ca="1">IFERROR(__xludf.DUMMYFUNCTION("""COMPUTED_VALUE"""),305)</f>
        <v>305</v>
      </c>
      <c r="N260" s="1">
        <f ca="1">IFERROR(__xludf.DUMMYFUNCTION("""COMPUTED_VALUE"""),-5.14)</f>
        <v>-5.14</v>
      </c>
      <c r="O260" s="1">
        <f ca="1">IFERROR(__xludf.DUMMYFUNCTION("""COMPUTED_VALUE"""),272)</f>
        <v>272</v>
      </c>
      <c r="P260" s="1">
        <f ca="1">IFERROR(__xludf.DUMMYFUNCTION("""COMPUTED_VALUE"""),100.3)</f>
        <v>100.3</v>
      </c>
      <c r="Q260" s="1">
        <f ca="1">IFERROR(__xludf.DUMMYFUNCTION("""COMPUTED_VALUE"""),264)</f>
        <v>264</v>
      </c>
      <c r="R260" s="1">
        <f ca="1">IFERROR(__xludf.DUMMYFUNCTION("""COMPUTED_VALUE"""),105.5)</f>
        <v>105.5</v>
      </c>
      <c r="S260" s="1">
        <f ca="1">IFERROR(__xludf.DUMMYFUNCTION("""COMPUTED_VALUE"""),289)</f>
        <v>289</v>
      </c>
      <c r="T260" s="1" t="str">
        <f ca="1">IFERROR(__xludf.DUMMYFUNCTION("""COMPUTED_VALUE"""),"+2.98")</f>
        <v>+2.98</v>
      </c>
      <c r="U260" s="1">
        <f ca="1">IFERROR(__xludf.DUMMYFUNCTION("""COMPUTED_VALUE"""),80)</f>
        <v>80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IFERROR(__xludf.DUMMYFUNCTION("""COMPUTED_VALUE"""),"Central Michigan")</f>
        <v>Central Michigan</v>
      </c>
      <c r="C261" s="1" t="str">
        <f ca="1">IFERROR(__xludf.DUMMYFUNCTION("""COMPUTED_VALUE"""),"MAC")</f>
        <v>MAC</v>
      </c>
      <c r="D261" s="2">
        <f ca="1">IFERROR(__xludf.DUMMYFUNCTION("""COMPUTED_VALUE"""),44885)</f>
        <v>44885</v>
      </c>
      <c r="E261" s="1">
        <f ca="1">IFERROR(__xludf.DUMMYFUNCTION("""COMPUTED_VALUE"""),-7.43)</f>
        <v>-7.43</v>
      </c>
      <c r="F261" s="1">
        <f ca="1">IFERROR(__xludf.DUMMYFUNCTION("""COMPUTED_VALUE"""),105.1)</f>
        <v>105.1</v>
      </c>
      <c r="G261" s="1">
        <f ca="1">IFERROR(__xludf.DUMMYFUNCTION("""COMPUTED_VALUE"""),132)</f>
        <v>132</v>
      </c>
      <c r="H261" s="1">
        <f ca="1">IFERROR(__xludf.DUMMYFUNCTION("""COMPUTED_VALUE"""),112.5)</f>
        <v>112.5</v>
      </c>
      <c r="I261" s="1">
        <f ca="1">IFERROR(__xludf.DUMMYFUNCTION("""COMPUTED_VALUE"""),326)</f>
        <v>326</v>
      </c>
      <c r="J261" s="1">
        <f ca="1">IFERROR(__xludf.DUMMYFUNCTION("""COMPUTED_VALUE"""),64.2)</f>
        <v>64.2</v>
      </c>
      <c r="K261" s="1">
        <f ca="1">IFERROR(__xludf.DUMMYFUNCTION("""COMPUTED_VALUE"""),190)</f>
        <v>190</v>
      </c>
      <c r="L261" s="1" t="str">
        <f ca="1">IFERROR(__xludf.DUMMYFUNCTION("""COMPUTED_VALUE"""),"+.000")</f>
        <v>+.000</v>
      </c>
      <c r="M261" s="1">
        <f ca="1">IFERROR(__xludf.DUMMYFUNCTION("""COMPUTED_VALUE"""),177)</f>
        <v>177</v>
      </c>
      <c r="N261" s="1">
        <f ca="1">IFERROR(__xludf.DUMMYFUNCTION("""COMPUTED_VALUE"""),-1.06)</f>
        <v>-1.06</v>
      </c>
      <c r="O261" s="1">
        <f ca="1">IFERROR(__xludf.DUMMYFUNCTION("""COMPUTED_VALUE"""),162)</f>
        <v>162</v>
      </c>
      <c r="P261" s="1">
        <f ca="1">IFERROR(__xludf.DUMMYFUNCTION("""COMPUTED_VALUE"""),100.9)</f>
        <v>100.9</v>
      </c>
      <c r="Q261" s="1">
        <f ca="1">IFERROR(__xludf.DUMMYFUNCTION("""COMPUTED_VALUE"""),232)</f>
        <v>232</v>
      </c>
      <c r="R261" s="1">
        <f ca="1">IFERROR(__xludf.DUMMYFUNCTION("""COMPUTED_VALUE"""),102)</f>
        <v>102</v>
      </c>
      <c r="S261" s="1">
        <f ca="1">IFERROR(__xludf.DUMMYFUNCTION("""COMPUTED_VALUE"""),122)</f>
        <v>122</v>
      </c>
      <c r="T261" s="1" t="str">
        <f ca="1">IFERROR(__xludf.DUMMYFUNCTION("""COMPUTED_VALUE"""),"+1.69")</f>
        <v>+1.69</v>
      </c>
      <c r="U261" s="1">
        <f ca="1">IFERROR(__xludf.DUMMYFUNCTION("""COMPUTED_VALUE"""),112)</f>
        <v>112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IFERROR(__xludf.DUMMYFUNCTION("""COMPUTED_VALUE"""),"North Florida")</f>
        <v>North Florida</v>
      </c>
      <c r="C262" s="1" t="str">
        <f ca="1">IFERROR(__xludf.DUMMYFUNCTION("""COMPUTED_VALUE"""),"ASun")</f>
        <v>ASun</v>
      </c>
      <c r="D262" s="1" t="str">
        <f ca="1">IFERROR(__xludf.DUMMYFUNCTION("""COMPUTED_VALUE"""),"13-19")</f>
        <v>13-19</v>
      </c>
      <c r="E262" s="1">
        <f ca="1">IFERROR(__xludf.DUMMYFUNCTION("""COMPUTED_VALUE"""),-7.51)</f>
        <v>-7.51</v>
      </c>
      <c r="F262" s="1">
        <f ca="1">IFERROR(__xludf.DUMMYFUNCTION("""COMPUTED_VALUE"""),101)</f>
        <v>101</v>
      </c>
      <c r="G262" s="1">
        <f ca="1">IFERROR(__xludf.DUMMYFUNCTION("""COMPUTED_VALUE"""),203)</f>
        <v>203</v>
      </c>
      <c r="H262" s="1">
        <f ca="1">IFERROR(__xludf.DUMMYFUNCTION("""COMPUTED_VALUE"""),108.5)</f>
        <v>108.5</v>
      </c>
      <c r="I262" s="1">
        <f ca="1">IFERROR(__xludf.DUMMYFUNCTION("""COMPUTED_VALUE"""),281)</f>
        <v>281</v>
      </c>
      <c r="J262" s="1">
        <f ca="1">IFERROR(__xludf.DUMMYFUNCTION("""COMPUTED_VALUE"""),64.8)</f>
        <v>64.8</v>
      </c>
      <c r="K262" s="1">
        <f ca="1">IFERROR(__xludf.DUMMYFUNCTION("""COMPUTED_VALUE"""),170)</f>
        <v>170</v>
      </c>
      <c r="L262" s="1">
        <f ca="1">IFERROR(__xludf.DUMMYFUNCTION("""COMPUTED_VALUE"""),-0.01)</f>
        <v>-0.01</v>
      </c>
      <c r="M262" s="1">
        <f ca="1">IFERROR(__xludf.DUMMYFUNCTION("""COMPUTED_VALUE"""),210)</f>
        <v>210</v>
      </c>
      <c r="N262" s="1">
        <f ca="1">IFERROR(__xludf.DUMMYFUNCTION("""COMPUTED_VALUE"""),-2.6)</f>
        <v>-2.6</v>
      </c>
      <c r="O262" s="1">
        <f ca="1">IFERROR(__xludf.DUMMYFUNCTION("""COMPUTED_VALUE"""),206)</f>
        <v>206</v>
      </c>
      <c r="P262" s="1">
        <f ca="1">IFERROR(__xludf.DUMMYFUNCTION("""COMPUTED_VALUE"""),101)</f>
        <v>101</v>
      </c>
      <c r="Q262" s="1">
        <f ca="1">IFERROR(__xludf.DUMMYFUNCTION("""COMPUTED_VALUE"""),228)</f>
        <v>228</v>
      </c>
      <c r="R262" s="1">
        <f ca="1">IFERROR(__xludf.DUMMYFUNCTION("""COMPUTED_VALUE"""),103.6)</f>
        <v>103.6</v>
      </c>
      <c r="S262" s="1">
        <f ca="1">IFERROR(__xludf.DUMMYFUNCTION("""COMPUTED_VALUE"""),197)</f>
        <v>197</v>
      </c>
      <c r="T262" s="1" t="str">
        <f ca="1">IFERROR(__xludf.DUMMYFUNCTION("""COMPUTED_VALUE"""),"+7.27")</f>
        <v>+7.27</v>
      </c>
      <c r="U262" s="1">
        <f ca="1">IFERROR(__xludf.DUMMYFUNCTION("""COMPUTED_VALUE"""),15)</f>
        <v>15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IFERROR(__xludf.DUMMYFUNCTION("""COMPUTED_VALUE"""),"Penn")</f>
        <v>Penn</v>
      </c>
      <c r="C263" s="1" t="str">
        <f ca="1">IFERROR(__xludf.DUMMYFUNCTION("""COMPUTED_VALUE"""),"Ivy")</f>
        <v>Ivy</v>
      </c>
      <c r="D263" s="2">
        <f ca="1">IFERROR(__xludf.DUMMYFUNCTION("""COMPUTED_VALUE"""),44826)</f>
        <v>44826</v>
      </c>
      <c r="E263" s="1">
        <f ca="1">IFERROR(__xludf.DUMMYFUNCTION("""COMPUTED_VALUE"""),-7.74)</f>
        <v>-7.74</v>
      </c>
      <c r="F263" s="1">
        <f ca="1">IFERROR(__xludf.DUMMYFUNCTION("""COMPUTED_VALUE"""),94.9)</f>
        <v>94.9</v>
      </c>
      <c r="G263" s="1">
        <f ca="1">IFERROR(__xludf.DUMMYFUNCTION("""COMPUTED_VALUE"""),296)</f>
        <v>296</v>
      </c>
      <c r="H263" s="1">
        <f ca="1">IFERROR(__xludf.DUMMYFUNCTION("""COMPUTED_VALUE"""),102.6)</f>
        <v>102.6</v>
      </c>
      <c r="I263" s="1">
        <f ca="1">IFERROR(__xludf.DUMMYFUNCTION("""COMPUTED_VALUE"""),168)</f>
        <v>168</v>
      </c>
      <c r="J263" s="1">
        <f ca="1">IFERROR(__xludf.DUMMYFUNCTION("""COMPUTED_VALUE"""),66.7)</f>
        <v>66.7</v>
      </c>
      <c r="K263" s="1">
        <f ca="1">IFERROR(__xludf.DUMMYFUNCTION("""COMPUTED_VALUE"""),74)</f>
        <v>74</v>
      </c>
      <c r="L263" s="1">
        <f ca="1">IFERROR(__xludf.DUMMYFUNCTION("""COMPUTED_VALUE"""),-0.008)</f>
        <v>-8.0000000000000002E-3</v>
      </c>
      <c r="M263" s="1">
        <f ca="1">IFERROR(__xludf.DUMMYFUNCTION("""COMPUTED_VALUE"""),205)</f>
        <v>205</v>
      </c>
      <c r="N263" s="1">
        <f ca="1">IFERROR(__xludf.DUMMYFUNCTION("""COMPUTED_VALUE"""),-0.47)</f>
        <v>-0.47</v>
      </c>
      <c r="O263" s="1">
        <f ca="1">IFERROR(__xludf.DUMMYFUNCTION("""COMPUTED_VALUE"""),150)</f>
        <v>150</v>
      </c>
      <c r="P263" s="1">
        <f ca="1">IFERROR(__xludf.DUMMYFUNCTION("""COMPUTED_VALUE"""),102.4)</f>
        <v>102.4</v>
      </c>
      <c r="Q263" s="1">
        <f ca="1">IFERROR(__xludf.DUMMYFUNCTION("""COMPUTED_VALUE"""),154)</f>
        <v>154</v>
      </c>
      <c r="R263" s="1">
        <f ca="1">IFERROR(__xludf.DUMMYFUNCTION("""COMPUTED_VALUE"""),102.9)</f>
        <v>102.9</v>
      </c>
      <c r="S263" s="1">
        <f ca="1">IFERROR(__xludf.DUMMYFUNCTION("""COMPUTED_VALUE"""),162)</f>
        <v>162</v>
      </c>
      <c r="T263" s="1" t="str">
        <f ca="1">IFERROR(__xludf.DUMMYFUNCTION("""COMPUTED_VALUE"""),"+1.91")</f>
        <v>+1.91</v>
      </c>
      <c r="U263" s="1">
        <f ca="1">IFERROR(__xludf.DUMMYFUNCTION("""COMPUTED_VALUE"""),107)</f>
        <v>107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IFERROR(__xludf.DUMMYFUNCTION("""COMPUTED_VALUE"""),"North Dakota")</f>
        <v>North Dakota</v>
      </c>
      <c r="C264" s="1" t="str">
        <f ca="1">IFERROR(__xludf.DUMMYFUNCTION("""COMPUTED_VALUE"""),"BSky")</f>
        <v>BSky</v>
      </c>
      <c r="D264" s="1" t="str">
        <f ca="1">IFERROR(__xludf.DUMMYFUNCTION("""COMPUTED_VALUE"""),"16-17")</f>
        <v>16-17</v>
      </c>
      <c r="E264" s="1">
        <f ca="1">IFERROR(__xludf.DUMMYFUNCTION("""COMPUTED_VALUE"""),-7.78)</f>
        <v>-7.78</v>
      </c>
      <c r="F264" s="1">
        <f ca="1">IFERROR(__xludf.DUMMYFUNCTION("""COMPUTED_VALUE"""),97.2)</f>
        <v>97.2</v>
      </c>
      <c r="G264" s="1">
        <f ca="1">IFERROR(__xludf.DUMMYFUNCTION("""COMPUTED_VALUE"""),269)</f>
        <v>269</v>
      </c>
      <c r="H264" s="1">
        <f ca="1">IFERROR(__xludf.DUMMYFUNCTION("""COMPUTED_VALUE"""),105)</f>
        <v>105</v>
      </c>
      <c r="I264" s="1">
        <f ca="1">IFERROR(__xludf.DUMMYFUNCTION("""COMPUTED_VALUE"""),219)</f>
        <v>219</v>
      </c>
      <c r="J264" s="1">
        <f ca="1">IFERROR(__xludf.DUMMYFUNCTION("""COMPUTED_VALUE"""),66.4)</f>
        <v>66.400000000000006</v>
      </c>
      <c r="K264" s="1">
        <f ca="1">IFERROR(__xludf.DUMMYFUNCTION("""COMPUTED_VALUE"""),90)</f>
        <v>90</v>
      </c>
      <c r="L264" s="1" t="str">
        <f ca="1">IFERROR(__xludf.DUMMYFUNCTION("""COMPUTED_VALUE"""),"+.038")</f>
        <v>+.038</v>
      </c>
      <c r="M264" s="1">
        <f ca="1">IFERROR(__xludf.DUMMYFUNCTION("""COMPUTED_VALUE"""),84)</f>
        <v>84</v>
      </c>
      <c r="N264" s="1">
        <f ca="1">IFERROR(__xludf.DUMMYFUNCTION("""COMPUTED_VALUE"""),-5.78)</f>
        <v>-5.78</v>
      </c>
      <c r="O264" s="1">
        <f ca="1">IFERROR(__xludf.DUMMYFUNCTION("""COMPUTED_VALUE"""),295)</f>
        <v>295</v>
      </c>
      <c r="P264" s="1">
        <f ca="1">IFERROR(__xludf.DUMMYFUNCTION("""COMPUTED_VALUE"""),100.8)</f>
        <v>100.8</v>
      </c>
      <c r="Q264" s="1">
        <f ca="1">IFERROR(__xludf.DUMMYFUNCTION("""COMPUTED_VALUE"""),238)</f>
        <v>238</v>
      </c>
      <c r="R264" s="1">
        <f ca="1">IFERROR(__xludf.DUMMYFUNCTION("""COMPUTED_VALUE"""),106.6)</f>
        <v>106.6</v>
      </c>
      <c r="S264" s="1">
        <f ca="1">IFERROR(__xludf.DUMMYFUNCTION("""COMPUTED_VALUE"""),328)</f>
        <v>328</v>
      </c>
      <c r="T264" s="1" t="str">
        <f ca="1">IFERROR(__xludf.DUMMYFUNCTION("""COMPUTED_VALUE"""),"+3.01")</f>
        <v>+3.01</v>
      </c>
      <c r="U264" s="1">
        <f ca="1">IFERROR(__xludf.DUMMYFUNCTION("""COMPUTED_VALUE"""),79)</f>
        <v>79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IFERROR(__xludf.DUMMYFUNCTION("""COMPUTED_VALUE"""),"South Dakota")</f>
        <v>South Dakota</v>
      </c>
      <c r="C265" s="1" t="str">
        <f ca="1">IFERROR(__xludf.DUMMYFUNCTION("""COMPUTED_VALUE"""),"Sum")</f>
        <v>Sum</v>
      </c>
      <c r="D265" s="2">
        <f ca="1">IFERROR(__xludf.DUMMYFUNCTION("""COMPUTED_VALUE"""),44854)</f>
        <v>44854</v>
      </c>
      <c r="E265" s="1">
        <f ca="1">IFERROR(__xludf.DUMMYFUNCTION("""COMPUTED_VALUE"""),-7.79)</f>
        <v>-7.79</v>
      </c>
      <c r="F265" s="1">
        <f ca="1">IFERROR(__xludf.DUMMYFUNCTION("""COMPUTED_VALUE"""),105.2)</f>
        <v>105.2</v>
      </c>
      <c r="G265" s="1">
        <f ca="1">IFERROR(__xludf.DUMMYFUNCTION("""COMPUTED_VALUE"""),128)</f>
        <v>128</v>
      </c>
      <c r="H265" s="1">
        <f ca="1">IFERROR(__xludf.DUMMYFUNCTION("""COMPUTED_VALUE"""),113)</f>
        <v>113</v>
      </c>
      <c r="I265" s="1">
        <f ca="1">IFERROR(__xludf.DUMMYFUNCTION("""COMPUTED_VALUE"""),331)</f>
        <v>331</v>
      </c>
      <c r="J265" s="1">
        <f ca="1">IFERROR(__xludf.DUMMYFUNCTION("""COMPUTED_VALUE"""),65.8)</f>
        <v>65.8</v>
      </c>
      <c r="K265" s="1">
        <f ca="1">IFERROR(__xludf.DUMMYFUNCTION("""COMPUTED_VALUE"""),117)</f>
        <v>117</v>
      </c>
      <c r="L265" s="1">
        <f ca="1">IFERROR(__xludf.DUMMYFUNCTION("""COMPUTED_VALUE"""),-0.082)</f>
        <v>-8.2000000000000003E-2</v>
      </c>
      <c r="M265" s="1">
        <f ca="1">IFERROR(__xludf.DUMMYFUNCTION("""COMPUTED_VALUE"""),326)</f>
        <v>326</v>
      </c>
      <c r="N265" s="1">
        <f ca="1">IFERROR(__xludf.DUMMYFUNCTION("""COMPUTED_VALUE"""),-2.21)</f>
        <v>-2.21</v>
      </c>
      <c r="O265" s="1">
        <f ca="1">IFERROR(__xludf.DUMMYFUNCTION("""COMPUTED_VALUE"""),189)</f>
        <v>189</v>
      </c>
      <c r="P265" s="1">
        <f ca="1">IFERROR(__xludf.DUMMYFUNCTION("""COMPUTED_VALUE"""),102.4)</f>
        <v>102.4</v>
      </c>
      <c r="Q265" s="1">
        <f ca="1">IFERROR(__xludf.DUMMYFUNCTION("""COMPUTED_VALUE"""),155)</f>
        <v>155</v>
      </c>
      <c r="R265" s="1">
        <f ca="1">IFERROR(__xludf.DUMMYFUNCTION("""COMPUTED_VALUE"""),104.6)</f>
        <v>104.6</v>
      </c>
      <c r="S265" s="1">
        <f ca="1">IFERROR(__xludf.DUMMYFUNCTION("""COMPUTED_VALUE"""),247)</f>
        <v>247</v>
      </c>
      <c r="T265" s="1" t="str">
        <f ca="1">IFERROR(__xludf.DUMMYFUNCTION("""COMPUTED_VALUE"""),"+4.82")</f>
        <v>+4.82</v>
      </c>
      <c r="U265" s="1">
        <f ca="1">IFERROR(__xludf.DUMMYFUNCTION("""COMPUTED_VALUE"""),45)</f>
        <v>45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IFERROR(__xludf.DUMMYFUNCTION("""COMPUTED_VALUE"""),"Fordham")</f>
        <v>Fordham</v>
      </c>
      <c r="C266" s="1" t="str">
        <f ca="1">IFERROR(__xludf.DUMMYFUNCTION("""COMPUTED_VALUE"""),"A10")</f>
        <v>A10</v>
      </c>
      <c r="D266" s="2">
        <f ca="1">IFERROR(__xludf.DUMMYFUNCTION("""COMPUTED_VALUE"""),44766)</f>
        <v>44766</v>
      </c>
      <c r="E266" s="1">
        <f ca="1">IFERROR(__xludf.DUMMYFUNCTION("""COMPUTED_VALUE"""),-7.82)</f>
        <v>-7.82</v>
      </c>
      <c r="F266" s="1">
        <f ca="1">IFERROR(__xludf.DUMMYFUNCTION("""COMPUTED_VALUE"""),100.2)</f>
        <v>100.2</v>
      </c>
      <c r="G266" s="1">
        <f ca="1">IFERROR(__xludf.DUMMYFUNCTION("""COMPUTED_VALUE"""),216)</f>
        <v>216</v>
      </c>
      <c r="H266" s="1">
        <f ca="1">IFERROR(__xludf.DUMMYFUNCTION("""COMPUTED_VALUE"""),108)</f>
        <v>108</v>
      </c>
      <c r="I266" s="1">
        <f ca="1">IFERROR(__xludf.DUMMYFUNCTION("""COMPUTED_VALUE"""),273)</f>
        <v>273</v>
      </c>
      <c r="J266" s="1">
        <f ca="1">IFERROR(__xludf.DUMMYFUNCTION("""COMPUTED_VALUE"""),67.3)</f>
        <v>67.3</v>
      </c>
      <c r="K266" s="1">
        <f ca="1">IFERROR(__xludf.DUMMYFUNCTION("""COMPUTED_VALUE"""),56)</f>
        <v>56</v>
      </c>
      <c r="L266" s="1" t="str">
        <f ca="1">IFERROR(__xludf.DUMMYFUNCTION("""COMPUTED_VALUE"""),"+.027")</f>
        <v>+.027</v>
      </c>
      <c r="M266" s="1">
        <f ca="1">IFERROR(__xludf.DUMMYFUNCTION("""COMPUTED_VALUE"""),111)</f>
        <v>111</v>
      </c>
      <c r="N266" s="1" t="str">
        <f ca="1">IFERROR(__xludf.DUMMYFUNCTION("""COMPUTED_VALUE"""),"+6.89")</f>
        <v>+6.89</v>
      </c>
      <c r="O266" s="1">
        <f ca="1">IFERROR(__xludf.DUMMYFUNCTION("""COMPUTED_VALUE"""),46)</f>
        <v>46</v>
      </c>
      <c r="P266" s="1">
        <f ca="1">IFERROR(__xludf.DUMMYFUNCTION("""COMPUTED_VALUE"""),105.8)</f>
        <v>105.8</v>
      </c>
      <c r="Q266" s="1">
        <f ca="1">IFERROR(__xludf.DUMMYFUNCTION("""COMPUTED_VALUE"""),51)</f>
        <v>51</v>
      </c>
      <c r="R266" s="1">
        <f ca="1">IFERROR(__xludf.DUMMYFUNCTION("""COMPUTED_VALUE"""),98.9)</f>
        <v>98.9</v>
      </c>
      <c r="S266" s="1">
        <f ca="1">IFERROR(__xludf.DUMMYFUNCTION("""COMPUTED_VALUE"""),44)</f>
        <v>44</v>
      </c>
      <c r="T266" s="1" t="str">
        <f ca="1">IFERROR(__xludf.DUMMYFUNCTION("""COMPUTED_VALUE"""),"+5.03")</f>
        <v>+5.03</v>
      </c>
      <c r="U266" s="1">
        <f ca="1">IFERROR(__xludf.DUMMYFUNCTION("""COMPUTED_VALUE"""),40)</f>
        <v>40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IFERROR(__xludf.DUMMYFUNCTION("""COMPUTED_VALUE"""),"Ball St.")</f>
        <v>Ball St.</v>
      </c>
      <c r="C267" s="1" t="str">
        <f ca="1">IFERROR(__xludf.DUMMYFUNCTION("""COMPUTED_VALUE"""),"MAC")</f>
        <v>MAC</v>
      </c>
      <c r="D267" s="1" t="str">
        <f ca="1">IFERROR(__xludf.DUMMYFUNCTION("""COMPUTED_VALUE"""),"15-15")</f>
        <v>15-15</v>
      </c>
      <c r="E267" s="1">
        <f ca="1">IFERROR(__xludf.DUMMYFUNCTION("""COMPUTED_VALUE"""),-7.84)</f>
        <v>-7.84</v>
      </c>
      <c r="F267" s="1">
        <f ca="1">IFERROR(__xludf.DUMMYFUNCTION("""COMPUTED_VALUE"""),99.5)</f>
        <v>99.5</v>
      </c>
      <c r="G267" s="1">
        <f ca="1">IFERROR(__xludf.DUMMYFUNCTION("""COMPUTED_VALUE"""),227)</f>
        <v>227</v>
      </c>
      <c r="H267" s="1">
        <f ca="1">IFERROR(__xludf.DUMMYFUNCTION("""COMPUTED_VALUE"""),107.3)</f>
        <v>107.3</v>
      </c>
      <c r="I267" s="1">
        <f ca="1">IFERROR(__xludf.DUMMYFUNCTION("""COMPUTED_VALUE"""),264)</f>
        <v>264</v>
      </c>
      <c r="J267" s="1">
        <f ca="1">IFERROR(__xludf.DUMMYFUNCTION("""COMPUTED_VALUE"""),64.9)</f>
        <v>64.900000000000006</v>
      </c>
      <c r="K267" s="1">
        <f ca="1">IFERROR(__xludf.DUMMYFUNCTION("""COMPUTED_VALUE"""),156)</f>
        <v>156</v>
      </c>
      <c r="L267" s="1" t="str">
        <f ca="1">IFERROR(__xludf.DUMMYFUNCTION("""COMPUTED_VALUE"""),"+.080")</f>
        <v>+.080</v>
      </c>
      <c r="M267" s="1">
        <f ca="1">IFERROR(__xludf.DUMMYFUNCTION("""COMPUTED_VALUE"""),20)</f>
        <v>20</v>
      </c>
      <c r="N267" s="1">
        <f ca="1">IFERROR(__xludf.DUMMYFUNCTION("""COMPUTED_VALUE"""),-3.98)</f>
        <v>-3.98</v>
      </c>
      <c r="O267" s="1">
        <f ca="1">IFERROR(__xludf.DUMMYFUNCTION("""COMPUTED_VALUE"""),246)</f>
        <v>246</v>
      </c>
      <c r="P267" s="1">
        <f ca="1">IFERROR(__xludf.DUMMYFUNCTION("""COMPUTED_VALUE"""),100.3)</f>
        <v>100.3</v>
      </c>
      <c r="Q267" s="1">
        <f ca="1">IFERROR(__xludf.DUMMYFUNCTION("""COMPUTED_VALUE"""),265)</f>
        <v>265</v>
      </c>
      <c r="R267" s="1">
        <f ca="1">IFERROR(__xludf.DUMMYFUNCTION("""COMPUTED_VALUE"""),104.3)</f>
        <v>104.3</v>
      </c>
      <c r="S267" s="1">
        <f ca="1">IFERROR(__xludf.DUMMYFUNCTION("""COMPUTED_VALUE"""),234)</f>
        <v>234</v>
      </c>
      <c r="T267" s="1">
        <f ca="1">IFERROR(__xludf.DUMMYFUNCTION("""COMPUTED_VALUE"""),-5.27)</f>
        <v>-5.27</v>
      </c>
      <c r="U267" s="1">
        <f ca="1">IFERROR(__xludf.DUMMYFUNCTION("""COMPUTED_VALUE"""),295)</f>
        <v>295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IFERROR(__xludf.DUMMYFUNCTION("""COMPUTED_VALUE"""),"UTSA")</f>
        <v>UTSA</v>
      </c>
      <c r="C268" s="1" t="str">
        <f ca="1">IFERROR(__xludf.DUMMYFUNCTION("""COMPUTED_VALUE"""),"WAC")</f>
        <v>WAC</v>
      </c>
      <c r="D268" s="2">
        <f ca="1">IFERROR(__xludf.DUMMYFUNCTION("""COMPUTED_VALUE"""),44856)</f>
        <v>44856</v>
      </c>
      <c r="E268" s="1">
        <f ca="1">IFERROR(__xludf.DUMMYFUNCTION("""COMPUTED_VALUE"""),-7.85)</f>
        <v>-7.85</v>
      </c>
      <c r="F268" s="1">
        <f ca="1">IFERROR(__xludf.DUMMYFUNCTION("""COMPUTED_VALUE"""),100.9)</f>
        <v>100.9</v>
      </c>
      <c r="G268" s="1">
        <f ca="1">IFERROR(__xludf.DUMMYFUNCTION("""COMPUTED_VALUE"""),204)</f>
        <v>204</v>
      </c>
      <c r="H268" s="1">
        <f ca="1">IFERROR(__xludf.DUMMYFUNCTION("""COMPUTED_VALUE"""),108.8)</f>
        <v>108.8</v>
      </c>
      <c r="I268" s="1">
        <f ca="1">IFERROR(__xludf.DUMMYFUNCTION("""COMPUTED_VALUE"""),289)</f>
        <v>289</v>
      </c>
      <c r="J268" s="1">
        <f ca="1">IFERROR(__xludf.DUMMYFUNCTION("""COMPUTED_VALUE"""),62.7)</f>
        <v>62.7</v>
      </c>
      <c r="K268" s="1">
        <f ca="1">IFERROR(__xludf.DUMMYFUNCTION("""COMPUTED_VALUE"""),255)</f>
        <v>255</v>
      </c>
      <c r="L268" s="1">
        <f ca="1">IFERROR(__xludf.DUMMYFUNCTION("""COMPUTED_VALUE"""),-0.046)</f>
        <v>-4.5999999999999999E-2</v>
      </c>
      <c r="M268" s="1">
        <f ca="1">IFERROR(__xludf.DUMMYFUNCTION("""COMPUTED_VALUE"""),287)</f>
        <v>287</v>
      </c>
      <c r="N268" s="1">
        <f ca="1">IFERROR(__xludf.DUMMYFUNCTION("""COMPUTED_VALUE"""),-1.08)</f>
        <v>-1.08</v>
      </c>
      <c r="O268" s="1">
        <f ca="1">IFERROR(__xludf.DUMMYFUNCTION("""COMPUTED_VALUE"""),163)</f>
        <v>163</v>
      </c>
      <c r="P268" s="1">
        <f ca="1">IFERROR(__xludf.DUMMYFUNCTION("""COMPUTED_VALUE"""),101.3)</f>
        <v>101.3</v>
      </c>
      <c r="Q268" s="1">
        <f ca="1">IFERROR(__xludf.DUMMYFUNCTION("""COMPUTED_VALUE"""),214)</f>
        <v>214</v>
      </c>
      <c r="R268" s="1">
        <f ca="1">IFERROR(__xludf.DUMMYFUNCTION("""COMPUTED_VALUE"""),102.3)</f>
        <v>102.3</v>
      </c>
      <c r="S268" s="1">
        <f ca="1">IFERROR(__xludf.DUMMYFUNCTION("""COMPUTED_VALUE"""),136)</f>
        <v>136</v>
      </c>
      <c r="T268" s="1">
        <f ca="1">IFERROR(__xludf.DUMMYFUNCTION("""COMPUTED_VALUE"""),-2.88)</f>
        <v>-2.88</v>
      </c>
      <c r="U268" s="1">
        <f ca="1">IFERROR(__xludf.DUMMYFUNCTION("""COMPUTED_VALUE"""),252)</f>
        <v>252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IFERROR(__xludf.DUMMYFUNCTION("""COMPUTED_VALUE"""),"Texas St.")</f>
        <v>Texas St.</v>
      </c>
      <c r="C269" s="1" t="str">
        <f ca="1">IFERROR(__xludf.DUMMYFUNCTION("""COMPUTED_VALUE"""),"WAC")</f>
        <v>WAC</v>
      </c>
      <c r="D269" s="2">
        <f ca="1">IFERROR(__xludf.DUMMYFUNCTION("""COMPUTED_VALUE"""),44917)</f>
        <v>44917</v>
      </c>
      <c r="E269" s="1">
        <f ca="1">IFERROR(__xludf.DUMMYFUNCTION("""COMPUTED_VALUE"""),-8)</f>
        <v>-8</v>
      </c>
      <c r="F269" s="1">
        <f ca="1">IFERROR(__xludf.DUMMYFUNCTION("""COMPUTED_VALUE"""),101.1)</f>
        <v>101.1</v>
      </c>
      <c r="G269" s="1">
        <f ca="1">IFERROR(__xludf.DUMMYFUNCTION("""COMPUTED_VALUE"""),199)</f>
        <v>199</v>
      </c>
      <c r="H269" s="1">
        <f ca="1">IFERROR(__xludf.DUMMYFUNCTION("""COMPUTED_VALUE"""),109.1)</f>
        <v>109.1</v>
      </c>
      <c r="I269" s="1">
        <f ca="1">IFERROR(__xludf.DUMMYFUNCTION("""COMPUTED_VALUE"""),295)</f>
        <v>295</v>
      </c>
      <c r="J269" s="1">
        <f ca="1">IFERROR(__xludf.DUMMYFUNCTION("""COMPUTED_VALUE"""),70.5)</f>
        <v>70.5</v>
      </c>
      <c r="K269" s="1">
        <f ca="1">IFERROR(__xludf.DUMMYFUNCTION("""COMPUTED_VALUE"""),6)</f>
        <v>6</v>
      </c>
      <c r="L269" s="1" t="str">
        <f ca="1">IFERROR(__xludf.DUMMYFUNCTION("""COMPUTED_VALUE"""),"+.009")</f>
        <v>+.009</v>
      </c>
      <c r="M269" s="1">
        <f ca="1">IFERROR(__xludf.DUMMYFUNCTION("""COMPUTED_VALUE"""),155)</f>
        <v>155</v>
      </c>
      <c r="N269" s="1">
        <f ca="1">IFERROR(__xludf.DUMMYFUNCTION("""COMPUTED_VALUE"""),-1.69)</f>
        <v>-1.69</v>
      </c>
      <c r="O269" s="1">
        <f ca="1">IFERROR(__xludf.DUMMYFUNCTION("""COMPUTED_VALUE"""),177)</f>
        <v>177</v>
      </c>
      <c r="P269" s="1">
        <f ca="1">IFERROR(__xludf.DUMMYFUNCTION("""COMPUTED_VALUE"""),100.9)</f>
        <v>100.9</v>
      </c>
      <c r="Q269" s="1">
        <f ca="1">IFERROR(__xludf.DUMMYFUNCTION("""COMPUTED_VALUE"""),234)</f>
        <v>234</v>
      </c>
      <c r="R269" s="1">
        <f ca="1">IFERROR(__xludf.DUMMYFUNCTION("""COMPUTED_VALUE"""),102.6)</f>
        <v>102.6</v>
      </c>
      <c r="S269" s="1">
        <f ca="1">IFERROR(__xludf.DUMMYFUNCTION("""COMPUTED_VALUE"""),144)</f>
        <v>144</v>
      </c>
      <c r="T269" s="1">
        <f ca="1">IFERROR(__xludf.DUMMYFUNCTION("""COMPUTED_VALUE"""),-5.7)</f>
        <v>-5.7</v>
      </c>
      <c r="U269" s="1">
        <f ca="1">IFERROR(__xludf.DUMMYFUNCTION("""COMPUTED_VALUE"""),305)</f>
        <v>305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IFERROR(__xludf.DUMMYFUNCTION("""COMPUTED_VALUE"""),"Mississippi St.")</f>
        <v>Mississippi St.</v>
      </c>
      <c r="C270" s="1" t="str">
        <f ca="1">IFERROR(__xludf.DUMMYFUNCTION("""COMPUTED_VALUE"""),"SEC")</f>
        <v>SEC</v>
      </c>
      <c r="D270" s="2">
        <f ca="1">IFERROR(__xludf.DUMMYFUNCTION("""COMPUTED_VALUE"""),44856)</f>
        <v>44856</v>
      </c>
      <c r="E270" s="1">
        <f ca="1">IFERROR(__xludf.DUMMYFUNCTION("""COMPUTED_VALUE"""),-8.01)</f>
        <v>-8.01</v>
      </c>
      <c r="F270" s="1">
        <f ca="1">IFERROR(__xludf.DUMMYFUNCTION("""COMPUTED_VALUE"""),91.8)</f>
        <v>91.8</v>
      </c>
      <c r="G270" s="1">
        <f ca="1">IFERROR(__xludf.DUMMYFUNCTION("""COMPUTED_VALUE"""),322)</f>
        <v>322</v>
      </c>
      <c r="H270" s="1">
        <f ca="1">IFERROR(__xludf.DUMMYFUNCTION("""COMPUTED_VALUE"""),99.9)</f>
        <v>99.9</v>
      </c>
      <c r="I270" s="1">
        <f ca="1">IFERROR(__xludf.DUMMYFUNCTION("""COMPUTED_VALUE"""),124)</f>
        <v>124</v>
      </c>
      <c r="J270" s="1">
        <f ca="1">IFERROR(__xludf.DUMMYFUNCTION("""COMPUTED_VALUE"""),66.8)</f>
        <v>66.8</v>
      </c>
      <c r="K270" s="1">
        <f ca="1">IFERROR(__xludf.DUMMYFUNCTION("""COMPUTED_VALUE"""),67)</f>
        <v>67</v>
      </c>
      <c r="L270" s="1">
        <f ca="1">IFERROR(__xludf.DUMMYFUNCTION("""COMPUTED_VALUE"""),-0.01)</f>
        <v>-0.01</v>
      </c>
      <c r="M270" s="1">
        <f ca="1">IFERROR(__xludf.DUMMYFUNCTION("""COMPUTED_VALUE"""),211)</f>
        <v>211</v>
      </c>
      <c r="N270" s="1" t="str">
        <f ca="1">IFERROR(__xludf.DUMMYFUNCTION("""COMPUTED_VALUE"""),"+4.36")</f>
        <v>+4.36</v>
      </c>
      <c r="O270" s="1">
        <f ca="1">IFERROR(__xludf.DUMMYFUNCTION("""COMPUTED_VALUE"""),88)</f>
        <v>88</v>
      </c>
      <c r="P270" s="1">
        <f ca="1">IFERROR(__xludf.DUMMYFUNCTION("""COMPUTED_VALUE"""),104.4)</f>
        <v>104.4</v>
      </c>
      <c r="Q270" s="1">
        <f ca="1">IFERROR(__xludf.DUMMYFUNCTION("""COMPUTED_VALUE"""),102)</f>
        <v>102</v>
      </c>
      <c r="R270" s="1">
        <f ca="1">IFERROR(__xludf.DUMMYFUNCTION("""COMPUTED_VALUE"""),100.1)</f>
        <v>100.1</v>
      </c>
      <c r="S270" s="1">
        <f ca="1">IFERROR(__xludf.DUMMYFUNCTION("""COMPUTED_VALUE"""),74)</f>
        <v>74</v>
      </c>
      <c r="T270" s="1">
        <f ca="1">IFERROR(__xludf.DUMMYFUNCTION("""COMPUTED_VALUE"""),-6.01)</f>
        <v>-6.01</v>
      </c>
      <c r="U270" s="1">
        <f ca="1">IFERROR(__xludf.DUMMYFUNCTION("""COMPUTED_VALUE"""),310)</f>
        <v>310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IFERROR(__xludf.DUMMYFUNCTION("""COMPUTED_VALUE"""),"Central Connecticut")</f>
        <v>Central Connecticut</v>
      </c>
      <c r="C271" s="1" t="str">
        <f ca="1">IFERROR(__xludf.DUMMYFUNCTION("""COMPUTED_VALUE"""),"NEC")</f>
        <v>NEC</v>
      </c>
      <c r="D271" s="1" t="str">
        <f ca="1">IFERROR(__xludf.DUMMYFUNCTION("""COMPUTED_VALUE"""),"13-17")</f>
        <v>13-17</v>
      </c>
      <c r="E271" s="1">
        <f ca="1">IFERROR(__xludf.DUMMYFUNCTION("""COMPUTED_VALUE"""),-8.18)</f>
        <v>-8.18</v>
      </c>
      <c r="F271" s="1">
        <f ca="1">IFERROR(__xludf.DUMMYFUNCTION("""COMPUTED_VALUE"""),101.8)</f>
        <v>101.8</v>
      </c>
      <c r="G271" s="1">
        <f ca="1">IFERROR(__xludf.DUMMYFUNCTION("""COMPUTED_VALUE"""),186)</f>
        <v>186</v>
      </c>
      <c r="H271" s="1">
        <f ca="1">IFERROR(__xludf.DUMMYFUNCTION("""COMPUTED_VALUE"""),109.9)</f>
        <v>109.9</v>
      </c>
      <c r="I271" s="1">
        <f ca="1">IFERROR(__xludf.DUMMYFUNCTION("""COMPUTED_VALUE"""),302)</f>
        <v>302</v>
      </c>
      <c r="J271" s="1">
        <f ca="1">IFERROR(__xludf.DUMMYFUNCTION("""COMPUTED_VALUE"""),68.8)</f>
        <v>68.8</v>
      </c>
      <c r="K271" s="1">
        <f ca="1">IFERROR(__xludf.DUMMYFUNCTION("""COMPUTED_VALUE"""),23)</f>
        <v>23</v>
      </c>
      <c r="L271" s="1" t="str">
        <f ca="1">IFERROR(__xludf.DUMMYFUNCTION("""COMPUTED_VALUE"""),"+.056")</f>
        <v>+.056</v>
      </c>
      <c r="M271" s="1">
        <f ca="1">IFERROR(__xludf.DUMMYFUNCTION("""COMPUTED_VALUE"""),40)</f>
        <v>40</v>
      </c>
      <c r="N271" s="1">
        <f ca="1">IFERROR(__xludf.DUMMYFUNCTION("""COMPUTED_VALUE"""),-4.31)</f>
        <v>-4.3099999999999996</v>
      </c>
      <c r="O271" s="1">
        <f ca="1">IFERROR(__xludf.DUMMYFUNCTION("""COMPUTED_VALUE"""),253)</f>
        <v>253</v>
      </c>
      <c r="P271" s="1">
        <f ca="1">IFERROR(__xludf.DUMMYFUNCTION("""COMPUTED_VALUE"""),100.7)</f>
        <v>100.7</v>
      </c>
      <c r="Q271" s="1">
        <f ca="1">IFERROR(__xludf.DUMMYFUNCTION("""COMPUTED_VALUE"""),242)</f>
        <v>242</v>
      </c>
      <c r="R271" s="1">
        <f ca="1">IFERROR(__xludf.DUMMYFUNCTION("""COMPUTED_VALUE"""),105)</f>
        <v>105</v>
      </c>
      <c r="S271" s="1">
        <f ca="1">IFERROR(__xludf.DUMMYFUNCTION("""COMPUTED_VALUE"""),262)</f>
        <v>262</v>
      </c>
      <c r="T271" s="1" t="str">
        <f ca="1">IFERROR(__xludf.DUMMYFUNCTION("""COMPUTED_VALUE"""),"+0.28")</f>
        <v>+0.28</v>
      </c>
      <c r="U271" s="1">
        <f ca="1">IFERROR(__xludf.DUMMYFUNCTION("""COMPUTED_VALUE"""),146)</f>
        <v>146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IFERROR(__xludf.DUMMYFUNCTION("""COMPUTED_VALUE"""),"Portland")</f>
        <v>Portland</v>
      </c>
      <c r="C272" s="1" t="str">
        <f ca="1">IFERROR(__xludf.DUMMYFUNCTION("""COMPUTED_VALUE"""),"WCC")</f>
        <v>WCC</v>
      </c>
      <c r="D272" s="2">
        <f ca="1">IFERROR(__xludf.DUMMYFUNCTION("""COMPUTED_VALUE"""),44886)</f>
        <v>44886</v>
      </c>
      <c r="E272" s="1">
        <f ca="1">IFERROR(__xludf.DUMMYFUNCTION("""COMPUTED_VALUE"""),-8.18)</f>
        <v>-8.18</v>
      </c>
      <c r="F272" s="1">
        <f ca="1">IFERROR(__xludf.DUMMYFUNCTION("""COMPUTED_VALUE"""),95.2)</f>
        <v>95.2</v>
      </c>
      <c r="G272" s="1">
        <f ca="1">IFERROR(__xludf.DUMMYFUNCTION("""COMPUTED_VALUE"""),292)</f>
        <v>292</v>
      </c>
      <c r="H272" s="1">
        <f ca="1">IFERROR(__xludf.DUMMYFUNCTION("""COMPUTED_VALUE"""),103.4)</f>
        <v>103.4</v>
      </c>
      <c r="I272" s="1">
        <f ca="1">IFERROR(__xludf.DUMMYFUNCTION("""COMPUTED_VALUE"""),183)</f>
        <v>183</v>
      </c>
      <c r="J272" s="1">
        <f ca="1">IFERROR(__xludf.DUMMYFUNCTION("""COMPUTED_VALUE"""),63.6)</f>
        <v>63.6</v>
      </c>
      <c r="K272" s="1">
        <f ca="1">IFERROR(__xludf.DUMMYFUNCTION("""COMPUTED_VALUE"""),219)</f>
        <v>219</v>
      </c>
      <c r="L272" s="1" t="str">
        <f ca="1">IFERROR(__xludf.DUMMYFUNCTION("""COMPUTED_VALUE"""),"+.036")</f>
        <v>+.036</v>
      </c>
      <c r="M272" s="1">
        <f ca="1">IFERROR(__xludf.DUMMYFUNCTION("""COMPUTED_VALUE"""),92)</f>
        <v>92</v>
      </c>
      <c r="N272" s="1" t="str">
        <f ca="1">IFERROR(__xludf.DUMMYFUNCTION("""COMPUTED_VALUE"""),"+3.94")</f>
        <v>+3.94</v>
      </c>
      <c r="O272" s="1">
        <f ca="1">IFERROR(__xludf.DUMMYFUNCTION("""COMPUTED_VALUE"""),95)</f>
        <v>95</v>
      </c>
      <c r="P272" s="1">
        <f ca="1">IFERROR(__xludf.DUMMYFUNCTION("""COMPUTED_VALUE"""),105.8)</f>
        <v>105.8</v>
      </c>
      <c r="Q272" s="1">
        <f ca="1">IFERROR(__xludf.DUMMYFUNCTION("""COMPUTED_VALUE"""),54)</f>
        <v>54</v>
      </c>
      <c r="R272" s="1">
        <f ca="1">IFERROR(__xludf.DUMMYFUNCTION("""COMPUTED_VALUE"""),101.8)</f>
        <v>101.8</v>
      </c>
      <c r="S272" s="1">
        <f ca="1">IFERROR(__xludf.DUMMYFUNCTION("""COMPUTED_VALUE"""),121)</f>
        <v>121</v>
      </c>
      <c r="T272" s="1">
        <f ca="1">IFERROR(__xludf.DUMMYFUNCTION("""COMPUTED_VALUE"""),-0.01)</f>
        <v>-0.01</v>
      </c>
      <c r="U272" s="1">
        <f ca="1">IFERROR(__xludf.DUMMYFUNCTION("""COMPUTED_VALUE"""),155)</f>
        <v>155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IFERROR(__xludf.DUMMYFUNCTION("""COMPUTED_VALUE"""),"North Texas")</f>
        <v>North Texas</v>
      </c>
      <c r="C273" s="1" t="str">
        <f ca="1">IFERROR(__xludf.DUMMYFUNCTION("""COMPUTED_VALUE"""),"SB")</f>
        <v>SB</v>
      </c>
      <c r="D273" s="2">
        <f ca="1">IFERROR(__xludf.DUMMYFUNCTION("""COMPUTED_VALUE"""),44915)</f>
        <v>44915</v>
      </c>
      <c r="E273" s="1">
        <f ca="1">IFERROR(__xludf.DUMMYFUNCTION("""COMPUTED_VALUE"""),-8.3)</f>
        <v>-8.3000000000000007</v>
      </c>
      <c r="F273" s="1">
        <f ca="1">IFERROR(__xludf.DUMMYFUNCTION("""COMPUTED_VALUE"""),97.2)</f>
        <v>97.2</v>
      </c>
      <c r="G273" s="1">
        <f ca="1">IFERROR(__xludf.DUMMYFUNCTION("""COMPUTED_VALUE"""),270)</f>
        <v>270</v>
      </c>
      <c r="H273" s="1">
        <f ca="1">IFERROR(__xludf.DUMMYFUNCTION("""COMPUTED_VALUE"""),105.5)</f>
        <v>105.5</v>
      </c>
      <c r="I273" s="1">
        <f ca="1">IFERROR(__xludf.DUMMYFUNCTION("""COMPUTED_VALUE"""),237)</f>
        <v>237</v>
      </c>
      <c r="J273" s="1">
        <f ca="1">IFERROR(__xludf.DUMMYFUNCTION("""COMPUTED_VALUE"""),65.3)</f>
        <v>65.3</v>
      </c>
      <c r="K273" s="1">
        <f ca="1">IFERROR(__xludf.DUMMYFUNCTION("""COMPUTED_VALUE"""),138)</f>
        <v>138</v>
      </c>
      <c r="L273" s="1">
        <f ca="1">IFERROR(__xludf.DUMMYFUNCTION("""COMPUTED_VALUE"""),-0.023)</f>
        <v>-2.3E-2</v>
      </c>
      <c r="M273" s="1">
        <f ca="1">IFERROR(__xludf.DUMMYFUNCTION("""COMPUTED_VALUE"""),244)</f>
        <v>244</v>
      </c>
      <c r="N273" s="1">
        <f ca="1">IFERROR(__xludf.DUMMYFUNCTION("""COMPUTED_VALUE"""),-4.16)</f>
        <v>-4.16</v>
      </c>
      <c r="O273" s="1">
        <f ca="1">IFERROR(__xludf.DUMMYFUNCTION("""COMPUTED_VALUE"""),251)</f>
        <v>251</v>
      </c>
      <c r="P273" s="1">
        <f ca="1">IFERROR(__xludf.DUMMYFUNCTION("""COMPUTED_VALUE"""),99.6)</f>
        <v>99.6</v>
      </c>
      <c r="Q273" s="1">
        <f ca="1">IFERROR(__xludf.DUMMYFUNCTION("""COMPUTED_VALUE"""),298)</f>
        <v>298</v>
      </c>
      <c r="R273" s="1">
        <f ca="1">IFERROR(__xludf.DUMMYFUNCTION("""COMPUTED_VALUE"""),103.8)</f>
        <v>103.8</v>
      </c>
      <c r="S273" s="1">
        <f ca="1">IFERROR(__xludf.DUMMYFUNCTION("""COMPUTED_VALUE"""),203)</f>
        <v>203</v>
      </c>
      <c r="T273" s="1">
        <f ca="1">IFERROR(__xludf.DUMMYFUNCTION("""COMPUTED_VALUE"""),-3.92)</f>
        <v>-3.92</v>
      </c>
      <c r="U273" s="1">
        <f ca="1">IFERROR(__xludf.DUMMYFUNCTION("""COMPUTED_VALUE"""),271)</f>
        <v>271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IFERROR(__xludf.DUMMYFUNCTION("""COMPUTED_VALUE"""),"Cleveland St.")</f>
        <v>Cleveland St.</v>
      </c>
      <c r="C274" s="1" t="str">
        <f ca="1">IFERROR(__xludf.DUMMYFUNCTION("""COMPUTED_VALUE"""),"Horz")</f>
        <v>Horz</v>
      </c>
      <c r="D274" s="1" t="str">
        <f ca="1">IFERROR(__xludf.DUMMYFUNCTION("""COMPUTED_VALUE"""),"14-18")</f>
        <v>14-18</v>
      </c>
      <c r="E274" s="1">
        <f ca="1">IFERROR(__xludf.DUMMYFUNCTION("""COMPUTED_VALUE"""),-8.42)</f>
        <v>-8.42</v>
      </c>
      <c r="F274" s="1">
        <f ca="1">IFERROR(__xludf.DUMMYFUNCTION("""COMPUTED_VALUE"""),99.6)</f>
        <v>99.6</v>
      </c>
      <c r="G274" s="1">
        <f ca="1">IFERROR(__xludf.DUMMYFUNCTION("""COMPUTED_VALUE"""),223)</f>
        <v>223</v>
      </c>
      <c r="H274" s="1">
        <f ca="1">IFERROR(__xludf.DUMMYFUNCTION("""COMPUTED_VALUE"""),108)</f>
        <v>108</v>
      </c>
      <c r="I274" s="1">
        <f ca="1">IFERROR(__xludf.DUMMYFUNCTION("""COMPUTED_VALUE"""),274)</f>
        <v>274</v>
      </c>
      <c r="J274" s="1">
        <f ca="1">IFERROR(__xludf.DUMMYFUNCTION("""COMPUTED_VALUE"""),63.6)</f>
        <v>63.6</v>
      </c>
      <c r="K274" s="1">
        <f ca="1">IFERROR(__xludf.DUMMYFUNCTION("""COMPUTED_VALUE"""),220)</f>
        <v>220</v>
      </c>
      <c r="L274" s="1" t="str">
        <f ca="1">IFERROR(__xludf.DUMMYFUNCTION("""COMPUTED_VALUE"""),"+.033")</f>
        <v>+.033</v>
      </c>
      <c r="M274" s="1">
        <f ca="1">IFERROR(__xludf.DUMMYFUNCTION("""COMPUTED_VALUE"""),95)</f>
        <v>95</v>
      </c>
      <c r="N274" s="1" t="str">
        <f ca="1">IFERROR(__xludf.DUMMYFUNCTION("""COMPUTED_VALUE"""),"+1.71")</f>
        <v>+1.71</v>
      </c>
      <c r="O274" s="1">
        <f ca="1">IFERROR(__xludf.DUMMYFUNCTION("""COMPUTED_VALUE"""),121)</f>
        <v>121</v>
      </c>
      <c r="P274" s="1">
        <f ca="1">IFERROR(__xludf.DUMMYFUNCTION("""COMPUTED_VALUE"""),103.7)</f>
        <v>103.7</v>
      </c>
      <c r="Q274" s="1">
        <f ca="1">IFERROR(__xludf.DUMMYFUNCTION("""COMPUTED_VALUE"""),122)</f>
        <v>122</v>
      </c>
      <c r="R274" s="1">
        <f ca="1">IFERROR(__xludf.DUMMYFUNCTION("""COMPUTED_VALUE"""),102)</f>
        <v>102</v>
      </c>
      <c r="S274" s="1">
        <f ca="1">IFERROR(__xludf.DUMMYFUNCTION("""COMPUTED_VALUE"""),124)</f>
        <v>124</v>
      </c>
      <c r="T274" s="1" t="str">
        <f ca="1">IFERROR(__xludf.DUMMYFUNCTION("""COMPUTED_VALUE"""),"+2.53")</f>
        <v>+2.53</v>
      </c>
      <c r="U274" s="1">
        <f ca="1">IFERROR(__xludf.DUMMYFUNCTION("""COMPUTED_VALUE"""),89)</f>
        <v>89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IFERROR(__xludf.DUMMYFUNCTION("""COMPUTED_VALUE"""),"Cornell")</f>
        <v>Cornell</v>
      </c>
      <c r="C275" s="1" t="str">
        <f ca="1">IFERROR(__xludf.DUMMYFUNCTION("""COMPUTED_VALUE"""),"Ivy")</f>
        <v>Ivy</v>
      </c>
      <c r="D275" s="1" t="str">
        <f ca="1">IFERROR(__xludf.DUMMYFUNCTION("""COMPUTED_VALUE"""),"13-18")</f>
        <v>13-18</v>
      </c>
      <c r="E275" s="1">
        <f ca="1">IFERROR(__xludf.DUMMYFUNCTION("""COMPUTED_VALUE"""),-8.68)</f>
        <v>-8.68</v>
      </c>
      <c r="F275" s="1">
        <f ca="1">IFERROR(__xludf.DUMMYFUNCTION("""COMPUTED_VALUE"""),99.9)</f>
        <v>99.9</v>
      </c>
      <c r="G275" s="1">
        <f ca="1">IFERROR(__xludf.DUMMYFUNCTION("""COMPUTED_VALUE"""),221)</f>
        <v>221</v>
      </c>
      <c r="H275" s="1">
        <f ca="1">IFERROR(__xludf.DUMMYFUNCTION("""COMPUTED_VALUE"""),108.6)</f>
        <v>108.6</v>
      </c>
      <c r="I275" s="1">
        <f ca="1">IFERROR(__xludf.DUMMYFUNCTION("""COMPUTED_VALUE"""),284)</f>
        <v>284</v>
      </c>
      <c r="J275" s="1">
        <f ca="1">IFERROR(__xludf.DUMMYFUNCTION("""COMPUTED_VALUE"""),66.1)</f>
        <v>66.099999999999994</v>
      </c>
      <c r="K275" s="1">
        <f ca="1">IFERROR(__xludf.DUMMYFUNCTION("""COMPUTED_VALUE"""),99)</f>
        <v>99</v>
      </c>
      <c r="L275" s="1" t="str">
        <f ca="1">IFERROR(__xludf.DUMMYFUNCTION("""COMPUTED_VALUE"""),"+.028")</f>
        <v>+.028</v>
      </c>
      <c r="M275" s="1">
        <f ca="1">IFERROR(__xludf.DUMMYFUNCTION("""COMPUTED_VALUE"""),109)</f>
        <v>109</v>
      </c>
      <c r="N275" s="1">
        <f ca="1">IFERROR(__xludf.DUMMYFUNCTION("""COMPUTED_VALUE"""),-2.53)</f>
        <v>-2.5299999999999998</v>
      </c>
      <c r="O275" s="1">
        <f ca="1">IFERROR(__xludf.DUMMYFUNCTION("""COMPUTED_VALUE"""),202)</f>
        <v>202</v>
      </c>
      <c r="P275" s="1">
        <f ca="1">IFERROR(__xludf.DUMMYFUNCTION("""COMPUTED_VALUE"""),101)</f>
        <v>101</v>
      </c>
      <c r="Q275" s="1">
        <f ca="1">IFERROR(__xludf.DUMMYFUNCTION("""COMPUTED_VALUE"""),227)</f>
        <v>227</v>
      </c>
      <c r="R275" s="1">
        <f ca="1">IFERROR(__xludf.DUMMYFUNCTION("""COMPUTED_VALUE"""),103.6)</f>
        <v>103.6</v>
      </c>
      <c r="S275" s="1">
        <f ca="1">IFERROR(__xludf.DUMMYFUNCTION("""COMPUTED_VALUE"""),193)</f>
        <v>193</v>
      </c>
      <c r="T275" s="1">
        <f ca="1">IFERROR(__xludf.DUMMYFUNCTION("""COMPUTED_VALUE"""),-2)</f>
        <v>-2</v>
      </c>
      <c r="U275" s="1">
        <f ca="1">IFERROR(__xludf.DUMMYFUNCTION("""COMPUTED_VALUE"""),224)</f>
        <v>224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IFERROR(__xludf.DUMMYFUNCTION("""COMPUTED_VALUE"""),"Maine")</f>
        <v>Maine</v>
      </c>
      <c r="C276" s="1" t="str">
        <f ca="1">IFERROR(__xludf.DUMMYFUNCTION("""COMPUTED_VALUE"""),"AE")</f>
        <v>AE</v>
      </c>
      <c r="D276" s="2">
        <f ca="1">IFERROR(__xludf.DUMMYFUNCTION("""COMPUTED_VALUE"""),44884)</f>
        <v>44884</v>
      </c>
      <c r="E276" s="1">
        <f ca="1">IFERROR(__xludf.DUMMYFUNCTION("""COMPUTED_VALUE"""),-8.8)</f>
        <v>-8.8000000000000007</v>
      </c>
      <c r="F276" s="1">
        <f ca="1">IFERROR(__xludf.DUMMYFUNCTION("""COMPUTED_VALUE"""),97.3)</f>
        <v>97.3</v>
      </c>
      <c r="G276" s="1">
        <f ca="1">IFERROR(__xludf.DUMMYFUNCTION("""COMPUTED_VALUE"""),268)</f>
        <v>268</v>
      </c>
      <c r="H276" s="1">
        <f ca="1">IFERROR(__xludf.DUMMYFUNCTION("""COMPUTED_VALUE"""),106.1)</f>
        <v>106.1</v>
      </c>
      <c r="I276" s="1">
        <f ca="1">IFERROR(__xludf.DUMMYFUNCTION("""COMPUTED_VALUE"""),247)</f>
        <v>247</v>
      </c>
      <c r="J276" s="1">
        <f ca="1">IFERROR(__xludf.DUMMYFUNCTION("""COMPUTED_VALUE"""),67.8)</f>
        <v>67.8</v>
      </c>
      <c r="K276" s="1">
        <f ca="1">IFERROR(__xludf.DUMMYFUNCTION("""COMPUTED_VALUE"""),44)</f>
        <v>44</v>
      </c>
      <c r="L276" s="1" t="str">
        <f ca="1">IFERROR(__xludf.DUMMYFUNCTION("""COMPUTED_VALUE"""),"+.020")</f>
        <v>+.020</v>
      </c>
      <c r="M276" s="1">
        <f ca="1">IFERROR(__xludf.DUMMYFUNCTION("""COMPUTED_VALUE"""),134)</f>
        <v>134</v>
      </c>
      <c r="N276" s="1">
        <f ca="1">IFERROR(__xludf.DUMMYFUNCTION("""COMPUTED_VALUE"""),-2.63)</f>
        <v>-2.63</v>
      </c>
      <c r="O276" s="1">
        <f ca="1">IFERROR(__xludf.DUMMYFUNCTION("""COMPUTED_VALUE"""),207)</f>
        <v>207</v>
      </c>
      <c r="P276" s="1">
        <f ca="1">IFERROR(__xludf.DUMMYFUNCTION("""COMPUTED_VALUE"""),100.3)</f>
        <v>100.3</v>
      </c>
      <c r="Q276" s="1">
        <f ca="1">IFERROR(__xludf.DUMMYFUNCTION("""COMPUTED_VALUE"""),268)</f>
        <v>268</v>
      </c>
      <c r="R276" s="1">
        <f ca="1">IFERROR(__xludf.DUMMYFUNCTION("""COMPUTED_VALUE"""),102.9)</f>
        <v>102.9</v>
      </c>
      <c r="S276" s="1">
        <f ca="1">IFERROR(__xludf.DUMMYFUNCTION("""COMPUTED_VALUE"""),157)</f>
        <v>157</v>
      </c>
      <c r="T276" s="1">
        <f ca="1">IFERROR(__xludf.DUMMYFUNCTION("""COMPUTED_VALUE"""),-0.8)</f>
        <v>-0.8</v>
      </c>
      <c r="U276" s="1">
        <f ca="1">IFERROR(__xludf.DUMMYFUNCTION("""COMPUTED_VALUE"""),184)</f>
        <v>184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IFERROR(__xludf.DUMMYFUNCTION("""COMPUTED_VALUE"""),"NJIT")</f>
        <v>NJIT</v>
      </c>
      <c r="C277" s="1" t="str">
        <f ca="1">IFERROR(__xludf.DUMMYFUNCTION("""COMPUTED_VALUE"""),"GWC")</f>
        <v>GWC</v>
      </c>
      <c r="D277" s="1" t="str">
        <f ca="1">IFERROR(__xludf.DUMMYFUNCTION("""COMPUTED_VALUE"""),"16-13")</f>
        <v>16-13</v>
      </c>
      <c r="E277" s="1">
        <f ca="1">IFERROR(__xludf.DUMMYFUNCTION("""COMPUTED_VALUE"""),-8.82)</f>
        <v>-8.82</v>
      </c>
      <c r="F277" s="1">
        <f ca="1">IFERROR(__xludf.DUMMYFUNCTION("""COMPUTED_VALUE"""),94.6)</f>
        <v>94.6</v>
      </c>
      <c r="G277" s="1">
        <f ca="1">IFERROR(__xludf.DUMMYFUNCTION("""COMPUTED_VALUE"""),297)</f>
        <v>297</v>
      </c>
      <c r="H277" s="1">
        <f ca="1">IFERROR(__xludf.DUMMYFUNCTION("""COMPUTED_VALUE"""),103.4)</f>
        <v>103.4</v>
      </c>
      <c r="I277" s="1">
        <f ca="1">IFERROR(__xludf.DUMMYFUNCTION("""COMPUTED_VALUE"""),185)</f>
        <v>185</v>
      </c>
      <c r="J277" s="1">
        <f ca="1">IFERROR(__xludf.DUMMYFUNCTION("""COMPUTED_VALUE"""),65.9)</f>
        <v>65.900000000000006</v>
      </c>
      <c r="K277" s="1">
        <f ca="1">IFERROR(__xludf.DUMMYFUNCTION("""COMPUTED_VALUE"""),109)</f>
        <v>109</v>
      </c>
      <c r="L277" s="1">
        <f ca="1">IFERROR(__xludf.DUMMYFUNCTION("""COMPUTED_VALUE"""),-0.048)</f>
        <v>-4.8000000000000001E-2</v>
      </c>
      <c r="M277" s="1">
        <f ca="1">IFERROR(__xludf.DUMMYFUNCTION("""COMPUTED_VALUE"""),290)</f>
        <v>290</v>
      </c>
      <c r="N277" s="1">
        <f ca="1">IFERROR(__xludf.DUMMYFUNCTION("""COMPUTED_VALUE"""),-11.06)</f>
        <v>-11.06</v>
      </c>
      <c r="O277" s="1">
        <f ca="1">IFERROR(__xludf.DUMMYFUNCTION("""COMPUTED_VALUE"""),346)</f>
        <v>346</v>
      </c>
      <c r="P277" s="1">
        <f ca="1">IFERROR(__xludf.DUMMYFUNCTION("""COMPUTED_VALUE"""),95.4)</f>
        <v>95.4</v>
      </c>
      <c r="Q277" s="1">
        <f ca="1">IFERROR(__xludf.DUMMYFUNCTION("""COMPUTED_VALUE"""),346)</f>
        <v>346</v>
      </c>
      <c r="R277" s="1">
        <f ca="1">IFERROR(__xludf.DUMMYFUNCTION("""COMPUTED_VALUE"""),106.4)</f>
        <v>106.4</v>
      </c>
      <c r="S277" s="1">
        <f ca="1">IFERROR(__xludf.DUMMYFUNCTION("""COMPUTED_VALUE"""),323)</f>
        <v>323</v>
      </c>
      <c r="T277" s="1">
        <f ca="1">IFERROR(__xludf.DUMMYFUNCTION("""COMPUTED_VALUE"""),-7.89)</f>
        <v>-7.89</v>
      </c>
      <c r="U277" s="1">
        <f ca="1">IFERROR(__xludf.DUMMYFUNCTION("""COMPUTED_VALUE"""),330)</f>
        <v>330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IFERROR(__xludf.DUMMYFUNCTION("""COMPUTED_VALUE"""),"Appalachian St.")</f>
        <v>Appalachian St.</v>
      </c>
      <c r="C278" s="1" t="str">
        <f ca="1">IFERROR(__xludf.DUMMYFUNCTION("""COMPUTED_VALUE"""),"SC")</f>
        <v>SC</v>
      </c>
      <c r="D278" s="1" t="str">
        <f ca="1">IFERROR(__xludf.DUMMYFUNCTION("""COMPUTED_VALUE"""),"15-16")</f>
        <v>15-16</v>
      </c>
      <c r="E278" s="1">
        <f ca="1">IFERROR(__xludf.DUMMYFUNCTION("""COMPUTED_VALUE"""),-8.9)</f>
        <v>-8.9</v>
      </c>
      <c r="F278" s="1">
        <f ca="1">IFERROR(__xludf.DUMMYFUNCTION("""COMPUTED_VALUE"""),99.4)</f>
        <v>99.4</v>
      </c>
      <c r="G278" s="1">
        <f ca="1">IFERROR(__xludf.DUMMYFUNCTION("""COMPUTED_VALUE"""),228)</f>
        <v>228</v>
      </c>
      <c r="H278" s="1">
        <f ca="1">IFERROR(__xludf.DUMMYFUNCTION("""COMPUTED_VALUE"""),108.3)</f>
        <v>108.3</v>
      </c>
      <c r="I278" s="1">
        <f ca="1">IFERROR(__xludf.DUMMYFUNCTION("""COMPUTED_VALUE"""),279)</f>
        <v>279</v>
      </c>
      <c r="J278" s="1">
        <f ca="1">IFERROR(__xludf.DUMMYFUNCTION("""COMPUTED_VALUE"""),66.5)</f>
        <v>66.5</v>
      </c>
      <c r="K278" s="1">
        <f ca="1">IFERROR(__xludf.DUMMYFUNCTION("""COMPUTED_VALUE"""),82)</f>
        <v>82</v>
      </c>
      <c r="L278" s="1" t="str">
        <f ca="1">IFERROR(__xludf.DUMMYFUNCTION("""COMPUTED_VALUE"""),"+.011")</f>
        <v>+.011</v>
      </c>
      <c r="M278" s="1">
        <f ca="1">IFERROR(__xludf.DUMMYFUNCTION("""COMPUTED_VALUE"""),151)</f>
        <v>151</v>
      </c>
      <c r="N278" s="1">
        <f ca="1">IFERROR(__xludf.DUMMYFUNCTION("""COMPUTED_VALUE"""),-7.39)</f>
        <v>-7.39</v>
      </c>
      <c r="O278" s="1">
        <f ca="1">IFERROR(__xludf.DUMMYFUNCTION("""COMPUTED_VALUE"""),327)</f>
        <v>327</v>
      </c>
      <c r="P278" s="1">
        <f ca="1">IFERROR(__xludf.DUMMYFUNCTION("""COMPUTED_VALUE"""),100.2)</f>
        <v>100.2</v>
      </c>
      <c r="Q278" s="1">
        <f ca="1">IFERROR(__xludf.DUMMYFUNCTION("""COMPUTED_VALUE"""),270)</f>
        <v>270</v>
      </c>
      <c r="R278" s="1">
        <f ca="1">IFERROR(__xludf.DUMMYFUNCTION("""COMPUTED_VALUE"""),107.6)</f>
        <v>107.6</v>
      </c>
      <c r="S278" s="1">
        <f ca="1">IFERROR(__xludf.DUMMYFUNCTION("""COMPUTED_VALUE"""),346)</f>
        <v>346</v>
      </c>
      <c r="T278" s="1">
        <f ca="1">IFERROR(__xludf.DUMMYFUNCTION("""COMPUTED_VALUE"""),-3.85)</f>
        <v>-3.85</v>
      </c>
      <c r="U278" s="1">
        <f ca="1">IFERROR(__xludf.DUMMYFUNCTION("""COMPUTED_VALUE"""),270)</f>
        <v>270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IFERROR(__xludf.DUMMYFUNCTION("""COMPUTED_VALUE"""),"TCU")</f>
        <v>TCU</v>
      </c>
      <c r="C279" s="1" t="str">
        <f ca="1">IFERROR(__xludf.DUMMYFUNCTION("""COMPUTED_VALUE"""),"B12")</f>
        <v>B12</v>
      </c>
      <c r="D279" s="2">
        <f ca="1">IFERROR(__xludf.DUMMYFUNCTION("""COMPUTED_VALUE"""),44886)</f>
        <v>44886</v>
      </c>
      <c r="E279" s="1">
        <f ca="1">IFERROR(__xludf.DUMMYFUNCTION("""COMPUTED_VALUE"""),-9.36)</f>
        <v>-9.36</v>
      </c>
      <c r="F279" s="1">
        <f ca="1">IFERROR(__xludf.DUMMYFUNCTION("""COMPUTED_VALUE"""),93.4)</f>
        <v>93.4</v>
      </c>
      <c r="G279" s="1">
        <f ca="1">IFERROR(__xludf.DUMMYFUNCTION("""COMPUTED_VALUE"""),309)</f>
        <v>309</v>
      </c>
      <c r="H279" s="1">
        <f ca="1">IFERROR(__xludf.DUMMYFUNCTION("""COMPUTED_VALUE"""),102.7)</f>
        <v>102.7</v>
      </c>
      <c r="I279" s="1">
        <f ca="1">IFERROR(__xludf.DUMMYFUNCTION("""COMPUTED_VALUE"""),171)</f>
        <v>171</v>
      </c>
      <c r="J279" s="1">
        <f ca="1">IFERROR(__xludf.DUMMYFUNCTION("""COMPUTED_VALUE"""),59.5)</f>
        <v>59.5</v>
      </c>
      <c r="K279" s="1">
        <f ca="1">IFERROR(__xludf.DUMMYFUNCTION("""COMPUTED_VALUE"""),331)</f>
        <v>331</v>
      </c>
      <c r="L279" s="1" t="str">
        <f ca="1">IFERROR(__xludf.DUMMYFUNCTION("""COMPUTED_VALUE"""),"+.090")</f>
        <v>+.090</v>
      </c>
      <c r="M279" s="1">
        <f ca="1">IFERROR(__xludf.DUMMYFUNCTION("""COMPUTED_VALUE"""),10)</f>
        <v>10</v>
      </c>
      <c r="N279" s="1" t="str">
        <f ca="1">IFERROR(__xludf.DUMMYFUNCTION("""COMPUTED_VALUE"""),"+3.49")</f>
        <v>+3.49</v>
      </c>
      <c r="O279" s="1">
        <f ca="1">IFERROR(__xludf.DUMMYFUNCTION("""COMPUTED_VALUE"""),105)</f>
        <v>105</v>
      </c>
      <c r="P279" s="1">
        <f ca="1">IFERROR(__xludf.DUMMYFUNCTION("""COMPUTED_VALUE"""),104.2)</f>
        <v>104.2</v>
      </c>
      <c r="Q279" s="1">
        <f ca="1">IFERROR(__xludf.DUMMYFUNCTION("""COMPUTED_VALUE"""),114)</f>
        <v>114</v>
      </c>
      <c r="R279" s="1">
        <f ca="1">IFERROR(__xludf.DUMMYFUNCTION("""COMPUTED_VALUE"""),100.7)</f>
        <v>100.7</v>
      </c>
      <c r="S279" s="1">
        <f ca="1">IFERROR(__xludf.DUMMYFUNCTION("""COMPUTED_VALUE"""),95)</f>
        <v>95</v>
      </c>
      <c r="T279" s="1">
        <f ca="1">IFERROR(__xludf.DUMMYFUNCTION("""COMPUTED_VALUE"""),-10.81)</f>
        <v>-10.81</v>
      </c>
      <c r="U279" s="1">
        <f ca="1">IFERROR(__xludf.DUMMYFUNCTION("""COMPUTED_VALUE"""),343)</f>
        <v>343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IFERROR(__xludf.DUMMYFUNCTION("""COMPUTED_VALUE"""),"Liberty16")</f>
        <v>Liberty16</v>
      </c>
      <c r="C280" s="1" t="str">
        <f ca="1">IFERROR(__xludf.DUMMYFUNCTION("""COMPUTED_VALUE"""),"BSth")</f>
        <v>BSth</v>
      </c>
      <c r="D280" s="1" t="str">
        <f ca="1">IFERROR(__xludf.DUMMYFUNCTION("""COMPUTED_VALUE"""),"15-21")</f>
        <v>15-21</v>
      </c>
      <c r="E280" s="1">
        <f ca="1">IFERROR(__xludf.DUMMYFUNCTION("""COMPUTED_VALUE"""),-9.38)</f>
        <v>-9.3800000000000008</v>
      </c>
      <c r="F280" s="1">
        <f ca="1">IFERROR(__xludf.DUMMYFUNCTION("""COMPUTED_VALUE"""),101.3)</f>
        <v>101.3</v>
      </c>
      <c r="G280" s="1">
        <f ca="1">IFERROR(__xludf.DUMMYFUNCTION("""COMPUTED_VALUE"""),196)</f>
        <v>196</v>
      </c>
      <c r="H280" s="1">
        <f ca="1">IFERROR(__xludf.DUMMYFUNCTION("""COMPUTED_VALUE"""),110.6)</f>
        <v>110.6</v>
      </c>
      <c r="I280" s="1">
        <f ca="1">IFERROR(__xludf.DUMMYFUNCTION("""COMPUTED_VALUE"""),312)</f>
        <v>312</v>
      </c>
      <c r="J280" s="1">
        <f ca="1">IFERROR(__xludf.DUMMYFUNCTION("""COMPUTED_VALUE"""),64.4)</f>
        <v>64.400000000000006</v>
      </c>
      <c r="K280" s="1">
        <f ca="1">IFERROR(__xludf.DUMMYFUNCTION("""COMPUTED_VALUE"""),186)</f>
        <v>186</v>
      </c>
      <c r="L280" s="1">
        <f ca="1">IFERROR(__xludf.DUMMYFUNCTION("""COMPUTED_VALUE"""),-0.034)</f>
        <v>-3.4000000000000002E-2</v>
      </c>
      <c r="M280" s="1">
        <f ca="1">IFERROR(__xludf.DUMMYFUNCTION("""COMPUTED_VALUE"""),271)</f>
        <v>271</v>
      </c>
      <c r="N280" s="1">
        <f ca="1">IFERROR(__xludf.DUMMYFUNCTION("""COMPUTED_VALUE"""),-6.47)</f>
        <v>-6.47</v>
      </c>
      <c r="O280" s="1">
        <f ca="1">IFERROR(__xludf.DUMMYFUNCTION("""COMPUTED_VALUE"""),308)</f>
        <v>308</v>
      </c>
      <c r="P280" s="1">
        <f ca="1">IFERROR(__xludf.DUMMYFUNCTION("""COMPUTED_VALUE"""),99.4)</f>
        <v>99.4</v>
      </c>
      <c r="Q280" s="1">
        <f ca="1">IFERROR(__xludf.DUMMYFUNCTION("""COMPUTED_VALUE"""),306)</f>
        <v>306</v>
      </c>
      <c r="R280" s="1">
        <f ca="1">IFERROR(__xludf.DUMMYFUNCTION("""COMPUTED_VALUE"""),105.8)</f>
        <v>105.8</v>
      </c>
      <c r="S280" s="1">
        <f ca="1">IFERROR(__xludf.DUMMYFUNCTION("""COMPUTED_VALUE"""),309)</f>
        <v>309</v>
      </c>
      <c r="T280" s="1">
        <f ca="1">IFERROR(__xludf.DUMMYFUNCTION("""COMPUTED_VALUE"""),-0.41)</f>
        <v>-0.41</v>
      </c>
      <c r="U280" s="1">
        <f ca="1">IFERROR(__xludf.DUMMYFUNCTION("""COMPUTED_VALUE"""),171)</f>
        <v>171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IFERROR(__xludf.DUMMYFUNCTION("""COMPUTED_VALUE"""),"New Hampshire")</f>
        <v>New Hampshire</v>
      </c>
      <c r="C281" s="1" t="str">
        <f ca="1">IFERROR(__xludf.DUMMYFUNCTION("""COMPUTED_VALUE"""),"AE")</f>
        <v>AE</v>
      </c>
      <c r="D281" s="2">
        <f ca="1">IFERROR(__xludf.DUMMYFUNCTION("""COMPUTED_VALUE"""),44824)</f>
        <v>44824</v>
      </c>
      <c r="E281" s="1">
        <f ca="1">IFERROR(__xludf.DUMMYFUNCTION("""COMPUTED_VALUE"""),-9.41)</f>
        <v>-9.41</v>
      </c>
      <c r="F281" s="1">
        <f ca="1">IFERROR(__xludf.DUMMYFUNCTION("""COMPUTED_VALUE"""),92.8)</f>
        <v>92.8</v>
      </c>
      <c r="G281" s="1">
        <f ca="1">IFERROR(__xludf.DUMMYFUNCTION("""COMPUTED_VALUE"""),315)</f>
        <v>315</v>
      </c>
      <c r="H281" s="1">
        <f ca="1">IFERROR(__xludf.DUMMYFUNCTION("""COMPUTED_VALUE"""),102.2)</f>
        <v>102.2</v>
      </c>
      <c r="I281" s="1">
        <f ca="1">IFERROR(__xludf.DUMMYFUNCTION("""COMPUTED_VALUE"""),159)</f>
        <v>159</v>
      </c>
      <c r="J281" s="1">
        <f ca="1">IFERROR(__xludf.DUMMYFUNCTION("""COMPUTED_VALUE"""),62.9)</f>
        <v>62.9</v>
      </c>
      <c r="K281" s="1">
        <f ca="1">IFERROR(__xludf.DUMMYFUNCTION("""COMPUTED_VALUE"""),249)</f>
        <v>249</v>
      </c>
      <c r="L281" s="1">
        <f ca="1">IFERROR(__xludf.DUMMYFUNCTION("""COMPUTED_VALUE"""),-0.054)</f>
        <v>-5.3999999999999999E-2</v>
      </c>
      <c r="M281" s="1">
        <f ca="1">IFERROR(__xludf.DUMMYFUNCTION("""COMPUTED_VALUE"""),301)</f>
        <v>301</v>
      </c>
      <c r="N281" s="1">
        <f ca="1">IFERROR(__xludf.DUMMYFUNCTION("""COMPUTED_VALUE"""),-3.11)</f>
        <v>-3.11</v>
      </c>
      <c r="O281" s="1">
        <f ca="1">IFERROR(__xludf.DUMMYFUNCTION("""COMPUTED_VALUE"""),222)</f>
        <v>222</v>
      </c>
      <c r="P281" s="1">
        <f ca="1">IFERROR(__xludf.DUMMYFUNCTION("""COMPUTED_VALUE"""),100.4)</f>
        <v>100.4</v>
      </c>
      <c r="Q281" s="1">
        <f ca="1">IFERROR(__xludf.DUMMYFUNCTION("""COMPUTED_VALUE"""),260)</f>
        <v>260</v>
      </c>
      <c r="R281" s="1">
        <f ca="1">IFERROR(__xludf.DUMMYFUNCTION("""COMPUTED_VALUE"""),103.5)</f>
        <v>103.5</v>
      </c>
      <c r="S281" s="1">
        <f ca="1">IFERROR(__xludf.DUMMYFUNCTION("""COMPUTED_VALUE"""),192)</f>
        <v>192</v>
      </c>
      <c r="T281" s="1">
        <f ca="1">IFERROR(__xludf.DUMMYFUNCTION("""COMPUTED_VALUE"""),-1.24)</f>
        <v>-1.24</v>
      </c>
      <c r="U281" s="1">
        <f ca="1">IFERROR(__xludf.DUMMYFUNCTION("""COMPUTED_VALUE"""),200)</f>
        <v>200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IFERROR(__xludf.DUMMYFUNCTION("""COMPUTED_VALUE"""),"Sacred Heart")</f>
        <v>Sacred Heart</v>
      </c>
      <c r="C282" s="1" t="str">
        <f ca="1">IFERROR(__xludf.DUMMYFUNCTION("""COMPUTED_VALUE"""),"NEC")</f>
        <v>NEC</v>
      </c>
      <c r="D282" s="2">
        <f ca="1">IFERROR(__xludf.DUMMYFUNCTION("""COMPUTED_VALUE"""),44824)</f>
        <v>44824</v>
      </c>
      <c r="E282" s="1">
        <f ca="1">IFERROR(__xludf.DUMMYFUNCTION("""COMPUTED_VALUE"""),-9.66)</f>
        <v>-9.66</v>
      </c>
      <c r="F282" s="1">
        <f ca="1">IFERROR(__xludf.DUMMYFUNCTION("""COMPUTED_VALUE"""),101.5)</f>
        <v>101.5</v>
      </c>
      <c r="G282" s="1">
        <f ca="1">IFERROR(__xludf.DUMMYFUNCTION("""COMPUTED_VALUE"""),193)</f>
        <v>193</v>
      </c>
      <c r="H282" s="1">
        <f ca="1">IFERROR(__xludf.DUMMYFUNCTION("""COMPUTED_VALUE"""),111.1)</f>
        <v>111.1</v>
      </c>
      <c r="I282" s="1">
        <f ca="1">IFERROR(__xludf.DUMMYFUNCTION("""COMPUTED_VALUE"""),317)</f>
        <v>317</v>
      </c>
      <c r="J282" s="1">
        <f ca="1">IFERROR(__xludf.DUMMYFUNCTION("""COMPUTED_VALUE"""),66.9)</f>
        <v>66.900000000000006</v>
      </c>
      <c r="K282" s="1">
        <f ca="1">IFERROR(__xludf.DUMMYFUNCTION("""COMPUTED_VALUE"""),64)</f>
        <v>64</v>
      </c>
      <c r="L282" s="1" t="str">
        <f ca="1">IFERROR(__xludf.DUMMYFUNCTION("""COMPUTED_VALUE"""),"+.007")</f>
        <v>+.007</v>
      </c>
      <c r="M282" s="1">
        <f ca="1">IFERROR(__xludf.DUMMYFUNCTION("""COMPUTED_VALUE"""),158)</f>
        <v>158</v>
      </c>
      <c r="N282" s="1">
        <f ca="1">IFERROR(__xludf.DUMMYFUNCTION("""COMPUTED_VALUE"""),-2.37)</f>
        <v>-2.37</v>
      </c>
      <c r="O282" s="1">
        <f ca="1">IFERROR(__xludf.DUMMYFUNCTION("""COMPUTED_VALUE"""),194)</f>
        <v>194</v>
      </c>
      <c r="P282" s="1">
        <f ca="1">IFERROR(__xludf.DUMMYFUNCTION("""COMPUTED_VALUE"""),102.8)</f>
        <v>102.8</v>
      </c>
      <c r="Q282" s="1">
        <f ca="1">IFERROR(__xludf.DUMMYFUNCTION("""COMPUTED_VALUE"""),143)</f>
        <v>143</v>
      </c>
      <c r="R282" s="1">
        <f ca="1">IFERROR(__xludf.DUMMYFUNCTION("""COMPUTED_VALUE"""),105.2)</f>
        <v>105.2</v>
      </c>
      <c r="S282" s="1">
        <f ca="1">IFERROR(__xludf.DUMMYFUNCTION("""COMPUTED_VALUE"""),272)</f>
        <v>272</v>
      </c>
      <c r="T282" s="1" t="str">
        <f ca="1">IFERROR(__xludf.DUMMYFUNCTION("""COMPUTED_VALUE"""),"+4.71")</f>
        <v>+4.71</v>
      </c>
      <c r="U282" s="1">
        <f ca="1">IFERROR(__xludf.DUMMYFUNCTION("""COMPUTED_VALUE"""),46)</f>
        <v>46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IFERROR(__xludf.DUMMYFUNCTION("""COMPUTED_VALUE"""),"Colgate")</f>
        <v>Colgate</v>
      </c>
      <c r="C283" s="1" t="str">
        <f ca="1">IFERROR(__xludf.DUMMYFUNCTION("""COMPUTED_VALUE"""),"Pat")</f>
        <v>Pat</v>
      </c>
      <c r="D283" s="2">
        <f ca="1">IFERROR(__xludf.DUMMYFUNCTION("""COMPUTED_VALUE"""),44886)</f>
        <v>44886</v>
      </c>
      <c r="E283" s="1">
        <f ca="1">IFERROR(__xludf.DUMMYFUNCTION("""COMPUTED_VALUE"""),-9.66)</f>
        <v>-9.66</v>
      </c>
      <c r="F283" s="1">
        <f ca="1">IFERROR(__xludf.DUMMYFUNCTION("""COMPUTED_VALUE"""),97.6)</f>
        <v>97.6</v>
      </c>
      <c r="G283" s="1">
        <f ca="1">IFERROR(__xludf.DUMMYFUNCTION("""COMPUTED_VALUE"""),265)</f>
        <v>265</v>
      </c>
      <c r="H283" s="1">
        <f ca="1">IFERROR(__xludf.DUMMYFUNCTION("""COMPUTED_VALUE"""),107.3)</f>
        <v>107.3</v>
      </c>
      <c r="I283" s="1">
        <f ca="1">IFERROR(__xludf.DUMMYFUNCTION("""COMPUTED_VALUE"""),262)</f>
        <v>262</v>
      </c>
      <c r="J283" s="1">
        <f ca="1">IFERROR(__xludf.DUMMYFUNCTION("""COMPUTED_VALUE"""),65.6)</f>
        <v>65.599999999999994</v>
      </c>
      <c r="K283" s="1">
        <f ca="1">IFERROR(__xludf.DUMMYFUNCTION("""COMPUTED_VALUE"""),126)</f>
        <v>126</v>
      </c>
      <c r="L283" s="1" t="str">
        <f ca="1">IFERROR(__xludf.DUMMYFUNCTION("""COMPUTED_VALUE"""),"+.002")</f>
        <v>+.002</v>
      </c>
      <c r="M283" s="1">
        <f ca="1">IFERROR(__xludf.DUMMYFUNCTION("""COMPUTED_VALUE"""),173)</f>
        <v>173</v>
      </c>
      <c r="N283" s="1">
        <f ca="1">IFERROR(__xludf.DUMMYFUNCTION("""COMPUTED_VALUE"""),-1.65)</f>
        <v>-1.65</v>
      </c>
      <c r="O283" s="1">
        <f ca="1">IFERROR(__xludf.DUMMYFUNCTION("""COMPUTED_VALUE"""),176)</f>
        <v>176</v>
      </c>
      <c r="P283" s="1">
        <f ca="1">IFERROR(__xludf.DUMMYFUNCTION("""COMPUTED_VALUE"""),101.7)</f>
        <v>101.7</v>
      </c>
      <c r="Q283" s="1">
        <f ca="1">IFERROR(__xludf.DUMMYFUNCTION("""COMPUTED_VALUE"""),195)</f>
        <v>195</v>
      </c>
      <c r="R283" s="1">
        <f ca="1">IFERROR(__xludf.DUMMYFUNCTION("""COMPUTED_VALUE"""),103.3)</f>
        <v>103.3</v>
      </c>
      <c r="S283" s="1">
        <f ca="1">IFERROR(__xludf.DUMMYFUNCTION("""COMPUTED_VALUE"""),184)</f>
        <v>184</v>
      </c>
      <c r="T283" s="1">
        <f ca="1">IFERROR(__xludf.DUMMYFUNCTION("""COMPUTED_VALUE"""),-2.14)</f>
        <v>-2.14</v>
      </c>
      <c r="U283" s="1">
        <f ca="1">IFERROR(__xludf.DUMMYFUNCTION("""COMPUTED_VALUE"""),228)</f>
        <v>228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IFERROR(__xludf.DUMMYFUNCTION("""COMPUTED_VALUE"""),"Bethune Cookman")</f>
        <v>Bethune Cookman</v>
      </c>
      <c r="C284" s="1" t="str">
        <f ca="1">IFERROR(__xludf.DUMMYFUNCTION("""COMPUTED_VALUE"""),"MEAC")</f>
        <v>MEAC</v>
      </c>
      <c r="D284" s="1" t="str">
        <f ca="1">IFERROR(__xludf.DUMMYFUNCTION("""COMPUTED_VALUE"""),"14-20")</f>
        <v>14-20</v>
      </c>
      <c r="E284" s="1">
        <f ca="1">IFERROR(__xludf.DUMMYFUNCTION("""COMPUTED_VALUE"""),-9.75)</f>
        <v>-9.75</v>
      </c>
      <c r="F284" s="1">
        <f ca="1">IFERROR(__xludf.DUMMYFUNCTION("""COMPUTED_VALUE"""),98)</f>
        <v>98</v>
      </c>
      <c r="G284" s="1">
        <f ca="1">IFERROR(__xludf.DUMMYFUNCTION("""COMPUTED_VALUE"""),254)</f>
        <v>254</v>
      </c>
      <c r="H284" s="1">
        <f ca="1">IFERROR(__xludf.DUMMYFUNCTION("""COMPUTED_VALUE"""),107.8)</f>
        <v>107.8</v>
      </c>
      <c r="I284" s="1">
        <f ca="1">IFERROR(__xludf.DUMMYFUNCTION("""COMPUTED_VALUE"""),268)</f>
        <v>268</v>
      </c>
      <c r="J284" s="1">
        <f ca="1">IFERROR(__xludf.DUMMYFUNCTION("""COMPUTED_VALUE"""),65.1)</f>
        <v>65.099999999999994</v>
      </c>
      <c r="K284" s="1">
        <f ca="1">IFERROR(__xludf.DUMMYFUNCTION("""COMPUTED_VALUE"""),149)</f>
        <v>149</v>
      </c>
      <c r="L284" s="1">
        <f ca="1">IFERROR(__xludf.DUMMYFUNCTION("""COMPUTED_VALUE"""),-0.029)</f>
        <v>-2.9000000000000001E-2</v>
      </c>
      <c r="M284" s="1">
        <f ca="1">IFERROR(__xludf.DUMMYFUNCTION("""COMPUTED_VALUE"""),255)</f>
        <v>255</v>
      </c>
      <c r="N284" s="1">
        <f ca="1">IFERROR(__xludf.DUMMYFUNCTION("""COMPUTED_VALUE"""),-6.38)</f>
        <v>-6.38</v>
      </c>
      <c r="O284" s="1">
        <f ca="1">IFERROR(__xludf.DUMMYFUNCTION("""COMPUTED_VALUE"""),306)</f>
        <v>306</v>
      </c>
      <c r="P284" s="1">
        <f ca="1">IFERROR(__xludf.DUMMYFUNCTION("""COMPUTED_VALUE"""),97.6)</f>
        <v>97.6</v>
      </c>
      <c r="Q284" s="1">
        <f ca="1">IFERROR(__xludf.DUMMYFUNCTION("""COMPUTED_VALUE"""),328)</f>
        <v>328</v>
      </c>
      <c r="R284" s="1">
        <f ca="1">IFERROR(__xludf.DUMMYFUNCTION("""COMPUTED_VALUE"""),104)</f>
        <v>104</v>
      </c>
      <c r="S284" s="1">
        <f ca="1">IFERROR(__xludf.DUMMYFUNCTION("""COMPUTED_VALUE"""),216)</f>
        <v>216</v>
      </c>
      <c r="T284" s="1" t="str">
        <f ca="1">IFERROR(__xludf.DUMMYFUNCTION("""COMPUTED_VALUE"""),"+1.56")</f>
        <v>+1.56</v>
      </c>
      <c r="U284" s="1">
        <f ca="1">IFERROR(__xludf.DUMMYFUNCTION("""COMPUTED_VALUE"""),114)</f>
        <v>114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IFERROR(__xludf.DUMMYFUNCTION("""COMPUTED_VALUE"""),"Tennessee Tech")</f>
        <v>Tennessee Tech</v>
      </c>
      <c r="C285" s="1" t="str">
        <f ca="1">IFERROR(__xludf.DUMMYFUNCTION("""COMPUTED_VALUE"""),"OVC")</f>
        <v>OVC</v>
      </c>
      <c r="D285" s="2">
        <f ca="1">IFERROR(__xludf.DUMMYFUNCTION("""COMPUTED_VALUE"""),44912)</f>
        <v>44912</v>
      </c>
      <c r="E285" s="1">
        <f ca="1">IFERROR(__xludf.DUMMYFUNCTION("""COMPUTED_VALUE"""),-10.15)</f>
        <v>-10.15</v>
      </c>
      <c r="F285" s="1">
        <f ca="1">IFERROR(__xludf.DUMMYFUNCTION("""COMPUTED_VALUE"""),97.1)</f>
        <v>97.1</v>
      </c>
      <c r="G285" s="1">
        <f ca="1">IFERROR(__xludf.DUMMYFUNCTION("""COMPUTED_VALUE"""),274)</f>
        <v>274</v>
      </c>
      <c r="H285" s="1">
        <f ca="1">IFERROR(__xludf.DUMMYFUNCTION("""COMPUTED_VALUE"""),107.3)</f>
        <v>107.3</v>
      </c>
      <c r="I285" s="1">
        <f ca="1">IFERROR(__xludf.DUMMYFUNCTION("""COMPUTED_VALUE"""),263)</f>
        <v>263</v>
      </c>
      <c r="J285" s="1">
        <f ca="1">IFERROR(__xludf.DUMMYFUNCTION("""COMPUTED_VALUE"""),64.2)</f>
        <v>64.2</v>
      </c>
      <c r="K285" s="1">
        <f ca="1">IFERROR(__xludf.DUMMYFUNCTION("""COMPUTED_VALUE"""),193)</f>
        <v>193</v>
      </c>
      <c r="L285" s="1" t="str">
        <f ca="1">IFERROR(__xludf.DUMMYFUNCTION("""COMPUTED_VALUE"""),"+.038")</f>
        <v>+.038</v>
      </c>
      <c r="M285" s="1">
        <f ca="1">IFERROR(__xludf.DUMMYFUNCTION("""COMPUTED_VALUE"""),85)</f>
        <v>85</v>
      </c>
      <c r="N285" s="1">
        <f ca="1">IFERROR(__xludf.DUMMYFUNCTION("""COMPUTED_VALUE"""),-2.85)</f>
        <v>-2.85</v>
      </c>
      <c r="O285" s="1">
        <f ca="1">IFERROR(__xludf.DUMMYFUNCTION("""COMPUTED_VALUE"""),214)</f>
        <v>214</v>
      </c>
      <c r="P285" s="1">
        <f ca="1">IFERROR(__xludf.DUMMYFUNCTION("""COMPUTED_VALUE"""),102)</f>
        <v>102</v>
      </c>
      <c r="Q285" s="1">
        <f ca="1">IFERROR(__xludf.DUMMYFUNCTION("""COMPUTED_VALUE"""),175)</f>
        <v>175</v>
      </c>
      <c r="R285" s="1">
        <f ca="1">IFERROR(__xludf.DUMMYFUNCTION("""COMPUTED_VALUE"""),104.8)</f>
        <v>104.8</v>
      </c>
      <c r="S285" s="1">
        <f ca="1">IFERROR(__xludf.DUMMYFUNCTION("""COMPUTED_VALUE"""),254)</f>
        <v>254</v>
      </c>
      <c r="T285" s="1">
        <f ca="1">IFERROR(__xludf.DUMMYFUNCTION("""COMPUTED_VALUE"""),-2.84)</f>
        <v>-2.84</v>
      </c>
      <c r="U285" s="1">
        <f ca="1">IFERROR(__xludf.DUMMYFUNCTION("""COMPUTED_VALUE"""),250)</f>
        <v>250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IFERROR(__xludf.DUMMYFUNCTION("""COMPUTED_VALUE"""),"Eastern Illinois")</f>
        <v>Eastern Illinois</v>
      </c>
      <c r="C286" s="1" t="str">
        <f ca="1">IFERROR(__xludf.DUMMYFUNCTION("""COMPUTED_VALUE"""),"OVC")</f>
        <v>OVC</v>
      </c>
      <c r="D286" s="2">
        <f ca="1">IFERROR(__xludf.DUMMYFUNCTION("""COMPUTED_VALUE"""),44886)</f>
        <v>44886</v>
      </c>
      <c r="E286" s="1">
        <f ca="1">IFERROR(__xludf.DUMMYFUNCTION("""COMPUTED_VALUE"""),-10.18)</f>
        <v>-10.18</v>
      </c>
      <c r="F286" s="1">
        <f ca="1">IFERROR(__xludf.DUMMYFUNCTION("""COMPUTED_VALUE"""),100)</f>
        <v>100</v>
      </c>
      <c r="G286" s="1">
        <f ca="1">IFERROR(__xludf.DUMMYFUNCTION("""COMPUTED_VALUE"""),219)</f>
        <v>219</v>
      </c>
      <c r="H286" s="1">
        <f ca="1">IFERROR(__xludf.DUMMYFUNCTION("""COMPUTED_VALUE"""),110.2)</f>
        <v>110.2</v>
      </c>
      <c r="I286" s="1">
        <f ca="1">IFERROR(__xludf.DUMMYFUNCTION("""COMPUTED_VALUE"""),304)</f>
        <v>304</v>
      </c>
      <c r="J286" s="1">
        <f ca="1">IFERROR(__xludf.DUMMYFUNCTION("""COMPUTED_VALUE"""),58.6)</f>
        <v>58.6</v>
      </c>
      <c r="K286" s="1">
        <f ca="1">IFERROR(__xludf.DUMMYFUNCTION("""COMPUTED_VALUE"""),342)</f>
        <v>342</v>
      </c>
      <c r="L286" s="1">
        <f ca="1">IFERROR(__xludf.DUMMYFUNCTION("""COMPUTED_VALUE"""),-0.033)</f>
        <v>-3.3000000000000002E-2</v>
      </c>
      <c r="M286" s="1">
        <f ca="1">IFERROR(__xludf.DUMMYFUNCTION("""COMPUTED_VALUE"""),264)</f>
        <v>264</v>
      </c>
      <c r="N286" s="1">
        <f ca="1">IFERROR(__xludf.DUMMYFUNCTION("""COMPUTED_VALUE"""),-5.49)</f>
        <v>-5.49</v>
      </c>
      <c r="O286" s="1">
        <f ca="1">IFERROR(__xludf.DUMMYFUNCTION("""COMPUTED_VALUE"""),284)</f>
        <v>284</v>
      </c>
      <c r="P286" s="1">
        <f ca="1">IFERROR(__xludf.DUMMYFUNCTION("""COMPUTED_VALUE"""),99.6)</f>
        <v>99.6</v>
      </c>
      <c r="Q286" s="1">
        <f ca="1">IFERROR(__xludf.DUMMYFUNCTION("""COMPUTED_VALUE"""),295)</f>
        <v>295</v>
      </c>
      <c r="R286" s="1">
        <f ca="1">IFERROR(__xludf.DUMMYFUNCTION("""COMPUTED_VALUE"""),105.1)</f>
        <v>105.1</v>
      </c>
      <c r="S286" s="1">
        <f ca="1">IFERROR(__xludf.DUMMYFUNCTION("""COMPUTED_VALUE"""),269)</f>
        <v>269</v>
      </c>
      <c r="T286" s="1">
        <f ca="1">IFERROR(__xludf.DUMMYFUNCTION("""COMPUTED_VALUE"""),-3.73)</f>
        <v>-3.73</v>
      </c>
      <c r="U286" s="1">
        <f ca="1">IFERROR(__xludf.DUMMYFUNCTION("""COMPUTED_VALUE"""),268)</f>
        <v>268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IFERROR(__xludf.DUMMYFUNCTION("""COMPUTED_VALUE"""),"Hampton")</f>
        <v>Hampton</v>
      </c>
      <c r="C287" s="1" t="str">
        <f ca="1">IFERROR(__xludf.DUMMYFUNCTION("""COMPUTED_VALUE"""),"MEAC")</f>
        <v>MEAC</v>
      </c>
      <c r="D287" s="1" t="str">
        <f ca="1">IFERROR(__xludf.DUMMYFUNCTION("""COMPUTED_VALUE"""),"14-17")</f>
        <v>14-17</v>
      </c>
      <c r="E287" s="1">
        <f ca="1">IFERROR(__xludf.DUMMYFUNCTION("""COMPUTED_VALUE"""),-10.21)</f>
        <v>-10.210000000000001</v>
      </c>
      <c r="F287" s="1">
        <f ca="1">IFERROR(__xludf.DUMMYFUNCTION("""COMPUTED_VALUE"""),89.2)</f>
        <v>89.2</v>
      </c>
      <c r="G287" s="1">
        <f ca="1">IFERROR(__xludf.DUMMYFUNCTION("""COMPUTED_VALUE"""),336)</f>
        <v>336</v>
      </c>
      <c r="H287" s="1">
        <f ca="1">IFERROR(__xludf.DUMMYFUNCTION("""COMPUTED_VALUE"""),99.4)</f>
        <v>99.4</v>
      </c>
      <c r="I287" s="1">
        <f ca="1">IFERROR(__xludf.DUMMYFUNCTION("""COMPUTED_VALUE"""),113)</f>
        <v>113</v>
      </c>
      <c r="J287" s="1">
        <f ca="1">IFERROR(__xludf.DUMMYFUNCTION("""COMPUTED_VALUE"""),68.7)</f>
        <v>68.7</v>
      </c>
      <c r="K287" s="1">
        <f ca="1">IFERROR(__xludf.DUMMYFUNCTION("""COMPUTED_VALUE"""),26)</f>
        <v>26</v>
      </c>
      <c r="L287" s="1" t="str">
        <f ca="1">IFERROR(__xludf.DUMMYFUNCTION("""COMPUTED_VALUE"""),"+.031")</f>
        <v>+.031</v>
      </c>
      <c r="M287" s="1">
        <f ca="1">IFERROR(__xludf.DUMMYFUNCTION("""COMPUTED_VALUE"""),101)</f>
        <v>101</v>
      </c>
      <c r="N287" s="1">
        <f ca="1">IFERROR(__xludf.DUMMYFUNCTION("""COMPUTED_VALUE"""),-9.11)</f>
        <v>-9.11</v>
      </c>
      <c r="O287" s="1">
        <f ca="1">IFERROR(__xludf.DUMMYFUNCTION("""COMPUTED_VALUE"""),340)</f>
        <v>340</v>
      </c>
      <c r="P287" s="1">
        <f ca="1">IFERROR(__xludf.DUMMYFUNCTION("""COMPUTED_VALUE"""),95.9)</f>
        <v>95.9</v>
      </c>
      <c r="Q287" s="1">
        <f ca="1">IFERROR(__xludf.DUMMYFUNCTION("""COMPUTED_VALUE"""),342)</f>
        <v>342</v>
      </c>
      <c r="R287" s="1">
        <f ca="1">IFERROR(__xludf.DUMMYFUNCTION("""COMPUTED_VALUE"""),105)</f>
        <v>105</v>
      </c>
      <c r="S287" s="1">
        <f ca="1">IFERROR(__xludf.DUMMYFUNCTION("""COMPUTED_VALUE"""),263)</f>
        <v>263</v>
      </c>
      <c r="T287" s="1">
        <f ca="1">IFERROR(__xludf.DUMMYFUNCTION("""COMPUTED_VALUE"""),-5.12)</f>
        <v>-5.12</v>
      </c>
      <c r="U287" s="1">
        <f ca="1">IFERROR(__xludf.DUMMYFUNCTION("""COMPUTED_VALUE"""),293)</f>
        <v>293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IFERROR(__xludf.DUMMYFUNCTION("""COMPUTED_VALUE"""),"Troy")</f>
        <v>Troy</v>
      </c>
      <c r="C288" s="1" t="str">
        <f ca="1">IFERROR(__xludf.DUMMYFUNCTION("""COMPUTED_VALUE"""),"SB")</f>
        <v>SB</v>
      </c>
      <c r="D288" s="2">
        <f ca="1">IFERROR(__xludf.DUMMYFUNCTION("""COMPUTED_VALUE"""),44916)</f>
        <v>44916</v>
      </c>
      <c r="E288" s="1">
        <f ca="1">IFERROR(__xludf.DUMMYFUNCTION("""COMPUTED_VALUE"""),-10.31)</f>
        <v>-10.31</v>
      </c>
      <c r="F288" s="1">
        <f ca="1">IFERROR(__xludf.DUMMYFUNCTION("""COMPUTED_VALUE"""),99.1)</f>
        <v>99.1</v>
      </c>
      <c r="G288" s="1">
        <f ca="1">IFERROR(__xludf.DUMMYFUNCTION("""COMPUTED_VALUE"""),232)</f>
        <v>232</v>
      </c>
      <c r="H288" s="1">
        <f ca="1">IFERROR(__xludf.DUMMYFUNCTION("""COMPUTED_VALUE"""),109.4)</f>
        <v>109.4</v>
      </c>
      <c r="I288" s="1">
        <f ca="1">IFERROR(__xludf.DUMMYFUNCTION("""COMPUTED_VALUE"""),298)</f>
        <v>298</v>
      </c>
      <c r="J288" s="1">
        <f ca="1">IFERROR(__xludf.DUMMYFUNCTION("""COMPUTED_VALUE"""),59.4)</f>
        <v>59.4</v>
      </c>
      <c r="K288" s="1">
        <f ca="1">IFERROR(__xludf.DUMMYFUNCTION("""COMPUTED_VALUE"""),333)</f>
        <v>333</v>
      </c>
      <c r="L288" s="1" t="str">
        <f ca="1">IFERROR(__xludf.DUMMYFUNCTION("""COMPUTED_VALUE"""),"+.005")</f>
        <v>+.005</v>
      </c>
      <c r="M288" s="1">
        <f ca="1">IFERROR(__xludf.DUMMYFUNCTION("""COMPUTED_VALUE"""),162)</f>
        <v>162</v>
      </c>
      <c r="N288" s="1">
        <f ca="1">IFERROR(__xludf.DUMMYFUNCTION("""COMPUTED_VALUE"""),-5.37)</f>
        <v>-5.37</v>
      </c>
      <c r="O288" s="1">
        <f ca="1">IFERROR(__xludf.DUMMYFUNCTION("""COMPUTED_VALUE"""),281)</f>
        <v>281</v>
      </c>
      <c r="P288" s="1">
        <f ca="1">IFERROR(__xludf.DUMMYFUNCTION("""COMPUTED_VALUE"""),98.9)</f>
        <v>98.9</v>
      </c>
      <c r="Q288" s="1">
        <f ca="1">IFERROR(__xludf.DUMMYFUNCTION("""COMPUTED_VALUE"""),316)</f>
        <v>316</v>
      </c>
      <c r="R288" s="1">
        <f ca="1">IFERROR(__xludf.DUMMYFUNCTION("""COMPUTED_VALUE"""),104.3)</f>
        <v>104.3</v>
      </c>
      <c r="S288" s="1">
        <f ca="1">IFERROR(__xludf.DUMMYFUNCTION("""COMPUTED_VALUE"""),235)</f>
        <v>235</v>
      </c>
      <c r="T288" s="1">
        <f ca="1">IFERROR(__xludf.DUMMYFUNCTION("""COMPUTED_VALUE"""),-8.51)</f>
        <v>-8.51</v>
      </c>
      <c r="U288" s="1">
        <f ca="1">IFERROR(__xludf.DUMMYFUNCTION("""COMPUTED_VALUE"""),334)</f>
        <v>334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IFERROR(__xludf.DUMMYFUNCTION("""COMPUTED_VALUE"""),"Dartmouth")</f>
        <v>Dartmouth</v>
      </c>
      <c r="C289" s="1" t="str">
        <f ca="1">IFERROR(__xludf.DUMMYFUNCTION("""COMPUTED_VALUE"""),"Ivy")</f>
        <v>Ivy</v>
      </c>
      <c r="D289" s="2">
        <f ca="1">IFERROR(__xludf.DUMMYFUNCTION("""COMPUTED_VALUE"""),44823)</f>
        <v>44823</v>
      </c>
      <c r="E289" s="1">
        <f ca="1">IFERROR(__xludf.DUMMYFUNCTION("""COMPUTED_VALUE"""),-10.34)</f>
        <v>-10.34</v>
      </c>
      <c r="F289" s="1">
        <f ca="1">IFERROR(__xludf.DUMMYFUNCTION("""COMPUTED_VALUE"""),96.4)</f>
        <v>96.4</v>
      </c>
      <c r="G289" s="1">
        <f ca="1">IFERROR(__xludf.DUMMYFUNCTION("""COMPUTED_VALUE"""),280)</f>
        <v>280</v>
      </c>
      <c r="H289" s="1">
        <f ca="1">IFERROR(__xludf.DUMMYFUNCTION("""COMPUTED_VALUE"""),106.7)</f>
        <v>106.7</v>
      </c>
      <c r="I289" s="1">
        <f ca="1">IFERROR(__xludf.DUMMYFUNCTION("""COMPUTED_VALUE"""),255)</f>
        <v>255</v>
      </c>
      <c r="J289" s="1">
        <f ca="1">IFERROR(__xludf.DUMMYFUNCTION("""COMPUTED_VALUE"""),63.1)</f>
        <v>63.1</v>
      </c>
      <c r="K289" s="1">
        <f ca="1">IFERROR(__xludf.DUMMYFUNCTION("""COMPUTED_VALUE"""),234)</f>
        <v>234</v>
      </c>
      <c r="L289" s="1">
        <f ca="1">IFERROR(__xludf.DUMMYFUNCTION("""COMPUTED_VALUE"""),-0.008)</f>
        <v>-8.0000000000000002E-3</v>
      </c>
      <c r="M289" s="1">
        <f ca="1">IFERROR(__xludf.DUMMYFUNCTION("""COMPUTED_VALUE"""),203)</f>
        <v>203</v>
      </c>
      <c r="N289" s="1">
        <f ca="1">IFERROR(__xludf.DUMMYFUNCTION("""COMPUTED_VALUE"""),-2.6)</f>
        <v>-2.6</v>
      </c>
      <c r="O289" s="1">
        <f ca="1">IFERROR(__xludf.DUMMYFUNCTION("""COMPUTED_VALUE"""),205)</f>
        <v>205</v>
      </c>
      <c r="P289" s="1">
        <f ca="1">IFERROR(__xludf.DUMMYFUNCTION("""COMPUTED_VALUE"""),101.5)</f>
        <v>101.5</v>
      </c>
      <c r="Q289" s="1">
        <f ca="1">IFERROR(__xludf.DUMMYFUNCTION("""COMPUTED_VALUE"""),205)</f>
        <v>205</v>
      </c>
      <c r="R289" s="1">
        <f ca="1">IFERROR(__xludf.DUMMYFUNCTION("""COMPUTED_VALUE"""),104.1)</f>
        <v>104.1</v>
      </c>
      <c r="S289" s="1">
        <f ca="1">IFERROR(__xludf.DUMMYFUNCTION("""COMPUTED_VALUE"""),226)</f>
        <v>226</v>
      </c>
      <c r="T289" s="1">
        <f ca="1">IFERROR(__xludf.DUMMYFUNCTION("""COMPUTED_VALUE"""),-2.34)</f>
        <v>-2.34</v>
      </c>
      <c r="U289" s="1">
        <f ca="1">IFERROR(__xludf.DUMMYFUNCTION("""COMPUTED_VALUE"""),237)</f>
        <v>237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IFERROR(__xludf.DUMMYFUNCTION("""COMPUTED_VALUE"""),"Old Dominion")</f>
        <v>Old Dominion</v>
      </c>
      <c r="C290" s="1" t="str">
        <f ca="1">IFERROR(__xludf.DUMMYFUNCTION("""COMPUTED_VALUE"""),"CAA")</f>
        <v>CAA</v>
      </c>
      <c r="D290" s="2">
        <f ca="1">IFERROR(__xludf.DUMMYFUNCTION("""COMPUTED_VALUE"""),44706)</f>
        <v>44706</v>
      </c>
      <c r="E290" s="1">
        <f ca="1">IFERROR(__xludf.DUMMYFUNCTION("""COMPUTED_VALUE"""),-10.49)</f>
        <v>-10.49</v>
      </c>
      <c r="F290" s="1">
        <f ca="1">IFERROR(__xludf.DUMMYFUNCTION("""COMPUTED_VALUE"""),98.6)</f>
        <v>98.6</v>
      </c>
      <c r="G290" s="1">
        <f ca="1">IFERROR(__xludf.DUMMYFUNCTION("""COMPUTED_VALUE"""),246)</f>
        <v>246</v>
      </c>
      <c r="H290" s="1">
        <f ca="1">IFERROR(__xludf.DUMMYFUNCTION("""COMPUTED_VALUE"""),109.1)</f>
        <v>109.1</v>
      </c>
      <c r="I290" s="1">
        <f ca="1">IFERROR(__xludf.DUMMYFUNCTION("""COMPUTED_VALUE"""),296)</f>
        <v>296</v>
      </c>
      <c r="J290" s="1">
        <f ca="1">IFERROR(__xludf.DUMMYFUNCTION("""COMPUTED_VALUE"""),65.3)</f>
        <v>65.3</v>
      </c>
      <c r="K290" s="1">
        <f ca="1">IFERROR(__xludf.DUMMYFUNCTION("""COMPUTED_VALUE"""),136)</f>
        <v>136</v>
      </c>
      <c r="L290" s="1">
        <f ca="1">IFERROR(__xludf.DUMMYFUNCTION("""COMPUTED_VALUE"""),-0.112)</f>
        <v>-0.112</v>
      </c>
      <c r="M290" s="1">
        <f ca="1">IFERROR(__xludf.DUMMYFUNCTION("""COMPUTED_VALUE"""),340)</f>
        <v>340</v>
      </c>
      <c r="N290" s="1">
        <f ca="1">IFERROR(__xludf.DUMMYFUNCTION("""COMPUTED_VALUE"""),-2.79)</f>
        <v>-2.79</v>
      </c>
      <c r="O290" s="1">
        <f ca="1">IFERROR(__xludf.DUMMYFUNCTION("""COMPUTED_VALUE"""),212)</f>
        <v>212</v>
      </c>
      <c r="P290" s="1">
        <f ca="1">IFERROR(__xludf.DUMMYFUNCTION("""COMPUTED_VALUE"""),102.2)</f>
        <v>102.2</v>
      </c>
      <c r="Q290" s="1">
        <f ca="1">IFERROR(__xludf.DUMMYFUNCTION("""COMPUTED_VALUE"""),170)</f>
        <v>170</v>
      </c>
      <c r="R290" s="1">
        <f ca="1">IFERROR(__xludf.DUMMYFUNCTION("""COMPUTED_VALUE"""),105)</f>
        <v>105</v>
      </c>
      <c r="S290" s="1">
        <f ca="1">IFERROR(__xludf.DUMMYFUNCTION("""COMPUTED_VALUE"""),260)</f>
        <v>260</v>
      </c>
      <c r="T290" s="1">
        <f ca="1">IFERROR(__xludf.DUMMYFUNCTION("""COMPUTED_VALUE"""),-2.05)</f>
        <v>-2.0499999999999998</v>
      </c>
      <c r="U290" s="1">
        <f ca="1">IFERROR(__xludf.DUMMYFUNCTION("""COMPUTED_VALUE"""),226)</f>
        <v>226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IFERROR(__xludf.DUMMYFUNCTION("""COMPUTED_VALUE"""),"American")</f>
        <v>American</v>
      </c>
      <c r="C291" s="1" t="str">
        <f ca="1">IFERROR(__xludf.DUMMYFUNCTION("""COMPUTED_VALUE"""),"Pat")</f>
        <v>Pat</v>
      </c>
      <c r="D291" s="2">
        <f ca="1">IFERROR(__xludf.DUMMYFUNCTION("""COMPUTED_VALUE"""),44854)</f>
        <v>44854</v>
      </c>
      <c r="E291" s="1">
        <f ca="1">IFERROR(__xludf.DUMMYFUNCTION("""COMPUTED_VALUE"""),-10.51)</f>
        <v>-10.51</v>
      </c>
      <c r="F291" s="1">
        <f ca="1">IFERROR(__xludf.DUMMYFUNCTION("""COMPUTED_VALUE"""),98)</f>
        <v>98</v>
      </c>
      <c r="G291" s="1">
        <f ca="1">IFERROR(__xludf.DUMMYFUNCTION("""COMPUTED_VALUE"""),258)</f>
        <v>258</v>
      </c>
      <c r="H291" s="1">
        <f ca="1">IFERROR(__xludf.DUMMYFUNCTION("""COMPUTED_VALUE"""),108.5)</f>
        <v>108.5</v>
      </c>
      <c r="I291" s="1">
        <f ca="1">IFERROR(__xludf.DUMMYFUNCTION("""COMPUTED_VALUE"""),280)</f>
        <v>280</v>
      </c>
      <c r="J291" s="1">
        <f ca="1">IFERROR(__xludf.DUMMYFUNCTION("""COMPUTED_VALUE"""),58.5)</f>
        <v>58.5</v>
      </c>
      <c r="K291" s="1">
        <f ca="1">IFERROR(__xludf.DUMMYFUNCTION("""COMPUTED_VALUE"""),343)</f>
        <v>343</v>
      </c>
      <c r="L291" s="1" t="str">
        <f ca="1">IFERROR(__xludf.DUMMYFUNCTION("""COMPUTED_VALUE"""),"+.004")</f>
        <v>+.004</v>
      </c>
      <c r="M291" s="1">
        <f ca="1">IFERROR(__xludf.DUMMYFUNCTION("""COMPUTED_VALUE"""),164)</f>
        <v>164</v>
      </c>
      <c r="N291" s="1">
        <f ca="1">IFERROR(__xludf.DUMMYFUNCTION("""COMPUTED_VALUE"""),-2.05)</f>
        <v>-2.0499999999999998</v>
      </c>
      <c r="O291" s="1">
        <f ca="1">IFERROR(__xludf.DUMMYFUNCTION("""COMPUTED_VALUE"""),185)</f>
        <v>185</v>
      </c>
      <c r="P291" s="1">
        <f ca="1">IFERROR(__xludf.DUMMYFUNCTION("""COMPUTED_VALUE"""),101.2)</f>
        <v>101.2</v>
      </c>
      <c r="Q291" s="1">
        <f ca="1">IFERROR(__xludf.DUMMYFUNCTION("""COMPUTED_VALUE"""),217)</f>
        <v>217</v>
      </c>
      <c r="R291" s="1">
        <f ca="1">IFERROR(__xludf.DUMMYFUNCTION("""COMPUTED_VALUE"""),103.3)</f>
        <v>103.3</v>
      </c>
      <c r="S291" s="1">
        <f ca="1">IFERROR(__xludf.DUMMYFUNCTION("""COMPUTED_VALUE"""),183)</f>
        <v>183</v>
      </c>
      <c r="T291" s="1">
        <f ca="1">IFERROR(__xludf.DUMMYFUNCTION("""COMPUTED_VALUE"""),-2.63)</f>
        <v>-2.63</v>
      </c>
      <c r="U291" s="1">
        <f ca="1">IFERROR(__xludf.DUMMYFUNCTION("""COMPUTED_VALUE"""),249)</f>
        <v>249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IFERROR(__xludf.DUMMYFUNCTION("""COMPUTED_VALUE"""),"Winthrop")</f>
        <v>Winthrop</v>
      </c>
      <c r="C292" s="1" t="str">
        <f ca="1">IFERROR(__xludf.DUMMYFUNCTION("""COMPUTED_VALUE"""),"BSth")</f>
        <v>BSth</v>
      </c>
      <c r="D292" s="1" t="str">
        <f ca="1">IFERROR(__xludf.DUMMYFUNCTION("""COMPUTED_VALUE"""),"14-17")</f>
        <v>14-17</v>
      </c>
      <c r="E292" s="1">
        <f ca="1">IFERROR(__xludf.DUMMYFUNCTION("""COMPUTED_VALUE"""),-10.64)</f>
        <v>-10.64</v>
      </c>
      <c r="F292" s="1">
        <f ca="1">IFERROR(__xludf.DUMMYFUNCTION("""COMPUTED_VALUE"""),95.3)</f>
        <v>95.3</v>
      </c>
      <c r="G292" s="1">
        <f ca="1">IFERROR(__xludf.DUMMYFUNCTION("""COMPUTED_VALUE"""),291)</f>
        <v>291</v>
      </c>
      <c r="H292" s="1">
        <f ca="1">IFERROR(__xludf.DUMMYFUNCTION("""COMPUTED_VALUE"""),105.9)</f>
        <v>105.9</v>
      </c>
      <c r="I292" s="1">
        <f ca="1">IFERROR(__xludf.DUMMYFUNCTION("""COMPUTED_VALUE"""),245)</f>
        <v>245</v>
      </c>
      <c r="J292" s="1">
        <f ca="1">IFERROR(__xludf.DUMMYFUNCTION("""COMPUTED_VALUE"""),59.8)</f>
        <v>59.8</v>
      </c>
      <c r="K292" s="1">
        <f ca="1">IFERROR(__xludf.DUMMYFUNCTION("""COMPUTED_VALUE"""),326)</f>
        <v>326</v>
      </c>
      <c r="L292" s="1" t="str">
        <f ca="1">IFERROR(__xludf.DUMMYFUNCTION("""COMPUTED_VALUE"""),"+.037")</f>
        <v>+.037</v>
      </c>
      <c r="M292" s="1">
        <f ca="1">IFERROR(__xludf.DUMMYFUNCTION("""COMPUTED_VALUE"""),91)</f>
        <v>91</v>
      </c>
      <c r="N292" s="1">
        <f ca="1">IFERROR(__xludf.DUMMYFUNCTION("""COMPUTED_VALUE"""),-5.09)</f>
        <v>-5.09</v>
      </c>
      <c r="O292" s="1">
        <f ca="1">IFERROR(__xludf.DUMMYFUNCTION("""COMPUTED_VALUE"""),270)</f>
        <v>270</v>
      </c>
      <c r="P292" s="1">
        <f ca="1">IFERROR(__xludf.DUMMYFUNCTION("""COMPUTED_VALUE"""),99)</f>
        <v>99</v>
      </c>
      <c r="Q292" s="1">
        <f ca="1">IFERROR(__xludf.DUMMYFUNCTION("""COMPUTED_VALUE"""),314)</f>
        <v>314</v>
      </c>
      <c r="R292" s="1">
        <f ca="1">IFERROR(__xludf.DUMMYFUNCTION("""COMPUTED_VALUE"""),104.1)</f>
        <v>104.1</v>
      </c>
      <c r="S292" s="1">
        <f ca="1">IFERROR(__xludf.DUMMYFUNCTION("""COMPUTED_VALUE"""),225)</f>
        <v>225</v>
      </c>
      <c r="T292" s="1" t="str">
        <f ca="1">IFERROR(__xludf.DUMMYFUNCTION("""COMPUTED_VALUE"""),"+3.44")</f>
        <v>+3.44</v>
      </c>
      <c r="U292" s="1">
        <f ca="1">IFERROR(__xludf.DUMMYFUNCTION("""COMPUTED_VALUE"""),72)</f>
        <v>72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IFERROR(__xludf.DUMMYFUNCTION("""COMPUTED_VALUE"""),"Sacramento St.")</f>
        <v>Sacramento St.</v>
      </c>
      <c r="C293" s="1" t="str">
        <f ca="1">IFERROR(__xludf.DUMMYFUNCTION("""COMPUTED_VALUE"""),"BSky")</f>
        <v>BSky</v>
      </c>
      <c r="D293" s="1" t="str">
        <f ca="1">IFERROR(__xludf.DUMMYFUNCTION("""COMPUTED_VALUE"""),"14-15")</f>
        <v>14-15</v>
      </c>
      <c r="E293" s="1">
        <f ca="1">IFERROR(__xludf.DUMMYFUNCTION("""COMPUTED_VALUE"""),-10.81)</f>
        <v>-10.81</v>
      </c>
      <c r="F293" s="1">
        <f ca="1">IFERROR(__xludf.DUMMYFUNCTION("""COMPUTED_VALUE"""),97)</f>
        <v>97</v>
      </c>
      <c r="G293" s="1">
        <f ca="1">IFERROR(__xludf.DUMMYFUNCTION("""COMPUTED_VALUE"""),276)</f>
        <v>276</v>
      </c>
      <c r="H293" s="1">
        <f ca="1">IFERROR(__xludf.DUMMYFUNCTION("""COMPUTED_VALUE"""),107.9)</f>
        <v>107.9</v>
      </c>
      <c r="I293" s="1">
        <f ca="1">IFERROR(__xludf.DUMMYFUNCTION("""COMPUTED_VALUE"""),270)</f>
        <v>270</v>
      </c>
      <c r="J293" s="1">
        <f ca="1">IFERROR(__xludf.DUMMYFUNCTION("""COMPUTED_VALUE"""),61.3)</f>
        <v>61.3</v>
      </c>
      <c r="K293" s="1">
        <f ca="1">IFERROR(__xludf.DUMMYFUNCTION("""COMPUTED_VALUE"""),299)</f>
        <v>299</v>
      </c>
      <c r="L293" s="1" t="str">
        <f ca="1">IFERROR(__xludf.DUMMYFUNCTION("""COMPUTED_VALUE"""),"+.050")</f>
        <v>+.050</v>
      </c>
      <c r="M293" s="1">
        <f ca="1">IFERROR(__xludf.DUMMYFUNCTION("""COMPUTED_VALUE"""),52)</f>
        <v>52</v>
      </c>
      <c r="N293" s="1">
        <f ca="1">IFERROR(__xludf.DUMMYFUNCTION("""COMPUTED_VALUE"""),-7.67)</f>
        <v>-7.67</v>
      </c>
      <c r="O293" s="1">
        <f ca="1">IFERROR(__xludf.DUMMYFUNCTION("""COMPUTED_VALUE"""),330)</f>
        <v>330</v>
      </c>
      <c r="P293" s="1">
        <f ca="1">IFERROR(__xludf.DUMMYFUNCTION("""COMPUTED_VALUE"""),99.7)</f>
        <v>99.7</v>
      </c>
      <c r="Q293" s="1">
        <f ca="1">IFERROR(__xludf.DUMMYFUNCTION("""COMPUTED_VALUE"""),289)</f>
        <v>289</v>
      </c>
      <c r="R293" s="1">
        <f ca="1">IFERROR(__xludf.DUMMYFUNCTION("""COMPUTED_VALUE"""),107.4)</f>
        <v>107.4</v>
      </c>
      <c r="S293" s="1">
        <f ca="1">IFERROR(__xludf.DUMMYFUNCTION("""COMPUTED_VALUE"""),343)</f>
        <v>343</v>
      </c>
      <c r="T293" s="1">
        <f ca="1">IFERROR(__xludf.DUMMYFUNCTION("""COMPUTED_VALUE"""),-2.41)</f>
        <v>-2.41</v>
      </c>
      <c r="U293" s="1">
        <f ca="1">IFERROR(__xludf.DUMMYFUNCTION("""COMPUTED_VALUE"""),240)</f>
        <v>240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IFERROR(__xludf.DUMMYFUNCTION("""COMPUTED_VALUE"""),"Saint Peter's")</f>
        <v>Saint Peter's</v>
      </c>
      <c r="C294" s="1" t="str">
        <f ca="1">IFERROR(__xludf.DUMMYFUNCTION("""COMPUTED_VALUE"""),"MAAC")</f>
        <v>MAAC</v>
      </c>
      <c r="D294" s="2">
        <f ca="1">IFERROR(__xludf.DUMMYFUNCTION("""COMPUTED_VALUE"""),44825)</f>
        <v>44825</v>
      </c>
      <c r="E294" s="1">
        <f ca="1">IFERROR(__xludf.DUMMYFUNCTION("""COMPUTED_VALUE"""),-11.07)</f>
        <v>-11.07</v>
      </c>
      <c r="F294" s="1">
        <f ca="1">IFERROR(__xludf.DUMMYFUNCTION("""COMPUTED_VALUE"""),92.8)</f>
        <v>92.8</v>
      </c>
      <c r="G294" s="1">
        <f ca="1">IFERROR(__xludf.DUMMYFUNCTION("""COMPUTED_VALUE"""),314)</f>
        <v>314</v>
      </c>
      <c r="H294" s="1">
        <f ca="1">IFERROR(__xludf.DUMMYFUNCTION("""COMPUTED_VALUE"""),103.9)</f>
        <v>103.9</v>
      </c>
      <c r="I294" s="1">
        <f ca="1">IFERROR(__xludf.DUMMYFUNCTION("""COMPUTED_VALUE"""),197)</f>
        <v>197</v>
      </c>
      <c r="J294" s="1">
        <f ca="1">IFERROR(__xludf.DUMMYFUNCTION("""COMPUTED_VALUE"""),62.7)</f>
        <v>62.7</v>
      </c>
      <c r="K294" s="1">
        <f ca="1">IFERROR(__xludf.DUMMYFUNCTION("""COMPUTED_VALUE"""),256)</f>
        <v>256</v>
      </c>
      <c r="L294" s="1" t="str">
        <f ca="1">IFERROR(__xludf.DUMMYFUNCTION("""COMPUTED_VALUE"""),"+.049")</f>
        <v>+.049</v>
      </c>
      <c r="M294" s="1">
        <f ca="1">IFERROR(__xludf.DUMMYFUNCTION("""COMPUTED_VALUE"""),54)</f>
        <v>54</v>
      </c>
      <c r="N294" s="1">
        <f ca="1">IFERROR(__xludf.DUMMYFUNCTION("""COMPUTED_VALUE"""),-2.37)</f>
        <v>-2.37</v>
      </c>
      <c r="O294" s="1">
        <f ca="1">IFERROR(__xludf.DUMMYFUNCTION("""COMPUTED_VALUE"""),196)</f>
        <v>196</v>
      </c>
      <c r="P294" s="1">
        <f ca="1">IFERROR(__xludf.DUMMYFUNCTION("""COMPUTED_VALUE"""),101.5)</f>
        <v>101.5</v>
      </c>
      <c r="Q294" s="1">
        <f ca="1">IFERROR(__xludf.DUMMYFUNCTION("""COMPUTED_VALUE"""),204)</f>
        <v>204</v>
      </c>
      <c r="R294" s="1">
        <f ca="1">IFERROR(__xludf.DUMMYFUNCTION("""COMPUTED_VALUE"""),103.9)</f>
        <v>103.9</v>
      </c>
      <c r="S294" s="1">
        <f ca="1">IFERROR(__xludf.DUMMYFUNCTION("""COMPUTED_VALUE"""),214)</f>
        <v>214</v>
      </c>
      <c r="T294" s="1">
        <f ca="1">IFERROR(__xludf.DUMMYFUNCTION("""COMPUTED_VALUE"""),-6.54)</f>
        <v>-6.54</v>
      </c>
      <c r="U294" s="1">
        <f ca="1">IFERROR(__xludf.DUMMYFUNCTION("""COMPUTED_VALUE"""),315)</f>
        <v>315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IFERROR(__xludf.DUMMYFUNCTION("""COMPUTED_VALUE"""),"Arkansas Pine Bluff")</f>
        <v>Arkansas Pine Bluff</v>
      </c>
      <c r="C297" s="1" t="str">
        <f ca="1">IFERROR(__xludf.DUMMYFUNCTION("""COMPUTED_VALUE"""),"SWAC")</f>
        <v>SWAC</v>
      </c>
      <c r="D297" s="1" t="str">
        <f ca="1">IFERROR(__xludf.DUMMYFUNCTION("""COMPUTED_VALUE"""),"16-14")</f>
        <v>16-14</v>
      </c>
      <c r="E297" s="1">
        <f ca="1">IFERROR(__xludf.DUMMYFUNCTION("""COMPUTED_VALUE"""),-11.19)</f>
        <v>-11.19</v>
      </c>
      <c r="F297" s="1">
        <f ca="1">IFERROR(__xludf.DUMMYFUNCTION("""COMPUTED_VALUE"""),92.5)</f>
        <v>92.5</v>
      </c>
      <c r="G297" s="1">
        <f ca="1">IFERROR(__xludf.DUMMYFUNCTION("""COMPUTED_VALUE"""),316)</f>
        <v>316</v>
      </c>
      <c r="H297" s="1">
        <f ca="1">IFERROR(__xludf.DUMMYFUNCTION("""COMPUTED_VALUE"""),103.7)</f>
        <v>103.7</v>
      </c>
      <c r="I297" s="1">
        <f ca="1">IFERROR(__xludf.DUMMYFUNCTION("""COMPUTED_VALUE"""),191)</f>
        <v>191</v>
      </c>
      <c r="J297" s="1">
        <f ca="1">IFERROR(__xludf.DUMMYFUNCTION("""COMPUTED_VALUE"""),66.6)</f>
        <v>66.599999999999994</v>
      </c>
      <c r="K297" s="1">
        <f ca="1">IFERROR(__xludf.DUMMYFUNCTION("""COMPUTED_VALUE"""),77)</f>
        <v>77</v>
      </c>
      <c r="L297" s="1" t="str">
        <f ca="1">IFERROR(__xludf.DUMMYFUNCTION("""COMPUTED_VALUE"""),"+.117")</f>
        <v>+.117</v>
      </c>
      <c r="M297" s="1">
        <f ca="1">IFERROR(__xludf.DUMMYFUNCTION("""COMPUTED_VALUE"""),4)</f>
        <v>4</v>
      </c>
      <c r="N297" s="1">
        <f ca="1">IFERROR(__xludf.DUMMYFUNCTION("""COMPUTED_VALUE"""),-8.5)</f>
        <v>-8.5</v>
      </c>
      <c r="O297" s="1">
        <f ca="1">IFERROR(__xludf.DUMMYFUNCTION("""COMPUTED_VALUE"""),337)</f>
        <v>337</v>
      </c>
      <c r="P297" s="1">
        <f ca="1">IFERROR(__xludf.DUMMYFUNCTION("""COMPUTED_VALUE"""),96.6)</f>
        <v>96.6</v>
      </c>
      <c r="Q297" s="1">
        <f ca="1">IFERROR(__xludf.DUMMYFUNCTION("""COMPUTED_VALUE"""),335)</f>
        <v>335</v>
      </c>
      <c r="R297" s="1">
        <f ca="1">IFERROR(__xludf.DUMMYFUNCTION("""COMPUTED_VALUE"""),105.1)</f>
        <v>105.1</v>
      </c>
      <c r="S297" s="1">
        <f ca="1">IFERROR(__xludf.DUMMYFUNCTION("""COMPUTED_VALUE"""),267)</f>
        <v>267</v>
      </c>
      <c r="T297" s="1" t="str">
        <f ca="1">IFERROR(__xludf.DUMMYFUNCTION("""COMPUTED_VALUE"""),"+8.92")</f>
        <v>+8.92</v>
      </c>
      <c r="U297" s="1">
        <f ca="1">IFERROR(__xludf.DUMMYFUNCTION("""COMPUTED_VALUE"""),8)</f>
        <v>8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IFERROR(__xludf.DUMMYFUNCTION("""COMPUTED_VALUE"""),"Georgia Southern")</f>
        <v>Georgia Southern</v>
      </c>
      <c r="C298" s="1" t="str">
        <f ca="1">IFERROR(__xludf.DUMMYFUNCTION("""COMPUTED_VALUE"""),"SC")</f>
        <v>SC</v>
      </c>
      <c r="D298" s="1" t="str">
        <f ca="1">IFERROR(__xludf.DUMMYFUNCTION("""COMPUTED_VALUE"""),"14-19")</f>
        <v>14-19</v>
      </c>
      <c r="E298" s="1">
        <f ca="1">IFERROR(__xludf.DUMMYFUNCTION("""COMPUTED_VALUE"""),-11.19)</f>
        <v>-11.19</v>
      </c>
      <c r="F298" s="1">
        <f ca="1">IFERROR(__xludf.DUMMYFUNCTION("""COMPUTED_VALUE"""),95.8)</f>
        <v>95.8</v>
      </c>
      <c r="G298" s="1">
        <f ca="1">IFERROR(__xludf.DUMMYFUNCTION("""COMPUTED_VALUE"""),286)</f>
        <v>286</v>
      </c>
      <c r="H298" s="1">
        <f ca="1">IFERROR(__xludf.DUMMYFUNCTION("""COMPUTED_VALUE"""),107)</f>
        <v>107</v>
      </c>
      <c r="I298" s="1">
        <f ca="1">IFERROR(__xludf.DUMMYFUNCTION("""COMPUTED_VALUE"""),257)</f>
        <v>257</v>
      </c>
      <c r="J298" s="1">
        <f ca="1">IFERROR(__xludf.DUMMYFUNCTION("""COMPUTED_VALUE"""),60.9)</f>
        <v>60.9</v>
      </c>
      <c r="K298" s="1">
        <f ca="1">IFERROR(__xludf.DUMMYFUNCTION("""COMPUTED_VALUE"""),307)</f>
        <v>307</v>
      </c>
      <c r="L298" s="1" t="str">
        <f ca="1">IFERROR(__xludf.DUMMYFUNCTION("""COMPUTED_VALUE"""),"+.012")</f>
        <v>+.012</v>
      </c>
      <c r="M298" s="1">
        <f ca="1">IFERROR(__xludf.DUMMYFUNCTION("""COMPUTED_VALUE"""),148)</f>
        <v>148</v>
      </c>
      <c r="N298" s="1">
        <f ca="1">IFERROR(__xludf.DUMMYFUNCTION("""COMPUTED_VALUE"""),-5.56)</f>
        <v>-5.56</v>
      </c>
      <c r="O298" s="1">
        <f ca="1">IFERROR(__xludf.DUMMYFUNCTION("""COMPUTED_VALUE"""),288)</f>
        <v>288</v>
      </c>
      <c r="P298" s="1">
        <f ca="1">IFERROR(__xludf.DUMMYFUNCTION("""COMPUTED_VALUE"""),100)</f>
        <v>100</v>
      </c>
      <c r="Q298" s="1">
        <f ca="1">IFERROR(__xludf.DUMMYFUNCTION("""COMPUTED_VALUE"""),277)</f>
        <v>277</v>
      </c>
      <c r="R298" s="1">
        <f ca="1">IFERROR(__xludf.DUMMYFUNCTION("""COMPUTED_VALUE"""),105.6)</f>
        <v>105.6</v>
      </c>
      <c r="S298" s="1">
        <f ca="1">IFERROR(__xludf.DUMMYFUNCTION("""COMPUTED_VALUE"""),297)</f>
        <v>297</v>
      </c>
      <c r="T298" s="1">
        <f ca="1">IFERROR(__xludf.DUMMYFUNCTION("""COMPUTED_VALUE"""),-0.3)</f>
        <v>-0.3</v>
      </c>
      <c r="U298" s="1">
        <f ca="1">IFERROR(__xludf.DUMMYFUNCTION("""COMPUTED_VALUE"""),164)</f>
        <v>164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IFERROR(__xludf.DUMMYFUNCTION("""COMPUTED_VALUE"""),"VMI")</f>
        <v>VMI</v>
      </c>
      <c r="C299" s="1" t="str">
        <f ca="1">IFERROR(__xludf.DUMMYFUNCTION("""COMPUTED_VALUE"""),"BSth")</f>
        <v>BSth</v>
      </c>
      <c r="D299" s="1" t="str">
        <f ca="1">IFERROR(__xludf.DUMMYFUNCTION("""COMPUTED_VALUE"""),"14-17")</f>
        <v>14-17</v>
      </c>
      <c r="E299" s="1">
        <f ca="1">IFERROR(__xludf.DUMMYFUNCTION("""COMPUTED_VALUE"""),-11.33)</f>
        <v>-11.33</v>
      </c>
      <c r="F299" s="1">
        <f ca="1">IFERROR(__xludf.DUMMYFUNCTION("""COMPUTED_VALUE"""),102.3)</f>
        <v>102.3</v>
      </c>
      <c r="G299" s="1">
        <f ca="1">IFERROR(__xludf.DUMMYFUNCTION("""COMPUTED_VALUE"""),178)</f>
        <v>178</v>
      </c>
      <c r="H299" s="1">
        <f ca="1">IFERROR(__xludf.DUMMYFUNCTION("""COMPUTED_VALUE"""),113.6)</f>
        <v>113.6</v>
      </c>
      <c r="I299" s="1">
        <f ca="1">IFERROR(__xludf.DUMMYFUNCTION("""COMPUTED_VALUE"""),335)</f>
        <v>335</v>
      </c>
      <c r="J299" s="1">
        <f ca="1">IFERROR(__xludf.DUMMYFUNCTION("""COMPUTED_VALUE"""),69.7)</f>
        <v>69.7</v>
      </c>
      <c r="K299" s="1">
        <f ca="1">IFERROR(__xludf.DUMMYFUNCTION("""COMPUTED_VALUE"""),9)</f>
        <v>9</v>
      </c>
      <c r="L299" s="1">
        <f ca="1">IFERROR(__xludf.DUMMYFUNCTION("""COMPUTED_VALUE"""),-0.022)</f>
        <v>-2.1999999999999999E-2</v>
      </c>
      <c r="M299" s="1">
        <f ca="1">IFERROR(__xludf.DUMMYFUNCTION("""COMPUTED_VALUE"""),242)</f>
        <v>242</v>
      </c>
      <c r="N299" s="1">
        <f ca="1">IFERROR(__xludf.DUMMYFUNCTION("""COMPUTED_VALUE"""),-7.71)</f>
        <v>-7.71</v>
      </c>
      <c r="O299" s="1">
        <f ca="1">IFERROR(__xludf.DUMMYFUNCTION("""COMPUTED_VALUE"""),332)</f>
        <v>332</v>
      </c>
      <c r="P299" s="1">
        <f ca="1">IFERROR(__xludf.DUMMYFUNCTION("""COMPUTED_VALUE"""),99)</f>
        <v>99</v>
      </c>
      <c r="Q299" s="1">
        <f ca="1">IFERROR(__xludf.DUMMYFUNCTION("""COMPUTED_VALUE"""),315)</f>
        <v>315</v>
      </c>
      <c r="R299" s="1">
        <f ca="1">IFERROR(__xludf.DUMMYFUNCTION("""COMPUTED_VALUE"""),106.7)</f>
        <v>106.7</v>
      </c>
      <c r="S299" s="1">
        <f ca="1">IFERROR(__xludf.DUMMYFUNCTION("""COMPUTED_VALUE"""),330)</f>
        <v>330</v>
      </c>
      <c r="T299" s="1">
        <f ca="1">IFERROR(__xludf.DUMMYFUNCTION("""COMPUTED_VALUE"""),-1.05)</f>
        <v>-1.05</v>
      </c>
      <c r="U299" s="1">
        <f ca="1">IFERROR(__xludf.DUMMYFUNCTION("""COMPUTED_VALUE"""),191)</f>
        <v>191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IFERROR(__xludf.DUMMYFUNCTION("""COMPUTED_VALUE"""),"Delaware St.")</f>
        <v>Delaware St.</v>
      </c>
      <c r="C300" s="1" t="str">
        <f ca="1">IFERROR(__xludf.DUMMYFUNCTION("""COMPUTED_VALUE"""),"MEAC")</f>
        <v>MEAC</v>
      </c>
      <c r="D300" s="1" t="str">
        <f ca="1">IFERROR(__xludf.DUMMYFUNCTION("""COMPUTED_VALUE"""),"15-18")</f>
        <v>15-18</v>
      </c>
      <c r="E300" s="1">
        <f ca="1">IFERROR(__xludf.DUMMYFUNCTION("""COMPUTED_VALUE"""),-11.43)</f>
        <v>-11.43</v>
      </c>
      <c r="F300" s="1">
        <f ca="1">IFERROR(__xludf.DUMMYFUNCTION("""COMPUTED_VALUE"""),96.7)</f>
        <v>96.7</v>
      </c>
      <c r="G300" s="1">
        <f ca="1">IFERROR(__xludf.DUMMYFUNCTION("""COMPUTED_VALUE"""),279)</f>
        <v>279</v>
      </c>
      <c r="H300" s="1">
        <f ca="1">IFERROR(__xludf.DUMMYFUNCTION("""COMPUTED_VALUE"""),108.1)</f>
        <v>108.1</v>
      </c>
      <c r="I300" s="1">
        <f ca="1">IFERROR(__xludf.DUMMYFUNCTION("""COMPUTED_VALUE"""),277)</f>
        <v>277</v>
      </c>
      <c r="J300" s="1">
        <f ca="1">IFERROR(__xludf.DUMMYFUNCTION("""COMPUTED_VALUE"""),59.8)</f>
        <v>59.8</v>
      </c>
      <c r="K300" s="1">
        <f ca="1">IFERROR(__xludf.DUMMYFUNCTION("""COMPUTED_VALUE"""),327)</f>
        <v>327</v>
      </c>
      <c r="L300" s="1" t="str">
        <f ca="1">IFERROR(__xludf.DUMMYFUNCTION("""COMPUTED_VALUE"""),"+.054")</f>
        <v>+.054</v>
      </c>
      <c r="M300" s="1">
        <f ca="1">IFERROR(__xludf.DUMMYFUNCTION("""COMPUTED_VALUE"""),44)</f>
        <v>44</v>
      </c>
      <c r="N300" s="1">
        <f ca="1">IFERROR(__xludf.DUMMYFUNCTION("""COMPUTED_VALUE"""),-5.9)</f>
        <v>-5.9</v>
      </c>
      <c r="O300" s="1">
        <f ca="1">IFERROR(__xludf.DUMMYFUNCTION("""COMPUTED_VALUE"""),298)</f>
        <v>298</v>
      </c>
      <c r="P300" s="1">
        <f ca="1">IFERROR(__xludf.DUMMYFUNCTION("""COMPUTED_VALUE"""),96.7)</f>
        <v>96.7</v>
      </c>
      <c r="Q300" s="1">
        <f ca="1">IFERROR(__xludf.DUMMYFUNCTION("""COMPUTED_VALUE"""),334)</f>
        <v>334</v>
      </c>
      <c r="R300" s="1">
        <f ca="1">IFERROR(__xludf.DUMMYFUNCTION("""COMPUTED_VALUE"""),102.6)</f>
        <v>102.6</v>
      </c>
      <c r="S300" s="1">
        <f ca="1">IFERROR(__xludf.DUMMYFUNCTION("""COMPUTED_VALUE"""),145)</f>
        <v>145</v>
      </c>
      <c r="T300" s="1" t="str">
        <f ca="1">IFERROR(__xludf.DUMMYFUNCTION("""COMPUTED_VALUE"""),"+6.22")</f>
        <v>+6.22</v>
      </c>
      <c r="U300" s="1">
        <f ca="1">IFERROR(__xludf.DUMMYFUNCTION("""COMPUTED_VALUE"""),26)</f>
        <v>26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IFERROR(__xludf.DUMMYFUNCTION("""COMPUTED_VALUE"""),"Southeastern Louisiana")</f>
        <v>Southeastern Louisiana</v>
      </c>
      <c r="C301" s="1" t="str">
        <f ca="1">IFERROR(__xludf.DUMMYFUNCTION("""COMPUTED_VALUE"""),"Slnd")</f>
        <v>Slnd</v>
      </c>
      <c r="D301" s="2">
        <f ca="1">IFERROR(__xludf.DUMMYFUNCTION("""COMPUTED_VALUE"""),44913)</f>
        <v>44913</v>
      </c>
      <c r="E301" s="1">
        <f ca="1">IFERROR(__xludf.DUMMYFUNCTION("""COMPUTED_VALUE"""),-11.49)</f>
        <v>-11.49</v>
      </c>
      <c r="F301" s="1">
        <f ca="1">IFERROR(__xludf.DUMMYFUNCTION("""COMPUTED_VALUE"""),94)</f>
        <v>94</v>
      </c>
      <c r="G301" s="1">
        <f ca="1">IFERROR(__xludf.DUMMYFUNCTION("""COMPUTED_VALUE"""),303)</f>
        <v>303</v>
      </c>
      <c r="H301" s="1">
        <f ca="1">IFERROR(__xludf.DUMMYFUNCTION("""COMPUTED_VALUE"""),105.5)</f>
        <v>105.5</v>
      </c>
      <c r="I301" s="1">
        <f ca="1">IFERROR(__xludf.DUMMYFUNCTION("""COMPUTED_VALUE"""),234)</f>
        <v>234</v>
      </c>
      <c r="J301" s="1">
        <f ca="1">IFERROR(__xludf.DUMMYFUNCTION("""COMPUTED_VALUE"""),65)</f>
        <v>65</v>
      </c>
      <c r="K301" s="1">
        <f ca="1">IFERROR(__xludf.DUMMYFUNCTION("""COMPUTED_VALUE"""),154)</f>
        <v>154</v>
      </c>
      <c r="L301" s="1" t="str">
        <f ca="1">IFERROR(__xludf.DUMMYFUNCTION("""COMPUTED_VALUE"""),"+.054")</f>
        <v>+.054</v>
      </c>
      <c r="M301" s="1">
        <f ca="1">IFERROR(__xludf.DUMMYFUNCTION("""COMPUTED_VALUE"""),42)</f>
        <v>42</v>
      </c>
      <c r="N301" s="1">
        <f ca="1">IFERROR(__xludf.DUMMYFUNCTION("""COMPUTED_VALUE"""),-3.01)</f>
        <v>-3.01</v>
      </c>
      <c r="O301" s="1">
        <f ca="1">IFERROR(__xludf.DUMMYFUNCTION("""COMPUTED_VALUE"""),219)</f>
        <v>219</v>
      </c>
      <c r="P301" s="1">
        <f ca="1">IFERROR(__xludf.DUMMYFUNCTION("""COMPUTED_VALUE"""),100.1)</f>
        <v>100.1</v>
      </c>
      <c r="Q301" s="1">
        <f ca="1">IFERROR(__xludf.DUMMYFUNCTION("""COMPUTED_VALUE"""),274)</f>
        <v>274</v>
      </c>
      <c r="R301" s="1">
        <f ca="1">IFERROR(__xludf.DUMMYFUNCTION("""COMPUTED_VALUE"""),103.1)</f>
        <v>103.1</v>
      </c>
      <c r="S301" s="1">
        <f ca="1">IFERROR(__xludf.DUMMYFUNCTION("""COMPUTED_VALUE"""),174)</f>
        <v>174</v>
      </c>
      <c r="T301" s="1" t="str">
        <f ca="1">IFERROR(__xludf.DUMMYFUNCTION("""COMPUTED_VALUE"""),"+8.47")</f>
        <v>+8.47</v>
      </c>
      <c r="U301" s="1">
        <f ca="1">IFERROR(__xludf.DUMMYFUNCTION("""COMPUTED_VALUE"""),11)</f>
        <v>11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IFERROR(__xludf.DUMMYFUNCTION("""COMPUTED_VALUE"""),"UNC Greensboro")</f>
        <v>UNC Greensboro</v>
      </c>
      <c r="C302" s="1" t="str">
        <f ca="1">IFERROR(__xludf.DUMMYFUNCTION("""COMPUTED_VALUE"""),"SC")</f>
        <v>SC</v>
      </c>
      <c r="D302" s="2">
        <f ca="1">IFERROR(__xludf.DUMMYFUNCTION("""COMPUTED_VALUE"""),44826)</f>
        <v>44826</v>
      </c>
      <c r="E302" s="1">
        <f ca="1">IFERROR(__xludf.DUMMYFUNCTION("""COMPUTED_VALUE"""),-11.64)</f>
        <v>-11.64</v>
      </c>
      <c r="F302" s="1">
        <f ca="1">IFERROR(__xludf.DUMMYFUNCTION("""COMPUTED_VALUE"""),97.1)</f>
        <v>97.1</v>
      </c>
      <c r="G302" s="1">
        <f ca="1">IFERROR(__xludf.DUMMYFUNCTION("""COMPUTED_VALUE"""),273)</f>
        <v>273</v>
      </c>
      <c r="H302" s="1">
        <f ca="1">IFERROR(__xludf.DUMMYFUNCTION("""COMPUTED_VALUE"""),108.8)</f>
        <v>108.8</v>
      </c>
      <c r="I302" s="1">
        <f ca="1">IFERROR(__xludf.DUMMYFUNCTION("""COMPUTED_VALUE"""),288)</f>
        <v>288</v>
      </c>
      <c r="J302" s="1">
        <f ca="1">IFERROR(__xludf.DUMMYFUNCTION("""COMPUTED_VALUE"""),70.5)</f>
        <v>70.5</v>
      </c>
      <c r="K302" s="1">
        <f ca="1">IFERROR(__xludf.DUMMYFUNCTION("""COMPUTED_VALUE"""),5)</f>
        <v>5</v>
      </c>
      <c r="L302" s="1">
        <f ca="1">IFERROR(__xludf.DUMMYFUNCTION("""COMPUTED_VALUE"""),-0.151)</f>
        <v>-0.151</v>
      </c>
      <c r="M302" s="1">
        <f ca="1">IFERROR(__xludf.DUMMYFUNCTION("""COMPUTED_VALUE"""),346)</f>
        <v>346</v>
      </c>
      <c r="N302" s="1">
        <f ca="1">IFERROR(__xludf.DUMMYFUNCTION("""COMPUTED_VALUE"""),-7.11)</f>
        <v>-7.11</v>
      </c>
      <c r="O302" s="1">
        <f ca="1">IFERROR(__xludf.DUMMYFUNCTION("""COMPUTED_VALUE"""),321)</f>
        <v>321</v>
      </c>
      <c r="P302" s="1">
        <f ca="1">IFERROR(__xludf.DUMMYFUNCTION("""COMPUTED_VALUE"""),99.4)</f>
        <v>99.4</v>
      </c>
      <c r="Q302" s="1">
        <f ca="1">IFERROR(__xludf.DUMMYFUNCTION("""COMPUTED_VALUE"""),305)</f>
        <v>305</v>
      </c>
      <c r="R302" s="1">
        <f ca="1">IFERROR(__xludf.DUMMYFUNCTION("""COMPUTED_VALUE"""),106.5)</f>
        <v>106.5</v>
      </c>
      <c r="S302" s="1">
        <f ca="1">IFERROR(__xludf.DUMMYFUNCTION("""COMPUTED_VALUE"""),326)</f>
        <v>326</v>
      </c>
      <c r="T302" s="1" t="str">
        <f ca="1">IFERROR(__xludf.DUMMYFUNCTION("""COMPUTED_VALUE"""),"+0.23")</f>
        <v>+0.23</v>
      </c>
      <c r="U302" s="1">
        <f ca="1">IFERROR(__xludf.DUMMYFUNCTION("""COMPUTED_VALUE"""),149)</f>
        <v>149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IFERROR(__xludf.DUMMYFUNCTION("""COMPUTED_VALUE"""),"UNC Wilmington")</f>
        <v>UNC Wilmington</v>
      </c>
      <c r="C303" s="1" t="str">
        <f ca="1">IFERROR(__xludf.DUMMYFUNCTION("""COMPUTED_VALUE"""),"CAA")</f>
        <v>CAA</v>
      </c>
      <c r="D303" s="2">
        <f ca="1">IFERROR(__xludf.DUMMYFUNCTION("""COMPUTED_VALUE"""),44854)</f>
        <v>44854</v>
      </c>
      <c r="E303" s="1">
        <f ca="1">IFERROR(__xludf.DUMMYFUNCTION("""COMPUTED_VALUE"""),-11.83)</f>
        <v>-11.83</v>
      </c>
      <c r="F303" s="1">
        <f ca="1">IFERROR(__xludf.DUMMYFUNCTION("""COMPUTED_VALUE"""),97.1)</f>
        <v>97.1</v>
      </c>
      <c r="G303" s="1">
        <f ca="1">IFERROR(__xludf.DUMMYFUNCTION("""COMPUTED_VALUE"""),275)</f>
        <v>275</v>
      </c>
      <c r="H303" s="1">
        <f ca="1">IFERROR(__xludf.DUMMYFUNCTION("""COMPUTED_VALUE"""),108.9)</f>
        <v>108.9</v>
      </c>
      <c r="I303" s="1">
        <f ca="1">IFERROR(__xludf.DUMMYFUNCTION("""COMPUTED_VALUE"""),292)</f>
        <v>292</v>
      </c>
      <c r="J303" s="1">
        <f ca="1">IFERROR(__xludf.DUMMYFUNCTION("""COMPUTED_VALUE"""),65.3)</f>
        <v>65.3</v>
      </c>
      <c r="K303" s="1">
        <f ca="1">IFERROR(__xludf.DUMMYFUNCTION("""COMPUTED_VALUE"""),137)</f>
        <v>137</v>
      </c>
      <c r="L303" s="1" t="str">
        <f ca="1">IFERROR(__xludf.DUMMYFUNCTION("""COMPUTED_VALUE"""),"+.022")</f>
        <v>+.022</v>
      </c>
      <c r="M303" s="1">
        <f ca="1">IFERROR(__xludf.DUMMYFUNCTION("""COMPUTED_VALUE"""),126)</f>
        <v>126</v>
      </c>
      <c r="N303" s="1">
        <f ca="1">IFERROR(__xludf.DUMMYFUNCTION("""COMPUTED_VALUE"""),-2.5)</f>
        <v>-2.5</v>
      </c>
      <c r="O303" s="1">
        <f ca="1">IFERROR(__xludf.DUMMYFUNCTION("""COMPUTED_VALUE"""),200)</f>
        <v>200</v>
      </c>
      <c r="P303" s="1">
        <f ca="1">IFERROR(__xludf.DUMMYFUNCTION("""COMPUTED_VALUE"""),101.6)</f>
        <v>101.6</v>
      </c>
      <c r="Q303" s="1">
        <f ca="1">IFERROR(__xludf.DUMMYFUNCTION("""COMPUTED_VALUE"""),199)</f>
        <v>199</v>
      </c>
      <c r="R303" s="1">
        <f ca="1">IFERROR(__xludf.DUMMYFUNCTION("""COMPUTED_VALUE"""),104.1)</f>
        <v>104.1</v>
      </c>
      <c r="S303" s="1">
        <f ca="1">IFERROR(__xludf.DUMMYFUNCTION("""COMPUTED_VALUE"""),222)</f>
        <v>222</v>
      </c>
      <c r="T303" s="1" t="str">
        <f ca="1">IFERROR(__xludf.DUMMYFUNCTION("""COMPUTED_VALUE"""),"+0.37")</f>
        <v>+0.37</v>
      </c>
      <c r="U303" s="1">
        <f ca="1">IFERROR(__xludf.DUMMYFUNCTION("""COMPUTED_VALUE"""),141)</f>
        <v>141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IFERROR(__xludf.DUMMYFUNCTION("""COMPUTED_VALUE"""),"Jacksonville")</f>
        <v>Jacksonville</v>
      </c>
      <c r="C304" s="1" t="str">
        <f ca="1">IFERROR(__xludf.DUMMYFUNCTION("""COMPUTED_VALUE"""),"ASun")</f>
        <v>ASun</v>
      </c>
      <c r="D304" s="1" t="str">
        <f ca="1">IFERROR(__xludf.DUMMYFUNCTION("""COMPUTED_VALUE"""),"14-18")</f>
        <v>14-18</v>
      </c>
      <c r="E304" s="1">
        <f ca="1">IFERROR(__xludf.DUMMYFUNCTION("""COMPUTED_VALUE"""),-12.07)</f>
        <v>-12.07</v>
      </c>
      <c r="F304" s="1">
        <f ca="1">IFERROR(__xludf.DUMMYFUNCTION("""COMPUTED_VALUE"""),95.8)</f>
        <v>95.8</v>
      </c>
      <c r="G304" s="1">
        <f ca="1">IFERROR(__xludf.DUMMYFUNCTION("""COMPUTED_VALUE"""),285)</f>
        <v>285</v>
      </c>
      <c r="H304" s="1">
        <f ca="1">IFERROR(__xludf.DUMMYFUNCTION("""COMPUTED_VALUE"""),107.9)</f>
        <v>107.9</v>
      </c>
      <c r="I304" s="1">
        <f ca="1">IFERROR(__xludf.DUMMYFUNCTION("""COMPUTED_VALUE"""),272)</f>
        <v>272</v>
      </c>
      <c r="J304" s="1">
        <f ca="1">IFERROR(__xludf.DUMMYFUNCTION("""COMPUTED_VALUE"""),67.7)</f>
        <v>67.7</v>
      </c>
      <c r="K304" s="1">
        <f ca="1">IFERROR(__xludf.DUMMYFUNCTION("""COMPUTED_VALUE"""),48)</f>
        <v>48</v>
      </c>
      <c r="L304" s="1" t="str">
        <f ca="1">IFERROR(__xludf.DUMMYFUNCTION("""COMPUTED_VALUE"""),"+.068")</f>
        <v>+.068</v>
      </c>
      <c r="M304" s="1">
        <f ca="1">IFERROR(__xludf.DUMMYFUNCTION("""COMPUTED_VALUE"""),30)</f>
        <v>30</v>
      </c>
      <c r="N304" s="1">
        <f ca="1">IFERROR(__xludf.DUMMYFUNCTION("""COMPUTED_VALUE"""),-5.38)</f>
        <v>-5.38</v>
      </c>
      <c r="O304" s="1">
        <f ca="1">IFERROR(__xludf.DUMMYFUNCTION("""COMPUTED_VALUE"""),282)</f>
        <v>282</v>
      </c>
      <c r="P304" s="1">
        <f ca="1">IFERROR(__xludf.DUMMYFUNCTION("""COMPUTED_VALUE"""),99.8)</f>
        <v>99.8</v>
      </c>
      <c r="Q304" s="1">
        <f ca="1">IFERROR(__xludf.DUMMYFUNCTION("""COMPUTED_VALUE"""),288)</f>
        <v>288</v>
      </c>
      <c r="R304" s="1">
        <f ca="1">IFERROR(__xludf.DUMMYFUNCTION("""COMPUTED_VALUE"""),105.2)</f>
        <v>105.2</v>
      </c>
      <c r="S304" s="1">
        <f ca="1">IFERROR(__xludf.DUMMYFUNCTION("""COMPUTED_VALUE"""),271)</f>
        <v>271</v>
      </c>
      <c r="T304" s="1">
        <f ca="1">IFERROR(__xludf.DUMMYFUNCTION("""COMPUTED_VALUE"""),-1.15)</f>
        <v>-1.1499999999999999</v>
      </c>
      <c r="U304" s="1">
        <f ca="1">IFERROR(__xludf.DUMMYFUNCTION("""COMPUTED_VALUE"""),197)</f>
        <v>197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IFERROR(__xludf.DUMMYFUNCTION("""COMPUTED_VALUE"""),"Lipscomb")</f>
        <v>Lipscomb</v>
      </c>
      <c r="C305" s="1" t="str">
        <f ca="1">IFERROR(__xludf.DUMMYFUNCTION("""COMPUTED_VALUE"""),"ASun")</f>
        <v>ASun</v>
      </c>
      <c r="D305" s="2">
        <f ca="1">IFERROR(__xludf.DUMMYFUNCTION("""COMPUTED_VALUE"""),44913)</f>
        <v>44913</v>
      </c>
      <c r="E305" s="1">
        <f ca="1">IFERROR(__xludf.DUMMYFUNCTION("""COMPUTED_VALUE"""),-12.16)</f>
        <v>-12.16</v>
      </c>
      <c r="F305" s="1">
        <f ca="1">IFERROR(__xludf.DUMMYFUNCTION("""COMPUTED_VALUE"""),98)</f>
        <v>98</v>
      </c>
      <c r="G305" s="1">
        <f ca="1">IFERROR(__xludf.DUMMYFUNCTION("""COMPUTED_VALUE"""),253)</f>
        <v>253</v>
      </c>
      <c r="H305" s="1">
        <f ca="1">IFERROR(__xludf.DUMMYFUNCTION("""COMPUTED_VALUE"""),110.2)</f>
        <v>110.2</v>
      </c>
      <c r="I305" s="1">
        <f ca="1">IFERROR(__xludf.DUMMYFUNCTION("""COMPUTED_VALUE"""),305)</f>
        <v>305</v>
      </c>
      <c r="J305" s="1">
        <f ca="1">IFERROR(__xludf.DUMMYFUNCTION("""COMPUTED_VALUE"""),69.4)</f>
        <v>69.400000000000006</v>
      </c>
      <c r="K305" s="1">
        <f ca="1">IFERROR(__xludf.DUMMYFUNCTION("""COMPUTED_VALUE"""),13)</f>
        <v>13</v>
      </c>
      <c r="L305" s="1" t="str">
        <f ca="1">IFERROR(__xludf.DUMMYFUNCTION("""COMPUTED_VALUE"""),"+.053")</f>
        <v>+.053</v>
      </c>
      <c r="M305" s="1">
        <f ca="1">IFERROR(__xludf.DUMMYFUNCTION("""COMPUTED_VALUE"""),46)</f>
        <v>46</v>
      </c>
      <c r="N305" s="1">
        <f ca="1">IFERROR(__xludf.DUMMYFUNCTION("""COMPUTED_VALUE"""),-3.37)</f>
        <v>-3.37</v>
      </c>
      <c r="O305" s="1">
        <f ca="1">IFERROR(__xludf.DUMMYFUNCTION("""COMPUTED_VALUE"""),232)</f>
        <v>232</v>
      </c>
      <c r="P305" s="1">
        <f ca="1">IFERROR(__xludf.DUMMYFUNCTION("""COMPUTED_VALUE"""),101.2)</f>
        <v>101.2</v>
      </c>
      <c r="Q305" s="1">
        <f ca="1">IFERROR(__xludf.DUMMYFUNCTION("""COMPUTED_VALUE"""),218)</f>
        <v>218</v>
      </c>
      <c r="R305" s="1">
        <f ca="1">IFERROR(__xludf.DUMMYFUNCTION("""COMPUTED_VALUE"""),104.6)</f>
        <v>104.6</v>
      </c>
      <c r="S305" s="1">
        <f ca="1">IFERROR(__xludf.DUMMYFUNCTION("""COMPUTED_VALUE"""),245)</f>
        <v>245</v>
      </c>
      <c r="T305" s="1" t="str">
        <f ca="1">IFERROR(__xludf.DUMMYFUNCTION("""COMPUTED_VALUE"""),"+4.84")</f>
        <v>+4.84</v>
      </c>
      <c r="U305" s="1">
        <f ca="1">IFERROR(__xludf.DUMMYFUNCTION("""COMPUTED_VALUE"""),44)</f>
        <v>44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IFERROR(__xludf.DUMMYFUNCTION("""COMPUTED_VALUE"""),"Nicholls St.")</f>
        <v>Nicholls St.</v>
      </c>
      <c r="C306" s="1" t="str">
        <f ca="1">IFERROR(__xludf.DUMMYFUNCTION("""COMPUTED_VALUE"""),"Slnd")</f>
        <v>Slnd</v>
      </c>
      <c r="D306" s="2">
        <f ca="1">IFERROR(__xludf.DUMMYFUNCTION("""COMPUTED_VALUE"""),44825)</f>
        <v>44825</v>
      </c>
      <c r="E306" s="1">
        <f ca="1">IFERROR(__xludf.DUMMYFUNCTION("""COMPUTED_VALUE"""),-12.17)</f>
        <v>-12.17</v>
      </c>
      <c r="F306" s="1">
        <f ca="1">IFERROR(__xludf.DUMMYFUNCTION("""COMPUTED_VALUE"""),98.6)</f>
        <v>98.6</v>
      </c>
      <c r="G306" s="1">
        <f ca="1">IFERROR(__xludf.DUMMYFUNCTION("""COMPUTED_VALUE"""),247)</f>
        <v>247</v>
      </c>
      <c r="H306" s="1">
        <f ca="1">IFERROR(__xludf.DUMMYFUNCTION("""COMPUTED_VALUE"""),110.8)</f>
        <v>110.8</v>
      </c>
      <c r="I306" s="1">
        <f ca="1">IFERROR(__xludf.DUMMYFUNCTION("""COMPUTED_VALUE"""),314)</f>
        <v>314</v>
      </c>
      <c r="J306" s="1">
        <f ca="1">IFERROR(__xludf.DUMMYFUNCTION("""COMPUTED_VALUE"""),66.1)</f>
        <v>66.099999999999994</v>
      </c>
      <c r="K306" s="1">
        <f ca="1">IFERROR(__xludf.DUMMYFUNCTION("""COMPUTED_VALUE"""),103)</f>
        <v>103</v>
      </c>
      <c r="L306" s="1">
        <f ca="1">IFERROR(__xludf.DUMMYFUNCTION("""COMPUTED_VALUE"""),-0.024)</f>
        <v>-2.4E-2</v>
      </c>
      <c r="M306" s="1">
        <f ca="1">IFERROR(__xludf.DUMMYFUNCTION("""COMPUTED_VALUE"""),245)</f>
        <v>245</v>
      </c>
      <c r="N306" s="1">
        <f ca="1">IFERROR(__xludf.DUMMYFUNCTION("""COMPUTED_VALUE"""),-4.75)</f>
        <v>-4.75</v>
      </c>
      <c r="O306" s="1">
        <f ca="1">IFERROR(__xludf.DUMMYFUNCTION("""COMPUTED_VALUE"""),263)</f>
        <v>263</v>
      </c>
      <c r="P306" s="1">
        <f ca="1">IFERROR(__xludf.DUMMYFUNCTION("""COMPUTED_VALUE"""),99.8)</f>
        <v>99.8</v>
      </c>
      <c r="Q306" s="1">
        <f ca="1">IFERROR(__xludf.DUMMYFUNCTION("""COMPUTED_VALUE"""),287)</f>
        <v>287</v>
      </c>
      <c r="R306" s="1">
        <f ca="1">IFERROR(__xludf.DUMMYFUNCTION("""COMPUTED_VALUE"""),104.6)</f>
        <v>104.6</v>
      </c>
      <c r="S306" s="1">
        <f ca="1">IFERROR(__xludf.DUMMYFUNCTION("""COMPUTED_VALUE"""),240)</f>
        <v>240</v>
      </c>
      <c r="T306" s="1" t="str">
        <f ca="1">IFERROR(__xludf.DUMMYFUNCTION("""COMPUTED_VALUE"""),"+3.37")</f>
        <v>+3.37</v>
      </c>
      <c r="U306" s="1">
        <f ca="1">IFERROR(__xludf.DUMMYFUNCTION("""COMPUTED_VALUE"""),73)</f>
        <v>73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IFERROR(__xludf.DUMMYFUNCTION("""COMPUTED_VALUE"""),"McNeese St.")</f>
        <v>McNeese St.</v>
      </c>
      <c r="C307" s="1" t="str">
        <f ca="1">IFERROR(__xludf.DUMMYFUNCTION("""COMPUTED_VALUE"""),"Slnd")</f>
        <v>Slnd</v>
      </c>
      <c r="D307" s="1" t="str">
        <f ca="1">IFERROR(__xludf.DUMMYFUNCTION("""COMPUTED_VALUE"""),"14-16")</f>
        <v>14-16</v>
      </c>
      <c r="E307" s="1">
        <f ca="1">IFERROR(__xludf.DUMMYFUNCTION("""COMPUTED_VALUE"""),-12.23)</f>
        <v>-12.23</v>
      </c>
      <c r="F307" s="1">
        <f ca="1">IFERROR(__xludf.DUMMYFUNCTION("""COMPUTED_VALUE"""),96)</f>
        <v>96</v>
      </c>
      <c r="G307" s="1">
        <f ca="1">IFERROR(__xludf.DUMMYFUNCTION("""COMPUTED_VALUE"""),283)</f>
        <v>283</v>
      </c>
      <c r="H307" s="1">
        <f ca="1">IFERROR(__xludf.DUMMYFUNCTION("""COMPUTED_VALUE"""),108.2)</f>
        <v>108.2</v>
      </c>
      <c r="I307" s="1">
        <f ca="1">IFERROR(__xludf.DUMMYFUNCTION("""COMPUTED_VALUE"""),278)</f>
        <v>278</v>
      </c>
      <c r="J307" s="1">
        <f ca="1">IFERROR(__xludf.DUMMYFUNCTION("""COMPUTED_VALUE"""),62.9)</f>
        <v>62.9</v>
      </c>
      <c r="K307" s="1">
        <f ca="1">IFERROR(__xludf.DUMMYFUNCTION("""COMPUTED_VALUE"""),245)</f>
        <v>245</v>
      </c>
      <c r="L307" s="1" t="str">
        <f ca="1">IFERROR(__xludf.DUMMYFUNCTION("""COMPUTED_VALUE"""),"+.089")</f>
        <v>+.089</v>
      </c>
      <c r="M307" s="1">
        <f ca="1">IFERROR(__xludf.DUMMYFUNCTION("""COMPUTED_VALUE"""),12)</f>
        <v>12</v>
      </c>
      <c r="N307" s="1">
        <f ca="1">IFERROR(__xludf.DUMMYFUNCTION("""COMPUTED_VALUE"""),-4.33)</f>
        <v>-4.33</v>
      </c>
      <c r="O307" s="1">
        <f ca="1">IFERROR(__xludf.DUMMYFUNCTION("""COMPUTED_VALUE"""),255)</f>
        <v>255</v>
      </c>
      <c r="P307" s="1">
        <f ca="1">IFERROR(__xludf.DUMMYFUNCTION("""COMPUTED_VALUE"""),100.2)</f>
        <v>100.2</v>
      </c>
      <c r="Q307" s="1">
        <f ca="1">IFERROR(__xludf.DUMMYFUNCTION("""COMPUTED_VALUE"""),269)</f>
        <v>269</v>
      </c>
      <c r="R307" s="1">
        <f ca="1">IFERROR(__xludf.DUMMYFUNCTION("""COMPUTED_VALUE"""),104.6)</f>
        <v>104.6</v>
      </c>
      <c r="S307" s="1">
        <f ca="1">IFERROR(__xludf.DUMMYFUNCTION("""COMPUTED_VALUE"""),239)</f>
        <v>239</v>
      </c>
      <c r="T307" s="1" t="str">
        <f ca="1">IFERROR(__xludf.DUMMYFUNCTION("""COMPUTED_VALUE"""),"+5.79")</f>
        <v>+5.79</v>
      </c>
      <c r="U307" s="1">
        <f ca="1">IFERROR(__xludf.DUMMYFUNCTION("""COMPUTED_VALUE"""),30)</f>
        <v>30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IFERROR(__xludf.DUMMYFUNCTION("""COMPUTED_VALUE"""),"Northern Arizona")</f>
        <v>Northern Arizona</v>
      </c>
      <c r="C308" s="1" t="str">
        <f ca="1">IFERROR(__xludf.DUMMYFUNCTION("""COMPUTED_VALUE"""),"BSky")</f>
        <v>BSky</v>
      </c>
      <c r="D308" s="2">
        <f ca="1">IFERROR(__xludf.DUMMYFUNCTION("""COMPUTED_VALUE"""),44886)</f>
        <v>44886</v>
      </c>
      <c r="E308" s="1">
        <f ca="1">IFERROR(__xludf.DUMMYFUNCTION("""COMPUTED_VALUE"""),-12.39)</f>
        <v>-12.39</v>
      </c>
      <c r="F308" s="1">
        <f ca="1">IFERROR(__xludf.DUMMYFUNCTION("""COMPUTED_VALUE"""),96.9)</f>
        <v>96.9</v>
      </c>
      <c r="G308" s="1">
        <f ca="1">IFERROR(__xludf.DUMMYFUNCTION("""COMPUTED_VALUE"""),278)</f>
        <v>278</v>
      </c>
      <c r="H308" s="1">
        <f ca="1">IFERROR(__xludf.DUMMYFUNCTION("""COMPUTED_VALUE"""),109.3)</f>
        <v>109.3</v>
      </c>
      <c r="I308" s="1">
        <f ca="1">IFERROR(__xludf.DUMMYFUNCTION("""COMPUTED_VALUE"""),297)</f>
        <v>297</v>
      </c>
      <c r="J308" s="1">
        <f ca="1">IFERROR(__xludf.DUMMYFUNCTION("""COMPUTED_VALUE"""),66.7)</f>
        <v>66.7</v>
      </c>
      <c r="K308" s="1">
        <f ca="1">IFERROR(__xludf.DUMMYFUNCTION("""COMPUTED_VALUE"""),73)</f>
        <v>73</v>
      </c>
      <c r="L308" s="1" t="str">
        <f ca="1">IFERROR(__xludf.DUMMYFUNCTION("""COMPUTED_VALUE"""),"+.041")</f>
        <v>+.041</v>
      </c>
      <c r="M308" s="1">
        <f ca="1">IFERROR(__xludf.DUMMYFUNCTION("""COMPUTED_VALUE"""),76)</f>
        <v>76</v>
      </c>
      <c r="N308" s="1">
        <f ca="1">IFERROR(__xludf.DUMMYFUNCTION("""COMPUTED_VALUE"""),-3.98)</f>
        <v>-3.98</v>
      </c>
      <c r="O308" s="1">
        <f ca="1">IFERROR(__xludf.DUMMYFUNCTION("""COMPUTED_VALUE"""),247)</f>
        <v>247</v>
      </c>
      <c r="P308" s="1">
        <f ca="1">IFERROR(__xludf.DUMMYFUNCTION("""COMPUTED_VALUE"""),101.2)</f>
        <v>101.2</v>
      </c>
      <c r="Q308" s="1">
        <f ca="1">IFERROR(__xludf.DUMMYFUNCTION("""COMPUTED_VALUE"""),219)</f>
        <v>219</v>
      </c>
      <c r="R308" s="1">
        <f ca="1">IFERROR(__xludf.DUMMYFUNCTION("""COMPUTED_VALUE"""),105.2)</f>
        <v>105.2</v>
      </c>
      <c r="S308" s="1">
        <f ca="1">IFERROR(__xludf.DUMMYFUNCTION("""COMPUTED_VALUE"""),270)</f>
        <v>270</v>
      </c>
      <c r="T308" s="1" t="str">
        <f ca="1">IFERROR(__xludf.DUMMYFUNCTION("""COMPUTED_VALUE"""),"+6.44")</f>
        <v>+6.44</v>
      </c>
      <c r="U308" s="1">
        <f ca="1">IFERROR(__xludf.DUMMYFUNCTION("""COMPUTED_VALUE"""),22)</f>
        <v>22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IFERROR(__xludf.DUMMYFUNCTION("""COMPUTED_VALUE"""),"Samford")</f>
        <v>Samford</v>
      </c>
      <c r="C309" s="1" t="str">
        <f ca="1">IFERROR(__xludf.DUMMYFUNCTION("""COMPUTED_VALUE"""),"SC")</f>
        <v>SC</v>
      </c>
      <c r="D309" s="2">
        <f ca="1">IFERROR(__xludf.DUMMYFUNCTION("""COMPUTED_VALUE"""),44886)</f>
        <v>44886</v>
      </c>
      <c r="E309" s="1">
        <f ca="1">IFERROR(__xludf.DUMMYFUNCTION("""COMPUTED_VALUE"""),-12.41)</f>
        <v>-12.41</v>
      </c>
      <c r="F309" s="1">
        <f ca="1">IFERROR(__xludf.DUMMYFUNCTION("""COMPUTED_VALUE"""),97.9)</f>
        <v>97.9</v>
      </c>
      <c r="G309" s="1">
        <f ca="1">IFERROR(__xludf.DUMMYFUNCTION("""COMPUTED_VALUE"""),259)</f>
        <v>259</v>
      </c>
      <c r="H309" s="1">
        <f ca="1">IFERROR(__xludf.DUMMYFUNCTION("""COMPUTED_VALUE"""),110.3)</f>
        <v>110.3</v>
      </c>
      <c r="I309" s="1">
        <f ca="1">IFERROR(__xludf.DUMMYFUNCTION("""COMPUTED_VALUE"""),307)</f>
        <v>307</v>
      </c>
      <c r="J309" s="1">
        <f ca="1">IFERROR(__xludf.DUMMYFUNCTION("""COMPUTED_VALUE"""),58.8)</f>
        <v>58.8</v>
      </c>
      <c r="K309" s="1">
        <f ca="1">IFERROR(__xludf.DUMMYFUNCTION("""COMPUTED_VALUE"""),340)</f>
        <v>340</v>
      </c>
      <c r="L309" s="1">
        <f ca="1">IFERROR(__xludf.DUMMYFUNCTION("""COMPUTED_VALUE"""),-0.007)</f>
        <v>-7.0000000000000001E-3</v>
      </c>
      <c r="M309" s="1">
        <f ca="1">IFERROR(__xludf.DUMMYFUNCTION("""COMPUTED_VALUE"""),200)</f>
        <v>200</v>
      </c>
      <c r="N309" s="1">
        <f ca="1">IFERROR(__xludf.DUMMYFUNCTION("""COMPUTED_VALUE"""),-6.3)</f>
        <v>-6.3</v>
      </c>
      <c r="O309" s="1">
        <f ca="1">IFERROR(__xludf.DUMMYFUNCTION("""COMPUTED_VALUE"""),304)</f>
        <v>304</v>
      </c>
      <c r="P309" s="1">
        <f ca="1">IFERROR(__xludf.DUMMYFUNCTION("""COMPUTED_VALUE"""),99.2)</f>
        <v>99.2</v>
      </c>
      <c r="Q309" s="1">
        <f ca="1">IFERROR(__xludf.DUMMYFUNCTION("""COMPUTED_VALUE"""),310)</f>
        <v>310</v>
      </c>
      <c r="R309" s="1">
        <f ca="1">IFERROR(__xludf.DUMMYFUNCTION("""COMPUTED_VALUE"""),105.5)</f>
        <v>105.5</v>
      </c>
      <c r="S309" s="1">
        <f ca="1">IFERROR(__xludf.DUMMYFUNCTION("""COMPUTED_VALUE"""),292)</f>
        <v>292</v>
      </c>
      <c r="T309" s="1" t="str">
        <f ca="1">IFERROR(__xludf.DUMMYFUNCTION("""COMPUTED_VALUE"""),"+2.39")</f>
        <v>+2.39</v>
      </c>
      <c r="U309" s="1">
        <f ca="1">IFERROR(__xludf.DUMMYFUNCTION("""COMPUTED_VALUE"""),95)</f>
        <v>95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IFERROR(__xludf.DUMMYFUNCTION("""COMPUTED_VALUE"""),"Central Arkansas")</f>
        <v>Central Arkansas</v>
      </c>
      <c r="C310" s="1" t="str">
        <f ca="1">IFERROR(__xludf.DUMMYFUNCTION("""COMPUTED_VALUE"""),"Slnd")</f>
        <v>Slnd</v>
      </c>
      <c r="D310" s="1" t="str">
        <f ca="1">IFERROR(__xludf.DUMMYFUNCTION("""COMPUTED_VALUE"""),"13-17")</f>
        <v>13-17</v>
      </c>
      <c r="E310" s="1">
        <f ca="1">IFERROR(__xludf.DUMMYFUNCTION("""COMPUTED_VALUE"""),-12.55)</f>
        <v>-12.55</v>
      </c>
      <c r="F310" s="1">
        <f ca="1">IFERROR(__xludf.DUMMYFUNCTION("""COMPUTED_VALUE"""),100.4)</f>
        <v>100.4</v>
      </c>
      <c r="G310" s="1">
        <f ca="1">IFERROR(__xludf.DUMMYFUNCTION("""COMPUTED_VALUE"""),214)</f>
        <v>214</v>
      </c>
      <c r="H310" s="1">
        <f ca="1">IFERROR(__xludf.DUMMYFUNCTION("""COMPUTED_VALUE"""),112.9)</f>
        <v>112.9</v>
      </c>
      <c r="I310" s="1">
        <f ca="1">IFERROR(__xludf.DUMMYFUNCTION("""COMPUTED_VALUE"""),330)</f>
        <v>330</v>
      </c>
      <c r="J310" s="1">
        <f ca="1">IFERROR(__xludf.DUMMYFUNCTION("""COMPUTED_VALUE"""),71.1)</f>
        <v>71.099999999999994</v>
      </c>
      <c r="K310" s="1">
        <f ca="1">IFERROR(__xludf.DUMMYFUNCTION("""COMPUTED_VALUE"""),2)</f>
        <v>2</v>
      </c>
      <c r="L310" s="1" t="str">
        <f ca="1">IFERROR(__xludf.DUMMYFUNCTION("""COMPUTED_VALUE"""),"+.046")</f>
        <v>+.046</v>
      </c>
      <c r="M310" s="1">
        <f ca="1">IFERROR(__xludf.DUMMYFUNCTION("""COMPUTED_VALUE"""),61)</f>
        <v>61</v>
      </c>
      <c r="N310" s="1">
        <f ca="1">IFERROR(__xludf.DUMMYFUNCTION("""COMPUTED_VALUE"""),-7.25)</f>
        <v>-7.25</v>
      </c>
      <c r="O310" s="1">
        <f ca="1">IFERROR(__xludf.DUMMYFUNCTION("""COMPUTED_VALUE"""),323)</f>
        <v>323</v>
      </c>
      <c r="P310" s="1">
        <f ca="1">IFERROR(__xludf.DUMMYFUNCTION("""COMPUTED_VALUE"""),97.6)</f>
        <v>97.6</v>
      </c>
      <c r="Q310" s="1">
        <f ca="1">IFERROR(__xludf.DUMMYFUNCTION("""COMPUTED_VALUE"""),327)</f>
        <v>327</v>
      </c>
      <c r="R310" s="1">
        <f ca="1">IFERROR(__xludf.DUMMYFUNCTION("""COMPUTED_VALUE"""),104.9)</f>
        <v>104.9</v>
      </c>
      <c r="S310" s="1">
        <f ca="1">IFERROR(__xludf.DUMMYFUNCTION("""COMPUTED_VALUE"""),258)</f>
        <v>258</v>
      </c>
      <c r="T310" s="1">
        <f ca="1">IFERROR(__xludf.DUMMYFUNCTION("""COMPUTED_VALUE"""),-5.32)</f>
        <v>-5.32</v>
      </c>
      <c r="U310" s="1">
        <f ca="1">IFERROR(__xludf.DUMMYFUNCTION("""COMPUTED_VALUE"""),298)</f>
        <v>298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IFERROR(__xludf.DUMMYFUNCTION("""COMPUTED_VALUE"""),"Utah Valley")</f>
        <v>Utah Valley</v>
      </c>
      <c r="C311" s="1" t="str">
        <f ca="1">IFERROR(__xludf.DUMMYFUNCTION("""COMPUTED_VALUE"""),"GWC")</f>
        <v>GWC</v>
      </c>
      <c r="D311" s="1" t="str">
        <f ca="1">IFERROR(__xludf.DUMMYFUNCTION("""COMPUTED_VALUE"""),"14-18")</f>
        <v>14-18</v>
      </c>
      <c r="E311" s="1">
        <f ca="1">IFERROR(__xludf.DUMMYFUNCTION("""COMPUTED_VALUE"""),-12.58)</f>
        <v>-12.58</v>
      </c>
      <c r="F311" s="1">
        <f ca="1">IFERROR(__xludf.DUMMYFUNCTION("""COMPUTED_VALUE"""),98.8)</f>
        <v>98.8</v>
      </c>
      <c r="G311" s="1">
        <f ca="1">IFERROR(__xludf.DUMMYFUNCTION("""COMPUTED_VALUE"""),242)</f>
        <v>242</v>
      </c>
      <c r="H311" s="1">
        <f ca="1">IFERROR(__xludf.DUMMYFUNCTION("""COMPUTED_VALUE"""),111.4)</f>
        <v>111.4</v>
      </c>
      <c r="I311" s="1">
        <f ca="1">IFERROR(__xludf.DUMMYFUNCTION("""COMPUTED_VALUE"""),320)</f>
        <v>320</v>
      </c>
      <c r="J311" s="1">
        <f ca="1">IFERROR(__xludf.DUMMYFUNCTION("""COMPUTED_VALUE"""),62.8)</f>
        <v>62.8</v>
      </c>
      <c r="K311" s="1">
        <f ca="1">IFERROR(__xludf.DUMMYFUNCTION("""COMPUTED_VALUE"""),251)</f>
        <v>251</v>
      </c>
      <c r="L311" s="1">
        <f ca="1">IFERROR(__xludf.DUMMYFUNCTION("""COMPUTED_VALUE"""),-0.004)</f>
        <v>-4.0000000000000001E-3</v>
      </c>
      <c r="M311" s="1">
        <f ca="1">IFERROR(__xludf.DUMMYFUNCTION("""COMPUTED_VALUE"""),192)</f>
        <v>192</v>
      </c>
      <c r="N311" s="1">
        <f ca="1">IFERROR(__xludf.DUMMYFUNCTION("""COMPUTED_VALUE"""),-7.32)</f>
        <v>-7.32</v>
      </c>
      <c r="O311" s="1">
        <f ca="1">IFERROR(__xludf.DUMMYFUNCTION("""COMPUTED_VALUE"""),326)</f>
        <v>326</v>
      </c>
      <c r="P311" s="1">
        <f ca="1">IFERROR(__xludf.DUMMYFUNCTION("""COMPUTED_VALUE"""),97.9)</f>
        <v>97.9</v>
      </c>
      <c r="Q311" s="1">
        <f ca="1">IFERROR(__xludf.DUMMYFUNCTION("""COMPUTED_VALUE"""),324)</f>
        <v>324</v>
      </c>
      <c r="R311" s="1">
        <f ca="1">IFERROR(__xludf.DUMMYFUNCTION("""COMPUTED_VALUE"""),105.2)</f>
        <v>105.2</v>
      </c>
      <c r="S311" s="1">
        <f ca="1">IFERROR(__xludf.DUMMYFUNCTION("""COMPUTED_VALUE"""),274)</f>
        <v>274</v>
      </c>
      <c r="T311" s="1">
        <f ca="1">IFERROR(__xludf.DUMMYFUNCTION("""COMPUTED_VALUE"""),-3.46)</f>
        <v>-3.46</v>
      </c>
      <c r="U311" s="1">
        <f ca="1">IFERROR(__xludf.DUMMYFUNCTION("""COMPUTED_VALUE"""),266)</f>
        <v>266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IFERROR(__xludf.DUMMYFUNCTION("""COMPUTED_VALUE"""),"Radford")</f>
        <v>Radford</v>
      </c>
      <c r="C312" s="1" t="str">
        <f ca="1">IFERROR(__xludf.DUMMYFUNCTION("""COMPUTED_VALUE"""),"BSth")</f>
        <v>BSth</v>
      </c>
      <c r="D312" s="1" t="str">
        <f ca="1">IFERROR(__xludf.DUMMYFUNCTION("""COMPUTED_VALUE"""),"13-19")</f>
        <v>13-19</v>
      </c>
      <c r="E312" s="1">
        <f ca="1">IFERROR(__xludf.DUMMYFUNCTION("""COMPUTED_VALUE"""),-12.66)</f>
        <v>-12.66</v>
      </c>
      <c r="F312" s="1">
        <f ca="1">IFERROR(__xludf.DUMMYFUNCTION("""COMPUTED_VALUE"""),91.3)</f>
        <v>91.3</v>
      </c>
      <c r="G312" s="1">
        <f ca="1">IFERROR(__xludf.DUMMYFUNCTION("""COMPUTED_VALUE"""),326)</f>
        <v>326</v>
      </c>
      <c r="H312" s="1">
        <f ca="1">IFERROR(__xludf.DUMMYFUNCTION("""COMPUTED_VALUE"""),104)</f>
        <v>104</v>
      </c>
      <c r="I312" s="1">
        <f ca="1">IFERROR(__xludf.DUMMYFUNCTION("""COMPUTED_VALUE"""),199)</f>
        <v>199</v>
      </c>
      <c r="J312" s="1">
        <f ca="1">IFERROR(__xludf.DUMMYFUNCTION("""COMPUTED_VALUE"""),66.1)</f>
        <v>66.099999999999994</v>
      </c>
      <c r="K312" s="1">
        <f ca="1">IFERROR(__xludf.DUMMYFUNCTION("""COMPUTED_VALUE"""),101)</f>
        <v>101</v>
      </c>
      <c r="L312" s="1" t="str">
        <f ca="1">IFERROR(__xludf.DUMMYFUNCTION("""COMPUTED_VALUE"""),"+.008")</f>
        <v>+.008</v>
      </c>
      <c r="M312" s="1">
        <f ca="1">IFERROR(__xludf.DUMMYFUNCTION("""COMPUTED_VALUE"""),157)</f>
        <v>157</v>
      </c>
      <c r="N312" s="1">
        <f ca="1">IFERROR(__xludf.DUMMYFUNCTION("""COMPUTED_VALUE"""),-7.58)</f>
        <v>-7.58</v>
      </c>
      <c r="O312" s="1">
        <f ca="1">IFERROR(__xludf.DUMMYFUNCTION("""COMPUTED_VALUE"""),329)</f>
        <v>329</v>
      </c>
      <c r="P312" s="1">
        <f ca="1">IFERROR(__xludf.DUMMYFUNCTION("""COMPUTED_VALUE"""),99.5)</f>
        <v>99.5</v>
      </c>
      <c r="Q312" s="1">
        <f ca="1">IFERROR(__xludf.DUMMYFUNCTION("""COMPUTED_VALUE"""),299)</f>
        <v>299</v>
      </c>
      <c r="R312" s="1">
        <f ca="1">IFERROR(__xludf.DUMMYFUNCTION("""COMPUTED_VALUE"""),107.1)</f>
        <v>107.1</v>
      </c>
      <c r="S312" s="1">
        <f ca="1">IFERROR(__xludf.DUMMYFUNCTION("""COMPUTED_VALUE"""),339)</f>
        <v>339</v>
      </c>
      <c r="T312" s="1">
        <f ca="1">IFERROR(__xludf.DUMMYFUNCTION("""COMPUTED_VALUE"""),-2.43)</f>
        <v>-2.4300000000000002</v>
      </c>
      <c r="U312" s="1">
        <f ca="1">IFERROR(__xludf.DUMMYFUNCTION("""COMPUTED_VALUE"""),243)</f>
        <v>243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IFERROR(__xludf.DUMMYFUNCTION("""COMPUTED_VALUE"""),"Chicago St.")</f>
        <v>Chicago St.</v>
      </c>
      <c r="C313" s="1" t="str">
        <f ca="1">IFERROR(__xludf.DUMMYFUNCTION("""COMPUTED_VALUE"""),"GWC")</f>
        <v>GWC</v>
      </c>
      <c r="D313" s="2">
        <f ca="1">IFERROR(__xludf.DUMMYFUNCTION("""COMPUTED_VALUE"""),44887)</f>
        <v>44887</v>
      </c>
      <c r="E313" s="1">
        <f ca="1">IFERROR(__xludf.DUMMYFUNCTION("""COMPUTED_VALUE"""),-12.67)</f>
        <v>-12.67</v>
      </c>
      <c r="F313" s="1">
        <f ca="1">IFERROR(__xludf.DUMMYFUNCTION("""COMPUTED_VALUE"""),91.1)</f>
        <v>91.1</v>
      </c>
      <c r="G313" s="1">
        <f ca="1">IFERROR(__xludf.DUMMYFUNCTION("""COMPUTED_VALUE"""),327)</f>
        <v>327</v>
      </c>
      <c r="H313" s="1">
        <f ca="1">IFERROR(__xludf.DUMMYFUNCTION("""COMPUTED_VALUE"""),103.7)</f>
        <v>103.7</v>
      </c>
      <c r="I313" s="1">
        <f ca="1">IFERROR(__xludf.DUMMYFUNCTION("""COMPUTED_VALUE"""),192)</f>
        <v>192</v>
      </c>
      <c r="J313" s="1">
        <f ca="1">IFERROR(__xludf.DUMMYFUNCTION("""COMPUTED_VALUE"""),65.5)</f>
        <v>65.5</v>
      </c>
      <c r="K313" s="1">
        <f ca="1">IFERROR(__xludf.DUMMYFUNCTION("""COMPUTED_VALUE"""),129)</f>
        <v>129</v>
      </c>
      <c r="L313" s="1">
        <f ca="1">IFERROR(__xludf.DUMMYFUNCTION("""COMPUTED_VALUE"""),-0.083)</f>
        <v>-8.3000000000000004E-2</v>
      </c>
      <c r="M313" s="1">
        <f ca="1">IFERROR(__xludf.DUMMYFUNCTION("""COMPUTED_VALUE"""),328)</f>
        <v>328</v>
      </c>
      <c r="N313" s="1">
        <f ca="1">IFERROR(__xludf.DUMMYFUNCTION("""COMPUTED_VALUE"""),-5.17)</f>
        <v>-5.17</v>
      </c>
      <c r="O313" s="1">
        <f ca="1">IFERROR(__xludf.DUMMYFUNCTION("""COMPUTED_VALUE"""),274)</f>
        <v>274</v>
      </c>
      <c r="P313" s="1">
        <f ca="1">IFERROR(__xludf.DUMMYFUNCTION("""COMPUTED_VALUE"""),100.5)</f>
        <v>100.5</v>
      </c>
      <c r="Q313" s="1">
        <f ca="1">IFERROR(__xludf.DUMMYFUNCTION("""COMPUTED_VALUE"""),253)</f>
        <v>253</v>
      </c>
      <c r="R313" s="1">
        <f ca="1">IFERROR(__xludf.DUMMYFUNCTION("""COMPUTED_VALUE"""),105.7)</f>
        <v>105.7</v>
      </c>
      <c r="S313" s="1">
        <f ca="1">IFERROR(__xludf.DUMMYFUNCTION("""COMPUTED_VALUE"""),301)</f>
        <v>301</v>
      </c>
      <c r="T313" s="1" t="str">
        <f ca="1">IFERROR(__xludf.DUMMYFUNCTION("""COMPUTED_VALUE"""),"+1.39")</f>
        <v>+1.39</v>
      </c>
      <c r="U313" s="1">
        <f ca="1">IFERROR(__xludf.DUMMYFUNCTION("""COMPUTED_VALUE"""),119)</f>
        <v>119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IFERROR(__xludf.DUMMYFUNCTION("""COMPUTED_VALUE"""),"Siena")</f>
        <v>Siena</v>
      </c>
      <c r="C314" s="1" t="str">
        <f ca="1">IFERROR(__xludf.DUMMYFUNCTION("""COMPUTED_VALUE"""),"MAAC")</f>
        <v>MAAC</v>
      </c>
      <c r="D314" s="2">
        <f ca="1">IFERROR(__xludf.DUMMYFUNCTION("""COMPUTED_VALUE"""),44797)</f>
        <v>44797</v>
      </c>
      <c r="E314" s="1">
        <f ca="1">IFERROR(__xludf.DUMMYFUNCTION("""COMPUTED_VALUE"""),-12.74)</f>
        <v>-12.74</v>
      </c>
      <c r="F314" s="1">
        <f ca="1">IFERROR(__xludf.DUMMYFUNCTION("""COMPUTED_VALUE"""),95.4)</f>
        <v>95.4</v>
      </c>
      <c r="G314" s="1">
        <f ca="1">IFERROR(__xludf.DUMMYFUNCTION("""COMPUTED_VALUE"""),289)</f>
        <v>289</v>
      </c>
      <c r="H314" s="1">
        <f ca="1">IFERROR(__xludf.DUMMYFUNCTION("""COMPUTED_VALUE"""),108.1)</f>
        <v>108.1</v>
      </c>
      <c r="I314" s="1">
        <f ca="1">IFERROR(__xludf.DUMMYFUNCTION("""COMPUTED_VALUE"""),275)</f>
        <v>275</v>
      </c>
      <c r="J314" s="1">
        <f ca="1">IFERROR(__xludf.DUMMYFUNCTION("""COMPUTED_VALUE"""),62.6)</f>
        <v>62.6</v>
      </c>
      <c r="K314" s="1">
        <f ca="1">IFERROR(__xludf.DUMMYFUNCTION("""COMPUTED_VALUE"""),258)</f>
        <v>258</v>
      </c>
      <c r="L314" s="1" t="str">
        <f ca="1">IFERROR(__xludf.DUMMYFUNCTION("""COMPUTED_VALUE"""),"+.021")</f>
        <v>+.021</v>
      </c>
      <c r="M314" s="1">
        <f ca="1">IFERROR(__xludf.DUMMYFUNCTION("""COMPUTED_VALUE"""),128)</f>
        <v>128</v>
      </c>
      <c r="N314" s="1">
        <f ca="1">IFERROR(__xludf.DUMMYFUNCTION("""COMPUTED_VALUE"""),-1.18)</f>
        <v>-1.18</v>
      </c>
      <c r="O314" s="1">
        <f ca="1">IFERROR(__xludf.DUMMYFUNCTION("""COMPUTED_VALUE"""),164)</f>
        <v>164</v>
      </c>
      <c r="P314" s="1">
        <f ca="1">IFERROR(__xludf.DUMMYFUNCTION("""COMPUTED_VALUE"""),101.9)</f>
        <v>101.9</v>
      </c>
      <c r="Q314" s="1">
        <f ca="1">IFERROR(__xludf.DUMMYFUNCTION("""COMPUTED_VALUE"""),184)</f>
        <v>184</v>
      </c>
      <c r="R314" s="1">
        <f ca="1">IFERROR(__xludf.DUMMYFUNCTION("""COMPUTED_VALUE"""),103)</f>
        <v>103</v>
      </c>
      <c r="S314" s="1">
        <f ca="1">IFERROR(__xludf.DUMMYFUNCTION("""COMPUTED_VALUE"""),172)</f>
        <v>172</v>
      </c>
      <c r="T314" s="1">
        <f ca="1">IFERROR(__xludf.DUMMYFUNCTION("""COMPUTED_VALUE"""),-2.48)</f>
        <v>-2.48</v>
      </c>
      <c r="U314" s="1">
        <f ca="1">IFERROR(__xludf.DUMMYFUNCTION("""COMPUTED_VALUE"""),246)</f>
        <v>246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IFERROR(__xludf.DUMMYFUNCTION("""COMPUTED_VALUE"""),"Eastern Washington")</f>
        <v>Eastern Washington</v>
      </c>
      <c r="C315" s="1" t="str">
        <f ca="1">IFERROR(__xludf.DUMMYFUNCTION("""COMPUTED_VALUE"""),"BSky")</f>
        <v>BSky</v>
      </c>
      <c r="D315" s="2">
        <f ca="1">IFERROR(__xludf.DUMMYFUNCTION("""COMPUTED_VALUE"""),44855)</f>
        <v>44855</v>
      </c>
      <c r="E315" s="1">
        <f ca="1">IFERROR(__xludf.DUMMYFUNCTION("""COMPUTED_VALUE"""),-12.98)</f>
        <v>-12.98</v>
      </c>
      <c r="F315" s="1">
        <f ca="1">IFERROR(__xludf.DUMMYFUNCTION("""COMPUTED_VALUE"""),97.2)</f>
        <v>97.2</v>
      </c>
      <c r="G315" s="1">
        <f ca="1">IFERROR(__xludf.DUMMYFUNCTION("""COMPUTED_VALUE"""),272)</f>
        <v>272</v>
      </c>
      <c r="H315" s="1">
        <f ca="1">IFERROR(__xludf.DUMMYFUNCTION("""COMPUTED_VALUE"""),110.1)</f>
        <v>110.1</v>
      </c>
      <c r="I315" s="1">
        <f ca="1">IFERROR(__xludf.DUMMYFUNCTION("""COMPUTED_VALUE"""),303)</f>
        <v>303</v>
      </c>
      <c r="J315" s="1">
        <f ca="1">IFERROR(__xludf.DUMMYFUNCTION("""COMPUTED_VALUE"""),67)</f>
        <v>67</v>
      </c>
      <c r="K315" s="1">
        <f ca="1">IFERROR(__xludf.DUMMYFUNCTION("""COMPUTED_VALUE"""),62)</f>
        <v>62</v>
      </c>
      <c r="L315" s="1" t="str">
        <f ca="1">IFERROR(__xludf.DUMMYFUNCTION("""COMPUTED_VALUE"""),"+.001")</f>
        <v>+.001</v>
      </c>
      <c r="M315" s="1">
        <f ca="1">IFERROR(__xludf.DUMMYFUNCTION("""COMPUTED_VALUE"""),176)</f>
        <v>176</v>
      </c>
      <c r="N315" s="1">
        <f ca="1">IFERROR(__xludf.DUMMYFUNCTION("""COMPUTED_VALUE"""),-6.59)</f>
        <v>-6.59</v>
      </c>
      <c r="O315" s="1">
        <f ca="1">IFERROR(__xludf.DUMMYFUNCTION("""COMPUTED_VALUE"""),310)</f>
        <v>310</v>
      </c>
      <c r="P315" s="1">
        <f ca="1">IFERROR(__xludf.DUMMYFUNCTION("""COMPUTED_VALUE"""),100.8)</f>
        <v>100.8</v>
      </c>
      <c r="Q315" s="1">
        <f ca="1">IFERROR(__xludf.DUMMYFUNCTION("""COMPUTED_VALUE"""),237)</f>
        <v>237</v>
      </c>
      <c r="R315" s="1">
        <f ca="1">IFERROR(__xludf.DUMMYFUNCTION("""COMPUTED_VALUE"""),107.4)</f>
        <v>107.4</v>
      </c>
      <c r="S315" s="1">
        <f ca="1">IFERROR(__xludf.DUMMYFUNCTION("""COMPUTED_VALUE"""),344)</f>
        <v>344</v>
      </c>
      <c r="T315" s="1">
        <f ca="1">IFERROR(__xludf.DUMMYFUNCTION("""COMPUTED_VALUE"""),-1.41)</f>
        <v>-1.41</v>
      </c>
      <c r="U315" s="1">
        <f ca="1">IFERROR(__xludf.DUMMYFUNCTION("""COMPUTED_VALUE"""),206)</f>
        <v>206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IFERROR(__xludf.DUMMYFUNCTION("""COMPUTED_VALUE"""),"Campbell")</f>
        <v>Campbell</v>
      </c>
      <c r="C316" s="1" t="str">
        <f ca="1">IFERROR(__xludf.DUMMYFUNCTION("""COMPUTED_VALUE"""),"BSth")</f>
        <v>BSth</v>
      </c>
      <c r="D316" s="1" t="str">
        <f ca="1">IFERROR(__xludf.DUMMYFUNCTION("""COMPUTED_VALUE"""),"13-20")</f>
        <v>13-20</v>
      </c>
      <c r="E316" s="1">
        <f ca="1">IFERROR(__xludf.DUMMYFUNCTION("""COMPUTED_VALUE"""),-13.11)</f>
        <v>-13.11</v>
      </c>
      <c r="F316" s="1">
        <f ca="1">IFERROR(__xludf.DUMMYFUNCTION("""COMPUTED_VALUE"""),97.8)</f>
        <v>97.8</v>
      </c>
      <c r="G316" s="1">
        <f ca="1">IFERROR(__xludf.DUMMYFUNCTION("""COMPUTED_VALUE"""),261)</f>
        <v>261</v>
      </c>
      <c r="H316" s="1">
        <f ca="1">IFERROR(__xludf.DUMMYFUNCTION("""COMPUTED_VALUE"""),110.9)</f>
        <v>110.9</v>
      </c>
      <c r="I316" s="1">
        <f ca="1">IFERROR(__xludf.DUMMYFUNCTION("""COMPUTED_VALUE"""),315)</f>
        <v>315</v>
      </c>
      <c r="J316" s="1">
        <f ca="1">IFERROR(__xludf.DUMMYFUNCTION("""COMPUTED_VALUE"""),64.8)</f>
        <v>64.8</v>
      </c>
      <c r="K316" s="1">
        <f ca="1">IFERROR(__xludf.DUMMYFUNCTION("""COMPUTED_VALUE"""),164)</f>
        <v>164</v>
      </c>
      <c r="L316" s="1" t="str">
        <f ca="1">IFERROR(__xludf.DUMMYFUNCTION("""COMPUTED_VALUE"""),"+.014")</f>
        <v>+.014</v>
      </c>
      <c r="M316" s="1">
        <f ca="1">IFERROR(__xludf.DUMMYFUNCTION("""COMPUTED_VALUE"""),143)</f>
        <v>143</v>
      </c>
      <c r="N316" s="1">
        <f ca="1">IFERROR(__xludf.DUMMYFUNCTION("""COMPUTED_VALUE"""),-7.31)</f>
        <v>-7.31</v>
      </c>
      <c r="O316" s="1">
        <f ca="1">IFERROR(__xludf.DUMMYFUNCTION("""COMPUTED_VALUE"""),325)</f>
        <v>325</v>
      </c>
      <c r="P316" s="1">
        <f ca="1">IFERROR(__xludf.DUMMYFUNCTION("""COMPUTED_VALUE"""),99)</f>
        <v>99</v>
      </c>
      <c r="Q316" s="1">
        <f ca="1">IFERROR(__xludf.DUMMYFUNCTION("""COMPUTED_VALUE"""),313)</f>
        <v>313</v>
      </c>
      <c r="R316" s="1">
        <f ca="1">IFERROR(__xludf.DUMMYFUNCTION("""COMPUTED_VALUE"""),106.3)</f>
        <v>106.3</v>
      </c>
      <c r="S316" s="1">
        <f ca="1">IFERROR(__xludf.DUMMYFUNCTION("""COMPUTED_VALUE"""),322)</f>
        <v>322</v>
      </c>
      <c r="T316" s="1">
        <f ca="1">IFERROR(__xludf.DUMMYFUNCTION("""COMPUTED_VALUE"""),-0.3)</f>
        <v>-0.3</v>
      </c>
      <c r="U316" s="1">
        <f ca="1">IFERROR(__xludf.DUMMYFUNCTION("""COMPUTED_VALUE"""),163)</f>
        <v>163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IFERROR(__xludf.DUMMYFUNCTION("""COMPUTED_VALUE"""),"Milwaukee")</f>
        <v>Milwaukee</v>
      </c>
      <c r="C317" s="1" t="str">
        <f ca="1">IFERROR(__xludf.DUMMYFUNCTION("""COMPUTED_VALUE"""),"Horz")</f>
        <v>Horz</v>
      </c>
      <c r="D317" s="2">
        <f ca="1">IFERROR(__xludf.DUMMYFUNCTION("""COMPUTED_VALUE"""),44797)</f>
        <v>44797</v>
      </c>
      <c r="E317" s="1">
        <f ca="1">IFERROR(__xludf.DUMMYFUNCTION("""COMPUTED_VALUE"""),-13.34)</f>
        <v>-13.34</v>
      </c>
      <c r="F317" s="1">
        <f ca="1">IFERROR(__xludf.DUMMYFUNCTION("""COMPUTED_VALUE"""),95.2)</f>
        <v>95.2</v>
      </c>
      <c r="G317" s="1">
        <f ca="1">IFERROR(__xludf.DUMMYFUNCTION("""COMPUTED_VALUE"""),293)</f>
        <v>293</v>
      </c>
      <c r="H317" s="1">
        <f ca="1">IFERROR(__xludf.DUMMYFUNCTION("""COMPUTED_VALUE"""),108.6)</f>
        <v>108.6</v>
      </c>
      <c r="I317" s="1">
        <f ca="1">IFERROR(__xludf.DUMMYFUNCTION("""COMPUTED_VALUE"""),283)</f>
        <v>283</v>
      </c>
      <c r="J317" s="1">
        <f ca="1">IFERROR(__xludf.DUMMYFUNCTION("""COMPUTED_VALUE"""),64.6)</f>
        <v>64.599999999999994</v>
      </c>
      <c r="K317" s="1">
        <f ca="1">IFERROR(__xludf.DUMMYFUNCTION("""COMPUTED_VALUE"""),175)</f>
        <v>175</v>
      </c>
      <c r="L317" s="1">
        <f ca="1">IFERROR(__xludf.DUMMYFUNCTION("""COMPUTED_VALUE"""),-0.004)</f>
        <v>-4.0000000000000001E-3</v>
      </c>
      <c r="M317" s="1">
        <f ca="1">IFERROR(__xludf.DUMMYFUNCTION("""COMPUTED_VALUE"""),189)</f>
        <v>189</v>
      </c>
      <c r="N317" s="1" t="str">
        <f ca="1">IFERROR(__xludf.DUMMYFUNCTION("""COMPUTED_VALUE"""),"+0.59")</f>
        <v>+0.59</v>
      </c>
      <c r="O317" s="1">
        <f ca="1">IFERROR(__xludf.DUMMYFUNCTION("""COMPUTED_VALUE"""),134)</f>
        <v>134</v>
      </c>
      <c r="P317" s="1">
        <f ca="1">IFERROR(__xludf.DUMMYFUNCTION("""COMPUTED_VALUE"""),102.6)</f>
        <v>102.6</v>
      </c>
      <c r="Q317" s="1">
        <f ca="1">IFERROR(__xludf.DUMMYFUNCTION("""COMPUTED_VALUE"""),150)</f>
        <v>150</v>
      </c>
      <c r="R317" s="1">
        <f ca="1">IFERROR(__xludf.DUMMYFUNCTION("""COMPUTED_VALUE"""),102)</f>
        <v>102</v>
      </c>
      <c r="S317" s="1">
        <f ca="1">IFERROR(__xludf.DUMMYFUNCTION("""COMPUTED_VALUE"""),123)</f>
        <v>123</v>
      </c>
      <c r="T317" s="1">
        <f ca="1">IFERROR(__xludf.DUMMYFUNCTION("""COMPUTED_VALUE"""),-1.56)</f>
        <v>-1.56</v>
      </c>
      <c r="U317" s="1">
        <f ca="1">IFERROR(__xludf.DUMMYFUNCTION("""COMPUTED_VALUE"""),213)</f>
        <v>213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IFERROR(__xludf.DUMMYFUNCTION("""COMPUTED_VALUE"""),"Montana St.")</f>
        <v>Montana St.</v>
      </c>
      <c r="C318" s="1" t="str">
        <f ca="1">IFERROR(__xludf.DUMMYFUNCTION("""COMPUTED_VALUE"""),"BSky")</f>
        <v>BSky</v>
      </c>
      <c r="D318" s="1" t="str">
        <f ca="1">IFERROR(__xludf.DUMMYFUNCTION("""COMPUTED_VALUE"""),"13-17")</f>
        <v>13-17</v>
      </c>
      <c r="E318" s="1">
        <f ca="1">IFERROR(__xludf.DUMMYFUNCTION("""COMPUTED_VALUE"""),-13.38)</f>
        <v>-13.38</v>
      </c>
      <c r="F318" s="1">
        <f ca="1">IFERROR(__xludf.DUMMYFUNCTION("""COMPUTED_VALUE"""),100.4)</f>
        <v>100.4</v>
      </c>
      <c r="G318" s="1">
        <f ca="1">IFERROR(__xludf.DUMMYFUNCTION("""COMPUTED_VALUE"""),213)</f>
        <v>213</v>
      </c>
      <c r="H318" s="1">
        <f ca="1">IFERROR(__xludf.DUMMYFUNCTION("""COMPUTED_VALUE"""),113.8)</f>
        <v>113.8</v>
      </c>
      <c r="I318" s="1">
        <f ca="1">IFERROR(__xludf.DUMMYFUNCTION("""COMPUTED_VALUE"""),336)</f>
        <v>336</v>
      </c>
      <c r="J318" s="1">
        <f ca="1">IFERROR(__xludf.DUMMYFUNCTION("""COMPUTED_VALUE"""),64.8)</f>
        <v>64.8</v>
      </c>
      <c r="K318" s="1">
        <f ca="1">IFERROR(__xludf.DUMMYFUNCTION("""COMPUTED_VALUE"""),168)</f>
        <v>168</v>
      </c>
      <c r="L318" s="1" t="str">
        <f ca="1">IFERROR(__xludf.DUMMYFUNCTION("""COMPUTED_VALUE"""),"+.032")</f>
        <v>+.032</v>
      </c>
      <c r="M318" s="1">
        <f ca="1">IFERROR(__xludf.DUMMYFUNCTION("""COMPUTED_VALUE"""),99)</f>
        <v>99</v>
      </c>
      <c r="N318" s="1">
        <f ca="1">IFERROR(__xludf.DUMMYFUNCTION("""COMPUTED_VALUE"""),-8.38)</f>
        <v>-8.3800000000000008</v>
      </c>
      <c r="O318" s="1">
        <f ca="1">IFERROR(__xludf.DUMMYFUNCTION("""COMPUTED_VALUE"""),335)</f>
        <v>335</v>
      </c>
      <c r="P318" s="1">
        <f ca="1">IFERROR(__xludf.DUMMYFUNCTION("""COMPUTED_VALUE"""),99.2)</f>
        <v>99.2</v>
      </c>
      <c r="Q318" s="1">
        <f ca="1">IFERROR(__xludf.DUMMYFUNCTION("""COMPUTED_VALUE"""),311)</f>
        <v>311</v>
      </c>
      <c r="R318" s="1">
        <f ca="1">IFERROR(__xludf.DUMMYFUNCTION("""COMPUTED_VALUE"""),107.5)</f>
        <v>107.5</v>
      </c>
      <c r="S318" s="1">
        <f ca="1">IFERROR(__xludf.DUMMYFUNCTION("""COMPUTED_VALUE"""),345)</f>
        <v>345</v>
      </c>
      <c r="T318" s="1">
        <f ca="1">IFERROR(__xludf.DUMMYFUNCTION("""COMPUTED_VALUE"""),-5.82)</f>
        <v>-5.82</v>
      </c>
      <c r="U318" s="1">
        <f ca="1">IFERROR(__xludf.DUMMYFUNCTION("""COMPUTED_VALUE"""),307)</f>
        <v>307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IFERROR(__xludf.DUMMYFUNCTION("""COMPUTED_VALUE"""),"Hofstra")</f>
        <v>Hofstra</v>
      </c>
      <c r="C319" s="1" t="str">
        <f ca="1">IFERROR(__xludf.DUMMYFUNCTION("""COMPUTED_VALUE"""),"CAA")</f>
        <v>CAA</v>
      </c>
      <c r="D319" s="2">
        <f ca="1">IFERROR(__xludf.DUMMYFUNCTION("""COMPUTED_VALUE"""),44767)</f>
        <v>44767</v>
      </c>
      <c r="E319" s="1">
        <f ca="1">IFERROR(__xludf.DUMMYFUNCTION("""COMPUTED_VALUE"""),-13.42)</f>
        <v>-13.42</v>
      </c>
      <c r="F319" s="1">
        <f ca="1">IFERROR(__xludf.DUMMYFUNCTION("""COMPUTED_VALUE"""),89.6)</f>
        <v>89.6</v>
      </c>
      <c r="G319" s="1">
        <f ca="1">IFERROR(__xludf.DUMMYFUNCTION("""COMPUTED_VALUE"""),332)</f>
        <v>332</v>
      </c>
      <c r="H319" s="1">
        <f ca="1">IFERROR(__xludf.DUMMYFUNCTION("""COMPUTED_VALUE"""),103)</f>
        <v>103</v>
      </c>
      <c r="I319" s="1">
        <f ca="1">IFERROR(__xludf.DUMMYFUNCTION("""COMPUTED_VALUE"""),177)</f>
        <v>177</v>
      </c>
      <c r="J319" s="1">
        <f ca="1">IFERROR(__xludf.DUMMYFUNCTION("""COMPUTED_VALUE"""),63.3)</f>
        <v>63.3</v>
      </c>
      <c r="K319" s="1">
        <f ca="1">IFERROR(__xludf.DUMMYFUNCTION("""COMPUTED_VALUE"""),228)</f>
        <v>228</v>
      </c>
      <c r="L319" s="1">
        <f ca="1">IFERROR(__xludf.DUMMYFUNCTION("""COMPUTED_VALUE"""),-0.024)</f>
        <v>-2.4E-2</v>
      </c>
      <c r="M319" s="1">
        <f ca="1">IFERROR(__xludf.DUMMYFUNCTION("""COMPUTED_VALUE"""),246)</f>
        <v>246</v>
      </c>
      <c r="N319" s="1">
        <f ca="1">IFERROR(__xludf.DUMMYFUNCTION("""COMPUTED_VALUE"""),-2.01)</f>
        <v>-2.0099999999999998</v>
      </c>
      <c r="O319" s="1">
        <f ca="1">IFERROR(__xludf.DUMMYFUNCTION("""COMPUTED_VALUE"""),183)</f>
        <v>183</v>
      </c>
      <c r="P319" s="1">
        <f ca="1">IFERROR(__xludf.DUMMYFUNCTION("""COMPUTED_VALUE"""),102.4)</f>
        <v>102.4</v>
      </c>
      <c r="Q319" s="1">
        <f ca="1">IFERROR(__xludf.DUMMYFUNCTION("""COMPUTED_VALUE"""),156)</f>
        <v>156</v>
      </c>
      <c r="R319" s="1">
        <f ca="1">IFERROR(__xludf.DUMMYFUNCTION("""COMPUTED_VALUE"""),104.4)</f>
        <v>104.4</v>
      </c>
      <c r="S319" s="1">
        <f ca="1">IFERROR(__xludf.DUMMYFUNCTION("""COMPUTED_VALUE"""),237)</f>
        <v>237</v>
      </c>
      <c r="T319" s="1">
        <f ca="1">IFERROR(__xludf.DUMMYFUNCTION("""COMPUTED_VALUE"""),-0.69)</f>
        <v>-0.69</v>
      </c>
      <c r="U319" s="1">
        <f ca="1">IFERROR(__xludf.DUMMYFUNCTION("""COMPUTED_VALUE"""),182)</f>
        <v>182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IFERROR(__xludf.DUMMYFUNCTION("""COMPUTED_VALUE"""),"Portland St.")</f>
        <v>Portland St.</v>
      </c>
      <c r="C320" s="1" t="str">
        <f ca="1">IFERROR(__xludf.DUMMYFUNCTION("""COMPUTED_VALUE"""),"BSky")</f>
        <v>BSky</v>
      </c>
      <c r="D320" s="2">
        <f ca="1">IFERROR(__xludf.DUMMYFUNCTION("""COMPUTED_VALUE"""),44793)</f>
        <v>44793</v>
      </c>
      <c r="E320" s="1">
        <f ca="1">IFERROR(__xludf.DUMMYFUNCTION("""COMPUTED_VALUE"""),-13.47)</f>
        <v>-13.47</v>
      </c>
      <c r="F320" s="1">
        <f ca="1">IFERROR(__xludf.DUMMYFUNCTION("""COMPUTED_VALUE"""),103.5)</f>
        <v>103.5</v>
      </c>
      <c r="G320" s="1">
        <f ca="1">IFERROR(__xludf.DUMMYFUNCTION("""COMPUTED_VALUE"""),153)</f>
        <v>153</v>
      </c>
      <c r="H320" s="1">
        <f ca="1">IFERROR(__xludf.DUMMYFUNCTION("""COMPUTED_VALUE"""),117)</f>
        <v>117</v>
      </c>
      <c r="I320" s="1">
        <f ca="1">IFERROR(__xludf.DUMMYFUNCTION("""COMPUTED_VALUE"""),342)</f>
        <v>342</v>
      </c>
      <c r="J320" s="1">
        <f ca="1">IFERROR(__xludf.DUMMYFUNCTION("""COMPUTED_VALUE"""),63.9)</f>
        <v>63.9</v>
      </c>
      <c r="K320" s="1">
        <f ca="1">IFERROR(__xludf.DUMMYFUNCTION("""COMPUTED_VALUE"""),204)</f>
        <v>204</v>
      </c>
      <c r="L320" s="1">
        <f ca="1">IFERROR(__xludf.DUMMYFUNCTION("""COMPUTED_VALUE"""),-0.102)</f>
        <v>-0.10199999999999999</v>
      </c>
      <c r="M320" s="1">
        <f ca="1">IFERROR(__xludf.DUMMYFUNCTION("""COMPUTED_VALUE"""),338)</f>
        <v>338</v>
      </c>
      <c r="N320" s="1">
        <f ca="1">IFERROR(__xludf.DUMMYFUNCTION("""COMPUTED_VALUE"""),-6.59)</f>
        <v>-6.59</v>
      </c>
      <c r="O320" s="1">
        <f ca="1">IFERROR(__xludf.DUMMYFUNCTION("""COMPUTED_VALUE"""),311)</f>
        <v>311</v>
      </c>
      <c r="P320" s="1">
        <f ca="1">IFERROR(__xludf.DUMMYFUNCTION("""COMPUTED_VALUE"""),99.1)</f>
        <v>99.1</v>
      </c>
      <c r="Q320" s="1">
        <f ca="1">IFERROR(__xludf.DUMMYFUNCTION("""COMPUTED_VALUE"""),312)</f>
        <v>312</v>
      </c>
      <c r="R320" s="1">
        <f ca="1">IFERROR(__xludf.DUMMYFUNCTION("""COMPUTED_VALUE"""),105.7)</f>
        <v>105.7</v>
      </c>
      <c r="S320" s="1">
        <f ca="1">IFERROR(__xludf.DUMMYFUNCTION("""COMPUTED_VALUE"""),304)</f>
        <v>304</v>
      </c>
      <c r="T320" s="1" t="str">
        <f ca="1">IFERROR(__xludf.DUMMYFUNCTION("""COMPUTED_VALUE"""),"+4.25")</f>
        <v>+4.25</v>
      </c>
      <c r="U320" s="1">
        <f ca="1">IFERROR(__xludf.DUMMYFUNCTION("""COMPUTED_VALUE"""),55)</f>
        <v>55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IFERROR(__xludf.DUMMYFUNCTION("""COMPUTED_VALUE"""),"San Jose St.")</f>
        <v>San Jose St.</v>
      </c>
      <c r="C321" s="1" t="str">
        <f ca="1">IFERROR(__xludf.DUMMYFUNCTION("""COMPUTED_VALUE"""),"WAC")</f>
        <v>WAC</v>
      </c>
      <c r="D321" s="2">
        <f ca="1">IFERROR(__xludf.DUMMYFUNCTION("""COMPUTED_VALUE"""),44824)</f>
        <v>44824</v>
      </c>
      <c r="E321" s="1">
        <f ca="1">IFERROR(__xludf.DUMMYFUNCTION("""COMPUTED_VALUE"""),-13.5)</f>
        <v>-13.5</v>
      </c>
      <c r="F321" s="1">
        <f ca="1">IFERROR(__xludf.DUMMYFUNCTION("""COMPUTED_VALUE"""),90.8)</f>
        <v>90.8</v>
      </c>
      <c r="G321" s="1">
        <f ca="1">IFERROR(__xludf.DUMMYFUNCTION("""COMPUTED_VALUE"""),329)</f>
        <v>329</v>
      </c>
      <c r="H321" s="1">
        <f ca="1">IFERROR(__xludf.DUMMYFUNCTION("""COMPUTED_VALUE"""),104.3)</f>
        <v>104.3</v>
      </c>
      <c r="I321" s="1">
        <f ca="1">IFERROR(__xludf.DUMMYFUNCTION("""COMPUTED_VALUE"""),203)</f>
        <v>203</v>
      </c>
      <c r="J321" s="1">
        <f ca="1">IFERROR(__xludf.DUMMYFUNCTION("""COMPUTED_VALUE"""),65.8)</f>
        <v>65.8</v>
      </c>
      <c r="K321" s="1">
        <f ca="1">IFERROR(__xludf.DUMMYFUNCTION("""COMPUTED_VALUE"""),119)</f>
        <v>119</v>
      </c>
      <c r="L321" s="1" t="str">
        <f ca="1">IFERROR(__xludf.DUMMYFUNCTION("""COMPUTED_VALUE"""),"+.021")</f>
        <v>+.021</v>
      </c>
      <c r="M321" s="1">
        <f ca="1">IFERROR(__xludf.DUMMYFUNCTION("""COMPUTED_VALUE"""),129)</f>
        <v>129</v>
      </c>
      <c r="N321" s="1">
        <f ca="1">IFERROR(__xludf.DUMMYFUNCTION("""COMPUTED_VALUE"""),-1.3)</f>
        <v>-1.3</v>
      </c>
      <c r="O321" s="1">
        <f ca="1">IFERROR(__xludf.DUMMYFUNCTION("""COMPUTED_VALUE"""),168)</f>
        <v>168</v>
      </c>
      <c r="P321" s="1">
        <f ca="1">IFERROR(__xludf.DUMMYFUNCTION("""COMPUTED_VALUE"""),102.5)</f>
        <v>102.5</v>
      </c>
      <c r="Q321" s="1">
        <f ca="1">IFERROR(__xludf.DUMMYFUNCTION("""COMPUTED_VALUE"""),152)</f>
        <v>152</v>
      </c>
      <c r="R321" s="1">
        <f ca="1">IFERROR(__xludf.DUMMYFUNCTION("""COMPUTED_VALUE"""),103.8)</f>
        <v>103.8</v>
      </c>
      <c r="S321" s="1">
        <f ca="1">IFERROR(__xludf.DUMMYFUNCTION("""COMPUTED_VALUE"""),204)</f>
        <v>204</v>
      </c>
      <c r="T321" s="1">
        <f ca="1">IFERROR(__xludf.DUMMYFUNCTION("""COMPUTED_VALUE"""),-5.46)</f>
        <v>-5.46</v>
      </c>
      <c r="U321" s="1">
        <f ca="1">IFERROR(__xludf.DUMMYFUNCTION("""COMPUTED_VALUE"""),300)</f>
        <v>300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IFERROR(__xludf.DUMMYFUNCTION("""COMPUTED_VALUE"""),"Southern Utah")</f>
        <v>Southern Utah</v>
      </c>
      <c r="C322" s="1" t="str">
        <f ca="1">IFERROR(__xludf.DUMMYFUNCTION("""COMPUTED_VALUE"""),"BSky")</f>
        <v>BSky</v>
      </c>
      <c r="D322" s="2">
        <f ca="1">IFERROR(__xludf.DUMMYFUNCTION("""COMPUTED_VALUE"""),44885)</f>
        <v>44885</v>
      </c>
      <c r="E322" s="1">
        <f ca="1">IFERROR(__xludf.DUMMYFUNCTION("""COMPUTED_VALUE"""),-13.6)</f>
        <v>-13.6</v>
      </c>
      <c r="F322" s="1">
        <f ca="1">IFERROR(__xludf.DUMMYFUNCTION("""COMPUTED_VALUE"""),92.1)</f>
        <v>92.1</v>
      </c>
      <c r="G322" s="1">
        <f ca="1">IFERROR(__xludf.DUMMYFUNCTION("""COMPUTED_VALUE"""),319)</f>
        <v>319</v>
      </c>
      <c r="H322" s="1">
        <f ca="1">IFERROR(__xludf.DUMMYFUNCTION("""COMPUTED_VALUE"""),105.7)</f>
        <v>105.7</v>
      </c>
      <c r="I322" s="1">
        <f ca="1">IFERROR(__xludf.DUMMYFUNCTION("""COMPUTED_VALUE"""),242)</f>
        <v>242</v>
      </c>
      <c r="J322" s="1">
        <f ca="1">IFERROR(__xludf.DUMMYFUNCTION("""COMPUTED_VALUE"""),67.9)</f>
        <v>67.900000000000006</v>
      </c>
      <c r="K322" s="1">
        <f ca="1">IFERROR(__xludf.DUMMYFUNCTION("""COMPUTED_VALUE"""),36)</f>
        <v>36</v>
      </c>
      <c r="L322" s="1">
        <f ca="1">IFERROR(__xludf.DUMMYFUNCTION("""COMPUTED_VALUE"""),-0.001)</f>
        <v>-1E-3</v>
      </c>
      <c r="M322" s="1">
        <f ca="1">IFERROR(__xludf.DUMMYFUNCTION("""COMPUTED_VALUE"""),182)</f>
        <v>182</v>
      </c>
      <c r="N322" s="1">
        <f ca="1">IFERROR(__xludf.DUMMYFUNCTION("""COMPUTED_VALUE"""),-6.13)</f>
        <v>-6.13</v>
      </c>
      <c r="O322" s="1">
        <f ca="1">IFERROR(__xludf.DUMMYFUNCTION("""COMPUTED_VALUE"""),300)</f>
        <v>300</v>
      </c>
      <c r="P322" s="1">
        <f ca="1">IFERROR(__xludf.DUMMYFUNCTION("""COMPUTED_VALUE"""),101.1)</f>
        <v>101.1</v>
      </c>
      <c r="Q322" s="1">
        <f ca="1">IFERROR(__xludf.DUMMYFUNCTION("""COMPUTED_VALUE"""),222)</f>
        <v>222</v>
      </c>
      <c r="R322" s="1">
        <f ca="1">IFERROR(__xludf.DUMMYFUNCTION("""COMPUTED_VALUE"""),107.2)</f>
        <v>107.2</v>
      </c>
      <c r="S322" s="1">
        <f ca="1">IFERROR(__xludf.DUMMYFUNCTION("""COMPUTED_VALUE"""),341)</f>
        <v>341</v>
      </c>
      <c r="T322" s="1" t="str">
        <f ca="1">IFERROR(__xludf.DUMMYFUNCTION("""COMPUTED_VALUE"""),"+2.78")</f>
        <v>+2.78</v>
      </c>
      <c r="U322" s="1">
        <f ca="1">IFERROR(__xludf.DUMMYFUNCTION("""COMPUTED_VALUE"""),83)</f>
        <v>83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IFERROR(__xludf.DUMMYFUNCTION("""COMPUTED_VALUE"""),"SIU Edwardsville")</f>
        <v>SIU Edwardsville</v>
      </c>
      <c r="C323" s="1" t="str">
        <f ca="1">IFERROR(__xludf.DUMMYFUNCTION("""COMPUTED_VALUE"""),"OVC")</f>
        <v>OVC</v>
      </c>
      <c r="D323" s="2">
        <f ca="1">IFERROR(__xludf.DUMMYFUNCTION("""COMPUTED_VALUE"""),44822)</f>
        <v>44822</v>
      </c>
      <c r="E323" s="1">
        <f ca="1">IFERROR(__xludf.DUMMYFUNCTION("""COMPUTED_VALUE"""),-13.72)</f>
        <v>-13.72</v>
      </c>
      <c r="F323" s="1">
        <f ca="1">IFERROR(__xludf.DUMMYFUNCTION("""COMPUTED_VALUE"""),92.9)</f>
        <v>92.9</v>
      </c>
      <c r="G323" s="1">
        <f ca="1">IFERROR(__xludf.DUMMYFUNCTION("""COMPUTED_VALUE"""),313)</f>
        <v>313</v>
      </c>
      <c r="H323" s="1">
        <f ca="1">IFERROR(__xludf.DUMMYFUNCTION("""COMPUTED_VALUE"""),106.6)</f>
        <v>106.6</v>
      </c>
      <c r="I323" s="1">
        <f ca="1">IFERROR(__xludf.DUMMYFUNCTION("""COMPUTED_VALUE"""),253)</f>
        <v>253</v>
      </c>
      <c r="J323" s="1">
        <f ca="1">IFERROR(__xludf.DUMMYFUNCTION("""COMPUTED_VALUE"""),64.9)</f>
        <v>64.900000000000006</v>
      </c>
      <c r="K323" s="1">
        <f ca="1">IFERROR(__xludf.DUMMYFUNCTION("""COMPUTED_VALUE"""),162)</f>
        <v>162</v>
      </c>
      <c r="L323" s="1">
        <f ca="1">IFERROR(__xludf.DUMMYFUNCTION("""COMPUTED_VALUE"""),-0.008)</f>
        <v>-8.0000000000000002E-3</v>
      </c>
      <c r="M323" s="1">
        <f ca="1">IFERROR(__xludf.DUMMYFUNCTION("""COMPUTED_VALUE"""),204)</f>
        <v>204</v>
      </c>
      <c r="N323" s="1">
        <f ca="1">IFERROR(__xludf.DUMMYFUNCTION("""COMPUTED_VALUE"""),-5.25)</f>
        <v>-5.25</v>
      </c>
      <c r="O323" s="1">
        <f ca="1">IFERROR(__xludf.DUMMYFUNCTION("""COMPUTED_VALUE"""),277)</f>
        <v>277</v>
      </c>
      <c r="P323" s="1">
        <f ca="1">IFERROR(__xludf.DUMMYFUNCTION("""COMPUTED_VALUE"""),100.5)</f>
        <v>100.5</v>
      </c>
      <c r="Q323" s="1">
        <f ca="1">IFERROR(__xludf.DUMMYFUNCTION("""COMPUTED_VALUE"""),250)</f>
        <v>250</v>
      </c>
      <c r="R323" s="1">
        <f ca="1">IFERROR(__xludf.DUMMYFUNCTION("""COMPUTED_VALUE"""),105.8)</f>
        <v>105.8</v>
      </c>
      <c r="S323" s="1">
        <f ca="1">IFERROR(__xludf.DUMMYFUNCTION("""COMPUTED_VALUE"""),308)</f>
        <v>308</v>
      </c>
      <c r="T323" s="1">
        <f ca="1">IFERROR(__xludf.DUMMYFUNCTION("""COMPUTED_VALUE"""),-2.16)</f>
        <v>-2.16</v>
      </c>
      <c r="U323" s="1">
        <f ca="1">IFERROR(__xludf.DUMMYFUNCTION("""COMPUTED_VALUE"""),230)</f>
        <v>230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IFERROR(__xludf.DUMMYFUNCTION("""COMPUTED_VALUE"""),"UMBC")</f>
        <v>UMBC</v>
      </c>
      <c r="C324" s="1" t="str">
        <f ca="1">IFERROR(__xludf.DUMMYFUNCTION("""COMPUTED_VALUE"""),"AE")</f>
        <v>AE</v>
      </c>
      <c r="D324" s="2">
        <f ca="1">IFERROR(__xludf.DUMMYFUNCTION("""COMPUTED_VALUE"""),44796)</f>
        <v>44796</v>
      </c>
      <c r="E324" s="1">
        <f ca="1">IFERROR(__xludf.DUMMYFUNCTION("""COMPUTED_VALUE"""),-13.9)</f>
        <v>-13.9</v>
      </c>
      <c r="F324" s="1">
        <f ca="1">IFERROR(__xludf.DUMMYFUNCTION("""COMPUTED_VALUE"""),95.7)</f>
        <v>95.7</v>
      </c>
      <c r="G324" s="1">
        <f ca="1">IFERROR(__xludf.DUMMYFUNCTION("""COMPUTED_VALUE"""),288)</f>
        <v>288</v>
      </c>
      <c r="H324" s="1">
        <f ca="1">IFERROR(__xludf.DUMMYFUNCTION("""COMPUTED_VALUE"""),109.6)</f>
        <v>109.6</v>
      </c>
      <c r="I324" s="1">
        <f ca="1">IFERROR(__xludf.DUMMYFUNCTION("""COMPUTED_VALUE"""),299)</f>
        <v>299</v>
      </c>
      <c r="J324" s="1">
        <f ca="1">IFERROR(__xludf.DUMMYFUNCTION("""COMPUTED_VALUE"""),65.9)</f>
        <v>65.900000000000006</v>
      </c>
      <c r="K324" s="1">
        <f ca="1">IFERROR(__xludf.DUMMYFUNCTION("""COMPUTED_VALUE"""),112)</f>
        <v>112</v>
      </c>
      <c r="L324" s="1">
        <f ca="1">IFERROR(__xludf.DUMMYFUNCTION("""COMPUTED_VALUE"""),-0.01)</f>
        <v>-0.01</v>
      </c>
      <c r="M324" s="1">
        <f ca="1">IFERROR(__xludf.DUMMYFUNCTION("""COMPUTED_VALUE"""),209)</f>
        <v>209</v>
      </c>
      <c r="N324" s="1">
        <f ca="1">IFERROR(__xludf.DUMMYFUNCTION("""COMPUTED_VALUE"""),-2.96)</f>
        <v>-2.96</v>
      </c>
      <c r="O324" s="1">
        <f ca="1">IFERROR(__xludf.DUMMYFUNCTION("""COMPUTED_VALUE"""),218)</f>
        <v>218</v>
      </c>
      <c r="P324" s="1">
        <f ca="1">IFERROR(__xludf.DUMMYFUNCTION("""COMPUTED_VALUE"""),99.9)</f>
        <v>99.9</v>
      </c>
      <c r="Q324" s="1">
        <f ca="1">IFERROR(__xludf.DUMMYFUNCTION("""COMPUTED_VALUE"""),283)</f>
        <v>283</v>
      </c>
      <c r="R324" s="1">
        <f ca="1">IFERROR(__xludf.DUMMYFUNCTION("""COMPUTED_VALUE"""),102.9)</f>
        <v>102.9</v>
      </c>
      <c r="S324" s="1">
        <f ca="1">IFERROR(__xludf.DUMMYFUNCTION("""COMPUTED_VALUE"""),158)</f>
        <v>158</v>
      </c>
      <c r="T324" s="1">
        <f ca="1">IFERROR(__xludf.DUMMYFUNCTION("""COMPUTED_VALUE"""),-1.54)</f>
        <v>-1.54</v>
      </c>
      <c r="U324" s="1">
        <f ca="1">IFERROR(__xludf.DUMMYFUNCTION("""COMPUTED_VALUE"""),210)</f>
        <v>210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IFERROR(__xludf.DUMMYFUNCTION("""COMPUTED_VALUE"""),"Monmouth")</f>
        <v>Monmouth</v>
      </c>
      <c r="C325" s="1" t="str">
        <f ca="1">IFERROR(__xludf.DUMMYFUNCTION("""COMPUTED_VALUE"""),"NEC")</f>
        <v>NEC</v>
      </c>
      <c r="D325" s="2">
        <f ca="1">IFERROR(__xludf.DUMMYFUNCTION("""COMPUTED_VALUE"""),44855)</f>
        <v>44855</v>
      </c>
      <c r="E325" s="1">
        <f ca="1">IFERROR(__xludf.DUMMYFUNCTION("""COMPUTED_VALUE"""),-13.9)</f>
        <v>-13.9</v>
      </c>
      <c r="F325" s="1">
        <f ca="1">IFERROR(__xludf.DUMMYFUNCTION("""COMPUTED_VALUE"""),91.7)</f>
        <v>91.7</v>
      </c>
      <c r="G325" s="1">
        <f ca="1">IFERROR(__xludf.DUMMYFUNCTION("""COMPUTED_VALUE"""),325)</f>
        <v>325</v>
      </c>
      <c r="H325" s="1">
        <f ca="1">IFERROR(__xludf.DUMMYFUNCTION("""COMPUTED_VALUE"""),105.6)</f>
        <v>105.6</v>
      </c>
      <c r="I325" s="1">
        <f ca="1">IFERROR(__xludf.DUMMYFUNCTION("""COMPUTED_VALUE"""),238)</f>
        <v>238</v>
      </c>
      <c r="J325" s="1">
        <f ca="1">IFERROR(__xludf.DUMMYFUNCTION("""COMPUTED_VALUE"""),68.4)</f>
        <v>68.400000000000006</v>
      </c>
      <c r="K325" s="1">
        <f ca="1">IFERROR(__xludf.DUMMYFUNCTION("""COMPUTED_VALUE"""),28)</f>
        <v>28</v>
      </c>
      <c r="L325" s="1" t="str">
        <f ca="1">IFERROR(__xludf.DUMMYFUNCTION("""COMPUTED_VALUE"""),"+.019")</f>
        <v>+.019</v>
      </c>
      <c r="M325" s="1">
        <f ca="1">IFERROR(__xludf.DUMMYFUNCTION("""COMPUTED_VALUE"""),136)</f>
        <v>136</v>
      </c>
      <c r="N325" s="1">
        <f ca="1">IFERROR(__xludf.DUMMYFUNCTION("""COMPUTED_VALUE"""),-4.32)</f>
        <v>-4.32</v>
      </c>
      <c r="O325" s="1">
        <f ca="1">IFERROR(__xludf.DUMMYFUNCTION("""COMPUTED_VALUE"""),254)</f>
        <v>254</v>
      </c>
      <c r="P325" s="1">
        <f ca="1">IFERROR(__xludf.DUMMYFUNCTION("""COMPUTED_VALUE"""),101.3)</f>
        <v>101.3</v>
      </c>
      <c r="Q325" s="1">
        <f ca="1">IFERROR(__xludf.DUMMYFUNCTION("""COMPUTED_VALUE"""),212)</f>
        <v>212</v>
      </c>
      <c r="R325" s="1">
        <f ca="1">IFERROR(__xludf.DUMMYFUNCTION("""COMPUTED_VALUE"""),105.7)</f>
        <v>105.7</v>
      </c>
      <c r="S325" s="1">
        <f ca="1">IFERROR(__xludf.DUMMYFUNCTION("""COMPUTED_VALUE"""),302)</f>
        <v>302</v>
      </c>
      <c r="T325" s="1" t="str">
        <f ca="1">IFERROR(__xludf.DUMMYFUNCTION("""COMPUTED_VALUE"""),"+0.58")</f>
        <v>+0.58</v>
      </c>
      <c r="U325" s="1">
        <f ca="1">IFERROR(__xludf.DUMMYFUNCTION("""COMPUTED_VALUE"""),134)</f>
        <v>134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IFERROR(__xludf.DUMMYFUNCTION("""COMPUTED_VALUE"""),"Chattanooga")</f>
        <v>Chattanooga</v>
      </c>
      <c r="C326" s="1" t="str">
        <f ca="1">IFERROR(__xludf.DUMMYFUNCTION("""COMPUTED_VALUE"""),"SC")</f>
        <v>SC</v>
      </c>
      <c r="D326" s="1" t="str">
        <f ca="1">IFERROR(__xludf.DUMMYFUNCTION("""COMPUTED_VALUE"""),"13-19")</f>
        <v>13-19</v>
      </c>
      <c r="E326" s="1">
        <f ca="1">IFERROR(__xludf.DUMMYFUNCTION("""COMPUTED_VALUE"""),-14.12)</f>
        <v>-14.12</v>
      </c>
      <c r="F326" s="1">
        <f ca="1">IFERROR(__xludf.DUMMYFUNCTION("""COMPUTED_VALUE"""),97.7)</f>
        <v>97.7</v>
      </c>
      <c r="G326" s="1">
        <f ca="1">IFERROR(__xludf.DUMMYFUNCTION("""COMPUTED_VALUE"""),263)</f>
        <v>263</v>
      </c>
      <c r="H326" s="1">
        <f ca="1">IFERROR(__xludf.DUMMYFUNCTION("""COMPUTED_VALUE"""),111.8)</f>
        <v>111.8</v>
      </c>
      <c r="I326" s="1">
        <f ca="1">IFERROR(__xludf.DUMMYFUNCTION("""COMPUTED_VALUE"""),322)</f>
        <v>322</v>
      </c>
      <c r="J326" s="1">
        <f ca="1">IFERROR(__xludf.DUMMYFUNCTION("""COMPUTED_VALUE"""),66.2)</f>
        <v>66.2</v>
      </c>
      <c r="K326" s="1">
        <f ca="1">IFERROR(__xludf.DUMMYFUNCTION("""COMPUTED_VALUE"""),96)</f>
        <v>96</v>
      </c>
      <c r="L326" s="1" t="str">
        <f ca="1">IFERROR(__xludf.DUMMYFUNCTION("""COMPUTED_VALUE"""),"+.018")</f>
        <v>+.018</v>
      </c>
      <c r="M326" s="1">
        <f ca="1">IFERROR(__xludf.DUMMYFUNCTION("""COMPUTED_VALUE"""),138)</f>
        <v>138</v>
      </c>
      <c r="N326" s="1">
        <f ca="1">IFERROR(__xludf.DUMMYFUNCTION("""COMPUTED_VALUE"""),-7.3)</f>
        <v>-7.3</v>
      </c>
      <c r="O326" s="1">
        <f ca="1">IFERROR(__xludf.DUMMYFUNCTION("""COMPUTED_VALUE"""),324)</f>
        <v>324</v>
      </c>
      <c r="P326" s="1">
        <f ca="1">IFERROR(__xludf.DUMMYFUNCTION("""COMPUTED_VALUE"""),99.4)</f>
        <v>99.4</v>
      </c>
      <c r="Q326" s="1">
        <f ca="1">IFERROR(__xludf.DUMMYFUNCTION("""COMPUTED_VALUE"""),302)</f>
        <v>302</v>
      </c>
      <c r="R326" s="1">
        <f ca="1">IFERROR(__xludf.DUMMYFUNCTION("""COMPUTED_VALUE"""),106.7)</f>
        <v>106.7</v>
      </c>
      <c r="S326" s="1">
        <f ca="1">IFERROR(__xludf.DUMMYFUNCTION("""COMPUTED_VALUE"""),332)</f>
        <v>332</v>
      </c>
      <c r="T326" s="1">
        <f ca="1">IFERROR(__xludf.DUMMYFUNCTION("""COMPUTED_VALUE"""),-2.92)</f>
        <v>-2.92</v>
      </c>
      <c r="U326" s="1">
        <f ca="1">IFERROR(__xludf.DUMMYFUNCTION("""COMPUTED_VALUE"""),254)</f>
        <v>254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IFERROR(__xludf.DUMMYFUNCTION("""COMPUTED_VALUE"""),"Austin Peay")</f>
        <v>Austin Peay</v>
      </c>
      <c r="C327" s="1" t="str">
        <f ca="1">IFERROR(__xludf.DUMMYFUNCTION("""COMPUTED_VALUE"""),"OVC")</f>
        <v>OVC</v>
      </c>
      <c r="D327" s="2">
        <f ca="1">IFERROR(__xludf.DUMMYFUNCTION("""COMPUTED_VALUE"""),44796)</f>
        <v>44796</v>
      </c>
      <c r="E327" s="1">
        <f ca="1">IFERROR(__xludf.DUMMYFUNCTION("""COMPUTED_VALUE"""),-14.41)</f>
        <v>-14.41</v>
      </c>
      <c r="F327" s="1">
        <f ca="1">IFERROR(__xludf.DUMMYFUNCTION("""COMPUTED_VALUE"""),98.8)</f>
        <v>98.8</v>
      </c>
      <c r="G327" s="1">
        <f ca="1">IFERROR(__xludf.DUMMYFUNCTION("""COMPUTED_VALUE"""),237)</f>
        <v>237</v>
      </c>
      <c r="H327" s="1">
        <f ca="1">IFERROR(__xludf.DUMMYFUNCTION("""COMPUTED_VALUE"""),113.3)</f>
        <v>113.3</v>
      </c>
      <c r="I327" s="1">
        <f ca="1">IFERROR(__xludf.DUMMYFUNCTION("""COMPUTED_VALUE"""),333)</f>
        <v>333</v>
      </c>
      <c r="J327" s="1">
        <f ca="1">IFERROR(__xludf.DUMMYFUNCTION("""COMPUTED_VALUE"""),67.5)</f>
        <v>67.5</v>
      </c>
      <c r="K327" s="1">
        <f ca="1">IFERROR(__xludf.DUMMYFUNCTION("""COMPUTED_VALUE"""),50)</f>
        <v>50</v>
      </c>
      <c r="L327" s="1">
        <f ca="1">IFERROR(__xludf.DUMMYFUNCTION("""COMPUTED_VALUE"""),-0.071)</f>
        <v>-7.0999999999999994E-2</v>
      </c>
      <c r="M327" s="1">
        <f ca="1">IFERROR(__xludf.DUMMYFUNCTION("""COMPUTED_VALUE"""),319)</f>
        <v>319</v>
      </c>
      <c r="N327" s="1">
        <f ca="1">IFERROR(__xludf.DUMMYFUNCTION("""COMPUTED_VALUE"""),-4.4)</f>
        <v>-4.4000000000000004</v>
      </c>
      <c r="O327" s="1">
        <f ca="1">IFERROR(__xludf.DUMMYFUNCTION("""COMPUTED_VALUE"""),256)</f>
        <v>256</v>
      </c>
      <c r="P327" s="1">
        <f ca="1">IFERROR(__xludf.DUMMYFUNCTION("""COMPUTED_VALUE"""),101.2)</f>
        <v>101.2</v>
      </c>
      <c r="Q327" s="1">
        <f ca="1">IFERROR(__xludf.DUMMYFUNCTION("""COMPUTED_VALUE"""),221)</f>
        <v>221</v>
      </c>
      <c r="R327" s="1">
        <f ca="1">IFERROR(__xludf.DUMMYFUNCTION("""COMPUTED_VALUE"""),105.6)</f>
        <v>105.6</v>
      </c>
      <c r="S327" s="1">
        <f ca="1">IFERROR(__xludf.DUMMYFUNCTION("""COMPUTED_VALUE"""),294)</f>
        <v>294</v>
      </c>
      <c r="T327" s="1">
        <f ca="1">IFERROR(__xludf.DUMMYFUNCTION("""COMPUTED_VALUE"""),-1.99)</f>
        <v>-1.99</v>
      </c>
      <c r="U327" s="1">
        <f ca="1">IFERROR(__xludf.DUMMYFUNCTION("""COMPUTED_VALUE"""),223)</f>
        <v>223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IFERROR(__xludf.DUMMYFUNCTION("""COMPUTED_VALUE"""),"Texas Pan American")</f>
        <v>Texas Pan American</v>
      </c>
      <c r="C328" s="1" t="str">
        <f ca="1">IFERROR(__xludf.DUMMYFUNCTION("""COMPUTED_VALUE"""),"GWC")</f>
        <v>GWC</v>
      </c>
      <c r="D328" s="1" t="str">
        <f ca="1">IFERROR(__xludf.DUMMYFUNCTION("""COMPUTED_VALUE"""),"16-16")</f>
        <v>16-16</v>
      </c>
      <c r="E328" s="1">
        <f ca="1">IFERROR(__xludf.DUMMYFUNCTION("""COMPUTED_VALUE"""),-14.41)</f>
        <v>-14.41</v>
      </c>
      <c r="F328" s="1">
        <f ca="1">IFERROR(__xludf.DUMMYFUNCTION("""COMPUTED_VALUE"""),94.1)</f>
        <v>94.1</v>
      </c>
      <c r="G328" s="1">
        <f ca="1">IFERROR(__xludf.DUMMYFUNCTION("""COMPUTED_VALUE"""),299)</f>
        <v>299</v>
      </c>
      <c r="H328" s="1">
        <f ca="1">IFERROR(__xludf.DUMMYFUNCTION("""COMPUTED_VALUE"""),108.6)</f>
        <v>108.6</v>
      </c>
      <c r="I328" s="1">
        <f ca="1">IFERROR(__xludf.DUMMYFUNCTION("""COMPUTED_VALUE"""),282)</f>
        <v>282</v>
      </c>
      <c r="J328" s="1">
        <f ca="1">IFERROR(__xludf.DUMMYFUNCTION("""COMPUTED_VALUE"""),62.5)</f>
        <v>62.5</v>
      </c>
      <c r="K328" s="1">
        <f ca="1">IFERROR(__xludf.DUMMYFUNCTION("""COMPUTED_VALUE"""),263)</f>
        <v>263</v>
      </c>
      <c r="L328" s="1" t="str">
        <f ca="1">IFERROR(__xludf.DUMMYFUNCTION("""COMPUTED_VALUE"""),"+.068")</f>
        <v>+.068</v>
      </c>
      <c r="M328" s="1">
        <f ca="1">IFERROR(__xludf.DUMMYFUNCTION("""COMPUTED_VALUE"""),31)</f>
        <v>31</v>
      </c>
      <c r="N328" s="1">
        <f ca="1">IFERROR(__xludf.DUMMYFUNCTION("""COMPUTED_VALUE"""),-9.25)</f>
        <v>-9.25</v>
      </c>
      <c r="O328" s="1">
        <f ca="1">IFERROR(__xludf.DUMMYFUNCTION("""COMPUTED_VALUE"""),341)</f>
        <v>341</v>
      </c>
      <c r="P328" s="1">
        <f ca="1">IFERROR(__xludf.DUMMYFUNCTION("""COMPUTED_VALUE"""),96.7)</f>
        <v>96.7</v>
      </c>
      <c r="Q328" s="1">
        <f ca="1">IFERROR(__xludf.DUMMYFUNCTION("""COMPUTED_VALUE"""),333)</f>
        <v>333</v>
      </c>
      <c r="R328" s="1">
        <f ca="1">IFERROR(__xludf.DUMMYFUNCTION("""COMPUTED_VALUE"""),106)</f>
        <v>106</v>
      </c>
      <c r="S328" s="1">
        <f ca="1">IFERROR(__xludf.DUMMYFUNCTION("""COMPUTED_VALUE"""),312)</f>
        <v>312</v>
      </c>
      <c r="T328" s="1">
        <f ca="1">IFERROR(__xludf.DUMMYFUNCTION("""COMPUTED_VALUE"""),-7.05)</f>
        <v>-7.05</v>
      </c>
      <c r="U328" s="1">
        <f ca="1">IFERROR(__xludf.DUMMYFUNCTION("""COMPUTED_VALUE"""),322)</f>
        <v>322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IFERROR(__xludf.DUMMYFUNCTION("""COMPUTED_VALUE"""),"Coppin St.")</f>
        <v>Coppin St.</v>
      </c>
      <c r="C329" s="1" t="str">
        <f ca="1">IFERROR(__xludf.DUMMYFUNCTION("""COMPUTED_VALUE"""),"MEAC")</f>
        <v>MEAC</v>
      </c>
      <c r="D329" s="2">
        <f ca="1">IFERROR(__xludf.DUMMYFUNCTION("""COMPUTED_VALUE"""),44797)</f>
        <v>44797</v>
      </c>
      <c r="E329" s="1">
        <f ca="1">IFERROR(__xludf.DUMMYFUNCTION("""COMPUTED_VALUE"""),-14.53)</f>
        <v>-14.53</v>
      </c>
      <c r="F329" s="1">
        <f ca="1">IFERROR(__xludf.DUMMYFUNCTION("""COMPUTED_VALUE"""),93.2)</f>
        <v>93.2</v>
      </c>
      <c r="G329" s="1">
        <f ca="1">IFERROR(__xludf.DUMMYFUNCTION("""COMPUTED_VALUE"""),310)</f>
        <v>310</v>
      </c>
      <c r="H329" s="1">
        <f ca="1">IFERROR(__xludf.DUMMYFUNCTION("""COMPUTED_VALUE"""),107.7)</f>
        <v>107.7</v>
      </c>
      <c r="I329" s="1">
        <f ca="1">IFERROR(__xludf.DUMMYFUNCTION("""COMPUTED_VALUE"""),267)</f>
        <v>267</v>
      </c>
      <c r="J329" s="1">
        <f ca="1">IFERROR(__xludf.DUMMYFUNCTION("""COMPUTED_VALUE"""),66.9)</f>
        <v>66.900000000000006</v>
      </c>
      <c r="K329" s="1">
        <f ca="1">IFERROR(__xludf.DUMMYFUNCTION("""COMPUTED_VALUE"""),65)</f>
        <v>65</v>
      </c>
      <c r="L329" s="1">
        <f ca="1">IFERROR(__xludf.DUMMYFUNCTION("""COMPUTED_VALUE"""),-0.038)</f>
        <v>-3.7999999999999999E-2</v>
      </c>
      <c r="M329" s="1">
        <f ca="1">IFERROR(__xludf.DUMMYFUNCTION("""COMPUTED_VALUE"""),275)</f>
        <v>275</v>
      </c>
      <c r="N329" s="1">
        <f ca="1">IFERROR(__xludf.DUMMYFUNCTION("""COMPUTED_VALUE"""),-3.61)</f>
        <v>-3.61</v>
      </c>
      <c r="O329" s="1">
        <f ca="1">IFERROR(__xludf.DUMMYFUNCTION("""COMPUTED_VALUE"""),238)</f>
        <v>238</v>
      </c>
      <c r="P329" s="1">
        <f ca="1">IFERROR(__xludf.DUMMYFUNCTION("""COMPUTED_VALUE"""),98.2)</f>
        <v>98.2</v>
      </c>
      <c r="Q329" s="1">
        <f ca="1">IFERROR(__xludf.DUMMYFUNCTION("""COMPUTED_VALUE"""),322)</f>
        <v>322</v>
      </c>
      <c r="R329" s="1">
        <f ca="1">IFERROR(__xludf.DUMMYFUNCTION("""COMPUTED_VALUE"""),101.8)</f>
        <v>101.8</v>
      </c>
      <c r="S329" s="1">
        <f ca="1">IFERROR(__xludf.DUMMYFUNCTION("""COMPUTED_VALUE"""),119)</f>
        <v>119</v>
      </c>
      <c r="T329" s="1" t="str">
        <f ca="1">IFERROR(__xludf.DUMMYFUNCTION("""COMPUTED_VALUE"""),"+6.28")</f>
        <v>+6.28</v>
      </c>
      <c r="U329" s="1">
        <f ca="1">IFERROR(__xludf.DUMMYFUNCTION("""COMPUTED_VALUE"""),25)</f>
        <v>25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IFERROR(__xludf.DUMMYFUNCTION("""COMPUTED_VALUE"""),"UC Riverside")</f>
        <v>UC Riverside</v>
      </c>
      <c r="C330" s="1" t="str">
        <f ca="1">IFERROR(__xludf.DUMMYFUNCTION("""COMPUTED_VALUE"""),"BW")</f>
        <v>BW</v>
      </c>
      <c r="D330" s="2">
        <f ca="1">IFERROR(__xludf.DUMMYFUNCTION("""COMPUTED_VALUE"""),44737)</f>
        <v>44737</v>
      </c>
      <c r="E330" s="1">
        <f ca="1">IFERROR(__xludf.DUMMYFUNCTION("""COMPUTED_VALUE"""),-14.57)</f>
        <v>-14.57</v>
      </c>
      <c r="F330" s="1">
        <f ca="1">IFERROR(__xludf.DUMMYFUNCTION("""COMPUTED_VALUE"""),89.2)</f>
        <v>89.2</v>
      </c>
      <c r="G330" s="1">
        <f ca="1">IFERROR(__xludf.DUMMYFUNCTION("""COMPUTED_VALUE"""),335)</f>
        <v>335</v>
      </c>
      <c r="H330" s="1">
        <f ca="1">IFERROR(__xludf.DUMMYFUNCTION("""COMPUTED_VALUE"""),103.8)</f>
        <v>103.8</v>
      </c>
      <c r="I330" s="1">
        <f ca="1">IFERROR(__xludf.DUMMYFUNCTION("""COMPUTED_VALUE"""),193)</f>
        <v>193</v>
      </c>
      <c r="J330" s="1">
        <f ca="1">IFERROR(__xludf.DUMMYFUNCTION("""COMPUTED_VALUE"""),61.8)</f>
        <v>61.8</v>
      </c>
      <c r="K330" s="1">
        <f ca="1">IFERROR(__xludf.DUMMYFUNCTION("""COMPUTED_VALUE"""),285)</f>
        <v>285</v>
      </c>
      <c r="L330" s="1">
        <f ca="1">IFERROR(__xludf.DUMMYFUNCTION("""COMPUTED_VALUE"""),-0.071)</f>
        <v>-7.0999999999999994E-2</v>
      </c>
      <c r="M330" s="1">
        <f ca="1">IFERROR(__xludf.DUMMYFUNCTION("""COMPUTED_VALUE"""),320)</f>
        <v>320</v>
      </c>
      <c r="N330" s="1">
        <f ca="1">IFERROR(__xludf.DUMMYFUNCTION("""COMPUTED_VALUE"""),-1.92)</f>
        <v>-1.92</v>
      </c>
      <c r="O330" s="1">
        <f ca="1">IFERROR(__xludf.DUMMYFUNCTION("""COMPUTED_VALUE"""),181)</f>
        <v>181</v>
      </c>
      <c r="P330" s="1">
        <f ca="1">IFERROR(__xludf.DUMMYFUNCTION("""COMPUTED_VALUE"""),103.6)</f>
        <v>103.6</v>
      </c>
      <c r="Q330" s="1">
        <f ca="1">IFERROR(__xludf.DUMMYFUNCTION("""COMPUTED_VALUE"""),127)</f>
        <v>127</v>
      </c>
      <c r="R330" s="1">
        <f ca="1">IFERROR(__xludf.DUMMYFUNCTION("""COMPUTED_VALUE"""),105.5)</f>
        <v>105.5</v>
      </c>
      <c r="S330" s="1">
        <f ca="1">IFERROR(__xludf.DUMMYFUNCTION("""COMPUTED_VALUE"""),293)</f>
        <v>293</v>
      </c>
      <c r="T330" s="1">
        <f ca="1">IFERROR(__xludf.DUMMYFUNCTION("""COMPUTED_VALUE"""),-1.31)</f>
        <v>-1.31</v>
      </c>
      <c r="U330" s="1">
        <f ca="1">IFERROR(__xludf.DUMMYFUNCTION("""COMPUTED_VALUE"""),203)</f>
        <v>203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IFERROR(__xludf.DUMMYFUNCTION("""COMPUTED_VALUE"""),"Texas A&amp;M Corpus Chris")</f>
        <v>Texas A&amp;M Corpus Chris</v>
      </c>
      <c r="C331" s="1" t="str">
        <f ca="1">IFERROR(__xludf.DUMMYFUNCTION("""COMPUTED_VALUE"""),"Slnd")</f>
        <v>Slnd</v>
      </c>
      <c r="D331" s="2">
        <f ca="1">IFERROR(__xludf.DUMMYFUNCTION("""COMPUTED_VALUE"""),44735)</f>
        <v>44735</v>
      </c>
      <c r="E331" s="1">
        <f ca="1">IFERROR(__xludf.DUMMYFUNCTION("""COMPUTED_VALUE"""),-14.88)</f>
        <v>-14.88</v>
      </c>
      <c r="F331" s="1">
        <f ca="1">IFERROR(__xludf.DUMMYFUNCTION("""COMPUTED_VALUE"""),96.1)</f>
        <v>96.1</v>
      </c>
      <c r="G331" s="1">
        <f ca="1">IFERROR(__xludf.DUMMYFUNCTION("""COMPUTED_VALUE"""),282)</f>
        <v>282</v>
      </c>
      <c r="H331" s="1">
        <f ca="1">IFERROR(__xludf.DUMMYFUNCTION("""COMPUTED_VALUE"""),111)</f>
        <v>111</v>
      </c>
      <c r="I331" s="1">
        <f ca="1">IFERROR(__xludf.DUMMYFUNCTION("""COMPUTED_VALUE"""),316)</f>
        <v>316</v>
      </c>
      <c r="J331" s="1">
        <f ca="1">IFERROR(__xludf.DUMMYFUNCTION("""COMPUTED_VALUE"""),60.8)</f>
        <v>60.8</v>
      </c>
      <c r="K331" s="1">
        <f ca="1">IFERROR(__xludf.DUMMYFUNCTION("""COMPUTED_VALUE"""),310)</f>
        <v>310</v>
      </c>
      <c r="L331" s="1">
        <f ca="1">IFERROR(__xludf.DUMMYFUNCTION("""COMPUTED_VALUE"""),-0.04)</f>
        <v>-0.04</v>
      </c>
      <c r="M331" s="1">
        <f ca="1">IFERROR(__xludf.DUMMYFUNCTION("""COMPUTED_VALUE"""),278)</f>
        <v>278</v>
      </c>
      <c r="N331" s="1">
        <f ca="1">IFERROR(__xludf.DUMMYFUNCTION("""COMPUTED_VALUE"""),-3.23)</f>
        <v>-3.23</v>
      </c>
      <c r="O331" s="1">
        <f ca="1">IFERROR(__xludf.DUMMYFUNCTION("""COMPUTED_VALUE"""),226)</f>
        <v>226</v>
      </c>
      <c r="P331" s="1">
        <f ca="1">IFERROR(__xludf.DUMMYFUNCTION("""COMPUTED_VALUE"""),101)</f>
        <v>101</v>
      </c>
      <c r="Q331" s="1">
        <f ca="1">IFERROR(__xludf.DUMMYFUNCTION("""COMPUTED_VALUE"""),226)</f>
        <v>226</v>
      </c>
      <c r="R331" s="1">
        <f ca="1">IFERROR(__xludf.DUMMYFUNCTION("""COMPUTED_VALUE"""),104.3)</f>
        <v>104.3</v>
      </c>
      <c r="S331" s="1">
        <f ca="1">IFERROR(__xludf.DUMMYFUNCTION("""COMPUTED_VALUE"""),231)</f>
        <v>231</v>
      </c>
      <c r="T331" s="1" t="str">
        <f ca="1">IFERROR(__xludf.DUMMYFUNCTION("""COMPUTED_VALUE"""),"+6.09")</f>
        <v>+6.09</v>
      </c>
      <c r="U331" s="1">
        <f ca="1">IFERROR(__xludf.DUMMYFUNCTION("""COMPUTED_VALUE"""),27)</f>
        <v>27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IFERROR(__xludf.DUMMYFUNCTION("""COMPUTED_VALUE"""),"Jackson St.")</f>
        <v>Jackson St.</v>
      </c>
      <c r="C332" s="1" t="str">
        <f ca="1">IFERROR(__xludf.DUMMYFUNCTION("""COMPUTED_VALUE"""),"SWAC")</f>
        <v>SWAC</v>
      </c>
      <c r="D332" s="2">
        <f ca="1">IFERROR(__xludf.DUMMYFUNCTION("""COMPUTED_VALUE"""),44883)</f>
        <v>44883</v>
      </c>
      <c r="E332" s="1">
        <f ca="1">IFERROR(__xludf.DUMMYFUNCTION("""COMPUTED_VALUE"""),-14.94)</f>
        <v>-14.94</v>
      </c>
      <c r="F332" s="1">
        <f ca="1">IFERROR(__xludf.DUMMYFUNCTION("""COMPUTED_VALUE"""),93.9)</f>
        <v>93.9</v>
      </c>
      <c r="G332" s="1">
        <f ca="1">IFERROR(__xludf.DUMMYFUNCTION("""COMPUTED_VALUE"""),305)</f>
        <v>305</v>
      </c>
      <c r="H332" s="1">
        <f ca="1">IFERROR(__xludf.DUMMYFUNCTION("""COMPUTED_VALUE"""),108.8)</f>
        <v>108.8</v>
      </c>
      <c r="I332" s="1">
        <f ca="1">IFERROR(__xludf.DUMMYFUNCTION("""COMPUTED_VALUE"""),290)</f>
        <v>290</v>
      </c>
      <c r="J332" s="1">
        <f ca="1">IFERROR(__xludf.DUMMYFUNCTION("""COMPUTED_VALUE"""),67.4)</f>
        <v>67.400000000000006</v>
      </c>
      <c r="K332" s="1">
        <f ca="1">IFERROR(__xludf.DUMMYFUNCTION("""COMPUTED_VALUE"""),54)</f>
        <v>54</v>
      </c>
      <c r="L332" s="1">
        <f ca="1">IFERROR(__xludf.DUMMYFUNCTION("""COMPUTED_VALUE"""),-0.015)</f>
        <v>-1.4999999999999999E-2</v>
      </c>
      <c r="M332" s="1">
        <f ca="1">IFERROR(__xludf.DUMMYFUNCTION("""COMPUTED_VALUE"""),222)</f>
        <v>222</v>
      </c>
      <c r="N332" s="1">
        <f ca="1">IFERROR(__xludf.DUMMYFUNCTION("""COMPUTED_VALUE"""),-9.62)</f>
        <v>-9.6199999999999992</v>
      </c>
      <c r="O332" s="1">
        <f ca="1">IFERROR(__xludf.DUMMYFUNCTION("""COMPUTED_VALUE"""),343)</f>
        <v>343</v>
      </c>
      <c r="P332" s="1">
        <f ca="1">IFERROR(__xludf.DUMMYFUNCTION("""COMPUTED_VALUE"""),96)</f>
        <v>96</v>
      </c>
      <c r="Q332" s="1">
        <f ca="1">IFERROR(__xludf.DUMMYFUNCTION("""COMPUTED_VALUE"""),341)</f>
        <v>341</v>
      </c>
      <c r="R332" s="1">
        <f ca="1">IFERROR(__xludf.DUMMYFUNCTION("""COMPUTED_VALUE"""),105.6)</f>
        <v>105.6</v>
      </c>
      <c r="S332" s="1">
        <f ca="1">IFERROR(__xludf.DUMMYFUNCTION("""COMPUTED_VALUE"""),296)</f>
        <v>296</v>
      </c>
      <c r="T332" s="1" t="str">
        <f ca="1">IFERROR(__xludf.DUMMYFUNCTION("""COMPUTED_VALUE"""),"+8.89")</f>
        <v>+8.89</v>
      </c>
      <c r="U332" s="1">
        <f ca="1">IFERROR(__xludf.DUMMYFUNCTION("""COMPUTED_VALUE"""),9)</f>
        <v>9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IFERROR(__xludf.DUMMYFUNCTION("""COMPUTED_VALUE"""),"Navy")</f>
        <v>Navy</v>
      </c>
      <c r="C333" s="1" t="str">
        <f ca="1">IFERROR(__xludf.DUMMYFUNCTION("""COMPUTED_VALUE"""),"Pat")</f>
        <v>Pat</v>
      </c>
      <c r="D333" s="2">
        <f ca="1">IFERROR(__xludf.DUMMYFUNCTION("""COMPUTED_VALUE"""),44796)</f>
        <v>44796</v>
      </c>
      <c r="E333" s="1">
        <f ca="1">IFERROR(__xludf.DUMMYFUNCTION("""COMPUTED_VALUE"""),-15.2)</f>
        <v>-15.2</v>
      </c>
      <c r="F333" s="1">
        <f ca="1">IFERROR(__xludf.DUMMYFUNCTION("""COMPUTED_VALUE"""),90)</f>
        <v>90</v>
      </c>
      <c r="G333" s="1">
        <f ca="1">IFERROR(__xludf.DUMMYFUNCTION("""COMPUTED_VALUE"""),331)</f>
        <v>331</v>
      </c>
      <c r="H333" s="1">
        <f ca="1">IFERROR(__xludf.DUMMYFUNCTION("""COMPUTED_VALUE"""),105.2)</f>
        <v>105.2</v>
      </c>
      <c r="I333" s="1">
        <f ca="1">IFERROR(__xludf.DUMMYFUNCTION("""COMPUTED_VALUE"""),221)</f>
        <v>221</v>
      </c>
      <c r="J333" s="1">
        <f ca="1">IFERROR(__xludf.DUMMYFUNCTION("""COMPUTED_VALUE"""),59.4)</f>
        <v>59.4</v>
      </c>
      <c r="K333" s="1">
        <f ca="1">IFERROR(__xludf.DUMMYFUNCTION("""COMPUTED_VALUE"""),334)</f>
        <v>334</v>
      </c>
      <c r="L333" s="1">
        <f ca="1">IFERROR(__xludf.DUMMYFUNCTION("""COMPUTED_VALUE"""),-0.049)</f>
        <v>-4.9000000000000002E-2</v>
      </c>
      <c r="M333" s="1">
        <f ca="1">IFERROR(__xludf.DUMMYFUNCTION("""COMPUTED_VALUE"""),292)</f>
        <v>292</v>
      </c>
      <c r="N333" s="1">
        <f ca="1">IFERROR(__xludf.DUMMYFUNCTION("""COMPUTED_VALUE"""),-4.13)</f>
        <v>-4.13</v>
      </c>
      <c r="O333" s="1">
        <f ca="1">IFERROR(__xludf.DUMMYFUNCTION("""COMPUTED_VALUE"""),250)</f>
        <v>250</v>
      </c>
      <c r="P333" s="1">
        <f ca="1">IFERROR(__xludf.DUMMYFUNCTION("""COMPUTED_VALUE"""),100.5)</f>
        <v>100.5</v>
      </c>
      <c r="Q333" s="1">
        <f ca="1">IFERROR(__xludf.DUMMYFUNCTION("""COMPUTED_VALUE"""),257)</f>
        <v>257</v>
      </c>
      <c r="R333" s="1">
        <f ca="1">IFERROR(__xludf.DUMMYFUNCTION("""COMPUTED_VALUE"""),104.6)</f>
        <v>104.6</v>
      </c>
      <c r="S333" s="1">
        <f ca="1">IFERROR(__xludf.DUMMYFUNCTION("""COMPUTED_VALUE"""),243)</f>
        <v>243</v>
      </c>
      <c r="T333" s="1">
        <f ca="1">IFERROR(__xludf.DUMMYFUNCTION("""COMPUTED_VALUE"""),-7.82)</f>
        <v>-7.82</v>
      </c>
      <c r="U333" s="1">
        <f ca="1">IFERROR(__xludf.DUMMYFUNCTION("""COMPUTED_VALUE"""),329)</f>
        <v>329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IFERROR(__xludf.DUMMYFUNCTION("""COMPUTED_VALUE"""),"UMKC")</f>
        <v>UMKC</v>
      </c>
      <c r="C334" s="1" t="str">
        <f ca="1">IFERROR(__xludf.DUMMYFUNCTION("""COMPUTED_VALUE"""),"Sum")</f>
        <v>Sum</v>
      </c>
      <c r="D334" s="2">
        <f ca="1">IFERROR(__xludf.DUMMYFUNCTION("""COMPUTED_VALUE"""),44797)</f>
        <v>44797</v>
      </c>
      <c r="E334" s="1">
        <f ca="1">IFERROR(__xludf.DUMMYFUNCTION("""COMPUTED_VALUE"""),-15.39)</f>
        <v>-15.39</v>
      </c>
      <c r="F334" s="1">
        <f ca="1">IFERROR(__xludf.DUMMYFUNCTION("""COMPUTED_VALUE"""),93.7)</f>
        <v>93.7</v>
      </c>
      <c r="G334" s="1">
        <f ca="1">IFERROR(__xludf.DUMMYFUNCTION("""COMPUTED_VALUE"""),307)</f>
        <v>307</v>
      </c>
      <c r="H334" s="1">
        <f ca="1">IFERROR(__xludf.DUMMYFUNCTION("""COMPUTED_VALUE"""),109.1)</f>
        <v>109.1</v>
      </c>
      <c r="I334" s="1">
        <f ca="1">IFERROR(__xludf.DUMMYFUNCTION("""COMPUTED_VALUE"""),294)</f>
        <v>294</v>
      </c>
      <c r="J334" s="1">
        <f ca="1">IFERROR(__xludf.DUMMYFUNCTION("""COMPUTED_VALUE"""),63.1)</f>
        <v>63.1</v>
      </c>
      <c r="K334" s="1">
        <f ca="1">IFERROR(__xludf.DUMMYFUNCTION("""COMPUTED_VALUE"""),236)</f>
        <v>236</v>
      </c>
      <c r="L334" s="1">
        <f ca="1">IFERROR(__xludf.DUMMYFUNCTION("""COMPUTED_VALUE"""),-0.022)</f>
        <v>-2.1999999999999999E-2</v>
      </c>
      <c r="M334" s="1">
        <f ca="1">IFERROR(__xludf.DUMMYFUNCTION("""COMPUTED_VALUE"""),240)</f>
        <v>240</v>
      </c>
      <c r="N334" s="1">
        <f ca="1">IFERROR(__xludf.DUMMYFUNCTION("""COMPUTED_VALUE"""),-3.02)</f>
        <v>-3.02</v>
      </c>
      <c r="O334" s="1">
        <f ca="1">IFERROR(__xludf.DUMMYFUNCTION("""COMPUTED_VALUE"""),220)</f>
        <v>220</v>
      </c>
      <c r="P334" s="1">
        <f ca="1">IFERROR(__xludf.DUMMYFUNCTION("""COMPUTED_VALUE"""),102.4)</f>
        <v>102.4</v>
      </c>
      <c r="Q334" s="1">
        <f ca="1">IFERROR(__xludf.DUMMYFUNCTION("""COMPUTED_VALUE"""),158)</f>
        <v>158</v>
      </c>
      <c r="R334" s="1">
        <f ca="1">IFERROR(__xludf.DUMMYFUNCTION("""COMPUTED_VALUE"""),105.4)</f>
        <v>105.4</v>
      </c>
      <c r="S334" s="1">
        <f ca="1">IFERROR(__xludf.DUMMYFUNCTION("""COMPUTED_VALUE"""),285)</f>
        <v>285</v>
      </c>
      <c r="T334" s="1">
        <f ca="1">IFERROR(__xludf.DUMMYFUNCTION("""COMPUTED_VALUE"""),-0.4)</f>
        <v>-0.4</v>
      </c>
      <c r="U334" s="1">
        <f ca="1">IFERROR(__xludf.DUMMYFUNCTION("""COMPUTED_VALUE"""),170)</f>
        <v>170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IFERROR(__xludf.DUMMYFUNCTION("""COMPUTED_VALUE"""),"East Tennessee St.")</f>
        <v>East Tennessee St.</v>
      </c>
      <c r="C335" s="1" t="str">
        <f ca="1">IFERROR(__xludf.DUMMYFUNCTION("""COMPUTED_VALUE"""),"ASun")</f>
        <v>ASun</v>
      </c>
      <c r="D335" s="2">
        <f ca="1">IFERROR(__xludf.DUMMYFUNCTION("""COMPUTED_VALUE"""),44856)</f>
        <v>44856</v>
      </c>
      <c r="E335" s="1">
        <f ca="1">IFERROR(__xludf.DUMMYFUNCTION("""COMPUTED_VALUE"""),-15.69)</f>
        <v>-15.69</v>
      </c>
      <c r="F335" s="1">
        <f ca="1">IFERROR(__xludf.DUMMYFUNCTION("""COMPUTED_VALUE"""),95.1)</f>
        <v>95.1</v>
      </c>
      <c r="G335" s="1">
        <f ca="1">IFERROR(__xludf.DUMMYFUNCTION("""COMPUTED_VALUE"""),294)</f>
        <v>294</v>
      </c>
      <c r="H335" s="1">
        <f ca="1">IFERROR(__xludf.DUMMYFUNCTION("""COMPUTED_VALUE"""),110.8)</f>
        <v>110.8</v>
      </c>
      <c r="I335" s="1">
        <f ca="1">IFERROR(__xludf.DUMMYFUNCTION("""COMPUTED_VALUE"""),313)</f>
        <v>313</v>
      </c>
      <c r="J335" s="1">
        <f ca="1">IFERROR(__xludf.DUMMYFUNCTION("""COMPUTED_VALUE"""),63.4)</f>
        <v>63.4</v>
      </c>
      <c r="K335" s="1">
        <f ca="1">IFERROR(__xludf.DUMMYFUNCTION("""COMPUTED_VALUE"""),225)</f>
        <v>225</v>
      </c>
      <c r="L335" s="1" t="str">
        <f ca="1">IFERROR(__xludf.DUMMYFUNCTION("""COMPUTED_VALUE"""),"+.063")</f>
        <v>+.063</v>
      </c>
      <c r="M335" s="1">
        <f ca="1">IFERROR(__xludf.DUMMYFUNCTION("""COMPUTED_VALUE"""),33)</f>
        <v>33</v>
      </c>
      <c r="N335" s="1">
        <f ca="1">IFERROR(__xludf.DUMMYFUNCTION("""COMPUTED_VALUE"""),-1.85)</f>
        <v>-1.85</v>
      </c>
      <c r="O335" s="1">
        <f ca="1">IFERROR(__xludf.DUMMYFUNCTION("""COMPUTED_VALUE"""),180)</f>
        <v>180</v>
      </c>
      <c r="P335" s="1">
        <f ca="1">IFERROR(__xludf.DUMMYFUNCTION("""COMPUTED_VALUE"""),102.3)</f>
        <v>102.3</v>
      </c>
      <c r="Q335" s="1">
        <f ca="1">IFERROR(__xludf.DUMMYFUNCTION("""COMPUTED_VALUE"""),165)</f>
        <v>165</v>
      </c>
      <c r="R335" s="1">
        <f ca="1">IFERROR(__xludf.DUMMYFUNCTION("""COMPUTED_VALUE"""),104.1)</f>
        <v>104.1</v>
      </c>
      <c r="S335" s="1">
        <f ca="1">IFERROR(__xludf.DUMMYFUNCTION("""COMPUTED_VALUE"""),227)</f>
        <v>227</v>
      </c>
      <c r="T335" s="1" t="str">
        <f ca="1">IFERROR(__xludf.DUMMYFUNCTION("""COMPUTED_VALUE"""),"+7.18")</f>
        <v>+7.18</v>
      </c>
      <c r="U335" s="1">
        <f ca="1">IFERROR(__xludf.DUMMYFUNCTION("""COMPUTED_VALUE"""),16)</f>
        <v>16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IFERROR(__xludf.DUMMYFUNCTION("""COMPUTED_VALUE"""),"Idaho St.")</f>
        <v>Idaho St.</v>
      </c>
      <c r="C336" s="1" t="str">
        <f ca="1">IFERROR(__xludf.DUMMYFUNCTION("""COMPUTED_VALUE"""),"BSky")</f>
        <v>BSky</v>
      </c>
      <c r="D336" s="2">
        <f ca="1">IFERROR(__xludf.DUMMYFUNCTION("""COMPUTED_VALUE"""),44736)</f>
        <v>44736</v>
      </c>
      <c r="E336" s="1">
        <f ca="1">IFERROR(__xludf.DUMMYFUNCTION("""COMPUTED_VALUE"""),-16.18)</f>
        <v>-16.18</v>
      </c>
      <c r="F336" s="1">
        <f ca="1">IFERROR(__xludf.DUMMYFUNCTION("""COMPUTED_VALUE"""),91.9)</f>
        <v>91.9</v>
      </c>
      <c r="G336" s="1">
        <f ca="1">IFERROR(__xludf.DUMMYFUNCTION("""COMPUTED_VALUE"""),320)</f>
        <v>320</v>
      </c>
      <c r="H336" s="1">
        <f ca="1">IFERROR(__xludf.DUMMYFUNCTION("""COMPUTED_VALUE"""),108.1)</f>
        <v>108.1</v>
      </c>
      <c r="I336" s="1">
        <f ca="1">IFERROR(__xludf.DUMMYFUNCTION("""COMPUTED_VALUE"""),276)</f>
        <v>276</v>
      </c>
      <c r="J336" s="1">
        <f ca="1">IFERROR(__xludf.DUMMYFUNCTION("""COMPUTED_VALUE"""),59.3)</f>
        <v>59.3</v>
      </c>
      <c r="K336" s="1">
        <f ca="1">IFERROR(__xludf.DUMMYFUNCTION("""COMPUTED_VALUE"""),338)</f>
        <v>338</v>
      </c>
      <c r="L336" s="1">
        <f ca="1">IFERROR(__xludf.DUMMYFUNCTION("""COMPUTED_VALUE"""),-0.117)</f>
        <v>-0.11700000000000001</v>
      </c>
      <c r="M336" s="1">
        <f ca="1">IFERROR(__xludf.DUMMYFUNCTION("""COMPUTED_VALUE"""),341)</f>
        <v>341</v>
      </c>
      <c r="N336" s="1">
        <f ca="1">IFERROR(__xludf.DUMMYFUNCTION("""COMPUTED_VALUE"""),-4.99)</f>
        <v>-4.99</v>
      </c>
      <c r="O336" s="1">
        <f ca="1">IFERROR(__xludf.DUMMYFUNCTION("""COMPUTED_VALUE"""),267)</f>
        <v>267</v>
      </c>
      <c r="P336" s="1">
        <f ca="1">IFERROR(__xludf.DUMMYFUNCTION("""COMPUTED_VALUE"""),101.6)</f>
        <v>101.6</v>
      </c>
      <c r="Q336" s="1">
        <f ca="1">IFERROR(__xludf.DUMMYFUNCTION("""COMPUTED_VALUE"""),197)</f>
        <v>197</v>
      </c>
      <c r="R336" s="1">
        <f ca="1">IFERROR(__xludf.DUMMYFUNCTION("""COMPUTED_VALUE"""),106.6)</f>
        <v>106.6</v>
      </c>
      <c r="S336" s="1">
        <f ca="1">IFERROR(__xludf.DUMMYFUNCTION("""COMPUTED_VALUE"""),327)</f>
        <v>327</v>
      </c>
      <c r="T336" s="1" t="str">
        <f ca="1">IFERROR(__xludf.DUMMYFUNCTION("""COMPUTED_VALUE"""),"+4.35")</f>
        <v>+4.35</v>
      </c>
      <c r="U336" s="1">
        <f ca="1">IFERROR(__xludf.DUMMYFUNCTION("""COMPUTED_VALUE"""),54)</f>
        <v>54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IFERROR(__xludf.DUMMYFUNCTION("""COMPUTED_VALUE"""),"Nebraska Omaha")</f>
        <v>Nebraska Omaha</v>
      </c>
      <c r="C339" s="1" t="str">
        <f ca="1">IFERROR(__xludf.DUMMYFUNCTION("""COMPUTED_VALUE"""),"Sum")</f>
        <v>Sum</v>
      </c>
      <c r="D339" s="2">
        <f ca="1">IFERROR(__xludf.DUMMYFUNCTION("""COMPUTED_VALUE"""),44885)</f>
        <v>44885</v>
      </c>
      <c r="E339" s="1">
        <f ca="1">IFERROR(__xludf.DUMMYFUNCTION("""COMPUTED_VALUE"""),-16.33)</f>
        <v>-16.329999999999998</v>
      </c>
      <c r="F339" s="1">
        <f ca="1">IFERROR(__xludf.DUMMYFUNCTION("""COMPUTED_VALUE"""),101.8)</f>
        <v>101.8</v>
      </c>
      <c r="G339" s="1">
        <f ca="1">IFERROR(__xludf.DUMMYFUNCTION("""COMPUTED_VALUE"""),185)</f>
        <v>185</v>
      </c>
      <c r="H339" s="1">
        <f ca="1">IFERROR(__xludf.DUMMYFUNCTION("""COMPUTED_VALUE"""),118.1)</f>
        <v>118.1</v>
      </c>
      <c r="I339" s="1">
        <f ca="1">IFERROR(__xludf.DUMMYFUNCTION("""COMPUTED_VALUE"""),345)</f>
        <v>345</v>
      </c>
      <c r="J339" s="1">
        <f ca="1">IFERROR(__xludf.DUMMYFUNCTION("""COMPUTED_VALUE"""),70.9)</f>
        <v>70.900000000000006</v>
      </c>
      <c r="K339" s="1">
        <f ca="1">IFERROR(__xludf.DUMMYFUNCTION("""COMPUTED_VALUE"""),3)</f>
        <v>3</v>
      </c>
      <c r="L339" s="1" t="str">
        <f ca="1">IFERROR(__xludf.DUMMYFUNCTION("""COMPUTED_VALUE"""),"+.095")</f>
        <v>+.095</v>
      </c>
      <c r="M339" s="1">
        <f ca="1">IFERROR(__xludf.DUMMYFUNCTION("""COMPUTED_VALUE"""),8)</f>
        <v>8</v>
      </c>
      <c r="N339" s="1">
        <f ca="1">IFERROR(__xludf.DUMMYFUNCTION("""COMPUTED_VALUE"""),-3.99)</f>
        <v>-3.99</v>
      </c>
      <c r="O339" s="1">
        <f ca="1">IFERROR(__xludf.DUMMYFUNCTION("""COMPUTED_VALUE"""),248)</f>
        <v>248</v>
      </c>
      <c r="P339" s="1">
        <f ca="1">IFERROR(__xludf.DUMMYFUNCTION("""COMPUTED_VALUE"""),101)</f>
        <v>101</v>
      </c>
      <c r="Q339" s="1">
        <f ca="1">IFERROR(__xludf.DUMMYFUNCTION("""COMPUTED_VALUE"""),229)</f>
        <v>229</v>
      </c>
      <c r="R339" s="1">
        <f ca="1">IFERROR(__xludf.DUMMYFUNCTION("""COMPUTED_VALUE"""),105)</f>
        <v>105</v>
      </c>
      <c r="S339" s="1">
        <f ca="1">IFERROR(__xludf.DUMMYFUNCTION("""COMPUTED_VALUE"""),261)</f>
        <v>261</v>
      </c>
      <c r="T339" s="1">
        <f ca="1">IFERROR(__xludf.DUMMYFUNCTION("""COMPUTED_VALUE"""),-1.9)</f>
        <v>-1.9</v>
      </c>
      <c r="U339" s="1">
        <f ca="1">IFERROR(__xludf.DUMMYFUNCTION("""COMPUTED_VALUE"""),221)</f>
        <v>221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IFERROR(__xludf.DUMMYFUNCTION("""COMPUTED_VALUE"""),"Northern Illinois")</f>
        <v>Northern Illinois</v>
      </c>
      <c r="C340" s="1" t="str">
        <f ca="1">IFERROR(__xludf.DUMMYFUNCTION("""COMPUTED_VALUE"""),"MAC")</f>
        <v>MAC</v>
      </c>
      <c r="D340" s="2">
        <f ca="1">IFERROR(__xludf.DUMMYFUNCTION("""COMPUTED_VALUE"""),44706)</f>
        <v>44706</v>
      </c>
      <c r="E340" s="1">
        <f ca="1">IFERROR(__xludf.DUMMYFUNCTION("""COMPUTED_VALUE"""),-16.72)</f>
        <v>-16.72</v>
      </c>
      <c r="F340" s="1">
        <f ca="1">IFERROR(__xludf.DUMMYFUNCTION("""COMPUTED_VALUE"""),85.7)</f>
        <v>85.7</v>
      </c>
      <c r="G340" s="1">
        <f ca="1">IFERROR(__xludf.DUMMYFUNCTION("""COMPUTED_VALUE"""),344)</f>
        <v>344</v>
      </c>
      <c r="H340" s="1">
        <f ca="1">IFERROR(__xludf.DUMMYFUNCTION("""COMPUTED_VALUE"""),102.4)</f>
        <v>102.4</v>
      </c>
      <c r="I340" s="1">
        <f ca="1">IFERROR(__xludf.DUMMYFUNCTION("""COMPUTED_VALUE"""),163)</f>
        <v>163</v>
      </c>
      <c r="J340" s="1">
        <f ca="1">IFERROR(__xludf.DUMMYFUNCTION("""COMPUTED_VALUE"""),61.1)</f>
        <v>61.1</v>
      </c>
      <c r="K340" s="1">
        <f ca="1">IFERROR(__xludf.DUMMYFUNCTION("""COMPUTED_VALUE"""),301)</f>
        <v>301</v>
      </c>
      <c r="L340" s="1">
        <f ca="1">IFERROR(__xludf.DUMMYFUNCTION("""COMPUTED_VALUE"""),-0.052)</f>
        <v>-5.1999999999999998E-2</v>
      </c>
      <c r="M340" s="1">
        <f ca="1">IFERROR(__xludf.DUMMYFUNCTION("""COMPUTED_VALUE"""),300)</f>
        <v>300</v>
      </c>
      <c r="N340" s="1">
        <f ca="1">IFERROR(__xludf.DUMMYFUNCTION("""COMPUTED_VALUE"""),-2.03)</f>
        <v>-2.0299999999999998</v>
      </c>
      <c r="O340" s="1">
        <f ca="1">IFERROR(__xludf.DUMMYFUNCTION("""COMPUTED_VALUE"""),184)</f>
        <v>184</v>
      </c>
      <c r="P340" s="1">
        <f ca="1">IFERROR(__xludf.DUMMYFUNCTION("""COMPUTED_VALUE"""),101.8)</f>
        <v>101.8</v>
      </c>
      <c r="Q340" s="1">
        <f ca="1">IFERROR(__xludf.DUMMYFUNCTION("""COMPUTED_VALUE"""),192)</f>
        <v>192</v>
      </c>
      <c r="R340" s="1">
        <f ca="1">IFERROR(__xludf.DUMMYFUNCTION("""COMPUTED_VALUE"""),103.8)</f>
        <v>103.8</v>
      </c>
      <c r="S340" s="1">
        <f ca="1">IFERROR(__xludf.DUMMYFUNCTION("""COMPUTED_VALUE"""),205)</f>
        <v>205</v>
      </c>
      <c r="T340" s="1">
        <f ca="1">IFERROR(__xludf.DUMMYFUNCTION("""COMPUTED_VALUE"""),-1.69)</f>
        <v>-1.69</v>
      </c>
      <c r="U340" s="1">
        <f ca="1">IFERROR(__xludf.DUMMYFUNCTION("""COMPUTED_VALUE"""),215)</f>
        <v>215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IFERROR(__xludf.DUMMYFUNCTION("""COMPUTED_VALUE"""),"Alcorn St.")</f>
        <v>Alcorn St.</v>
      </c>
      <c r="C341" s="1" t="str">
        <f ca="1">IFERROR(__xludf.DUMMYFUNCTION("""COMPUTED_VALUE"""),"SWAC")</f>
        <v>SWAC</v>
      </c>
      <c r="D341" s="2">
        <f ca="1">IFERROR(__xludf.DUMMYFUNCTION("""COMPUTED_VALUE"""),44858)</f>
        <v>44858</v>
      </c>
      <c r="E341" s="1">
        <f ca="1">IFERROR(__xludf.DUMMYFUNCTION("""COMPUTED_VALUE"""),-16.88)</f>
        <v>-16.88</v>
      </c>
      <c r="F341" s="1">
        <f ca="1">IFERROR(__xludf.DUMMYFUNCTION("""COMPUTED_VALUE"""),85.4)</f>
        <v>85.4</v>
      </c>
      <c r="G341" s="1">
        <f ca="1">IFERROR(__xludf.DUMMYFUNCTION("""COMPUTED_VALUE"""),345)</f>
        <v>345</v>
      </c>
      <c r="H341" s="1">
        <f ca="1">IFERROR(__xludf.DUMMYFUNCTION("""COMPUTED_VALUE"""),102.2)</f>
        <v>102.2</v>
      </c>
      <c r="I341" s="1">
        <f ca="1">IFERROR(__xludf.DUMMYFUNCTION("""COMPUTED_VALUE"""),160)</f>
        <v>160</v>
      </c>
      <c r="J341" s="1">
        <f ca="1">IFERROR(__xludf.DUMMYFUNCTION("""COMPUTED_VALUE"""),66.6)</f>
        <v>66.599999999999994</v>
      </c>
      <c r="K341" s="1">
        <f ca="1">IFERROR(__xludf.DUMMYFUNCTION("""COMPUTED_VALUE"""),79)</f>
        <v>79</v>
      </c>
      <c r="L341" s="1">
        <f ca="1">IFERROR(__xludf.DUMMYFUNCTION("""COMPUTED_VALUE"""),-0.045)</f>
        <v>-4.4999999999999998E-2</v>
      </c>
      <c r="M341" s="1">
        <f ca="1">IFERROR(__xludf.DUMMYFUNCTION("""COMPUTED_VALUE"""),286)</f>
        <v>286</v>
      </c>
      <c r="N341" s="1">
        <f ca="1">IFERROR(__xludf.DUMMYFUNCTION("""COMPUTED_VALUE"""),-6.84)</f>
        <v>-6.84</v>
      </c>
      <c r="O341" s="1">
        <f ca="1">IFERROR(__xludf.DUMMYFUNCTION("""COMPUTED_VALUE"""),314)</f>
        <v>314</v>
      </c>
      <c r="P341" s="1">
        <f ca="1">IFERROR(__xludf.DUMMYFUNCTION("""COMPUTED_VALUE"""),98.3)</f>
        <v>98.3</v>
      </c>
      <c r="Q341" s="1">
        <f ca="1">IFERROR(__xludf.DUMMYFUNCTION("""COMPUTED_VALUE"""),321)</f>
        <v>321</v>
      </c>
      <c r="R341" s="1">
        <f ca="1">IFERROR(__xludf.DUMMYFUNCTION("""COMPUTED_VALUE"""),105.1)</f>
        <v>105.1</v>
      </c>
      <c r="S341" s="1">
        <f ca="1">IFERROR(__xludf.DUMMYFUNCTION("""COMPUTED_VALUE"""),268)</f>
        <v>268</v>
      </c>
      <c r="T341" s="1" t="str">
        <f ca="1">IFERROR(__xludf.DUMMYFUNCTION("""COMPUTED_VALUE"""),"+9.20")</f>
        <v>+9.20</v>
      </c>
      <c r="U341" s="1">
        <f ca="1">IFERROR(__xludf.DUMMYFUNCTION("""COMPUTED_VALUE"""),5)</f>
        <v>5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IFERROR(__xludf.DUMMYFUNCTION("""COMPUTED_VALUE"""),"Prairie View A&amp;M")</f>
        <v>Prairie View A&amp;M</v>
      </c>
      <c r="C342" s="1" t="str">
        <f ca="1">IFERROR(__xludf.DUMMYFUNCTION("""COMPUTED_VALUE"""),"SWAC")</f>
        <v>SWAC</v>
      </c>
      <c r="D342" s="1" t="str">
        <f ca="1">IFERROR(__xludf.DUMMYFUNCTION("""COMPUTED_VALUE"""),"15-19")</f>
        <v>15-19</v>
      </c>
      <c r="E342" s="1">
        <f ca="1">IFERROR(__xludf.DUMMYFUNCTION("""COMPUTED_VALUE"""),-17.29)</f>
        <v>-17.29</v>
      </c>
      <c r="F342" s="1">
        <f ca="1">IFERROR(__xludf.DUMMYFUNCTION("""COMPUTED_VALUE"""),88)</f>
        <v>88</v>
      </c>
      <c r="G342" s="1">
        <f ca="1">IFERROR(__xludf.DUMMYFUNCTION("""COMPUTED_VALUE"""),338)</f>
        <v>338</v>
      </c>
      <c r="H342" s="1">
        <f ca="1">IFERROR(__xludf.DUMMYFUNCTION("""COMPUTED_VALUE"""),105.3)</f>
        <v>105.3</v>
      </c>
      <c r="I342" s="1">
        <f ca="1">IFERROR(__xludf.DUMMYFUNCTION("""COMPUTED_VALUE"""),226)</f>
        <v>226</v>
      </c>
      <c r="J342" s="1">
        <f ca="1">IFERROR(__xludf.DUMMYFUNCTION("""COMPUTED_VALUE"""),66)</f>
        <v>66</v>
      </c>
      <c r="K342" s="1">
        <f ca="1">IFERROR(__xludf.DUMMYFUNCTION("""COMPUTED_VALUE"""),106)</f>
        <v>106</v>
      </c>
      <c r="L342" s="1" t="str">
        <f ca="1">IFERROR(__xludf.DUMMYFUNCTION("""COMPUTED_VALUE"""),"+.026")</f>
        <v>+.026</v>
      </c>
      <c r="M342" s="1">
        <f ca="1">IFERROR(__xludf.DUMMYFUNCTION("""COMPUTED_VALUE"""),114)</f>
        <v>114</v>
      </c>
      <c r="N342" s="1">
        <f ca="1">IFERROR(__xludf.DUMMYFUNCTION("""COMPUTED_VALUE"""),-10.82)</f>
        <v>-10.82</v>
      </c>
      <c r="O342" s="1">
        <f ca="1">IFERROR(__xludf.DUMMYFUNCTION("""COMPUTED_VALUE"""),345)</f>
        <v>345</v>
      </c>
      <c r="P342" s="1">
        <f ca="1">IFERROR(__xludf.DUMMYFUNCTION("""COMPUTED_VALUE"""),95.4)</f>
        <v>95.4</v>
      </c>
      <c r="Q342" s="1">
        <f ca="1">IFERROR(__xludf.DUMMYFUNCTION("""COMPUTED_VALUE"""),345)</f>
        <v>345</v>
      </c>
      <c r="R342" s="1">
        <f ca="1">IFERROR(__xludf.DUMMYFUNCTION("""COMPUTED_VALUE"""),106.2)</f>
        <v>106.2</v>
      </c>
      <c r="S342" s="1">
        <f ca="1">IFERROR(__xludf.DUMMYFUNCTION("""COMPUTED_VALUE"""),319)</f>
        <v>319</v>
      </c>
      <c r="T342" s="1" t="str">
        <f ca="1">IFERROR(__xludf.DUMMYFUNCTION("""COMPUTED_VALUE"""),"+1.08")</f>
        <v>+1.08</v>
      </c>
      <c r="U342" s="1">
        <f ca="1">IFERROR(__xludf.DUMMYFUNCTION("""COMPUTED_VALUE"""),126)</f>
        <v>126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IFERROR(__xludf.DUMMYFUNCTION("""COMPUTED_VALUE"""),"Rice")</f>
        <v>Rice</v>
      </c>
      <c r="C343" s="1" t="str">
        <f ca="1">IFERROR(__xludf.DUMMYFUNCTION("""COMPUTED_VALUE"""),"CUSA")</f>
        <v>CUSA</v>
      </c>
      <c r="D343" s="2">
        <f ca="1">IFERROR(__xludf.DUMMYFUNCTION("""COMPUTED_VALUE"""),44707)</f>
        <v>44707</v>
      </c>
      <c r="E343" s="1">
        <f ca="1">IFERROR(__xludf.DUMMYFUNCTION("""COMPUTED_VALUE"""),-17.45)</f>
        <v>-17.45</v>
      </c>
      <c r="F343" s="1">
        <f ca="1">IFERROR(__xludf.DUMMYFUNCTION("""COMPUTED_VALUE"""),96)</f>
        <v>96</v>
      </c>
      <c r="G343" s="1">
        <f ca="1">IFERROR(__xludf.DUMMYFUNCTION("""COMPUTED_VALUE"""),284)</f>
        <v>284</v>
      </c>
      <c r="H343" s="1">
        <f ca="1">IFERROR(__xludf.DUMMYFUNCTION("""COMPUTED_VALUE"""),113.4)</f>
        <v>113.4</v>
      </c>
      <c r="I343" s="1">
        <f ca="1">IFERROR(__xludf.DUMMYFUNCTION("""COMPUTED_VALUE"""),334)</f>
        <v>334</v>
      </c>
      <c r="J343" s="1">
        <f ca="1">IFERROR(__xludf.DUMMYFUNCTION("""COMPUTED_VALUE"""),61.5)</f>
        <v>61.5</v>
      </c>
      <c r="K343" s="1">
        <f ca="1">IFERROR(__xludf.DUMMYFUNCTION("""COMPUTED_VALUE"""),295)</f>
        <v>295</v>
      </c>
      <c r="L343" s="1">
        <f ca="1">IFERROR(__xludf.DUMMYFUNCTION("""COMPUTED_VALUE"""),-0.032)</f>
        <v>-3.2000000000000001E-2</v>
      </c>
      <c r="M343" s="1">
        <f ca="1">IFERROR(__xludf.DUMMYFUNCTION("""COMPUTED_VALUE"""),261)</f>
        <v>261</v>
      </c>
      <c r="N343" s="1">
        <f ca="1">IFERROR(__xludf.DUMMYFUNCTION("""COMPUTED_VALUE"""),-0.7)</f>
        <v>-0.7</v>
      </c>
      <c r="O343" s="1">
        <f ca="1">IFERROR(__xludf.DUMMYFUNCTION("""COMPUTED_VALUE"""),156)</f>
        <v>156</v>
      </c>
      <c r="P343" s="1">
        <f ca="1">IFERROR(__xludf.DUMMYFUNCTION("""COMPUTED_VALUE"""),102.3)</f>
        <v>102.3</v>
      </c>
      <c r="Q343" s="1">
        <f ca="1">IFERROR(__xludf.DUMMYFUNCTION("""COMPUTED_VALUE"""),162)</f>
        <v>162</v>
      </c>
      <c r="R343" s="1">
        <f ca="1">IFERROR(__xludf.DUMMYFUNCTION("""COMPUTED_VALUE"""),103.1)</f>
        <v>103.1</v>
      </c>
      <c r="S343" s="1">
        <f ca="1">IFERROR(__xludf.DUMMYFUNCTION("""COMPUTED_VALUE"""),173)</f>
        <v>173</v>
      </c>
      <c r="T343" s="1">
        <f ca="1">IFERROR(__xludf.DUMMYFUNCTION("""COMPUTED_VALUE"""),-4.97)</f>
        <v>-4.97</v>
      </c>
      <c r="U343" s="1">
        <f ca="1">IFERROR(__xludf.DUMMYFUNCTION("""COMPUTED_VALUE"""),289)</f>
        <v>289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IFERROR(__xludf.DUMMYFUNCTION("""COMPUTED_VALUE"""),"Houston Baptist")</f>
        <v>Houston Baptist</v>
      </c>
      <c r="C344" s="1" t="str">
        <f ca="1">IFERROR(__xludf.DUMMYFUNCTION("""COMPUTED_VALUE"""),"GWC")</f>
        <v>GWC</v>
      </c>
      <c r="D344" s="1" t="str">
        <f ca="1">IFERROR(__xludf.DUMMYFUNCTION("""COMPUTED_VALUE"""),"14-17")</f>
        <v>14-17</v>
      </c>
      <c r="E344" s="1">
        <f ca="1">IFERROR(__xludf.DUMMYFUNCTION("""COMPUTED_VALUE"""),-17.55)</f>
        <v>-17.55</v>
      </c>
      <c r="F344" s="1">
        <f ca="1">IFERROR(__xludf.DUMMYFUNCTION("""COMPUTED_VALUE"""),87.7)</f>
        <v>87.7</v>
      </c>
      <c r="G344" s="1">
        <f ca="1">IFERROR(__xludf.DUMMYFUNCTION("""COMPUTED_VALUE"""),340)</f>
        <v>340</v>
      </c>
      <c r="H344" s="1">
        <f ca="1">IFERROR(__xludf.DUMMYFUNCTION("""COMPUTED_VALUE"""),105.3)</f>
        <v>105.3</v>
      </c>
      <c r="I344" s="1">
        <f ca="1">IFERROR(__xludf.DUMMYFUNCTION("""COMPUTED_VALUE"""),227)</f>
        <v>227</v>
      </c>
      <c r="J344" s="1">
        <f ca="1">IFERROR(__xludf.DUMMYFUNCTION("""COMPUTED_VALUE"""),67.2)</f>
        <v>67.2</v>
      </c>
      <c r="K344" s="1">
        <f ca="1">IFERROR(__xludf.DUMMYFUNCTION("""COMPUTED_VALUE"""),58)</f>
        <v>58</v>
      </c>
      <c r="L344" s="1" t="str">
        <f ca="1">IFERROR(__xludf.DUMMYFUNCTION("""COMPUTED_VALUE"""),"+.089")</f>
        <v>+.089</v>
      </c>
      <c r="M344" s="1">
        <f ca="1">IFERROR(__xludf.DUMMYFUNCTION("""COMPUTED_VALUE"""),13)</f>
        <v>13</v>
      </c>
      <c r="N344" s="1">
        <f ca="1">IFERROR(__xludf.DUMMYFUNCTION("""COMPUTED_VALUE"""),-9.08)</f>
        <v>-9.08</v>
      </c>
      <c r="O344" s="1">
        <f ca="1">IFERROR(__xludf.DUMMYFUNCTION("""COMPUTED_VALUE"""),339)</f>
        <v>339</v>
      </c>
      <c r="P344" s="1">
        <f ca="1">IFERROR(__xludf.DUMMYFUNCTION("""COMPUTED_VALUE"""),96.5)</f>
        <v>96.5</v>
      </c>
      <c r="Q344" s="1">
        <f ca="1">IFERROR(__xludf.DUMMYFUNCTION("""COMPUTED_VALUE"""),338)</f>
        <v>338</v>
      </c>
      <c r="R344" s="1">
        <f ca="1">IFERROR(__xludf.DUMMYFUNCTION("""COMPUTED_VALUE"""),105.6)</f>
        <v>105.6</v>
      </c>
      <c r="S344" s="1">
        <f ca="1">IFERROR(__xludf.DUMMYFUNCTION("""COMPUTED_VALUE"""),298)</f>
        <v>298</v>
      </c>
      <c r="T344" s="1">
        <f ca="1">IFERROR(__xludf.DUMMYFUNCTION("""COMPUTED_VALUE"""),-6.55)</f>
        <v>-6.55</v>
      </c>
      <c r="U344" s="1">
        <f ca="1">IFERROR(__xludf.DUMMYFUNCTION("""COMPUTED_VALUE"""),316)</f>
        <v>316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IFERROR(__xludf.DUMMYFUNCTION("""COMPUTED_VALUE"""),"Louisiana Monroe")</f>
        <v>Louisiana Monroe</v>
      </c>
      <c r="C345" s="1" t="str">
        <f ca="1">IFERROR(__xludf.DUMMYFUNCTION("""COMPUTED_VALUE"""),"SB")</f>
        <v>SB</v>
      </c>
      <c r="D345" s="2">
        <f ca="1">IFERROR(__xludf.DUMMYFUNCTION("""COMPUTED_VALUE"""),44674)</f>
        <v>44674</v>
      </c>
      <c r="E345" s="1">
        <f ca="1">IFERROR(__xludf.DUMMYFUNCTION("""COMPUTED_VALUE"""),-18.03)</f>
        <v>-18.03</v>
      </c>
      <c r="F345" s="1">
        <f ca="1">IFERROR(__xludf.DUMMYFUNCTION("""COMPUTED_VALUE"""),92.4)</f>
        <v>92.4</v>
      </c>
      <c r="G345" s="1">
        <f ca="1">IFERROR(__xludf.DUMMYFUNCTION("""COMPUTED_VALUE"""),317)</f>
        <v>317</v>
      </c>
      <c r="H345" s="1">
        <f ca="1">IFERROR(__xludf.DUMMYFUNCTION("""COMPUTED_VALUE"""),110.4)</f>
        <v>110.4</v>
      </c>
      <c r="I345" s="1">
        <f ca="1">IFERROR(__xludf.DUMMYFUNCTION("""COMPUTED_VALUE"""),310)</f>
        <v>310</v>
      </c>
      <c r="J345" s="1">
        <f ca="1">IFERROR(__xludf.DUMMYFUNCTION("""COMPUTED_VALUE"""),65)</f>
        <v>65</v>
      </c>
      <c r="K345" s="1">
        <f ca="1">IFERROR(__xludf.DUMMYFUNCTION("""COMPUTED_VALUE"""),152)</f>
        <v>152</v>
      </c>
      <c r="L345" s="1">
        <f ca="1">IFERROR(__xludf.DUMMYFUNCTION("""COMPUTED_VALUE"""),-0.026)</f>
        <v>-2.5999999999999999E-2</v>
      </c>
      <c r="M345" s="1">
        <f ca="1">IFERROR(__xludf.DUMMYFUNCTION("""COMPUTED_VALUE"""),250)</f>
        <v>250</v>
      </c>
      <c r="N345" s="1">
        <f ca="1">IFERROR(__xludf.DUMMYFUNCTION("""COMPUTED_VALUE"""),-1.61)</f>
        <v>-1.61</v>
      </c>
      <c r="O345" s="1">
        <f ca="1">IFERROR(__xludf.DUMMYFUNCTION("""COMPUTED_VALUE"""),175)</f>
        <v>175</v>
      </c>
      <c r="P345" s="1">
        <f ca="1">IFERROR(__xludf.DUMMYFUNCTION("""COMPUTED_VALUE"""),100.6)</f>
        <v>100.6</v>
      </c>
      <c r="Q345" s="1">
        <f ca="1">IFERROR(__xludf.DUMMYFUNCTION("""COMPUTED_VALUE"""),248)</f>
        <v>248</v>
      </c>
      <c r="R345" s="1">
        <f ca="1">IFERROR(__xludf.DUMMYFUNCTION("""COMPUTED_VALUE"""),102.2)</f>
        <v>102.2</v>
      </c>
      <c r="S345" s="1">
        <f ca="1">IFERROR(__xludf.DUMMYFUNCTION("""COMPUTED_VALUE"""),130)</f>
        <v>130</v>
      </c>
      <c r="T345" s="1" t="str">
        <f ca="1">IFERROR(__xludf.DUMMYFUNCTION("""COMPUTED_VALUE"""),"+4.39")</f>
        <v>+4.39</v>
      </c>
      <c r="U345" s="1">
        <f ca="1">IFERROR(__xludf.DUMMYFUNCTION("""COMPUTED_VALUE"""),53)</f>
        <v>53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IFERROR(__xludf.DUMMYFUNCTION("""COMPUTED_VALUE"""),"Florida A&amp;M")</f>
        <v>Florida A&amp;M</v>
      </c>
      <c r="C346" s="1" t="str">
        <f ca="1">IFERROR(__xludf.DUMMYFUNCTION("""COMPUTED_VALUE"""),"MEAC")</f>
        <v>MEAC</v>
      </c>
      <c r="D346" s="2">
        <f ca="1">IFERROR(__xludf.DUMMYFUNCTION("""COMPUTED_VALUE"""),44795)</f>
        <v>44795</v>
      </c>
      <c r="E346" s="1">
        <f ca="1">IFERROR(__xludf.DUMMYFUNCTION("""COMPUTED_VALUE"""),-18.34)</f>
        <v>-18.34</v>
      </c>
      <c r="F346" s="1">
        <f ca="1">IFERROR(__xludf.DUMMYFUNCTION("""COMPUTED_VALUE"""),89.5)</f>
        <v>89.5</v>
      </c>
      <c r="G346" s="1">
        <f ca="1">IFERROR(__xludf.DUMMYFUNCTION("""COMPUTED_VALUE"""),333)</f>
        <v>333</v>
      </c>
      <c r="H346" s="1">
        <f ca="1">IFERROR(__xludf.DUMMYFUNCTION("""COMPUTED_VALUE"""),107.9)</f>
        <v>107.9</v>
      </c>
      <c r="I346" s="1">
        <f ca="1">IFERROR(__xludf.DUMMYFUNCTION("""COMPUTED_VALUE"""),269)</f>
        <v>269</v>
      </c>
      <c r="J346" s="1">
        <f ca="1">IFERROR(__xludf.DUMMYFUNCTION("""COMPUTED_VALUE"""),67.5)</f>
        <v>67.5</v>
      </c>
      <c r="K346" s="1">
        <f ca="1">IFERROR(__xludf.DUMMYFUNCTION("""COMPUTED_VALUE"""),51)</f>
        <v>51</v>
      </c>
      <c r="L346" s="1" t="str">
        <f ca="1">IFERROR(__xludf.DUMMYFUNCTION("""COMPUTED_VALUE"""),"+.003")</f>
        <v>+.003</v>
      </c>
      <c r="M346" s="1">
        <f ca="1">IFERROR(__xludf.DUMMYFUNCTION("""COMPUTED_VALUE"""),168)</f>
        <v>168</v>
      </c>
      <c r="N346" s="1">
        <f ca="1">IFERROR(__xludf.DUMMYFUNCTION("""COMPUTED_VALUE"""),-5.29)</f>
        <v>-5.29</v>
      </c>
      <c r="O346" s="1">
        <f ca="1">IFERROR(__xludf.DUMMYFUNCTION("""COMPUTED_VALUE"""),279)</f>
        <v>279</v>
      </c>
      <c r="P346" s="1">
        <f ca="1">IFERROR(__xludf.DUMMYFUNCTION("""COMPUTED_VALUE"""),97.7)</f>
        <v>97.7</v>
      </c>
      <c r="Q346" s="1">
        <f ca="1">IFERROR(__xludf.DUMMYFUNCTION("""COMPUTED_VALUE"""),326)</f>
        <v>326</v>
      </c>
      <c r="R346" s="1">
        <f ca="1">IFERROR(__xludf.DUMMYFUNCTION("""COMPUTED_VALUE"""),103)</f>
        <v>103</v>
      </c>
      <c r="S346" s="1">
        <f ca="1">IFERROR(__xludf.DUMMYFUNCTION("""COMPUTED_VALUE"""),169)</f>
        <v>169</v>
      </c>
      <c r="T346" s="1" t="str">
        <f ca="1">IFERROR(__xludf.DUMMYFUNCTION("""COMPUTED_VALUE"""),"+1.98")</f>
        <v>+1.98</v>
      </c>
      <c r="U346" s="1">
        <f ca="1">IFERROR(__xludf.DUMMYFUNCTION("""COMPUTED_VALUE"""),105)</f>
        <v>105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IFERROR(__xludf.DUMMYFUNCTION("""COMPUTED_VALUE"""),"Howard")</f>
        <v>Howard</v>
      </c>
      <c r="C347" s="1" t="str">
        <f ca="1">IFERROR(__xludf.DUMMYFUNCTION("""COMPUTED_VALUE"""),"MEAC")</f>
        <v>MEAC</v>
      </c>
      <c r="D347" s="2">
        <f ca="1">IFERROR(__xludf.DUMMYFUNCTION("""COMPUTED_VALUE"""),44766)</f>
        <v>44766</v>
      </c>
      <c r="E347" s="1">
        <f ca="1">IFERROR(__xludf.DUMMYFUNCTION("""COMPUTED_VALUE"""),-18.42)</f>
        <v>-18.420000000000002</v>
      </c>
      <c r="F347" s="1">
        <f ca="1">IFERROR(__xludf.DUMMYFUNCTION("""COMPUTED_VALUE"""),84.1)</f>
        <v>84.1</v>
      </c>
      <c r="G347" s="1">
        <f ca="1">IFERROR(__xludf.DUMMYFUNCTION("""COMPUTED_VALUE"""),346)</f>
        <v>346</v>
      </c>
      <c r="H347" s="1">
        <f ca="1">IFERROR(__xludf.DUMMYFUNCTION("""COMPUTED_VALUE"""),102.5)</f>
        <v>102.5</v>
      </c>
      <c r="I347" s="1">
        <f ca="1">IFERROR(__xludf.DUMMYFUNCTION("""COMPUTED_VALUE"""),164)</f>
        <v>164</v>
      </c>
      <c r="J347" s="1">
        <f ca="1">IFERROR(__xludf.DUMMYFUNCTION("""COMPUTED_VALUE"""),61)</f>
        <v>61</v>
      </c>
      <c r="K347" s="1">
        <f ca="1">IFERROR(__xludf.DUMMYFUNCTION("""COMPUTED_VALUE"""),302)</f>
        <v>302</v>
      </c>
      <c r="L347" s="1">
        <f ca="1">IFERROR(__xludf.DUMMYFUNCTION("""COMPUTED_VALUE"""),-0.044)</f>
        <v>-4.3999999999999997E-2</v>
      </c>
      <c r="M347" s="1">
        <f ca="1">IFERROR(__xludf.DUMMYFUNCTION("""COMPUTED_VALUE"""),283)</f>
        <v>283</v>
      </c>
      <c r="N347" s="1">
        <f ca="1">IFERROR(__xludf.DUMMYFUNCTION("""COMPUTED_VALUE"""),-5.67)</f>
        <v>-5.67</v>
      </c>
      <c r="O347" s="1">
        <f ca="1">IFERROR(__xludf.DUMMYFUNCTION("""COMPUTED_VALUE"""),291)</f>
        <v>291</v>
      </c>
      <c r="P347" s="1">
        <f ca="1">IFERROR(__xludf.DUMMYFUNCTION("""COMPUTED_VALUE"""),98.3)</f>
        <v>98.3</v>
      </c>
      <c r="Q347" s="1">
        <f ca="1">IFERROR(__xludf.DUMMYFUNCTION("""COMPUTED_VALUE"""),320)</f>
        <v>320</v>
      </c>
      <c r="R347" s="1">
        <f ca="1">IFERROR(__xludf.DUMMYFUNCTION("""COMPUTED_VALUE"""),104)</f>
        <v>104</v>
      </c>
      <c r="S347" s="1">
        <f ca="1">IFERROR(__xludf.DUMMYFUNCTION("""COMPUTED_VALUE"""),220)</f>
        <v>220</v>
      </c>
      <c r="T347" s="1" t="str">
        <f ca="1">IFERROR(__xludf.DUMMYFUNCTION("""COMPUTED_VALUE"""),"+5.88")</f>
        <v>+5.88</v>
      </c>
      <c r="U347" s="1">
        <f ca="1">IFERROR(__xludf.DUMMYFUNCTION("""COMPUTED_VALUE"""),29)</f>
        <v>29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IFERROR(__xludf.DUMMYFUNCTION("""COMPUTED_VALUE"""),"St. Francis PA")</f>
        <v>St. Francis PA</v>
      </c>
      <c r="C348" s="1" t="str">
        <f ca="1">IFERROR(__xludf.DUMMYFUNCTION("""COMPUTED_VALUE"""),"NEC")</f>
        <v>NEC</v>
      </c>
      <c r="D348" s="2">
        <f ca="1">IFERROR(__xludf.DUMMYFUNCTION("""COMPUTED_VALUE"""),44705)</f>
        <v>44705</v>
      </c>
      <c r="E348" s="1">
        <f ca="1">IFERROR(__xludf.DUMMYFUNCTION("""COMPUTED_VALUE"""),-19.29)</f>
        <v>-19.29</v>
      </c>
      <c r="F348" s="1">
        <f ca="1">IFERROR(__xludf.DUMMYFUNCTION("""COMPUTED_VALUE"""),93.4)</f>
        <v>93.4</v>
      </c>
      <c r="G348" s="1">
        <f ca="1">IFERROR(__xludf.DUMMYFUNCTION("""COMPUTED_VALUE"""),308)</f>
        <v>308</v>
      </c>
      <c r="H348" s="1">
        <f ca="1">IFERROR(__xludf.DUMMYFUNCTION("""COMPUTED_VALUE"""),112.7)</f>
        <v>112.7</v>
      </c>
      <c r="I348" s="1">
        <f ca="1">IFERROR(__xludf.DUMMYFUNCTION("""COMPUTED_VALUE"""),328)</f>
        <v>328</v>
      </c>
      <c r="J348" s="1">
        <f ca="1">IFERROR(__xludf.DUMMYFUNCTION("""COMPUTED_VALUE"""),62.2)</f>
        <v>62.2</v>
      </c>
      <c r="K348" s="1">
        <f ca="1">IFERROR(__xludf.DUMMYFUNCTION("""COMPUTED_VALUE"""),277)</f>
        <v>277</v>
      </c>
      <c r="L348" s="1" t="str">
        <f ca="1">IFERROR(__xludf.DUMMYFUNCTION("""COMPUTED_VALUE"""),"+.034")</f>
        <v>+.034</v>
      </c>
      <c r="M348" s="1">
        <f ca="1">IFERROR(__xludf.DUMMYFUNCTION("""COMPUTED_VALUE"""),94)</f>
        <v>94</v>
      </c>
      <c r="N348" s="1">
        <f ca="1">IFERROR(__xludf.DUMMYFUNCTION("""COMPUTED_VALUE"""),-3.89)</f>
        <v>-3.89</v>
      </c>
      <c r="O348" s="1">
        <f ca="1">IFERROR(__xludf.DUMMYFUNCTION("""COMPUTED_VALUE"""),244)</f>
        <v>244</v>
      </c>
      <c r="P348" s="1">
        <f ca="1">IFERROR(__xludf.DUMMYFUNCTION("""COMPUTED_VALUE"""),102.6)</f>
        <v>102.6</v>
      </c>
      <c r="Q348" s="1">
        <f ca="1">IFERROR(__xludf.DUMMYFUNCTION("""COMPUTED_VALUE"""),149)</f>
        <v>149</v>
      </c>
      <c r="R348" s="1">
        <f ca="1">IFERROR(__xludf.DUMMYFUNCTION("""COMPUTED_VALUE"""),106.5)</f>
        <v>106.5</v>
      </c>
      <c r="S348" s="1">
        <f ca="1">IFERROR(__xludf.DUMMYFUNCTION("""COMPUTED_VALUE"""),325)</f>
        <v>325</v>
      </c>
      <c r="T348" s="1" t="str">
        <f ca="1">IFERROR(__xludf.DUMMYFUNCTION("""COMPUTED_VALUE"""),"+2.30")</f>
        <v>+2.30</v>
      </c>
      <c r="U348" s="1">
        <f ca="1">IFERROR(__xludf.DUMMYFUNCTION("""COMPUTED_VALUE"""),97)</f>
        <v>97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IFERROR(__xludf.DUMMYFUNCTION("""COMPUTED_VALUE"""),"Alabama St.")</f>
        <v>Alabama St.</v>
      </c>
      <c r="C349" s="1" t="str">
        <f ca="1">IFERROR(__xludf.DUMMYFUNCTION("""COMPUTED_VALUE"""),"SWAC")</f>
        <v>SWAC</v>
      </c>
      <c r="D349" s="2">
        <f ca="1">IFERROR(__xludf.DUMMYFUNCTION("""COMPUTED_VALUE"""),44856)</f>
        <v>44856</v>
      </c>
      <c r="E349" s="1">
        <f ca="1">IFERROR(__xludf.DUMMYFUNCTION("""COMPUTED_VALUE"""),-19.71)</f>
        <v>-19.71</v>
      </c>
      <c r="F349" s="1">
        <f ca="1">IFERROR(__xludf.DUMMYFUNCTION("""COMPUTED_VALUE"""),92.3)</f>
        <v>92.3</v>
      </c>
      <c r="G349" s="1">
        <f ca="1">IFERROR(__xludf.DUMMYFUNCTION("""COMPUTED_VALUE"""),318)</f>
        <v>318</v>
      </c>
      <c r="H349" s="1">
        <f ca="1">IFERROR(__xludf.DUMMYFUNCTION("""COMPUTED_VALUE"""),112)</f>
        <v>112</v>
      </c>
      <c r="I349" s="1">
        <f ca="1">IFERROR(__xludf.DUMMYFUNCTION("""COMPUTED_VALUE"""),323)</f>
        <v>323</v>
      </c>
      <c r="J349" s="1">
        <f ca="1">IFERROR(__xludf.DUMMYFUNCTION("""COMPUTED_VALUE"""),64.8)</f>
        <v>64.8</v>
      </c>
      <c r="K349" s="1">
        <f ca="1">IFERROR(__xludf.DUMMYFUNCTION("""COMPUTED_VALUE"""),165)</f>
        <v>165</v>
      </c>
      <c r="L349" s="1" t="str">
        <f ca="1">IFERROR(__xludf.DUMMYFUNCTION("""COMPUTED_VALUE"""),"+.006")</f>
        <v>+.006</v>
      </c>
      <c r="M349" s="1">
        <f ca="1">IFERROR(__xludf.DUMMYFUNCTION("""COMPUTED_VALUE"""),160)</f>
        <v>160</v>
      </c>
      <c r="N349" s="1">
        <f ca="1">IFERROR(__xludf.DUMMYFUNCTION("""COMPUTED_VALUE"""),-9.61)</f>
        <v>-9.61</v>
      </c>
      <c r="O349" s="1">
        <f ca="1">IFERROR(__xludf.DUMMYFUNCTION("""COMPUTED_VALUE"""),342)</f>
        <v>342</v>
      </c>
      <c r="P349" s="1">
        <f ca="1">IFERROR(__xludf.DUMMYFUNCTION("""COMPUTED_VALUE"""),95.4)</f>
        <v>95.4</v>
      </c>
      <c r="Q349" s="1">
        <f ca="1">IFERROR(__xludf.DUMMYFUNCTION("""COMPUTED_VALUE"""),344)</f>
        <v>344</v>
      </c>
      <c r="R349" s="1">
        <f ca="1">IFERROR(__xludf.DUMMYFUNCTION("""COMPUTED_VALUE"""),105.1)</f>
        <v>105.1</v>
      </c>
      <c r="S349" s="1">
        <f ca="1">IFERROR(__xludf.DUMMYFUNCTION("""COMPUTED_VALUE"""),264)</f>
        <v>264</v>
      </c>
      <c r="T349" s="1" t="str">
        <f ca="1">IFERROR(__xludf.DUMMYFUNCTION("""COMPUTED_VALUE"""),"+3.16")</f>
        <v>+3.16</v>
      </c>
      <c r="U349" s="1">
        <f ca="1">IFERROR(__xludf.DUMMYFUNCTION("""COMPUTED_VALUE"""),77)</f>
        <v>77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IFERROR(__xludf.DUMMYFUNCTION("""COMPUTED_VALUE"""),"Tennessee Martin")</f>
        <v>Tennessee Martin</v>
      </c>
      <c r="C350" s="1" t="str">
        <f ca="1">IFERROR(__xludf.DUMMYFUNCTION("""COMPUTED_VALUE"""),"OVC")</f>
        <v>OVC</v>
      </c>
      <c r="D350" s="2">
        <f ca="1">IFERROR(__xludf.DUMMYFUNCTION("""COMPUTED_VALUE"""),44825)</f>
        <v>44825</v>
      </c>
      <c r="E350" s="1">
        <f ca="1">IFERROR(__xludf.DUMMYFUNCTION("""COMPUTED_VALUE"""),-20.18)</f>
        <v>-20.18</v>
      </c>
      <c r="F350" s="1">
        <f ca="1">IFERROR(__xludf.DUMMYFUNCTION("""COMPUTED_VALUE"""),93.8)</f>
        <v>93.8</v>
      </c>
      <c r="G350" s="1">
        <f ca="1">IFERROR(__xludf.DUMMYFUNCTION("""COMPUTED_VALUE"""),306)</f>
        <v>306</v>
      </c>
      <c r="H350" s="1">
        <f ca="1">IFERROR(__xludf.DUMMYFUNCTION("""COMPUTED_VALUE"""),113.9)</f>
        <v>113.9</v>
      </c>
      <c r="I350" s="1">
        <f ca="1">IFERROR(__xludf.DUMMYFUNCTION("""COMPUTED_VALUE"""),338)</f>
        <v>338</v>
      </c>
      <c r="J350" s="1">
        <f ca="1">IFERROR(__xludf.DUMMYFUNCTION("""COMPUTED_VALUE"""),66.6)</f>
        <v>66.599999999999994</v>
      </c>
      <c r="K350" s="1">
        <f ca="1">IFERROR(__xludf.DUMMYFUNCTION("""COMPUTED_VALUE"""),76)</f>
        <v>76</v>
      </c>
      <c r="L350" s="1" t="str">
        <f ca="1">IFERROR(__xludf.DUMMYFUNCTION("""COMPUTED_VALUE"""),"+.071")</f>
        <v>+.071</v>
      </c>
      <c r="M350" s="1">
        <f ca="1">IFERROR(__xludf.DUMMYFUNCTION("""COMPUTED_VALUE"""),28)</f>
        <v>28</v>
      </c>
      <c r="N350" s="1">
        <f ca="1">IFERROR(__xludf.DUMMYFUNCTION("""COMPUTED_VALUE"""),-4.79)</f>
        <v>-4.79</v>
      </c>
      <c r="O350" s="1">
        <f ca="1">IFERROR(__xludf.DUMMYFUNCTION("""COMPUTED_VALUE"""),265)</f>
        <v>265</v>
      </c>
      <c r="P350" s="1">
        <f ca="1">IFERROR(__xludf.DUMMYFUNCTION("""COMPUTED_VALUE"""),100.9)</f>
        <v>100.9</v>
      </c>
      <c r="Q350" s="1">
        <f ca="1">IFERROR(__xludf.DUMMYFUNCTION("""COMPUTED_VALUE"""),233)</f>
        <v>233</v>
      </c>
      <c r="R350" s="1">
        <f ca="1">IFERROR(__xludf.DUMMYFUNCTION("""COMPUTED_VALUE"""),105.7)</f>
        <v>105.7</v>
      </c>
      <c r="S350" s="1">
        <f ca="1">IFERROR(__xludf.DUMMYFUNCTION("""COMPUTED_VALUE"""),305)</f>
        <v>305</v>
      </c>
      <c r="T350" s="1">
        <f ca="1">IFERROR(__xludf.DUMMYFUNCTION("""COMPUTED_VALUE"""),-2.42)</f>
        <v>-2.42</v>
      </c>
      <c r="U350" s="1">
        <f ca="1">IFERROR(__xludf.DUMMYFUNCTION("""COMPUTED_VALUE"""),242)</f>
        <v>242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IFERROR(__xludf.DUMMYFUNCTION("""COMPUTED_VALUE"""),"IUPUI")</f>
        <v>IUPUI</v>
      </c>
      <c r="C351" s="1" t="str">
        <f ca="1">IFERROR(__xludf.DUMMYFUNCTION("""COMPUTED_VALUE"""),"Sum")</f>
        <v>Sum</v>
      </c>
      <c r="D351" s="2">
        <f ca="1">IFERROR(__xludf.DUMMYFUNCTION("""COMPUTED_VALUE"""),44738)</f>
        <v>44738</v>
      </c>
      <c r="E351" s="1">
        <f ca="1">IFERROR(__xludf.DUMMYFUNCTION("""COMPUTED_VALUE"""),-20.3)</f>
        <v>-20.3</v>
      </c>
      <c r="F351" s="1">
        <f ca="1">IFERROR(__xludf.DUMMYFUNCTION("""COMPUTED_VALUE"""),97.7)</f>
        <v>97.7</v>
      </c>
      <c r="G351" s="1">
        <f ca="1">IFERROR(__xludf.DUMMYFUNCTION("""COMPUTED_VALUE"""),262)</f>
        <v>262</v>
      </c>
      <c r="H351" s="1">
        <f ca="1">IFERROR(__xludf.DUMMYFUNCTION("""COMPUTED_VALUE"""),118)</f>
        <v>118</v>
      </c>
      <c r="I351" s="1">
        <f ca="1">IFERROR(__xludf.DUMMYFUNCTION("""COMPUTED_VALUE"""),344)</f>
        <v>344</v>
      </c>
      <c r="J351" s="1">
        <f ca="1">IFERROR(__xludf.DUMMYFUNCTION("""COMPUTED_VALUE"""),64.2)</f>
        <v>64.2</v>
      </c>
      <c r="K351" s="1">
        <f ca="1">IFERROR(__xludf.DUMMYFUNCTION("""COMPUTED_VALUE"""),194)</f>
        <v>194</v>
      </c>
      <c r="L351" s="1">
        <f ca="1">IFERROR(__xludf.DUMMYFUNCTION("""COMPUTED_VALUE"""),-0.054)</f>
        <v>-5.3999999999999999E-2</v>
      </c>
      <c r="M351" s="1">
        <f ca="1">IFERROR(__xludf.DUMMYFUNCTION("""COMPUTED_VALUE"""),302)</f>
        <v>302</v>
      </c>
      <c r="N351" s="1">
        <f ca="1">IFERROR(__xludf.DUMMYFUNCTION("""COMPUTED_VALUE"""),-2.68)</f>
        <v>-2.68</v>
      </c>
      <c r="O351" s="1">
        <f ca="1">IFERROR(__xludf.DUMMYFUNCTION("""COMPUTED_VALUE"""),209)</f>
        <v>209</v>
      </c>
      <c r="P351" s="1">
        <f ca="1">IFERROR(__xludf.DUMMYFUNCTION("""COMPUTED_VALUE"""),102.5)</f>
        <v>102.5</v>
      </c>
      <c r="Q351" s="1">
        <f ca="1">IFERROR(__xludf.DUMMYFUNCTION("""COMPUTED_VALUE"""),151)</f>
        <v>151</v>
      </c>
      <c r="R351" s="1">
        <f ca="1">IFERROR(__xludf.DUMMYFUNCTION("""COMPUTED_VALUE"""),105.2)</f>
        <v>105.2</v>
      </c>
      <c r="S351" s="1">
        <f ca="1">IFERROR(__xludf.DUMMYFUNCTION("""COMPUTED_VALUE"""),273)</f>
        <v>273</v>
      </c>
      <c r="T351" s="1">
        <f ca="1">IFERROR(__xludf.DUMMYFUNCTION("""COMPUTED_VALUE"""),-0.11)</f>
        <v>-0.11</v>
      </c>
      <c r="U351" s="1">
        <f ca="1">IFERROR(__xludf.DUMMYFUNCTION("""COMPUTED_VALUE"""),158)</f>
        <v>158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IFERROR(__xludf.DUMMYFUNCTION("""COMPUTED_VALUE"""),"Fairleigh Dickinson")</f>
        <v>Fairleigh Dickinson</v>
      </c>
      <c r="C352" s="1" t="str">
        <f ca="1">IFERROR(__xludf.DUMMYFUNCTION("""COMPUTED_VALUE"""),"NEC")</f>
        <v>NEC</v>
      </c>
      <c r="D352" s="2">
        <f ca="1">IFERROR(__xludf.DUMMYFUNCTION("""COMPUTED_VALUE"""),44766)</f>
        <v>44766</v>
      </c>
      <c r="E352" s="1">
        <f ca="1">IFERROR(__xludf.DUMMYFUNCTION("""COMPUTED_VALUE"""),-20.47)</f>
        <v>-20.47</v>
      </c>
      <c r="F352" s="1">
        <f ca="1">IFERROR(__xludf.DUMMYFUNCTION("""COMPUTED_VALUE"""),94)</f>
        <v>94</v>
      </c>
      <c r="G352" s="1">
        <f ca="1">IFERROR(__xludf.DUMMYFUNCTION("""COMPUTED_VALUE"""),301)</f>
        <v>301</v>
      </c>
      <c r="H352" s="1">
        <f ca="1">IFERROR(__xludf.DUMMYFUNCTION("""COMPUTED_VALUE"""),114.5)</f>
        <v>114.5</v>
      </c>
      <c r="I352" s="1">
        <f ca="1">IFERROR(__xludf.DUMMYFUNCTION("""COMPUTED_VALUE"""),339)</f>
        <v>339</v>
      </c>
      <c r="J352" s="1">
        <f ca="1">IFERROR(__xludf.DUMMYFUNCTION("""COMPUTED_VALUE"""),66.1)</f>
        <v>66.099999999999994</v>
      </c>
      <c r="K352" s="1">
        <f ca="1">IFERROR(__xludf.DUMMYFUNCTION("""COMPUTED_VALUE"""),102)</f>
        <v>102</v>
      </c>
      <c r="L352" s="1" t="str">
        <f ca="1">IFERROR(__xludf.DUMMYFUNCTION("""COMPUTED_VALUE"""),"+.029")</f>
        <v>+.029</v>
      </c>
      <c r="M352" s="1">
        <f ca="1">IFERROR(__xludf.DUMMYFUNCTION("""COMPUTED_VALUE"""),106)</f>
        <v>106</v>
      </c>
      <c r="N352" s="1">
        <f ca="1">IFERROR(__xludf.DUMMYFUNCTION("""COMPUTED_VALUE"""),-4.41)</f>
        <v>-4.41</v>
      </c>
      <c r="O352" s="1">
        <f ca="1">IFERROR(__xludf.DUMMYFUNCTION("""COMPUTED_VALUE"""),257)</f>
        <v>257</v>
      </c>
      <c r="P352" s="1">
        <f ca="1">IFERROR(__xludf.DUMMYFUNCTION("""COMPUTED_VALUE"""),101.1)</f>
        <v>101.1</v>
      </c>
      <c r="Q352" s="1">
        <f ca="1">IFERROR(__xludf.DUMMYFUNCTION("""COMPUTED_VALUE"""),223)</f>
        <v>223</v>
      </c>
      <c r="R352" s="1">
        <f ca="1">IFERROR(__xludf.DUMMYFUNCTION("""COMPUTED_VALUE"""),105.5)</f>
        <v>105.5</v>
      </c>
      <c r="S352" s="1">
        <f ca="1">IFERROR(__xludf.DUMMYFUNCTION("""COMPUTED_VALUE"""),288)</f>
        <v>288</v>
      </c>
      <c r="T352" s="1">
        <f ca="1">IFERROR(__xludf.DUMMYFUNCTION("""COMPUTED_VALUE"""),-0.56)</f>
        <v>-0.56000000000000005</v>
      </c>
      <c r="U352" s="1">
        <f ca="1">IFERROR(__xludf.DUMMYFUNCTION("""COMPUTED_VALUE"""),176)</f>
        <v>176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IFERROR(__xludf.DUMMYFUNCTION("""COMPUTED_VALUE"""),"Kennesaw St.")</f>
        <v>Kennesaw St.</v>
      </c>
      <c r="C353" s="1" t="str">
        <f ca="1">IFERROR(__xludf.DUMMYFUNCTION("""COMPUTED_VALUE"""),"ASun")</f>
        <v>ASun</v>
      </c>
      <c r="D353" s="2">
        <f ca="1">IFERROR(__xludf.DUMMYFUNCTION("""COMPUTED_VALUE"""),44647)</f>
        <v>44647</v>
      </c>
      <c r="E353" s="1">
        <f ca="1">IFERROR(__xludf.DUMMYFUNCTION("""COMPUTED_VALUE"""),-20.69)</f>
        <v>-20.69</v>
      </c>
      <c r="F353" s="1">
        <f ca="1">IFERROR(__xludf.DUMMYFUNCTION("""COMPUTED_VALUE"""),91.8)</f>
        <v>91.8</v>
      </c>
      <c r="G353" s="1">
        <f ca="1">IFERROR(__xludf.DUMMYFUNCTION("""COMPUTED_VALUE"""),323)</f>
        <v>323</v>
      </c>
      <c r="H353" s="1">
        <f ca="1">IFERROR(__xludf.DUMMYFUNCTION("""COMPUTED_VALUE"""),112.5)</f>
        <v>112.5</v>
      </c>
      <c r="I353" s="1">
        <f ca="1">IFERROR(__xludf.DUMMYFUNCTION("""COMPUTED_VALUE"""),325)</f>
        <v>325</v>
      </c>
      <c r="J353" s="1">
        <f ca="1">IFERROR(__xludf.DUMMYFUNCTION("""COMPUTED_VALUE"""),63)</f>
        <v>63</v>
      </c>
      <c r="K353" s="1">
        <f ca="1">IFERROR(__xludf.DUMMYFUNCTION("""COMPUTED_VALUE"""),241)</f>
        <v>241</v>
      </c>
      <c r="L353" s="1" t="str">
        <f ca="1">IFERROR(__xludf.DUMMYFUNCTION("""COMPUTED_VALUE"""),"+.004")</f>
        <v>+.004</v>
      </c>
      <c r="M353" s="1">
        <f ca="1">IFERROR(__xludf.DUMMYFUNCTION("""COMPUTED_VALUE"""),163)</f>
        <v>163</v>
      </c>
      <c r="N353" s="1">
        <f ca="1">IFERROR(__xludf.DUMMYFUNCTION("""COMPUTED_VALUE"""),-5.15)</f>
        <v>-5.15</v>
      </c>
      <c r="O353" s="1">
        <f ca="1">IFERROR(__xludf.DUMMYFUNCTION("""COMPUTED_VALUE"""),273)</f>
        <v>273</v>
      </c>
      <c r="P353" s="1">
        <f ca="1">IFERROR(__xludf.DUMMYFUNCTION("""COMPUTED_VALUE"""),100.5)</f>
        <v>100.5</v>
      </c>
      <c r="Q353" s="1">
        <f ca="1">IFERROR(__xludf.DUMMYFUNCTION("""COMPUTED_VALUE"""),251)</f>
        <v>251</v>
      </c>
      <c r="R353" s="1">
        <f ca="1">IFERROR(__xludf.DUMMYFUNCTION("""COMPUTED_VALUE"""),105.7)</f>
        <v>105.7</v>
      </c>
      <c r="S353" s="1">
        <f ca="1">IFERROR(__xludf.DUMMYFUNCTION("""COMPUTED_VALUE"""),303)</f>
        <v>303</v>
      </c>
      <c r="T353" s="1">
        <f ca="1">IFERROR(__xludf.DUMMYFUNCTION("""COMPUTED_VALUE"""),-2.21)</f>
        <v>-2.21</v>
      </c>
      <c r="U353" s="1">
        <f ca="1">IFERROR(__xludf.DUMMYFUNCTION("""COMPUTED_VALUE"""),232)</f>
        <v>232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IFERROR(__xludf.DUMMYFUNCTION("""COMPUTED_VALUE"""),"Alabama A&amp;M")</f>
        <v>Alabama A&amp;M</v>
      </c>
      <c r="C354" s="1" t="str">
        <f ca="1">IFERROR(__xludf.DUMMYFUNCTION("""COMPUTED_VALUE"""),"SWAC")</f>
        <v>SWAC</v>
      </c>
      <c r="D354" s="2">
        <f ca="1">IFERROR(__xludf.DUMMYFUNCTION("""COMPUTED_VALUE"""),44885)</f>
        <v>44885</v>
      </c>
      <c r="E354" s="1">
        <f ca="1">IFERROR(__xludf.DUMMYFUNCTION("""COMPUTED_VALUE"""),-20.7)</f>
        <v>-20.7</v>
      </c>
      <c r="F354" s="1">
        <f ca="1">IFERROR(__xludf.DUMMYFUNCTION("""COMPUTED_VALUE"""),90.8)</f>
        <v>90.8</v>
      </c>
      <c r="G354" s="1">
        <f ca="1">IFERROR(__xludf.DUMMYFUNCTION("""COMPUTED_VALUE"""),328)</f>
        <v>328</v>
      </c>
      <c r="H354" s="1">
        <f ca="1">IFERROR(__xludf.DUMMYFUNCTION("""COMPUTED_VALUE"""),111.5)</f>
        <v>111.5</v>
      </c>
      <c r="I354" s="1">
        <f ca="1">IFERROR(__xludf.DUMMYFUNCTION("""COMPUTED_VALUE"""),321)</f>
        <v>321</v>
      </c>
      <c r="J354" s="1">
        <f ca="1">IFERROR(__xludf.DUMMYFUNCTION("""COMPUTED_VALUE"""),64.9)</f>
        <v>64.900000000000006</v>
      </c>
      <c r="K354" s="1">
        <f ca="1">IFERROR(__xludf.DUMMYFUNCTION("""COMPUTED_VALUE"""),161)</f>
        <v>161</v>
      </c>
      <c r="L354" s="1">
        <f ca="1">IFERROR(__xludf.DUMMYFUNCTION("""COMPUTED_VALUE"""),-0.004)</f>
        <v>-4.0000000000000001E-3</v>
      </c>
      <c r="M354" s="1">
        <f ca="1">IFERROR(__xludf.DUMMYFUNCTION("""COMPUTED_VALUE"""),191)</f>
        <v>191</v>
      </c>
      <c r="N354" s="1">
        <f ca="1">IFERROR(__xludf.DUMMYFUNCTION("""COMPUTED_VALUE"""),-9.82)</f>
        <v>-9.82</v>
      </c>
      <c r="O354" s="1">
        <f ca="1">IFERROR(__xludf.DUMMYFUNCTION("""COMPUTED_VALUE"""),344)</f>
        <v>344</v>
      </c>
      <c r="P354" s="1">
        <f ca="1">IFERROR(__xludf.DUMMYFUNCTION("""COMPUTED_VALUE"""),95.6)</f>
        <v>95.6</v>
      </c>
      <c r="Q354" s="1">
        <f ca="1">IFERROR(__xludf.DUMMYFUNCTION("""COMPUTED_VALUE"""),343)</f>
        <v>343</v>
      </c>
      <c r="R354" s="1">
        <f ca="1">IFERROR(__xludf.DUMMYFUNCTION("""COMPUTED_VALUE"""),105.4)</f>
        <v>105.4</v>
      </c>
      <c r="S354" s="1">
        <f ca="1">IFERROR(__xludf.DUMMYFUNCTION("""COMPUTED_VALUE"""),286)</f>
        <v>286</v>
      </c>
      <c r="T354" s="1" t="str">
        <f ca="1">IFERROR(__xludf.DUMMYFUNCTION("""COMPUTED_VALUE"""),"+5.74")</f>
        <v>+5.74</v>
      </c>
      <c r="U354" s="1">
        <f ca="1">IFERROR(__xludf.DUMMYFUNCTION("""COMPUTED_VALUE"""),31)</f>
        <v>31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IFERROR(__xludf.DUMMYFUNCTION("""COMPUTED_VALUE"""),"The Citadel")</f>
        <v>The Citadel</v>
      </c>
      <c r="C355" s="1" t="str">
        <f ca="1">IFERROR(__xludf.DUMMYFUNCTION("""COMPUTED_VALUE"""),"SC")</f>
        <v>SC</v>
      </c>
      <c r="D355" s="2">
        <f ca="1">IFERROR(__xludf.DUMMYFUNCTION("""COMPUTED_VALUE"""),44795)</f>
        <v>44795</v>
      </c>
      <c r="E355" s="1">
        <f ca="1">IFERROR(__xludf.DUMMYFUNCTION("""COMPUTED_VALUE"""),-20.88)</f>
        <v>-20.88</v>
      </c>
      <c r="F355" s="1">
        <f ca="1">IFERROR(__xludf.DUMMYFUNCTION("""COMPUTED_VALUE"""),98.4)</f>
        <v>98.4</v>
      </c>
      <c r="G355" s="1">
        <f ca="1">IFERROR(__xludf.DUMMYFUNCTION("""COMPUTED_VALUE"""),250)</f>
        <v>250</v>
      </c>
      <c r="H355" s="1">
        <f ca="1">IFERROR(__xludf.DUMMYFUNCTION("""COMPUTED_VALUE"""),119.2)</f>
        <v>119.2</v>
      </c>
      <c r="I355" s="1">
        <f ca="1">IFERROR(__xludf.DUMMYFUNCTION("""COMPUTED_VALUE"""),346)</f>
        <v>346</v>
      </c>
      <c r="J355" s="1">
        <f ca="1">IFERROR(__xludf.DUMMYFUNCTION("""COMPUTED_VALUE"""),64)</f>
        <v>64</v>
      </c>
      <c r="K355" s="1">
        <f ca="1">IFERROR(__xludf.DUMMYFUNCTION("""COMPUTED_VALUE"""),197)</f>
        <v>197</v>
      </c>
      <c r="L355" s="1">
        <f ca="1">IFERROR(__xludf.DUMMYFUNCTION("""COMPUTED_VALUE"""),-0.005)</f>
        <v>-5.0000000000000001E-3</v>
      </c>
      <c r="M355" s="1">
        <f ca="1">IFERROR(__xludf.DUMMYFUNCTION("""COMPUTED_VALUE"""),193)</f>
        <v>193</v>
      </c>
      <c r="N355" s="1">
        <f ca="1">IFERROR(__xludf.DUMMYFUNCTION("""COMPUTED_VALUE"""),-6.56)</f>
        <v>-6.56</v>
      </c>
      <c r="O355" s="1">
        <f ca="1">IFERROR(__xludf.DUMMYFUNCTION("""COMPUTED_VALUE"""),309)</f>
        <v>309</v>
      </c>
      <c r="P355" s="1">
        <f ca="1">IFERROR(__xludf.DUMMYFUNCTION("""COMPUTED_VALUE"""),99.4)</f>
        <v>99.4</v>
      </c>
      <c r="Q355" s="1">
        <f ca="1">IFERROR(__xludf.DUMMYFUNCTION("""COMPUTED_VALUE"""),304)</f>
        <v>304</v>
      </c>
      <c r="R355" s="1">
        <f ca="1">IFERROR(__xludf.DUMMYFUNCTION("""COMPUTED_VALUE"""),106)</f>
        <v>106</v>
      </c>
      <c r="S355" s="1">
        <f ca="1">IFERROR(__xludf.DUMMYFUNCTION("""COMPUTED_VALUE"""),311)</f>
        <v>311</v>
      </c>
      <c r="T355" s="1">
        <f ca="1">IFERROR(__xludf.DUMMYFUNCTION("""COMPUTED_VALUE"""),-1.23)</f>
        <v>-1.23</v>
      </c>
      <c r="U355" s="1">
        <f ca="1">IFERROR(__xludf.DUMMYFUNCTION("""COMPUTED_VALUE"""),199)</f>
        <v>199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IFERROR(__xludf.DUMMYFUNCTION("""COMPUTED_VALUE"""),"Longwood")</f>
        <v>Longwood</v>
      </c>
      <c r="C356" s="1" t="str">
        <f ca="1">IFERROR(__xludf.DUMMYFUNCTION("""COMPUTED_VALUE"""),"BSth")</f>
        <v>BSth</v>
      </c>
      <c r="D356" s="2">
        <f ca="1">IFERROR(__xludf.DUMMYFUNCTION("""COMPUTED_VALUE"""),44798)</f>
        <v>44798</v>
      </c>
      <c r="E356" s="1">
        <f ca="1">IFERROR(__xludf.DUMMYFUNCTION("""COMPUTED_VALUE"""),-21.61)</f>
        <v>-21.61</v>
      </c>
      <c r="F356" s="1">
        <f ca="1">IFERROR(__xludf.DUMMYFUNCTION("""COMPUTED_VALUE"""),94.6)</f>
        <v>94.6</v>
      </c>
      <c r="G356" s="1">
        <f ca="1">IFERROR(__xludf.DUMMYFUNCTION("""COMPUTED_VALUE"""),298)</f>
        <v>298</v>
      </c>
      <c r="H356" s="1">
        <f ca="1">IFERROR(__xludf.DUMMYFUNCTION("""COMPUTED_VALUE"""),116.2)</f>
        <v>116.2</v>
      </c>
      <c r="I356" s="1">
        <f ca="1">IFERROR(__xludf.DUMMYFUNCTION("""COMPUTED_VALUE"""),341)</f>
        <v>341</v>
      </c>
      <c r="J356" s="1">
        <f ca="1">IFERROR(__xludf.DUMMYFUNCTION("""COMPUTED_VALUE"""),69.2)</f>
        <v>69.2</v>
      </c>
      <c r="K356" s="1">
        <f ca="1">IFERROR(__xludf.DUMMYFUNCTION("""COMPUTED_VALUE"""),17)</f>
        <v>17</v>
      </c>
      <c r="L356" s="1">
        <f ca="1">IFERROR(__xludf.DUMMYFUNCTION("""COMPUTED_VALUE"""),-0.004)</f>
        <v>-4.0000000000000001E-3</v>
      </c>
      <c r="M356" s="1">
        <f ca="1">IFERROR(__xludf.DUMMYFUNCTION("""COMPUTED_VALUE"""),190)</f>
        <v>190</v>
      </c>
      <c r="N356" s="1">
        <f ca="1">IFERROR(__xludf.DUMMYFUNCTION("""COMPUTED_VALUE"""),-6.28)</f>
        <v>-6.28</v>
      </c>
      <c r="O356" s="1">
        <f ca="1">IFERROR(__xludf.DUMMYFUNCTION("""COMPUTED_VALUE"""),303)</f>
        <v>303</v>
      </c>
      <c r="P356" s="1">
        <f ca="1">IFERROR(__xludf.DUMMYFUNCTION("""COMPUTED_VALUE"""),100)</f>
        <v>100</v>
      </c>
      <c r="Q356" s="1">
        <f ca="1">IFERROR(__xludf.DUMMYFUNCTION("""COMPUTED_VALUE"""),276)</f>
        <v>276</v>
      </c>
      <c r="R356" s="1">
        <f ca="1">IFERROR(__xludf.DUMMYFUNCTION("""COMPUTED_VALUE"""),106.3)</f>
        <v>106.3</v>
      </c>
      <c r="S356" s="1">
        <f ca="1">IFERROR(__xludf.DUMMYFUNCTION("""COMPUTED_VALUE"""),321)</f>
        <v>321</v>
      </c>
      <c r="T356" s="1" t="str">
        <f ca="1">IFERROR(__xludf.DUMMYFUNCTION("""COMPUTED_VALUE"""),"+0.51")</f>
        <v>+0.51</v>
      </c>
      <c r="U356" s="1">
        <f ca="1">IFERROR(__xludf.DUMMYFUNCTION("""COMPUTED_VALUE"""),136)</f>
        <v>136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IFERROR(__xludf.DUMMYFUNCTION("""COMPUTED_VALUE"""),"Mississippi Valley St.")</f>
        <v>Mississippi Valley St.</v>
      </c>
      <c r="C357" s="1" t="str">
        <f ca="1">IFERROR(__xludf.DUMMYFUNCTION("""COMPUTED_VALUE"""),"SWAC")</f>
        <v>SWAC</v>
      </c>
      <c r="D357" s="2">
        <f ca="1">IFERROR(__xludf.DUMMYFUNCTION("""COMPUTED_VALUE"""),44704)</f>
        <v>44704</v>
      </c>
      <c r="E357" s="1">
        <f ca="1">IFERROR(__xludf.DUMMYFUNCTION("""COMPUTED_VALUE"""),-22.01)</f>
        <v>-22.01</v>
      </c>
      <c r="F357" s="1">
        <f ca="1">IFERROR(__xludf.DUMMYFUNCTION("""COMPUTED_VALUE"""),90.1)</f>
        <v>90.1</v>
      </c>
      <c r="G357" s="1">
        <f ca="1">IFERROR(__xludf.DUMMYFUNCTION("""COMPUTED_VALUE"""),330)</f>
        <v>330</v>
      </c>
      <c r="H357" s="1">
        <f ca="1">IFERROR(__xludf.DUMMYFUNCTION("""COMPUTED_VALUE"""),112.1)</f>
        <v>112.1</v>
      </c>
      <c r="I357" s="1">
        <f ca="1">IFERROR(__xludf.DUMMYFUNCTION("""COMPUTED_VALUE"""),324)</f>
        <v>324</v>
      </c>
      <c r="J357" s="1">
        <f ca="1">IFERROR(__xludf.DUMMYFUNCTION("""COMPUTED_VALUE"""),69.4)</f>
        <v>69.400000000000006</v>
      </c>
      <c r="K357" s="1">
        <f ca="1">IFERROR(__xludf.DUMMYFUNCTION("""COMPUTED_VALUE"""),15)</f>
        <v>15</v>
      </c>
      <c r="L357" s="1">
        <f ca="1">IFERROR(__xludf.DUMMYFUNCTION("""COMPUTED_VALUE"""),-0.07)</f>
        <v>-7.0000000000000007E-2</v>
      </c>
      <c r="M357" s="1">
        <f ca="1">IFERROR(__xludf.DUMMYFUNCTION("""COMPUTED_VALUE"""),318)</f>
        <v>318</v>
      </c>
      <c r="N357" s="1">
        <f ca="1">IFERROR(__xludf.DUMMYFUNCTION("""COMPUTED_VALUE"""),-8.3)</f>
        <v>-8.3000000000000007</v>
      </c>
      <c r="O357" s="1">
        <f ca="1">IFERROR(__xludf.DUMMYFUNCTION("""COMPUTED_VALUE"""),334)</f>
        <v>334</v>
      </c>
      <c r="P357" s="1">
        <f ca="1">IFERROR(__xludf.DUMMYFUNCTION("""COMPUTED_VALUE"""),96.4)</f>
        <v>96.4</v>
      </c>
      <c r="Q357" s="1">
        <f ca="1">IFERROR(__xludf.DUMMYFUNCTION("""COMPUTED_VALUE"""),339)</f>
        <v>339</v>
      </c>
      <c r="R357" s="1">
        <f ca="1">IFERROR(__xludf.DUMMYFUNCTION("""COMPUTED_VALUE"""),104.7)</f>
        <v>104.7</v>
      </c>
      <c r="S357" s="1">
        <f ca="1">IFERROR(__xludf.DUMMYFUNCTION("""COMPUTED_VALUE"""),249)</f>
        <v>249</v>
      </c>
      <c r="T357" s="1" t="str">
        <f ca="1">IFERROR(__xludf.DUMMYFUNCTION("""COMPUTED_VALUE"""),"+7.00")</f>
        <v>+7.00</v>
      </c>
      <c r="U357" s="1">
        <f ca="1">IFERROR(__xludf.DUMMYFUNCTION("""COMPUTED_VALUE"""),17)</f>
        <v>17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IFERROR(__xludf.DUMMYFUNCTION("""COMPUTED_VALUE"""),"South Carolina St.")</f>
        <v>South Carolina St.</v>
      </c>
      <c r="C358" s="1" t="str">
        <f ca="1">IFERROR(__xludf.DUMMYFUNCTION("""COMPUTED_VALUE"""),"MEAC")</f>
        <v>MEAC</v>
      </c>
      <c r="D358" s="2">
        <f ca="1">IFERROR(__xludf.DUMMYFUNCTION("""COMPUTED_VALUE"""),44736)</f>
        <v>44736</v>
      </c>
      <c r="E358" s="1">
        <f ca="1">IFERROR(__xludf.DUMMYFUNCTION("""COMPUTED_VALUE"""),-22.02)</f>
        <v>-22.02</v>
      </c>
      <c r="F358" s="1">
        <f ca="1">IFERROR(__xludf.DUMMYFUNCTION("""COMPUTED_VALUE"""),91.9)</f>
        <v>91.9</v>
      </c>
      <c r="G358" s="1">
        <f ca="1">IFERROR(__xludf.DUMMYFUNCTION("""COMPUTED_VALUE"""),321)</f>
        <v>321</v>
      </c>
      <c r="H358" s="1">
        <f ca="1">IFERROR(__xludf.DUMMYFUNCTION("""COMPUTED_VALUE"""),113.9)</f>
        <v>113.9</v>
      </c>
      <c r="I358" s="1">
        <f ca="1">IFERROR(__xludf.DUMMYFUNCTION("""COMPUTED_VALUE"""),337)</f>
        <v>337</v>
      </c>
      <c r="J358" s="1">
        <f ca="1">IFERROR(__xludf.DUMMYFUNCTION("""COMPUTED_VALUE"""),63.9)</f>
        <v>63.9</v>
      </c>
      <c r="K358" s="1">
        <f ca="1">IFERROR(__xludf.DUMMYFUNCTION("""COMPUTED_VALUE"""),203)</f>
        <v>203</v>
      </c>
      <c r="L358" s="1">
        <f ca="1">IFERROR(__xludf.DUMMYFUNCTION("""COMPUTED_VALUE"""),-0.015)</f>
        <v>-1.4999999999999999E-2</v>
      </c>
      <c r="M358" s="1">
        <f ca="1">IFERROR(__xludf.DUMMYFUNCTION("""COMPUTED_VALUE"""),224)</f>
        <v>224</v>
      </c>
      <c r="N358" s="1">
        <f ca="1">IFERROR(__xludf.DUMMYFUNCTION("""COMPUTED_VALUE"""),-5.55)</f>
        <v>-5.55</v>
      </c>
      <c r="O358" s="1">
        <f ca="1">IFERROR(__xludf.DUMMYFUNCTION("""COMPUTED_VALUE"""),287)</f>
        <v>287</v>
      </c>
      <c r="P358" s="1">
        <f ca="1">IFERROR(__xludf.DUMMYFUNCTION("""COMPUTED_VALUE"""),96.5)</f>
        <v>96.5</v>
      </c>
      <c r="Q358" s="1">
        <f ca="1">IFERROR(__xludf.DUMMYFUNCTION("""COMPUTED_VALUE"""),337)</f>
        <v>337</v>
      </c>
      <c r="R358" s="1">
        <f ca="1">IFERROR(__xludf.DUMMYFUNCTION("""COMPUTED_VALUE"""),102.1)</f>
        <v>102.1</v>
      </c>
      <c r="S358" s="1">
        <f ca="1">IFERROR(__xludf.DUMMYFUNCTION("""COMPUTED_VALUE"""),125)</f>
        <v>125</v>
      </c>
      <c r="T358" s="1" t="str">
        <f ca="1">IFERROR(__xludf.DUMMYFUNCTION("""COMPUTED_VALUE"""),"+1.53")</f>
        <v>+1.53</v>
      </c>
      <c r="U358" s="1">
        <f ca="1">IFERROR(__xludf.DUMMYFUNCTION("""COMPUTED_VALUE"""),115)</f>
        <v>115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IFERROR(__xludf.DUMMYFUNCTION("""COMPUTED_VALUE"""),"Presbyterian")</f>
        <v>Presbyterian</v>
      </c>
      <c r="C359" s="1" t="str">
        <f ca="1">IFERROR(__xludf.DUMMYFUNCTION("""COMPUTED_VALUE"""),"BSth")</f>
        <v>BSth</v>
      </c>
      <c r="D359" s="2">
        <f ca="1">IFERROR(__xludf.DUMMYFUNCTION("""COMPUTED_VALUE"""),44797)</f>
        <v>44797</v>
      </c>
      <c r="E359" s="1">
        <f ca="1">IFERROR(__xludf.DUMMYFUNCTION("""COMPUTED_VALUE"""),-22.92)</f>
        <v>-22.92</v>
      </c>
      <c r="F359" s="1">
        <f ca="1">IFERROR(__xludf.DUMMYFUNCTION("""COMPUTED_VALUE"""),94.9)</f>
        <v>94.9</v>
      </c>
      <c r="G359" s="1">
        <f ca="1">IFERROR(__xludf.DUMMYFUNCTION("""COMPUTED_VALUE"""),295)</f>
        <v>295</v>
      </c>
      <c r="H359" s="1">
        <f ca="1">IFERROR(__xludf.DUMMYFUNCTION("""COMPUTED_VALUE"""),117.8)</f>
        <v>117.8</v>
      </c>
      <c r="I359" s="1">
        <f ca="1">IFERROR(__xludf.DUMMYFUNCTION("""COMPUTED_VALUE"""),343)</f>
        <v>343</v>
      </c>
      <c r="J359" s="1">
        <f ca="1">IFERROR(__xludf.DUMMYFUNCTION("""COMPUTED_VALUE"""),60.9)</f>
        <v>60.9</v>
      </c>
      <c r="K359" s="1">
        <f ca="1">IFERROR(__xludf.DUMMYFUNCTION("""COMPUTED_VALUE"""),305)</f>
        <v>305</v>
      </c>
      <c r="L359" s="1" t="str">
        <f ca="1">IFERROR(__xludf.DUMMYFUNCTION("""COMPUTED_VALUE"""),"+.011")</f>
        <v>+.011</v>
      </c>
      <c r="M359" s="1">
        <f ca="1">IFERROR(__xludf.DUMMYFUNCTION("""COMPUTED_VALUE"""),152)</f>
        <v>152</v>
      </c>
      <c r="N359" s="1">
        <f ca="1">IFERROR(__xludf.DUMMYFUNCTION("""COMPUTED_VALUE"""),-5.5)</f>
        <v>-5.5</v>
      </c>
      <c r="O359" s="1">
        <f ca="1">IFERROR(__xludf.DUMMYFUNCTION("""COMPUTED_VALUE"""),285)</f>
        <v>285</v>
      </c>
      <c r="P359" s="1">
        <f ca="1">IFERROR(__xludf.DUMMYFUNCTION("""COMPUTED_VALUE"""),99.7)</f>
        <v>99.7</v>
      </c>
      <c r="Q359" s="1">
        <f ca="1">IFERROR(__xludf.DUMMYFUNCTION("""COMPUTED_VALUE"""),290)</f>
        <v>290</v>
      </c>
      <c r="R359" s="1">
        <f ca="1">IFERROR(__xludf.DUMMYFUNCTION("""COMPUTED_VALUE"""),105.2)</f>
        <v>105.2</v>
      </c>
      <c r="S359" s="1">
        <f ca="1">IFERROR(__xludf.DUMMYFUNCTION("""COMPUTED_VALUE"""),276)</f>
        <v>276</v>
      </c>
      <c r="T359" s="1" t="str">
        <f ca="1">IFERROR(__xludf.DUMMYFUNCTION("""COMPUTED_VALUE"""),"+0.18")</f>
        <v>+0.18</v>
      </c>
      <c r="U359" s="1">
        <f ca="1">IFERROR(__xludf.DUMMYFUNCTION("""COMPUTED_VALUE"""),151)</f>
        <v>151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IFERROR(__xludf.DUMMYFUNCTION("""COMPUTED_VALUE"""),"Furman")</f>
        <v>Furman</v>
      </c>
      <c r="C360" s="1" t="str">
        <f ca="1">IFERROR(__xludf.DUMMYFUNCTION("""COMPUTED_VALUE"""),"SC")</f>
        <v>SC</v>
      </c>
      <c r="D360" s="2">
        <f ca="1">IFERROR(__xludf.DUMMYFUNCTION("""COMPUTED_VALUE"""),44766)</f>
        <v>44766</v>
      </c>
      <c r="E360" s="1">
        <f ca="1">IFERROR(__xludf.DUMMYFUNCTION("""COMPUTED_VALUE"""),-23.3)</f>
        <v>-23.3</v>
      </c>
      <c r="F360" s="1">
        <f ca="1">IFERROR(__xludf.DUMMYFUNCTION("""COMPUTED_VALUE"""),91.7)</f>
        <v>91.7</v>
      </c>
      <c r="G360" s="1">
        <f ca="1">IFERROR(__xludf.DUMMYFUNCTION("""COMPUTED_VALUE"""),324)</f>
        <v>324</v>
      </c>
      <c r="H360" s="1">
        <f ca="1">IFERROR(__xludf.DUMMYFUNCTION("""COMPUTED_VALUE"""),115)</f>
        <v>115</v>
      </c>
      <c r="I360" s="1">
        <f ca="1">IFERROR(__xludf.DUMMYFUNCTION("""COMPUTED_VALUE"""),340)</f>
        <v>340</v>
      </c>
      <c r="J360" s="1">
        <f ca="1">IFERROR(__xludf.DUMMYFUNCTION("""COMPUTED_VALUE"""),63.7)</f>
        <v>63.7</v>
      </c>
      <c r="K360" s="1">
        <f ca="1">IFERROR(__xludf.DUMMYFUNCTION("""COMPUTED_VALUE"""),216)</f>
        <v>216</v>
      </c>
      <c r="L360" s="1">
        <f ca="1">IFERROR(__xludf.DUMMYFUNCTION("""COMPUTED_VALUE"""),-0.007)</f>
        <v>-7.0000000000000001E-3</v>
      </c>
      <c r="M360" s="1">
        <f ca="1">IFERROR(__xludf.DUMMYFUNCTION("""COMPUTED_VALUE"""),201)</f>
        <v>201</v>
      </c>
      <c r="N360" s="1">
        <f ca="1">IFERROR(__xludf.DUMMYFUNCTION("""COMPUTED_VALUE"""),-6.25)</f>
        <v>-6.25</v>
      </c>
      <c r="O360" s="1">
        <f ca="1">IFERROR(__xludf.DUMMYFUNCTION("""COMPUTED_VALUE"""),302)</f>
        <v>302</v>
      </c>
      <c r="P360" s="1">
        <f ca="1">IFERROR(__xludf.DUMMYFUNCTION("""COMPUTED_VALUE"""),99.5)</f>
        <v>99.5</v>
      </c>
      <c r="Q360" s="1">
        <f ca="1">IFERROR(__xludf.DUMMYFUNCTION("""COMPUTED_VALUE"""),301)</f>
        <v>301</v>
      </c>
      <c r="R360" s="1">
        <f ca="1">IFERROR(__xludf.DUMMYFUNCTION("""COMPUTED_VALUE"""),105.7)</f>
        <v>105.7</v>
      </c>
      <c r="S360" s="1">
        <f ca="1">IFERROR(__xludf.DUMMYFUNCTION("""COMPUTED_VALUE"""),306)</f>
        <v>306</v>
      </c>
      <c r="T360" s="1">
        <f ca="1">IFERROR(__xludf.DUMMYFUNCTION("""COMPUTED_VALUE"""),-1.19)</f>
        <v>-1.19</v>
      </c>
      <c r="U360" s="1">
        <f ca="1">IFERROR(__xludf.DUMMYFUNCTION("""COMPUTED_VALUE"""),198)</f>
        <v>198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IFERROR(__xludf.DUMMYFUNCTION("""COMPUTED_VALUE"""),"Binghamton")</f>
        <v>Binghamton</v>
      </c>
      <c r="C361" s="1" t="str">
        <f ca="1">IFERROR(__xludf.DUMMYFUNCTION("""COMPUTED_VALUE"""),"AE")</f>
        <v>AE</v>
      </c>
      <c r="D361" s="2">
        <f ca="1">IFERROR(__xludf.DUMMYFUNCTION("""COMPUTED_VALUE"""),44647)</f>
        <v>44647</v>
      </c>
      <c r="E361" s="1">
        <f ca="1">IFERROR(__xludf.DUMMYFUNCTION("""COMPUTED_VALUE"""),-24.06)</f>
        <v>-24.06</v>
      </c>
      <c r="F361" s="1">
        <f ca="1">IFERROR(__xludf.DUMMYFUNCTION("""COMPUTED_VALUE"""),86.3)</f>
        <v>86.3</v>
      </c>
      <c r="G361" s="1">
        <f ca="1">IFERROR(__xludf.DUMMYFUNCTION("""COMPUTED_VALUE"""),342)</f>
        <v>342</v>
      </c>
      <c r="H361" s="1">
        <f ca="1">IFERROR(__xludf.DUMMYFUNCTION("""COMPUTED_VALUE"""),110.4)</f>
        <v>110.4</v>
      </c>
      <c r="I361" s="1">
        <f ca="1">IFERROR(__xludf.DUMMYFUNCTION("""COMPUTED_VALUE"""),308)</f>
        <v>308</v>
      </c>
      <c r="J361" s="1">
        <f ca="1">IFERROR(__xludf.DUMMYFUNCTION("""COMPUTED_VALUE"""),65.1)</f>
        <v>65.099999999999994</v>
      </c>
      <c r="K361" s="1">
        <f ca="1">IFERROR(__xludf.DUMMYFUNCTION("""COMPUTED_VALUE"""),148)</f>
        <v>148</v>
      </c>
      <c r="L361" s="1">
        <f ca="1">IFERROR(__xludf.DUMMYFUNCTION("""COMPUTED_VALUE"""),-0.018)</f>
        <v>-1.7999999999999999E-2</v>
      </c>
      <c r="M361" s="1">
        <f ca="1">IFERROR(__xludf.DUMMYFUNCTION("""COMPUTED_VALUE"""),234)</f>
        <v>234</v>
      </c>
      <c r="N361" s="1">
        <f ca="1">IFERROR(__xludf.DUMMYFUNCTION("""COMPUTED_VALUE"""),-3.28)</f>
        <v>-3.28</v>
      </c>
      <c r="O361" s="1">
        <f ca="1">IFERROR(__xludf.DUMMYFUNCTION("""COMPUTED_VALUE"""),229)</f>
        <v>229</v>
      </c>
      <c r="P361" s="1">
        <f ca="1">IFERROR(__xludf.DUMMYFUNCTION("""COMPUTED_VALUE"""),99.9)</f>
        <v>99.9</v>
      </c>
      <c r="Q361" s="1">
        <f ca="1">IFERROR(__xludf.DUMMYFUNCTION("""COMPUTED_VALUE"""),285)</f>
        <v>285</v>
      </c>
      <c r="R361" s="1">
        <f ca="1">IFERROR(__xludf.DUMMYFUNCTION("""COMPUTED_VALUE"""),103.2)</f>
        <v>103.2</v>
      </c>
      <c r="S361" s="1">
        <f ca="1">IFERROR(__xludf.DUMMYFUNCTION("""COMPUTED_VALUE"""),178)</f>
        <v>178</v>
      </c>
      <c r="T361" s="1">
        <f ca="1">IFERROR(__xludf.DUMMYFUNCTION("""COMPUTED_VALUE"""),-4.68)</f>
        <v>-4.68</v>
      </c>
      <c r="U361" s="1">
        <f ca="1">IFERROR(__xludf.DUMMYFUNCTION("""COMPUTED_VALUE"""),284)</f>
        <v>284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IFERROR(__xludf.DUMMYFUNCTION("""COMPUTED_VALUE"""),"Maryland Eastern Shore")</f>
        <v>Maryland Eastern Shore</v>
      </c>
      <c r="C362" s="1" t="str">
        <f ca="1">IFERROR(__xludf.DUMMYFUNCTION("""COMPUTED_VALUE"""),"MEAC")</f>
        <v>MEAC</v>
      </c>
      <c r="D362" s="2">
        <f ca="1">IFERROR(__xludf.DUMMYFUNCTION("""COMPUTED_VALUE"""),44618)</f>
        <v>44618</v>
      </c>
      <c r="E362" s="1">
        <f ca="1">IFERROR(__xludf.DUMMYFUNCTION("""COMPUTED_VALUE"""),-24.68)</f>
        <v>-24.68</v>
      </c>
      <c r="F362" s="1">
        <f ca="1">IFERROR(__xludf.DUMMYFUNCTION("""COMPUTED_VALUE"""),86.6)</f>
        <v>86.6</v>
      </c>
      <c r="G362" s="1">
        <f ca="1">IFERROR(__xludf.DUMMYFUNCTION("""COMPUTED_VALUE"""),341)</f>
        <v>341</v>
      </c>
      <c r="H362" s="1">
        <f ca="1">IFERROR(__xludf.DUMMYFUNCTION("""COMPUTED_VALUE"""),111.3)</f>
        <v>111.3</v>
      </c>
      <c r="I362" s="1">
        <f ca="1">IFERROR(__xludf.DUMMYFUNCTION("""COMPUTED_VALUE"""),319)</f>
        <v>319</v>
      </c>
      <c r="J362" s="1">
        <f ca="1">IFERROR(__xludf.DUMMYFUNCTION("""COMPUTED_VALUE"""),62.6)</f>
        <v>62.6</v>
      </c>
      <c r="K362" s="1">
        <f ca="1">IFERROR(__xludf.DUMMYFUNCTION("""COMPUTED_VALUE"""),259)</f>
        <v>259</v>
      </c>
      <c r="L362" s="1">
        <f ca="1">IFERROR(__xludf.DUMMYFUNCTION("""COMPUTED_VALUE"""),-0.028)</f>
        <v>-2.8000000000000001E-2</v>
      </c>
      <c r="M362" s="1">
        <f ca="1">IFERROR(__xludf.DUMMYFUNCTION("""COMPUTED_VALUE"""),254)</f>
        <v>254</v>
      </c>
      <c r="N362" s="1">
        <f ca="1">IFERROR(__xludf.DUMMYFUNCTION("""COMPUTED_VALUE"""),-4.66)</f>
        <v>-4.66</v>
      </c>
      <c r="O362" s="1">
        <f ca="1">IFERROR(__xludf.DUMMYFUNCTION("""COMPUTED_VALUE"""),261)</f>
        <v>261</v>
      </c>
      <c r="P362" s="1">
        <f ca="1">IFERROR(__xludf.DUMMYFUNCTION("""COMPUTED_VALUE"""),96.8)</f>
        <v>96.8</v>
      </c>
      <c r="Q362" s="1">
        <f ca="1">IFERROR(__xludf.DUMMYFUNCTION("""COMPUTED_VALUE"""),331)</f>
        <v>331</v>
      </c>
      <c r="R362" s="1">
        <f ca="1">IFERROR(__xludf.DUMMYFUNCTION("""COMPUTED_VALUE"""),101.5)</f>
        <v>101.5</v>
      </c>
      <c r="S362" s="1">
        <f ca="1">IFERROR(__xludf.DUMMYFUNCTION("""COMPUTED_VALUE"""),115)</f>
        <v>115</v>
      </c>
      <c r="T362" s="1" t="str">
        <f ca="1">IFERROR(__xludf.DUMMYFUNCTION("""COMPUTED_VALUE"""),"+4.69")</f>
        <v>+4.69</v>
      </c>
      <c r="U362" s="1">
        <f ca="1">IFERROR(__xludf.DUMMYFUNCTION("""COMPUTED_VALUE"""),47)</f>
        <v>47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IFERROR(__xludf.DUMMYFUNCTION("""COMPUTED_VALUE"""),"New Orleans")</f>
        <v>New Orleans</v>
      </c>
      <c r="C363" s="1" t="str">
        <f ca="1">IFERROR(__xludf.DUMMYFUNCTION("""COMPUTED_VALUE"""),"ind")</f>
        <v>ind</v>
      </c>
      <c r="D363" s="2">
        <f ca="1">IFERROR(__xludf.DUMMYFUNCTION("""COMPUTED_VALUE"""),44791)</f>
        <v>44791</v>
      </c>
      <c r="E363" s="1">
        <f ca="1">IFERROR(__xludf.DUMMYFUNCTION("""COMPUTED_VALUE"""),-25.21)</f>
        <v>-25.21</v>
      </c>
      <c r="F363" s="1">
        <f ca="1">IFERROR(__xludf.DUMMYFUNCTION("""COMPUTED_VALUE"""),87.9)</f>
        <v>87.9</v>
      </c>
      <c r="G363" s="1">
        <f ca="1">IFERROR(__xludf.DUMMYFUNCTION("""COMPUTED_VALUE"""),339)</f>
        <v>339</v>
      </c>
      <c r="H363" s="1">
        <f ca="1">IFERROR(__xludf.DUMMYFUNCTION("""COMPUTED_VALUE"""),113.2)</f>
        <v>113.2</v>
      </c>
      <c r="I363" s="1">
        <f ca="1">IFERROR(__xludf.DUMMYFUNCTION("""COMPUTED_VALUE"""),332)</f>
        <v>332</v>
      </c>
      <c r="J363" s="1">
        <f ca="1">IFERROR(__xludf.DUMMYFUNCTION("""COMPUTED_VALUE"""),69.4)</f>
        <v>69.400000000000006</v>
      </c>
      <c r="K363" s="1">
        <f ca="1">IFERROR(__xludf.DUMMYFUNCTION("""COMPUTED_VALUE"""),14)</f>
        <v>14</v>
      </c>
      <c r="L363" s="1" t="str">
        <f ca="1">IFERROR(__xludf.DUMMYFUNCTION("""COMPUTED_VALUE"""),"+.042")</f>
        <v>+.042</v>
      </c>
      <c r="M363" s="1">
        <f ca="1">IFERROR(__xludf.DUMMYFUNCTION("""COMPUTED_VALUE"""),70)</f>
        <v>70</v>
      </c>
      <c r="N363" s="1">
        <f ca="1">IFERROR(__xludf.DUMMYFUNCTION("""COMPUTED_VALUE"""),-7.06)</f>
        <v>-7.06</v>
      </c>
      <c r="O363" s="1">
        <f ca="1">IFERROR(__xludf.DUMMYFUNCTION("""COMPUTED_VALUE"""),320)</f>
        <v>320</v>
      </c>
      <c r="P363" s="1">
        <f ca="1">IFERROR(__xludf.DUMMYFUNCTION("""COMPUTED_VALUE"""),98.4)</f>
        <v>98.4</v>
      </c>
      <c r="Q363" s="1">
        <f ca="1">IFERROR(__xludf.DUMMYFUNCTION("""COMPUTED_VALUE"""),319)</f>
        <v>319</v>
      </c>
      <c r="R363" s="1">
        <f ca="1">IFERROR(__xludf.DUMMYFUNCTION("""COMPUTED_VALUE"""),105.5)</f>
        <v>105.5</v>
      </c>
      <c r="S363" s="1">
        <f ca="1">IFERROR(__xludf.DUMMYFUNCTION("""COMPUTED_VALUE"""),290)</f>
        <v>290</v>
      </c>
      <c r="T363" s="1">
        <f ca="1">IFERROR(__xludf.DUMMYFUNCTION("""COMPUTED_VALUE"""),-7.06)</f>
        <v>-7.06</v>
      </c>
      <c r="U363" s="1">
        <f ca="1">IFERROR(__xludf.DUMMYFUNCTION("""COMPUTED_VALUE"""),323)</f>
        <v>323</v>
      </c>
    </row>
    <row r="364" spans="1:21" ht="13" x14ac:dyDescent="0.15">
      <c r="A364" s="1">
        <f ca="1">IFERROR(__xludf.DUMMYFUNCTION("""COMPUTED_VALUE"""),346)</f>
        <v>346</v>
      </c>
      <c r="B364" s="1" t="str">
        <f ca="1">IFERROR(__xludf.DUMMYFUNCTION("""COMPUTED_VALUE"""),"Lamar")</f>
        <v>Lamar</v>
      </c>
      <c r="C364" s="1" t="str">
        <f ca="1">IFERROR(__xludf.DUMMYFUNCTION("""COMPUTED_VALUE"""),"Slnd")</f>
        <v>Slnd</v>
      </c>
      <c r="D364" s="2">
        <f ca="1">IFERROR(__xludf.DUMMYFUNCTION("""COMPUTED_VALUE"""),44648)</f>
        <v>44648</v>
      </c>
      <c r="E364" s="1">
        <f ca="1">IFERROR(__xludf.DUMMYFUNCTION("""COMPUTED_VALUE"""),-25.4)</f>
        <v>-25.4</v>
      </c>
      <c r="F364" s="1">
        <f ca="1">IFERROR(__xludf.DUMMYFUNCTION("""COMPUTED_VALUE"""),85.9)</f>
        <v>85.9</v>
      </c>
      <c r="G364" s="1">
        <f ca="1">IFERROR(__xludf.DUMMYFUNCTION("""COMPUTED_VALUE"""),343)</f>
        <v>343</v>
      </c>
      <c r="H364" s="1">
        <f ca="1">IFERROR(__xludf.DUMMYFUNCTION("""COMPUTED_VALUE"""),111.3)</f>
        <v>111.3</v>
      </c>
      <c r="I364" s="1">
        <f ca="1">IFERROR(__xludf.DUMMYFUNCTION("""COMPUTED_VALUE"""),318)</f>
        <v>318</v>
      </c>
      <c r="J364" s="1">
        <f ca="1">IFERROR(__xludf.DUMMYFUNCTION("""COMPUTED_VALUE"""),69)</f>
        <v>69</v>
      </c>
      <c r="K364" s="1">
        <f ca="1">IFERROR(__xludf.DUMMYFUNCTION("""COMPUTED_VALUE"""),22)</f>
        <v>22</v>
      </c>
      <c r="L364" s="1" t="str">
        <f ca="1">IFERROR(__xludf.DUMMYFUNCTION("""COMPUTED_VALUE"""),"+.023")</f>
        <v>+.023</v>
      </c>
      <c r="M364" s="1">
        <f ca="1">IFERROR(__xludf.DUMMYFUNCTION("""COMPUTED_VALUE"""),123)</f>
        <v>123</v>
      </c>
      <c r="N364" s="1">
        <f ca="1">IFERROR(__xludf.DUMMYFUNCTION("""COMPUTED_VALUE"""),-2.93)</f>
        <v>-2.93</v>
      </c>
      <c r="O364" s="1">
        <f ca="1">IFERROR(__xludf.DUMMYFUNCTION("""COMPUTED_VALUE"""),217)</f>
        <v>217</v>
      </c>
      <c r="P364" s="1">
        <f ca="1">IFERROR(__xludf.DUMMYFUNCTION("""COMPUTED_VALUE"""),101.1)</f>
        <v>101.1</v>
      </c>
      <c r="Q364" s="1">
        <f ca="1">IFERROR(__xludf.DUMMYFUNCTION("""COMPUTED_VALUE"""),224)</f>
        <v>224</v>
      </c>
      <c r="R364" s="1">
        <f ca="1">IFERROR(__xludf.DUMMYFUNCTION("""COMPUTED_VALUE"""),104)</f>
        <v>104</v>
      </c>
      <c r="S364" s="1">
        <f ca="1">IFERROR(__xludf.DUMMYFUNCTION("""COMPUTED_VALUE"""),218)</f>
        <v>218</v>
      </c>
      <c r="T364" s="1" t="str">
        <f ca="1">IFERROR(__xludf.DUMMYFUNCTION("""COMPUTED_VALUE"""),"+3.76")</f>
        <v>+3.76</v>
      </c>
      <c r="U364" s="1">
        <f ca="1">IFERROR(__xludf.DUMMYFUNCTION("""COMPUTED_VALUE"""),68)</f>
        <v>68</v>
      </c>
    </row>
    <row r="365" spans="1:21" ht="13" x14ac:dyDescent="0.15">
      <c r="A365" s="1">
        <f ca="1">IFERROR(__xludf.DUMMYFUNCTION("""COMPUTED_VALUE"""),347)</f>
        <v>347</v>
      </c>
      <c r="B365" s="1" t="str">
        <f ca="1">IFERROR(__xludf.DUMMYFUNCTION("""COMPUTED_VALUE"""),"Grambling St.")</f>
        <v>Grambling St.</v>
      </c>
      <c r="C365" s="1" t="str">
        <f ca="1">IFERROR(__xludf.DUMMYFUNCTION("""COMPUTED_VALUE"""),"SWAC")</f>
        <v>SWAC</v>
      </c>
      <c r="D365" s="1" t="str">
        <f ca="1">IFERROR(__xludf.DUMMYFUNCTION("""COMPUTED_VALUE"""),"0-28")</f>
        <v>0-28</v>
      </c>
      <c r="E365" s="1">
        <f ca="1">IFERROR(__xludf.DUMMYFUNCTION("""COMPUTED_VALUE"""),-46.1)</f>
        <v>-46.1</v>
      </c>
      <c r="F365" s="1">
        <f ca="1">IFERROR(__xludf.DUMMYFUNCTION("""COMPUTED_VALUE"""),76)</f>
        <v>76</v>
      </c>
      <c r="G365" s="1">
        <f ca="1">IFERROR(__xludf.DUMMYFUNCTION("""COMPUTED_VALUE"""),347)</f>
        <v>347</v>
      </c>
      <c r="H365" s="1">
        <f ca="1">IFERROR(__xludf.DUMMYFUNCTION("""COMPUTED_VALUE"""),122.1)</f>
        <v>122.1</v>
      </c>
      <c r="I365" s="1">
        <f ca="1">IFERROR(__xludf.DUMMYFUNCTION("""COMPUTED_VALUE"""),347)</f>
        <v>347</v>
      </c>
      <c r="J365" s="1">
        <f ca="1">IFERROR(__xludf.DUMMYFUNCTION("""COMPUTED_VALUE"""),62.5)</f>
        <v>62.5</v>
      </c>
      <c r="K365" s="1">
        <f ca="1">IFERROR(__xludf.DUMMYFUNCTION("""COMPUTED_VALUE"""),266)</f>
        <v>266</v>
      </c>
      <c r="L365" s="1">
        <f ca="1">IFERROR(__xludf.DUMMYFUNCTION("""COMPUTED_VALUE"""),-0.014)</f>
        <v>-1.4E-2</v>
      </c>
      <c r="M365" s="1">
        <f ca="1">IFERROR(__xludf.DUMMYFUNCTION("""COMPUTED_VALUE"""),218)</f>
        <v>218</v>
      </c>
      <c r="N365" s="1">
        <f ca="1">IFERROR(__xludf.DUMMYFUNCTION("""COMPUTED_VALUE"""),-8.79)</f>
        <v>-8.7899999999999991</v>
      </c>
      <c r="O365" s="1">
        <f ca="1">IFERROR(__xludf.DUMMYFUNCTION("""COMPUTED_VALUE"""),338)</f>
        <v>338</v>
      </c>
      <c r="P365" s="1">
        <f ca="1">IFERROR(__xludf.DUMMYFUNCTION("""COMPUTED_VALUE"""),96.6)</f>
        <v>96.6</v>
      </c>
      <c r="Q365" s="1">
        <f ca="1">IFERROR(__xludf.DUMMYFUNCTION("""COMPUTED_VALUE"""),336)</f>
        <v>336</v>
      </c>
      <c r="R365" s="1">
        <f ca="1">IFERROR(__xludf.DUMMYFUNCTION("""COMPUTED_VALUE"""),105.4)</f>
        <v>105.4</v>
      </c>
      <c r="S365" s="1">
        <f ca="1">IFERROR(__xludf.DUMMYFUNCTION("""COMPUTED_VALUE"""),284)</f>
        <v>284</v>
      </c>
      <c r="T365" s="1" t="str">
        <f ca="1">IFERROR(__xludf.DUMMYFUNCTION("""COMPUTED_VALUE"""),"+4.55")</f>
        <v>+4.55</v>
      </c>
      <c r="U365" s="1">
        <f ca="1">IFERROR(__xludf.DUMMYFUNCTION("""COMPUTED_VALUE"""),49)</f>
        <v>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U369"/>
  <sheetViews>
    <sheetView topLeftCell="F1" workbookViewId="0">
      <selection activeCell="F2" sqref="A2:XFD2"/>
    </sheetView>
  </sheetViews>
  <sheetFormatPr baseColWidth="10" defaultColWidth="12.6640625" defaultRowHeight="15.75" customHeight="1" x14ac:dyDescent="0.15"/>
  <sheetData>
    <row r="1" spans="1:21" ht="13" x14ac:dyDescent="0.15">
      <c r="A1" s="3" t="str">
        <f ca="1">IFERROR(__xludf.DUMMYFUNCTION("IMPORThtML(""https://kenpom.com/index.php?y=2014"",""table"",1)"),"")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2</v>
      </c>
      <c r="H2" s="1" t="str">
        <f ca="1">IFERROR(__xludf.DUMMYFUNCTION("""COMPUTED_VALUE"""),"AdjD")</f>
        <v>AdjD</v>
      </c>
      <c r="I2" s="1" t="s">
        <v>3</v>
      </c>
      <c r="J2" s="1" t="str">
        <f ca="1">IFERROR(__xludf.DUMMYFUNCTION("""COMPUTED_VALUE"""),"AdjT")</f>
        <v>AdjT</v>
      </c>
      <c r="K2" s="1" t="s">
        <v>4</v>
      </c>
      <c r="L2" s="1" t="str">
        <f ca="1">IFERROR(__xludf.DUMMYFUNCTION("""COMPUTED_VALUE"""),"Luck")</f>
        <v>Luck</v>
      </c>
      <c r="M2" s="1" t="s">
        <v>5</v>
      </c>
      <c r="N2" s="1" t="s">
        <v>0</v>
      </c>
      <c r="O2" s="1" t="s">
        <v>6</v>
      </c>
      <c r="P2" s="1" t="str">
        <f ca="1">IFERROR(__xludf.DUMMYFUNCTION("""COMPUTED_VALUE"""),"OppO")</f>
        <v>OppO</v>
      </c>
      <c r="Q2" s="1" t="s">
        <v>7</v>
      </c>
      <c r="R2" s="1" t="str">
        <f ca="1">IFERROR(__xludf.DUMMYFUNCTION("""COMPUTED_VALUE"""),"OppD")</f>
        <v>OppD</v>
      </c>
      <c r="S2" s="1" t="s">
        <v>8</v>
      </c>
      <c r="T2" s="1" t="s">
        <v>1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IFERROR(__xludf.DUMMYFUNCTION("""COMPUTED_VALUE"""),"Louisville4")</f>
        <v>Louisville4</v>
      </c>
      <c r="C3" s="1" t="str">
        <f ca="1">IFERROR(__xludf.DUMMYFUNCTION("""COMPUTED_VALUE"""),"Amer")</f>
        <v>Amer</v>
      </c>
      <c r="D3" s="1" t="str">
        <f ca="1">IFERROR(__xludf.DUMMYFUNCTION("""COMPUTED_VALUE"""),"31-6")</f>
        <v>31-6</v>
      </c>
      <c r="E3" s="1" t="str">
        <f ca="1">IFERROR(__xludf.DUMMYFUNCTION("""COMPUTED_VALUE"""),"+30.41")</f>
        <v>+30.41</v>
      </c>
      <c r="F3" s="1">
        <f ca="1">IFERROR(__xludf.DUMMYFUNCTION("""COMPUTED_VALUE"""),118.9)</f>
        <v>118.9</v>
      </c>
      <c r="G3" s="1">
        <f ca="1">IFERROR(__xludf.DUMMYFUNCTION("""COMPUTED_VALUE"""),7)</f>
        <v>7</v>
      </c>
      <c r="H3" s="1">
        <f ca="1">IFERROR(__xludf.DUMMYFUNCTION("""COMPUTED_VALUE"""),88.5)</f>
        <v>88.5</v>
      </c>
      <c r="I3" s="1">
        <f ca="1">IFERROR(__xludf.DUMMYFUNCTION("""COMPUTED_VALUE"""),5)</f>
        <v>5</v>
      </c>
      <c r="J3" s="1">
        <f ca="1">IFERROR(__xludf.DUMMYFUNCTION("""COMPUTED_VALUE"""),67.2)</f>
        <v>67.2</v>
      </c>
      <c r="K3" s="1">
        <f ca="1">IFERROR(__xludf.DUMMYFUNCTION("""COMPUTED_VALUE"""),60)</f>
        <v>60</v>
      </c>
      <c r="L3" s="1">
        <f ca="1">IFERROR(__xludf.DUMMYFUNCTION("""COMPUTED_VALUE"""),-0.045)</f>
        <v>-4.4999999999999998E-2</v>
      </c>
      <c r="M3" s="1">
        <f ca="1">IFERROR(__xludf.DUMMYFUNCTION("""COMPUTED_VALUE"""),278)</f>
        <v>278</v>
      </c>
      <c r="N3" s="1" t="str">
        <f ca="1">IFERROR(__xludf.DUMMYFUNCTION("""COMPUTED_VALUE"""),"+4.31")</f>
        <v>+4.31</v>
      </c>
      <c r="O3" s="1">
        <f ca="1">IFERROR(__xludf.DUMMYFUNCTION("""COMPUTED_VALUE"""),95)</f>
        <v>95</v>
      </c>
      <c r="P3" s="1">
        <f ca="1">IFERROR(__xludf.DUMMYFUNCTION("""COMPUTED_VALUE"""),107)</f>
        <v>107</v>
      </c>
      <c r="Q3" s="1">
        <f ca="1">IFERROR(__xludf.DUMMYFUNCTION("""COMPUTED_VALUE"""),100)</f>
        <v>100</v>
      </c>
      <c r="R3" s="1">
        <f ca="1">IFERROR(__xludf.DUMMYFUNCTION("""COMPUTED_VALUE"""),102.7)</f>
        <v>102.7</v>
      </c>
      <c r="S3" s="1">
        <f ca="1">IFERROR(__xludf.DUMMYFUNCTION("""COMPUTED_VALUE"""),93)</f>
        <v>93</v>
      </c>
      <c r="T3" s="1">
        <f ca="1">IFERROR(__xludf.DUMMYFUNCTION("""COMPUTED_VALUE"""),-4.65)</f>
        <v>-4.6500000000000004</v>
      </c>
      <c r="U3" s="1">
        <f ca="1">IFERROR(__xludf.DUMMYFUNCTION("""COMPUTED_VALUE"""),295)</f>
        <v>295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IFERROR(__xludf.DUMMYFUNCTION("""COMPUTED_VALUE"""),"Arizona1")</f>
        <v>Arizona1</v>
      </c>
      <c r="C4" s="1" t="str">
        <f ca="1">IFERROR(__xludf.DUMMYFUNCTION("""COMPUTED_VALUE"""),"P12")</f>
        <v>P12</v>
      </c>
      <c r="D4" s="1" t="str">
        <f ca="1">IFERROR(__xludf.DUMMYFUNCTION("""COMPUTED_VALUE"""),"33-5")</f>
        <v>33-5</v>
      </c>
      <c r="E4" s="1" t="str">
        <f ca="1">IFERROR(__xludf.DUMMYFUNCTION("""COMPUTED_VALUE"""),"+30.11")</f>
        <v>+30.11</v>
      </c>
      <c r="F4" s="1">
        <f ca="1">IFERROR(__xludf.DUMMYFUNCTION("""COMPUTED_VALUE"""),116.5)</f>
        <v>116.5</v>
      </c>
      <c r="G4" s="1">
        <f ca="1">IFERROR(__xludf.DUMMYFUNCTION("""COMPUTED_VALUE"""),20)</f>
        <v>20</v>
      </c>
      <c r="H4" s="1">
        <f ca="1">IFERROR(__xludf.DUMMYFUNCTION("""COMPUTED_VALUE"""),86.4)</f>
        <v>86.4</v>
      </c>
      <c r="I4" s="1">
        <f ca="1">IFERROR(__xludf.DUMMYFUNCTION("""COMPUTED_VALUE"""),1)</f>
        <v>1</v>
      </c>
      <c r="J4" s="1">
        <f ca="1">IFERROR(__xludf.DUMMYFUNCTION("""COMPUTED_VALUE"""),62.8)</f>
        <v>62.8</v>
      </c>
      <c r="K4" s="1">
        <f ca="1">IFERROR(__xludf.DUMMYFUNCTION("""COMPUTED_VALUE"""),272)</f>
        <v>272</v>
      </c>
      <c r="L4" s="1" t="str">
        <f ca="1">IFERROR(__xludf.DUMMYFUNCTION("""COMPUTED_VALUE"""),"+.014")</f>
        <v>+.014</v>
      </c>
      <c r="M4" s="1">
        <f ca="1">IFERROR(__xludf.DUMMYFUNCTION("""COMPUTED_VALUE"""),151)</f>
        <v>151</v>
      </c>
      <c r="N4" s="1" t="str">
        <f ca="1">IFERROR(__xludf.DUMMYFUNCTION("""COMPUTED_VALUE"""),"+9.30")</f>
        <v>+9.30</v>
      </c>
      <c r="O4" s="1">
        <f ca="1">IFERROR(__xludf.DUMMYFUNCTION("""COMPUTED_VALUE"""),17)</f>
        <v>17</v>
      </c>
      <c r="P4" s="1">
        <f ca="1">IFERROR(__xludf.DUMMYFUNCTION("""COMPUTED_VALUE"""),109.9)</f>
        <v>109.9</v>
      </c>
      <c r="Q4" s="1">
        <f ca="1">IFERROR(__xludf.DUMMYFUNCTION("""COMPUTED_VALUE"""),20)</f>
        <v>20</v>
      </c>
      <c r="R4" s="1">
        <f ca="1">IFERROR(__xludf.DUMMYFUNCTION("""COMPUTED_VALUE"""),100.6)</f>
        <v>100.6</v>
      </c>
      <c r="S4" s="1">
        <f ca="1">IFERROR(__xludf.DUMMYFUNCTION("""COMPUTED_VALUE"""),18)</f>
        <v>18</v>
      </c>
      <c r="T4" s="1" t="str">
        <f ca="1">IFERROR(__xludf.DUMMYFUNCTION("""COMPUTED_VALUE"""),"+1.62")</f>
        <v>+1.62</v>
      </c>
      <c r="U4" s="1">
        <f ca="1">IFERROR(__xludf.DUMMYFUNCTION("""COMPUTED_VALUE"""),113)</f>
        <v>113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IFERROR(__xludf.DUMMYFUNCTION("""COMPUTED_VALUE"""),"Florida1")</f>
        <v>Florida1</v>
      </c>
      <c r="C5" s="1" t="str">
        <f ca="1">IFERROR(__xludf.DUMMYFUNCTION("""COMPUTED_VALUE"""),"SEC")</f>
        <v>SEC</v>
      </c>
      <c r="D5" s="1" t="str">
        <f ca="1">IFERROR(__xludf.DUMMYFUNCTION("""COMPUTED_VALUE"""),"36-3")</f>
        <v>36-3</v>
      </c>
      <c r="E5" s="1" t="str">
        <f ca="1">IFERROR(__xludf.DUMMYFUNCTION("""COMPUTED_VALUE"""),"+28.57")</f>
        <v>+28.57</v>
      </c>
      <c r="F5" s="1">
        <f ca="1">IFERROR(__xludf.DUMMYFUNCTION("""COMPUTED_VALUE"""),116.5)</f>
        <v>116.5</v>
      </c>
      <c r="G5" s="1">
        <f ca="1">IFERROR(__xludf.DUMMYFUNCTION("""COMPUTED_VALUE"""),19)</f>
        <v>19</v>
      </c>
      <c r="H5" s="1">
        <f ca="1">IFERROR(__xludf.DUMMYFUNCTION("""COMPUTED_VALUE"""),88)</f>
        <v>88</v>
      </c>
      <c r="I5" s="1">
        <f ca="1">IFERROR(__xludf.DUMMYFUNCTION("""COMPUTED_VALUE"""),3)</f>
        <v>3</v>
      </c>
      <c r="J5" s="1">
        <f ca="1">IFERROR(__xludf.DUMMYFUNCTION("""COMPUTED_VALUE"""),61.3)</f>
        <v>61.3</v>
      </c>
      <c r="K5" s="1">
        <f ca="1">IFERROR(__xludf.DUMMYFUNCTION("""COMPUTED_VALUE"""),318)</f>
        <v>318</v>
      </c>
      <c r="L5" s="1" t="str">
        <f ca="1">IFERROR(__xludf.DUMMYFUNCTION("""COMPUTED_VALUE"""),"+.053")</f>
        <v>+.053</v>
      </c>
      <c r="M5" s="1">
        <f ca="1">IFERROR(__xludf.DUMMYFUNCTION("""COMPUTED_VALUE"""),68)</f>
        <v>68</v>
      </c>
      <c r="N5" s="1" t="str">
        <f ca="1">IFERROR(__xludf.DUMMYFUNCTION("""COMPUTED_VALUE"""),"+9.02")</f>
        <v>+9.02</v>
      </c>
      <c r="O5" s="1">
        <f ca="1">IFERROR(__xludf.DUMMYFUNCTION("""COMPUTED_VALUE"""),22)</f>
        <v>22</v>
      </c>
      <c r="P5" s="1">
        <f ca="1">IFERROR(__xludf.DUMMYFUNCTION("""COMPUTED_VALUE"""),109.4)</f>
        <v>109.4</v>
      </c>
      <c r="Q5" s="1">
        <f ca="1">IFERROR(__xludf.DUMMYFUNCTION("""COMPUTED_VALUE"""),32)</f>
        <v>32</v>
      </c>
      <c r="R5" s="1">
        <f ca="1">IFERROR(__xludf.DUMMYFUNCTION("""COMPUTED_VALUE"""),100.4)</f>
        <v>100.4</v>
      </c>
      <c r="S5" s="1">
        <f ca="1">IFERROR(__xludf.DUMMYFUNCTION("""COMPUTED_VALUE"""),14)</f>
        <v>14</v>
      </c>
      <c r="T5" s="1" t="str">
        <f ca="1">IFERROR(__xludf.DUMMYFUNCTION("""COMPUTED_VALUE"""),"+2.39")</f>
        <v>+2.39</v>
      </c>
      <c r="U5" s="1">
        <f ca="1">IFERROR(__xludf.DUMMYFUNCTION("""COMPUTED_VALUE"""),94)</f>
        <v>94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IFERROR(__xludf.DUMMYFUNCTION("""COMPUTED_VALUE"""),"Virginia1")</f>
        <v>Virginia1</v>
      </c>
      <c r="C6" s="1" t="str">
        <f ca="1">IFERROR(__xludf.DUMMYFUNCTION("""COMPUTED_VALUE"""),"ACC")</f>
        <v>ACC</v>
      </c>
      <c r="D6" s="1" t="str">
        <f ca="1">IFERROR(__xludf.DUMMYFUNCTION("""COMPUTED_VALUE"""),"30-7")</f>
        <v>30-7</v>
      </c>
      <c r="E6" s="1" t="str">
        <f ca="1">IFERROR(__xludf.DUMMYFUNCTION("""COMPUTED_VALUE"""),"+26.46")</f>
        <v>+26.46</v>
      </c>
      <c r="F6" s="1">
        <f ca="1">IFERROR(__xludf.DUMMYFUNCTION("""COMPUTED_VALUE"""),114.8)</f>
        <v>114.8</v>
      </c>
      <c r="G6" s="1">
        <f ca="1">IFERROR(__xludf.DUMMYFUNCTION("""COMPUTED_VALUE"""),27)</f>
        <v>27</v>
      </c>
      <c r="H6" s="1">
        <f ca="1">IFERROR(__xludf.DUMMYFUNCTION("""COMPUTED_VALUE"""),88.3)</f>
        <v>88.3</v>
      </c>
      <c r="I6" s="1">
        <f ca="1">IFERROR(__xludf.DUMMYFUNCTION("""COMPUTED_VALUE"""),4)</f>
        <v>4</v>
      </c>
      <c r="J6" s="1">
        <f ca="1">IFERROR(__xludf.DUMMYFUNCTION("""COMPUTED_VALUE"""),59.5)</f>
        <v>59.5</v>
      </c>
      <c r="K6" s="1">
        <f ca="1">IFERROR(__xludf.DUMMYFUNCTION("""COMPUTED_VALUE"""),345)</f>
        <v>345</v>
      </c>
      <c r="L6" s="1" t="str">
        <f ca="1">IFERROR(__xludf.DUMMYFUNCTION("""COMPUTED_VALUE"""),"+.012")</f>
        <v>+.012</v>
      </c>
      <c r="M6" s="1">
        <f ca="1">IFERROR(__xludf.DUMMYFUNCTION("""COMPUTED_VALUE"""),154)</f>
        <v>154</v>
      </c>
      <c r="N6" s="1" t="str">
        <f ca="1">IFERROR(__xludf.DUMMYFUNCTION("""COMPUTED_VALUE"""),"+8.67")</f>
        <v>+8.67</v>
      </c>
      <c r="O6" s="1">
        <f ca="1">IFERROR(__xludf.DUMMYFUNCTION("""COMPUTED_VALUE"""),28)</f>
        <v>28</v>
      </c>
      <c r="P6" s="1">
        <f ca="1">IFERROR(__xludf.DUMMYFUNCTION("""COMPUTED_VALUE"""),109.4)</f>
        <v>109.4</v>
      </c>
      <c r="Q6" s="1">
        <f ca="1">IFERROR(__xludf.DUMMYFUNCTION("""COMPUTED_VALUE"""),31)</f>
        <v>31</v>
      </c>
      <c r="R6" s="1">
        <f ca="1">IFERROR(__xludf.DUMMYFUNCTION("""COMPUTED_VALUE"""),100.8)</f>
        <v>100.8</v>
      </c>
      <c r="S6" s="1">
        <f ca="1">IFERROR(__xludf.DUMMYFUNCTION("""COMPUTED_VALUE"""),27)</f>
        <v>27</v>
      </c>
      <c r="T6" s="1" t="str">
        <f ca="1">IFERROR(__xludf.DUMMYFUNCTION("""COMPUTED_VALUE"""),"+1.57")</f>
        <v>+1.57</v>
      </c>
      <c r="U6" s="1">
        <f ca="1">IFERROR(__xludf.DUMMYFUNCTION("""COMPUTED_VALUE"""),114)</f>
        <v>114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IFERROR(__xludf.DUMMYFUNCTION("""COMPUTED_VALUE"""),"Wisconsin2")</f>
        <v>Wisconsin2</v>
      </c>
      <c r="C7" s="1" t="str">
        <f ca="1">IFERROR(__xludf.DUMMYFUNCTION("""COMPUTED_VALUE"""),"B10")</f>
        <v>B10</v>
      </c>
      <c r="D7" s="1" t="str">
        <f ca="1">IFERROR(__xludf.DUMMYFUNCTION("""COMPUTED_VALUE"""),"30-8")</f>
        <v>30-8</v>
      </c>
      <c r="E7" s="1" t="str">
        <f ca="1">IFERROR(__xludf.DUMMYFUNCTION("""COMPUTED_VALUE"""),"+25.89")</f>
        <v>+25.89</v>
      </c>
      <c r="F7" s="1">
        <f ca="1">IFERROR(__xludf.DUMMYFUNCTION("""COMPUTED_VALUE"""),122)</f>
        <v>122</v>
      </c>
      <c r="G7" s="1">
        <f ca="1">IFERROR(__xludf.DUMMYFUNCTION("""COMPUTED_VALUE"""),4)</f>
        <v>4</v>
      </c>
      <c r="H7" s="1">
        <f ca="1">IFERROR(__xludf.DUMMYFUNCTION("""COMPUTED_VALUE"""),96.1)</f>
        <v>96.1</v>
      </c>
      <c r="I7" s="1">
        <f ca="1">IFERROR(__xludf.DUMMYFUNCTION("""COMPUTED_VALUE"""),35)</f>
        <v>35</v>
      </c>
      <c r="J7" s="1">
        <f ca="1">IFERROR(__xludf.DUMMYFUNCTION("""COMPUTED_VALUE"""),62.4)</f>
        <v>62.4</v>
      </c>
      <c r="K7" s="1">
        <f ca="1">IFERROR(__xludf.DUMMYFUNCTION("""COMPUTED_VALUE"""),286)</f>
        <v>286</v>
      </c>
      <c r="L7" s="1" t="str">
        <f ca="1">IFERROR(__xludf.DUMMYFUNCTION("""COMPUTED_VALUE"""),"+.019")</f>
        <v>+.019</v>
      </c>
      <c r="M7" s="1">
        <f ca="1">IFERROR(__xludf.DUMMYFUNCTION("""COMPUTED_VALUE"""),133)</f>
        <v>133</v>
      </c>
      <c r="N7" s="1" t="str">
        <f ca="1">IFERROR(__xludf.DUMMYFUNCTION("""COMPUTED_VALUE"""),"+11.44")</f>
        <v>+11.44</v>
      </c>
      <c r="O7" s="1">
        <f ca="1">IFERROR(__xludf.DUMMYFUNCTION("""COMPUTED_VALUE"""),3)</f>
        <v>3</v>
      </c>
      <c r="P7" s="1">
        <f ca="1">IFERROR(__xludf.DUMMYFUNCTION("""COMPUTED_VALUE"""),110.2)</f>
        <v>110.2</v>
      </c>
      <c r="Q7" s="1">
        <f ca="1">IFERROR(__xludf.DUMMYFUNCTION("""COMPUTED_VALUE"""),13)</f>
        <v>13</v>
      </c>
      <c r="R7" s="1">
        <f ca="1">IFERROR(__xludf.DUMMYFUNCTION("""COMPUTED_VALUE"""),98.8)</f>
        <v>98.8</v>
      </c>
      <c r="S7" s="1">
        <f ca="1">IFERROR(__xludf.DUMMYFUNCTION("""COMPUTED_VALUE"""),2)</f>
        <v>2</v>
      </c>
      <c r="T7" s="1" t="str">
        <f ca="1">IFERROR(__xludf.DUMMYFUNCTION("""COMPUTED_VALUE"""),"+3.33")</f>
        <v>+3.33</v>
      </c>
      <c r="U7" s="1">
        <f ca="1">IFERROR(__xludf.DUMMYFUNCTION("""COMPUTED_VALUE"""),68)</f>
        <v>68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IFERROR(__xludf.DUMMYFUNCTION("""COMPUTED_VALUE"""),"Wichita St.1")</f>
        <v>Wichita St.1</v>
      </c>
      <c r="C8" s="1" t="str">
        <f ca="1">IFERROR(__xludf.DUMMYFUNCTION("""COMPUTED_VALUE"""),"MVC")</f>
        <v>MVC</v>
      </c>
      <c r="D8" s="1" t="str">
        <f ca="1">IFERROR(__xludf.DUMMYFUNCTION("""COMPUTED_VALUE"""),"35-1")</f>
        <v>35-1</v>
      </c>
      <c r="E8" s="1" t="str">
        <f ca="1">IFERROR(__xludf.DUMMYFUNCTION("""COMPUTED_VALUE"""),"+25.36")</f>
        <v>+25.36</v>
      </c>
      <c r="F8" s="1">
        <f ca="1">IFERROR(__xludf.DUMMYFUNCTION("""COMPUTED_VALUE"""),117.8)</f>
        <v>117.8</v>
      </c>
      <c r="G8" s="1">
        <f ca="1">IFERROR(__xludf.DUMMYFUNCTION("""COMPUTED_VALUE"""),17)</f>
        <v>17</v>
      </c>
      <c r="H8" s="1">
        <f ca="1">IFERROR(__xludf.DUMMYFUNCTION("""COMPUTED_VALUE"""),92.4)</f>
        <v>92.4</v>
      </c>
      <c r="I8" s="1">
        <f ca="1">IFERROR(__xludf.DUMMYFUNCTION("""COMPUTED_VALUE"""),11)</f>
        <v>11</v>
      </c>
      <c r="J8" s="1">
        <f ca="1">IFERROR(__xludf.DUMMYFUNCTION("""COMPUTED_VALUE"""),63.5)</f>
        <v>63.5</v>
      </c>
      <c r="K8" s="1">
        <f ca="1">IFERROR(__xludf.DUMMYFUNCTION("""COMPUTED_VALUE"""),243)</f>
        <v>243</v>
      </c>
      <c r="L8" s="1">
        <f ca="1">IFERROR(__xludf.DUMMYFUNCTION("""COMPUTED_VALUE"""),-0.009)</f>
        <v>-8.9999999999999993E-3</v>
      </c>
      <c r="M8" s="1">
        <f ca="1">IFERROR(__xludf.DUMMYFUNCTION("""COMPUTED_VALUE"""),205)</f>
        <v>205</v>
      </c>
      <c r="N8" s="1" t="str">
        <f ca="1">IFERROR(__xludf.DUMMYFUNCTION("""COMPUTED_VALUE"""),"+1.04")</f>
        <v>+1.04</v>
      </c>
      <c r="O8" s="1">
        <f ca="1">IFERROR(__xludf.DUMMYFUNCTION("""COMPUTED_VALUE"""),125)</f>
        <v>125</v>
      </c>
      <c r="P8" s="1">
        <f ca="1">IFERROR(__xludf.DUMMYFUNCTION("""COMPUTED_VALUE"""),105.8)</f>
        <v>105.8</v>
      </c>
      <c r="Q8" s="1">
        <f ca="1">IFERROR(__xludf.DUMMYFUNCTION("""COMPUTED_VALUE"""),119)</f>
        <v>119</v>
      </c>
      <c r="R8" s="1">
        <f ca="1">IFERROR(__xludf.DUMMYFUNCTION("""COMPUTED_VALUE"""),104.8)</f>
        <v>104.8</v>
      </c>
      <c r="S8" s="1">
        <f ca="1">IFERROR(__xludf.DUMMYFUNCTION("""COMPUTED_VALUE"""),144)</f>
        <v>144</v>
      </c>
      <c r="T8" s="1" t="str">
        <f ca="1">IFERROR(__xludf.DUMMYFUNCTION("""COMPUTED_VALUE"""),"+2.89")</f>
        <v>+2.89</v>
      </c>
      <c r="U8" s="1">
        <f ca="1">IFERROR(__xludf.DUMMYFUNCTION("""COMPUTED_VALUE"""),79)</f>
        <v>79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IFERROR(__xludf.DUMMYFUNCTION("""COMPUTED_VALUE"""),"Kansas2")</f>
        <v>Kansas2</v>
      </c>
      <c r="C9" s="1" t="str">
        <f ca="1">IFERROR(__xludf.DUMMYFUNCTION("""COMPUTED_VALUE"""),"B12")</f>
        <v>B12</v>
      </c>
      <c r="D9" s="1" t="str">
        <f ca="1">IFERROR(__xludf.DUMMYFUNCTION("""COMPUTED_VALUE"""),"25-10")</f>
        <v>25-10</v>
      </c>
      <c r="E9" s="1" t="str">
        <f ca="1">IFERROR(__xludf.DUMMYFUNCTION("""COMPUTED_VALUE"""),"+24.60")</f>
        <v>+24.60</v>
      </c>
      <c r="F9" s="1">
        <f ca="1">IFERROR(__xludf.DUMMYFUNCTION("""COMPUTED_VALUE"""),119.3)</f>
        <v>119.3</v>
      </c>
      <c r="G9" s="1">
        <f ca="1">IFERROR(__xludf.DUMMYFUNCTION("""COMPUTED_VALUE"""),6)</f>
        <v>6</v>
      </c>
      <c r="H9" s="1">
        <f ca="1">IFERROR(__xludf.DUMMYFUNCTION("""COMPUTED_VALUE"""),94.7)</f>
        <v>94.7</v>
      </c>
      <c r="I9" s="1">
        <f ca="1">IFERROR(__xludf.DUMMYFUNCTION("""COMPUTED_VALUE"""),22)</f>
        <v>22</v>
      </c>
      <c r="J9" s="1">
        <f ca="1">IFERROR(__xludf.DUMMYFUNCTION("""COMPUTED_VALUE"""),66.6)</f>
        <v>66.599999999999994</v>
      </c>
      <c r="K9" s="1">
        <f ca="1">IFERROR(__xludf.DUMMYFUNCTION("""COMPUTED_VALUE"""),83)</f>
        <v>83</v>
      </c>
      <c r="L9" s="1">
        <f ca="1">IFERROR(__xludf.DUMMYFUNCTION("""COMPUTED_VALUE"""),-0.051)</f>
        <v>-5.0999999999999997E-2</v>
      </c>
      <c r="M9" s="1">
        <f ca="1">IFERROR(__xludf.DUMMYFUNCTION("""COMPUTED_VALUE"""),295)</f>
        <v>295</v>
      </c>
      <c r="N9" s="1" t="str">
        <f ca="1">IFERROR(__xludf.DUMMYFUNCTION("""COMPUTED_VALUE"""),"+12.13")</f>
        <v>+12.13</v>
      </c>
      <c r="O9" s="1">
        <f ca="1">IFERROR(__xludf.DUMMYFUNCTION("""COMPUTED_VALUE"""),1)</f>
        <v>1</v>
      </c>
      <c r="P9" s="1">
        <f ca="1">IFERROR(__xludf.DUMMYFUNCTION("""COMPUTED_VALUE"""),112.2)</f>
        <v>112.2</v>
      </c>
      <c r="Q9" s="1">
        <f ca="1">IFERROR(__xludf.DUMMYFUNCTION("""COMPUTED_VALUE"""),1)</f>
        <v>1</v>
      </c>
      <c r="R9" s="1">
        <f ca="1">IFERROR(__xludf.DUMMYFUNCTION("""COMPUTED_VALUE"""),100)</f>
        <v>100</v>
      </c>
      <c r="S9" s="1">
        <f ca="1">IFERROR(__xludf.DUMMYFUNCTION("""COMPUTED_VALUE"""),7)</f>
        <v>7</v>
      </c>
      <c r="T9" s="1" t="str">
        <f ca="1">IFERROR(__xludf.DUMMYFUNCTION("""COMPUTED_VALUE"""),"+9.47")</f>
        <v>+9.47</v>
      </c>
      <c r="U9" s="1">
        <f ca="1">IFERROR(__xludf.DUMMYFUNCTION("""COMPUTED_VALUE"""),11)</f>
        <v>11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IFERROR(__xludf.DUMMYFUNCTION("""COMPUTED_VALUE"""),"Duke3")</f>
        <v>Duke3</v>
      </c>
      <c r="C10" s="1" t="str">
        <f ca="1">IFERROR(__xludf.DUMMYFUNCTION("""COMPUTED_VALUE"""),"ACC")</f>
        <v>ACC</v>
      </c>
      <c r="D10" s="1" t="str">
        <f ca="1">IFERROR(__xludf.DUMMYFUNCTION("""COMPUTED_VALUE"""),"26-9")</f>
        <v>26-9</v>
      </c>
      <c r="E10" s="1" t="str">
        <f ca="1">IFERROR(__xludf.DUMMYFUNCTION("""COMPUTED_VALUE"""),"+24.25")</f>
        <v>+24.25</v>
      </c>
      <c r="F10" s="1">
        <f ca="1">IFERROR(__xludf.DUMMYFUNCTION("""COMPUTED_VALUE"""),124.7)</f>
        <v>124.7</v>
      </c>
      <c r="G10" s="1">
        <f ca="1">IFERROR(__xludf.DUMMYFUNCTION("""COMPUTED_VALUE"""),1)</f>
        <v>1</v>
      </c>
      <c r="H10" s="1">
        <f ca="1">IFERROR(__xludf.DUMMYFUNCTION("""COMPUTED_VALUE"""),100.4)</f>
        <v>100.4</v>
      </c>
      <c r="I10" s="1">
        <f ca="1">IFERROR(__xludf.DUMMYFUNCTION("""COMPUTED_VALUE"""),86)</f>
        <v>86</v>
      </c>
      <c r="J10" s="1">
        <f ca="1">IFERROR(__xludf.DUMMYFUNCTION("""COMPUTED_VALUE"""),64.6)</f>
        <v>64.599999999999994</v>
      </c>
      <c r="K10" s="1">
        <f ca="1">IFERROR(__xludf.DUMMYFUNCTION("""COMPUTED_VALUE"""),179)</f>
        <v>179</v>
      </c>
      <c r="L10" s="1">
        <f ca="1">IFERROR(__xludf.DUMMYFUNCTION("""COMPUTED_VALUE"""),-0.035)</f>
        <v>-3.5000000000000003E-2</v>
      </c>
      <c r="M10" s="1">
        <f ca="1">IFERROR(__xludf.DUMMYFUNCTION("""COMPUTED_VALUE"""),255)</f>
        <v>255</v>
      </c>
      <c r="N10" s="1" t="str">
        <f ca="1">IFERROR(__xludf.DUMMYFUNCTION("""COMPUTED_VALUE"""),"+8.76")</f>
        <v>+8.76</v>
      </c>
      <c r="O10" s="1">
        <f ca="1">IFERROR(__xludf.DUMMYFUNCTION("""COMPUTED_VALUE"""),25)</f>
        <v>25</v>
      </c>
      <c r="P10" s="1">
        <f ca="1">IFERROR(__xludf.DUMMYFUNCTION("""COMPUTED_VALUE"""),109.2)</f>
        <v>109.2</v>
      </c>
      <c r="Q10" s="1">
        <f ca="1">IFERROR(__xludf.DUMMYFUNCTION("""COMPUTED_VALUE"""),34)</f>
        <v>34</v>
      </c>
      <c r="R10" s="1">
        <f ca="1">IFERROR(__xludf.DUMMYFUNCTION("""COMPUTED_VALUE"""),100.5)</f>
        <v>100.5</v>
      </c>
      <c r="S10" s="1">
        <f ca="1">IFERROR(__xludf.DUMMYFUNCTION("""COMPUTED_VALUE"""),17)</f>
        <v>17</v>
      </c>
      <c r="T10" s="1" t="str">
        <f ca="1">IFERROR(__xludf.DUMMYFUNCTION("""COMPUTED_VALUE"""),"+2.40")</f>
        <v>+2.40</v>
      </c>
      <c r="U10" s="1">
        <f ca="1">IFERROR(__xludf.DUMMYFUNCTION("""COMPUTED_VALUE"""),93)</f>
        <v>93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IFERROR(__xludf.DUMMYFUNCTION("""COMPUTED_VALUE"""),"Michigan St.4")</f>
        <v>Michigan St.4</v>
      </c>
      <c r="C11" s="1" t="str">
        <f ca="1">IFERROR(__xludf.DUMMYFUNCTION("""COMPUTED_VALUE"""),"B10")</f>
        <v>B10</v>
      </c>
      <c r="D11" s="1" t="str">
        <f ca="1">IFERROR(__xludf.DUMMYFUNCTION("""COMPUTED_VALUE"""),"29-9")</f>
        <v>29-9</v>
      </c>
      <c r="E11" s="1" t="str">
        <f ca="1">IFERROR(__xludf.DUMMYFUNCTION("""COMPUTED_VALUE"""),"+23.92")</f>
        <v>+23.92</v>
      </c>
      <c r="F11" s="1">
        <f ca="1">IFERROR(__xludf.DUMMYFUNCTION("""COMPUTED_VALUE"""),118.6)</f>
        <v>118.6</v>
      </c>
      <c r="G11" s="1">
        <f ca="1">IFERROR(__xludf.DUMMYFUNCTION("""COMPUTED_VALUE"""),13)</f>
        <v>13</v>
      </c>
      <c r="H11" s="1">
        <f ca="1">IFERROR(__xludf.DUMMYFUNCTION("""COMPUTED_VALUE"""),94.7)</f>
        <v>94.7</v>
      </c>
      <c r="I11" s="1">
        <f ca="1">IFERROR(__xludf.DUMMYFUNCTION("""COMPUTED_VALUE"""),21)</f>
        <v>21</v>
      </c>
      <c r="J11" s="1">
        <f ca="1">IFERROR(__xludf.DUMMYFUNCTION("""COMPUTED_VALUE"""),64.4)</f>
        <v>64.400000000000006</v>
      </c>
      <c r="K11" s="1">
        <f ca="1">IFERROR(__xludf.DUMMYFUNCTION("""COMPUTED_VALUE"""),188)</f>
        <v>188</v>
      </c>
      <c r="L11" s="1">
        <f ca="1">IFERROR(__xludf.DUMMYFUNCTION("""COMPUTED_VALUE"""),-0.003)</f>
        <v>-3.0000000000000001E-3</v>
      </c>
      <c r="M11" s="1">
        <f ca="1">IFERROR(__xludf.DUMMYFUNCTION("""COMPUTED_VALUE"""),192)</f>
        <v>192</v>
      </c>
      <c r="N11" s="1" t="str">
        <f ca="1">IFERROR(__xludf.DUMMYFUNCTION("""COMPUTED_VALUE"""),"+10.44")</f>
        <v>+10.44</v>
      </c>
      <c r="O11" s="1">
        <f ca="1">IFERROR(__xludf.DUMMYFUNCTION("""COMPUTED_VALUE"""),6)</f>
        <v>6</v>
      </c>
      <c r="P11" s="1">
        <f ca="1">IFERROR(__xludf.DUMMYFUNCTION("""COMPUTED_VALUE"""),110.2)</f>
        <v>110.2</v>
      </c>
      <c r="Q11" s="1">
        <f ca="1">IFERROR(__xludf.DUMMYFUNCTION("""COMPUTED_VALUE"""),15)</f>
        <v>15</v>
      </c>
      <c r="R11" s="1">
        <f ca="1">IFERROR(__xludf.DUMMYFUNCTION("""COMPUTED_VALUE"""),99.7)</f>
        <v>99.7</v>
      </c>
      <c r="S11" s="1">
        <f ca="1">IFERROR(__xludf.DUMMYFUNCTION("""COMPUTED_VALUE"""),5)</f>
        <v>5</v>
      </c>
      <c r="T11" s="1" t="str">
        <f ca="1">IFERROR(__xludf.DUMMYFUNCTION("""COMPUTED_VALUE"""),"+0.57")</f>
        <v>+0.57</v>
      </c>
      <c r="U11" s="1">
        <f ca="1">IFERROR(__xludf.DUMMYFUNCTION("""COMPUTED_VALUE"""),144)</f>
        <v>144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IFERROR(__xludf.DUMMYFUNCTION("""COMPUTED_VALUE"""),"Tennessee11")</f>
        <v>Tennessee11</v>
      </c>
      <c r="C12" s="1" t="str">
        <f ca="1">IFERROR(__xludf.DUMMYFUNCTION("""COMPUTED_VALUE"""),"SEC")</f>
        <v>SEC</v>
      </c>
      <c r="D12" s="1" t="str">
        <f ca="1">IFERROR(__xludf.DUMMYFUNCTION("""COMPUTED_VALUE"""),"24-13")</f>
        <v>24-13</v>
      </c>
      <c r="E12" s="1" t="str">
        <f ca="1">IFERROR(__xludf.DUMMYFUNCTION("""COMPUTED_VALUE"""),"+23.69")</f>
        <v>+23.69</v>
      </c>
      <c r="F12" s="1">
        <f ca="1">IFERROR(__xludf.DUMMYFUNCTION("""COMPUTED_VALUE"""),117.9)</f>
        <v>117.9</v>
      </c>
      <c r="G12" s="1">
        <f ca="1">IFERROR(__xludf.DUMMYFUNCTION("""COMPUTED_VALUE"""),15)</f>
        <v>15</v>
      </c>
      <c r="H12" s="1">
        <f ca="1">IFERROR(__xludf.DUMMYFUNCTION("""COMPUTED_VALUE"""),94.2)</f>
        <v>94.2</v>
      </c>
      <c r="I12" s="1">
        <f ca="1">IFERROR(__xludf.DUMMYFUNCTION("""COMPUTED_VALUE"""),19)</f>
        <v>19</v>
      </c>
      <c r="J12" s="1">
        <f ca="1">IFERROR(__xludf.DUMMYFUNCTION("""COMPUTED_VALUE"""),61.6)</f>
        <v>61.6</v>
      </c>
      <c r="K12" s="1">
        <f ca="1">IFERROR(__xludf.DUMMYFUNCTION("""COMPUTED_VALUE"""),313)</f>
        <v>313</v>
      </c>
      <c r="L12" s="1">
        <f ca="1">IFERROR(__xludf.DUMMYFUNCTION("""COMPUTED_VALUE"""),-0.099)</f>
        <v>-9.9000000000000005E-2</v>
      </c>
      <c r="M12" s="1">
        <f ca="1">IFERROR(__xludf.DUMMYFUNCTION("""COMPUTED_VALUE"""),341)</f>
        <v>341</v>
      </c>
      <c r="N12" s="1" t="str">
        <f ca="1">IFERROR(__xludf.DUMMYFUNCTION("""COMPUTED_VALUE"""),"+8.12")</f>
        <v>+8.12</v>
      </c>
      <c r="O12" s="1">
        <f ca="1">IFERROR(__xludf.DUMMYFUNCTION("""COMPUTED_VALUE"""),36)</f>
        <v>36</v>
      </c>
      <c r="P12" s="1">
        <f ca="1">IFERROR(__xludf.DUMMYFUNCTION("""COMPUTED_VALUE"""),108.9)</f>
        <v>108.9</v>
      </c>
      <c r="Q12" s="1">
        <f ca="1">IFERROR(__xludf.DUMMYFUNCTION("""COMPUTED_VALUE"""),46)</f>
        <v>46</v>
      </c>
      <c r="R12" s="1">
        <f ca="1">IFERROR(__xludf.DUMMYFUNCTION("""COMPUTED_VALUE"""),100.8)</f>
        <v>100.8</v>
      </c>
      <c r="S12" s="1">
        <f ca="1">IFERROR(__xludf.DUMMYFUNCTION("""COMPUTED_VALUE"""),29)</f>
        <v>29</v>
      </c>
      <c r="T12" s="1" t="str">
        <f ca="1">IFERROR(__xludf.DUMMYFUNCTION("""COMPUTED_VALUE"""),"+1.46")</f>
        <v>+1.46</v>
      </c>
      <c r="U12" s="1">
        <f ca="1">IFERROR(__xludf.DUMMYFUNCTION("""COMPUTED_VALUE"""),115)</f>
        <v>115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IFERROR(__xludf.DUMMYFUNCTION("""COMPUTED_VALUE"""),"Villanova2")</f>
        <v>Villanova2</v>
      </c>
      <c r="C13" s="1" t="str">
        <f ca="1">IFERROR(__xludf.DUMMYFUNCTION("""COMPUTED_VALUE"""),"BE")</f>
        <v>BE</v>
      </c>
      <c r="D13" s="1" t="str">
        <f ca="1">IFERROR(__xludf.DUMMYFUNCTION("""COMPUTED_VALUE"""),"29-5")</f>
        <v>29-5</v>
      </c>
      <c r="E13" s="1" t="str">
        <f ca="1">IFERROR(__xludf.DUMMYFUNCTION("""COMPUTED_VALUE"""),"+23.68")</f>
        <v>+23.68</v>
      </c>
      <c r="F13" s="1">
        <f ca="1">IFERROR(__xludf.DUMMYFUNCTION("""COMPUTED_VALUE"""),116.3)</f>
        <v>116.3</v>
      </c>
      <c r="G13" s="1">
        <f ca="1">IFERROR(__xludf.DUMMYFUNCTION("""COMPUTED_VALUE"""),21)</f>
        <v>21</v>
      </c>
      <c r="H13" s="1">
        <f ca="1">IFERROR(__xludf.DUMMYFUNCTION("""COMPUTED_VALUE"""),92.6)</f>
        <v>92.6</v>
      </c>
      <c r="I13" s="1">
        <f ca="1">IFERROR(__xludf.DUMMYFUNCTION("""COMPUTED_VALUE"""),12)</f>
        <v>12</v>
      </c>
      <c r="J13" s="1">
        <f ca="1">IFERROR(__xludf.DUMMYFUNCTION("""COMPUTED_VALUE"""),66)</f>
        <v>66</v>
      </c>
      <c r="K13" s="1">
        <f ca="1">IFERROR(__xludf.DUMMYFUNCTION("""COMPUTED_VALUE"""),103)</f>
        <v>103</v>
      </c>
      <c r="L13" s="1" t="str">
        <f ca="1">IFERROR(__xludf.DUMMYFUNCTION("""COMPUTED_VALUE"""),"+.075")</f>
        <v>+.075</v>
      </c>
      <c r="M13" s="1">
        <f ca="1">IFERROR(__xludf.DUMMYFUNCTION("""COMPUTED_VALUE"""),30)</f>
        <v>30</v>
      </c>
      <c r="N13" s="1" t="str">
        <f ca="1">IFERROR(__xludf.DUMMYFUNCTION("""COMPUTED_VALUE"""),"+7.47")</f>
        <v>+7.47</v>
      </c>
      <c r="O13" s="1">
        <f ca="1">IFERROR(__xludf.DUMMYFUNCTION("""COMPUTED_VALUE"""),49)</f>
        <v>49</v>
      </c>
      <c r="P13" s="1">
        <f ca="1">IFERROR(__xludf.DUMMYFUNCTION("""COMPUTED_VALUE"""),110.1)</f>
        <v>110.1</v>
      </c>
      <c r="Q13" s="1">
        <f ca="1">IFERROR(__xludf.DUMMYFUNCTION("""COMPUTED_VALUE"""),18)</f>
        <v>18</v>
      </c>
      <c r="R13" s="1">
        <f ca="1">IFERROR(__xludf.DUMMYFUNCTION("""COMPUTED_VALUE"""),102.6)</f>
        <v>102.6</v>
      </c>
      <c r="S13" s="1">
        <f ca="1">IFERROR(__xludf.DUMMYFUNCTION("""COMPUTED_VALUE"""),90)</f>
        <v>90</v>
      </c>
      <c r="T13" s="1" t="str">
        <f ca="1">IFERROR(__xludf.DUMMYFUNCTION("""COMPUTED_VALUE"""),"+2.61")</f>
        <v>+2.61</v>
      </c>
      <c r="U13" s="1">
        <f ca="1">IFERROR(__xludf.DUMMYFUNCTION("""COMPUTED_VALUE"""),87)</f>
        <v>87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IFERROR(__xludf.DUMMYFUNCTION("""COMPUTED_VALUE"""),"Michigan2")</f>
        <v>Michigan2</v>
      </c>
      <c r="C14" s="1" t="str">
        <f ca="1">IFERROR(__xludf.DUMMYFUNCTION("""COMPUTED_VALUE"""),"B10")</f>
        <v>B10</v>
      </c>
      <c r="D14" s="1" t="str">
        <f ca="1">IFERROR(__xludf.DUMMYFUNCTION("""COMPUTED_VALUE"""),"28-9")</f>
        <v>28-9</v>
      </c>
      <c r="E14" s="1" t="str">
        <f ca="1">IFERROR(__xludf.DUMMYFUNCTION("""COMPUTED_VALUE"""),"+23.44")</f>
        <v>+23.44</v>
      </c>
      <c r="F14" s="1">
        <f ca="1">IFERROR(__xludf.DUMMYFUNCTION("""COMPUTED_VALUE"""),123.9)</f>
        <v>123.9</v>
      </c>
      <c r="G14" s="1">
        <f ca="1">IFERROR(__xludf.DUMMYFUNCTION("""COMPUTED_VALUE"""),3)</f>
        <v>3</v>
      </c>
      <c r="H14" s="1">
        <f ca="1">IFERROR(__xludf.DUMMYFUNCTION("""COMPUTED_VALUE"""),100.5)</f>
        <v>100.5</v>
      </c>
      <c r="I14" s="1">
        <f ca="1">IFERROR(__xludf.DUMMYFUNCTION("""COMPUTED_VALUE"""),89)</f>
        <v>89</v>
      </c>
      <c r="J14" s="1">
        <f ca="1">IFERROR(__xludf.DUMMYFUNCTION("""COMPUTED_VALUE"""),61)</f>
        <v>61</v>
      </c>
      <c r="K14" s="1">
        <f ca="1">IFERROR(__xludf.DUMMYFUNCTION("""COMPUTED_VALUE"""),330)</f>
        <v>330</v>
      </c>
      <c r="L14" s="1" t="str">
        <f ca="1">IFERROR(__xludf.DUMMYFUNCTION("""COMPUTED_VALUE"""),"+.047")</f>
        <v>+.047</v>
      </c>
      <c r="M14" s="1">
        <f ca="1">IFERROR(__xludf.DUMMYFUNCTION("""COMPUTED_VALUE"""),76)</f>
        <v>76</v>
      </c>
      <c r="N14" s="1" t="str">
        <f ca="1">IFERROR(__xludf.DUMMYFUNCTION("""COMPUTED_VALUE"""),"+11.65")</f>
        <v>+11.65</v>
      </c>
      <c r="O14" s="1">
        <f ca="1">IFERROR(__xludf.DUMMYFUNCTION("""COMPUTED_VALUE"""),2)</f>
        <v>2</v>
      </c>
      <c r="P14" s="1">
        <f ca="1">IFERROR(__xludf.DUMMYFUNCTION("""COMPUTED_VALUE"""),110.3)</f>
        <v>110.3</v>
      </c>
      <c r="Q14" s="1">
        <f ca="1">IFERROR(__xludf.DUMMYFUNCTION("""COMPUTED_VALUE"""),12)</f>
        <v>12</v>
      </c>
      <c r="R14" s="1">
        <f ca="1">IFERROR(__xludf.DUMMYFUNCTION("""COMPUTED_VALUE"""),98.6)</f>
        <v>98.6</v>
      </c>
      <c r="S14" s="1">
        <f ca="1">IFERROR(__xludf.DUMMYFUNCTION("""COMPUTED_VALUE"""),1)</f>
        <v>1</v>
      </c>
      <c r="T14" s="1" t="str">
        <f ca="1">IFERROR(__xludf.DUMMYFUNCTION("""COMPUTED_VALUE"""),"+0.62")</f>
        <v>+0.62</v>
      </c>
      <c r="U14" s="1">
        <f ca="1">IFERROR(__xludf.DUMMYFUNCTION("""COMPUTED_VALUE"""),142)</f>
        <v>142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IFERROR(__xludf.DUMMYFUNCTION("""COMPUTED_VALUE"""),"Kentucky8")</f>
        <v>Kentucky8</v>
      </c>
      <c r="C15" s="1" t="str">
        <f ca="1">IFERROR(__xludf.DUMMYFUNCTION("""COMPUTED_VALUE"""),"SEC")</f>
        <v>SEC</v>
      </c>
      <c r="D15" s="1" t="str">
        <f ca="1">IFERROR(__xludf.DUMMYFUNCTION("""COMPUTED_VALUE"""),"29-11")</f>
        <v>29-11</v>
      </c>
      <c r="E15" s="1" t="str">
        <f ca="1">IFERROR(__xludf.DUMMYFUNCTION("""COMPUTED_VALUE"""),"+22.55")</f>
        <v>+22.55</v>
      </c>
      <c r="F15" s="1">
        <f ca="1">IFERROR(__xludf.DUMMYFUNCTION("""COMPUTED_VALUE"""),118.3)</f>
        <v>118.3</v>
      </c>
      <c r="G15" s="1">
        <f ca="1">IFERROR(__xludf.DUMMYFUNCTION("""COMPUTED_VALUE"""),14)</f>
        <v>14</v>
      </c>
      <c r="H15" s="1">
        <f ca="1">IFERROR(__xludf.DUMMYFUNCTION("""COMPUTED_VALUE"""),95.8)</f>
        <v>95.8</v>
      </c>
      <c r="I15" s="1">
        <f ca="1">IFERROR(__xludf.DUMMYFUNCTION("""COMPUTED_VALUE"""),32)</f>
        <v>32</v>
      </c>
      <c r="J15" s="1">
        <f ca="1">IFERROR(__xludf.DUMMYFUNCTION("""COMPUTED_VALUE"""),64)</f>
        <v>64</v>
      </c>
      <c r="K15" s="1">
        <f ca="1">IFERROR(__xludf.DUMMYFUNCTION("""COMPUTED_VALUE"""),217)</f>
        <v>217</v>
      </c>
      <c r="L15" s="1">
        <f ca="1">IFERROR(__xludf.DUMMYFUNCTION("""COMPUTED_VALUE"""),-0.025)</f>
        <v>-2.5000000000000001E-2</v>
      </c>
      <c r="M15" s="1">
        <f ca="1">IFERROR(__xludf.DUMMYFUNCTION("""COMPUTED_VALUE"""),240)</f>
        <v>240</v>
      </c>
      <c r="N15" s="1" t="str">
        <f ca="1">IFERROR(__xludf.DUMMYFUNCTION("""COMPUTED_VALUE"""),"+10.73")</f>
        <v>+10.73</v>
      </c>
      <c r="O15" s="1">
        <f ca="1">IFERROR(__xludf.DUMMYFUNCTION("""COMPUTED_VALUE"""),5)</f>
        <v>5</v>
      </c>
      <c r="P15" s="1">
        <f ca="1">IFERROR(__xludf.DUMMYFUNCTION("""COMPUTED_VALUE"""),110.5)</f>
        <v>110.5</v>
      </c>
      <c r="Q15" s="1">
        <f ca="1">IFERROR(__xludf.DUMMYFUNCTION("""COMPUTED_VALUE"""),7)</f>
        <v>7</v>
      </c>
      <c r="R15" s="1">
        <f ca="1">IFERROR(__xludf.DUMMYFUNCTION("""COMPUTED_VALUE"""),99.8)</f>
        <v>99.8</v>
      </c>
      <c r="S15" s="1">
        <f ca="1">IFERROR(__xludf.DUMMYFUNCTION("""COMPUTED_VALUE"""),6)</f>
        <v>6</v>
      </c>
      <c r="T15" s="1" t="str">
        <f ca="1">IFERROR(__xludf.DUMMYFUNCTION("""COMPUTED_VALUE"""),"+4.19")</f>
        <v>+4.19</v>
      </c>
      <c r="U15" s="1">
        <f ca="1">IFERROR(__xludf.DUMMYFUNCTION("""COMPUTED_VALUE"""),60)</f>
        <v>60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IFERROR(__xludf.DUMMYFUNCTION("""COMPUTED_VALUE"""),"UCLA4")</f>
        <v>UCLA4</v>
      </c>
      <c r="C16" s="1" t="str">
        <f ca="1">IFERROR(__xludf.DUMMYFUNCTION("""COMPUTED_VALUE"""),"P12")</f>
        <v>P12</v>
      </c>
      <c r="D16" s="1" t="str">
        <f ca="1">IFERROR(__xludf.DUMMYFUNCTION("""COMPUTED_VALUE"""),"28-9")</f>
        <v>28-9</v>
      </c>
      <c r="E16" s="1" t="str">
        <f ca="1">IFERROR(__xludf.DUMMYFUNCTION("""COMPUTED_VALUE"""),"+22.53")</f>
        <v>+22.53</v>
      </c>
      <c r="F16" s="1">
        <f ca="1">IFERROR(__xludf.DUMMYFUNCTION("""COMPUTED_VALUE"""),118.7)</f>
        <v>118.7</v>
      </c>
      <c r="G16" s="1">
        <f ca="1">IFERROR(__xludf.DUMMYFUNCTION("""COMPUTED_VALUE"""),11)</f>
        <v>11</v>
      </c>
      <c r="H16" s="1">
        <f ca="1">IFERROR(__xludf.DUMMYFUNCTION("""COMPUTED_VALUE"""),96.1)</f>
        <v>96.1</v>
      </c>
      <c r="I16" s="1">
        <f ca="1">IFERROR(__xludf.DUMMYFUNCTION("""COMPUTED_VALUE"""),37)</f>
        <v>37</v>
      </c>
      <c r="J16" s="1">
        <f ca="1">IFERROR(__xludf.DUMMYFUNCTION("""COMPUTED_VALUE"""),68.4)</f>
        <v>68.400000000000006</v>
      </c>
      <c r="K16" s="1">
        <f ca="1">IFERROR(__xludf.DUMMYFUNCTION("""COMPUTED_VALUE"""),33)</f>
        <v>33</v>
      </c>
      <c r="L16" s="1">
        <f ca="1">IFERROR(__xludf.DUMMYFUNCTION("""COMPUTED_VALUE"""),-0.019)</f>
        <v>-1.9E-2</v>
      </c>
      <c r="M16" s="1">
        <f ca="1">IFERROR(__xludf.DUMMYFUNCTION("""COMPUTED_VALUE"""),224)</f>
        <v>224</v>
      </c>
      <c r="N16" s="1" t="str">
        <f ca="1">IFERROR(__xludf.DUMMYFUNCTION("""COMPUTED_VALUE"""),"+7.63")</f>
        <v>+7.63</v>
      </c>
      <c r="O16" s="1">
        <f ca="1">IFERROR(__xludf.DUMMYFUNCTION("""COMPUTED_VALUE"""),43)</f>
        <v>43</v>
      </c>
      <c r="P16" s="1">
        <f ca="1">IFERROR(__xludf.DUMMYFUNCTION("""COMPUTED_VALUE"""),109.1)</f>
        <v>109.1</v>
      </c>
      <c r="Q16" s="1">
        <f ca="1">IFERROR(__xludf.DUMMYFUNCTION("""COMPUTED_VALUE"""),39)</f>
        <v>39</v>
      </c>
      <c r="R16" s="1">
        <f ca="1">IFERROR(__xludf.DUMMYFUNCTION("""COMPUTED_VALUE"""),101.5)</f>
        <v>101.5</v>
      </c>
      <c r="S16" s="1">
        <f ca="1">IFERROR(__xludf.DUMMYFUNCTION("""COMPUTED_VALUE"""),58)</f>
        <v>58</v>
      </c>
      <c r="T16" s="1">
        <f ca="1">IFERROR(__xludf.DUMMYFUNCTION("""COMPUTED_VALUE"""),-3.26)</f>
        <v>-3.26</v>
      </c>
      <c r="U16" s="1">
        <f ca="1">IFERROR(__xludf.DUMMYFUNCTION("""COMPUTED_VALUE"""),262)</f>
        <v>262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IFERROR(__xludf.DUMMYFUNCTION("""COMPUTED_VALUE"""),"Connecticut7")</f>
        <v>Connecticut7</v>
      </c>
      <c r="C17" s="1" t="str">
        <f ca="1">IFERROR(__xludf.DUMMYFUNCTION("""COMPUTED_VALUE"""),"Amer")</f>
        <v>Amer</v>
      </c>
      <c r="D17" s="1" t="str">
        <f ca="1">IFERROR(__xludf.DUMMYFUNCTION("""COMPUTED_VALUE"""),"32-8")</f>
        <v>32-8</v>
      </c>
      <c r="E17" s="1" t="str">
        <f ca="1">IFERROR(__xludf.DUMMYFUNCTION("""COMPUTED_VALUE"""),"+22.13")</f>
        <v>+22.13</v>
      </c>
      <c r="F17" s="1">
        <f ca="1">IFERROR(__xludf.DUMMYFUNCTION("""COMPUTED_VALUE"""),113.6)</f>
        <v>113.6</v>
      </c>
      <c r="G17" s="1">
        <f ca="1">IFERROR(__xludf.DUMMYFUNCTION("""COMPUTED_VALUE"""),39)</f>
        <v>39</v>
      </c>
      <c r="H17" s="1">
        <f ca="1">IFERROR(__xludf.DUMMYFUNCTION("""COMPUTED_VALUE"""),91.5)</f>
        <v>91.5</v>
      </c>
      <c r="I17" s="1">
        <f ca="1">IFERROR(__xludf.DUMMYFUNCTION("""COMPUTED_VALUE"""),10)</f>
        <v>10</v>
      </c>
      <c r="J17" s="1">
        <f ca="1">IFERROR(__xludf.DUMMYFUNCTION("""COMPUTED_VALUE"""),63.2)</f>
        <v>63.2</v>
      </c>
      <c r="K17" s="1">
        <f ca="1">IFERROR(__xludf.DUMMYFUNCTION("""COMPUTED_VALUE"""),254)</f>
        <v>254</v>
      </c>
      <c r="L17" s="1" t="str">
        <f ca="1">IFERROR(__xludf.DUMMYFUNCTION("""COMPUTED_VALUE"""),"+.080")</f>
        <v>+.080</v>
      </c>
      <c r="M17" s="1">
        <f ca="1">IFERROR(__xludf.DUMMYFUNCTION("""COMPUTED_VALUE"""),23)</f>
        <v>23</v>
      </c>
      <c r="N17" s="1" t="str">
        <f ca="1">IFERROR(__xludf.DUMMYFUNCTION("""COMPUTED_VALUE"""),"+9.43")</f>
        <v>+9.43</v>
      </c>
      <c r="O17" s="1">
        <f ca="1">IFERROR(__xludf.DUMMYFUNCTION("""COMPUTED_VALUE"""),13)</f>
        <v>13</v>
      </c>
      <c r="P17" s="1">
        <f ca="1">IFERROR(__xludf.DUMMYFUNCTION("""COMPUTED_VALUE"""),109.7)</f>
        <v>109.7</v>
      </c>
      <c r="Q17" s="1">
        <f ca="1">IFERROR(__xludf.DUMMYFUNCTION("""COMPUTED_VALUE"""),24)</f>
        <v>24</v>
      </c>
      <c r="R17" s="1">
        <f ca="1">IFERROR(__xludf.DUMMYFUNCTION("""COMPUTED_VALUE"""),100.3)</f>
        <v>100.3</v>
      </c>
      <c r="S17" s="1">
        <f ca="1">IFERROR(__xludf.DUMMYFUNCTION("""COMPUTED_VALUE"""),11)</f>
        <v>11</v>
      </c>
      <c r="T17" s="1" t="str">
        <f ca="1">IFERROR(__xludf.DUMMYFUNCTION("""COMPUTED_VALUE"""),"+0.91")</f>
        <v>+0.91</v>
      </c>
      <c r="U17" s="1">
        <f ca="1">IFERROR(__xludf.DUMMYFUNCTION("""COMPUTED_VALUE"""),134)</f>
        <v>134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IFERROR(__xludf.DUMMYFUNCTION("""COMPUTED_VALUE"""),"Pittsburgh9")</f>
        <v>Pittsburgh9</v>
      </c>
      <c r="C18" s="1" t="str">
        <f ca="1">IFERROR(__xludf.DUMMYFUNCTION("""COMPUTED_VALUE"""),"ACC")</f>
        <v>ACC</v>
      </c>
      <c r="D18" s="1" t="str">
        <f ca="1">IFERROR(__xludf.DUMMYFUNCTION("""COMPUTED_VALUE"""),"26-10")</f>
        <v>26-10</v>
      </c>
      <c r="E18" s="1" t="str">
        <f ca="1">IFERROR(__xludf.DUMMYFUNCTION("""COMPUTED_VALUE"""),"+21.89")</f>
        <v>+21.89</v>
      </c>
      <c r="F18" s="1">
        <f ca="1">IFERROR(__xludf.DUMMYFUNCTION("""COMPUTED_VALUE"""),116.9)</f>
        <v>116.9</v>
      </c>
      <c r="G18" s="1">
        <f ca="1">IFERROR(__xludf.DUMMYFUNCTION("""COMPUTED_VALUE"""),18)</f>
        <v>18</v>
      </c>
      <c r="H18" s="1">
        <f ca="1">IFERROR(__xludf.DUMMYFUNCTION("""COMPUTED_VALUE"""),95)</f>
        <v>95</v>
      </c>
      <c r="I18" s="1">
        <f ca="1">IFERROR(__xludf.DUMMYFUNCTION("""COMPUTED_VALUE"""),25)</f>
        <v>25</v>
      </c>
      <c r="J18" s="1">
        <f ca="1">IFERROR(__xludf.DUMMYFUNCTION("""COMPUTED_VALUE"""),62.2)</f>
        <v>62.2</v>
      </c>
      <c r="K18" s="1">
        <f ca="1">IFERROR(__xludf.DUMMYFUNCTION("""COMPUTED_VALUE"""),295)</f>
        <v>295</v>
      </c>
      <c r="L18" s="1">
        <f ca="1">IFERROR(__xludf.DUMMYFUNCTION("""COMPUTED_VALUE"""),-0.038)</f>
        <v>-3.7999999999999999E-2</v>
      </c>
      <c r="M18" s="1">
        <f ca="1">IFERROR(__xludf.DUMMYFUNCTION("""COMPUTED_VALUE"""),264)</f>
        <v>264</v>
      </c>
      <c r="N18" s="1" t="str">
        <f ca="1">IFERROR(__xludf.DUMMYFUNCTION("""COMPUTED_VALUE"""),"+7.62")</f>
        <v>+7.62</v>
      </c>
      <c r="O18" s="1">
        <f ca="1">IFERROR(__xludf.DUMMYFUNCTION("""COMPUTED_VALUE"""),44)</f>
        <v>44</v>
      </c>
      <c r="P18" s="1">
        <f ca="1">IFERROR(__xludf.DUMMYFUNCTION("""COMPUTED_VALUE"""),108)</f>
        <v>108</v>
      </c>
      <c r="Q18" s="1">
        <f ca="1">IFERROR(__xludf.DUMMYFUNCTION("""COMPUTED_VALUE"""),69)</f>
        <v>69</v>
      </c>
      <c r="R18" s="1">
        <f ca="1">IFERROR(__xludf.DUMMYFUNCTION("""COMPUTED_VALUE"""),100.4)</f>
        <v>100.4</v>
      </c>
      <c r="S18" s="1">
        <f ca="1">IFERROR(__xludf.DUMMYFUNCTION("""COMPUTED_VALUE"""),13)</f>
        <v>13</v>
      </c>
      <c r="T18" s="1">
        <f ca="1">IFERROR(__xludf.DUMMYFUNCTION("""COMPUTED_VALUE"""),-3.66)</f>
        <v>-3.66</v>
      </c>
      <c r="U18" s="1">
        <f ca="1">IFERROR(__xludf.DUMMYFUNCTION("""COMPUTED_VALUE"""),275)</f>
        <v>275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IFERROR(__xludf.DUMMYFUNCTION("""COMPUTED_VALUE"""),"Creighton3")</f>
        <v>Creighton3</v>
      </c>
      <c r="C19" s="1" t="str">
        <f ca="1">IFERROR(__xludf.DUMMYFUNCTION("""COMPUTED_VALUE"""),"BE")</f>
        <v>BE</v>
      </c>
      <c r="D19" s="1" t="str">
        <f ca="1">IFERROR(__xludf.DUMMYFUNCTION("""COMPUTED_VALUE"""),"27-8")</f>
        <v>27-8</v>
      </c>
      <c r="E19" s="1" t="str">
        <f ca="1">IFERROR(__xludf.DUMMYFUNCTION("""COMPUTED_VALUE"""),"+21.72")</f>
        <v>+21.72</v>
      </c>
      <c r="F19" s="1">
        <f ca="1">IFERROR(__xludf.DUMMYFUNCTION("""COMPUTED_VALUE"""),124.2)</f>
        <v>124.2</v>
      </c>
      <c r="G19" s="1">
        <f ca="1">IFERROR(__xludf.DUMMYFUNCTION("""COMPUTED_VALUE"""),2)</f>
        <v>2</v>
      </c>
      <c r="H19" s="1">
        <f ca="1">IFERROR(__xludf.DUMMYFUNCTION("""COMPUTED_VALUE"""),102.5)</f>
        <v>102.5</v>
      </c>
      <c r="I19" s="1">
        <f ca="1">IFERROR(__xludf.DUMMYFUNCTION("""COMPUTED_VALUE"""),124)</f>
        <v>124</v>
      </c>
      <c r="J19" s="1">
        <f ca="1">IFERROR(__xludf.DUMMYFUNCTION("""COMPUTED_VALUE"""),63.6)</f>
        <v>63.6</v>
      </c>
      <c r="K19" s="1">
        <f ca="1">IFERROR(__xludf.DUMMYFUNCTION("""COMPUTED_VALUE"""),237)</f>
        <v>237</v>
      </c>
      <c r="L19" s="1" t="str">
        <f ca="1">IFERROR(__xludf.DUMMYFUNCTION("""COMPUTED_VALUE"""),"+.024")</f>
        <v>+.024</v>
      </c>
      <c r="M19" s="1">
        <f ca="1">IFERROR(__xludf.DUMMYFUNCTION("""COMPUTED_VALUE"""),128)</f>
        <v>128</v>
      </c>
      <c r="N19" s="1" t="str">
        <f ca="1">IFERROR(__xludf.DUMMYFUNCTION("""COMPUTED_VALUE"""),"+7.50")</f>
        <v>+7.50</v>
      </c>
      <c r="O19" s="1">
        <f ca="1">IFERROR(__xludf.DUMMYFUNCTION("""COMPUTED_VALUE"""),48)</f>
        <v>48</v>
      </c>
      <c r="P19" s="1">
        <f ca="1">IFERROR(__xludf.DUMMYFUNCTION("""COMPUTED_VALUE"""),108.5)</f>
        <v>108.5</v>
      </c>
      <c r="Q19" s="1">
        <f ca="1">IFERROR(__xludf.DUMMYFUNCTION("""COMPUTED_VALUE"""),58)</f>
        <v>58</v>
      </c>
      <c r="R19" s="1">
        <f ca="1">IFERROR(__xludf.DUMMYFUNCTION("""COMPUTED_VALUE"""),101)</f>
        <v>101</v>
      </c>
      <c r="S19" s="1">
        <f ca="1">IFERROR(__xludf.DUMMYFUNCTION("""COMPUTED_VALUE"""),35)</f>
        <v>35</v>
      </c>
      <c r="T19" s="1" t="str">
        <f ca="1">IFERROR(__xludf.DUMMYFUNCTION("""COMPUTED_VALUE"""),"+1.31")</f>
        <v>+1.31</v>
      </c>
      <c r="U19" s="1">
        <f ca="1">IFERROR(__xludf.DUMMYFUNCTION("""COMPUTED_VALUE"""),122)</f>
        <v>122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IFERROR(__xludf.DUMMYFUNCTION("""COMPUTED_VALUE"""),"Syracuse3")</f>
        <v>Syracuse3</v>
      </c>
      <c r="C20" s="1" t="str">
        <f ca="1">IFERROR(__xludf.DUMMYFUNCTION("""COMPUTED_VALUE"""),"ACC")</f>
        <v>ACC</v>
      </c>
      <c r="D20" s="1" t="str">
        <f ca="1">IFERROR(__xludf.DUMMYFUNCTION("""COMPUTED_VALUE"""),"28-6")</f>
        <v>28-6</v>
      </c>
      <c r="E20" s="1" t="str">
        <f ca="1">IFERROR(__xludf.DUMMYFUNCTION("""COMPUTED_VALUE"""),"+21.62")</f>
        <v>+21.62</v>
      </c>
      <c r="F20" s="1">
        <f ca="1">IFERROR(__xludf.DUMMYFUNCTION("""COMPUTED_VALUE"""),114.6)</f>
        <v>114.6</v>
      </c>
      <c r="G20" s="1">
        <f ca="1">IFERROR(__xludf.DUMMYFUNCTION("""COMPUTED_VALUE"""),28)</f>
        <v>28</v>
      </c>
      <c r="H20" s="1">
        <f ca="1">IFERROR(__xludf.DUMMYFUNCTION("""COMPUTED_VALUE"""),93)</f>
        <v>93</v>
      </c>
      <c r="I20" s="1">
        <f ca="1">IFERROR(__xludf.DUMMYFUNCTION("""COMPUTED_VALUE"""),13)</f>
        <v>13</v>
      </c>
      <c r="J20" s="1">
        <f ca="1">IFERROR(__xludf.DUMMYFUNCTION("""COMPUTED_VALUE"""),59.6)</f>
        <v>59.6</v>
      </c>
      <c r="K20" s="1">
        <f ca="1">IFERROR(__xludf.DUMMYFUNCTION("""COMPUTED_VALUE"""),344)</f>
        <v>344</v>
      </c>
      <c r="L20" s="1" t="str">
        <f ca="1">IFERROR(__xludf.DUMMYFUNCTION("""COMPUTED_VALUE"""),"+.016")</f>
        <v>+.016</v>
      </c>
      <c r="M20" s="1">
        <f ca="1">IFERROR(__xludf.DUMMYFUNCTION("""COMPUTED_VALUE"""),141)</f>
        <v>141</v>
      </c>
      <c r="N20" s="1" t="str">
        <f ca="1">IFERROR(__xludf.DUMMYFUNCTION("""COMPUTED_VALUE"""),"+7.23")</f>
        <v>+7.23</v>
      </c>
      <c r="O20" s="1">
        <f ca="1">IFERROR(__xludf.DUMMYFUNCTION("""COMPUTED_VALUE"""),55)</f>
        <v>55</v>
      </c>
      <c r="P20" s="1">
        <f ca="1">IFERROR(__xludf.DUMMYFUNCTION("""COMPUTED_VALUE"""),109.4)</f>
        <v>109.4</v>
      </c>
      <c r="Q20" s="1">
        <f ca="1">IFERROR(__xludf.DUMMYFUNCTION("""COMPUTED_VALUE"""),33)</f>
        <v>33</v>
      </c>
      <c r="R20" s="1">
        <f ca="1">IFERROR(__xludf.DUMMYFUNCTION("""COMPUTED_VALUE"""),102.2)</f>
        <v>102.2</v>
      </c>
      <c r="S20" s="1">
        <f ca="1">IFERROR(__xludf.DUMMYFUNCTION("""COMPUTED_VALUE"""),74)</f>
        <v>74</v>
      </c>
      <c r="T20" s="1">
        <f ca="1">IFERROR(__xludf.DUMMYFUNCTION("""COMPUTED_VALUE"""),-1.01)</f>
        <v>-1.01</v>
      </c>
      <c r="U20" s="1">
        <f ca="1">IFERROR(__xludf.DUMMYFUNCTION("""COMPUTED_VALUE"""),189)</f>
        <v>189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IFERROR(__xludf.DUMMYFUNCTION("""COMPUTED_VALUE"""),"Ohio St.6")</f>
        <v>Ohio St.6</v>
      </c>
      <c r="C21" s="1" t="str">
        <f ca="1">IFERROR(__xludf.DUMMYFUNCTION("""COMPUTED_VALUE"""),"B10")</f>
        <v>B10</v>
      </c>
      <c r="D21" s="1" t="str">
        <f ca="1">IFERROR(__xludf.DUMMYFUNCTION("""COMPUTED_VALUE"""),"25-10")</f>
        <v>25-10</v>
      </c>
      <c r="E21" s="1" t="str">
        <f ca="1">IFERROR(__xludf.DUMMYFUNCTION("""COMPUTED_VALUE"""),"+21.30")</f>
        <v>+21.30</v>
      </c>
      <c r="F21" s="1">
        <f ca="1">IFERROR(__xludf.DUMMYFUNCTION("""COMPUTED_VALUE"""),109.3)</f>
        <v>109.3</v>
      </c>
      <c r="G21" s="1">
        <f ca="1">IFERROR(__xludf.DUMMYFUNCTION("""COMPUTED_VALUE"""),103)</f>
        <v>103</v>
      </c>
      <c r="H21" s="1">
        <f ca="1">IFERROR(__xludf.DUMMYFUNCTION("""COMPUTED_VALUE"""),88)</f>
        <v>88</v>
      </c>
      <c r="I21" s="1">
        <f ca="1">IFERROR(__xludf.DUMMYFUNCTION("""COMPUTED_VALUE"""),2)</f>
        <v>2</v>
      </c>
      <c r="J21" s="1">
        <f ca="1">IFERROR(__xludf.DUMMYFUNCTION("""COMPUTED_VALUE"""),64)</f>
        <v>64</v>
      </c>
      <c r="K21" s="1">
        <f ca="1">IFERROR(__xludf.DUMMYFUNCTION("""COMPUTED_VALUE"""),218)</f>
        <v>218</v>
      </c>
      <c r="L21" s="1">
        <f ca="1">IFERROR(__xludf.DUMMYFUNCTION("""COMPUTED_VALUE"""),-0.043)</f>
        <v>-4.2999999999999997E-2</v>
      </c>
      <c r="M21" s="1">
        <f ca="1">IFERROR(__xludf.DUMMYFUNCTION("""COMPUTED_VALUE"""),275)</f>
        <v>275</v>
      </c>
      <c r="N21" s="1" t="str">
        <f ca="1">IFERROR(__xludf.DUMMYFUNCTION("""COMPUTED_VALUE"""),"+7.80")</f>
        <v>+7.80</v>
      </c>
      <c r="O21" s="1">
        <f ca="1">IFERROR(__xludf.DUMMYFUNCTION("""COMPUTED_VALUE"""),39)</f>
        <v>39</v>
      </c>
      <c r="P21" s="1">
        <f ca="1">IFERROR(__xludf.DUMMYFUNCTION("""COMPUTED_VALUE"""),109.2)</f>
        <v>109.2</v>
      </c>
      <c r="Q21" s="1">
        <f ca="1">IFERROR(__xludf.DUMMYFUNCTION("""COMPUTED_VALUE"""),36)</f>
        <v>36</v>
      </c>
      <c r="R21" s="1">
        <f ca="1">IFERROR(__xludf.DUMMYFUNCTION("""COMPUTED_VALUE"""),101.4)</f>
        <v>101.4</v>
      </c>
      <c r="S21" s="1">
        <f ca="1">IFERROR(__xludf.DUMMYFUNCTION("""COMPUTED_VALUE"""),50)</f>
        <v>50</v>
      </c>
      <c r="T21" s="1">
        <f ca="1">IFERROR(__xludf.DUMMYFUNCTION("""COMPUTED_VALUE"""),-3.36)</f>
        <v>-3.36</v>
      </c>
      <c r="U21" s="1">
        <f ca="1">IFERROR(__xludf.DUMMYFUNCTION("""COMPUTED_VALUE"""),267)</f>
        <v>267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IFERROR(__xludf.DUMMYFUNCTION("""COMPUTED_VALUE"""),"Iowa St.3")</f>
        <v>Iowa St.3</v>
      </c>
      <c r="C22" s="1" t="str">
        <f ca="1">IFERROR(__xludf.DUMMYFUNCTION("""COMPUTED_VALUE"""),"B12")</f>
        <v>B12</v>
      </c>
      <c r="D22" s="1" t="str">
        <f ca="1">IFERROR(__xludf.DUMMYFUNCTION("""COMPUTED_VALUE"""),"28-8")</f>
        <v>28-8</v>
      </c>
      <c r="E22" s="1" t="str">
        <f ca="1">IFERROR(__xludf.DUMMYFUNCTION("""COMPUTED_VALUE"""),"+21.07")</f>
        <v>+21.07</v>
      </c>
      <c r="F22" s="1">
        <f ca="1">IFERROR(__xludf.DUMMYFUNCTION("""COMPUTED_VALUE"""),118.9)</f>
        <v>118.9</v>
      </c>
      <c r="G22" s="1">
        <f ca="1">IFERROR(__xludf.DUMMYFUNCTION("""COMPUTED_VALUE"""),9)</f>
        <v>9</v>
      </c>
      <c r="H22" s="1">
        <f ca="1">IFERROR(__xludf.DUMMYFUNCTION("""COMPUTED_VALUE"""),97.8)</f>
        <v>97.8</v>
      </c>
      <c r="I22" s="1">
        <f ca="1">IFERROR(__xludf.DUMMYFUNCTION("""COMPUTED_VALUE"""),55)</f>
        <v>55</v>
      </c>
      <c r="J22" s="1">
        <f ca="1">IFERROR(__xludf.DUMMYFUNCTION("""COMPUTED_VALUE"""),70.2)</f>
        <v>70.2</v>
      </c>
      <c r="K22" s="1">
        <f ca="1">IFERROR(__xludf.DUMMYFUNCTION("""COMPUTED_VALUE"""),12)</f>
        <v>12</v>
      </c>
      <c r="L22" s="1" t="str">
        <f ca="1">IFERROR(__xludf.DUMMYFUNCTION("""COMPUTED_VALUE"""),"+.064")</f>
        <v>+.064</v>
      </c>
      <c r="M22" s="1">
        <f ca="1">IFERROR(__xludf.DUMMYFUNCTION("""COMPUTED_VALUE"""),42)</f>
        <v>42</v>
      </c>
      <c r="N22" s="1" t="str">
        <f ca="1">IFERROR(__xludf.DUMMYFUNCTION("""COMPUTED_VALUE"""),"+10.77")</f>
        <v>+10.77</v>
      </c>
      <c r="O22" s="1">
        <f ca="1">IFERROR(__xludf.DUMMYFUNCTION("""COMPUTED_VALUE"""),4)</f>
        <v>4</v>
      </c>
      <c r="P22" s="1">
        <f ca="1">IFERROR(__xludf.DUMMYFUNCTION("""COMPUTED_VALUE"""),111.1)</f>
        <v>111.1</v>
      </c>
      <c r="Q22" s="1">
        <f ca="1">IFERROR(__xludf.DUMMYFUNCTION("""COMPUTED_VALUE"""),2)</f>
        <v>2</v>
      </c>
      <c r="R22" s="1">
        <f ca="1">IFERROR(__xludf.DUMMYFUNCTION("""COMPUTED_VALUE"""),100.4)</f>
        <v>100.4</v>
      </c>
      <c r="S22" s="1">
        <f ca="1">IFERROR(__xludf.DUMMYFUNCTION("""COMPUTED_VALUE"""),12)</f>
        <v>12</v>
      </c>
      <c r="T22" s="1" t="str">
        <f ca="1">IFERROR(__xludf.DUMMYFUNCTION("""COMPUTED_VALUE"""),"+1.44")</f>
        <v>+1.44</v>
      </c>
      <c r="U22" s="1">
        <f ca="1">IFERROR(__xludf.DUMMYFUNCTION("""COMPUTED_VALUE"""),117)</f>
        <v>117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IFERROR(__xludf.DUMMYFUNCTION("""COMPUTED_VALUE"""),"Oklahoma St.9")</f>
        <v>Oklahoma St.9</v>
      </c>
      <c r="C23" s="1" t="str">
        <f ca="1">IFERROR(__xludf.DUMMYFUNCTION("""COMPUTED_VALUE"""),"B12")</f>
        <v>B12</v>
      </c>
      <c r="D23" s="1" t="str">
        <f ca="1">IFERROR(__xludf.DUMMYFUNCTION("""COMPUTED_VALUE"""),"21-13")</f>
        <v>21-13</v>
      </c>
      <c r="E23" s="1" t="str">
        <f ca="1">IFERROR(__xludf.DUMMYFUNCTION("""COMPUTED_VALUE"""),"+20.98")</f>
        <v>+20.98</v>
      </c>
      <c r="F23" s="1">
        <f ca="1">IFERROR(__xludf.DUMMYFUNCTION("""COMPUTED_VALUE"""),115.9)</f>
        <v>115.9</v>
      </c>
      <c r="G23" s="1">
        <f ca="1">IFERROR(__xludf.DUMMYFUNCTION("""COMPUTED_VALUE"""),22)</f>
        <v>22</v>
      </c>
      <c r="H23" s="1">
        <f ca="1">IFERROR(__xludf.DUMMYFUNCTION("""COMPUTED_VALUE"""),95)</f>
        <v>95</v>
      </c>
      <c r="I23" s="1">
        <f ca="1">IFERROR(__xludf.DUMMYFUNCTION("""COMPUTED_VALUE"""),24)</f>
        <v>24</v>
      </c>
      <c r="J23" s="1">
        <f ca="1">IFERROR(__xludf.DUMMYFUNCTION("""COMPUTED_VALUE"""),67.2)</f>
        <v>67.2</v>
      </c>
      <c r="K23" s="1">
        <f ca="1">IFERROR(__xludf.DUMMYFUNCTION("""COMPUTED_VALUE"""),59)</f>
        <v>59</v>
      </c>
      <c r="L23" s="1">
        <f ca="1">IFERROR(__xludf.DUMMYFUNCTION("""COMPUTED_VALUE"""),-0.11)</f>
        <v>-0.11</v>
      </c>
      <c r="M23" s="1">
        <f ca="1">IFERROR(__xludf.DUMMYFUNCTION("""COMPUTED_VALUE"""),343)</f>
        <v>343</v>
      </c>
      <c r="N23" s="1" t="str">
        <f ca="1">IFERROR(__xludf.DUMMYFUNCTION("""COMPUTED_VALUE"""),"+9.06")</f>
        <v>+9.06</v>
      </c>
      <c r="O23" s="1">
        <f ca="1">IFERROR(__xludf.DUMMYFUNCTION("""COMPUTED_VALUE"""),21)</f>
        <v>21</v>
      </c>
      <c r="P23" s="1">
        <f ca="1">IFERROR(__xludf.DUMMYFUNCTION("""COMPUTED_VALUE"""),109.9)</f>
        <v>109.9</v>
      </c>
      <c r="Q23" s="1">
        <f ca="1">IFERROR(__xludf.DUMMYFUNCTION("""COMPUTED_VALUE"""),19)</f>
        <v>19</v>
      </c>
      <c r="R23" s="1">
        <f ca="1">IFERROR(__xludf.DUMMYFUNCTION("""COMPUTED_VALUE"""),100.8)</f>
        <v>100.8</v>
      </c>
      <c r="S23" s="1">
        <f ca="1">IFERROR(__xludf.DUMMYFUNCTION("""COMPUTED_VALUE"""),28)</f>
        <v>28</v>
      </c>
      <c r="T23" s="1">
        <f ca="1">IFERROR(__xludf.DUMMYFUNCTION("""COMPUTED_VALUE"""),-1.15)</f>
        <v>-1.1499999999999999</v>
      </c>
      <c r="U23" s="1">
        <f ca="1">IFERROR(__xludf.DUMMYFUNCTION("""COMPUTED_VALUE"""),194)</f>
        <v>194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IFERROR(__xludf.DUMMYFUNCTION("""COMPUTED_VALUE"""),"Iowa11")</f>
        <v>Iowa11</v>
      </c>
      <c r="C24" s="1" t="str">
        <f ca="1">IFERROR(__xludf.DUMMYFUNCTION("""COMPUTED_VALUE"""),"B10")</f>
        <v>B10</v>
      </c>
      <c r="D24" s="1" t="str">
        <f ca="1">IFERROR(__xludf.DUMMYFUNCTION("""COMPUTED_VALUE"""),"20-13")</f>
        <v>20-13</v>
      </c>
      <c r="E24" s="1" t="str">
        <f ca="1">IFERROR(__xludf.DUMMYFUNCTION("""COMPUTED_VALUE"""),"+20.44")</f>
        <v>+20.44</v>
      </c>
      <c r="F24" s="1">
        <f ca="1">IFERROR(__xludf.DUMMYFUNCTION("""COMPUTED_VALUE"""),120.2)</f>
        <v>120.2</v>
      </c>
      <c r="G24" s="1">
        <f ca="1">IFERROR(__xludf.DUMMYFUNCTION("""COMPUTED_VALUE"""),5)</f>
        <v>5</v>
      </c>
      <c r="H24" s="1">
        <f ca="1">IFERROR(__xludf.DUMMYFUNCTION("""COMPUTED_VALUE"""),99.8)</f>
        <v>99.8</v>
      </c>
      <c r="I24" s="1">
        <f ca="1">IFERROR(__xludf.DUMMYFUNCTION("""COMPUTED_VALUE"""),77)</f>
        <v>77</v>
      </c>
      <c r="J24" s="1">
        <f ca="1">IFERROR(__xludf.DUMMYFUNCTION("""COMPUTED_VALUE"""),68.6)</f>
        <v>68.599999999999994</v>
      </c>
      <c r="K24" s="1">
        <f ca="1">IFERROR(__xludf.DUMMYFUNCTION("""COMPUTED_VALUE"""),29)</f>
        <v>29</v>
      </c>
      <c r="L24" s="1">
        <f ca="1">IFERROR(__xludf.DUMMYFUNCTION("""COMPUTED_VALUE"""),-0.116)</f>
        <v>-0.11600000000000001</v>
      </c>
      <c r="M24" s="1">
        <f ca="1">IFERROR(__xludf.DUMMYFUNCTION("""COMPUTED_VALUE"""),347)</f>
        <v>347</v>
      </c>
      <c r="N24" s="1" t="str">
        <f ca="1">IFERROR(__xludf.DUMMYFUNCTION("""COMPUTED_VALUE"""),"+8.35")</f>
        <v>+8.35</v>
      </c>
      <c r="O24" s="1">
        <f ca="1">IFERROR(__xludf.DUMMYFUNCTION("""COMPUTED_VALUE"""),32)</f>
        <v>32</v>
      </c>
      <c r="P24" s="1">
        <f ca="1">IFERROR(__xludf.DUMMYFUNCTION("""COMPUTED_VALUE"""),108.6)</f>
        <v>108.6</v>
      </c>
      <c r="Q24" s="1">
        <f ca="1">IFERROR(__xludf.DUMMYFUNCTION("""COMPUTED_VALUE"""),55)</f>
        <v>55</v>
      </c>
      <c r="R24" s="1">
        <f ca="1">IFERROR(__xludf.DUMMYFUNCTION("""COMPUTED_VALUE"""),100.2)</f>
        <v>100.2</v>
      </c>
      <c r="S24" s="1">
        <f ca="1">IFERROR(__xludf.DUMMYFUNCTION("""COMPUTED_VALUE"""),10)</f>
        <v>10</v>
      </c>
      <c r="T24" s="1">
        <f ca="1">IFERROR(__xludf.DUMMYFUNCTION("""COMPUTED_VALUE"""),-6.19)</f>
        <v>-6.19</v>
      </c>
      <c r="U24" s="1">
        <f ca="1">IFERROR(__xludf.DUMMYFUNCTION("""COMPUTED_VALUE"""),318)</f>
        <v>318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IFERROR(__xludf.DUMMYFUNCTION("""COMPUTED_VALUE"""),"San Diego St.4")</f>
        <v>San Diego St.4</v>
      </c>
      <c r="C25" s="1" t="str">
        <f ca="1">IFERROR(__xludf.DUMMYFUNCTION("""COMPUTED_VALUE"""),"MWC")</f>
        <v>MWC</v>
      </c>
      <c r="D25" s="1" t="str">
        <f ca="1">IFERROR(__xludf.DUMMYFUNCTION("""COMPUTED_VALUE"""),"31-5")</f>
        <v>31-5</v>
      </c>
      <c r="E25" s="1" t="str">
        <f ca="1">IFERROR(__xludf.DUMMYFUNCTION("""COMPUTED_VALUE"""),"+20.38")</f>
        <v>+20.38</v>
      </c>
      <c r="F25" s="1">
        <f ca="1">IFERROR(__xludf.DUMMYFUNCTION("""COMPUTED_VALUE"""),110.4)</f>
        <v>110.4</v>
      </c>
      <c r="G25" s="1">
        <f ca="1">IFERROR(__xludf.DUMMYFUNCTION("""COMPUTED_VALUE"""),86)</f>
        <v>86</v>
      </c>
      <c r="H25" s="1">
        <f ca="1">IFERROR(__xludf.DUMMYFUNCTION("""COMPUTED_VALUE"""),90)</f>
        <v>90</v>
      </c>
      <c r="I25" s="1">
        <f ca="1">IFERROR(__xludf.DUMMYFUNCTION("""COMPUTED_VALUE"""),7)</f>
        <v>7</v>
      </c>
      <c r="J25" s="1">
        <f ca="1">IFERROR(__xludf.DUMMYFUNCTION("""COMPUTED_VALUE"""),62.3)</f>
        <v>62.3</v>
      </c>
      <c r="K25" s="1">
        <f ca="1">IFERROR(__xludf.DUMMYFUNCTION("""COMPUTED_VALUE"""),294)</f>
        <v>294</v>
      </c>
      <c r="L25" s="1" t="str">
        <f ca="1">IFERROR(__xludf.DUMMYFUNCTION("""COMPUTED_VALUE"""),"+.067")</f>
        <v>+.067</v>
      </c>
      <c r="M25" s="1">
        <f ca="1">IFERROR(__xludf.DUMMYFUNCTION("""COMPUTED_VALUE"""),37)</f>
        <v>37</v>
      </c>
      <c r="N25" s="1" t="str">
        <f ca="1">IFERROR(__xludf.DUMMYFUNCTION("""COMPUTED_VALUE"""),"+5.18")</f>
        <v>+5.18</v>
      </c>
      <c r="O25" s="1">
        <f ca="1">IFERROR(__xludf.DUMMYFUNCTION("""COMPUTED_VALUE"""),79)</f>
        <v>79</v>
      </c>
      <c r="P25" s="1">
        <f ca="1">IFERROR(__xludf.DUMMYFUNCTION("""COMPUTED_VALUE"""),108)</f>
        <v>108</v>
      </c>
      <c r="Q25" s="1">
        <f ca="1">IFERROR(__xludf.DUMMYFUNCTION("""COMPUTED_VALUE"""),68)</f>
        <v>68</v>
      </c>
      <c r="R25" s="1">
        <f ca="1">IFERROR(__xludf.DUMMYFUNCTION("""COMPUTED_VALUE"""),102.8)</f>
        <v>102.8</v>
      </c>
      <c r="S25" s="1">
        <f ca="1">IFERROR(__xludf.DUMMYFUNCTION("""COMPUTED_VALUE"""),96)</f>
        <v>96</v>
      </c>
      <c r="T25" s="1" t="str">
        <f ca="1">IFERROR(__xludf.DUMMYFUNCTION("""COMPUTED_VALUE"""),"+2.71")</f>
        <v>+2.71</v>
      </c>
      <c r="U25" s="1">
        <f ca="1">IFERROR(__xludf.DUMMYFUNCTION("""COMPUTED_VALUE"""),86)</f>
        <v>86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IFERROR(__xludf.DUMMYFUNCTION("""COMPUTED_VALUE"""),"Gonzaga8")</f>
        <v>Gonzaga8</v>
      </c>
      <c r="C26" s="1" t="str">
        <f ca="1">IFERROR(__xludf.DUMMYFUNCTION("""COMPUTED_VALUE"""),"WCC")</f>
        <v>WCC</v>
      </c>
      <c r="D26" s="1" t="str">
        <f ca="1">IFERROR(__xludf.DUMMYFUNCTION("""COMPUTED_VALUE"""),"29-7")</f>
        <v>29-7</v>
      </c>
      <c r="E26" s="1" t="str">
        <f ca="1">IFERROR(__xludf.DUMMYFUNCTION("""COMPUTED_VALUE"""),"+20.14")</f>
        <v>+20.14</v>
      </c>
      <c r="F26" s="1">
        <f ca="1">IFERROR(__xludf.DUMMYFUNCTION("""COMPUTED_VALUE"""),114)</f>
        <v>114</v>
      </c>
      <c r="G26" s="1">
        <f ca="1">IFERROR(__xludf.DUMMYFUNCTION("""COMPUTED_VALUE"""),35)</f>
        <v>35</v>
      </c>
      <c r="H26" s="1">
        <f ca="1">IFERROR(__xludf.DUMMYFUNCTION("""COMPUTED_VALUE"""),93.8)</f>
        <v>93.8</v>
      </c>
      <c r="I26" s="1">
        <f ca="1">IFERROR(__xludf.DUMMYFUNCTION("""COMPUTED_VALUE"""),18)</f>
        <v>18</v>
      </c>
      <c r="J26" s="1">
        <f ca="1">IFERROR(__xludf.DUMMYFUNCTION("""COMPUTED_VALUE"""),65)</f>
        <v>65</v>
      </c>
      <c r="K26" s="1">
        <f ca="1">IFERROR(__xludf.DUMMYFUNCTION("""COMPUTED_VALUE"""),154)</f>
        <v>154</v>
      </c>
      <c r="L26" s="1" t="str">
        <f ca="1">IFERROR(__xludf.DUMMYFUNCTION("""COMPUTED_VALUE"""),"+.016")</f>
        <v>+.016</v>
      </c>
      <c r="M26" s="1">
        <f ca="1">IFERROR(__xludf.DUMMYFUNCTION("""COMPUTED_VALUE"""),146)</f>
        <v>146</v>
      </c>
      <c r="N26" s="1" t="str">
        <f ca="1">IFERROR(__xludf.DUMMYFUNCTION("""COMPUTED_VALUE"""),"+5.05")</f>
        <v>+5.05</v>
      </c>
      <c r="O26" s="1">
        <f ca="1">IFERROR(__xludf.DUMMYFUNCTION("""COMPUTED_VALUE"""),83)</f>
        <v>83</v>
      </c>
      <c r="P26" s="1">
        <f ca="1">IFERROR(__xludf.DUMMYFUNCTION("""COMPUTED_VALUE"""),109)</f>
        <v>109</v>
      </c>
      <c r="Q26" s="1">
        <f ca="1">IFERROR(__xludf.DUMMYFUNCTION("""COMPUTED_VALUE"""),42)</f>
        <v>42</v>
      </c>
      <c r="R26" s="1">
        <f ca="1">IFERROR(__xludf.DUMMYFUNCTION("""COMPUTED_VALUE"""),103.9)</f>
        <v>103.9</v>
      </c>
      <c r="S26" s="1">
        <f ca="1">IFERROR(__xludf.DUMMYFUNCTION("""COMPUTED_VALUE"""),110)</f>
        <v>110</v>
      </c>
      <c r="T26" s="1" t="str">
        <f ca="1">IFERROR(__xludf.DUMMYFUNCTION("""COMPUTED_VALUE"""),"+2.20")</f>
        <v>+2.20</v>
      </c>
      <c r="U26" s="1">
        <f ca="1">IFERROR(__xludf.DUMMYFUNCTION("""COMPUTED_VALUE"""),100)</f>
        <v>100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IFERROR(__xludf.DUMMYFUNCTION("""COMPUTED_VALUE"""),"VCU5")</f>
        <v>VCU5</v>
      </c>
      <c r="C27" s="1" t="str">
        <f ca="1">IFERROR(__xludf.DUMMYFUNCTION("""COMPUTED_VALUE"""),"A10")</f>
        <v>A10</v>
      </c>
      <c r="D27" s="1" t="str">
        <f ca="1">IFERROR(__xludf.DUMMYFUNCTION("""COMPUTED_VALUE"""),"26-9")</f>
        <v>26-9</v>
      </c>
      <c r="E27" s="1" t="str">
        <f ca="1">IFERROR(__xludf.DUMMYFUNCTION("""COMPUTED_VALUE"""),"+19.80")</f>
        <v>+19.80</v>
      </c>
      <c r="F27" s="1">
        <f ca="1">IFERROR(__xludf.DUMMYFUNCTION("""COMPUTED_VALUE"""),109.2)</f>
        <v>109.2</v>
      </c>
      <c r="G27" s="1">
        <f ca="1">IFERROR(__xludf.DUMMYFUNCTION("""COMPUTED_VALUE"""),106)</f>
        <v>106</v>
      </c>
      <c r="H27" s="1">
        <f ca="1">IFERROR(__xludf.DUMMYFUNCTION("""COMPUTED_VALUE"""),89.4)</f>
        <v>89.4</v>
      </c>
      <c r="I27" s="1">
        <f ca="1">IFERROR(__xludf.DUMMYFUNCTION("""COMPUTED_VALUE"""),6)</f>
        <v>6</v>
      </c>
      <c r="J27" s="1">
        <f ca="1">IFERROR(__xludf.DUMMYFUNCTION("""COMPUTED_VALUE"""),68.9)</f>
        <v>68.900000000000006</v>
      </c>
      <c r="K27" s="1">
        <f ca="1">IFERROR(__xludf.DUMMYFUNCTION("""COMPUTED_VALUE"""),22)</f>
        <v>22</v>
      </c>
      <c r="L27" s="1">
        <f ca="1">IFERROR(__xludf.DUMMYFUNCTION("""COMPUTED_VALUE"""),-0.058)</f>
        <v>-5.8000000000000003E-2</v>
      </c>
      <c r="M27" s="1">
        <f ca="1">IFERROR(__xludf.DUMMYFUNCTION("""COMPUTED_VALUE"""),308)</f>
        <v>308</v>
      </c>
      <c r="N27" s="1" t="str">
        <f ca="1">IFERROR(__xludf.DUMMYFUNCTION("""COMPUTED_VALUE"""),"+5.45")</f>
        <v>+5.45</v>
      </c>
      <c r="O27" s="1">
        <f ca="1">IFERROR(__xludf.DUMMYFUNCTION("""COMPUTED_VALUE"""),77)</f>
        <v>77</v>
      </c>
      <c r="P27" s="1">
        <f ca="1">IFERROR(__xludf.DUMMYFUNCTION("""COMPUTED_VALUE"""),107.4)</f>
        <v>107.4</v>
      </c>
      <c r="Q27" s="1">
        <f ca="1">IFERROR(__xludf.DUMMYFUNCTION("""COMPUTED_VALUE"""),88)</f>
        <v>88</v>
      </c>
      <c r="R27" s="1">
        <f ca="1">IFERROR(__xludf.DUMMYFUNCTION("""COMPUTED_VALUE"""),102)</f>
        <v>102</v>
      </c>
      <c r="S27" s="1">
        <f ca="1">IFERROR(__xludf.DUMMYFUNCTION("""COMPUTED_VALUE"""),66)</f>
        <v>66</v>
      </c>
      <c r="T27" s="1" t="str">
        <f ca="1">IFERROR(__xludf.DUMMYFUNCTION("""COMPUTED_VALUE"""),"+1.33")</f>
        <v>+1.33</v>
      </c>
      <c r="U27" s="1">
        <f ca="1">IFERROR(__xludf.DUMMYFUNCTION("""COMPUTED_VALUE"""),118)</f>
        <v>118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IFERROR(__xludf.DUMMYFUNCTION("""COMPUTED_VALUE"""),"Baylor6")</f>
        <v>Baylor6</v>
      </c>
      <c r="C28" s="1" t="str">
        <f ca="1">IFERROR(__xludf.DUMMYFUNCTION("""COMPUTED_VALUE"""),"B12")</f>
        <v>B12</v>
      </c>
      <c r="D28" s="1" t="str">
        <f ca="1">IFERROR(__xludf.DUMMYFUNCTION("""COMPUTED_VALUE"""),"26-12")</f>
        <v>26-12</v>
      </c>
      <c r="E28" s="1" t="str">
        <f ca="1">IFERROR(__xludf.DUMMYFUNCTION("""COMPUTED_VALUE"""),"+19.39")</f>
        <v>+19.39</v>
      </c>
      <c r="F28" s="1">
        <f ca="1">IFERROR(__xludf.DUMMYFUNCTION("""COMPUTED_VALUE"""),118.9)</f>
        <v>118.9</v>
      </c>
      <c r="G28" s="1">
        <f ca="1">IFERROR(__xludf.DUMMYFUNCTION("""COMPUTED_VALUE"""),10)</f>
        <v>10</v>
      </c>
      <c r="H28" s="1">
        <f ca="1">IFERROR(__xludf.DUMMYFUNCTION("""COMPUTED_VALUE"""),99.5)</f>
        <v>99.5</v>
      </c>
      <c r="I28" s="1">
        <f ca="1">IFERROR(__xludf.DUMMYFUNCTION("""COMPUTED_VALUE"""),70)</f>
        <v>70</v>
      </c>
      <c r="J28" s="1">
        <f ca="1">IFERROR(__xludf.DUMMYFUNCTION("""COMPUTED_VALUE"""),61.3)</f>
        <v>61.3</v>
      </c>
      <c r="K28" s="1">
        <f ca="1">IFERROR(__xludf.DUMMYFUNCTION("""COMPUTED_VALUE"""),319)</f>
        <v>319</v>
      </c>
      <c r="L28" s="1" t="str">
        <f ca="1">IFERROR(__xludf.DUMMYFUNCTION("""COMPUTED_VALUE"""),"+.012")</f>
        <v>+.012</v>
      </c>
      <c r="M28" s="1">
        <f ca="1">IFERROR(__xludf.DUMMYFUNCTION("""COMPUTED_VALUE"""),157)</f>
        <v>157</v>
      </c>
      <c r="N28" s="1" t="str">
        <f ca="1">IFERROR(__xludf.DUMMYFUNCTION("""COMPUTED_VALUE"""),"+10.31")</f>
        <v>+10.31</v>
      </c>
      <c r="O28" s="1">
        <f ca="1">IFERROR(__xludf.DUMMYFUNCTION("""COMPUTED_VALUE"""),7)</f>
        <v>7</v>
      </c>
      <c r="P28" s="1">
        <f ca="1">IFERROR(__xludf.DUMMYFUNCTION("""COMPUTED_VALUE"""),111)</f>
        <v>111</v>
      </c>
      <c r="Q28" s="1">
        <f ca="1">IFERROR(__xludf.DUMMYFUNCTION("""COMPUTED_VALUE"""),3)</f>
        <v>3</v>
      </c>
      <c r="R28" s="1">
        <f ca="1">IFERROR(__xludf.DUMMYFUNCTION("""COMPUTED_VALUE"""),100.6)</f>
        <v>100.6</v>
      </c>
      <c r="S28" s="1">
        <f ca="1">IFERROR(__xludf.DUMMYFUNCTION("""COMPUTED_VALUE"""),20)</f>
        <v>20</v>
      </c>
      <c r="T28" s="1">
        <f ca="1">IFERROR(__xludf.DUMMYFUNCTION("""COMPUTED_VALUE"""),-0.36)</f>
        <v>-0.36</v>
      </c>
      <c r="U28" s="1">
        <f ca="1">IFERROR(__xludf.DUMMYFUNCTION("""COMPUTED_VALUE"""),171)</f>
        <v>171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IFERROR(__xludf.DUMMYFUNCTION("""COMPUTED_VALUE"""),"Cincinnati5")</f>
        <v>Cincinnati5</v>
      </c>
      <c r="C29" s="1" t="str">
        <f ca="1">IFERROR(__xludf.DUMMYFUNCTION("""COMPUTED_VALUE"""),"Amer")</f>
        <v>Amer</v>
      </c>
      <c r="D29" s="1" t="str">
        <f ca="1">IFERROR(__xludf.DUMMYFUNCTION("""COMPUTED_VALUE"""),"27-7")</f>
        <v>27-7</v>
      </c>
      <c r="E29" s="1" t="str">
        <f ca="1">IFERROR(__xludf.DUMMYFUNCTION("""COMPUTED_VALUE"""),"+19.24")</f>
        <v>+19.24</v>
      </c>
      <c r="F29" s="1">
        <f ca="1">IFERROR(__xludf.DUMMYFUNCTION("""COMPUTED_VALUE"""),109.7)</f>
        <v>109.7</v>
      </c>
      <c r="G29" s="1">
        <f ca="1">IFERROR(__xludf.DUMMYFUNCTION("""COMPUTED_VALUE"""),98)</f>
        <v>98</v>
      </c>
      <c r="H29" s="1">
        <f ca="1">IFERROR(__xludf.DUMMYFUNCTION("""COMPUTED_VALUE"""),90.4)</f>
        <v>90.4</v>
      </c>
      <c r="I29" s="1">
        <f ca="1">IFERROR(__xludf.DUMMYFUNCTION("""COMPUTED_VALUE"""),9)</f>
        <v>9</v>
      </c>
      <c r="J29" s="1">
        <f ca="1">IFERROR(__xludf.DUMMYFUNCTION("""COMPUTED_VALUE"""),61.1)</f>
        <v>61.1</v>
      </c>
      <c r="K29" s="1">
        <f ca="1">IFERROR(__xludf.DUMMYFUNCTION("""COMPUTED_VALUE"""),328)</f>
        <v>328</v>
      </c>
      <c r="L29" s="1" t="str">
        <f ca="1">IFERROR(__xludf.DUMMYFUNCTION("""COMPUTED_VALUE"""),"+.036")</f>
        <v>+.036</v>
      </c>
      <c r="M29" s="1">
        <f ca="1">IFERROR(__xludf.DUMMYFUNCTION("""COMPUTED_VALUE"""),97)</f>
        <v>97</v>
      </c>
      <c r="N29" s="1" t="str">
        <f ca="1">IFERROR(__xludf.DUMMYFUNCTION("""COMPUTED_VALUE"""),"+4.72")</f>
        <v>+4.72</v>
      </c>
      <c r="O29" s="1">
        <f ca="1">IFERROR(__xludf.DUMMYFUNCTION("""COMPUTED_VALUE"""),92)</f>
        <v>92</v>
      </c>
      <c r="P29" s="1">
        <f ca="1">IFERROR(__xludf.DUMMYFUNCTION("""COMPUTED_VALUE"""),107.3)</f>
        <v>107.3</v>
      </c>
      <c r="Q29" s="1">
        <f ca="1">IFERROR(__xludf.DUMMYFUNCTION("""COMPUTED_VALUE"""),93)</f>
        <v>93</v>
      </c>
      <c r="R29" s="1">
        <f ca="1">IFERROR(__xludf.DUMMYFUNCTION("""COMPUTED_VALUE"""),102.6)</f>
        <v>102.6</v>
      </c>
      <c r="S29" s="1">
        <f ca="1">IFERROR(__xludf.DUMMYFUNCTION("""COMPUTED_VALUE"""),88)</f>
        <v>88</v>
      </c>
      <c r="T29" s="1">
        <f ca="1">IFERROR(__xludf.DUMMYFUNCTION("""COMPUTED_VALUE"""),-4.57)</f>
        <v>-4.57</v>
      </c>
      <c r="U29" s="1">
        <f ca="1">IFERROR(__xludf.DUMMYFUNCTION("""COMPUTED_VALUE"""),294)</f>
        <v>294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IFERROR(__xludf.DUMMYFUNCTION("""COMPUTED_VALUE"""),"Oregon7")</f>
        <v>Oregon7</v>
      </c>
      <c r="C30" s="1" t="str">
        <f ca="1">IFERROR(__xludf.DUMMYFUNCTION("""COMPUTED_VALUE"""),"P12")</f>
        <v>P12</v>
      </c>
      <c r="D30" s="1" t="str">
        <f ca="1">IFERROR(__xludf.DUMMYFUNCTION("""COMPUTED_VALUE"""),"24-10")</f>
        <v>24-10</v>
      </c>
      <c r="E30" s="1" t="str">
        <f ca="1">IFERROR(__xludf.DUMMYFUNCTION("""COMPUTED_VALUE"""),"+19.02")</f>
        <v>+19.02</v>
      </c>
      <c r="F30" s="1">
        <f ca="1">IFERROR(__xludf.DUMMYFUNCTION("""COMPUTED_VALUE"""),118.9)</f>
        <v>118.9</v>
      </c>
      <c r="G30" s="1">
        <f ca="1">IFERROR(__xludf.DUMMYFUNCTION("""COMPUTED_VALUE"""),8)</f>
        <v>8</v>
      </c>
      <c r="H30" s="1">
        <f ca="1">IFERROR(__xludf.DUMMYFUNCTION("""COMPUTED_VALUE"""),99.9)</f>
        <v>99.9</v>
      </c>
      <c r="I30" s="1">
        <f ca="1">IFERROR(__xludf.DUMMYFUNCTION("""COMPUTED_VALUE"""),79)</f>
        <v>79</v>
      </c>
      <c r="J30" s="1">
        <f ca="1">IFERROR(__xludf.DUMMYFUNCTION("""COMPUTED_VALUE"""),67.5)</f>
        <v>67.5</v>
      </c>
      <c r="K30" s="1">
        <f ca="1">IFERROR(__xludf.DUMMYFUNCTION("""COMPUTED_VALUE"""),50)</f>
        <v>50</v>
      </c>
      <c r="L30" s="1">
        <f ca="1">IFERROR(__xludf.DUMMYFUNCTION("""COMPUTED_VALUE"""),-0.037)</f>
        <v>-3.6999999999999998E-2</v>
      </c>
      <c r="M30" s="1">
        <f ca="1">IFERROR(__xludf.DUMMYFUNCTION("""COMPUTED_VALUE"""),262)</f>
        <v>262</v>
      </c>
      <c r="N30" s="1" t="str">
        <f ca="1">IFERROR(__xludf.DUMMYFUNCTION("""COMPUTED_VALUE"""),"+7.39")</f>
        <v>+7.39</v>
      </c>
      <c r="O30" s="1">
        <f ca="1">IFERROR(__xludf.DUMMYFUNCTION("""COMPUTED_VALUE"""),50)</f>
        <v>50</v>
      </c>
      <c r="P30" s="1">
        <f ca="1">IFERROR(__xludf.DUMMYFUNCTION("""COMPUTED_VALUE"""),109.1)</f>
        <v>109.1</v>
      </c>
      <c r="Q30" s="1">
        <f ca="1">IFERROR(__xludf.DUMMYFUNCTION("""COMPUTED_VALUE"""),37)</f>
        <v>37</v>
      </c>
      <c r="R30" s="1">
        <f ca="1">IFERROR(__xludf.DUMMYFUNCTION("""COMPUTED_VALUE"""),101.8)</f>
        <v>101.8</v>
      </c>
      <c r="S30" s="1">
        <f ca="1">IFERROR(__xludf.DUMMYFUNCTION("""COMPUTED_VALUE"""),62)</f>
        <v>62</v>
      </c>
      <c r="T30" s="1">
        <f ca="1">IFERROR(__xludf.DUMMYFUNCTION("""COMPUTED_VALUE"""),-1.18)</f>
        <v>-1.18</v>
      </c>
      <c r="U30" s="1">
        <f ca="1">IFERROR(__xludf.DUMMYFUNCTION("""COMPUTED_VALUE"""),197)</f>
        <v>197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IFERROR(__xludf.DUMMYFUNCTION("""COMPUTED_VALUE"""),"North Carolina6")</f>
        <v>North Carolina6</v>
      </c>
      <c r="C31" s="1" t="str">
        <f ca="1">IFERROR(__xludf.DUMMYFUNCTION("""COMPUTED_VALUE"""),"ACC")</f>
        <v>ACC</v>
      </c>
      <c r="D31" s="1" t="str">
        <f ca="1">IFERROR(__xludf.DUMMYFUNCTION("""COMPUTED_VALUE"""),"24-10")</f>
        <v>24-10</v>
      </c>
      <c r="E31" s="1" t="str">
        <f ca="1">IFERROR(__xludf.DUMMYFUNCTION("""COMPUTED_VALUE"""),"+18.44")</f>
        <v>+18.44</v>
      </c>
      <c r="F31" s="1">
        <f ca="1">IFERROR(__xludf.DUMMYFUNCTION("""COMPUTED_VALUE"""),112.6)</f>
        <v>112.6</v>
      </c>
      <c r="G31" s="1">
        <f ca="1">IFERROR(__xludf.DUMMYFUNCTION("""COMPUTED_VALUE"""),48)</f>
        <v>48</v>
      </c>
      <c r="H31" s="1">
        <f ca="1">IFERROR(__xludf.DUMMYFUNCTION("""COMPUTED_VALUE"""),94.2)</f>
        <v>94.2</v>
      </c>
      <c r="I31" s="1">
        <f ca="1">IFERROR(__xludf.DUMMYFUNCTION("""COMPUTED_VALUE"""),20)</f>
        <v>20</v>
      </c>
      <c r="J31" s="1">
        <f ca="1">IFERROR(__xludf.DUMMYFUNCTION("""COMPUTED_VALUE"""),69.2)</f>
        <v>69.2</v>
      </c>
      <c r="K31" s="1">
        <f ca="1">IFERROR(__xludf.DUMMYFUNCTION("""COMPUTED_VALUE"""),18)</f>
        <v>18</v>
      </c>
      <c r="L31" s="1" t="str">
        <f ca="1">IFERROR(__xludf.DUMMYFUNCTION("""COMPUTED_VALUE"""),"+.000")</f>
        <v>+.000</v>
      </c>
      <c r="M31" s="1">
        <f ca="1">IFERROR(__xludf.DUMMYFUNCTION("""COMPUTED_VALUE"""),186)</f>
        <v>186</v>
      </c>
      <c r="N31" s="1" t="str">
        <f ca="1">IFERROR(__xludf.DUMMYFUNCTION("""COMPUTED_VALUE"""),"+8.83")</f>
        <v>+8.83</v>
      </c>
      <c r="O31" s="1">
        <f ca="1">IFERROR(__xludf.DUMMYFUNCTION("""COMPUTED_VALUE"""),23)</f>
        <v>23</v>
      </c>
      <c r="P31" s="1">
        <f ca="1">IFERROR(__xludf.DUMMYFUNCTION("""COMPUTED_VALUE"""),110.5)</f>
        <v>110.5</v>
      </c>
      <c r="Q31" s="1">
        <f ca="1">IFERROR(__xludf.DUMMYFUNCTION("""COMPUTED_VALUE"""),9)</f>
        <v>9</v>
      </c>
      <c r="R31" s="1">
        <f ca="1">IFERROR(__xludf.DUMMYFUNCTION("""COMPUTED_VALUE"""),101.6)</f>
        <v>101.6</v>
      </c>
      <c r="S31" s="1">
        <f ca="1">IFERROR(__xludf.DUMMYFUNCTION("""COMPUTED_VALUE"""),60)</f>
        <v>60</v>
      </c>
      <c r="T31" s="1" t="str">
        <f ca="1">IFERROR(__xludf.DUMMYFUNCTION("""COMPUTED_VALUE"""),"+1.31")</f>
        <v>+1.31</v>
      </c>
      <c r="U31" s="1">
        <f ca="1">IFERROR(__xludf.DUMMYFUNCTION("""COMPUTED_VALUE"""),121)</f>
        <v>121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IFERROR(__xludf.DUMMYFUNCTION("""COMPUTED_VALUE"""),"Oklahoma5")</f>
        <v>Oklahoma5</v>
      </c>
      <c r="C32" s="1" t="str">
        <f ca="1">IFERROR(__xludf.DUMMYFUNCTION("""COMPUTED_VALUE"""),"B12")</f>
        <v>B12</v>
      </c>
      <c r="D32" s="1" t="str">
        <f ca="1">IFERROR(__xludf.DUMMYFUNCTION("""COMPUTED_VALUE"""),"23-10")</f>
        <v>23-10</v>
      </c>
      <c r="E32" s="1" t="str">
        <f ca="1">IFERROR(__xludf.DUMMYFUNCTION("""COMPUTED_VALUE"""),"+17.90")</f>
        <v>+17.90</v>
      </c>
      <c r="F32" s="1">
        <f ca="1">IFERROR(__xludf.DUMMYFUNCTION("""COMPUTED_VALUE"""),117.9)</f>
        <v>117.9</v>
      </c>
      <c r="G32" s="1">
        <f ca="1">IFERROR(__xludf.DUMMYFUNCTION("""COMPUTED_VALUE"""),16)</f>
        <v>16</v>
      </c>
      <c r="H32" s="1">
        <f ca="1">IFERROR(__xludf.DUMMYFUNCTION("""COMPUTED_VALUE"""),100)</f>
        <v>100</v>
      </c>
      <c r="I32" s="1">
        <f ca="1">IFERROR(__xludf.DUMMYFUNCTION("""COMPUTED_VALUE"""),82)</f>
        <v>82</v>
      </c>
      <c r="J32" s="1">
        <f ca="1">IFERROR(__xludf.DUMMYFUNCTION("""COMPUTED_VALUE"""),69.6)</f>
        <v>69.599999999999994</v>
      </c>
      <c r="K32" s="1">
        <f ca="1">IFERROR(__xludf.DUMMYFUNCTION("""COMPUTED_VALUE"""),17)</f>
        <v>17</v>
      </c>
      <c r="L32" s="1">
        <f ca="1">IFERROR(__xludf.DUMMYFUNCTION("""COMPUTED_VALUE"""),-0.022)</f>
        <v>-2.1999999999999999E-2</v>
      </c>
      <c r="M32" s="1">
        <f ca="1">IFERROR(__xludf.DUMMYFUNCTION("""COMPUTED_VALUE"""),232)</f>
        <v>232</v>
      </c>
      <c r="N32" s="1" t="str">
        <f ca="1">IFERROR(__xludf.DUMMYFUNCTION("""COMPUTED_VALUE"""),"+9.13")</f>
        <v>+9.13</v>
      </c>
      <c r="O32" s="1">
        <f ca="1">IFERROR(__xludf.DUMMYFUNCTION("""COMPUTED_VALUE"""),20)</f>
        <v>20</v>
      </c>
      <c r="P32" s="1">
        <f ca="1">IFERROR(__xludf.DUMMYFUNCTION("""COMPUTED_VALUE"""),110.2)</f>
        <v>110.2</v>
      </c>
      <c r="Q32" s="1">
        <f ca="1">IFERROR(__xludf.DUMMYFUNCTION("""COMPUTED_VALUE"""),16)</f>
        <v>16</v>
      </c>
      <c r="R32" s="1">
        <f ca="1">IFERROR(__xludf.DUMMYFUNCTION("""COMPUTED_VALUE"""),101)</f>
        <v>101</v>
      </c>
      <c r="S32" s="1">
        <f ca="1">IFERROR(__xludf.DUMMYFUNCTION("""COMPUTED_VALUE"""),38)</f>
        <v>38</v>
      </c>
      <c r="T32" s="1" t="str">
        <f ca="1">IFERROR(__xludf.DUMMYFUNCTION("""COMPUTED_VALUE"""),"+0.50")</f>
        <v>+0.50</v>
      </c>
      <c r="U32" s="1">
        <f ca="1">IFERROR(__xludf.DUMMYFUNCTION("""COMPUTED_VALUE"""),147)</f>
        <v>147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IFERROR(__xludf.DUMMYFUNCTION("""COMPUTED_VALUE"""),"SMU1")</f>
        <v>SMU1</v>
      </c>
      <c r="C33" s="1" t="str">
        <f ca="1">IFERROR(__xludf.DUMMYFUNCTION("""COMPUTED_VALUE"""),"Amer")</f>
        <v>Amer</v>
      </c>
      <c r="D33" s="1" t="str">
        <f ca="1">IFERROR(__xludf.DUMMYFUNCTION("""COMPUTED_VALUE"""),"27-10")</f>
        <v>27-10</v>
      </c>
      <c r="E33" s="1" t="str">
        <f ca="1">IFERROR(__xludf.DUMMYFUNCTION("""COMPUTED_VALUE"""),"+17.66")</f>
        <v>+17.66</v>
      </c>
      <c r="F33" s="1">
        <f ca="1">IFERROR(__xludf.DUMMYFUNCTION("""COMPUTED_VALUE"""),111.3)</f>
        <v>111.3</v>
      </c>
      <c r="G33" s="1">
        <f ca="1">IFERROR(__xludf.DUMMYFUNCTION("""COMPUTED_VALUE"""),65)</f>
        <v>65</v>
      </c>
      <c r="H33" s="1">
        <f ca="1">IFERROR(__xludf.DUMMYFUNCTION("""COMPUTED_VALUE"""),93.7)</f>
        <v>93.7</v>
      </c>
      <c r="I33" s="1">
        <f ca="1">IFERROR(__xludf.DUMMYFUNCTION("""COMPUTED_VALUE"""),15)</f>
        <v>15</v>
      </c>
      <c r="J33" s="1">
        <f ca="1">IFERROR(__xludf.DUMMYFUNCTION("""COMPUTED_VALUE"""),64.5)</f>
        <v>64.5</v>
      </c>
      <c r="K33" s="1">
        <f ca="1">IFERROR(__xludf.DUMMYFUNCTION("""COMPUTED_VALUE"""),183)</f>
        <v>183</v>
      </c>
      <c r="L33" s="1">
        <f ca="1">IFERROR(__xludf.DUMMYFUNCTION("""COMPUTED_VALUE"""),-0.043)</f>
        <v>-4.2999999999999997E-2</v>
      </c>
      <c r="M33" s="1">
        <f ca="1">IFERROR(__xludf.DUMMYFUNCTION("""COMPUTED_VALUE"""),273)</f>
        <v>273</v>
      </c>
      <c r="N33" s="1" t="str">
        <f ca="1">IFERROR(__xludf.DUMMYFUNCTION("""COMPUTED_VALUE"""),"+4.03")</f>
        <v>+4.03</v>
      </c>
      <c r="O33" s="1">
        <f ca="1">IFERROR(__xludf.DUMMYFUNCTION("""COMPUTED_VALUE"""),97)</f>
        <v>97</v>
      </c>
      <c r="P33" s="1">
        <f ca="1">IFERROR(__xludf.DUMMYFUNCTION("""COMPUTED_VALUE"""),106.3)</f>
        <v>106.3</v>
      </c>
      <c r="Q33" s="1">
        <f ca="1">IFERROR(__xludf.DUMMYFUNCTION("""COMPUTED_VALUE"""),108)</f>
        <v>108</v>
      </c>
      <c r="R33" s="1">
        <f ca="1">IFERROR(__xludf.DUMMYFUNCTION("""COMPUTED_VALUE"""),102.2)</f>
        <v>102.2</v>
      </c>
      <c r="S33" s="1">
        <f ca="1">IFERROR(__xludf.DUMMYFUNCTION("""COMPUTED_VALUE"""),78)</f>
        <v>78</v>
      </c>
      <c r="T33" s="1">
        <f ca="1">IFERROR(__xludf.DUMMYFUNCTION("""COMPUTED_VALUE"""),-5.22)</f>
        <v>-5.22</v>
      </c>
      <c r="U33" s="1">
        <f ca="1">IFERROR(__xludf.DUMMYFUNCTION("""COMPUTED_VALUE"""),306)</f>
        <v>306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IFERROR(__xludf.DUMMYFUNCTION("""COMPUTED_VALUE"""),"Harvard12")</f>
        <v>Harvard12</v>
      </c>
      <c r="C34" s="1" t="str">
        <f ca="1">IFERROR(__xludf.DUMMYFUNCTION("""COMPUTED_VALUE"""),"Ivy")</f>
        <v>Ivy</v>
      </c>
      <c r="D34" s="1" t="str">
        <f ca="1">IFERROR(__xludf.DUMMYFUNCTION("""COMPUTED_VALUE"""),"27-5")</f>
        <v>27-5</v>
      </c>
      <c r="E34" s="1" t="str">
        <f ca="1">IFERROR(__xludf.DUMMYFUNCTION("""COMPUTED_VALUE"""),"+17.58")</f>
        <v>+17.58</v>
      </c>
      <c r="F34" s="1">
        <f ca="1">IFERROR(__xludf.DUMMYFUNCTION("""COMPUTED_VALUE"""),112.9)</f>
        <v>112.9</v>
      </c>
      <c r="G34" s="1">
        <f ca="1">IFERROR(__xludf.DUMMYFUNCTION("""COMPUTED_VALUE"""),47)</f>
        <v>47</v>
      </c>
      <c r="H34" s="1">
        <f ca="1">IFERROR(__xludf.DUMMYFUNCTION("""COMPUTED_VALUE"""),95.3)</f>
        <v>95.3</v>
      </c>
      <c r="I34" s="1">
        <f ca="1">IFERROR(__xludf.DUMMYFUNCTION("""COMPUTED_VALUE"""),27)</f>
        <v>27</v>
      </c>
      <c r="J34" s="1">
        <f ca="1">IFERROR(__xludf.DUMMYFUNCTION("""COMPUTED_VALUE"""),64.1)</f>
        <v>64.099999999999994</v>
      </c>
      <c r="K34" s="1">
        <f ca="1">IFERROR(__xludf.DUMMYFUNCTION("""COMPUTED_VALUE"""),211)</f>
        <v>211</v>
      </c>
      <c r="L34" s="1" t="str">
        <f ca="1">IFERROR(__xludf.DUMMYFUNCTION("""COMPUTED_VALUE"""),"+.020")</f>
        <v>+.020</v>
      </c>
      <c r="M34" s="1">
        <f ca="1">IFERROR(__xludf.DUMMYFUNCTION("""COMPUTED_VALUE"""),131)</f>
        <v>131</v>
      </c>
      <c r="N34" s="1" t="str">
        <f ca="1">IFERROR(__xludf.DUMMYFUNCTION("""COMPUTED_VALUE"""),"+0.13")</f>
        <v>+0.13</v>
      </c>
      <c r="O34" s="1">
        <f ca="1">IFERROR(__xludf.DUMMYFUNCTION("""COMPUTED_VALUE"""),146)</f>
        <v>146</v>
      </c>
      <c r="P34" s="1">
        <f ca="1">IFERROR(__xludf.DUMMYFUNCTION("""COMPUTED_VALUE"""),104.5)</f>
        <v>104.5</v>
      </c>
      <c r="Q34" s="1">
        <f ca="1">IFERROR(__xludf.DUMMYFUNCTION("""COMPUTED_VALUE"""),170)</f>
        <v>170</v>
      </c>
      <c r="R34" s="1">
        <f ca="1">IFERROR(__xludf.DUMMYFUNCTION("""COMPUTED_VALUE"""),104.3)</f>
        <v>104.3</v>
      </c>
      <c r="S34" s="1">
        <f ca="1">IFERROR(__xludf.DUMMYFUNCTION("""COMPUTED_VALUE"""),125)</f>
        <v>125</v>
      </c>
      <c r="T34" s="1" t="str">
        <f ca="1">IFERROR(__xludf.DUMMYFUNCTION("""COMPUTED_VALUE"""),"+0.98")</f>
        <v>+0.98</v>
      </c>
      <c r="U34" s="1">
        <f ca="1">IFERROR(__xludf.DUMMYFUNCTION("""COMPUTED_VALUE"""),130)</f>
        <v>130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IFERROR(__xludf.DUMMYFUNCTION("""COMPUTED_VALUE"""),"New Mexico7")</f>
        <v>New Mexico7</v>
      </c>
      <c r="C35" s="1" t="str">
        <f ca="1">IFERROR(__xludf.DUMMYFUNCTION("""COMPUTED_VALUE"""),"MWC")</f>
        <v>MWC</v>
      </c>
      <c r="D35" s="1" t="str">
        <f ca="1">IFERROR(__xludf.DUMMYFUNCTION("""COMPUTED_VALUE"""),"27-7")</f>
        <v>27-7</v>
      </c>
      <c r="E35" s="1" t="str">
        <f ca="1">IFERROR(__xludf.DUMMYFUNCTION("""COMPUTED_VALUE"""),"+17.15")</f>
        <v>+17.15</v>
      </c>
      <c r="F35" s="1">
        <f ca="1">IFERROR(__xludf.DUMMYFUNCTION("""COMPUTED_VALUE"""),113.5)</f>
        <v>113.5</v>
      </c>
      <c r="G35" s="1">
        <f ca="1">IFERROR(__xludf.DUMMYFUNCTION("""COMPUTED_VALUE"""),41)</f>
        <v>41</v>
      </c>
      <c r="H35" s="1">
        <f ca="1">IFERROR(__xludf.DUMMYFUNCTION("""COMPUTED_VALUE"""),96.3)</f>
        <v>96.3</v>
      </c>
      <c r="I35" s="1">
        <f ca="1">IFERROR(__xludf.DUMMYFUNCTION("""COMPUTED_VALUE"""),39)</f>
        <v>39</v>
      </c>
      <c r="J35" s="1">
        <f ca="1">IFERROR(__xludf.DUMMYFUNCTION("""COMPUTED_VALUE"""),64.4)</f>
        <v>64.400000000000006</v>
      </c>
      <c r="K35" s="1">
        <f ca="1">IFERROR(__xludf.DUMMYFUNCTION("""COMPUTED_VALUE"""),191)</f>
        <v>191</v>
      </c>
      <c r="L35" s="1" t="str">
        <f ca="1">IFERROR(__xludf.DUMMYFUNCTION("""COMPUTED_VALUE"""),"+.032")</f>
        <v>+.032</v>
      </c>
      <c r="M35" s="1">
        <f ca="1">IFERROR(__xludf.DUMMYFUNCTION("""COMPUTED_VALUE"""),106)</f>
        <v>106</v>
      </c>
      <c r="N35" s="1" t="str">
        <f ca="1">IFERROR(__xludf.DUMMYFUNCTION("""COMPUTED_VALUE"""),"+4.83")</f>
        <v>+4.83</v>
      </c>
      <c r="O35" s="1">
        <f ca="1">IFERROR(__xludf.DUMMYFUNCTION("""COMPUTED_VALUE"""),88)</f>
        <v>88</v>
      </c>
      <c r="P35" s="1">
        <f ca="1">IFERROR(__xludf.DUMMYFUNCTION("""COMPUTED_VALUE"""),107.7)</f>
        <v>107.7</v>
      </c>
      <c r="Q35" s="1">
        <f ca="1">IFERROR(__xludf.DUMMYFUNCTION("""COMPUTED_VALUE"""),78)</f>
        <v>78</v>
      </c>
      <c r="R35" s="1">
        <f ca="1">IFERROR(__xludf.DUMMYFUNCTION("""COMPUTED_VALUE"""),102.9)</f>
        <v>102.9</v>
      </c>
      <c r="S35" s="1">
        <f ca="1">IFERROR(__xludf.DUMMYFUNCTION("""COMPUTED_VALUE"""),97)</f>
        <v>97</v>
      </c>
      <c r="T35" s="1" t="str">
        <f ca="1">IFERROR(__xludf.DUMMYFUNCTION("""COMPUTED_VALUE"""),"+3.24")</f>
        <v>+3.24</v>
      </c>
      <c r="U35" s="1">
        <f ca="1">IFERROR(__xludf.DUMMYFUNCTION("""COMPUTED_VALUE"""),69)</f>
        <v>69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IFERROR(__xludf.DUMMYFUNCTION("""COMPUTED_VALUE"""),"Stanford10")</f>
        <v>Stanford10</v>
      </c>
      <c r="C36" s="1" t="str">
        <f ca="1">IFERROR(__xludf.DUMMYFUNCTION("""COMPUTED_VALUE"""),"P12")</f>
        <v>P12</v>
      </c>
      <c r="D36" s="1" t="str">
        <f ca="1">IFERROR(__xludf.DUMMYFUNCTION("""COMPUTED_VALUE"""),"23-13")</f>
        <v>23-13</v>
      </c>
      <c r="E36" s="1" t="str">
        <f ca="1">IFERROR(__xludf.DUMMYFUNCTION("""COMPUTED_VALUE"""),"+16.06")</f>
        <v>+16.06</v>
      </c>
      <c r="F36" s="1">
        <f ca="1">IFERROR(__xludf.DUMMYFUNCTION("""COMPUTED_VALUE"""),112.4)</f>
        <v>112.4</v>
      </c>
      <c r="G36" s="1">
        <f ca="1">IFERROR(__xludf.DUMMYFUNCTION("""COMPUTED_VALUE"""),54)</f>
        <v>54</v>
      </c>
      <c r="H36" s="1">
        <f ca="1">IFERROR(__xludf.DUMMYFUNCTION("""COMPUTED_VALUE"""),96.4)</f>
        <v>96.4</v>
      </c>
      <c r="I36" s="1">
        <f ca="1">IFERROR(__xludf.DUMMYFUNCTION("""COMPUTED_VALUE"""),40)</f>
        <v>40</v>
      </c>
      <c r="J36" s="1">
        <f ca="1">IFERROR(__xludf.DUMMYFUNCTION("""COMPUTED_VALUE"""),65.3)</f>
        <v>65.3</v>
      </c>
      <c r="K36" s="1">
        <f ca="1">IFERROR(__xludf.DUMMYFUNCTION("""COMPUTED_VALUE"""),147)</f>
        <v>147</v>
      </c>
      <c r="L36" s="1" t="str">
        <f ca="1">IFERROR(__xludf.DUMMYFUNCTION("""COMPUTED_VALUE"""),"+.016")</f>
        <v>+.016</v>
      </c>
      <c r="M36" s="1">
        <f ca="1">IFERROR(__xludf.DUMMYFUNCTION("""COMPUTED_VALUE"""),144)</f>
        <v>144</v>
      </c>
      <c r="N36" s="1" t="str">
        <f ca="1">IFERROR(__xludf.DUMMYFUNCTION("""COMPUTED_VALUE"""),"+9.42")</f>
        <v>+9.42</v>
      </c>
      <c r="O36" s="1">
        <f ca="1">IFERROR(__xludf.DUMMYFUNCTION("""COMPUTED_VALUE"""),14)</f>
        <v>14</v>
      </c>
      <c r="P36" s="1">
        <f ca="1">IFERROR(__xludf.DUMMYFUNCTION("""COMPUTED_VALUE"""),110.2)</f>
        <v>110.2</v>
      </c>
      <c r="Q36" s="1">
        <f ca="1">IFERROR(__xludf.DUMMYFUNCTION("""COMPUTED_VALUE"""),17)</f>
        <v>17</v>
      </c>
      <c r="R36" s="1">
        <f ca="1">IFERROR(__xludf.DUMMYFUNCTION("""COMPUTED_VALUE"""),100.7)</f>
        <v>100.7</v>
      </c>
      <c r="S36" s="1">
        <f ca="1">IFERROR(__xludf.DUMMYFUNCTION("""COMPUTED_VALUE"""),25)</f>
        <v>25</v>
      </c>
      <c r="T36" s="1" t="str">
        <f ca="1">IFERROR(__xludf.DUMMYFUNCTION("""COMPUTED_VALUE"""),"+2.34")</f>
        <v>+2.34</v>
      </c>
      <c r="U36" s="1">
        <f ca="1">IFERROR(__xludf.DUMMYFUNCTION("""COMPUTED_VALUE"""),97)</f>
        <v>97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IFERROR(__xludf.DUMMYFUNCTION("""COMPUTED_VALUE"""),"Saint Louis5")</f>
        <v>Saint Louis5</v>
      </c>
      <c r="C37" s="1" t="str">
        <f ca="1">IFERROR(__xludf.DUMMYFUNCTION("""COMPUTED_VALUE"""),"A10")</f>
        <v>A10</v>
      </c>
      <c r="D37" s="1" t="str">
        <f ca="1">IFERROR(__xludf.DUMMYFUNCTION("""COMPUTED_VALUE"""),"27-7")</f>
        <v>27-7</v>
      </c>
      <c r="E37" s="1" t="str">
        <f ca="1">IFERROR(__xludf.DUMMYFUNCTION("""COMPUTED_VALUE"""),"+15.72")</f>
        <v>+15.72</v>
      </c>
      <c r="F37" s="1">
        <f ca="1">IFERROR(__xludf.DUMMYFUNCTION("""COMPUTED_VALUE"""),105.7)</f>
        <v>105.7</v>
      </c>
      <c r="G37" s="1">
        <f ca="1">IFERROR(__xludf.DUMMYFUNCTION("""COMPUTED_VALUE"""),168)</f>
        <v>168</v>
      </c>
      <c r="H37" s="1">
        <f ca="1">IFERROR(__xludf.DUMMYFUNCTION("""COMPUTED_VALUE"""),90)</f>
        <v>90</v>
      </c>
      <c r="I37" s="1">
        <f ca="1">IFERROR(__xludf.DUMMYFUNCTION("""COMPUTED_VALUE"""),8)</f>
        <v>8</v>
      </c>
      <c r="J37" s="1">
        <f ca="1">IFERROR(__xludf.DUMMYFUNCTION("""COMPUTED_VALUE"""),65.6)</f>
        <v>65.599999999999994</v>
      </c>
      <c r="K37" s="1">
        <f ca="1">IFERROR(__xludf.DUMMYFUNCTION("""COMPUTED_VALUE"""),124)</f>
        <v>124</v>
      </c>
      <c r="L37" s="1" t="str">
        <f ca="1">IFERROR(__xludf.DUMMYFUNCTION("""COMPUTED_VALUE"""),"+.040")</f>
        <v>+.040</v>
      </c>
      <c r="M37" s="1">
        <f ca="1">IFERROR(__xludf.DUMMYFUNCTION("""COMPUTED_VALUE"""),88)</f>
        <v>88</v>
      </c>
      <c r="N37" s="1" t="str">
        <f ca="1">IFERROR(__xludf.DUMMYFUNCTION("""COMPUTED_VALUE"""),"+5.04")</f>
        <v>+5.04</v>
      </c>
      <c r="O37" s="1">
        <f ca="1">IFERROR(__xludf.DUMMYFUNCTION("""COMPUTED_VALUE"""),85)</f>
        <v>85</v>
      </c>
      <c r="P37" s="1">
        <f ca="1">IFERROR(__xludf.DUMMYFUNCTION("""COMPUTED_VALUE"""),107.2)</f>
        <v>107.2</v>
      </c>
      <c r="Q37" s="1">
        <f ca="1">IFERROR(__xludf.DUMMYFUNCTION("""COMPUTED_VALUE"""),96)</f>
        <v>96</v>
      </c>
      <c r="R37" s="1">
        <f ca="1">IFERROR(__xludf.DUMMYFUNCTION("""COMPUTED_VALUE"""),102.2)</f>
        <v>102.2</v>
      </c>
      <c r="S37" s="1">
        <f ca="1">IFERROR(__xludf.DUMMYFUNCTION("""COMPUTED_VALUE"""),75)</f>
        <v>75</v>
      </c>
      <c r="T37" s="1">
        <f ca="1">IFERROR(__xludf.DUMMYFUNCTION("""COMPUTED_VALUE"""),-1.5)</f>
        <v>-1.5</v>
      </c>
      <c r="U37" s="1">
        <f ca="1">IFERROR(__xludf.DUMMYFUNCTION("""COMPUTED_VALUE"""),206)</f>
        <v>206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IFERROR(__xludf.DUMMYFUNCTION("""COMPUTED_VALUE"""),"Memphis8")</f>
        <v>Memphis8</v>
      </c>
      <c r="C38" s="1" t="str">
        <f ca="1">IFERROR(__xludf.DUMMYFUNCTION("""COMPUTED_VALUE"""),"Amer")</f>
        <v>Amer</v>
      </c>
      <c r="D38" s="1" t="str">
        <f ca="1">IFERROR(__xludf.DUMMYFUNCTION("""COMPUTED_VALUE"""),"24-10")</f>
        <v>24-10</v>
      </c>
      <c r="E38" s="1" t="str">
        <f ca="1">IFERROR(__xludf.DUMMYFUNCTION("""COMPUTED_VALUE"""),"+15.22")</f>
        <v>+15.22</v>
      </c>
      <c r="F38" s="1">
        <f ca="1">IFERROR(__xludf.DUMMYFUNCTION("""COMPUTED_VALUE"""),112.4)</f>
        <v>112.4</v>
      </c>
      <c r="G38" s="1">
        <f ca="1">IFERROR(__xludf.DUMMYFUNCTION("""COMPUTED_VALUE"""),56)</f>
        <v>56</v>
      </c>
      <c r="H38" s="1">
        <f ca="1">IFERROR(__xludf.DUMMYFUNCTION("""COMPUTED_VALUE"""),97.1)</f>
        <v>97.1</v>
      </c>
      <c r="I38" s="1">
        <f ca="1">IFERROR(__xludf.DUMMYFUNCTION("""COMPUTED_VALUE"""),50)</f>
        <v>50</v>
      </c>
      <c r="J38" s="1">
        <f ca="1">IFERROR(__xludf.DUMMYFUNCTION("""COMPUTED_VALUE"""),67.5)</f>
        <v>67.5</v>
      </c>
      <c r="K38" s="1">
        <f ca="1">IFERROR(__xludf.DUMMYFUNCTION("""COMPUTED_VALUE"""),53)</f>
        <v>53</v>
      </c>
      <c r="L38" s="1" t="str">
        <f ca="1">IFERROR(__xludf.DUMMYFUNCTION("""COMPUTED_VALUE"""),"+.048")</f>
        <v>+.048</v>
      </c>
      <c r="M38" s="1">
        <f ca="1">IFERROR(__xludf.DUMMYFUNCTION("""COMPUTED_VALUE"""),73)</f>
        <v>73</v>
      </c>
      <c r="N38" s="1" t="str">
        <f ca="1">IFERROR(__xludf.DUMMYFUNCTION("""COMPUTED_VALUE"""),"+7.25")</f>
        <v>+7.25</v>
      </c>
      <c r="O38" s="1">
        <f ca="1">IFERROR(__xludf.DUMMYFUNCTION("""COMPUTED_VALUE"""),54)</f>
        <v>54</v>
      </c>
      <c r="P38" s="1">
        <f ca="1">IFERROR(__xludf.DUMMYFUNCTION("""COMPUTED_VALUE"""),108.3)</f>
        <v>108.3</v>
      </c>
      <c r="Q38" s="1">
        <f ca="1">IFERROR(__xludf.DUMMYFUNCTION("""COMPUTED_VALUE"""),63)</f>
        <v>63</v>
      </c>
      <c r="R38" s="1">
        <f ca="1">IFERROR(__xludf.DUMMYFUNCTION("""COMPUTED_VALUE"""),101.1)</f>
        <v>101.1</v>
      </c>
      <c r="S38" s="1">
        <f ca="1">IFERROR(__xludf.DUMMYFUNCTION("""COMPUTED_VALUE"""),39)</f>
        <v>39</v>
      </c>
      <c r="T38" s="1" t="str">
        <f ca="1">IFERROR(__xludf.DUMMYFUNCTION("""COMPUTED_VALUE"""),"+0.02")</f>
        <v>+0.02</v>
      </c>
      <c r="U38" s="1">
        <f ca="1">IFERROR(__xludf.DUMMYFUNCTION("""COMPUTED_VALUE"""),160)</f>
        <v>160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IFERROR(__xludf.DUMMYFUNCTION("""COMPUTED_VALUE"""),"Louisiana Tech3")</f>
        <v>Louisiana Tech3</v>
      </c>
      <c r="C39" s="1" t="str">
        <f ca="1">IFERROR(__xludf.DUMMYFUNCTION("""COMPUTED_VALUE"""),"CUSA")</f>
        <v>CUSA</v>
      </c>
      <c r="D39" s="1" t="str">
        <f ca="1">IFERROR(__xludf.DUMMYFUNCTION("""COMPUTED_VALUE"""),"29-8")</f>
        <v>29-8</v>
      </c>
      <c r="E39" s="1" t="str">
        <f ca="1">IFERROR(__xludf.DUMMYFUNCTION("""COMPUTED_VALUE"""),"+15.10")</f>
        <v>+15.10</v>
      </c>
      <c r="F39" s="1">
        <f ca="1">IFERROR(__xludf.DUMMYFUNCTION("""COMPUTED_VALUE"""),110.4)</f>
        <v>110.4</v>
      </c>
      <c r="G39" s="1">
        <f ca="1">IFERROR(__xludf.DUMMYFUNCTION("""COMPUTED_VALUE"""),85)</f>
        <v>85</v>
      </c>
      <c r="H39" s="1">
        <f ca="1">IFERROR(__xludf.DUMMYFUNCTION("""COMPUTED_VALUE"""),95.3)</f>
        <v>95.3</v>
      </c>
      <c r="I39" s="1">
        <f ca="1">IFERROR(__xludf.DUMMYFUNCTION("""COMPUTED_VALUE"""),29)</f>
        <v>29</v>
      </c>
      <c r="J39" s="1">
        <f ca="1">IFERROR(__xludf.DUMMYFUNCTION("""COMPUTED_VALUE"""),69.6)</f>
        <v>69.599999999999994</v>
      </c>
      <c r="K39" s="1">
        <f ca="1">IFERROR(__xludf.DUMMYFUNCTION("""COMPUTED_VALUE"""),16)</f>
        <v>16</v>
      </c>
      <c r="L39" s="1" t="str">
        <f ca="1">IFERROR(__xludf.DUMMYFUNCTION("""COMPUTED_VALUE"""),"+.002")</f>
        <v>+.002</v>
      </c>
      <c r="M39" s="1">
        <f ca="1">IFERROR(__xludf.DUMMYFUNCTION("""COMPUTED_VALUE"""),184)</f>
        <v>184</v>
      </c>
      <c r="N39" s="1">
        <f ca="1">IFERROR(__xludf.DUMMYFUNCTION("""COMPUTED_VALUE"""),-1.67)</f>
        <v>-1.67</v>
      </c>
      <c r="O39" s="1">
        <f ca="1">IFERROR(__xludf.DUMMYFUNCTION("""COMPUTED_VALUE"""),180)</f>
        <v>180</v>
      </c>
      <c r="P39" s="1">
        <f ca="1">IFERROR(__xludf.DUMMYFUNCTION("""COMPUTED_VALUE"""),103.5)</f>
        <v>103.5</v>
      </c>
      <c r="Q39" s="1">
        <f ca="1">IFERROR(__xludf.DUMMYFUNCTION("""COMPUTED_VALUE"""),222)</f>
        <v>222</v>
      </c>
      <c r="R39" s="1">
        <f ca="1">IFERROR(__xludf.DUMMYFUNCTION("""COMPUTED_VALUE"""),105.2)</f>
        <v>105.2</v>
      </c>
      <c r="S39" s="1">
        <f ca="1">IFERROR(__xludf.DUMMYFUNCTION("""COMPUTED_VALUE"""),165)</f>
        <v>165</v>
      </c>
      <c r="T39" s="1">
        <f ca="1">IFERROR(__xludf.DUMMYFUNCTION("""COMPUTED_VALUE"""),-4.21)</f>
        <v>-4.21</v>
      </c>
      <c r="U39" s="1">
        <f ca="1">IFERROR(__xludf.DUMMYFUNCTION("""COMPUTED_VALUE"""),287)</f>
        <v>287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IFERROR(__xludf.DUMMYFUNCTION("""COMPUTED_VALUE"""),"Florida St.1")</f>
        <v>Florida St.1</v>
      </c>
      <c r="C40" s="1" t="str">
        <f ca="1">IFERROR(__xludf.DUMMYFUNCTION("""COMPUTED_VALUE"""),"ACC")</f>
        <v>ACC</v>
      </c>
      <c r="D40" s="1" t="str">
        <f ca="1">IFERROR(__xludf.DUMMYFUNCTION("""COMPUTED_VALUE"""),"22-14")</f>
        <v>22-14</v>
      </c>
      <c r="E40" s="1" t="str">
        <f ca="1">IFERROR(__xludf.DUMMYFUNCTION("""COMPUTED_VALUE"""),"+14.86")</f>
        <v>+14.86</v>
      </c>
      <c r="F40" s="1">
        <f ca="1">IFERROR(__xludf.DUMMYFUNCTION("""COMPUTED_VALUE"""),112.2)</f>
        <v>112.2</v>
      </c>
      <c r="G40" s="1">
        <f ca="1">IFERROR(__xludf.DUMMYFUNCTION("""COMPUTED_VALUE"""),59)</f>
        <v>59</v>
      </c>
      <c r="H40" s="1">
        <f ca="1">IFERROR(__xludf.DUMMYFUNCTION("""COMPUTED_VALUE"""),97.4)</f>
        <v>97.4</v>
      </c>
      <c r="I40" s="1">
        <f ca="1">IFERROR(__xludf.DUMMYFUNCTION("""COMPUTED_VALUE"""),54)</f>
        <v>54</v>
      </c>
      <c r="J40" s="1">
        <f ca="1">IFERROR(__xludf.DUMMYFUNCTION("""COMPUTED_VALUE"""),65.2)</f>
        <v>65.2</v>
      </c>
      <c r="K40" s="1">
        <f ca="1">IFERROR(__xludf.DUMMYFUNCTION("""COMPUTED_VALUE"""),149)</f>
        <v>149</v>
      </c>
      <c r="L40" s="1">
        <f ca="1">IFERROR(__xludf.DUMMYFUNCTION("""COMPUTED_VALUE"""),-0.005)</f>
        <v>-5.0000000000000001E-3</v>
      </c>
      <c r="M40" s="1">
        <f ca="1">IFERROR(__xludf.DUMMYFUNCTION("""COMPUTED_VALUE"""),198)</f>
        <v>198</v>
      </c>
      <c r="N40" s="1" t="str">
        <f ca="1">IFERROR(__xludf.DUMMYFUNCTION("""COMPUTED_VALUE"""),"+9.31")</f>
        <v>+9.31</v>
      </c>
      <c r="O40" s="1">
        <f ca="1">IFERROR(__xludf.DUMMYFUNCTION("""COMPUTED_VALUE"""),16)</f>
        <v>16</v>
      </c>
      <c r="P40" s="1">
        <f ca="1">IFERROR(__xludf.DUMMYFUNCTION("""COMPUTED_VALUE"""),109.4)</f>
        <v>109.4</v>
      </c>
      <c r="Q40" s="1">
        <f ca="1">IFERROR(__xludf.DUMMYFUNCTION("""COMPUTED_VALUE"""),30)</f>
        <v>30</v>
      </c>
      <c r="R40" s="1">
        <f ca="1">IFERROR(__xludf.DUMMYFUNCTION("""COMPUTED_VALUE"""),100.1)</f>
        <v>100.1</v>
      </c>
      <c r="S40" s="1">
        <f ca="1">IFERROR(__xludf.DUMMYFUNCTION("""COMPUTED_VALUE"""),9)</f>
        <v>9</v>
      </c>
      <c r="T40" s="1" t="str">
        <f ca="1">IFERROR(__xludf.DUMMYFUNCTION("""COMPUTED_VALUE"""),"+2.05")</f>
        <v>+2.05</v>
      </c>
      <c r="U40" s="1">
        <f ca="1">IFERROR(__xludf.DUMMYFUNCTION("""COMPUTED_VALUE"""),102)</f>
        <v>102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IFERROR(__xludf.DUMMYFUNCTION("""COMPUTED_VALUE"""),"Arizona St.10")</f>
        <v>Arizona St.10</v>
      </c>
      <c r="C41" s="1" t="str">
        <f ca="1">IFERROR(__xludf.DUMMYFUNCTION("""COMPUTED_VALUE"""),"P12")</f>
        <v>P12</v>
      </c>
      <c r="D41" s="1" t="str">
        <f ca="1">IFERROR(__xludf.DUMMYFUNCTION("""COMPUTED_VALUE"""),"21-12")</f>
        <v>21-12</v>
      </c>
      <c r="E41" s="1" t="str">
        <f ca="1">IFERROR(__xludf.DUMMYFUNCTION("""COMPUTED_VALUE"""),"+14.82")</f>
        <v>+14.82</v>
      </c>
      <c r="F41" s="1">
        <f ca="1">IFERROR(__xludf.DUMMYFUNCTION("""COMPUTED_VALUE"""),111.2)</f>
        <v>111.2</v>
      </c>
      <c r="G41" s="1">
        <f ca="1">IFERROR(__xludf.DUMMYFUNCTION("""COMPUTED_VALUE"""),67)</f>
        <v>67</v>
      </c>
      <c r="H41" s="1">
        <f ca="1">IFERROR(__xludf.DUMMYFUNCTION("""COMPUTED_VALUE"""),96.4)</f>
        <v>96.4</v>
      </c>
      <c r="I41" s="1">
        <f ca="1">IFERROR(__xludf.DUMMYFUNCTION("""COMPUTED_VALUE"""),41)</f>
        <v>41</v>
      </c>
      <c r="J41" s="1">
        <f ca="1">IFERROR(__xludf.DUMMYFUNCTION("""COMPUTED_VALUE"""),67.4)</f>
        <v>67.400000000000006</v>
      </c>
      <c r="K41" s="1">
        <f ca="1">IFERROR(__xludf.DUMMYFUNCTION("""COMPUTED_VALUE"""),58)</f>
        <v>58</v>
      </c>
      <c r="L41" s="1" t="str">
        <f ca="1">IFERROR(__xludf.DUMMYFUNCTION("""COMPUTED_VALUE"""),"+.003")</f>
        <v>+.003</v>
      </c>
      <c r="M41" s="1">
        <f ca="1">IFERROR(__xludf.DUMMYFUNCTION("""COMPUTED_VALUE"""),180)</f>
        <v>180</v>
      </c>
      <c r="N41" s="1" t="str">
        <f ca="1">IFERROR(__xludf.DUMMYFUNCTION("""COMPUTED_VALUE"""),"+7.50")</f>
        <v>+7.50</v>
      </c>
      <c r="O41" s="1">
        <f ca="1">IFERROR(__xludf.DUMMYFUNCTION("""COMPUTED_VALUE"""),47)</f>
        <v>47</v>
      </c>
      <c r="P41" s="1">
        <f ca="1">IFERROR(__xludf.DUMMYFUNCTION("""COMPUTED_VALUE"""),108.6)</f>
        <v>108.6</v>
      </c>
      <c r="Q41" s="1">
        <f ca="1">IFERROR(__xludf.DUMMYFUNCTION("""COMPUTED_VALUE"""),53)</f>
        <v>53</v>
      </c>
      <c r="R41" s="1">
        <f ca="1">IFERROR(__xludf.DUMMYFUNCTION("""COMPUTED_VALUE"""),101.1)</f>
        <v>101.1</v>
      </c>
      <c r="S41" s="1">
        <f ca="1">IFERROR(__xludf.DUMMYFUNCTION("""COMPUTED_VALUE"""),41)</f>
        <v>41</v>
      </c>
      <c r="T41" s="1">
        <f ca="1">IFERROR(__xludf.DUMMYFUNCTION("""COMPUTED_VALUE"""),-2.6)</f>
        <v>-2.6</v>
      </c>
      <c r="U41" s="1">
        <f ca="1">IFERROR(__xludf.DUMMYFUNCTION("""COMPUTED_VALUE"""),234)</f>
        <v>234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IFERROR(__xludf.DUMMYFUNCTION("""COMPUTED_VALUE"""),"Utah5")</f>
        <v>Utah5</v>
      </c>
      <c r="C42" s="1" t="str">
        <f ca="1">IFERROR(__xludf.DUMMYFUNCTION("""COMPUTED_VALUE"""),"P12")</f>
        <v>P12</v>
      </c>
      <c r="D42" s="1" t="str">
        <f ca="1">IFERROR(__xludf.DUMMYFUNCTION("""COMPUTED_VALUE"""),"21-12")</f>
        <v>21-12</v>
      </c>
      <c r="E42" s="1" t="str">
        <f ca="1">IFERROR(__xludf.DUMMYFUNCTION("""COMPUTED_VALUE"""),"+14.81")</f>
        <v>+14.81</v>
      </c>
      <c r="F42" s="1">
        <f ca="1">IFERROR(__xludf.DUMMYFUNCTION("""COMPUTED_VALUE"""),110.7)</f>
        <v>110.7</v>
      </c>
      <c r="G42" s="1">
        <f ca="1">IFERROR(__xludf.DUMMYFUNCTION("""COMPUTED_VALUE"""),77)</f>
        <v>77</v>
      </c>
      <c r="H42" s="1">
        <f ca="1">IFERROR(__xludf.DUMMYFUNCTION("""COMPUTED_VALUE"""),95.9)</f>
        <v>95.9</v>
      </c>
      <c r="I42" s="1">
        <f ca="1">IFERROR(__xludf.DUMMYFUNCTION("""COMPUTED_VALUE"""),33)</f>
        <v>33</v>
      </c>
      <c r="J42" s="1">
        <f ca="1">IFERROR(__xludf.DUMMYFUNCTION("""COMPUTED_VALUE"""),63.6)</f>
        <v>63.6</v>
      </c>
      <c r="K42" s="1">
        <f ca="1">IFERROR(__xludf.DUMMYFUNCTION("""COMPUTED_VALUE"""),230)</f>
        <v>230</v>
      </c>
      <c r="L42" s="1">
        <f ca="1">IFERROR(__xludf.DUMMYFUNCTION("""COMPUTED_VALUE"""),-0.052)</f>
        <v>-5.1999999999999998E-2</v>
      </c>
      <c r="M42" s="1">
        <f ca="1">IFERROR(__xludf.DUMMYFUNCTION("""COMPUTED_VALUE"""),300)</f>
        <v>300</v>
      </c>
      <c r="N42" s="1" t="str">
        <f ca="1">IFERROR(__xludf.DUMMYFUNCTION("""COMPUTED_VALUE"""),"+5.51")</f>
        <v>+5.51</v>
      </c>
      <c r="O42" s="1">
        <f ca="1">IFERROR(__xludf.DUMMYFUNCTION("""COMPUTED_VALUE"""),76)</f>
        <v>76</v>
      </c>
      <c r="P42" s="1">
        <f ca="1">IFERROR(__xludf.DUMMYFUNCTION("""COMPUTED_VALUE"""),107.8)</f>
        <v>107.8</v>
      </c>
      <c r="Q42" s="1">
        <f ca="1">IFERROR(__xludf.DUMMYFUNCTION("""COMPUTED_VALUE"""),75)</f>
        <v>75</v>
      </c>
      <c r="R42" s="1">
        <f ca="1">IFERROR(__xludf.DUMMYFUNCTION("""COMPUTED_VALUE"""),102.3)</f>
        <v>102.3</v>
      </c>
      <c r="S42" s="1">
        <f ca="1">IFERROR(__xludf.DUMMYFUNCTION("""COMPUTED_VALUE"""),80)</f>
        <v>80</v>
      </c>
      <c r="T42" s="1">
        <f ca="1">IFERROR(__xludf.DUMMYFUNCTION("""COMPUTED_VALUE"""),-11.55)</f>
        <v>-11.55</v>
      </c>
      <c r="U42" s="1">
        <f ca="1">IFERROR(__xludf.DUMMYFUNCTION("""COMPUTED_VALUE"""),350)</f>
        <v>350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IFERROR(__xludf.DUMMYFUNCTION("""COMPUTED_VALUE"""),"Texas7")</f>
        <v>Texas7</v>
      </c>
      <c r="C45" s="1" t="str">
        <f ca="1">IFERROR(__xludf.DUMMYFUNCTION("""COMPUTED_VALUE"""),"B12")</f>
        <v>B12</v>
      </c>
      <c r="D45" s="1" t="str">
        <f ca="1">IFERROR(__xludf.DUMMYFUNCTION("""COMPUTED_VALUE"""),"24-11")</f>
        <v>24-11</v>
      </c>
      <c r="E45" s="1" t="str">
        <f ca="1">IFERROR(__xludf.DUMMYFUNCTION("""COMPUTED_VALUE"""),"+14.52")</f>
        <v>+14.52</v>
      </c>
      <c r="F45" s="1">
        <f ca="1">IFERROR(__xludf.DUMMYFUNCTION("""COMPUTED_VALUE"""),111.8)</f>
        <v>111.8</v>
      </c>
      <c r="G45" s="1">
        <f ca="1">IFERROR(__xludf.DUMMYFUNCTION("""COMPUTED_VALUE"""),61)</f>
        <v>61</v>
      </c>
      <c r="H45" s="1">
        <f ca="1">IFERROR(__xludf.DUMMYFUNCTION("""COMPUTED_VALUE"""),97.3)</f>
        <v>97.3</v>
      </c>
      <c r="I45" s="1">
        <f ca="1">IFERROR(__xludf.DUMMYFUNCTION("""COMPUTED_VALUE"""),53)</f>
        <v>53</v>
      </c>
      <c r="J45" s="1">
        <f ca="1">IFERROR(__xludf.DUMMYFUNCTION("""COMPUTED_VALUE"""),66.8)</f>
        <v>66.8</v>
      </c>
      <c r="K45" s="1">
        <f ca="1">IFERROR(__xludf.DUMMYFUNCTION("""COMPUTED_VALUE"""),70)</f>
        <v>70</v>
      </c>
      <c r="L45" s="1" t="str">
        <f ca="1">IFERROR(__xludf.DUMMYFUNCTION("""COMPUTED_VALUE"""),"+.092")</f>
        <v>+.092</v>
      </c>
      <c r="M45" s="1">
        <f ca="1">IFERROR(__xludf.DUMMYFUNCTION("""COMPUTED_VALUE"""),14)</f>
        <v>14</v>
      </c>
      <c r="N45" s="1" t="str">
        <f ca="1">IFERROR(__xludf.DUMMYFUNCTION("""COMPUTED_VALUE"""),"+9.61")</f>
        <v>+9.61</v>
      </c>
      <c r="O45" s="1">
        <f ca="1">IFERROR(__xludf.DUMMYFUNCTION("""COMPUTED_VALUE"""),10)</f>
        <v>10</v>
      </c>
      <c r="P45" s="1">
        <f ca="1">IFERROR(__xludf.DUMMYFUNCTION("""COMPUTED_VALUE"""),110.9)</f>
        <v>110.9</v>
      </c>
      <c r="Q45" s="1">
        <f ca="1">IFERROR(__xludf.DUMMYFUNCTION("""COMPUTED_VALUE"""),4)</f>
        <v>4</v>
      </c>
      <c r="R45" s="1">
        <f ca="1">IFERROR(__xludf.DUMMYFUNCTION("""COMPUTED_VALUE"""),101.3)</f>
        <v>101.3</v>
      </c>
      <c r="S45" s="1">
        <f ca="1">IFERROR(__xludf.DUMMYFUNCTION("""COMPUTED_VALUE"""),46)</f>
        <v>46</v>
      </c>
      <c r="T45" s="1">
        <f ca="1">IFERROR(__xludf.DUMMYFUNCTION("""COMPUTED_VALUE"""),-1.74)</f>
        <v>-1.74</v>
      </c>
      <c r="U45" s="1">
        <f ca="1">IFERROR(__xludf.DUMMYFUNCTION("""COMPUTED_VALUE"""),213)</f>
        <v>213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IFERROR(__xludf.DUMMYFUNCTION("""COMPUTED_VALUE"""),"Dayton11")</f>
        <v>Dayton11</v>
      </c>
      <c r="C46" s="1" t="str">
        <f ca="1">IFERROR(__xludf.DUMMYFUNCTION("""COMPUTED_VALUE"""),"A10")</f>
        <v>A10</v>
      </c>
      <c r="D46" s="1" t="str">
        <f ca="1">IFERROR(__xludf.DUMMYFUNCTION("""COMPUTED_VALUE"""),"26-11")</f>
        <v>26-11</v>
      </c>
      <c r="E46" s="1" t="str">
        <f ca="1">IFERROR(__xludf.DUMMYFUNCTION("""COMPUTED_VALUE"""),"+14.25")</f>
        <v>+14.25</v>
      </c>
      <c r="F46" s="1">
        <f ca="1">IFERROR(__xludf.DUMMYFUNCTION("""COMPUTED_VALUE"""),113.8)</f>
        <v>113.8</v>
      </c>
      <c r="G46" s="1">
        <f ca="1">IFERROR(__xludf.DUMMYFUNCTION("""COMPUTED_VALUE"""),37)</f>
        <v>37</v>
      </c>
      <c r="H46" s="1">
        <f ca="1">IFERROR(__xludf.DUMMYFUNCTION("""COMPUTED_VALUE"""),99.6)</f>
        <v>99.6</v>
      </c>
      <c r="I46" s="1">
        <f ca="1">IFERROR(__xludf.DUMMYFUNCTION("""COMPUTED_VALUE"""),72)</f>
        <v>72</v>
      </c>
      <c r="J46" s="1">
        <f ca="1">IFERROR(__xludf.DUMMYFUNCTION("""COMPUTED_VALUE"""),63.8)</f>
        <v>63.8</v>
      </c>
      <c r="K46" s="1">
        <f ca="1">IFERROR(__xludf.DUMMYFUNCTION("""COMPUTED_VALUE"""),223)</f>
        <v>223</v>
      </c>
      <c r="L46" s="1" t="str">
        <f ca="1">IFERROR(__xludf.DUMMYFUNCTION("""COMPUTED_VALUE"""),"+.038")</f>
        <v>+.038</v>
      </c>
      <c r="M46" s="1">
        <f ca="1">IFERROR(__xludf.DUMMYFUNCTION("""COMPUTED_VALUE"""),93)</f>
        <v>93</v>
      </c>
      <c r="N46" s="1" t="str">
        <f ca="1">IFERROR(__xludf.DUMMYFUNCTION("""COMPUTED_VALUE"""),"+6.25")</f>
        <v>+6.25</v>
      </c>
      <c r="O46" s="1">
        <f ca="1">IFERROR(__xludf.DUMMYFUNCTION("""COMPUTED_VALUE"""),63)</f>
        <v>63</v>
      </c>
      <c r="P46" s="1">
        <f ca="1">IFERROR(__xludf.DUMMYFUNCTION("""COMPUTED_VALUE"""),107.7)</f>
        <v>107.7</v>
      </c>
      <c r="Q46" s="1">
        <f ca="1">IFERROR(__xludf.DUMMYFUNCTION("""COMPUTED_VALUE"""),79)</f>
        <v>79</v>
      </c>
      <c r="R46" s="1">
        <f ca="1">IFERROR(__xludf.DUMMYFUNCTION("""COMPUTED_VALUE"""),101.4)</f>
        <v>101.4</v>
      </c>
      <c r="S46" s="1">
        <f ca="1">IFERROR(__xludf.DUMMYFUNCTION("""COMPUTED_VALUE"""),51)</f>
        <v>51</v>
      </c>
      <c r="T46" s="1">
        <f ca="1">IFERROR(__xludf.DUMMYFUNCTION("""COMPUTED_VALUE"""),-0.57)</f>
        <v>-0.56999999999999995</v>
      </c>
      <c r="U46" s="1">
        <f ca="1">IFERROR(__xludf.DUMMYFUNCTION("""COMPUTED_VALUE"""),178)</f>
        <v>178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IFERROR(__xludf.DUMMYFUNCTION("""COMPUTED_VALUE"""),"Maryland")</f>
        <v>Maryland</v>
      </c>
      <c r="C47" s="1" t="str">
        <f ca="1">IFERROR(__xludf.DUMMYFUNCTION("""COMPUTED_VALUE"""),"ACC")</f>
        <v>ACC</v>
      </c>
      <c r="D47" s="1" t="str">
        <f ca="1">IFERROR(__xludf.DUMMYFUNCTION("""COMPUTED_VALUE"""),"17-15")</f>
        <v>17-15</v>
      </c>
      <c r="E47" s="1" t="str">
        <f ca="1">IFERROR(__xludf.DUMMYFUNCTION("""COMPUTED_VALUE"""),"+14.20")</f>
        <v>+14.20</v>
      </c>
      <c r="F47" s="1">
        <f ca="1">IFERROR(__xludf.DUMMYFUNCTION("""COMPUTED_VALUE"""),109.4)</f>
        <v>109.4</v>
      </c>
      <c r="G47" s="1">
        <f ca="1">IFERROR(__xludf.DUMMYFUNCTION("""COMPUTED_VALUE"""),101)</f>
        <v>101</v>
      </c>
      <c r="H47" s="1">
        <f ca="1">IFERROR(__xludf.DUMMYFUNCTION("""COMPUTED_VALUE"""),95.2)</f>
        <v>95.2</v>
      </c>
      <c r="I47" s="1">
        <f ca="1">IFERROR(__xludf.DUMMYFUNCTION("""COMPUTED_VALUE"""),26)</f>
        <v>26</v>
      </c>
      <c r="J47" s="1">
        <f ca="1">IFERROR(__xludf.DUMMYFUNCTION("""COMPUTED_VALUE"""),67.4)</f>
        <v>67.400000000000006</v>
      </c>
      <c r="K47" s="1">
        <f ca="1">IFERROR(__xludf.DUMMYFUNCTION("""COMPUTED_VALUE"""),57)</f>
        <v>57</v>
      </c>
      <c r="L47" s="1">
        <f ca="1">IFERROR(__xludf.DUMMYFUNCTION("""COMPUTED_VALUE"""),-0.074)</f>
        <v>-7.3999999999999996E-2</v>
      </c>
      <c r="M47" s="1">
        <f ca="1">IFERROR(__xludf.DUMMYFUNCTION("""COMPUTED_VALUE"""),329)</f>
        <v>329</v>
      </c>
      <c r="N47" s="1" t="str">
        <f ca="1">IFERROR(__xludf.DUMMYFUNCTION("""COMPUTED_VALUE"""),"+8.65")</f>
        <v>+8.65</v>
      </c>
      <c r="O47" s="1">
        <f ca="1">IFERROR(__xludf.DUMMYFUNCTION("""COMPUTED_VALUE"""),29)</f>
        <v>29</v>
      </c>
      <c r="P47" s="1">
        <f ca="1">IFERROR(__xludf.DUMMYFUNCTION("""COMPUTED_VALUE"""),109)</f>
        <v>109</v>
      </c>
      <c r="Q47" s="1">
        <f ca="1">IFERROR(__xludf.DUMMYFUNCTION("""COMPUTED_VALUE"""),40)</f>
        <v>40</v>
      </c>
      <c r="R47" s="1">
        <f ca="1">IFERROR(__xludf.DUMMYFUNCTION("""COMPUTED_VALUE"""),100.4)</f>
        <v>100.4</v>
      </c>
      <c r="S47" s="1">
        <f ca="1">IFERROR(__xludf.DUMMYFUNCTION("""COMPUTED_VALUE"""),15)</f>
        <v>15</v>
      </c>
      <c r="T47" s="1" t="str">
        <f ca="1">IFERROR(__xludf.DUMMYFUNCTION("""COMPUTED_VALUE"""),"+2.03")</f>
        <v>+2.03</v>
      </c>
      <c r="U47" s="1">
        <f ca="1">IFERROR(__xludf.DUMMYFUNCTION("""COMPUTED_VALUE"""),103)</f>
        <v>103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IFERROR(__xludf.DUMMYFUNCTION("""COMPUTED_VALUE"""),"Arkansas3")</f>
        <v>Arkansas3</v>
      </c>
      <c r="C48" s="1" t="str">
        <f ca="1">IFERROR(__xludf.DUMMYFUNCTION("""COMPUTED_VALUE"""),"SEC")</f>
        <v>SEC</v>
      </c>
      <c r="D48" s="1" t="str">
        <f ca="1">IFERROR(__xludf.DUMMYFUNCTION("""COMPUTED_VALUE"""),"22-12")</f>
        <v>22-12</v>
      </c>
      <c r="E48" s="1" t="str">
        <f ca="1">IFERROR(__xludf.DUMMYFUNCTION("""COMPUTED_VALUE"""),"+14.14")</f>
        <v>+14.14</v>
      </c>
      <c r="F48" s="1">
        <f ca="1">IFERROR(__xludf.DUMMYFUNCTION("""COMPUTED_VALUE"""),111.1)</f>
        <v>111.1</v>
      </c>
      <c r="G48" s="1">
        <f ca="1">IFERROR(__xludf.DUMMYFUNCTION("""COMPUTED_VALUE"""),71)</f>
        <v>71</v>
      </c>
      <c r="H48" s="1">
        <f ca="1">IFERROR(__xludf.DUMMYFUNCTION("""COMPUTED_VALUE"""),96.9)</f>
        <v>96.9</v>
      </c>
      <c r="I48" s="1">
        <f ca="1">IFERROR(__xludf.DUMMYFUNCTION("""COMPUTED_VALUE"""),44)</f>
        <v>44</v>
      </c>
      <c r="J48" s="1">
        <f ca="1">IFERROR(__xludf.DUMMYFUNCTION("""COMPUTED_VALUE"""),70.7)</f>
        <v>70.7</v>
      </c>
      <c r="K48" s="1">
        <f ca="1">IFERROR(__xludf.DUMMYFUNCTION("""COMPUTED_VALUE"""),7)</f>
        <v>7</v>
      </c>
      <c r="L48" s="1">
        <f ca="1">IFERROR(__xludf.DUMMYFUNCTION("""COMPUTED_VALUE"""),-0.033)</f>
        <v>-3.3000000000000002E-2</v>
      </c>
      <c r="M48" s="1">
        <f ca="1">IFERROR(__xludf.DUMMYFUNCTION("""COMPUTED_VALUE"""),252)</f>
        <v>252</v>
      </c>
      <c r="N48" s="1" t="str">
        <f ca="1">IFERROR(__xludf.DUMMYFUNCTION("""COMPUTED_VALUE"""),"+5.04")</f>
        <v>+5.04</v>
      </c>
      <c r="O48" s="1">
        <f ca="1">IFERROR(__xludf.DUMMYFUNCTION("""COMPUTED_VALUE"""),84)</f>
        <v>84</v>
      </c>
      <c r="P48" s="1">
        <f ca="1">IFERROR(__xludf.DUMMYFUNCTION("""COMPUTED_VALUE"""),107.5)</f>
        <v>107.5</v>
      </c>
      <c r="Q48" s="1">
        <f ca="1">IFERROR(__xludf.DUMMYFUNCTION("""COMPUTED_VALUE"""),84)</f>
        <v>84</v>
      </c>
      <c r="R48" s="1">
        <f ca="1">IFERROR(__xludf.DUMMYFUNCTION("""COMPUTED_VALUE"""),102.5)</f>
        <v>102.5</v>
      </c>
      <c r="S48" s="1">
        <f ca="1">IFERROR(__xludf.DUMMYFUNCTION("""COMPUTED_VALUE"""),85)</f>
        <v>85</v>
      </c>
      <c r="T48" s="1">
        <f ca="1">IFERROR(__xludf.DUMMYFUNCTION("""COMPUTED_VALUE"""),-5.18)</f>
        <v>-5.18</v>
      </c>
      <c r="U48" s="1">
        <f ca="1">IFERROR(__xludf.DUMMYFUNCTION("""COMPUTED_VALUE"""),305)</f>
        <v>305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IFERROR(__xludf.DUMMYFUNCTION("""COMPUTED_VALUE"""),"Kansas St.9")</f>
        <v>Kansas St.9</v>
      </c>
      <c r="C49" s="1" t="str">
        <f ca="1">IFERROR(__xludf.DUMMYFUNCTION("""COMPUTED_VALUE"""),"B12")</f>
        <v>B12</v>
      </c>
      <c r="D49" s="1" t="str">
        <f ca="1">IFERROR(__xludf.DUMMYFUNCTION("""COMPUTED_VALUE"""),"20-13")</f>
        <v>20-13</v>
      </c>
      <c r="E49" s="1" t="str">
        <f ca="1">IFERROR(__xludf.DUMMYFUNCTION("""COMPUTED_VALUE"""),"+14.10")</f>
        <v>+14.10</v>
      </c>
      <c r="F49" s="1">
        <f ca="1">IFERROR(__xludf.DUMMYFUNCTION("""COMPUTED_VALUE"""),107.8)</f>
        <v>107.8</v>
      </c>
      <c r="G49" s="1">
        <f ca="1">IFERROR(__xludf.DUMMYFUNCTION("""COMPUTED_VALUE"""),125)</f>
        <v>125</v>
      </c>
      <c r="H49" s="1">
        <f ca="1">IFERROR(__xludf.DUMMYFUNCTION("""COMPUTED_VALUE"""),93.7)</f>
        <v>93.7</v>
      </c>
      <c r="I49" s="1">
        <f ca="1">IFERROR(__xludf.DUMMYFUNCTION("""COMPUTED_VALUE"""),16)</f>
        <v>16</v>
      </c>
      <c r="J49" s="1">
        <f ca="1">IFERROR(__xludf.DUMMYFUNCTION("""COMPUTED_VALUE"""),63.3)</f>
        <v>63.3</v>
      </c>
      <c r="K49" s="1">
        <f ca="1">IFERROR(__xludf.DUMMYFUNCTION("""COMPUTED_VALUE"""),247)</f>
        <v>247</v>
      </c>
      <c r="L49" s="1" t="str">
        <f ca="1">IFERROR(__xludf.DUMMYFUNCTION("""COMPUTED_VALUE"""),"+.001")</f>
        <v>+.001</v>
      </c>
      <c r="M49" s="1">
        <f ca="1">IFERROR(__xludf.DUMMYFUNCTION("""COMPUTED_VALUE"""),185)</f>
        <v>185</v>
      </c>
      <c r="N49" s="1" t="str">
        <f ca="1">IFERROR(__xludf.DUMMYFUNCTION("""COMPUTED_VALUE"""),"+8.17")</f>
        <v>+8.17</v>
      </c>
      <c r="O49" s="1">
        <f ca="1">IFERROR(__xludf.DUMMYFUNCTION("""COMPUTED_VALUE"""),35)</f>
        <v>35</v>
      </c>
      <c r="P49" s="1">
        <f ca="1">IFERROR(__xludf.DUMMYFUNCTION("""COMPUTED_VALUE"""),110.5)</f>
        <v>110.5</v>
      </c>
      <c r="Q49" s="1">
        <f ca="1">IFERROR(__xludf.DUMMYFUNCTION("""COMPUTED_VALUE"""),8)</f>
        <v>8</v>
      </c>
      <c r="R49" s="1">
        <f ca="1">IFERROR(__xludf.DUMMYFUNCTION("""COMPUTED_VALUE"""),102.3)</f>
        <v>102.3</v>
      </c>
      <c r="S49" s="1">
        <f ca="1">IFERROR(__xludf.DUMMYFUNCTION("""COMPUTED_VALUE"""),81)</f>
        <v>81</v>
      </c>
      <c r="T49" s="1">
        <f ca="1">IFERROR(__xludf.DUMMYFUNCTION("""COMPUTED_VALUE"""),-4.06)</f>
        <v>-4.0599999999999996</v>
      </c>
      <c r="U49" s="1">
        <f ca="1">IFERROR(__xludf.DUMMYFUNCTION("""COMPUTED_VALUE"""),285)</f>
        <v>285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IFERROR(__xludf.DUMMYFUNCTION("""COMPUTED_VALUE"""),"Minnesota1")</f>
        <v>Minnesota1</v>
      </c>
      <c r="C50" s="1" t="str">
        <f ca="1">IFERROR(__xludf.DUMMYFUNCTION("""COMPUTED_VALUE"""),"B10")</f>
        <v>B10</v>
      </c>
      <c r="D50" s="1" t="str">
        <f ca="1">IFERROR(__xludf.DUMMYFUNCTION("""COMPUTED_VALUE"""),"25-13")</f>
        <v>25-13</v>
      </c>
      <c r="E50" s="1" t="str">
        <f ca="1">IFERROR(__xludf.DUMMYFUNCTION("""COMPUTED_VALUE"""),"+13.93")</f>
        <v>+13.93</v>
      </c>
      <c r="F50" s="1">
        <f ca="1">IFERROR(__xludf.DUMMYFUNCTION("""COMPUTED_VALUE"""),113.8)</f>
        <v>113.8</v>
      </c>
      <c r="G50" s="1">
        <f ca="1">IFERROR(__xludf.DUMMYFUNCTION("""COMPUTED_VALUE"""),38)</f>
        <v>38</v>
      </c>
      <c r="H50" s="1">
        <f ca="1">IFERROR(__xludf.DUMMYFUNCTION("""COMPUTED_VALUE"""),99.9)</f>
        <v>99.9</v>
      </c>
      <c r="I50" s="1">
        <f ca="1">IFERROR(__xludf.DUMMYFUNCTION("""COMPUTED_VALUE"""),78)</f>
        <v>78</v>
      </c>
      <c r="J50" s="1">
        <f ca="1">IFERROR(__xludf.DUMMYFUNCTION("""COMPUTED_VALUE"""),63.3)</f>
        <v>63.3</v>
      </c>
      <c r="K50" s="1">
        <f ca="1">IFERROR(__xludf.DUMMYFUNCTION("""COMPUTED_VALUE"""),250)</f>
        <v>250</v>
      </c>
      <c r="L50" s="1" t="str">
        <f ca="1">IFERROR(__xludf.DUMMYFUNCTION("""COMPUTED_VALUE"""),"+.044")</f>
        <v>+.044</v>
      </c>
      <c r="M50" s="1">
        <f ca="1">IFERROR(__xludf.DUMMYFUNCTION("""COMPUTED_VALUE"""),81)</f>
        <v>81</v>
      </c>
      <c r="N50" s="1" t="str">
        <f ca="1">IFERROR(__xludf.DUMMYFUNCTION("""COMPUTED_VALUE"""),"+8.28")</f>
        <v>+8.28</v>
      </c>
      <c r="O50" s="1">
        <f ca="1">IFERROR(__xludf.DUMMYFUNCTION("""COMPUTED_VALUE"""),34)</f>
        <v>34</v>
      </c>
      <c r="P50" s="1">
        <f ca="1">IFERROR(__xludf.DUMMYFUNCTION("""COMPUTED_VALUE"""),108.9)</f>
        <v>108.9</v>
      </c>
      <c r="Q50" s="1">
        <f ca="1">IFERROR(__xludf.DUMMYFUNCTION("""COMPUTED_VALUE"""),44)</f>
        <v>44</v>
      </c>
      <c r="R50" s="1">
        <f ca="1">IFERROR(__xludf.DUMMYFUNCTION("""COMPUTED_VALUE"""),100.7)</f>
        <v>100.7</v>
      </c>
      <c r="S50" s="1">
        <f ca="1">IFERROR(__xludf.DUMMYFUNCTION("""COMPUTED_VALUE"""),22)</f>
        <v>22</v>
      </c>
      <c r="T50" s="1">
        <f ca="1">IFERROR(__xludf.DUMMYFUNCTION("""COMPUTED_VALUE"""),-3.49)</f>
        <v>-3.49</v>
      </c>
      <c r="U50" s="1">
        <f ca="1">IFERROR(__xludf.DUMMYFUNCTION("""COMPUTED_VALUE"""),270)</f>
        <v>270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IFERROR(__xludf.DUMMYFUNCTION("""COMPUTED_VALUE"""),"George Washington9")</f>
        <v>George Washington9</v>
      </c>
      <c r="C51" s="1" t="str">
        <f ca="1">IFERROR(__xludf.DUMMYFUNCTION("""COMPUTED_VALUE"""),"A10")</f>
        <v>A10</v>
      </c>
      <c r="D51" s="1" t="str">
        <f ca="1">IFERROR(__xludf.DUMMYFUNCTION("""COMPUTED_VALUE"""),"24-9")</f>
        <v>24-9</v>
      </c>
      <c r="E51" s="1" t="str">
        <f ca="1">IFERROR(__xludf.DUMMYFUNCTION("""COMPUTED_VALUE"""),"+13.82")</f>
        <v>+13.82</v>
      </c>
      <c r="F51" s="1">
        <f ca="1">IFERROR(__xludf.DUMMYFUNCTION("""COMPUTED_VALUE"""),110.8)</f>
        <v>110.8</v>
      </c>
      <c r="G51" s="1">
        <f ca="1">IFERROR(__xludf.DUMMYFUNCTION("""COMPUTED_VALUE"""),74)</f>
        <v>74</v>
      </c>
      <c r="H51" s="1">
        <f ca="1">IFERROR(__xludf.DUMMYFUNCTION("""COMPUTED_VALUE"""),97)</f>
        <v>97</v>
      </c>
      <c r="I51" s="1">
        <f ca="1">IFERROR(__xludf.DUMMYFUNCTION("""COMPUTED_VALUE"""),47)</f>
        <v>47</v>
      </c>
      <c r="J51" s="1">
        <f ca="1">IFERROR(__xludf.DUMMYFUNCTION("""COMPUTED_VALUE"""),65.3)</f>
        <v>65.3</v>
      </c>
      <c r="K51" s="1">
        <f ca="1">IFERROR(__xludf.DUMMYFUNCTION("""COMPUTED_VALUE"""),144)</f>
        <v>144</v>
      </c>
      <c r="L51" s="1" t="str">
        <f ca="1">IFERROR(__xludf.DUMMYFUNCTION("""COMPUTED_VALUE"""),"+.056")</f>
        <v>+.056</v>
      </c>
      <c r="M51" s="1">
        <f ca="1">IFERROR(__xludf.DUMMYFUNCTION("""COMPUTED_VALUE"""),61)</f>
        <v>61</v>
      </c>
      <c r="N51" s="1" t="str">
        <f ca="1">IFERROR(__xludf.DUMMYFUNCTION("""COMPUTED_VALUE"""),"+5.56")</f>
        <v>+5.56</v>
      </c>
      <c r="O51" s="1">
        <f ca="1">IFERROR(__xludf.DUMMYFUNCTION("""COMPUTED_VALUE"""),74)</f>
        <v>74</v>
      </c>
      <c r="P51" s="1">
        <f ca="1">IFERROR(__xludf.DUMMYFUNCTION("""COMPUTED_VALUE"""),107.3)</f>
        <v>107.3</v>
      </c>
      <c r="Q51" s="1">
        <f ca="1">IFERROR(__xludf.DUMMYFUNCTION("""COMPUTED_VALUE"""),95)</f>
        <v>95</v>
      </c>
      <c r="R51" s="1">
        <f ca="1">IFERROR(__xludf.DUMMYFUNCTION("""COMPUTED_VALUE"""),101.7)</f>
        <v>101.7</v>
      </c>
      <c r="S51" s="1">
        <f ca="1">IFERROR(__xludf.DUMMYFUNCTION("""COMPUTED_VALUE"""),61)</f>
        <v>61</v>
      </c>
      <c r="T51" s="1">
        <f ca="1">IFERROR(__xludf.DUMMYFUNCTION("""COMPUTED_VALUE"""),-0.08)</f>
        <v>-0.08</v>
      </c>
      <c r="U51" s="1">
        <f ca="1">IFERROR(__xludf.DUMMYFUNCTION("""COMPUTED_VALUE"""),162)</f>
        <v>162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IFERROR(__xludf.DUMMYFUNCTION("""COMPUTED_VALUE"""),"Providence11")</f>
        <v>Providence11</v>
      </c>
      <c r="C52" s="1" t="str">
        <f ca="1">IFERROR(__xludf.DUMMYFUNCTION("""COMPUTED_VALUE"""),"BE")</f>
        <v>BE</v>
      </c>
      <c r="D52" s="1" t="str">
        <f ca="1">IFERROR(__xludf.DUMMYFUNCTION("""COMPUTED_VALUE"""),"23-12")</f>
        <v>23-12</v>
      </c>
      <c r="E52" s="1" t="str">
        <f ca="1">IFERROR(__xludf.DUMMYFUNCTION("""COMPUTED_VALUE"""),"+13.81")</f>
        <v>+13.81</v>
      </c>
      <c r="F52" s="1">
        <f ca="1">IFERROR(__xludf.DUMMYFUNCTION("""COMPUTED_VALUE"""),114.6)</f>
        <v>114.6</v>
      </c>
      <c r="G52" s="1">
        <f ca="1">IFERROR(__xludf.DUMMYFUNCTION("""COMPUTED_VALUE"""),30)</f>
        <v>30</v>
      </c>
      <c r="H52" s="1">
        <f ca="1">IFERROR(__xludf.DUMMYFUNCTION("""COMPUTED_VALUE"""),100.8)</f>
        <v>100.8</v>
      </c>
      <c r="I52" s="1">
        <f ca="1">IFERROR(__xludf.DUMMYFUNCTION("""COMPUTED_VALUE"""),94)</f>
        <v>94</v>
      </c>
      <c r="J52" s="1">
        <f ca="1">IFERROR(__xludf.DUMMYFUNCTION("""COMPUTED_VALUE"""),62.9)</f>
        <v>62.9</v>
      </c>
      <c r="K52" s="1">
        <f ca="1">IFERROR(__xludf.DUMMYFUNCTION("""COMPUTED_VALUE"""),264)</f>
        <v>264</v>
      </c>
      <c r="L52" s="1" t="str">
        <f ca="1">IFERROR(__xludf.DUMMYFUNCTION("""COMPUTED_VALUE"""),"+.051")</f>
        <v>+.051</v>
      </c>
      <c r="M52" s="1">
        <f ca="1">IFERROR(__xludf.DUMMYFUNCTION("""COMPUTED_VALUE"""),69)</f>
        <v>69</v>
      </c>
      <c r="N52" s="1" t="str">
        <f ca="1">IFERROR(__xludf.DUMMYFUNCTION("""COMPUTED_VALUE"""),"+8.35")</f>
        <v>+8.35</v>
      </c>
      <c r="O52" s="1">
        <f ca="1">IFERROR(__xludf.DUMMYFUNCTION("""COMPUTED_VALUE"""),31)</f>
        <v>31</v>
      </c>
      <c r="P52" s="1">
        <f ca="1">IFERROR(__xludf.DUMMYFUNCTION("""COMPUTED_VALUE"""),109.2)</f>
        <v>109.2</v>
      </c>
      <c r="Q52" s="1">
        <f ca="1">IFERROR(__xludf.DUMMYFUNCTION("""COMPUTED_VALUE"""),35)</f>
        <v>35</v>
      </c>
      <c r="R52" s="1">
        <f ca="1">IFERROR(__xludf.DUMMYFUNCTION("""COMPUTED_VALUE"""),100.8)</f>
        <v>100.8</v>
      </c>
      <c r="S52" s="1">
        <f ca="1">IFERROR(__xludf.DUMMYFUNCTION("""COMPUTED_VALUE"""),32)</f>
        <v>32</v>
      </c>
      <c r="T52" s="1" t="str">
        <f ca="1">IFERROR(__xludf.DUMMYFUNCTION("""COMPUTED_VALUE"""),"+0.81")</f>
        <v>+0.81</v>
      </c>
      <c r="U52" s="1">
        <f ca="1">IFERROR(__xludf.DUMMYFUNCTION("""COMPUTED_VALUE"""),139)</f>
        <v>139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IFERROR(__xludf.DUMMYFUNCTION("""COMPUTED_VALUE"""),"BYU10")</f>
        <v>BYU10</v>
      </c>
      <c r="C53" s="1" t="str">
        <f ca="1">IFERROR(__xludf.DUMMYFUNCTION("""COMPUTED_VALUE"""),"WCC")</f>
        <v>WCC</v>
      </c>
      <c r="D53" s="1" t="str">
        <f ca="1">IFERROR(__xludf.DUMMYFUNCTION("""COMPUTED_VALUE"""),"23-12")</f>
        <v>23-12</v>
      </c>
      <c r="E53" s="1" t="str">
        <f ca="1">IFERROR(__xludf.DUMMYFUNCTION("""COMPUTED_VALUE"""),"+13.77")</f>
        <v>+13.77</v>
      </c>
      <c r="F53" s="1">
        <f ca="1">IFERROR(__xludf.DUMMYFUNCTION("""COMPUTED_VALUE"""),114.5)</f>
        <v>114.5</v>
      </c>
      <c r="G53" s="1">
        <f ca="1">IFERROR(__xludf.DUMMYFUNCTION("""COMPUTED_VALUE"""),31)</f>
        <v>31</v>
      </c>
      <c r="H53" s="1">
        <f ca="1">IFERROR(__xludf.DUMMYFUNCTION("""COMPUTED_VALUE"""),100.7)</f>
        <v>100.7</v>
      </c>
      <c r="I53" s="1">
        <f ca="1">IFERROR(__xludf.DUMMYFUNCTION("""COMPUTED_VALUE"""),93)</f>
        <v>93</v>
      </c>
      <c r="J53" s="1">
        <f ca="1">IFERROR(__xludf.DUMMYFUNCTION("""COMPUTED_VALUE"""),70.8)</f>
        <v>70.8</v>
      </c>
      <c r="K53" s="1">
        <f ca="1">IFERROR(__xludf.DUMMYFUNCTION("""COMPUTED_VALUE"""),6)</f>
        <v>6</v>
      </c>
      <c r="L53" s="1">
        <f ca="1">IFERROR(__xludf.DUMMYFUNCTION("""COMPUTED_VALUE"""),-0.004)</f>
        <v>-4.0000000000000001E-3</v>
      </c>
      <c r="M53" s="1">
        <f ca="1">IFERROR(__xludf.DUMMYFUNCTION("""COMPUTED_VALUE"""),194)</f>
        <v>194</v>
      </c>
      <c r="N53" s="1" t="str">
        <f ca="1">IFERROR(__xludf.DUMMYFUNCTION("""COMPUTED_VALUE"""),"+6.59")</f>
        <v>+6.59</v>
      </c>
      <c r="O53" s="1">
        <f ca="1">IFERROR(__xludf.DUMMYFUNCTION("""COMPUTED_VALUE"""),60)</f>
        <v>60</v>
      </c>
      <c r="P53" s="1">
        <f ca="1">IFERROR(__xludf.DUMMYFUNCTION("""COMPUTED_VALUE"""),109.6)</f>
        <v>109.6</v>
      </c>
      <c r="Q53" s="1">
        <f ca="1">IFERROR(__xludf.DUMMYFUNCTION("""COMPUTED_VALUE"""),26)</f>
        <v>26</v>
      </c>
      <c r="R53" s="1">
        <f ca="1">IFERROR(__xludf.DUMMYFUNCTION("""COMPUTED_VALUE"""),103)</f>
        <v>103</v>
      </c>
      <c r="S53" s="1">
        <f ca="1">IFERROR(__xludf.DUMMYFUNCTION("""COMPUTED_VALUE"""),98)</f>
        <v>98</v>
      </c>
      <c r="T53" s="1" t="str">
        <f ca="1">IFERROR(__xludf.DUMMYFUNCTION("""COMPUTED_VALUE"""),"+8.43")</f>
        <v>+8.43</v>
      </c>
      <c r="U53" s="1">
        <f ca="1">IFERROR(__xludf.DUMMYFUNCTION("""COMPUTED_VALUE"""),17)</f>
        <v>17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IFERROR(__xludf.DUMMYFUNCTION("""COMPUTED_VALUE"""),"Massachusetts6")</f>
        <v>Massachusetts6</v>
      </c>
      <c r="C54" s="1" t="str">
        <f ca="1">IFERROR(__xludf.DUMMYFUNCTION("""COMPUTED_VALUE"""),"A10")</f>
        <v>A10</v>
      </c>
      <c r="D54" s="1" t="str">
        <f ca="1">IFERROR(__xludf.DUMMYFUNCTION("""COMPUTED_VALUE"""),"24-9")</f>
        <v>24-9</v>
      </c>
      <c r="E54" s="1" t="str">
        <f ca="1">IFERROR(__xludf.DUMMYFUNCTION("""COMPUTED_VALUE"""),"+13.46")</f>
        <v>+13.46</v>
      </c>
      <c r="F54" s="1">
        <f ca="1">IFERROR(__xludf.DUMMYFUNCTION("""COMPUTED_VALUE"""),110)</f>
        <v>110</v>
      </c>
      <c r="G54" s="1">
        <f ca="1">IFERROR(__xludf.DUMMYFUNCTION("""COMPUTED_VALUE"""),91)</f>
        <v>91</v>
      </c>
      <c r="H54" s="1">
        <f ca="1">IFERROR(__xludf.DUMMYFUNCTION("""COMPUTED_VALUE"""),96.5)</f>
        <v>96.5</v>
      </c>
      <c r="I54" s="1">
        <f ca="1">IFERROR(__xludf.DUMMYFUNCTION("""COMPUTED_VALUE"""),43)</f>
        <v>43</v>
      </c>
      <c r="J54" s="1">
        <f ca="1">IFERROR(__xludf.DUMMYFUNCTION("""COMPUTED_VALUE"""),70.3)</f>
        <v>70.3</v>
      </c>
      <c r="K54" s="1">
        <f ca="1">IFERROR(__xludf.DUMMYFUNCTION("""COMPUTED_VALUE"""),11)</f>
        <v>11</v>
      </c>
      <c r="L54" s="1" t="str">
        <f ca="1">IFERROR(__xludf.DUMMYFUNCTION("""COMPUTED_VALUE"""),"+.065")</f>
        <v>+.065</v>
      </c>
      <c r="M54" s="1">
        <f ca="1">IFERROR(__xludf.DUMMYFUNCTION("""COMPUTED_VALUE"""),40)</f>
        <v>40</v>
      </c>
      <c r="N54" s="1" t="str">
        <f ca="1">IFERROR(__xludf.DUMMYFUNCTION("""COMPUTED_VALUE"""),"+7.33")</f>
        <v>+7.33</v>
      </c>
      <c r="O54" s="1">
        <f ca="1">IFERROR(__xludf.DUMMYFUNCTION("""COMPUTED_VALUE"""),52)</f>
        <v>52</v>
      </c>
      <c r="P54" s="1">
        <f ca="1">IFERROR(__xludf.DUMMYFUNCTION("""COMPUTED_VALUE"""),108)</f>
        <v>108</v>
      </c>
      <c r="Q54" s="1">
        <f ca="1">IFERROR(__xludf.DUMMYFUNCTION("""COMPUTED_VALUE"""),71)</f>
        <v>71</v>
      </c>
      <c r="R54" s="1">
        <f ca="1">IFERROR(__xludf.DUMMYFUNCTION("""COMPUTED_VALUE"""),100.6)</f>
        <v>100.6</v>
      </c>
      <c r="S54" s="1">
        <f ca="1">IFERROR(__xludf.DUMMYFUNCTION("""COMPUTED_VALUE"""),19)</f>
        <v>19</v>
      </c>
      <c r="T54" s="1" t="str">
        <f ca="1">IFERROR(__xludf.DUMMYFUNCTION("""COMPUTED_VALUE"""),"+5.53")</f>
        <v>+5.53</v>
      </c>
      <c r="U54" s="1">
        <f ca="1">IFERROR(__xludf.DUMMYFUNCTION("""COMPUTED_VALUE"""),40)</f>
        <v>40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IFERROR(__xludf.DUMMYFUNCTION("""COMPUTED_VALUE"""),"Clemson3")</f>
        <v>Clemson3</v>
      </c>
      <c r="C55" s="1" t="str">
        <f ca="1">IFERROR(__xludf.DUMMYFUNCTION("""COMPUTED_VALUE"""),"ACC")</f>
        <v>ACC</v>
      </c>
      <c r="D55" s="1" t="str">
        <f ca="1">IFERROR(__xludf.DUMMYFUNCTION("""COMPUTED_VALUE"""),"23-13")</f>
        <v>23-13</v>
      </c>
      <c r="E55" s="1" t="str">
        <f ca="1">IFERROR(__xludf.DUMMYFUNCTION("""COMPUTED_VALUE"""),"+13.35")</f>
        <v>+13.35</v>
      </c>
      <c r="F55" s="1">
        <f ca="1">IFERROR(__xludf.DUMMYFUNCTION("""COMPUTED_VALUE"""),107.1)</f>
        <v>107.1</v>
      </c>
      <c r="G55" s="1">
        <f ca="1">IFERROR(__xludf.DUMMYFUNCTION("""COMPUTED_VALUE"""),136)</f>
        <v>136</v>
      </c>
      <c r="H55" s="1">
        <f ca="1">IFERROR(__xludf.DUMMYFUNCTION("""COMPUTED_VALUE"""),93.7)</f>
        <v>93.7</v>
      </c>
      <c r="I55" s="1">
        <f ca="1">IFERROR(__xludf.DUMMYFUNCTION("""COMPUTED_VALUE"""),17)</f>
        <v>17</v>
      </c>
      <c r="J55" s="1">
        <f ca="1">IFERROR(__xludf.DUMMYFUNCTION("""COMPUTED_VALUE"""),58.7)</f>
        <v>58.7</v>
      </c>
      <c r="K55" s="1">
        <f ca="1">IFERROR(__xludf.DUMMYFUNCTION("""COMPUTED_VALUE"""),348)</f>
        <v>348</v>
      </c>
      <c r="L55" s="1" t="str">
        <f ca="1">IFERROR(__xludf.DUMMYFUNCTION("""COMPUTED_VALUE"""),"+.008")</f>
        <v>+.008</v>
      </c>
      <c r="M55" s="1">
        <f ca="1">IFERROR(__xludf.DUMMYFUNCTION("""COMPUTED_VALUE"""),163)</f>
        <v>163</v>
      </c>
      <c r="N55" s="1" t="str">
        <f ca="1">IFERROR(__xludf.DUMMYFUNCTION("""COMPUTED_VALUE"""),"+5.98")</f>
        <v>+5.98</v>
      </c>
      <c r="O55" s="1">
        <f ca="1">IFERROR(__xludf.DUMMYFUNCTION("""COMPUTED_VALUE"""),68)</f>
        <v>68</v>
      </c>
      <c r="P55" s="1">
        <f ca="1">IFERROR(__xludf.DUMMYFUNCTION("""COMPUTED_VALUE"""),108.5)</f>
        <v>108.5</v>
      </c>
      <c r="Q55" s="1">
        <f ca="1">IFERROR(__xludf.DUMMYFUNCTION("""COMPUTED_VALUE"""),56)</f>
        <v>56</v>
      </c>
      <c r="R55" s="1">
        <f ca="1">IFERROR(__xludf.DUMMYFUNCTION("""COMPUTED_VALUE"""),102.6)</f>
        <v>102.6</v>
      </c>
      <c r="S55" s="1">
        <f ca="1">IFERROR(__xludf.DUMMYFUNCTION("""COMPUTED_VALUE"""),87)</f>
        <v>87</v>
      </c>
      <c r="T55" s="1">
        <f ca="1">IFERROR(__xludf.DUMMYFUNCTION("""COMPUTED_VALUE"""),-6.67)</f>
        <v>-6.67</v>
      </c>
      <c r="U55" s="1">
        <f ca="1">IFERROR(__xludf.DUMMYFUNCTION("""COMPUTED_VALUE"""),325)</f>
        <v>325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IFERROR(__xludf.DUMMYFUNCTION("""COMPUTED_VALUE"""),"Xavier12")</f>
        <v>Xavier12</v>
      </c>
      <c r="C56" s="1" t="str">
        <f ca="1">IFERROR(__xludf.DUMMYFUNCTION("""COMPUTED_VALUE"""),"BE")</f>
        <v>BE</v>
      </c>
      <c r="D56" s="1" t="str">
        <f ca="1">IFERROR(__xludf.DUMMYFUNCTION("""COMPUTED_VALUE"""),"21-13")</f>
        <v>21-13</v>
      </c>
      <c r="E56" s="1" t="str">
        <f ca="1">IFERROR(__xludf.DUMMYFUNCTION("""COMPUTED_VALUE"""),"+13.11")</f>
        <v>+13.11</v>
      </c>
      <c r="F56" s="1">
        <f ca="1">IFERROR(__xludf.DUMMYFUNCTION("""COMPUTED_VALUE"""),112.9)</f>
        <v>112.9</v>
      </c>
      <c r="G56" s="1">
        <f ca="1">IFERROR(__xludf.DUMMYFUNCTION("""COMPUTED_VALUE"""),46)</f>
        <v>46</v>
      </c>
      <c r="H56" s="1">
        <f ca="1">IFERROR(__xludf.DUMMYFUNCTION("""COMPUTED_VALUE"""),99.8)</f>
        <v>99.8</v>
      </c>
      <c r="I56" s="1">
        <f ca="1">IFERROR(__xludf.DUMMYFUNCTION("""COMPUTED_VALUE"""),76)</f>
        <v>76</v>
      </c>
      <c r="J56" s="1">
        <f ca="1">IFERROR(__xludf.DUMMYFUNCTION("""COMPUTED_VALUE"""),64.2)</f>
        <v>64.2</v>
      </c>
      <c r="K56" s="1">
        <f ca="1">IFERROR(__xludf.DUMMYFUNCTION("""COMPUTED_VALUE"""),202)</f>
        <v>202</v>
      </c>
      <c r="L56" s="1" t="str">
        <f ca="1">IFERROR(__xludf.DUMMYFUNCTION("""COMPUTED_VALUE"""),"+.017")</f>
        <v>+.017</v>
      </c>
      <c r="M56" s="1">
        <f ca="1">IFERROR(__xludf.DUMMYFUNCTION("""COMPUTED_VALUE"""),139)</f>
        <v>139</v>
      </c>
      <c r="N56" s="1" t="str">
        <f ca="1">IFERROR(__xludf.DUMMYFUNCTION("""COMPUTED_VALUE"""),"+7.89")</f>
        <v>+7.89</v>
      </c>
      <c r="O56" s="1">
        <f ca="1">IFERROR(__xludf.DUMMYFUNCTION("""COMPUTED_VALUE"""),37)</f>
        <v>37</v>
      </c>
      <c r="P56" s="1">
        <f ca="1">IFERROR(__xludf.DUMMYFUNCTION("""COMPUTED_VALUE"""),109.1)</f>
        <v>109.1</v>
      </c>
      <c r="Q56" s="1">
        <f ca="1">IFERROR(__xludf.DUMMYFUNCTION("""COMPUTED_VALUE"""),38)</f>
        <v>38</v>
      </c>
      <c r="R56" s="1">
        <f ca="1">IFERROR(__xludf.DUMMYFUNCTION("""COMPUTED_VALUE"""),101.2)</f>
        <v>101.2</v>
      </c>
      <c r="S56" s="1">
        <f ca="1">IFERROR(__xludf.DUMMYFUNCTION("""COMPUTED_VALUE"""),44)</f>
        <v>44</v>
      </c>
      <c r="T56" s="1" t="str">
        <f ca="1">IFERROR(__xludf.DUMMYFUNCTION("""COMPUTED_VALUE"""),"+0.41")</f>
        <v>+0.41</v>
      </c>
      <c r="U56" s="1">
        <f ca="1">IFERROR(__xludf.DUMMYFUNCTION("""COMPUTED_VALUE"""),149)</f>
        <v>149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IFERROR(__xludf.DUMMYFUNCTION("""COMPUTED_VALUE"""),"Illinois2")</f>
        <v>Illinois2</v>
      </c>
      <c r="C57" s="1" t="str">
        <f ca="1">IFERROR(__xludf.DUMMYFUNCTION("""COMPUTED_VALUE"""),"B10")</f>
        <v>B10</v>
      </c>
      <c r="D57" s="1" t="str">
        <f ca="1">IFERROR(__xludf.DUMMYFUNCTION("""COMPUTED_VALUE"""),"20-15")</f>
        <v>20-15</v>
      </c>
      <c r="E57" s="1" t="str">
        <f ca="1">IFERROR(__xludf.DUMMYFUNCTION("""COMPUTED_VALUE"""),"+13.10")</f>
        <v>+13.10</v>
      </c>
      <c r="F57" s="1">
        <f ca="1">IFERROR(__xludf.DUMMYFUNCTION("""COMPUTED_VALUE"""),106.5)</f>
        <v>106.5</v>
      </c>
      <c r="G57" s="1">
        <f ca="1">IFERROR(__xludf.DUMMYFUNCTION("""COMPUTED_VALUE"""),146)</f>
        <v>146</v>
      </c>
      <c r="H57" s="1">
        <f ca="1">IFERROR(__xludf.DUMMYFUNCTION("""COMPUTED_VALUE"""),93.4)</f>
        <v>93.4</v>
      </c>
      <c r="I57" s="1">
        <f ca="1">IFERROR(__xludf.DUMMYFUNCTION("""COMPUTED_VALUE"""),14)</f>
        <v>14</v>
      </c>
      <c r="J57" s="1">
        <f ca="1">IFERROR(__xludf.DUMMYFUNCTION("""COMPUTED_VALUE"""),61.2)</f>
        <v>61.2</v>
      </c>
      <c r="K57" s="1">
        <f ca="1">IFERROR(__xludf.DUMMYFUNCTION("""COMPUTED_VALUE"""),324)</f>
        <v>324</v>
      </c>
      <c r="L57" s="1" t="str">
        <f ca="1">IFERROR(__xludf.DUMMYFUNCTION("""COMPUTED_VALUE"""),"+.007")</f>
        <v>+.007</v>
      </c>
      <c r="M57" s="1">
        <f ca="1">IFERROR(__xludf.DUMMYFUNCTION("""COMPUTED_VALUE"""),168)</f>
        <v>168</v>
      </c>
      <c r="N57" s="1" t="str">
        <f ca="1">IFERROR(__xludf.DUMMYFUNCTION("""COMPUTED_VALUE"""),"+9.40")</f>
        <v>+9.40</v>
      </c>
      <c r="O57" s="1">
        <f ca="1">IFERROR(__xludf.DUMMYFUNCTION("""COMPUTED_VALUE"""),15)</f>
        <v>15</v>
      </c>
      <c r="P57" s="1">
        <f ca="1">IFERROR(__xludf.DUMMYFUNCTION("""COMPUTED_VALUE"""),109.8)</f>
        <v>109.8</v>
      </c>
      <c r="Q57" s="1">
        <f ca="1">IFERROR(__xludf.DUMMYFUNCTION("""COMPUTED_VALUE"""),21)</f>
        <v>21</v>
      </c>
      <c r="R57" s="1">
        <f ca="1">IFERROR(__xludf.DUMMYFUNCTION("""COMPUTED_VALUE"""),100.4)</f>
        <v>100.4</v>
      </c>
      <c r="S57" s="1">
        <f ca="1">IFERROR(__xludf.DUMMYFUNCTION("""COMPUTED_VALUE"""),16)</f>
        <v>16</v>
      </c>
      <c r="T57" s="1">
        <f ca="1">IFERROR(__xludf.DUMMYFUNCTION("""COMPUTED_VALUE"""),-3.73)</f>
        <v>-3.73</v>
      </c>
      <c r="U57" s="1">
        <f ca="1">IFERROR(__xludf.DUMMYFUNCTION("""COMPUTED_VALUE"""),278)</f>
        <v>278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IFERROR(__xludf.DUMMYFUNCTION("""COMPUTED_VALUE"""),"St. John's1")</f>
        <v>St. John's1</v>
      </c>
      <c r="C58" s="1" t="str">
        <f ca="1">IFERROR(__xludf.DUMMYFUNCTION("""COMPUTED_VALUE"""),"BE")</f>
        <v>BE</v>
      </c>
      <c r="D58" s="1" t="str">
        <f ca="1">IFERROR(__xludf.DUMMYFUNCTION("""COMPUTED_VALUE"""),"20-13")</f>
        <v>20-13</v>
      </c>
      <c r="E58" s="1" t="str">
        <f ca="1">IFERROR(__xludf.DUMMYFUNCTION("""COMPUTED_VALUE"""),"+13.10")</f>
        <v>+13.10</v>
      </c>
      <c r="F58" s="1">
        <f ca="1">IFERROR(__xludf.DUMMYFUNCTION("""COMPUTED_VALUE"""),108.5)</f>
        <v>108.5</v>
      </c>
      <c r="G58" s="1">
        <f ca="1">IFERROR(__xludf.DUMMYFUNCTION("""COMPUTED_VALUE"""),116)</f>
        <v>116</v>
      </c>
      <c r="H58" s="1">
        <f ca="1">IFERROR(__xludf.DUMMYFUNCTION("""COMPUTED_VALUE"""),95.4)</f>
        <v>95.4</v>
      </c>
      <c r="I58" s="1">
        <f ca="1">IFERROR(__xludf.DUMMYFUNCTION("""COMPUTED_VALUE"""),30)</f>
        <v>30</v>
      </c>
      <c r="J58" s="1">
        <f ca="1">IFERROR(__xludf.DUMMYFUNCTION("""COMPUTED_VALUE"""),66.6)</f>
        <v>66.599999999999994</v>
      </c>
      <c r="K58" s="1">
        <f ca="1">IFERROR(__xludf.DUMMYFUNCTION("""COMPUTED_VALUE"""),78)</f>
        <v>78</v>
      </c>
      <c r="L58" s="1">
        <f ca="1">IFERROR(__xludf.DUMMYFUNCTION("""COMPUTED_VALUE"""),-0.046)</f>
        <v>-4.5999999999999999E-2</v>
      </c>
      <c r="M58" s="1">
        <f ca="1">IFERROR(__xludf.DUMMYFUNCTION("""COMPUTED_VALUE"""),282)</f>
        <v>282</v>
      </c>
      <c r="N58" s="1" t="str">
        <f ca="1">IFERROR(__xludf.DUMMYFUNCTION("""COMPUTED_VALUE"""),"+5.32")</f>
        <v>+5.32</v>
      </c>
      <c r="O58" s="1">
        <f ca="1">IFERROR(__xludf.DUMMYFUNCTION("""COMPUTED_VALUE"""),78)</f>
        <v>78</v>
      </c>
      <c r="P58" s="1">
        <f ca="1">IFERROR(__xludf.DUMMYFUNCTION("""COMPUTED_VALUE"""),108.7)</f>
        <v>108.7</v>
      </c>
      <c r="Q58" s="1">
        <f ca="1">IFERROR(__xludf.DUMMYFUNCTION("""COMPUTED_VALUE"""),52)</f>
        <v>52</v>
      </c>
      <c r="R58" s="1">
        <f ca="1">IFERROR(__xludf.DUMMYFUNCTION("""COMPUTED_VALUE"""),103.3)</f>
        <v>103.3</v>
      </c>
      <c r="S58" s="1">
        <f ca="1">IFERROR(__xludf.DUMMYFUNCTION("""COMPUTED_VALUE"""),99)</f>
        <v>99</v>
      </c>
      <c r="T58" s="1">
        <f ca="1">IFERROR(__xludf.DUMMYFUNCTION("""COMPUTED_VALUE"""),-3.04)</f>
        <v>-3.04</v>
      </c>
      <c r="U58" s="1">
        <f ca="1">IFERROR(__xludf.DUMMYFUNCTION("""COMPUTED_VALUE"""),255)</f>
        <v>255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IFERROR(__xludf.DUMMYFUNCTION("""COMPUTED_VALUE"""),"Saint Joseph's10")</f>
        <v>Saint Joseph's10</v>
      </c>
      <c r="C59" s="1" t="str">
        <f ca="1">IFERROR(__xludf.DUMMYFUNCTION("""COMPUTED_VALUE"""),"A10")</f>
        <v>A10</v>
      </c>
      <c r="D59" s="1" t="str">
        <f ca="1">IFERROR(__xludf.DUMMYFUNCTION("""COMPUTED_VALUE"""),"24-10")</f>
        <v>24-10</v>
      </c>
      <c r="E59" s="1" t="str">
        <f ca="1">IFERROR(__xludf.DUMMYFUNCTION("""COMPUTED_VALUE"""),"+12.93")</f>
        <v>+12.93</v>
      </c>
      <c r="F59" s="1">
        <f ca="1">IFERROR(__xludf.DUMMYFUNCTION("""COMPUTED_VALUE"""),112.3)</f>
        <v>112.3</v>
      </c>
      <c r="G59" s="1">
        <f ca="1">IFERROR(__xludf.DUMMYFUNCTION("""COMPUTED_VALUE"""),57)</f>
        <v>57</v>
      </c>
      <c r="H59" s="1">
        <f ca="1">IFERROR(__xludf.DUMMYFUNCTION("""COMPUTED_VALUE"""),99.4)</f>
        <v>99.4</v>
      </c>
      <c r="I59" s="1">
        <f ca="1">IFERROR(__xludf.DUMMYFUNCTION("""COMPUTED_VALUE"""),68)</f>
        <v>68</v>
      </c>
      <c r="J59" s="1">
        <f ca="1">IFERROR(__xludf.DUMMYFUNCTION("""COMPUTED_VALUE"""),64.3)</f>
        <v>64.3</v>
      </c>
      <c r="K59" s="1">
        <f ca="1">IFERROR(__xludf.DUMMYFUNCTION("""COMPUTED_VALUE"""),198)</f>
        <v>198</v>
      </c>
      <c r="L59" s="1" t="str">
        <f ca="1">IFERROR(__xludf.DUMMYFUNCTION("""COMPUTED_VALUE"""),"+.079")</f>
        <v>+.079</v>
      </c>
      <c r="M59" s="1">
        <f ca="1">IFERROR(__xludf.DUMMYFUNCTION("""COMPUTED_VALUE"""),25)</f>
        <v>25</v>
      </c>
      <c r="N59" s="1" t="str">
        <f ca="1">IFERROR(__xludf.DUMMYFUNCTION("""COMPUTED_VALUE"""),"+6.18")</f>
        <v>+6.18</v>
      </c>
      <c r="O59" s="1">
        <f ca="1">IFERROR(__xludf.DUMMYFUNCTION("""COMPUTED_VALUE"""),64)</f>
        <v>64</v>
      </c>
      <c r="P59" s="1">
        <f ca="1">IFERROR(__xludf.DUMMYFUNCTION("""COMPUTED_VALUE"""),107.5)</f>
        <v>107.5</v>
      </c>
      <c r="Q59" s="1">
        <f ca="1">IFERROR(__xludf.DUMMYFUNCTION("""COMPUTED_VALUE"""),85)</f>
        <v>85</v>
      </c>
      <c r="R59" s="1">
        <f ca="1">IFERROR(__xludf.DUMMYFUNCTION("""COMPUTED_VALUE"""),101.3)</f>
        <v>101.3</v>
      </c>
      <c r="S59" s="1">
        <f ca="1">IFERROR(__xludf.DUMMYFUNCTION("""COMPUTED_VALUE"""),45)</f>
        <v>45</v>
      </c>
      <c r="T59" s="1" t="str">
        <f ca="1">IFERROR(__xludf.DUMMYFUNCTION("""COMPUTED_VALUE"""),"+0.17")</f>
        <v>+0.17</v>
      </c>
      <c r="U59" s="1">
        <f ca="1">IFERROR(__xludf.DUMMYFUNCTION("""COMPUTED_VALUE"""),156)</f>
        <v>156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IFERROR(__xludf.DUMMYFUNCTION("""COMPUTED_VALUE"""),"Nebraska11")</f>
        <v>Nebraska11</v>
      </c>
      <c r="C60" s="1" t="str">
        <f ca="1">IFERROR(__xludf.DUMMYFUNCTION("""COMPUTED_VALUE"""),"B10")</f>
        <v>B10</v>
      </c>
      <c r="D60" s="1" t="str">
        <f ca="1">IFERROR(__xludf.DUMMYFUNCTION("""COMPUTED_VALUE"""),"19-13")</f>
        <v>19-13</v>
      </c>
      <c r="E60" s="1" t="str">
        <f ca="1">IFERROR(__xludf.DUMMYFUNCTION("""COMPUTED_VALUE"""),"+12.64")</f>
        <v>+12.64</v>
      </c>
      <c r="F60" s="1">
        <f ca="1">IFERROR(__xludf.DUMMYFUNCTION("""COMPUTED_VALUE"""),108.8)</f>
        <v>108.8</v>
      </c>
      <c r="G60" s="1">
        <f ca="1">IFERROR(__xludf.DUMMYFUNCTION("""COMPUTED_VALUE"""),111)</f>
        <v>111</v>
      </c>
      <c r="H60" s="1">
        <f ca="1">IFERROR(__xludf.DUMMYFUNCTION("""COMPUTED_VALUE"""),96.1)</f>
        <v>96.1</v>
      </c>
      <c r="I60" s="1">
        <f ca="1">IFERROR(__xludf.DUMMYFUNCTION("""COMPUTED_VALUE"""),36)</f>
        <v>36</v>
      </c>
      <c r="J60" s="1">
        <f ca="1">IFERROR(__xludf.DUMMYFUNCTION("""COMPUTED_VALUE"""),64.7)</f>
        <v>64.7</v>
      </c>
      <c r="K60" s="1">
        <f ca="1">IFERROR(__xludf.DUMMYFUNCTION("""COMPUTED_VALUE"""),170)</f>
        <v>170</v>
      </c>
      <c r="L60" s="1" t="str">
        <f ca="1">IFERROR(__xludf.DUMMYFUNCTION("""COMPUTED_VALUE"""),"+.047")</f>
        <v>+.047</v>
      </c>
      <c r="M60" s="1">
        <f ca="1">IFERROR(__xludf.DUMMYFUNCTION("""COMPUTED_VALUE"""),77)</f>
        <v>77</v>
      </c>
      <c r="N60" s="1" t="str">
        <f ca="1">IFERROR(__xludf.DUMMYFUNCTION("""COMPUTED_VALUE"""),"+9.30")</f>
        <v>+9.30</v>
      </c>
      <c r="O60" s="1">
        <f ca="1">IFERROR(__xludf.DUMMYFUNCTION("""COMPUTED_VALUE"""),18)</f>
        <v>18</v>
      </c>
      <c r="P60" s="1">
        <f ca="1">IFERROR(__xludf.DUMMYFUNCTION("""COMPUTED_VALUE"""),108.4)</f>
        <v>108.4</v>
      </c>
      <c r="Q60" s="1">
        <f ca="1">IFERROR(__xludf.DUMMYFUNCTION("""COMPUTED_VALUE"""),61)</f>
        <v>61</v>
      </c>
      <c r="R60" s="1">
        <f ca="1">IFERROR(__xludf.DUMMYFUNCTION("""COMPUTED_VALUE"""),99.1)</f>
        <v>99.1</v>
      </c>
      <c r="S60" s="1">
        <f ca="1">IFERROR(__xludf.DUMMYFUNCTION("""COMPUTED_VALUE"""),3)</f>
        <v>3</v>
      </c>
      <c r="T60" s="1">
        <f ca="1">IFERROR(__xludf.DUMMYFUNCTION("""COMPUTED_VALUE"""),-1.95)</f>
        <v>-1.95</v>
      </c>
      <c r="U60" s="1">
        <f ca="1">IFERROR(__xludf.DUMMYFUNCTION("""COMPUTED_VALUE"""),217)</f>
        <v>217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IFERROR(__xludf.DUMMYFUNCTION("""COMPUTED_VALUE"""),"Georgetown4")</f>
        <v>Georgetown4</v>
      </c>
      <c r="C61" s="1" t="str">
        <f ca="1">IFERROR(__xludf.DUMMYFUNCTION("""COMPUTED_VALUE"""),"BE")</f>
        <v>BE</v>
      </c>
      <c r="D61" s="1" t="str">
        <f ca="1">IFERROR(__xludf.DUMMYFUNCTION("""COMPUTED_VALUE"""),"18-15")</f>
        <v>18-15</v>
      </c>
      <c r="E61" s="1" t="str">
        <f ca="1">IFERROR(__xludf.DUMMYFUNCTION("""COMPUTED_VALUE"""),"+12.39")</f>
        <v>+12.39</v>
      </c>
      <c r="F61" s="1">
        <f ca="1">IFERROR(__xludf.DUMMYFUNCTION("""COMPUTED_VALUE"""),113)</f>
        <v>113</v>
      </c>
      <c r="G61" s="1">
        <f ca="1">IFERROR(__xludf.DUMMYFUNCTION("""COMPUTED_VALUE"""),43)</f>
        <v>43</v>
      </c>
      <c r="H61" s="1">
        <f ca="1">IFERROR(__xludf.DUMMYFUNCTION("""COMPUTED_VALUE"""),100.6)</f>
        <v>100.6</v>
      </c>
      <c r="I61" s="1">
        <f ca="1">IFERROR(__xludf.DUMMYFUNCTION("""COMPUTED_VALUE"""),91)</f>
        <v>91</v>
      </c>
      <c r="J61" s="1">
        <f ca="1">IFERROR(__xludf.DUMMYFUNCTION("""COMPUTED_VALUE"""),63.3)</f>
        <v>63.3</v>
      </c>
      <c r="K61" s="1">
        <f ca="1">IFERROR(__xludf.DUMMYFUNCTION("""COMPUTED_VALUE"""),249)</f>
        <v>249</v>
      </c>
      <c r="L61" s="1">
        <f ca="1">IFERROR(__xludf.DUMMYFUNCTION("""COMPUTED_VALUE"""),-0.023)</f>
        <v>-2.3E-2</v>
      </c>
      <c r="M61" s="1">
        <f ca="1">IFERROR(__xludf.DUMMYFUNCTION("""COMPUTED_VALUE"""),233)</f>
        <v>233</v>
      </c>
      <c r="N61" s="1" t="str">
        <f ca="1">IFERROR(__xludf.DUMMYFUNCTION("""COMPUTED_VALUE"""),"+8.32")</f>
        <v>+8.32</v>
      </c>
      <c r="O61" s="1">
        <f ca="1">IFERROR(__xludf.DUMMYFUNCTION("""COMPUTED_VALUE"""),33)</f>
        <v>33</v>
      </c>
      <c r="P61" s="1">
        <f ca="1">IFERROR(__xludf.DUMMYFUNCTION("""COMPUTED_VALUE"""),109.8)</f>
        <v>109.8</v>
      </c>
      <c r="Q61" s="1">
        <f ca="1">IFERROR(__xludf.DUMMYFUNCTION("""COMPUTED_VALUE"""),23)</f>
        <v>23</v>
      </c>
      <c r="R61" s="1">
        <f ca="1">IFERROR(__xludf.DUMMYFUNCTION("""COMPUTED_VALUE"""),101.5)</f>
        <v>101.5</v>
      </c>
      <c r="S61" s="1">
        <f ca="1">IFERROR(__xludf.DUMMYFUNCTION("""COMPUTED_VALUE"""),56)</f>
        <v>56</v>
      </c>
      <c r="T61" s="1" t="str">
        <f ca="1">IFERROR(__xludf.DUMMYFUNCTION("""COMPUTED_VALUE"""),"+2.53")</f>
        <v>+2.53</v>
      </c>
      <c r="U61" s="1">
        <f ca="1">IFERROR(__xludf.DUMMYFUNCTION("""COMPUTED_VALUE"""),90)</f>
        <v>90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IFERROR(__xludf.DUMMYFUNCTION("""COMPUTED_VALUE"""),"West Virginia5")</f>
        <v>West Virginia5</v>
      </c>
      <c r="C62" s="1" t="str">
        <f ca="1">IFERROR(__xludf.DUMMYFUNCTION("""COMPUTED_VALUE"""),"B12")</f>
        <v>B12</v>
      </c>
      <c r="D62" s="1" t="str">
        <f ca="1">IFERROR(__xludf.DUMMYFUNCTION("""COMPUTED_VALUE"""),"17-16")</f>
        <v>17-16</v>
      </c>
      <c r="E62" s="1" t="str">
        <f ca="1">IFERROR(__xludf.DUMMYFUNCTION("""COMPUTED_VALUE"""),"+12.29")</f>
        <v>+12.29</v>
      </c>
      <c r="F62" s="1">
        <f ca="1">IFERROR(__xludf.DUMMYFUNCTION("""COMPUTED_VALUE"""),115.5)</f>
        <v>115.5</v>
      </c>
      <c r="G62" s="1">
        <f ca="1">IFERROR(__xludf.DUMMYFUNCTION("""COMPUTED_VALUE"""),24)</f>
        <v>24</v>
      </c>
      <c r="H62" s="1">
        <f ca="1">IFERROR(__xludf.DUMMYFUNCTION("""COMPUTED_VALUE"""),103.2)</f>
        <v>103.2</v>
      </c>
      <c r="I62" s="1">
        <f ca="1">IFERROR(__xludf.DUMMYFUNCTION("""COMPUTED_VALUE"""),135)</f>
        <v>135</v>
      </c>
      <c r="J62" s="1">
        <f ca="1">IFERROR(__xludf.DUMMYFUNCTION("""COMPUTED_VALUE"""),66.3)</f>
        <v>66.3</v>
      </c>
      <c r="K62" s="1">
        <f ca="1">IFERROR(__xludf.DUMMYFUNCTION("""COMPUTED_VALUE"""),97)</f>
        <v>97</v>
      </c>
      <c r="L62" s="1">
        <f ca="1">IFERROR(__xludf.DUMMYFUNCTION("""COMPUTED_VALUE"""),-0.066)</f>
        <v>-6.6000000000000003E-2</v>
      </c>
      <c r="M62" s="1">
        <f ca="1">IFERROR(__xludf.DUMMYFUNCTION("""COMPUTED_VALUE"""),321)</f>
        <v>321</v>
      </c>
      <c r="N62" s="1" t="str">
        <f ca="1">IFERROR(__xludf.DUMMYFUNCTION("""COMPUTED_VALUE"""),"+8.80")</f>
        <v>+8.80</v>
      </c>
      <c r="O62" s="1">
        <f ca="1">IFERROR(__xludf.DUMMYFUNCTION("""COMPUTED_VALUE"""),24)</f>
        <v>24</v>
      </c>
      <c r="P62" s="1">
        <f ca="1">IFERROR(__xludf.DUMMYFUNCTION("""COMPUTED_VALUE"""),110.3)</f>
        <v>110.3</v>
      </c>
      <c r="Q62" s="1">
        <f ca="1">IFERROR(__xludf.DUMMYFUNCTION("""COMPUTED_VALUE"""),11)</f>
        <v>11</v>
      </c>
      <c r="R62" s="1">
        <f ca="1">IFERROR(__xludf.DUMMYFUNCTION("""COMPUTED_VALUE"""),101.5)</f>
        <v>101.5</v>
      </c>
      <c r="S62" s="1">
        <f ca="1">IFERROR(__xludf.DUMMYFUNCTION("""COMPUTED_VALUE"""),55)</f>
        <v>55</v>
      </c>
      <c r="T62" s="1">
        <f ca="1">IFERROR(__xludf.DUMMYFUNCTION("""COMPUTED_VALUE"""),-2.82)</f>
        <v>-2.82</v>
      </c>
      <c r="U62" s="1">
        <f ca="1">IFERROR(__xludf.DUMMYFUNCTION("""COMPUTED_VALUE"""),240)</f>
        <v>240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IFERROR(__xludf.DUMMYFUNCTION("""COMPUTED_VALUE"""),"LSU5")</f>
        <v>LSU5</v>
      </c>
      <c r="C63" s="1" t="str">
        <f ca="1">IFERROR(__xludf.DUMMYFUNCTION("""COMPUTED_VALUE"""),"SEC")</f>
        <v>SEC</v>
      </c>
      <c r="D63" s="1" t="str">
        <f ca="1">IFERROR(__xludf.DUMMYFUNCTION("""COMPUTED_VALUE"""),"20-14")</f>
        <v>20-14</v>
      </c>
      <c r="E63" s="1" t="str">
        <f ca="1">IFERROR(__xludf.DUMMYFUNCTION("""COMPUTED_VALUE"""),"+12.12")</f>
        <v>+12.12</v>
      </c>
      <c r="F63" s="1">
        <f ca="1">IFERROR(__xludf.DUMMYFUNCTION("""COMPUTED_VALUE"""),110.7)</f>
        <v>110.7</v>
      </c>
      <c r="G63" s="1">
        <f ca="1">IFERROR(__xludf.DUMMYFUNCTION("""COMPUTED_VALUE"""),78)</f>
        <v>78</v>
      </c>
      <c r="H63" s="1">
        <f ca="1">IFERROR(__xludf.DUMMYFUNCTION("""COMPUTED_VALUE"""),98.5)</f>
        <v>98.5</v>
      </c>
      <c r="I63" s="1">
        <f ca="1">IFERROR(__xludf.DUMMYFUNCTION("""COMPUTED_VALUE"""),58)</f>
        <v>58</v>
      </c>
      <c r="J63" s="1">
        <f ca="1">IFERROR(__xludf.DUMMYFUNCTION("""COMPUTED_VALUE"""),68.6)</f>
        <v>68.599999999999994</v>
      </c>
      <c r="K63" s="1">
        <f ca="1">IFERROR(__xludf.DUMMYFUNCTION("""COMPUTED_VALUE"""),30)</f>
        <v>30</v>
      </c>
      <c r="L63" s="1">
        <f ca="1">IFERROR(__xludf.DUMMYFUNCTION("""COMPUTED_VALUE"""),-0.01)</f>
        <v>-0.01</v>
      </c>
      <c r="M63" s="1">
        <f ca="1">IFERROR(__xludf.DUMMYFUNCTION("""COMPUTED_VALUE"""),207)</f>
        <v>207</v>
      </c>
      <c r="N63" s="1" t="str">
        <f ca="1">IFERROR(__xludf.DUMMYFUNCTION("""COMPUTED_VALUE"""),"+7.22")</f>
        <v>+7.22</v>
      </c>
      <c r="O63" s="1">
        <f ca="1">IFERROR(__xludf.DUMMYFUNCTION("""COMPUTED_VALUE"""),56)</f>
        <v>56</v>
      </c>
      <c r="P63" s="1">
        <f ca="1">IFERROR(__xludf.DUMMYFUNCTION("""COMPUTED_VALUE"""),107.9)</f>
        <v>107.9</v>
      </c>
      <c r="Q63" s="1">
        <f ca="1">IFERROR(__xludf.DUMMYFUNCTION("""COMPUTED_VALUE"""),72)</f>
        <v>72</v>
      </c>
      <c r="R63" s="1">
        <f ca="1">IFERROR(__xludf.DUMMYFUNCTION("""COMPUTED_VALUE"""),100.7)</f>
        <v>100.7</v>
      </c>
      <c r="S63" s="1">
        <f ca="1">IFERROR(__xludf.DUMMYFUNCTION("""COMPUTED_VALUE"""),24)</f>
        <v>24</v>
      </c>
      <c r="T63" s="1">
        <f ca="1">IFERROR(__xludf.DUMMYFUNCTION("""COMPUTED_VALUE"""),-2.1)</f>
        <v>-2.1</v>
      </c>
      <c r="U63" s="1">
        <f ca="1">IFERROR(__xludf.DUMMYFUNCTION("""COMPUTED_VALUE"""),222)</f>
        <v>222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IFERROR(__xludf.DUMMYFUNCTION("""COMPUTED_VALUE"""),"California2")</f>
        <v>California2</v>
      </c>
      <c r="C64" s="1" t="str">
        <f ca="1">IFERROR(__xludf.DUMMYFUNCTION("""COMPUTED_VALUE"""),"P12")</f>
        <v>P12</v>
      </c>
      <c r="D64" s="1" t="str">
        <f ca="1">IFERROR(__xludf.DUMMYFUNCTION("""COMPUTED_VALUE"""),"21-14")</f>
        <v>21-14</v>
      </c>
      <c r="E64" s="1" t="str">
        <f ca="1">IFERROR(__xludf.DUMMYFUNCTION("""COMPUTED_VALUE"""),"+12.00")</f>
        <v>+12.00</v>
      </c>
      <c r="F64" s="1">
        <f ca="1">IFERROR(__xludf.DUMMYFUNCTION("""COMPUTED_VALUE"""),111.7)</f>
        <v>111.7</v>
      </c>
      <c r="G64" s="1">
        <f ca="1">IFERROR(__xludf.DUMMYFUNCTION("""COMPUTED_VALUE"""),63)</f>
        <v>63</v>
      </c>
      <c r="H64" s="1">
        <f ca="1">IFERROR(__xludf.DUMMYFUNCTION("""COMPUTED_VALUE"""),99.7)</f>
        <v>99.7</v>
      </c>
      <c r="I64" s="1">
        <f ca="1">IFERROR(__xludf.DUMMYFUNCTION("""COMPUTED_VALUE"""),74)</f>
        <v>74</v>
      </c>
      <c r="J64" s="1">
        <f ca="1">IFERROR(__xludf.DUMMYFUNCTION("""COMPUTED_VALUE"""),64.6)</f>
        <v>64.599999999999994</v>
      </c>
      <c r="K64" s="1">
        <f ca="1">IFERROR(__xludf.DUMMYFUNCTION("""COMPUTED_VALUE"""),178)</f>
        <v>178</v>
      </c>
      <c r="L64" s="1" t="str">
        <f ca="1">IFERROR(__xludf.DUMMYFUNCTION("""COMPUTED_VALUE"""),"+.016")</f>
        <v>+.016</v>
      </c>
      <c r="M64" s="1">
        <f ca="1">IFERROR(__xludf.DUMMYFUNCTION("""COMPUTED_VALUE"""),142)</f>
        <v>142</v>
      </c>
      <c r="N64" s="1" t="str">
        <f ca="1">IFERROR(__xludf.DUMMYFUNCTION("""COMPUTED_VALUE"""),"+7.57")</f>
        <v>+7.57</v>
      </c>
      <c r="O64" s="1">
        <f ca="1">IFERROR(__xludf.DUMMYFUNCTION("""COMPUTED_VALUE"""),46)</f>
        <v>46</v>
      </c>
      <c r="P64" s="1">
        <f ca="1">IFERROR(__xludf.DUMMYFUNCTION("""COMPUTED_VALUE"""),109)</f>
        <v>109</v>
      </c>
      <c r="Q64" s="1">
        <f ca="1">IFERROR(__xludf.DUMMYFUNCTION("""COMPUTED_VALUE"""),41)</f>
        <v>41</v>
      </c>
      <c r="R64" s="1">
        <f ca="1">IFERROR(__xludf.DUMMYFUNCTION("""COMPUTED_VALUE"""),101.5)</f>
        <v>101.5</v>
      </c>
      <c r="S64" s="1">
        <f ca="1">IFERROR(__xludf.DUMMYFUNCTION("""COMPUTED_VALUE"""),54)</f>
        <v>54</v>
      </c>
      <c r="T64" s="1">
        <f ca="1">IFERROR(__xludf.DUMMYFUNCTION("""COMPUTED_VALUE"""),-0.27)</f>
        <v>-0.27</v>
      </c>
      <c r="U64" s="1">
        <f ca="1">IFERROR(__xludf.DUMMYFUNCTION("""COMPUTED_VALUE"""),168)</f>
        <v>168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IFERROR(__xludf.DUMMYFUNCTION("""COMPUTED_VALUE"""),"North Dakota St.12")</f>
        <v>North Dakota St.12</v>
      </c>
      <c r="C65" s="1" t="str">
        <f ca="1">IFERROR(__xludf.DUMMYFUNCTION("""COMPUTED_VALUE"""),"Sum")</f>
        <v>Sum</v>
      </c>
      <c r="D65" s="1" t="str">
        <f ca="1">IFERROR(__xludf.DUMMYFUNCTION("""COMPUTED_VALUE"""),"26-7")</f>
        <v>26-7</v>
      </c>
      <c r="E65" s="1" t="str">
        <f ca="1">IFERROR(__xludf.DUMMYFUNCTION("""COMPUTED_VALUE"""),"+11.76")</f>
        <v>+11.76</v>
      </c>
      <c r="F65" s="1">
        <f ca="1">IFERROR(__xludf.DUMMYFUNCTION("""COMPUTED_VALUE"""),115.5)</f>
        <v>115.5</v>
      </c>
      <c r="G65" s="1">
        <f ca="1">IFERROR(__xludf.DUMMYFUNCTION("""COMPUTED_VALUE"""),25)</f>
        <v>25</v>
      </c>
      <c r="H65" s="1">
        <f ca="1">IFERROR(__xludf.DUMMYFUNCTION("""COMPUTED_VALUE"""),103.7)</f>
        <v>103.7</v>
      </c>
      <c r="I65" s="1">
        <f ca="1">IFERROR(__xludf.DUMMYFUNCTION("""COMPUTED_VALUE"""),144)</f>
        <v>144</v>
      </c>
      <c r="J65" s="1">
        <f ca="1">IFERROR(__xludf.DUMMYFUNCTION("""COMPUTED_VALUE"""),62.3)</f>
        <v>62.3</v>
      </c>
      <c r="K65" s="1">
        <f ca="1">IFERROR(__xludf.DUMMYFUNCTION("""COMPUTED_VALUE"""),292)</f>
        <v>292</v>
      </c>
      <c r="L65" s="1" t="str">
        <f ca="1">IFERROR(__xludf.DUMMYFUNCTION("""COMPUTED_VALUE"""),"+.089")</f>
        <v>+.089</v>
      </c>
      <c r="M65" s="1">
        <f ca="1">IFERROR(__xludf.DUMMYFUNCTION("""COMPUTED_VALUE"""),17)</f>
        <v>17</v>
      </c>
      <c r="N65" s="1" t="str">
        <f ca="1">IFERROR(__xludf.DUMMYFUNCTION("""COMPUTED_VALUE"""),"+1.38")</f>
        <v>+1.38</v>
      </c>
      <c r="O65" s="1">
        <f ca="1">IFERROR(__xludf.DUMMYFUNCTION("""COMPUTED_VALUE"""),121)</f>
        <v>121</v>
      </c>
      <c r="P65" s="1">
        <f ca="1">IFERROR(__xludf.DUMMYFUNCTION("""COMPUTED_VALUE"""),106.8)</f>
        <v>106.8</v>
      </c>
      <c r="Q65" s="1">
        <f ca="1">IFERROR(__xludf.DUMMYFUNCTION("""COMPUTED_VALUE"""),105)</f>
        <v>105</v>
      </c>
      <c r="R65" s="1">
        <f ca="1">IFERROR(__xludf.DUMMYFUNCTION("""COMPUTED_VALUE"""),105.4)</f>
        <v>105.4</v>
      </c>
      <c r="S65" s="1">
        <f ca="1">IFERROR(__xludf.DUMMYFUNCTION("""COMPUTED_VALUE"""),173)</f>
        <v>173</v>
      </c>
      <c r="T65" s="1" t="str">
        <f ca="1">IFERROR(__xludf.DUMMYFUNCTION("""COMPUTED_VALUE"""),"+5.32")</f>
        <v>+5.32</v>
      </c>
      <c r="U65" s="1">
        <f ca="1">IFERROR(__xludf.DUMMYFUNCTION("""COMPUTED_VALUE"""),44)</f>
        <v>44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IFERROR(__xludf.DUMMYFUNCTION("""COMPUTED_VALUE"""),"N.C. State12")</f>
        <v>N.C. State12</v>
      </c>
      <c r="C66" s="1" t="str">
        <f ca="1">IFERROR(__xludf.DUMMYFUNCTION("""COMPUTED_VALUE"""),"ACC")</f>
        <v>ACC</v>
      </c>
      <c r="D66" s="1" t="str">
        <f ca="1">IFERROR(__xludf.DUMMYFUNCTION("""COMPUTED_VALUE"""),"22-14")</f>
        <v>22-14</v>
      </c>
      <c r="E66" s="1" t="str">
        <f ca="1">IFERROR(__xludf.DUMMYFUNCTION("""COMPUTED_VALUE"""),"+11.60")</f>
        <v>+11.60</v>
      </c>
      <c r="F66" s="1">
        <f ca="1">IFERROR(__xludf.DUMMYFUNCTION("""COMPUTED_VALUE"""),114)</f>
        <v>114</v>
      </c>
      <c r="G66" s="1">
        <f ca="1">IFERROR(__xludf.DUMMYFUNCTION("""COMPUTED_VALUE"""),34)</f>
        <v>34</v>
      </c>
      <c r="H66" s="1">
        <f ca="1">IFERROR(__xludf.DUMMYFUNCTION("""COMPUTED_VALUE"""),102.4)</f>
        <v>102.4</v>
      </c>
      <c r="I66" s="1">
        <f ca="1">IFERROR(__xludf.DUMMYFUNCTION("""COMPUTED_VALUE"""),121)</f>
        <v>121</v>
      </c>
      <c r="J66" s="1">
        <f ca="1">IFERROR(__xludf.DUMMYFUNCTION("""COMPUTED_VALUE"""),64.7)</f>
        <v>64.7</v>
      </c>
      <c r="K66" s="1">
        <f ca="1">IFERROR(__xludf.DUMMYFUNCTION("""COMPUTED_VALUE"""),172)</f>
        <v>172</v>
      </c>
      <c r="L66" s="1" t="str">
        <f ca="1">IFERROR(__xludf.DUMMYFUNCTION("""COMPUTED_VALUE"""),"+.065")</f>
        <v>+.065</v>
      </c>
      <c r="M66" s="1">
        <f ca="1">IFERROR(__xludf.DUMMYFUNCTION("""COMPUTED_VALUE"""),39)</f>
        <v>39</v>
      </c>
      <c r="N66" s="1" t="str">
        <f ca="1">IFERROR(__xludf.DUMMYFUNCTION("""COMPUTED_VALUE"""),"+7.77")</f>
        <v>+7.77</v>
      </c>
      <c r="O66" s="1">
        <f ca="1">IFERROR(__xludf.DUMMYFUNCTION("""COMPUTED_VALUE"""),40)</f>
        <v>40</v>
      </c>
      <c r="P66" s="1">
        <f ca="1">IFERROR(__xludf.DUMMYFUNCTION("""COMPUTED_VALUE"""),108.4)</f>
        <v>108.4</v>
      </c>
      <c r="Q66" s="1">
        <f ca="1">IFERROR(__xludf.DUMMYFUNCTION("""COMPUTED_VALUE"""),60)</f>
        <v>60</v>
      </c>
      <c r="R66" s="1">
        <f ca="1">IFERROR(__xludf.DUMMYFUNCTION("""COMPUTED_VALUE"""),100.7)</f>
        <v>100.7</v>
      </c>
      <c r="S66" s="1">
        <f ca="1">IFERROR(__xludf.DUMMYFUNCTION("""COMPUTED_VALUE"""),21)</f>
        <v>21</v>
      </c>
      <c r="T66" s="1">
        <f ca="1">IFERROR(__xludf.DUMMYFUNCTION("""COMPUTED_VALUE"""),-4.31)</f>
        <v>-4.3099999999999996</v>
      </c>
      <c r="U66" s="1">
        <f ca="1">IFERROR(__xludf.DUMMYFUNCTION("""COMPUTED_VALUE"""),289)</f>
        <v>289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IFERROR(__xludf.DUMMYFUNCTION("""COMPUTED_VALUE"""),"Indiana")</f>
        <v>Indiana</v>
      </c>
      <c r="C67" s="1" t="str">
        <f ca="1">IFERROR(__xludf.DUMMYFUNCTION("""COMPUTED_VALUE"""),"B10")</f>
        <v>B10</v>
      </c>
      <c r="D67" s="1" t="str">
        <f ca="1">IFERROR(__xludf.DUMMYFUNCTION("""COMPUTED_VALUE"""),"17-15")</f>
        <v>17-15</v>
      </c>
      <c r="E67" s="1" t="str">
        <f ca="1">IFERROR(__xludf.DUMMYFUNCTION("""COMPUTED_VALUE"""),"+11.55")</f>
        <v>+11.55</v>
      </c>
      <c r="F67" s="1">
        <f ca="1">IFERROR(__xludf.DUMMYFUNCTION("""COMPUTED_VALUE"""),107.8)</f>
        <v>107.8</v>
      </c>
      <c r="G67" s="1">
        <f ca="1">IFERROR(__xludf.DUMMYFUNCTION("""COMPUTED_VALUE"""),126)</f>
        <v>126</v>
      </c>
      <c r="H67" s="1">
        <f ca="1">IFERROR(__xludf.DUMMYFUNCTION("""COMPUTED_VALUE"""),96.2)</f>
        <v>96.2</v>
      </c>
      <c r="I67" s="1">
        <f ca="1">IFERROR(__xludf.DUMMYFUNCTION("""COMPUTED_VALUE"""),38)</f>
        <v>38</v>
      </c>
      <c r="J67" s="1">
        <f ca="1">IFERROR(__xludf.DUMMYFUNCTION("""COMPUTED_VALUE"""),67.1)</f>
        <v>67.099999999999994</v>
      </c>
      <c r="K67" s="1">
        <f ca="1">IFERROR(__xludf.DUMMYFUNCTION("""COMPUTED_VALUE"""),63)</f>
        <v>63</v>
      </c>
      <c r="L67" s="1">
        <f ca="1">IFERROR(__xludf.DUMMYFUNCTION("""COMPUTED_VALUE"""),-0.069)</f>
        <v>-6.9000000000000006E-2</v>
      </c>
      <c r="M67" s="1">
        <f ca="1">IFERROR(__xludf.DUMMYFUNCTION("""COMPUTED_VALUE"""),325)</f>
        <v>325</v>
      </c>
      <c r="N67" s="1" t="str">
        <f ca="1">IFERROR(__xludf.DUMMYFUNCTION("""COMPUTED_VALUE"""),"+7.01")</f>
        <v>+7.01</v>
      </c>
      <c r="O67" s="1">
        <f ca="1">IFERROR(__xludf.DUMMYFUNCTION("""COMPUTED_VALUE"""),58)</f>
        <v>58</v>
      </c>
      <c r="P67" s="1">
        <f ca="1">IFERROR(__xludf.DUMMYFUNCTION("""COMPUTED_VALUE"""),108.8)</f>
        <v>108.8</v>
      </c>
      <c r="Q67" s="1">
        <f ca="1">IFERROR(__xludf.DUMMYFUNCTION("""COMPUTED_VALUE"""),48)</f>
        <v>48</v>
      </c>
      <c r="R67" s="1">
        <f ca="1">IFERROR(__xludf.DUMMYFUNCTION("""COMPUTED_VALUE"""),101.8)</f>
        <v>101.8</v>
      </c>
      <c r="S67" s="1">
        <f ca="1">IFERROR(__xludf.DUMMYFUNCTION("""COMPUTED_VALUE"""),63)</f>
        <v>63</v>
      </c>
      <c r="T67" s="1">
        <f ca="1">IFERROR(__xludf.DUMMYFUNCTION("""COMPUTED_VALUE"""),-8.47)</f>
        <v>-8.4700000000000006</v>
      </c>
      <c r="U67" s="1">
        <f ca="1">IFERROR(__xludf.DUMMYFUNCTION("""COMPUTED_VALUE"""),340)</f>
        <v>340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IFERROR(__xludf.DUMMYFUNCTION("""COMPUTED_VALUE"""),"Southern Miss3")</f>
        <v>Southern Miss3</v>
      </c>
      <c r="C68" s="1" t="str">
        <f ca="1">IFERROR(__xludf.DUMMYFUNCTION("""COMPUTED_VALUE"""),"CUSA")</f>
        <v>CUSA</v>
      </c>
      <c r="D68" s="1" t="str">
        <f ca="1">IFERROR(__xludf.DUMMYFUNCTION("""COMPUTED_VALUE"""),"29-7")</f>
        <v>29-7</v>
      </c>
      <c r="E68" s="1" t="str">
        <f ca="1">IFERROR(__xludf.DUMMYFUNCTION("""COMPUTED_VALUE"""),"+11.51")</f>
        <v>+11.51</v>
      </c>
      <c r="F68" s="1">
        <f ca="1">IFERROR(__xludf.DUMMYFUNCTION("""COMPUTED_VALUE"""),110.9)</f>
        <v>110.9</v>
      </c>
      <c r="G68" s="1">
        <f ca="1">IFERROR(__xludf.DUMMYFUNCTION("""COMPUTED_VALUE"""),73)</f>
        <v>73</v>
      </c>
      <c r="H68" s="1">
        <f ca="1">IFERROR(__xludf.DUMMYFUNCTION("""COMPUTED_VALUE"""),99.4)</f>
        <v>99.4</v>
      </c>
      <c r="I68" s="1">
        <f ca="1">IFERROR(__xludf.DUMMYFUNCTION("""COMPUTED_VALUE"""),69)</f>
        <v>69</v>
      </c>
      <c r="J68" s="1">
        <f ca="1">IFERROR(__xludf.DUMMYFUNCTION("""COMPUTED_VALUE"""),62.9)</f>
        <v>62.9</v>
      </c>
      <c r="K68" s="1">
        <f ca="1">IFERROR(__xludf.DUMMYFUNCTION("""COMPUTED_VALUE"""),265)</f>
        <v>265</v>
      </c>
      <c r="L68" s="1" t="str">
        <f ca="1">IFERROR(__xludf.DUMMYFUNCTION("""COMPUTED_VALUE"""),"+.103")</f>
        <v>+.103</v>
      </c>
      <c r="M68" s="1">
        <f ca="1">IFERROR(__xludf.DUMMYFUNCTION("""COMPUTED_VALUE"""),9)</f>
        <v>9</v>
      </c>
      <c r="N68" s="1" t="str">
        <f ca="1">IFERROR(__xludf.DUMMYFUNCTION("""COMPUTED_VALUE"""),"+0.13")</f>
        <v>+0.13</v>
      </c>
      <c r="O68" s="1">
        <f ca="1">IFERROR(__xludf.DUMMYFUNCTION("""COMPUTED_VALUE"""),147)</f>
        <v>147</v>
      </c>
      <c r="P68" s="1">
        <f ca="1">IFERROR(__xludf.DUMMYFUNCTION("""COMPUTED_VALUE"""),104.4)</f>
        <v>104.4</v>
      </c>
      <c r="Q68" s="1">
        <f ca="1">IFERROR(__xludf.DUMMYFUNCTION("""COMPUTED_VALUE"""),172)</f>
        <v>172</v>
      </c>
      <c r="R68" s="1">
        <f ca="1">IFERROR(__xludf.DUMMYFUNCTION("""COMPUTED_VALUE"""),104.3)</f>
        <v>104.3</v>
      </c>
      <c r="S68" s="1">
        <f ca="1">IFERROR(__xludf.DUMMYFUNCTION("""COMPUTED_VALUE"""),122)</f>
        <v>122</v>
      </c>
      <c r="T68" s="1">
        <f ca="1">IFERROR(__xludf.DUMMYFUNCTION("""COMPUTED_VALUE"""),-0.66)</f>
        <v>-0.66</v>
      </c>
      <c r="U68" s="1">
        <f ca="1">IFERROR(__xludf.DUMMYFUNCTION("""COMPUTED_VALUE"""),181)</f>
        <v>181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IFERROR(__xludf.DUMMYFUNCTION("""COMPUTED_VALUE"""),"Saint Mary's4")</f>
        <v>Saint Mary's4</v>
      </c>
      <c r="C69" s="1" t="str">
        <f ca="1">IFERROR(__xludf.DUMMYFUNCTION("""COMPUTED_VALUE"""),"WCC")</f>
        <v>WCC</v>
      </c>
      <c r="D69" s="1" t="str">
        <f ca="1">IFERROR(__xludf.DUMMYFUNCTION("""COMPUTED_VALUE"""),"23-12")</f>
        <v>23-12</v>
      </c>
      <c r="E69" s="1" t="str">
        <f ca="1">IFERROR(__xludf.DUMMYFUNCTION("""COMPUTED_VALUE"""),"+11.39")</f>
        <v>+11.39</v>
      </c>
      <c r="F69" s="1">
        <f ca="1">IFERROR(__xludf.DUMMYFUNCTION("""COMPUTED_VALUE"""),112.6)</f>
        <v>112.6</v>
      </c>
      <c r="G69" s="1">
        <f ca="1">IFERROR(__xludf.DUMMYFUNCTION("""COMPUTED_VALUE"""),49)</f>
        <v>49</v>
      </c>
      <c r="H69" s="1">
        <f ca="1">IFERROR(__xludf.DUMMYFUNCTION("""COMPUTED_VALUE"""),101.2)</f>
        <v>101.2</v>
      </c>
      <c r="I69" s="1">
        <f ca="1">IFERROR(__xludf.DUMMYFUNCTION("""COMPUTED_VALUE"""),101)</f>
        <v>101</v>
      </c>
      <c r="J69" s="1">
        <f ca="1">IFERROR(__xludf.DUMMYFUNCTION("""COMPUTED_VALUE"""),61.4)</f>
        <v>61.4</v>
      </c>
      <c r="K69" s="1">
        <f ca="1">IFERROR(__xludf.DUMMYFUNCTION("""COMPUTED_VALUE"""),317)</f>
        <v>317</v>
      </c>
      <c r="L69" s="1" t="str">
        <f ca="1">IFERROR(__xludf.DUMMYFUNCTION("""COMPUTED_VALUE"""),"+.013")</f>
        <v>+.013</v>
      </c>
      <c r="M69" s="1">
        <f ca="1">IFERROR(__xludf.DUMMYFUNCTION("""COMPUTED_VALUE"""),152)</f>
        <v>152</v>
      </c>
      <c r="N69" s="1" t="str">
        <f ca="1">IFERROR(__xludf.DUMMYFUNCTION("""COMPUTED_VALUE"""),"+3.87")</f>
        <v>+3.87</v>
      </c>
      <c r="O69" s="1">
        <f ca="1">IFERROR(__xludf.DUMMYFUNCTION("""COMPUTED_VALUE"""),100)</f>
        <v>100</v>
      </c>
      <c r="P69" s="1">
        <f ca="1">IFERROR(__xludf.DUMMYFUNCTION("""COMPUTED_VALUE"""),108.1)</f>
        <v>108.1</v>
      </c>
      <c r="Q69" s="1">
        <f ca="1">IFERROR(__xludf.DUMMYFUNCTION("""COMPUTED_VALUE"""),66)</f>
        <v>66</v>
      </c>
      <c r="R69" s="1">
        <f ca="1">IFERROR(__xludf.DUMMYFUNCTION("""COMPUTED_VALUE"""),104.2)</f>
        <v>104.2</v>
      </c>
      <c r="S69" s="1">
        <f ca="1">IFERROR(__xludf.DUMMYFUNCTION("""COMPUTED_VALUE"""),118)</f>
        <v>118</v>
      </c>
      <c r="T69" s="1">
        <f ca="1">IFERROR(__xludf.DUMMYFUNCTION("""COMPUTED_VALUE"""),-0.69)</f>
        <v>-0.69</v>
      </c>
      <c r="U69" s="1">
        <f ca="1">IFERROR(__xludf.DUMMYFUNCTION("""COMPUTED_VALUE"""),182)</f>
        <v>182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IFERROR(__xludf.DUMMYFUNCTION("""COMPUTED_VALUE"""),"Georgia St.6")</f>
        <v>Georgia St.6</v>
      </c>
      <c r="C70" s="1" t="str">
        <f ca="1">IFERROR(__xludf.DUMMYFUNCTION("""COMPUTED_VALUE"""),"SB")</f>
        <v>SB</v>
      </c>
      <c r="D70" s="1" t="str">
        <f ca="1">IFERROR(__xludf.DUMMYFUNCTION("""COMPUTED_VALUE"""),"25-9")</f>
        <v>25-9</v>
      </c>
      <c r="E70" s="1" t="str">
        <f ca="1">IFERROR(__xludf.DUMMYFUNCTION("""COMPUTED_VALUE"""),"+11.28")</f>
        <v>+11.28</v>
      </c>
      <c r="F70" s="1">
        <f ca="1">IFERROR(__xludf.DUMMYFUNCTION("""COMPUTED_VALUE"""),115.6)</f>
        <v>115.6</v>
      </c>
      <c r="G70" s="1">
        <f ca="1">IFERROR(__xludf.DUMMYFUNCTION("""COMPUTED_VALUE"""),23)</f>
        <v>23</v>
      </c>
      <c r="H70" s="1">
        <f ca="1">IFERROR(__xludf.DUMMYFUNCTION("""COMPUTED_VALUE"""),104.3)</f>
        <v>104.3</v>
      </c>
      <c r="I70" s="1">
        <f ca="1">IFERROR(__xludf.DUMMYFUNCTION("""COMPUTED_VALUE"""),156)</f>
        <v>156</v>
      </c>
      <c r="J70" s="1">
        <f ca="1">IFERROR(__xludf.DUMMYFUNCTION("""COMPUTED_VALUE"""),64.3)</f>
        <v>64.3</v>
      </c>
      <c r="K70" s="1">
        <f ca="1">IFERROR(__xludf.DUMMYFUNCTION("""COMPUTED_VALUE"""),200)</f>
        <v>200</v>
      </c>
      <c r="L70" s="1">
        <f ca="1">IFERROR(__xludf.DUMMYFUNCTION("""COMPUTED_VALUE"""),-0.025)</f>
        <v>-2.5000000000000001E-2</v>
      </c>
      <c r="M70" s="1">
        <f ca="1">IFERROR(__xludf.DUMMYFUNCTION("""COMPUTED_VALUE"""),238)</f>
        <v>238</v>
      </c>
      <c r="N70" s="1">
        <f ca="1">IFERROR(__xludf.DUMMYFUNCTION("""COMPUTED_VALUE"""),-2.18)</f>
        <v>-2.1800000000000002</v>
      </c>
      <c r="O70" s="1">
        <f ca="1">IFERROR(__xludf.DUMMYFUNCTION("""COMPUTED_VALUE"""),196)</f>
        <v>196</v>
      </c>
      <c r="P70" s="1">
        <f ca="1">IFERROR(__xludf.DUMMYFUNCTION("""COMPUTED_VALUE"""),103.5)</f>
        <v>103.5</v>
      </c>
      <c r="Q70" s="1">
        <f ca="1">IFERROR(__xludf.DUMMYFUNCTION("""COMPUTED_VALUE"""),221)</f>
        <v>221</v>
      </c>
      <c r="R70" s="1">
        <f ca="1">IFERROR(__xludf.DUMMYFUNCTION("""COMPUTED_VALUE"""),105.7)</f>
        <v>105.7</v>
      </c>
      <c r="S70" s="1">
        <f ca="1">IFERROR(__xludf.DUMMYFUNCTION("""COMPUTED_VALUE"""),186)</f>
        <v>186</v>
      </c>
      <c r="T70" s="1">
        <f ca="1">IFERROR(__xludf.DUMMYFUNCTION("""COMPUTED_VALUE"""),-0.58)</f>
        <v>-0.57999999999999996</v>
      </c>
      <c r="U70" s="1">
        <f ca="1">IFERROR(__xludf.DUMMYFUNCTION("""COMPUTED_VALUE"""),179)</f>
        <v>179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IFERROR(__xludf.DUMMYFUNCTION("""COMPUTED_VALUE"""),"Colorado8")</f>
        <v>Colorado8</v>
      </c>
      <c r="C71" s="1" t="str">
        <f ca="1">IFERROR(__xludf.DUMMYFUNCTION("""COMPUTED_VALUE"""),"P12")</f>
        <v>P12</v>
      </c>
      <c r="D71" s="1" t="str">
        <f ca="1">IFERROR(__xludf.DUMMYFUNCTION("""COMPUTED_VALUE"""),"23-12")</f>
        <v>23-12</v>
      </c>
      <c r="E71" s="1" t="str">
        <f ca="1">IFERROR(__xludf.DUMMYFUNCTION("""COMPUTED_VALUE"""),"+11.20")</f>
        <v>+11.20</v>
      </c>
      <c r="F71" s="1">
        <f ca="1">IFERROR(__xludf.DUMMYFUNCTION("""COMPUTED_VALUE"""),107.7)</f>
        <v>107.7</v>
      </c>
      <c r="G71" s="1">
        <f ca="1">IFERROR(__xludf.DUMMYFUNCTION("""COMPUTED_VALUE"""),129)</f>
        <v>129</v>
      </c>
      <c r="H71" s="1">
        <f ca="1">IFERROR(__xludf.DUMMYFUNCTION("""COMPUTED_VALUE"""),96.5)</f>
        <v>96.5</v>
      </c>
      <c r="I71" s="1">
        <f ca="1">IFERROR(__xludf.DUMMYFUNCTION("""COMPUTED_VALUE"""),42)</f>
        <v>42</v>
      </c>
      <c r="J71" s="1">
        <f ca="1">IFERROR(__xludf.DUMMYFUNCTION("""COMPUTED_VALUE"""),64.8)</f>
        <v>64.8</v>
      </c>
      <c r="K71" s="1">
        <f ca="1">IFERROR(__xludf.DUMMYFUNCTION("""COMPUTED_VALUE"""),167)</f>
        <v>167</v>
      </c>
      <c r="L71" s="1" t="str">
        <f ca="1">IFERROR(__xludf.DUMMYFUNCTION("""COMPUTED_VALUE"""),"+.120")</f>
        <v>+.120</v>
      </c>
      <c r="M71" s="1">
        <f ca="1">IFERROR(__xludf.DUMMYFUNCTION("""COMPUTED_VALUE"""),3)</f>
        <v>3</v>
      </c>
      <c r="N71" s="1" t="str">
        <f ca="1">IFERROR(__xludf.DUMMYFUNCTION("""COMPUTED_VALUE"""),"+8.74")</f>
        <v>+8.74</v>
      </c>
      <c r="O71" s="1">
        <f ca="1">IFERROR(__xludf.DUMMYFUNCTION("""COMPUTED_VALUE"""),26)</f>
        <v>26</v>
      </c>
      <c r="P71" s="1">
        <f ca="1">IFERROR(__xludf.DUMMYFUNCTION("""COMPUTED_VALUE"""),109.5)</f>
        <v>109.5</v>
      </c>
      <c r="Q71" s="1">
        <f ca="1">IFERROR(__xludf.DUMMYFUNCTION("""COMPUTED_VALUE"""),27)</f>
        <v>27</v>
      </c>
      <c r="R71" s="1">
        <f ca="1">IFERROR(__xludf.DUMMYFUNCTION("""COMPUTED_VALUE"""),100.8)</f>
        <v>100.8</v>
      </c>
      <c r="S71" s="1">
        <f ca="1">IFERROR(__xludf.DUMMYFUNCTION("""COMPUTED_VALUE"""),26)</f>
        <v>26</v>
      </c>
      <c r="T71" s="1" t="str">
        <f ca="1">IFERROR(__xludf.DUMMYFUNCTION("""COMPUTED_VALUE"""),"+1.71")</f>
        <v>+1.71</v>
      </c>
      <c r="U71" s="1">
        <f ca="1">IFERROR(__xludf.DUMMYFUNCTION("""COMPUTED_VALUE"""),110)</f>
        <v>110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IFERROR(__xludf.DUMMYFUNCTION("""COMPUTED_VALUE"""),"Marquette")</f>
        <v>Marquette</v>
      </c>
      <c r="C72" s="1" t="str">
        <f ca="1">IFERROR(__xludf.DUMMYFUNCTION("""COMPUTED_VALUE"""),"BE")</f>
        <v>BE</v>
      </c>
      <c r="D72" s="1" t="str">
        <f ca="1">IFERROR(__xludf.DUMMYFUNCTION("""COMPUTED_VALUE"""),"17-15")</f>
        <v>17-15</v>
      </c>
      <c r="E72" s="1" t="str">
        <f ca="1">IFERROR(__xludf.DUMMYFUNCTION("""COMPUTED_VALUE"""),"+11.05")</f>
        <v>+11.05</v>
      </c>
      <c r="F72" s="1">
        <f ca="1">IFERROR(__xludf.DUMMYFUNCTION("""COMPUTED_VALUE"""),109.7)</f>
        <v>109.7</v>
      </c>
      <c r="G72" s="1">
        <f ca="1">IFERROR(__xludf.DUMMYFUNCTION("""COMPUTED_VALUE"""),97)</f>
        <v>97</v>
      </c>
      <c r="H72" s="1">
        <f ca="1">IFERROR(__xludf.DUMMYFUNCTION("""COMPUTED_VALUE"""),98.6)</f>
        <v>98.6</v>
      </c>
      <c r="I72" s="1">
        <f ca="1">IFERROR(__xludf.DUMMYFUNCTION("""COMPUTED_VALUE"""),60)</f>
        <v>60</v>
      </c>
      <c r="J72" s="1">
        <f ca="1">IFERROR(__xludf.DUMMYFUNCTION("""COMPUTED_VALUE"""),64.5)</f>
        <v>64.5</v>
      </c>
      <c r="K72" s="1">
        <f ca="1">IFERROR(__xludf.DUMMYFUNCTION("""COMPUTED_VALUE"""),186)</f>
        <v>186</v>
      </c>
      <c r="L72" s="1">
        <f ca="1">IFERROR(__xludf.DUMMYFUNCTION("""COMPUTED_VALUE"""),-0.051)</f>
        <v>-5.0999999999999997E-2</v>
      </c>
      <c r="M72" s="1">
        <f ca="1">IFERROR(__xludf.DUMMYFUNCTION("""COMPUTED_VALUE"""),297)</f>
        <v>297</v>
      </c>
      <c r="N72" s="1" t="str">
        <f ca="1">IFERROR(__xludf.DUMMYFUNCTION("""COMPUTED_VALUE"""),"+7.74")</f>
        <v>+7.74</v>
      </c>
      <c r="O72" s="1">
        <f ca="1">IFERROR(__xludf.DUMMYFUNCTION("""COMPUTED_VALUE"""),41)</f>
        <v>41</v>
      </c>
      <c r="P72" s="1">
        <f ca="1">IFERROR(__xludf.DUMMYFUNCTION("""COMPUTED_VALUE"""),109)</f>
        <v>109</v>
      </c>
      <c r="Q72" s="1">
        <f ca="1">IFERROR(__xludf.DUMMYFUNCTION("""COMPUTED_VALUE"""),43)</f>
        <v>43</v>
      </c>
      <c r="R72" s="1">
        <f ca="1">IFERROR(__xludf.DUMMYFUNCTION("""COMPUTED_VALUE"""),101.2)</f>
        <v>101.2</v>
      </c>
      <c r="S72" s="1">
        <f ca="1">IFERROR(__xludf.DUMMYFUNCTION("""COMPUTED_VALUE"""),43)</f>
        <v>43</v>
      </c>
      <c r="T72" s="1">
        <f ca="1">IFERROR(__xludf.DUMMYFUNCTION("""COMPUTED_VALUE"""),-1.39)</f>
        <v>-1.39</v>
      </c>
      <c r="U72" s="1">
        <f ca="1">IFERROR(__xludf.DUMMYFUNCTION("""COMPUTED_VALUE"""),205)</f>
        <v>205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IFERROR(__xludf.DUMMYFUNCTION("""COMPUTED_VALUE"""),"Missouri2")</f>
        <v>Missouri2</v>
      </c>
      <c r="C73" s="1" t="str">
        <f ca="1">IFERROR(__xludf.DUMMYFUNCTION("""COMPUTED_VALUE"""),"SEC")</f>
        <v>SEC</v>
      </c>
      <c r="D73" s="1" t="str">
        <f ca="1">IFERROR(__xludf.DUMMYFUNCTION("""COMPUTED_VALUE"""),"23-12")</f>
        <v>23-12</v>
      </c>
      <c r="E73" s="1" t="str">
        <f ca="1">IFERROR(__xludf.DUMMYFUNCTION("""COMPUTED_VALUE"""),"+10.84")</f>
        <v>+10.84</v>
      </c>
      <c r="F73" s="1">
        <f ca="1">IFERROR(__xludf.DUMMYFUNCTION("""COMPUTED_VALUE"""),114.1)</f>
        <v>114.1</v>
      </c>
      <c r="G73" s="1">
        <f ca="1">IFERROR(__xludf.DUMMYFUNCTION("""COMPUTED_VALUE"""),33)</f>
        <v>33</v>
      </c>
      <c r="H73" s="1">
        <f ca="1">IFERROR(__xludf.DUMMYFUNCTION("""COMPUTED_VALUE"""),103.2)</f>
        <v>103.2</v>
      </c>
      <c r="I73" s="1">
        <f ca="1">IFERROR(__xludf.DUMMYFUNCTION("""COMPUTED_VALUE"""),137)</f>
        <v>137</v>
      </c>
      <c r="J73" s="1">
        <f ca="1">IFERROR(__xludf.DUMMYFUNCTION("""COMPUTED_VALUE"""),64.8)</f>
        <v>64.8</v>
      </c>
      <c r="K73" s="1">
        <f ca="1">IFERROR(__xludf.DUMMYFUNCTION("""COMPUTED_VALUE"""),165)</f>
        <v>165</v>
      </c>
      <c r="L73" s="1" t="str">
        <f ca="1">IFERROR(__xludf.DUMMYFUNCTION("""COMPUTED_VALUE"""),"+.062")</f>
        <v>+.062</v>
      </c>
      <c r="M73" s="1">
        <f ca="1">IFERROR(__xludf.DUMMYFUNCTION("""COMPUTED_VALUE"""),47)</f>
        <v>47</v>
      </c>
      <c r="N73" s="1" t="str">
        <f ca="1">IFERROR(__xludf.DUMMYFUNCTION("""COMPUTED_VALUE"""),"+6.06")</f>
        <v>+6.06</v>
      </c>
      <c r="O73" s="1">
        <f ca="1">IFERROR(__xludf.DUMMYFUNCTION("""COMPUTED_VALUE"""),67)</f>
        <v>67</v>
      </c>
      <c r="P73" s="1">
        <f ca="1">IFERROR(__xludf.DUMMYFUNCTION("""COMPUTED_VALUE"""),107.5)</f>
        <v>107.5</v>
      </c>
      <c r="Q73" s="1">
        <f ca="1">IFERROR(__xludf.DUMMYFUNCTION("""COMPUTED_VALUE"""),83)</f>
        <v>83</v>
      </c>
      <c r="R73" s="1">
        <f ca="1">IFERROR(__xludf.DUMMYFUNCTION("""COMPUTED_VALUE"""),101.4)</f>
        <v>101.4</v>
      </c>
      <c r="S73" s="1">
        <f ca="1">IFERROR(__xludf.DUMMYFUNCTION("""COMPUTED_VALUE"""),53)</f>
        <v>53</v>
      </c>
      <c r="T73" s="1">
        <f ca="1">IFERROR(__xludf.DUMMYFUNCTION("""COMPUTED_VALUE"""),-1.15)</f>
        <v>-1.1499999999999999</v>
      </c>
      <c r="U73" s="1">
        <f ca="1">IFERROR(__xludf.DUMMYFUNCTION("""COMPUTED_VALUE"""),195)</f>
        <v>195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IFERROR(__xludf.DUMMYFUNCTION("""COMPUTED_VALUE"""),"Stephen F. Austin12")</f>
        <v>Stephen F. Austin12</v>
      </c>
      <c r="C74" s="1" t="str">
        <f ca="1">IFERROR(__xludf.DUMMYFUNCTION("""COMPUTED_VALUE"""),"Slnd")</f>
        <v>Slnd</v>
      </c>
      <c r="D74" s="1" t="str">
        <f ca="1">IFERROR(__xludf.DUMMYFUNCTION("""COMPUTED_VALUE"""),"32-3")</f>
        <v>32-3</v>
      </c>
      <c r="E74" s="1" t="str">
        <f ca="1">IFERROR(__xludf.DUMMYFUNCTION("""COMPUTED_VALUE"""),"+10.83")</f>
        <v>+10.83</v>
      </c>
      <c r="F74" s="1">
        <f ca="1">IFERROR(__xludf.DUMMYFUNCTION("""COMPUTED_VALUE"""),112.3)</f>
        <v>112.3</v>
      </c>
      <c r="G74" s="1">
        <f ca="1">IFERROR(__xludf.DUMMYFUNCTION("""COMPUTED_VALUE"""),58)</f>
        <v>58</v>
      </c>
      <c r="H74" s="1">
        <f ca="1">IFERROR(__xludf.DUMMYFUNCTION("""COMPUTED_VALUE"""),101.5)</f>
        <v>101.5</v>
      </c>
      <c r="I74" s="1">
        <f ca="1">IFERROR(__xludf.DUMMYFUNCTION("""COMPUTED_VALUE"""),105)</f>
        <v>105</v>
      </c>
      <c r="J74" s="1">
        <f ca="1">IFERROR(__xludf.DUMMYFUNCTION("""COMPUTED_VALUE"""),61.2)</f>
        <v>61.2</v>
      </c>
      <c r="K74" s="1">
        <f ca="1">IFERROR(__xludf.DUMMYFUNCTION("""COMPUTED_VALUE"""),323)</f>
        <v>323</v>
      </c>
      <c r="L74" s="1" t="str">
        <f ca="1">IFERROR(__xludf.DUMMYFUNCTION("""COMPUTED_VALUE"""),"+.073")</f>
        <v>+.073</v>
      </c>
      <c r="M74" s="1">
        <f ca="1">IFERROR(__xludf.DUMMYFUNCTION("""COMPUTED_VALUE"""),33)</f>
        <v>33</v>
      </c>
      <c r="N74" s="1">
        <f ca="1">IFERROR(__xludf.DUMMYFUNCTION("""COMPUTED_VALUE"""),-7.12)</f>
        <v>-7.12</v>
      </c>
      <c r="O74" s="1">
        <f ca="1">IFERROR(__xludf.DUMMYFUNCTION("""COMPUTED_VALUE"""),309)</f>
        <v>309</v>
      </c>
      <c r="P74" s="1">
        <f ca="1">IFERROR(__xludf.DUMMYFUNCTION("""COMPUTED_VALUE"""),102)</f>
        <v>102</v>
      </c>
      <c r="Q74" s="1">
        <f ca="1">IFERROR(__xludf.DUMMYFUNCTION("""COMPUTED_VALUE"""),298)</f>
        <v>298</v>
      </c>
      <c r="R74" s="1">
        <f ca="1">IFERROR(__xludf.DUMMYFUNCTION("""COMPUTED_VALUE"""),109.2)</f>
        <v>109.2</v>
      </c>
      <c r="S74" s="1">
        <f ca="1">IFERROR(__xludf.DUMMYFUNCTION("""COMPUTED_VALUE"""),316)</f>
        <v>316</v>
      </c>
      <c r="T74" s="1">
        <f ca="1">IFERROR(__xludf.DUMMYFUNCTION("""COMPUTED_VALUE"""),-4.19)</f>
        <v>-4.1900000000000004</v>
      </c>
      <c r="U74" s="1">
        <f ca="1">IFERROR(__xludf.DUMMYFUNCTION("""COMPUTED_VALUE"""),286)</f>
        <v>286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IFERROR(__xludf.DUMMYFUNCTION("""COMPUTED_VALUE"""),"Green Bay4")</f>
        <v>Green Bay4</v>
      </c>
      <c r="C75" s="1" t="str">
        <f ca="1">IFERROR(__xludf.DUMMYFUNCTION("""COMPUTED_VALUE"""),"Horz")</f>
        <v>Horz</v>
      </c>
      <c r="D75" s="1" t="str">
        <f ca="1">IFERROR(__xludf.DUMMYFUNCTION("""COMPUTED_VALUE"""),"24-7")</f>
        <v>24-7</v>
      </c>
      <c r="E75" s="1" t="str">
        <f ca="1">IFERROR(__xludf.DUMMYFUNCTION("""COMPUTED_VALUE"""),"+10.77")</f>
        <v>+10.77</v>
      </c>
      <c r="F75" s="1">
        <f ca="1">IFERROR(__xludf.DUMMYFUNCTION("""COMPUTED_VALUE"""),108.7)</f>
        <v>108.7</v>
      </c>
      <c r="G75" s="1">
        <f ca="1">IFERROR(__xludf.DUMMYFUNCTION("""COMPUTED_VALUE"""),113)</f>
        <v>113</v>
      </c>
      <c r="H75" s="1">
        <f ca="1">IFERROR(__xludf.DUMMYFUNCTION("""COMPUTED_VALUE"""),98)</f>
        <v>98</v>
      </c>
      <c r="I75" s="1">
        <f ca="1">IFERROR(__xludf.DUMMYFUNCTION("""COMPUTED_VALUE"""),56)</f>
        <v>56</v>
      </c>
      <c r="J75" s="1">
        <f ca="1">IFERROR(__xludf.DUMMYFUNCTION("""COMPUTED_VALUE"""),65.5)</f>
        <v>65.5</v>
      </c>
      <c r="K75" s="1">
        <f ca="1">IFERROR(__xludf.DUMMYFUNCTION("""COMPUTED_VALUE"""),131)</f>
        <v>131</v>
      </c>
      <c r="L75" s="1" t="str">
        <f ca="1">IFERROR(__xludf.DUMMYFUNCTION("""COMPUTED_VALUE"""),"+.037")</f>
        <v>+.037</v>
      </c>
      <c r="M75" s="1">
        <f ca="1">IFERROR(__xludf.DUMMYFUNCTION("""COMPUTED_VALUE"""),94)</f>
        <v>94</v>
      </c>
      <c r="N75" s="1" t="str">
        <f ca="1">IFERROR(__xludf.DUMMYFUNCTION("""COMPUTED_VALUE"""),"+0.11")</f>
        <v>+0.11</v>
      </c>
      <c r="O75" s="1">
        <f ca="1">IFERROR(__xludf.DUMMYFUNCTION("""COMPUTED_VALUE"""),148)</f>
        <v>148</v>
      </c>
      <c r="P75" s="1">
        <f ca="1">IFERROR(__xludf.DUMMYFUNCTION("""COMPUTED_VALUE"""),104.7)</f>
        <v>104.7</v>
      </c>
      <c r="Q75" s="1">
        <f ca="1">IFERROR(__xludf.DUMMYFUNCTION("""COMPUTED_VALUE"""),160)</f>
        <v>160</v>
      </c>
      <c r="R75" s="1">
        <f ca="1">IFERROR(__xludf.DUMMYFUNCTION("""COMPUTED_VALUE"""),104.6)</f>
        <v>104.6</v>
      </c>
      <c r="S75" s="1">
        <f ca="1">IFERROR(__xludf.DUMMYFUNCTION("""COMPUTED_VALUE"""),138)</f>
        <v>138</v>
      </c>
      <c r="T75" s="1" t="str">
        <f ca="1">IFERROR(__xludf.DUMMYFUNCTION("""COMPUTED_VALUE"""),"+3.19")</f>
        <v>+3.19</v>
      </c>
      <c r="U75" s="1">
        <f ca="1">IFERROR(__xludf.DUMMYFUNCTION("""COMPUTED_VALUE"""),71)</f>
        <v>71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IFERROR(__xludf.DUMMYFUNCTION("""COMPUTED_VALUE"""),"New Mexico St.13")</f>
        <v>New Mexico St.13</v>
      </c>
      <c r="C76" s="1" t="str">
        <f ca="1">IFERROR(__xludf.DUMMYFUNCTION("""COMPUTED_VALUE"""),"WAC")</f>
        <v>WAC</v>
      </c>
      <c r="D76" s="1" t="str">
        <f ca="1">IFERROR(__xludf.DUMMYFUNCTION("""COMPUTED_VALUE"""),"26-10")</f>
        <v>26-10</v>
      </c>
      <c r="E76" s="1" t="str">
        <f ca="1">IFERROR(__xludf.DUMMYFUNCTION("""COMPUTED_VALUE"""),"+10.54")</f>
        <v>+10.54</v>
      </c>
      <c r="F76" s="1">
        <f ca="1">IFERROR(__xludf.DUMMYFUNCTION("""COMPUTED_VALUE"""),112.9)</f>
        <v>112.9</v>
      </c>
      <c r="G76" s="1">
        <f ca="1">IFERROR(__xludf.DUMMYFUNCTION("""COMPUTED_VALUE"""),45)</f>
        <v>45</v>
      </c>
      <c r="H76" s="1">
        <f ca="1">IFERROR(__xludf.DUMMYFUNCTION("""COMPUTED_VALUE"""),102.4)</f>
        <v>102.4</v>
      </c>
      <c r="I76" s="1">
        <f ca="1">IFERROR(__xludf.DUMMYFUNCTION("""COMPUTED_VALUE"""),117)</f>
        <v>117</v>
      </c>
      <c r="J76" s="1">
        <f ca="1">IFERROR(__xludf.DUMMYFUNCTION("""COMPUTED_VALUE"""),65.2)</f>
        <v>65.2</v>
      </c>
      <c r="K76" s="1">
        <f ca="1">IFERROR(__xludf.DUMMYFUNCTION("""COMPUTED_VALUE"""),148)</f>
        <v>148</v>
      </c>
      <c r="L76" s="1">
        <f ca="1">IFERROR(__xludf.DUMMYFUNCTION("""COMPUTED_VALUE"""),-0.03)</f>
        <v>-0.03</v>
      </c>
      <c r="M76" s="1">
        <f ca="1">IFERROR(__xludf.DUMMYFUNCTION("""COMPUTED_VALUE"""),246)</f>
        <v>246</v>
      </c>
      <c r="N76" s="1">
        <f ca="1">IFERROR(__xludf.DUMMYFUNCTION("""COMPUTED_VALUE"""),-3.64)</f>
        <v>-3.64</v>
      </c>
      <c r="O76" s="1">
        <f ca="1">IFERROR(__xludf.DUMMYFUNCTION("""COMPUTED_VALUE"""),234)</f>
        <v>234</v>
      </c>
      <c r="P76" s="1">
        <f ca="1">IFERROR(__xludf.DUMMYFUNCTION("""COMPUTED_VALUE"""),103)</f>
        <v>103</v>
      </c>
      <c r="Q76" s="1">
        <f ca="1">IFERROR(__xludf.DUMMYFUNCTION("""COMPUTED_VALUE"""),258)</f>
        <v>258</v>
      </c>
      <c r="R76" s="1">
        <f ca="1">IFERROR(__xludf.DUMMYFUNCTION("""COMPUTED_VALUE"""),106.7)</f>
        <v>106.7</v>
      </c>
      <c r="S76" s="1">
        <f ca="1">IFERROR(__xludf.DUMMYFUNCTION("""COMPUTED_VALUE"""),225)</f>
        <v>225</v>
      </c>
      <c r="T76" s="1" t="str">
        <f ca="1">IFERROR(__xludf.DUMMYFUNCTION("""COMPUTED_VALUE"""),"+2.60")</f>
        <v>+2.60</v>
      </c>
      <c r="U76" s="1">
        <f ca="1">IFERROR(__xludf.DUMMYFUNCTION("""COMPUTED_VALUE"""),88)</f>
        <v>88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IFERROR(__xludf.DUMMYFUNCTION("""COMPUTED_VALUE"""),"Boise St.")</f>
        <v>Boise St.</v>
      </c>
      <c r="C77" s="1" t="str">
        <f ca="1">IFERROR(__xludf.DUMMYFUNCTION("""COMPUTED_VALUE"""),"MWC")</f>
        <v>MWC</v>
      </c>
      <c r="D77" s="1" t="str">
        <f ca="1">IFERROR(__xludf.DUMMYFUNCTION("""COMPUTED_VALUE"""),"21-13")</f>
        <v>21-13</v>
      </c>
      <c r="E77" s="1" t="str">
        <f ca="1">IFERROR(__xludf.DUMMYFUNCTION("""COMPUTED_VALUE"""),"+10.53")</f>
        <v>+10.53</v>
      </c>
      <c r="F77" s="1">
        <f ca="1">IFERROR(__xludf.DUMMYFUNCTION("""COMPUTED_VALUE"""),114.6)</f>
        <v>114.6</v>
      </c>
      <c r="G77" s="1">
        <f ca="1">IFERROR(__xludf.DUMMYFUNCTION("""COMPUTED_VALUE"""),29)</f>
        <v>29</v>
      </c>
      <c r="H77" s="1">
        <f ca="1">IFERROR(__xludf.DUMMYFUNCTION("""COMPUTED_VALUE"""),104.1)</f>
        <v>104.1</v>
      </c>
      <c r="I77" s="1">
        <f ca="1">IFERROR(__xludf.DUMMYFUNCTION("""COMPUTED_VALUE"""),152)</f>
        <v>152</v>
      </c>
      <c r="J77" s="1">
        <f ca="1">IFERROR(__xludf.DUMMYFUNCTION("""COMPUTED_VALUE"""),63.9)</f>
        <v>63.9</v>
      </c>
      <c r="K77" s="1">
        <f ca="1">IFERROR(__xludf.DUMMYFUNCTION("""COMPUTED_VALUE"""),219)</f>
        <v>219</v>
      </c>
      <c r="L77" s="1">
        <f ca="1">IFERROR(__xludf.DUMMYFUNCTION("""COMPUTED_VALUE"""),-0.056)</f>
        <v>-5.6000000000000001E-2</v>
      </c>
      <c r="M77" s="1">
        <f ca="1">IFERROR(__xludf.DUMMYFUNCTION("""COMPUTED_VALUE"""),306)</f>
        <v>306</v>
      </c>
      <c r="N77" s="1" t="str">
        <f ca="1">IFERROR(__xludf.DUMMYFUNCTION("""COMPUTED_VALUE"""),"+3.28")</f>
        <v>+3.28</v>
      </c>
      <c r="O77" s="1">
        <f ca="1">IFERROR(__xludf.DUMMYFUNCTION("""COMPUTED_VALUE"""),106)</f>
        <v>106</v>
      </c>
      <c r="P77" s="1">
        <f ca="1">IFERROR(__xludf.DUMMYFUNCTION("""COMPUTED_VALUE"""),107)</f>
        <v>107</v>
      </c>
      <c r="Q77" s="1">
        <f ca="1">IFERROR(__xludf.DUMMYFUNCTION("""COMPUTED_VALUE"""),101)</f>
        <v>101</v>
      </c>
      <c r="R77" s="1">
        <f ca="1">IFERROR(__xludf.DUMMYFUNCTION("""COMPUTED_VALUE"""),103.7)</f>
        <v>103.7</v>
      </c>
      <c r="S77" s="1">
        <f ca="1">IFERROR(__xludf.DUMMYFUNCTION("""COMPUTED_VALUE"""),107)</f>
        <v>107</v>
      </c>
      <c r="T77" s="1" t="str">
        <f ca="1">IFERROR(__xludf.DUMMYFUNCTION("""COMPUTED_VALUE"""),"+0.38")</f>
        <v>+0.38</v>
      </c>
      <c r="U77" s="1">
        <f ca="1">IFERROR(__xludf.DUMMYFUNCTION("""COMPUTED_VALUE"""),150)</f>
        <v>150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IFERROR(__xludf.DUMMYFUNCTION("""COMPUTED_VALUE"""),"Manhattan13")</f>
        <v>Manhattan13</v>
      </c>
      <c r="C78" s="1" t="str">
        <f ca="1">IFERROR(__xludf.DUMMYFUNCTION("""COMPUTED_VALUE"""),"MAAC")</f>
        <v>MAAC</v>
      </c>
      <c r="D78" s="1" t="str">
        <f ca="1">IFERROR(__xludf.DUMMYFUNCTION("""COMPUTED_VALUE"""),"25-8")</f>
        <v>25-8</v>
      </c>
      <c r="E78" s="1" t="str">
        <f ca="1">IFERROR(__xludf.DUMMYFUNCTION("""COMPUTED_VALUE"""),"+10.21")</f>
        <v>+10.21</v>
      </c>
      <c r="F78" s="1">
        <f ca="1">IFERROR(__xludf.DUMMYFUNCTION("""COMPUTED_VALUE"""),107.2)</f>
        <v>107.2</v>
      </c>
      <c r="G78" s="1">
        <f ca="1">IFERROR(__xludf.DUMMYFUNCTION("""COMPUTED_VALUE"""),134)</f>
        <v>134</v>
      </c>
      <c r="H78" s="1">
        <f ca="1">IFERROR(__xludf.DUMMYFUNCTION("""COMPUTED_VALUE"""),97)</f>
        <v>97</v>
      </c>
      <c r="I78" s="1">
        <f ca="1">IFERROR(__xludf.DUMMYFUNCTION("""COMPUTED_VALUE"""),46)</f>
        <v>46</v>
      </c>
      <c r="J78" s="1">
        <f ca="1">IFERROR(__xludf.DUMMYFUNCTION("""COMPUTED_VALUE"""),67.7)</f>
        <v>67.7</v>
      </c>
      <c r="K78" s="1">
        <f ca="1">IFERROR(__xludf.DUMMYFUNCTION("""COMPUTED_VALUE"""),46)</f>
        <v>46</v>
      </c>
      <c r="L78" s="1">
        <f ca="1">IFERROR(__xludf.DUMMYFUNCTION("""COMPUTED_VALUE"""),-0.008)</f>
        <v>-8.0000000000000002E-3</v>
      </c>
      <c r="M78" s="1">
        <f ca="1">IFERROR(__xludf.DUMMYFUNCTION("""COMPUTED_VALUE"""),202)</f>
        <v>202</v>
      </c>
      <c r="N78" s="1">
        <f ca="1">IFERROR(__xludf.DUMMYFUNCTION("""COMPUTED_VALUE"""),-0.2)</f>
        <v>-0.2</v>
      </c>
      <c r="O78" s="1">
        <f ca="1">IFERROR(__xludf.DUMMYFUNCTION("""COMPUTED_VALUE"""),152)</f>
        <v>152</v>
      </c>
      <c r="P78" s="1">
        <f ca="1">IFERROR(__xludf.DUMMYFUNCTION("""COMPUTED_VALUE"""),105.6)</f>
        <v>105.6</v>
      </c>
      <c r="Q78" s="1">
        <f ca="1">IFERROR(__xludf.DUMMYFUNCTION("""COMPUTED_VALUE"""),128)</f>
        <v>128</v>
      </c>
      <c r="R78" s="1">
        <f ca="1">IFERROR(__xludf.DUMMYFUNCTION("""COMPUTED_VALUE"""),105.8)</f>
        <v>105.8</v>
      </c>
      <c r="S78" s="1">
        <f ca="1">IFERROR(__xludf.DUMMYFUNCTION("""COMPUTED_VALUE"""),191)</f>
        <v>191</v>
      </c>
      <c r="T78" s="1" t="str">
        <f ca="1">IFERROR(__xludf.DUMMYFUNCTION("""COMPUTED_VALUE"""),"+3.46")</f>
        <v>+3.46</v>
      </c>
      <c r="U78" s="1">
        <f ca="1">IFERROR(__xludf.DUMMYFUNCTION("""COMPUTED_VALUE"""),65)</f>
        <v>65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IFERROR(__xludf.DUMMYFUNCTION("""COMPUTED_VALUE"""),"Vermont7")</f>
        <v>Vermont7</v>
      </c>
      <c r="C79" s="1" t="str">
        <f ca="1">IFERROR(__xludf.DUMMYFUNCTION("""COMPUTED_VALUE"""),"AE")</f>
        <v>AE</v>
      </c>
      <c r="D79" s="1" t="str">
        <f ca="1">IFERROR(__xludf.DUMMYFUNCTION("""COMPUTED_VALUE"""),"22-11")</f>
        <v>22-11</v>
      </c>
      <c r="E79" s="1" t="str">
        <f ca="1">IFERROR(__xludf.DUMMYFUNCTION("""COMPUTED_VALUE"""),"+10.16")</f>
        <v>+10.16</v>
      </c>
      <c r="F79" s="1">
        <f ca="1">IFERROR(__xludf.DUMMYFUNCTION("""COMPUTED_VALUE"""),109.9)</f>
        <v>109.9</v>
      </c>
      <c r="G79" s="1">
        <f ca="1">IFERROR(__xludf.DUMMYFUNCTION("""COMPUTED_VALUE"""),92)</f>
        <v>92</v>
      </c>
      <c r="H79" s="1">
        <f ca="1">IFERROR(__xludf.DUMMYFUNCTION("""COMPUTED_VALUE"""),99.7)</f>
        <v>99.7</v>
      </c>
      <c r="I79" s="1">
        <f ca="1">IFERROR(__xludf.DUMMYFUNCTION("""COMPUTED_VALUE"""),75)</f>
        <v>75</v>
      </c>
      <c r="J79" s="1">
        <f ca="1">IFERROR(__xludf.DUMMYFUNCTION("""COMPUTED_VALUE"""),62.1)</f>
        <v>62.1</v>
      </c>
      <c r="K79" s="1">
        <f ca="1">IFERROR(__xludf.DUMMYFUNCTION("""COMPUTED_VALUE"""),299)</f>
        <v>299</v>
      </c>
      <c r="L79" s="1">
        <f ca="1">IFERROR(__xludf.DUMMYFUNCTION("""COMPUTED_VALUE"""),-0.064)</f>
        <v>-6.4000000000000001E-2</v>
      </c>
      <c r="M79" s="1">
        <f ca="1">IFERROR(__xludf.DUMMYFUNCTION("""COMPUTED_VALUE"""),317)</f>
        <v>317</v>
      </c>
      <c r="N79" s="1">
        <f ca="1">IFERROR(__xludf.DUMMYFUNCTION("""COMPUTED_VALUE"""),-3.91)</f>
        <v>-3.91</v>
      </c>
      <c r="O79" s="1">
        <f ca="1">IFERROR(__xludf.DUMMYFUNCTION("""COMPUTED_VALUE"""),239)</f>
        <v>239</v>
      </c>
      <c r="P79" s="1">
        <f ca="1">IFERROR(__xludf.DUMMYFUNCTION("""COMPUTED_VALUE"""),101.8)</f>
        <v>101.8</v>
      </c>
      <c r="Q79" s="1">
        <f ca="1">IFERROR(__xludf.DUMMYFUNCTION("""COMPUTED_VALUE"""),305)</f>
        <v>305</v>
      </c>
      <c r="R79" s="1">
        <f ca="1">IFERROR(__xludf.DUMMYFUNCTION("""COMPUTED_VALUE"""),105.7)</f>
        <v>105.7</v>
      </c>
      <c r="S79" s="1">
        <f ca="1">IFERROR(__xludf.DUMMYFUNCTION("""COMPUTED_VALUE"""),185)</f>
        <v>185</v>
      </c>
      <c r="T79" s="1" t="str">
        <f ca="1">IFERROR(__xludf.DUMMYFUNCTION("""COMPUTED_VALUE"""),"+7.39")</f>
        <v>+7.39</v>
      </c>
      <c r="U79" s="1">
        <f ca="1">IFERROR(__xludf.DUMMYFUNCTION("""COMPUTED_VALUE"""),25)</f>
        <v>25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IFERROR(__xludf.DUMMYFUNCTION("""COMPUTED_VALUE"""),"Iona6")</f>
        <v>Iona6</v>
      </c>
      <c r="C80" s="1" t="str">
        <f ca="1">IFERROR(__xludf.DUMMYFUNCTION("""COMPUTED_VALUE"""),"MAAC")</f>
        <v>MAAC</v>
      </c>
      <c r="D80" s="1" t="str">
        <f ca="1">IFERROR(__xludf.DUMMYFUNCTION("""COMPUTED_VALUE"""),"22-11")</f>
        <v>22-11</v>
      </c>
      <c r="E80" s="1" t="str">
        <f ca="1">IFERROR(__xludf.DUMMYFUNCTION("""COMPUTED_VALUE"""),"+10.14")</f>
        <v>+10.14</v>
      </c>
      <c r="F80" s="1">
        <f ca="1">IFERROR(__xludf.DUMMYFUNCTION("""COMPUTED_VALUE"""),118.6)</f>
        <v>118.6</v>
      </c>
      <c r="G80" s="1">
        <f ca="1">IFERROR(__xludf.DUMMYFUNCTION("""COMPUTED_VALUE"""),12)</f>
        <v>12</v>
      </c>
      <c r="H80" s="1">
        <f ca="1">IFERROR(__xludf.DUMMYFUNCTION("""COMPUTED_VALUE"""),108.5)</f>
        <v>108.5</v>
      </c>
      <c r="I80" s="1">
        <f ca="1">IFERROR(__xludf.DUMMYFUNCTION("""COMPUTED_VALUE"""),237)</f>
        <v>237</v>
      </c>
      <c r="J80" s="1">
        <f ca="1">IFERROR(__xludf.DUMMYFUNCTION("""COMPUTED_VALUE"""),68.6)</f>
        <v>68.599999999999994</v>
      </c>
      <c r="K80" s="1">
        <f ca="1">IFERROR(__xludf.DUMMYFUNCTION("""COMPUTED_VALUE"""),28)</f>
        <v>28</v>
      </c>
      <c r="L80" s="1">
        <f ca="1">IFERROR(__xludf.DUMMYFUNCTION("""COMPUTED_VALUE"""),-0.024)</f>
        <v>-2.4E-2</v>
      </c>
      <c r="M80" s="1">
        <f ca="1">IFERROR(__xludf.DUMMYFUNCTION("""COMPUTED_VALUE"""),236)</f>
        <v>236</v>
      </c>
      <c r="N80" s="1" t="str">
        <f ca="1">IFERROR(__xludf.DUMMYFUNCTION("""COMPUTED_VALUE"""),"+0.89")</f>
        <v>+0.89</v>
      </c>
      <c r="O80" s="1">
        <f ca="1">IFERROR(__xludf.DUMMYFUNCTION("""COMPUTED_VALUE"""),126)</f>
        <v>126</v>
      </c>
      <c r="P80" s="1">
        <f ca="1">IFERROR(__xludf.DUMMYFUNCTION("""COMPUTED_VALUE"""),105.5)</f>
        <v>105.5</v>
      </c>
      <c r="Q80" s="1">
        <f ca="1">IFERROR(__xludf.DUMMYFUNCTION("""COMPUTED_VALUE"""),130)</f>
        <v>130</v>
      </c>
      <c r="R80" s="1">
        <f ca="1">IFERROR(__xludf.DUMMYFUNCTION("""COMPUTED_VALUE"""),104.6)</f>
        <v>104.6</v>
      </c>
      <c r="S80" s="1">
        <f ca="1">IFERROR(__xludf.DUMMYFUNCTION("""COMPUTED_VALUE"""),137)</f>
        <v>137</v>
      </c>
      <c r="T80" s="1" t="str">
        <f ca="1">IFERROR(__xludf.DUMMYFUNCTION("""COMPUTED_VALUE"""),"+8.19")</f>
        <v>+8.19</v>
      </c>
      <c r="U80" s="1">
        <f ca="1">IFERROR(__xludf.DUMMYFUNCTION("""COMPUTED_VALUE"""),19)</f>
        <v>19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IFERROR(__xludf.DUMMYFUNCTION("""COMPUTED_VALUE"""),"Miami FL")</f>
        <v>Miami FL</v>
      </c>
      <c r="C81" s="1" t="str">
        <f ca="1">IFERROR(__xludf.DUMMYFUNCTION("""COMPUTED_VALUE"""),"ACC")</f>
        <v>ACC</v>
      </c>
      <c r="D81" s="1" t="str">
        <f ca="1">IFERROR(__xludf.DUMMYFUNCTION("""COMPUTED_VALUE"""),"17-16")</f>
        <v>17-16</v>
      </c>
      <c r="E81" s="1" t="str">
        <f ca="1">IFERROR(__xludf.DUMMYFUNCTION("""COMPUTED_VALUE"""),"+9.88")</f>
        <v>+9.88</v>
      </c>
      <c r="F81" s="1">
        <f ca="1">IFERROR(__xludf.DUMMYFUNCTION("""COMPUTED_VALUE"""),109.2)</f>
        <v>109.2</v>
      </c>
      <c r="G81" s="1">
        <f ca="1">IFERROR(__xludf.DUMMYFUNCTION("""COMPUTED_VALUE"""),105)</f>
        <v>105</v>
      </c>
      <c r="H81" s="1">
        <f ca="1">IFERROR(__xludf.DUMMYFUNCTION("""COMPUTED_VALUE"""),99.3)</f>
        <v>99.3</v>
      </c>
      <c r="I81" s="1">
        <f ca="1">IFERROR(__xludf.DUMMYFUNCTION("""COMPUTED_VALUE"""),66)</f>
        <v>66</v>
      </c>
      <c r="J81" s="1">
        <f ca="1">IFERROR(__xludf.DUMMYFUNCTION("""COMPUTED_VALUE"""),57)</f>
        <v>57</v>
      </c>
      <c r="K81" s="1">
        <f ca="1">IFERROR(__xludf.DUMMYFUNCTION("""COMPUTED_VALUE"""),351)</f>
        <v>351</v>
      </c>
      <c r="L81" s="1">
        <f ca="1">IFERROR(__xludf.DUMMYFUNCTION("""COMPUTED_VALUE"""),-0.045)</f>
        <v>-4.4999999999999998E-2</v>
      </c>
      <c r="M81" s="1">
        <f ca="1">IFERROR(__xludf.DUMMYFUNCTION("""COMPUTED_VALUE"""),281)</f>
        <v>281</v>
      </c>
      <c r="N81" s="1" t="str">
        <f ca="1">IFERROR(__xludf.DUMMYFUNCTION("""COMPUTED_VALUE"""),"+5.70")</f>
        <v>+5.70</v>
      </c>
      <c r="O81" s="1">
        <f ca="1">IFERROR(__xludf.DUMMYFUNCTION("""COMPUTED_VALUE"""),72)</f>
        <v>72</v>
      </c>
      <c r="P81" s="1">
        <f ca="1">IFERROR(__xludf.DUMMYFUNCTION("""COMPUTED_VALUE"""),107.2)</f>
        <v>107.2</v>
      </c>
      <c r="Q81" s="1">
        <f ca="1">IFERROR(__xludf.DUMMYFUNCTION("""COMPUTED_VALUE"""),98)</f>
        <v>98</v>
      </c>
      <c r="R81" s="1">
        <f ca="1">IFERROR(__xludf.DUMMYFUNCTION("""COMPUTED_VALUE"""),101.5)</f>
        <v>101.5</v>
      </c>
      <c r="S81" s="1">
        <f ca="1">IFERROR(__xludf.DUMMYFUNCTION("""COMPUTED_VALUE"""),59)</f>
        <v>59</v>
      </c>
      <c r="T81" s="1">
        <f ca="1">IFERROR(__xludf.DUMMYFUNCTION("""COMPUTED_VALUE"""),-3.54)</f>
        <v>-3.54</v>
      </c>
      <c r="U81" s="1">
        <f ca="1">IFERROR(__xludf.DUMMYFUNCTION("""COMPUTED_VALUE"""),271)</f>
        <v>271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IFERROR(__xludf.DUMMYFUNCTION("""COMPUTED_VALUE"""),"Georgia2")</f>
        <v>Georgia2</v>
      </c>
      <c r="C82" s="1" t="str">
        <f ca="1">IFERROR(__xludf.DUMMYFUNCTION("""COMPUTED_VALUE"""),"SEC")</f>
        <v>SEC</v>
      </c>
      <c r="D82" s="1" t="str">
        <f ca="1">IFERROR(__xludf.DUMMYFUNCTION("""COMPUTED_VALUE"""),"20-14")</f>
        <v>20-14</v>
      </c>
      <c r="E82" s="1" t="str">
        <f ca="1">IFERROR(__xludf.DUMMYFUNCTION("""COMPUTED_VALUE"""),"+9.40")</f>
        <v>+9.40</v>
      </c>
      <c r="F82" s="1">
        <f ca="1">IFERROR(__xludf.DUMMYFUNCTION("""COMPUTED_VALUE"""),109)</f>
        <v>109</v>
      </c>
      <c r="G82" s="1">
        <f ca="1">IFERROR(__xludf.DUMMYFUNCTION("""COMPUTED_VALUE"""),108)</f>
        <v>108</v>
      </c>
      <c r="H82" s="1">
        <f ca="1">IFERROR(__xludf.DUMMYFUNCTION("""COMPUTED_VALUE"""),99.6)</f>
        <v>99.6</v>
      </c>
      <c r="I82" s="1">
        <f ca="1">IFERROR(__xludf.DUMMYFUNCTION("""COMPUTED_VALUE"""),71)</f>
        <v>71</v>
      </c>
      <c r="J82" s="1">
        <f ca="1">IFERROR(__xludf.DUMMYFUNCTION("""COMPUTED_VALUE"""),62.8)</f>
        <v>62.8</v>
      </c>
      <c r="K82" s="1">
        <f ca="1">IFERROR(__xludf.DUMMYFUNCTION("""COMPUTED_VALUE"""),273)</f>
        <v>273</v>
      </c>
      <c r="L82" s="1" t="str">
        <f ca="1">IFERROR(__xludf.DUMMYFUNCTION("""COMPUTED_VALUE"""),"+.033")</f>
        <v>+.033</v>
      </c>
      <c r="M82" s="1">
        <f ca="1">IFERROR(__xludf.DUMMYFUNCTION("""COMPUTED_VALUE"""),103)</f>
        <v>103</v>
      </c>
      <c r="N82" s="1" t="str">
        <f ca="1">IFERROR(__xludf.DUMMYFUNCTION("""COMPUTED_VALUE"""),"+5.06")</f>
        <v>+5.06</v>
      </c>
      <c r="O82" s="1">
        <f ca="1">IFERROR(__xludf.DUMMYFUNCTION("""COMPUTED_VALUE"""),82)</f>
        <v>82</v>
      </c>
      <c r="P82" s="1">
        <f ca="1">IFERROR(__xludf.DUMMYFUNCTION("""COMPUTED_VALUE"""),107.2)</f>
        <v>107.2</v>
      </c>
      <c r="Q82" s="1">
        <f ca="1">IFERROR(__xludf.DUMMYFUNCTION("""COMPUTED_VALUE"""),97)</f>
        <v>97</v>
      </c>
      <c r="R82" s="1">
        <f ca="1">IFERROR(__xludf.DUMMYFUNCTION("""COMPUTED_VALUE"""),102.2)</f>
        <v>102.2</v>
      </c>
      <c r="S82" s="1">
        <f ca="1">IFERROR(__xludf.DUMMYFUNCTION("""COMPUTED_VALUE"""),72)</f>
        <v>72</v>
      </c>
      <c r="T82" s="1">
        <f ca="1">IFERROR(__xludf.DUMMYFUNCTION("""COMPUTED_VALUE"""),-3.8)</f>
        <v>-3.8</v>
      </c>
      <c r="U82" s="1">
        <f ca="1">IFERROR(__xludf.DUMMYFUNCTION("""COMPUTED_VALUE"""),280)</f>
        <v>280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IFERROR(__xludf.DUMMYFUNCTION("""COMPUTED_VALUE"""),"UNLV")</f>
        <v>UNLV</v>
      </c>
      <c r="C83" s="1" t="str">
        <f ca="1">IFERROR(__xludf.DUMMYFUNCTION("""COMPUTED_VALUE"""),"MWC")</f>
        <v>MWC</v>
      </c>
      <c r="D83" s="1" t="str">
        <f ca="1">IFERROR(__xludf.DUMMYFUNCTION("""COMPUTED_VALUE"""),"20-13")</f>
        <v>20-13</v>
      </c>
      <c r="E83" s="1" t="str">
        <f ca="1">IFERROR(__xludf.DUMMYFUNCTION("""COMPUTED_VALUE"""),"+9.15")</f>
        <v>+9.15</v>
      </c>
      <c r="F83" s="1">
        <f ca="1">IFERROR(__xludf.DUMMYFUNCTION("""COMPUTED_VALUE"""),108.2)</f>
        <v>108.2</v>
      </c>
      <c r="G83" s="1">
        <f ca="1">IFERROR(__xludf.DUMMYFUNCTION("""COMPUTED_VALUE"""),121)</f>
        <v>121</v>
      </c>
      <c r="H83" s="1">
        <f ca="1">IFERROR(__xludf.DUMMYFUNCTION("""COMPUTED_VALUE"""),99)</f>
        <v>99</v>
      </c>
      <c r="I83" s="1">
        <f ca="1">IFERROR(__xludf.DUMMYFUNCTION("""COMPUTED_VALUE"""),62)</f>
        <v>62</v>
      </c>
      <c r="J83" s="1">
        <f ca="1">IFERROR(__xludf.DUMMYFUNCTION("""COMPUTED_VALUE"""),65.2)</f>
        <v>65.2</v>
      </c>
      <c r="K83" s="1">
        <f ca="1">IFERROR(__xludf.DUMMYFUNCTION("""COMPUTED_VALUE"""),150)</f>
        <v>150</v>
      </c>
      <c r="L83" s="1">
        <f ca="1">IFERROR(__xludf.DUMMYFUNCTION("""COMPUTED_VALUE"""),-0.048)</f>
        <v>-4.8000000000000001E-2</v>
      </c>
      <c r="M83" s="1">
        <f ca="1">IFERROR(__xludf.DUMMYFUNCTION("""COMPUTED_VALUE"""),287)</f>
        <v>287</v>
      </c>
      <c r="N83" s="1" t="str">
        <f ca="1">IFERROR(__xludf.DUMMYFUNCTION("""COMPUTED_VALUE"""),"+0.46")</f>
        <v>+0.46</v>
      </c>
      <c r="O83" s="1">
        <f ca="1">IFERROR(__xludf.DUMMYFUNCTION("""COMPUTED_VALUE"""),139)</f>
        <v>139</v>
      </c>
      <c r="P83" s="1">
        <f ca="1">IFERROR(__xludf.DUMMYFUNCTION("""COMPUTED_VALUE"""),105.5)</f>
        <v>105.5</v>
      </c>
      <c r="Q83" s="1">
        <f ca="1">IFERROR(__xludf.DUMMYFUNCTION("""COMPUTED_VALUE"""),132)</f>
        <v>132</v>
      </c>
      <c r="R83" s="1">
        <f ca="1">IFERROR(__xludf.DUMMYFUNCTION("""COMPUTED_VALUE"""),105)</f>
        <v>105</v>
      </c>
      <c r="S83" s="1">
        <f ca="1">IFERROR(__xludf.DUMMYFUNCTION("""COMPUTED_VALUE"""),153)</f>
        <v>153</v>
      </c>
      <c r="T83" s="1">
        <f ca="1">IFERROR(__xludf.DUMMYFUNCTION("""COMPUTED_VALUE"""),-7.31)</f>
        <v>-7.31</v>
      </c>
      <c r="U83" s="1">
        <f ca="1">IFERROR(__xludf.DUMMYFUNCTION("""COMPUTED_VALUE"""),331)</f>
        <v>331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IFERROR(__xludf.DUMMYFUNCTION("""COMPUTED_VALUE"""),"Texas Tech")</f>
        <v>Texas Tech</v>
      </c>
      <c r="C84" s="1" t="str">
        <f ca="1">IFERROR(__xludf.DUMMYFUNCTION("""COMPUTED_VALUE"""),"B12")</f>
        <v>B12</v>
      </c>
      <c r="D84" s="1" t="str">
        <f ca="1">IFERROR(__xludf.DUMMYFUNCTION("""COMPUTED_VALUE"""),"14-18")</f>
        <v>14-18</v>
      </c>
      <c r="E84" s="1" t="str">
        <f ca="1">IFERROR(__xludf.DUMMYFUNCTION("""COMPUTED_VALUE"""),"+9.01")</f>
        <v>+9.01</v>
      </c>
      <c r="F84" s="1">
        <f ca="1">IFERROR(__xludf.DUMMYFUNCTION("""COMPUTED_VALUE"""),111.4)</f>
        <v>111.4</v>
      </c>
      <c r="G84" s="1">
        <f ca="1">IFERROR(__xludf.DUMMYFUNCTION("""COMPUTED_VALUE"""),64)</f>
        <v>64</v>
      </c>
      <c r="H84" s="1">
        <f ca="1">IFERROR(__xludf.DUMMYFUNCTION("""COMPUTED_VALUE"""),102.4)</f>
        <v>102.4</v>
      </c>
      <c r="I84" s="1">
        <f ca="1">IFERROR(__xludf.DUMMYFUNCTION("""COMPUTED_VALUE"""),120)</f>
        <v>120</v>
      </c>
      <c r="J84" s="1">
        <f ca="1">IFERROR(__xludf.DUMMYFUNCTION("""COMPUTED_VALUE"""),59.9)</f>
        <v>59.9</v>
      </c>
      <c r="K84" s="1">
        <f ca="1">IFERROR(__xludf.DUMMYFUNCTION("""COMPUTED_VALUE"""),340)</f>
        <v>340</v>
      </c>
      <c r="L84" s="1">
        <f ca="1">IFERROR(__xludf.DUMMYFUNCTION("""COMPUTED_VALUE"""),-0.053)</f>
        <v>-5.2999999999999999E-2</v>
      </c>
      <c r="M84" s="1">
        <f ca="1">IFERROR(__xludf.DUMMYFUNCTION("""COMPUTED_VALUE"""),305)</f>
        <v>305</v>
      </c>
      <c r="N84" s="1" t="str">
        <f ca="1">IFERROR(__xludf.DUMMYFUNCTION("""COMPUTED_VALUE"""),"+9.58")</f>
        <v>+9.58</v>
      </c>
      <c r="O84" s="1">
        <f ca="1">IFERROR(__xludf.DUMMYFUNCTION("""COMPUTED_VALUE"""),11)</f>
        <v>11</v>
      </c>
      <c r="P84" s="1">
        <f ca="1">IFERROR(__xludf.DUMMYFUNCTION("""COMPUTED_VALUE"""),110.7)</f>
        <v>110.7</v>
      </c>
      <c r="Q84" s="1">
        <f ca="1">IFERROR(__xludf.DUMMYFUNCTION("""COMPUTED_VALUE"""),6)</f>
        <v>6</v>
      </c>
      <c r="R84" s="1">
        <f ca="1">IFERROR(__xludf.DUMMYFUNCTION("""COMPUTED_VALUE"""),101.1)</f>
        <v>101.1</v>
      </c>
      <c r="S84" s="1">
        <f ca="1">IFERROR(__xludf.DUMMYFUNCTION("""COMPUTED_VALUE"""),40)</f>
        <v>40</v>
      </c>
      <c r="T84" s="1">
        <f ca="1">IFERROR(__xludf.DUMMYFUNCTION("""COMPUTED_VALUE"""),-2.67)</f>
        <v>-2.67</v>
      </c>
      <c r="U84" s="1">
        <f ca="1">IFERROR(__xludf.DUMMYFUNCTION("""COMPUTED_VALUE"""),236)</f>
        <v>236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IFERROR(__xludf.DUMMYFUNCTION("""COMPUTED_VALUE"""),"Penn St.")</f>
        <v>Penn St.</v>
      </c>
      <c r="C87" s="1" t="str">
        <f ca="1">IFERROR(__xludf.DUMMYFUNCTION("""COMPUTED_VALUE"""),"B10")</f>
        <v>B10</v>
      </c>
      <c r="D87" s="1" t="str">
        <f ca="1">IFERROR(__xludf.DUMMYFUNCTION("""COMPUTED_VALUE"""),"16-18")</f>
        <v>16-18</v>
      </c>
      <c r="E87" s="1" t="str">
        <f ca="1">IFERROR(__xludf.DUMMYFUNCTION("""COMPUTED_VALUE"""),"+9.00")</f>
        <v>+9.00</v>
      </c>
      <c r="F87" s="1">
        <f ca="1">IFERROR(__xludf.DUMMYFUNCTION("""COMPUTED_VALUE"""),110.3)</f>
        <v>110.3</v>
      </c>
      <c r="G87" s="1">
        <f ca="1">IFERROR(__xludf.DUMMYFUNCTION("""COMPUTED_VALUE"""),87)</f>
        <v>87</v>
      </c>
      <c r="H87" s="1">
        <f ca="1">IFERROR(__xludf.DUMMYFUNCTION("""COMPUTED_VALUE"""),101.3)</f>
        <v>101.3</v>
      </c>
      <c r="I87" s="1">
        <f ca="1">IFERROR(__xludf.DUMMYFUNCTION("""COMPUTED_VALUE"""),103)</f>
        <v>103</v>
      </c>
      <c r="J87" s="1">
        <f ca="1">IFERROR(__xludf.DUMMYFUNCTION("""COMPUTED_VALUE"""),64.4)</f>
        <v>64.400000000000006</v>
      </c>
      <c r="K87" s="1">
        <f ca="1">IFERROR(__xludf.DUMMYFUNCTION("""COMPUTED_VALUE"""),194)</f>
        <v>194</v>
      </c>
      <c r="L87" s="1">
        <f ca="1">IFERROR(__xludf.DUMMYFUNCTION("""COMPUTED_VALUE"""),-0.049)</f>
        <v>-4.9000000000000002E-2</v>
      </c>
      <c r="M87" s="1">
        <f ca="1">IFERROR(__xludf.DUMMYFUNCTION("""COMPUTED_VALUE"""),291)</f>
        <v>291</v>
      </c>
      <c r="N87" s="1" t="str">
        <f ca="1">IFERROR(__xludf.DUMMYFUNCTION("""COMPUTED_VALUE"""),"+7.64")</f>
        <v>+7.64</v>
      </c>
      <c r="O87" s="1">
        <f ca="1">IFERROR(__xludf.DUMMYFUNCTION("""COMPUTED_VALUE"""),42)</f>
        <v>42</v>
      </c>
      <c r="P87" s="1">
        <f ca="1">IFERROR(__xludf.DUMMYFUNCTION("""COMPUTED_VALUE"""),107.7)</f>
        <v>107.7</v>
      </c>
      <c r="Q87" s="1">
        <f ca="1">IFERROR(__xludf.DUMMYFUNCTION("""COMPUTED_VALUE"""),77)</f>
        <v>77</v>
      </c>
      <c r="R87" s="1">
        <f ca="1">IFERROR(__xludf.DUMMYFUNCTION("""COMPUTED_VALUE"""),100.1)</f>
        <v>100.1</v>
      </c>
      <c r="S87" s="1">
        <f ca="1">IFERROR(__xludf.DUMMYFUNCTION("""COMPUTED_VALUE"""),8)</f>
        <v>8</v>
      </c>
      <c r="T87" s="1">
        <f ca="1">IFERROR(__xludf.DUMMYFUNCTION("""COMPUTED_VALUE"""),-2.52)</f>
        <v>-2.52</v>
      </c>
      <c r="U87" s="1">
        <f ca="1">IFERROR(__xludf.DUMMYFUNCTION("""COMPUTED_VALUE"""),230)</f>
        <v>230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IFERROR(__xludf.DUMMYFUNCTION("""COMPUTED_VALUE"""),"Tulsa13")</f>
        <v>Tulsa13</v>
      </c>
      <c r="C88" s="1" t="str">
        <f ca="1">IFERROR(__xludf.DUMMYFUNCTION("""COMPUTED_VALUE"""),"CUSA")</f>
        <v>CUSA</v>
      </c>
      <c r="D88" s="1" t="str">
        <f ca="1">IFERROR(__xludf.DUMMYFUNCTION("""COMPUTED_VALUE"""),"21-13")</f>
        <v>21-13</v>
      </c>
      <c r="E88" s="1" t="str">
        <f ca="1">IFERROR(__xludf.DUMMYFUNCTION("""COMPUTED_VALUE"""),"+8.93")</f>
        <v>+8.93</v>
      </c>
      <c r="F88" s="1">
        <f ca="1">IFERROR(__xludf.DUMMYFUNCTION("""COMPUTED_VALUE"""),106.1)</f>
        <v>106.1</v>
      </c>
      <c r="G88" s="1">
        <f ca="1">IFERROR(__xludf.DUMMYFUNCTION("""COMPUTED_VALUE"""),159)</f>
        <v>159</v>
      </c>
      <c r="H88" s="1">
        <f ca="1">IFERROR(__xludf.DUMMYFUNCTION("""COMPUTED_VALUE"""),97.2)</f>
        <v>97.2</v>
      </c>
      <c r="I88" s="1">
        <f ca="1">IFERROR(__xludf.DUMMYFUNCTION("""COMPUTED_VALUE"""),51)</f>
        <v>51</v>
      </c>
      <c r="J88" s="1">
        <f ca="1">IFERROR(__xludf.DUMMYFUNCTION("""COMPUTED_VALUE"""),66.8)</f>
        <v>66.8</v>
      </c>
      <c r="K88" s="1">
        <f ca="1">IFERROR(__xludf.DUMMYFUNCTION("""COMPUTED_VALUE"""),72)</f>
        <v>72</v>
      </c>
      <c r="L88" s="1">
        <f ca="1">IFERROR(__xludf.DUMMYFUNCTION("""COMPUTED_VALUE"""),-0.023)</f>
        <v>-2.3E-2</v>
      </c>
      <c r="M88" s="1">
        <f ca="1">IFERROR(__xludf.DUMMYFUNCTION("""COMPUTED_VALUE"""),234)</f>
        <v>234</v>
      </c>
      <c r="N88" s="1" t="str">
        <f ca="1">IFERROR(__xludf.DUMMYFUNCTION("""COMPUTED_VALUE"""),"+0.57")</f>
        <v>+0.57</v>
      </c>
      <c r="O88" s="1">
        <f ca="1">IFERROR(__xludf.DUMMYFUNCTION("""COMPUTED_VALUE"""),136)</f>
        <v>136</v>
      </c>
      <c r="P88" s="1">
        <f ca="1">IFERROR(__xludf.DUMMYFUNCTION("""COMPUTED_VALUE"""),104.9)</f>
        <v>104.9</v>
      </c>
      <c r="Q88" s="1">
        <f ca="1">IFERROR(__xludf.DUMMYFUNCTION("""COMPUTED_VALUE"""),154)</f>
        <v>154</v>
      </c>
      <c r="R88" s="1">
        <f ca="1">IFERROR(__xludf.DUMMYFUNCTION("""COMPUTED_VALUE"""),104.3)</f>
        <v>104.3</v>
      </c>
      <c r="S88" s="1">
        <f ca="1">IFERROR(__xludf.DUMMYFUNCTION("""COMPUTED_VALUE"""),124)</f>
        <v>124</v>
      </c>
      <c r="T88" s="1" t="str">
        <f ca="1">IFERROR(__xludf.DUMMYFUNCTION("""COMPUTED_VALUE"""),"+2.81")</f>
        <v>+2.81</v>
      </c>
      <c r="U88" s="1">
        <f ca="1">IFERROR(__xludf.DUMMYFUNCTION("""COMPUTED_VALUE"""),82)</f>
        <v>82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IFERROR(__xludf.DUMMYFUNCTION("""COMPUTED_VALUE"""),"Mississippi")</f>
        <v>Mississippi</v>
      </c>
      <c r="C89" s="1" t="str">
        <f ca="1">IFERROR(__xludf.DUMMYFUNCTION("""COMPUTED_VALUE"""),"SEC")</f>
        <v>SEC</v>
      </c>
      <c r="D89" s="1" t="str">
        <f ca="1">IFERROR(__xludf.DUMMYFUNCTION("""COMPUTED_VALUE"""),"19-14")</f>
        <v>19-14</v>
      </c>
      <c r="E89" s="1" t="str">
        <f ca="1">IFERROR(__xludf.DUMMYFUNCTION("""COMPUTED_VALUE"""),"+8.87")</f>
        <v>+8.87</v>
      </c>
      <c r="F89" s="1">
        <f ca="1">IFERROR(__xludf.DUMMYFUNCTION("""COMPUTED_VALUE"""),111.2)</f>
        <v>111.2</v>
      </c>
      <c r="G89" s="1">
        <f ca="1">IFERROR(__xludf.DUMMYFUNCTION("""COMPUTED_VALUE"""),68)</f>
        <v>68</v>
      </c>
      <c r="H89" s="1">
        <f ca="1">IFERROR(__xludf.DUMMYFUNCTION("""COMPUTED_VALUE"""),102.3)</f>
        <v>102.3</v>
      </c>
      <c r="I89" s="1">
        <f ca="1">IFERROR(__xludf.DUMMYFUNCTION("""COMPUTED_VALUE"""),116)</f>
        <v>116</v>
      </c>
      <c r="J89" s="1">
        <f ca="1">IFERROR(__xludf.DUMMYFUNCTION("""COMPUTED_VALUE"""),68.1)</f>
        <v>68.099999999999994</v>
      </c>
      <c r="K89" s="1">
        <f ca="1">IFERROR(__xludf.DUMMYFUNCTION("""COMPUTED_VALUE"""),41)</f>
        <v>41</v>
      </c>
      <c r="L89" s="1">
        <f ca="1">IFERROR(__xludf.DUMMYFUNCTION("""COMPUTED_VALUE"""),-0.006)</f>
        <v>-6.0000000000000001E-3</v>
      </c>
      <c r="M89" s="1">
        <f ca="1">IFERROR(__xludf.DUMMYFUNCTION("""COMPUTED_VALUE"""),199)</f>
        <v>199</v>
      </c>
      <c r="N89" s="1" t="str">
        <f ca="1">IFERROR(__xludf.DUMMYFUNCTION("""COMPUTED_VALUE"""),"+5.13")</f>
        <v>+5.13</v>
      </c>
      <c r="O89" s="1">
        <f ca="1">IFERROR(__xludf.DUMMYFUNCTION("""COMPUTED_VALUE"""),80)</f>
        <v>80</v>
      </c>
      <c r="P89" s="1">
        <f ca="1">IFERROR(__xludf.DUMMYFUNCTION("""COMPUTED_VALUE"""),106.5)</f>
        <v>106.5</v>
      </c>
      <c r="Q89" s="1">
        <f ca="1">IFERROR(__xludf.DUMMYFUNCTION("""COMPUTED_VALUE"""),106)</f>
        <v>106</v>
      </c>
      <c r="R89" s="1">
        <f ca="1">IFERROR(__xludf.DUMMYFUNCTION("""COMPUTED_VALUE"""),101.3)</f>
        <v>101.3</v>
      </c>
      <c r="S89" s="1">
        <f ca="1">IFERROR(__xludf.DUMMYFUNCTION("""COMPUTED_VALUE"""),49)</f>
        <v>49</v>
      </c>
      <c r="T89" s="1">
        <f ca="1">IFERROR(__xludf.DUMMYFUNCTION("""COMPUTED_VALUE"""),-0.73)</f>
        <v>-0.73</v>
      </c>
      <c r="U89" s="1">
        <f ca="1">IFERROR(__xludf.DUMMYFUNCTION("""COMPUTED_VALUE"""),183)</f>
        <v>183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IFERROR(__xludf.DUMMYFUNCTION("""COMPUTED_VALUE"""),"St. Bonaventure")</f>
        <v>St. Bonaventure</v>
      </c>
      <c r="C90" s="1" t="str">
        <f ca="1">IFERROR(__xludf.DUMMYFUNCTION("""COMPUTED_VALUE"""),"A10")</f>
        <v>A10</v>
      </c>
      <c r="D90" s="1" t="str">
        <f ca="1">IFERROR(__xludf.DUMMYFUNCTION("""COMPUTED_VALUE"""),"18-15")</f>
        <v>18-15</v>
      </c>
      <c r="E90" s="1" t="str">
        <f ca="1">IFERROR(__xludf.DUMMYFUNCTION("""COMPUTED_VALUE"""),"+8.75")</f>
        <v>+8.75</v>
      </c>
      <c r="F90" s="1">
        <f ca="1">IFERROR(__xludf.DUMMYFUNCTION("""COMPUTED_VALUE"""),111.2)</f>
        <v>111.2</v>
      </c>
      <c r="G90" s="1">
        <f ca="1">IFERROR(__xludf.DUMMYFUNCTION("""COMPUTED_VALUE"""),69)</f>
        <v>69</v>
      </c>
      <c r="H90" s="1">
        <f ca="1">IFERROR(__xludf.DUMMYFUNCTION("""COMPUTED_VALUE"""),102.4)</f>
        <v>102.4</v>
      </c>
      <c r="I90" s="1">
        <f ca="1">IFERROR(__xludf.DUMMYFUNCTION("""COMPUTED_VALUE"""),118)</f>
        <v>118</v>
      </c>
      <c r="J90" s="1">
        <f ca="1">IFERROR(__xludf.DUMMYFUNCTION("""COMPUTED_VALUE"""),65.8)</f>
        <v>65.8</v>
      </c>
      <c r="K90" s="1">
        <f ca="1">IFERROR(__xludf.DUMMYFUNCTION("""COMPUTED_VALUE"""),117)</f>
        <v>117</v>
      </c>
      <c r="L90" s="1">
        <f ca="1">IFERROR(__xludf.DUMMYFUNCTION("""COMPUTED_VALUE"""),-0.066)</f>
        <v>-6.6000000000000003E-2</v>
      </c>
      <c r="M90" s="1">
        <f ca="1">IFERROR(__xludf.DUMMYFUNCTION("""COMPUTED_VALUE"""),320)</f>
        <v>320</v>
      </c>
      <c r="N90" s="1" t="str">
        <f ca="1">IFERROR(__xludf.DUMMYFUNCTION("""COMPUTED_VALUE"""),"+4.20")</f>
        <v>+4.20</v>
      </c>
      <c r="O90" s="1">
        <f ca="1">IFERROR(__xludf.DUMMYFUNCTION("""COMPUTED_VALUE"""),96)</f>
        <v>96</v>
      </c>
      <c r="P90" s="1">
        <f ca="1">IFERROR(__xludf.DUMMYFUNCTION("""COMPUTED_VALUE"""),106.9)</f>
        <v>106.9</v>
      </c>
      <c r="Q90" s="1">
        <f ca="1">IFERROR(__xludf.DUMMYFUNCTION("""COMPUTED_VALUE"""),102)</f>
        <v>102</v>
      </c>
      <c r="R90" s="1">
        <f ca="1">IFERROR(__xludf.DUMMYFUNCTION("""COMPUTED_VALUE"""),102.7)</f>
        <v>102.7</v>
      </c>
      <c r="S90" s="1">
        <f ca="1">IFERROR(__xludf.DUMMYFUNCTION("""COMPUTED_VALUE"""),92)</f>
        <v>92</v>
      </c>
      <c r="T90" s="1">
        <f ca="1">IFERROR(__xludf.DUMMYFUNCTION("""COMPUTED_VALUE"""),-2.38)</f>
        <v>-2.38</v>
      </c>
      <c r="U90" s="1">
        <f ca="1">IFERROR(__xludf.DUMMYFUNCTION("""COMPUTED_VALUE"""),227)</f>
        <v>227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IFERROR(__xludf.DUMMYFUNCTION("""COMPUTED_VALUE"""),"Cleveland St.")</f>
        <v>Cleveland St.</v>
      </c>
      <c r="C91" s="1" t="str">
        <f ca="1">IFERROR(__xludf.DUMMYFUNCTION("""COMPUTED_VALUE"""),"Horz")</f>
        <v>Horz</v>
      </c>
      <c r="D91" s="1" t="str">
        <f ca="1">IFERROR(__xludf.DUMMYFUNCTION("""COMPUTED_VALUE"""),"21-12")</f>
        <v>21-12</v>
      </c>
      <c r="E91" s="1" t="str">
        <f ca="1">IFERROR(__xludf.DUMMYFUNCTION("""COMPUTED_VALUE"""),"+8.67")</f>
        <v>+8.67</v>
      </c>
      <c r="F91" s="1">
        <f ca="1">IFERROR(__xludf.DUMMYFUNCTION("""COMPUTED_VALUE"""),110.6)</f>
        <v>110.6</v>
      </c>
      <c r="G91" s="1">
        <f ca="1">IFERROR(__xludf.DUMMYFUNCTION("""COMPUTED_VALUE"""),80)</f>
        <v>80</v>
      </c>
      <c r="H91" s="1">
        <f ca="1">IFERROR(__xludf.DUMMYFUNCTION("""COMPUTED_VALUE"""),102)</f>
        <v>102</v>
      </c>
      <c r="I91" s="1">
        <f ca="1">IFERROR(__xludf.DUMMYFUNCTION("""COMPUTED_VALUE"""),111)</f>
        <v>111</v>
      </c>
      <c r="J91" s="1">
        <f ca="1">IFERROR(__xludf.DUMMYFUNCTION("""COMPUTED_VALUE"""),62.4)</f>
        <v>62.4</v>
      </c>
      <c r="K91" s="1">
        <f ca="1">IFERROR(__xludf.DUMMYFUNCTION("""COMPUTED_VALUE"""),287)</f>
        <v>287</v>
      </c>
      <c r="L91" s="1">
        <f ca="1">IFERROR(__xludf.DUMMYFUNCTION("""COMPUTED_VALUE"""),-0.052)</f>
        <v>-5.1999999999999998E-2</v>
      </c>
      <c r="M91" s="1">
        <f ca="1">IFERROR(__xludf.DUMMYFUNCTION("""COMPUTED_VALUE"""),299)</f>
        <v>299</v>
      </c>
      <c r="N91" s="1" t="str">
        <f ca="1">IFERROR(__xludf.DUMMYFUNCTION("""COMPUTED_VALUE"""),"+0.62")</f>
        <v>+0.62</v>
      </c>
      <c r="O91" s="1">
        <f ca="1">IFERROR(__xludf.DUMMYFUNCTION("""COMPUTED_VALUE"""),134)</f>
        <v>134</v>
      </c>
      <c r="P91" s="1">
        <f ca="1">IFERROR(__xludf.DUMMYFUNCTION("""COMPUTED_VALUE"""),105.4)</f>
        <v>105.4</v>
      </c>
      <c r="Q91" s="1">
        <f ca="1">IFERROR(__xludf.DUMMYFUNCTION("""COMPUTED_VALUE"""),135)</f>
        <v>135</v>
      </c>
      <c r="R91" s="1">
        <f ca="1">IFERROR(__xludf.DUMMYFUNCTION("""COMPUTED_VALUE"""),104.8)</f>
        <v>104.8</v>
      </c>
      <c r="S91" s="1">
        <f ca="1">IFERROR(__xludf.DUMMYFUNCTION("""COMPUTED_VALUE"""),146)</f>
        <v>146</v>
      </c>
      <c r="T91" s="1" t="str">
        <f ca="1">IFERROR(__xludf.DUMMYFUNCTION("""COMPUTED_VALUE"""),"+1.70")</f>
        <v>+1.70</v>
      </c>
      <c r="U91" s="1">
        <f ca="1">IFERROR(__xludf.DUMMYFUNCTION("""COMPUTED_VALUE"""),111)</f>
        <v>111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IFERROR(__xludf.DUMMYFUNCTION("""COMPUTED_VALUE"""),"Alabama")</f>
        <v>Alabama</v>
      </c>
      <c r="C92" s="1" t="str">
        <f ca="1">IFERROR(__xludf.DUMMYFUNCTION("""COMPUTED_VALUE"""),"SEC")</f>
        <v>SEC</v>
      </c>
      <c r="D92" s="1" t="str">
        <f ca="1">IFERROR(__xludf.DUMMYFUNCTION("""COMPUTED_VALUE"""),"13-19")</f>
        <v>13-19</v>
      </c>
      <c r="E92" s="1" t="str">
        <f ca="1">IFERROR(__xludf.DUMMYFUNCTION("""COMPUTED_VALUE"""),"+8.54")</f>
        <v>+8.54</v>
      </c>
      <c r="F92" s="1">
        <f ca="1">IFERROR(__xludf.DUMMYFUNCTION("""COMPUTED_VALUE"""),107.8)</f>
        <v>107.8</v>
      </c>
      <c r="G92" s="1">
        <f ca="1">IFERROR(__xludf.DUMMYFUNCTION("""COMPUTED_VALUE"""),128)</f>
        <v>128</v>
      </c>
      <c r="H92" s="1">
        <f ca="1">IFERROR(__xludf.DUMMYFUNCTION("""COMPUTED_VALUE"""),99.2)</f>
        <v>99.2</v>
      </c>
      <c r="I92" s="1">
        <f ca="1">IFERROR(__xludf.DUMMYFUNCTION("""COMPUTED_VALUE"""),63)</f>
        <v>63</v>
      </c>
      <c r="J92" s="1">
        <f ca="1">IFERROR(__xludf.DUMMYFUNCTION("""COMPUTED_VALUE"""),62)</f>
        <v>62</v>
      </c>
      <c r="K92" s="1">
        <f ca="1">IFERROR(__xludf.DUMMYFUNCTION("""COMPUTED_VALUE"""),301)</f>
        <v>301</v>
      </c>
      <c r="L92" s="1">
        <f ca="1">IFERROR(__xludf.DUMMYFUNCTION("""COMPUTED_VALUE"""),-0.091)</f>
        <v>-9.0999999999999998E-2</v>
      </c>
      <c r="M92" s="1">
        <f ca="1">IFERROR(__xludf.DUMMYFUNCTION("""COMPUTED_VALUE"""),339)</f>
        <v>339</v>
      </c>
      <c r="N92" s="1" t="str">
        <f ca="1">IFERROR(__xludf.DUMMYFUNCTION("""COMPUTED_VALUE"""),"+9.14")</f>
        <v>+9.14</v>
      </c>
      <c r="O92" s="1">
        <f ca="1">IFERROR(__xludf.DUMMYFUNCTION("""COMPUTED_VALUE"""),19)</f>
        <v>19</v>
      </c>
      <c r="P92" s="1">
        <f ca="1">IFERROR(__xludf.DUMMYFUNCTION("""COMPUTED_VALUE"""),110.3)</f>
        <v>110.3</v>
      </c>
      <c r="Q92" s="1">
        <f ca="1">IFERROR(__xludf.DUMMYFUNCTION("""COMPUTED_VALUE"""),10)</f>
        <v>10</v>
      </c>
      <c r="R92" s="1">
        <f ca="1">IFERROR(__xludf.DUMMYFUNCTION("""COMPUTED_VALUE"""),101.2)</f>
        <v>101.2</v>
      </c>
      <c r="S92" s="1">
        <f ca="1">IFERROR(__xludf.DUMMYFUNCTION("""COMPUTED_VALUE"""),42)</f>
        <v>42</v>
      </c>
      <c r="T92" s="1" t="str">
        <f ca="1">IFERROR(__xludf.DUMMYFUNCTION("""COMPUTED_VALUE"""),"+5.93")</f>
        <v>+5.93</v>
      </c>
      <c r="U92" s="1">
        <f ca="1">IFERROR(__xludf.DUMMYFUNCTION("""COMPUTED_VALUE"""),37)</f>
        <v>37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IFERROR(__xludf.DUMMYFUNCTION("""COMPUTED_VALUE"""),"Mercer14")</f>
        <v>Mercer14</v>
      </c>
      <c r="C93" s="1" t="str">
        <f ca="1">IFERROR(__xludf.DUMMYFUNCTION("""COMPUTED_VALUE"""),"ASun")</f>
        <v>ASun</v>
      </c>
      <c r="D93" s="1" t="str">
        <f ca="1">IFERROR(__xludf.DUMMYFUNCTION("""COMPUTED_VALUE"""),"27-9")</f>
        <v>27-9</v>
      </c>
      <c r="E93" s="1" t="str">
        <f ca="1">IFERROR(__xludf.DUMMYFUNCTION("""COMPUTED_VALUE"""),"+8.34")</f>
        <v>+8.34</v>
      </c>
      <c r="F93" s="1">
        <f ca="1">IFERROR(__xludf.DUMMYFUNCTION("""COMPUTED_VALUE"""),110.8)</f>
        <v>110.8</v>
      </c>
      <c r="G93" s="1">
        <f ca="1">IFERROR(__xludf.DUMMYFUNCTION("""COMPUTED_VALUE"""),75)</f>
        <v>75</v>
      </c>
      <c r="H93" s="1">
        <f ca="1">IFERROR(__xludf.DUMMYFUNCTION("""COMPUTED_VALUE"""),102.4)</f>
        <v>102.4</v>
      </c>
      <c r="I93" s="1">
        <f ca="1">IFERROR(__xludf.DUMMYFUNCTION("""COMPUTED_VALUE"""),119)</f>
        <v>119</v>
      </c>
      <c r="J93" s="1">
        <f ca="1">IFERROR(__xludf.DUMMYFUNCTION("""COMPUTED_VALUE"""),63.6)</f>
        <v>63.6</v>
      </c>
      <c r="K93" s="1">
        <f ca="1">IFERROR(__xludf.DUMMYFUNCTION("""COMPUTED_VALUE"""),233)</f>
        <v>233</v>
      </c>
      <c r="L93" s="1" t="str">
        <f ca="1">IFERROR(__xludf.DUMMYFUNCTION("""COMPUTED_VALUE"""),"+.022")</f>
        <v>+.022</v>
      </c>
      <c r="M93" s="1">
        <f ca="1">IFERROR(__xludf.DUMMYFUNCTION("""COMPUTED_VALUE"""),130)</f>
        <v>130</v>
      </c>
      <c r="N93" s="1">
        <f ca="1">IFERROR(__xludf.DUMMYFUNCTION("""COMPUTED_VALUE"""),-4.44)</f>
        <v>-4.4400000000000004</v>
      </c>
      <c r="O93" s="1">
        <f ca="1">IFERROR(__xludf.DUMMYFUNCTION("""COMPUTED_VALUE"""),248)</f>
        <v>248</v>
      </c>
      <c r="P93" s="1">
        <f ca="1">IFERROR(__xludf.DUMMYFUNCTION("""COMPUTED_VALUE"""),103.6)</f>
        <v>103.6</v>
      </c>
      <c r="Q93" s="1">
        <f ca="1">IFERROR(__xludf.DUMMYFUNCTION("""COMPUTED_VALUE"""),216)</f>
        <v>216</v>
      </c>
      <c r="R93" s="1">
        <f ca="1">IFERROR(__xludf.DUMMYFUNCTION("""COMPUTED_VALUE"""),108)</f>
        <v>108</v>
      </c>
      <c r="S93" s="1">
        <f ca="1">IFERROR(__xludf.DUMMYFUNCTION("""COMPUTED_VALUE"""),279)</f>
        <v>279</v>
      </c>
      <c r="T93" s="1" t="str">
        <f ca="1">IFERROR(__xludf.DUMMYFUNCTION("""COMPUTED_VALUE"""),"+4.65")</f>
        <v>+4.65</v>
      </c>
      <c r="U93" s="1">
        <f ca="1">IFERROR(__xludf.DUMMYFUNCTION("""COMPUTED_VALUE"""),56)</f>
        <v>56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IFERROR(__xludf.DUMMYFUNCTION("""COMPUTED_VALUE"""),"San Francisco4")</f>
        <v>San Francisco4</v>
      </c>
      <c r="C94" s="1" t="str">
        <f ca="1">IFERROR(__xludf.DUMMYFUNCTION("""COMPUTED_VALUE"""),"WCC")</f>
        <v>WCC</v>
      </c>
      <c r="D94" s="1" t="str">
        <f ca="1">IFERROR(__xludf.DUMMYFUNCTION("""COMPUTED_VALUE"""),"21-12")</f>
        <v>21-12</v>
      </c>
      <c r="E94" s="1" t="str">
        <f ca="1">IFERROR(__xludf.DUMMYFUNCTION("""COMPUTED_VALUE"""),"+8.26")</f>
        <v>+8.26</v>
      </c>
      <c r="F94" s="1">
        <f ca="1">IFERROR(__xludf.DUMMYFUNCTION("""COMPUTED_VALUE"""),112.5)</f>
        <v>112.5</v>
      </c>
      <c r="G94" s="1">
        <f ca="1">IFERROR(__xludf.DUMMYFUNCTION("""COMPUTED_VALUE"""),51)</f>
        <v>51</v>
      </c>
      <c r="H94" s="1">
        <f ca="1">IFERROR(__xludf.DUMMYFUNCTION("""COMPUTED_VALUE"""),104.3)</f>
        <v>104.3</v>
      </c>
      <c r="I94" s="1">
        <f ca="1">IFERROR(__xludf.DUMMYFUNCTION("""COMPUTED_VALUE"""),154)</f>
        <v>154</v>
      </c>
      <c r="J94" s="1">
        <f ca="1">IFERROR(__xludf.DUMMYFUNCTION("""COMPUTED_VALUE"""),63.6)</f>
        <v>63.6</v>
      </c>
      <c r="K94" s="1">
        <f ca="1">IFERROR(__xludf.DUMMYFUNCTION("""COMPUTED_VALUE"""),231)</f>
        <v>231</v>
      </c>
      <c r="L94" s="1" t="str">
        <f ca="1">IFERROR(__xludf.DUMMYFUNCTION("""COMPUTED_VALUE"""),"+.051")</f>
        <v>+.051</v>
      </c>
      <c r="M94" s="1">
        <f ca="1">IFERROR(__xludf.DUMMYFUNCTION("""COMPUTED_VALUE"""),70)</f>
        <v>70</v>
      </c>
      <c r="N94" s="1" t="str">
        <f ca="1">IFERROR(__xludf.DUMMYFUNCTION("""COMPUTED_VALUE"""),"+4.01")</f>
        <v>+4.01</v>
      </c>
      <c r="O94" s="1">
        <f ca="1">IFERROR(__xludf.DUMMYFUNCTION("""COMPUTED_VALUE"""),98)</f>
        <v>98</v>
      </c>
      <c r="P94" s="1">
        <f ca="1">IFERROR(__xludf.DUMMYFUNCTION("""COMPUTED_VALUE"""),108)</f>
        <v>108</v>
      </c>
      <c r="Q94" s="1">
        <f ca="1">IFERROR(__xludf.DUMMYFUNCTION("""COMPUTED_VALUE"""),67)</f>
        <v>67</v>
      </c>
      <c r="R94" s="1">
        <f ca="1">IFERROR(__xludf.DUMMYFUNCTION("""COMPUTED_VALUE"""),104)</f>
        <v>104</v>
      </c>
      <c r="S94" s="1">
        <f ca="1">IFERROR(__xludf.DUMMYFUNCTION("""COMPUTED_VALUE"""),111)</f>
        <v>111</v>
      </c>
      <c r="T94" s="1">
        <f ca="1">IFERROR(__xludf.DUMMYFUNCTION("""COMPUTED_VALUE"""),-0.1)</f>
        <v>-0.1</v>
      </c>
      <c r="U94" s="1">
        <f ca="1">IFERROR(__xludf.DUMMYFUNCTION("""COMPUTED_VALUE"""),164)</f>
        <v>164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IFERROR(__xludf.DUMMYFUNCTION("""COMPUTED_VALUE"""),"Middle Tennessee")</f>
        <v>Middle Tennessee</v>
      </c>
      <c r="C95" s="1" t="str">
        <f ca="1">IFERROR(__xludf.DUMMYFUNCTION("""COMPUTED_VALUE"""),"CUSA")</f>
        <v>CUSA</v>
      </c>
      <c r="D95" s="1" t="str">
        <f ca="1">IFERROR(__xludf.DUMMYFUNCTION("""COMPUTED_VALUE"""),"24-9")</f>
        <v>24-9</v>
      </c>
      <c r="E95" s="1" t="str">
        <f ca="1">IFERROR(__xludf.DUMMYFUNCTION("""COMPUTED_VALUE"""),"+8.24")</f>
        <v>+8.24</v>
      </c>
      <c r="F95" s="1">
        <f ca="1">IFERROR(__xludf.DUMMYFUNCTION("""COMPUTED_VALUE"""),105.3)</f>
        <v>105.3</v>
      </c>
      <c r="G95" s="1">
        <f ca="1">IFERROR(__xludf.DUMMYFUNCTION("""COMPUTED_VALUE"""),177)</f>
        <v>177</v>
      </c>
      <c r="H95" s="1">
        <f ca="1">IFERROR(__xludf.DUMMYFUNCTION("""COMPUTED_VALUE"""),97)</f>
        <v>97</v>
      </c>
      <c r="I95" s="1">
        <f ca="1">IFERROR(__xludf.DUMMYFUNCTION("""COMPUTED_VALUE"""),48)</f>
        <v>48</v>
      </c>
      <c r="J95" s="1">
        <f ca="1">IFERROR(__xludf.DUMMYFUNCTION("""COMPUTED_VALUE"""),62.6)</f>
        <v>62.6</v>
      </c>
      <c r="K95" s="1">
        <f ca="1">IFERROR(__xludf.DUMMYFUNCTION("""COMPUTED_VALUE"""),282)</f>
        <v>282</v>
      </c>
      <c r="L95" s="1" t="str">
        <f ca="1">IFERROR(__xludf.DUMMYFUNCTION("""COMPUTED_VALUE"""),"+.047")</f>
        <v>+.047</v>
      </c>
      <c r="M95" s="1">
        <f ca="1">IFERROR(__xludf.DUMMYFUNCTION("""COMPUTED_VALUE"""),78)</f>
        <v>78</v>
      </c>
      <c r="N95" s="1">
        <f ca="1">IFERROR(__xludf.DUMMYFUNCTION("""COMPUTED_VALUE"""),-1.84)</f>
        <v>-1.84</v>
      </c>
      <c r="O95" s="1">
        <f ca="1">IFERROR(__xludf.DUMMYFUNCTION("""COMPUTED_VALUE"""),187)</f>
        <v>187</v>
      </c>
      <c r="P95" s="1">
        <f ca="1">IFERROR(__xludf.DUMMYFUNCTION("""COMPUTED_VALUE"""),103.3)</f>
        <v>103.3</v>
      </c>
      <c r="Q95" s="1">
        <f ca="1">IFERROR(__xludf.DUMMYFUNCTION("""COMPUTED_VALUE"""),237)</f>
        <v>237</v>
      </c>
      <c r="R95" s="1">
        <f ca="1">IFERROR(__xludf.DUMMYFUNCTION("""COMPUTED_VALUE"""),105.1)</f>
        <v>105.1</v>
      </c>
      <c r="S95" s="1">
        <f ca="1">IFERROR(__xludf.DUMMYFUNCTION("""COMPUTED_VALUE"""),161)</f>
        <v>161</v>
      </c>
      <c r="T95" s="1">
        <f ca="1">IFERROR(__xludf.DUMMYFUNCTION("""COMPUTED_VALUE"""),-2.15)</f>
        <v>-2.15</v>
      </c>
      <c r="U95" s="1">
        <f ca="1">IFERROR(__xludf.DUMMYFUNCTION("""COMPUTED_VALUE"""),224)</f>
        <v>224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IFERROR(__xludf.DUMMYFUNCTION("""COMPUTED_VALUE"""),"UC Irvine8")</f>
        <v>UC Irvine8</v>
      </c>
      <c r="C96" s="1" t="str">
        <f ca="1">IFERROR(__xludf.DUMMYFUNCTION("""COMPUTED_VALUE"""),"BW")</f>
        <v>BW</v>
      </c>
      <c r="D96" s="1" t="str">
        <f ca="1">IFERROR(__xludf.DUMMYFUNCTION("""COMPUTED_VALUE"""),"23-12")</f>
        <v>23-12</v>
      </c>
      <c r="E96" s="1" t="str">
        <f ca="1">IFERROR(__xludf.DUMMYFUNCTION("""COMPUTED_VALUE"""),"+8.16")</f>
        <v>+8.16</v>
      </c>
      <c r="F96" s="1">
        <f ca="1">IFERROR(__xludf.DUMMYFUNCTION("""COMPUTED_VALUE"""),103.9)</f>
        <v>103.9</v>
      </c>
      <c r="G96" s="1">
        <f ca="1">IFERROR(__xludf.DUMMYFUNCTION("""COMPUTED_VALUE"""),199)</f>
        <v>199</v>
      </c>
      <c r="H96" s="1">
        <f ca="1">IFERROR(__xludf.DUMMYFUNCTION("""COMPUTED_VALUE"""),95.7)</f>
        <v>95.7</v>
      </c>
      <c r="I96" s="1">
        <f ca="1">IFERROR(__xludf.DUMMYFUNCTION("""COMPUTED_VALUE"""),31)</f>
        <v>31</v>
      </c>
      <c r="J96" s="1">
        <f ca="1">IFERROR(__xludf.DUMMYFUNCTION("""COMPUTED_VALUE"""),62.8)</f>
        <v>62.8</v>
      </c>
      <c r="K96" s="1">
        <f ca="1">IFERROR(__xludf.DUMMYFUNCTION("""COMPUTED_VALUE"""),269)</f>
        <v>269</v>
      </c>
      <c r="L96" s="1">
        <f ca="1">IFERROR(__xludf.DUMMYFUNCTION("""COMPUTED_VALUE"""),-0.02)</f>
        <v>-0.02</v>
      </c>
      <c r="M96" s="1">
        <f ca="1">IFERROR(__xludf.DUMMYFUNCTION("""COMPUTED_VALUE"""),226)</f>
        <v>226</v>
      </c>
      <c r="N96" s="1">
        <f ca="1">IFERROR(__xludf.DUMMYFUNCTION("""COMPUTED_VALUE"""),-1.07)</f>
        <v>-1.07</v>
      </c>
      <c r="O96" s="1">
        <f ca="1">IFERROR(__xludf.DUMMYFUNCTION("""COMPUTED_VALUE"""),169)</f>
        <v>169</v>
      </c>
      <c r="P96" s="1">
        <f ca="1">IFERROR(__xludf.DUMMYFUNCTION("""COMPUTED_VALUE"""),105.9)</f>
        <v>105.9</v>
      </c>
      <c r="Q96" s="1">
        <f ca="1">IFERROR(__xludf.DUMMYFUNCTION("""COMPUTED_VALUE"""),115)</f>
        <v>115</v>
      </c>
      <c r="R96" s="1">
        <f ca="1">IFERROR(__xludf.DUMMYFUNCTION("""COMPUTED_VALUE"""),107)</f>
        <v>107</v>
      </c>
      <c r="S96" s="1">
        <f ca="1">IFERROR(__xludf.DUMMYFUNCTION("""COMPUTED_VALUE"""),241)</f>
        <v>241</v>
      </c>
      <c r="T96" s="1" t="str">
        <f ca="1">IFERROR(__xludf.DUMMYFUNCTION("""COMPUTED_VALUE"""),"+1.82")</f>
        <v>+1.82</v>
      </c>
      <c r="U96" s="1">
        <f ca="1">IFERROR(__xludf.DUMMYFUNCTION("""COMPUTED_VALUE"""),106)</f>
        <v>106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IFERROR(__xludf.DUMMYFUNCTION("""COMPUTED_VALUE"""),"Richmond")</f>
        <v>Richmond</v>
      </c>
      <c r="C97" s="1" t="str">
        <f ca="1">IFERROR(__xludf.DUMMYFUNCTION("""COMPUTED_VALUE"""),"A10")</f>
        <v>A10</v>
      </c>
      <c r="D97" s="1" t="str">
        <f ca="1">IFERROR(__xludf.DUMMYFUNCTION("""COMPUTED_VALUE"""),"19-14")</f>
        <v>19-14</v>
      </c>
      <c r="E97" s="1" t="str">
        <f ca="1">IFERROR(__xludf.DUMMYFUNCTION("""COMPUTED_VALUE"""),"+7.99")</f>
        <v>+7.99</v>
      </c>
      <c r="F97" s="1">
        <f ca="1">IFERROR(__xludf.DUMMYFUNCTION("""COMPUTED_VALUE"""),105.3)</f>
        <v>105.3</v>
      </c>
      <c r="G97" s="1">
        <f ca="1">IFERROR(__xludf.DUMMYFUNCTION("""COMPUTED_VALUE"""),178)</f>
        <v>178</v>
      </c>
      <c r="H97" s="1">
        <f ca="1">IFERROR(__xludf.DUMMYFUNCTION("""COMPUTED_VALUE"""),97.3)</f>
        <v>97.3</v>
      </c>
      <c r="I97" s="1">
        <f ca="1">IFERROR(__xludf.DUMMYFUNCTION("""COMPUTED_VALUE"""),52)</f>
        <v>52</v>
      </c>
      <c r="J97" s="1">
        <f ca="1">IFERROR(__xludf.DUMMYFUNCTION("""COMPUTED_VALUE"""),61.8)</f>
        <v>61.8</v>
      </c>
      <c r="K97" s="1">
        <f ca="1">IFERROR(__xludf.DUMMYFUNCTION("""COMPUTED_VALUE"""),308)</f>
        <v>308</v>
      </c>
      <c r="L97" s="1" t="str">
        <f ca="1">IFERROR(__xludf.DUMMYFUNCTION("""COMPUTED_VALUE"""),"+.026")</f>
        <v>+.026</v>
      </c>
      <c r="M97" s="1">
        <f ca="1">IFERROR(__xludf.DUMMYFUNCTION("""COMPUTED_VALUE"""),121)</f>
        <v>121</v>
      </c>
      <c r="N97" s="1" t="str">
        <f ca="1">IFERROR(__xludf.DUMMYFUNCTION("""COMPUTED_VALUE"""),"+4.95")</f>
        <v>+4.95</v>
      </c>
      <c r="O97" s="1">
        <f ca="1">IFERROR(__xludf.DUMMYFUNCTION("""COMPUTED_VALUE"""),87)</f>
        <v>87</v>
      </c>
      <c r="P97" s="1">
        <f ca="1">IFERROR(__xludf.DUMMYFUNCTION("""COMPUTED_VALUE"""),107.5)</f>
        <v>107.5</v>
      </c>
      <c r="Q97" s="1">
        <f ca="1">IFERROR(__xludf.DUMMYFUNCTION("""COMPUTED_VALUE"""),86)</f>
        <v>86</v>
      </c>
      <c r="R97" s="1">
        <f ca="1">IFERROR(__xludf.DUMMYFUNCTION("""COMPUTED_VALUE"""),102.5)</f>
        <v>102.5</v>
      </c>
      <c r="S97" s="1">
        <f ca="1">IFERROR(__xludf.DUMMYFUNCTION("""COMPUTED_VALUE"""),86)</f>
        <v>86</v>
      </c>
      <c r="T97" s="1">
        <f ca="1">IFERROR(__xludf.DUMMYFUNCTION("""COMPUTED_VALUE"""),-0.29)</f>
        <v>-0.28999999999999998</v>
      </c>
      <c r="U97" s="1">
        <f ca="1">IFERROR(__xludf.DUMMYFUNCTION("""COMPUTED_VALUE"""),169)</f>
        <v>169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IFERROR(__xludf.DUMMYFUNCTION("""COMPUTED_VALUE"""),"North Carolina Central14")</f>
        <v>North Carolina Central14</v>
      </c>
      <c r="C98" s="1" t="str">
        <f ca="1">IFERROR(__xludf.DUMMYFUNCTION("""COMPUTED_VALUE"""),"MEAC")</f>
        <v>MEAC</v>
      </c>
      <c r="D98" s="1" t="str">
        <f ca="1">IFERROR(__xludf.DUMMYFUNCTION("""COMPUTED_VALUE"""),"28-6")</f>
        <v>28-6</v>
      </c>
      <c r="E98" s="1" t="str">
        <f ca="1">IFERROR(__xludf.DUMMYFUNCTION("""COMPUTED_VALUE"""),"+7.98")</f>
        <v>+7.98</v>
      </c>
      <c r="F98" s="1">
        <f ca="1">IFERROR(__xludf.DUMMYFUNCTION("""COMPUTED_VALUE"""),108.6)</f>
        <v>108.6</v>
      </c>
      <c r="G98" s="1">
        <f ca="1">IFERROR(__xludf.DUMMYFUNCTION("""COMPUTED_VALUE"""),114)</f>
        <v>114</v>
      </c>
      <c r="H98" s="1">
        <f ca="1">IFERROR(__xludf.DUMMYFUNCTION("""COMPUTED_VALUE"""),100.7)</f>
        <v>100.7</v>
      </c>
      <c r="I98" s="1">
        <f ca="1">IFERROR(__xludf.DUMMYFUNCTION("""COMPUTED_VALUE"""),92)</f>
        <v>92</v>
      </c>
      <c r="J98" s="1">
        <f ca="1">IFERROR(__xludf.DUMMYFUNCTION("""COMPUTED_VALUE"""),62.3)</f>
        <v>62.3</v>
      </c>
      <c r="K98" s="1">
        <f ca="1">IFERROR(__xludf.DUMMYFUNCTION("""COMPUTED_VALUE"""),293)</f>
        <v>293</v>
      </c>
      <c r="L98" s="1" t="str">
        <f ca="1">IFERROR(__xludf.DUMMYFUNCTION("""COMPUTED_VALUE"""),"+.040")</f>
        <v>+.040</v>
      </c>
      <c r="M98" s="1">
        <f ca="1">IFERROR(__xludf.DUMMYFUNCTION("""COMPUTED_VALUE"""),87)</f>
        <v>87</v>
      </c>
      <c r="N98" s="1">
        <f ca="1">IFERROR(__xludf.DUMMYFUNCTION("""COMPUTED_VALUE"""),-10.35)</f>
        <v>-10.35</v>
      </c>
      <c r="O98" s="1">
        <f ca="1">IFERROR(__xludf.DUMMYFUNCTION("""COMPUTED_VALUE"""),347)</f>
        <v>347</v>
      </c>
      <c r="P98" s="1">
        <f ca="1">IFERROR(__xludf.DUMMYFUNCTION("""COMPUTED_VALUE"""),98.1)</f>
        <v>98.1</v>
      </c>
      <c r="Q98" s="1">
        <f ca="1">IFERROR(__xludf.DUMMYFUNCTION("""COMPUTED_VALUE"""),349)</f>
        <v>349</v>
      </c>
      <c r="R98" s="1">
        <f ca="1">IFERROR(__xludf.DUMMYFUNCTION("""COMPUTED_VALUE"""),108.5)</f>
        <v>108.5</v>
      </c>
      <c r="S98" s="1">
        <f ca="1">IFERROR(__xludf.DUMMYFUNCTION("""COMPUTED_VALUE"""),289)</f>
        <v>289</v>
      </c>
      <c r="T98" s="1">
        <f ca="1">IFERROR(__xludf.DUMMYFUNCTION("""COMPUTED_VALUE"""),-1.94)</f>
        <v>-1.94</v>
      </c>
      <c r="U98" s="1">
        <f ca="1">IFERROR(__xludf.DUMMYFUNCTION("""COMPUTED_VALUE"""),216)</f>
        <v>216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IFERROR(__xludf.DUMMYFUNCTION("""COMPUTED_VALUE"""),"Purdue")</f>
        <v>Purdue</v>
      </c>
      <c r="C99" s="1" t="str">
        <f ca="1">IFERROR(__xludf.DUMMYFUNCTION("""COMPUTED_VALUE"""),"B10")</f>
        <v>B10</v>
      </c>
      <c r="D99" s="1" t="str">
        <f ca="1">IFERROR(__xludf.DUMMYFUNCTION("""COMPUTED_VALUE"""),"15-17")</f>
        <v>15-17</v>
      </c>
      <c r="E99" s="1" t="str">
        <f ca="1">IFERROR(__xludf.DUMMYFUNCTION("""COMPUTED_VALUE"""),"+7.89")</f>
        <v>+7.89</v>
      </c>
      <c r="F99" s="1">
        <f ca="1">IFERROR(__xludf.DUMMYFUNCTION("""COMPUTED_VALUE"""),108.4)</f>
        <v>108.4</v>
      </c>
      <c r="G99" s="1">
        <f ca="1">IFERROR(__xludf.DUMMYFUNCTION("""COMPUTED_VALUE"""),119)</f>
        <v>119</v>
      </c>
      <c r="H99" s="1">
        <f ca="1">IFERROR(__xludf.DUMMYFUNCTION("""COMPUTED_VALUE"""),100.5)</f>
        <v>100.5</v>
      </c>
      <c r="I99" s="1">
        <f ca="1">IFERROR(__xludf.DUMMYFUNCTION("""COMPUTED_VALUE"""),90)</f>
        <v>90</v>
      </c>
      <c r="J99" s="1">
        <f ca="1">IFERROR(__xludf.DUMMYFUNCTION("""COMPUTED_VALUE"""),67.2)</f>
        <v>67.2</v>
      </c>
      <c r="K99" s="1">
        <f ca="1">IFERROR(__xludf.DUMMYFUNCTION("""COMPUTED_VALUE"""),61)</f>
        <v>61</v>
      </c>
      <c r="L99" s="1">
        <f ca="1">IFERROR(__xludf.DUMMYFUNCTION("""COMPUTED_VALUE"""),-0.04)</f>
        <v>-0.04</v>
      </c>
      <c r="M99" s="1">
        <f ca="1">IFERROR(__xludf.DUMMYFUNCTION("""COMPUTED_VALUE"""),267)</f>
        <v>267</v>
      </c>
      <c r="N99" s="1" t="str">
        <f ca="1">IFERROR(__xludf.DUMMYFUNCTION("""COMPUTED_VALUE"""),"+7.85")</f>
        <v>+7.85</v>
      </c>
      <c r="O99" s="1">
        <f ca="1">IFERROR(__xludf.DUMMYFUNCTION("""COMPUTED_VALUE"""),38)</f>
        <v>38</v>
      </c>
      <c r="P99" s="1">
        <f ca="1">IFERROR(__xludf.DUMMYFUNCTION("""COMPUTED_VALUE"""),108.7)</f>
        <v>108.7</v>
      </c>
      <c r="Q99" s="1">
        <f ca="1">IFERROR(__xludf.DUMMYFUNCTION("""COMPUTED_VALUE"""),51)</f>
        <v>51</v>
      </c>
      <c r="R99" s="1">
        <f ca="1">IFERROR(__xludf.DUMMYFUNCTION("""COMPUTED_VALUE"""),100.8)</f>
        <v>100.8</v>
      </c>
      <c r="S99" s="1">
        <f ca="1">IFERROR(__xludf.DUMMYFUNCTION("""COMPUTED_VALUE"""),30)</f>
        <v>30</v>
      </c>
      <c r="T99" s="1">
        <f ca="1">IFERROR(__xludf.DUMMYFUNCTION("""COMPUTED_VALUE"""),-5.95)</f>
        <v>-5.95</v>
      </c>
      <c r="U99" s="1">
        <f ca="1">IFERROR(__xludf.DUMMYFUNCTION("""COMPUTED_VALUE"""),313)</f>
        <v>313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IFERROR(__xludf.DUMMYFUNCTION("""COMPUTED_VALUE"""),"Seton Hall")</f>
        <v>Seton Hall</v>
      </c>
      <c r="C100" s="1" t="str">
        <f ca="1">IFERROR(__xludf.DUMMYFUNCTION("""COMPUTED_VALUE"""),"BE")</f>
        <v>BE</v>
      </c>
      <c r="D100" s="1" t="str">
        <f ca="1">IFERROR(__xludf.DUMMYFUNCTION("""COMPUTED_VALUE"""),"17-17")</f>
        <v>17-17</v>
      </c>
      <c r="E100" s="1" t="str">
        <f ca="1">IFERROR(__xludf.DUMMYFUNCTION("""COMPUTED_VALUE"""),"+7.86")</f>
        <v>+7.86</v>
      </c>
      <c r="F100" s="1">
        <f ca="1">IFERROR(__xludf.DUMMYFUNCTION("""COMPUTED_VALUE"""),108.8)</f>
        <v>108.8</v>
      </c>
      <c r="G100" s="1">
        <f ca="1">IFERROR(__xludf.DUMMYFUNCTION("""COMPUTED_VALUE"""),112)</f>
        <v>112</v>
      </c>
      <c r="H100" s="1">
        <f ca="1">IFERROR(__xludf.DUMMYFUNCTION("""COMPUTED_VALUE"""),100.9)</f>
        <v>100.9</v>
      </c>
      <c r="I100" s="1">
        <f ca="1">IFERROR(__xludf.DUMMYFUNCTION("""COMPUTED_VALUE"""),98)</f>
        <v>98</v>
      </c>
      <c r="J100" s="1">
        <f ca="1">IFERROR(__xludf.DUMMYFUNCTION("""COMPUTED_VALUE"""),64.2)</f>
        <v>64.2</v>
      </c>
      <c r="K100" s="1">
        <f ca="1">IFERROR(__xludf.DUMMYFUNCTION("""COMPUTED_VALUE"""),206)</f>
        <v>206</v>
      </c>
      <c r="L100" s="1">
        <f ca="1">IFERROR(__xludf.DUMMYFUNCTION("""COMPUTED_VALUE"""),-0.06)</f>
        <v>-0.06</v>
      </c>
      <c r="M100" s="1">
        <f ca="1">IFERROR(__xludf.DUMMYFUNCTION("""COMPUTED_VALUE"""),311)</f>
        <v>311</v>
      </c>
      <c r="N100" s="1" t="str">
        <f ca="1">IFERROR(__xludf.DUMMYFUNCTION("""COMPUTED_VALUE"""),"+4.73")</f>
        <v>+4.73</v>
      </c>
      <c r="O100" s="1">
        <f ca="1">IFERROR(__xludf.DUMMYFUNCTION("""COMPUTED_VALUE"""),91)</f>
        <v>91</v>
      </c>
      <c r="P100" s="1">
        <f ca="1">IFERROR(__xludf.DUMMYFUNCTION("""COMPUTED_VALUE"""),108.3)</f>
        <v>108.3</v>
      </c>
      <c r="Q100" s="1">
        <f ca="1">IFERROR(__xludf.DUMMYFUNCTION("""COMPUTED_VALUE"""),64)</f>
        <v>64</v>
      </c>
      <c r="R100" s="1">
        <f ca="1">IFERROR(__xludf.DUMMYFUNCTION("""COMPUTED_VALUE"""),103.6)</f>
        <v>103.6</v>
      </c>
      <c r="S100" s="1">
        <f ca="1">IFERROR(__xludf.DUMMYFUNCTION("""COMPUTED_VALUE"""),104)</f>
        <v>104</v>
      </c>
      <c r="T100" s="1">
        <f ca="1">IFERROR(__xludf.DUMMYFUNCTION("""COMPUTED_VALUE"""),-9.12)</f>
        <v>-9.1199999999999992</v>
      </c>
      <c r="U100" s="1">
        <f ca="1">IFERROR(__xludf.DUMMYFUNCTION("""COMPUTED_VALUE"""),345)</f>
        <v>345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IFERROR(__xludf.DUMMYFUNCTION("""COMPUTED_VALUE"""),"Northern Iowa")</f>
        <v>Northern Iowa</v>
      </c>
      <c r="C101" s="1" t="str">
        <f ca="1">IFERROR(__xludf.DUMMYFUNCTION("""COMPUTED_VALUE"""),"MVC")</f>
        <v>MVC</v>
      </c>
      <c r="D101" s="1" t="str">
        <f ca="1">IFERROR(__xludf.DUMMYFUNCTION("""COMPUTED_VALUE"""),"16-15")</f>
        <v>16-15</v>
      </c>
      <c r="E101" s="1" t="str">
        <f ca="1">IFERROR(__xludf.DUMMYFUNCTION("""COMPUTED_VALUE"""),"+7.86")</f>
        <v>+7.86</v>
      </c>
      <c r="F101" s="1">
        <f ca="1">IFERROR(__xludf.DUMMYFUNCTION("""COMPUTED_VALUE"""),113)</f>
        <v>113</v>
      </c>
      <c r="G101" s="1">
        <f ca="1">IFERROR(__xludf.DUMMYFUNCTION("""COMPUTED_VALUE"""),44)</f>
        <v>44</v>
      </c>
      <c r="H101" s="1">
        <f ca="1">IFERROR(__xludf.DUMMYFUNCTION("""COMPUTED_VALUE"""),105.1)</f>
        <v>105.1</v>
      </c>
      <c r="I101" s="1">
        <f ca="1">IFERROR(__xludf.DUMMYFUNCTION("""COMPUTED_VALUE"""),169)</f>
        <v>169</v>
      </c>
      <c r="J101" s="1">
        <f ca="1">IFERROR(__xludf.DUMMYFUNCTION("""COMPUTED_VALUE"""),64.1)</f>
        <v>64.099999999999994</v>
      </c>
      <c r="K101" s="1">
        <f ca="1">IFERROR(__xludf.DUMMYFUNCTION("""COMPUTED_VALUE"""),212)</f>
        <v>212</v>
      </c>
      <c r="L101" s="1">
        <f ca="1">IFERROR(__xludf.DUMMYFUNCTION("""COMPUTED_VALUE"""),-0.08)</f>
        <v>-0.08</v>
      </c>
      <c r="M101" s="1">
        <f ca="1">IFERROR(__xludf.DUMMYFUNCTION("""COMPUTED_VALUE"""),333)</f>
        <v>333</v>
      </c>
      <c r="N101" s="1" t="str">
        <f ca="1">IFERROR(__xludf.DUMMYFUNCTION("""COMPUTED_VALUE"""),"+3.43")</f>
        <v>+3.43</v>
      </c>
      <c r="O101" s="1">
        <f ca="1">IFERROR(__xludf.DUMMYFUNCTION("""COMPUTED_VALUE"""),105)</f>
        <v>105</v>
      </c>
      <c r="P101" s="1">
        <f ca="1">IFERROR(__xludf.DUMMYFUNCTION("""COMPUTED_VALUE"""),106.1)</f>
        <v>106.1</v>
      </c>
      <c r="Q101" s="1">
        <f ca="1">IFERROR(__xludf.DUMMYFUNCTION("""COMPUTED_VALUE"""),111)</f>
        <v>111</v>
      </c>
      <c r="R101" s="1">
        <f ca="1">IFERROR(__xludf.DUMMYFUNCTION("""COMPUTED_VALUE"""),102.7)</f>
        <v>102.7</v>
      </c>
      <c r="S101" s="1">
        <f ca="1">IFERROR(__xludf.DUMMYFUNCTION("""COMPUTED_VALUE"""),94)</f>
        <v>94</v>
      </c>
      <c r="T101" s="1" t="str">
        <f ca="1">IFERROR(__xludf.DUMMYFUNCTION("""COMPUTED_VALUE"""),"+8.35")</f>
        <v>+8.35</v>
      </c>
      <c r="U101" s="1">
        <f ca="1">IFERROR(__xludf.DUMMYFUNCTION("""COMPUTED_VALUE"""),18)</f>
        <v>18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IFERROR(__xludf.DUMMYFUNCTION("""COMPUTED_VALUE"""),"Notre Dame")</f>
        <v>Notre Dame</v>
      </c>
      <c r="C102" s="1" t="str">
        <f ca="1">IFERROR(__xludf.DUMMYFUNCTION("""COMPUTED_VALUE"""),"ACC")</f>
        <v>ACC</v>
      </c>
      <c r="D102" s="1" t="str">
        <f ca="1">IFERROR(__xludf.DUMMYFUNCTION("""COMPUTED_VALUE"""),"15-17")</f>
        <v>15-17</v>
      </c>
      <c r="E102" s="1" t="str">
        <f ca="1">IFERROR(__xludf.DUMMYFUNCTION("""COMPUTED_VALUE"""),"+7.70")</f>
        <v>+7.70</v>
      </c>
      <c r="F102" s="1">
        <f ca="1">IFERROR(__xludf.DUMMYFUNCTION("""COMPUTED_VALUE"""),113.5)</f>
        <v>113.5</v>
      </c>
      <c r="G102" s="1">
        <f ca="1">IFERROR(__xludf.DUMMYFUNCTION("""COMPUTED_VALUE"""),40)</f>
        <v>40</v>
      </c>
      <c r="H102" s="1">
        <f ca="1">IFERROR(__xludf.DUMMYFUNCTION("""COMPUTED_VALUE"""),105.8)</f>
        <v>105.8</v>
      </c>
      <c r="I102" s="1">
        <f ca="1">IFERROR(__xludf.DUMMYFUNCTION("""COMPUTED_VALUE"""),185)</f>
        <v>185</v>
      </c>
      <c r="J102" s="1">
        <f ca="1">IFERROR(__xludf.DUMMYFUNCTION("""COMPUTED_VALUE"""),62.7)</f>
        <v>62.7</v>
      </c>
      <c r="K102" s="1">
        <f ca="1">IFERROR(__xludf.DUMMYFUNCTION("""COMPUTED_VALUE"""),276)</f>
        <v>276</v>
      </c>
      <c r="L102" s="1">
        <f ca="1">IFERROR(__xludf.DUMMYFUNCTION("""COMPUTED_VALUE"""),-0.063)</f>
        <v>-6.3E-2</v>
      </c>
      <c r="M102" s="1">
        <f ca="1">IFERROR(__xludf.DUMMYFUNCTION("""COMPUTED_VALUE"""),316)</f>
        <v>316</v>
      </c>
      <c r="N102" s="1" t="str">
        <f ca="1">IFERROR(__xludf.DUMMYFUNCTION("""COMPUTED_VALUE"""),"+6.52")</f>
        <v>+6.52</v>
      </c>
      <c r="O102" s="1">
        <f ca="1">IFERROR(__xludf.DUMMYFUNCTION("""COMPUTED_VALUE"""),61)</f>
        <v>61</v>
      </c>
      <c r="P102" s="1">
        <f ca="1">IFERROR(__xludf.DUMMYFUNCTION("""COMPUTED_VALUE"""),108.7)</f>
        <v>108.7</v>
      </c>
      <c r="Q102" s="1">
        <f ca="1">IFERROR(__xludf.DUMMYFUNCTION("""COMPUTED_VALUE"""),50)</f>
        <v>50</v>
      </c>
      <c r="R102" s="1">
        <f ca="1">IFERROR(__xludf.DUMMYFUNCTION("""COMPUTED_VALUE"""),102.2)</f>
        <v>102.2</v>
      </c>
      <c r="S102" s="1">
        <f ca="1">IFERROR(__xludf.DUMMYFUNCTION("""COMPUTED_VALUE"""),73)</f>
        <v>73</v>
      </c>
      <c r="T102" s="1">
        <f ca="1">IFERROR(__xludf.DUMMYFUNCTION("""COMPUTED_VALUE"""),-2.88)</f>
        <v>-2.88</v>
      </c>
      <c r="U102" s="1">
        <f ca="1">IFERROR(__xludf.DUMMYFUNCTION("""COMPUTED_VALUE"""),246)</f>
        <v>246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IFERROR(__xludf.DUMMYFUNCTION("""COMPUTED_VALUE"""),"Belmont5")</f>
        <v>Belmont5</v>
      </c>
      <c r="C103" s="1" t="str">
        <f ca="1">IFERROR(__xludf.DUMMYFUNCTION("""COMPUTED_VALUE"""),"OVC")</f>
        <v>OVC</v>
      </c>
      <c r="D103" s="1" t="str">
        <f ca="1">IFERROR(__xludf.DUMMYFUNCTION("""COMPUTED_VALUE"""),"26-10")</f>
        <v>26-10</v>
      </c>
      <c r="E103" s="1" t="str">
        <f ca="1">IFERROR(__xludf.DUMMYFUNCTION("""COMPUTED_VALUE"""),"+7.10")</f>
        <v>+7.10</v>
      </c>
      <c r="F103" s="1">
        <f ca="1">IFERROR(__xludf.DUMMYFUNCTION("""COMPUTED_VALUE"""),113.9)</f>
        <v>113.9</v>
      </c>
      <c r="G103" s="1">
        <f ca="1">IFERROR(__xludf.DUMMYFUNCTION("""COMPUTED_VALUE"""),36)</f>
        <v>36</v>
      </c>
      <c r="H103" s="1">
        <f ca="1">IFERROR(__xludf.DUMMYFUNCTION("""COMPUTED_VALUE"""),106.8)</f>
        <v>106.8</v>
      </c>
      <c r="I103" s="1">
        <f ca="1">IFERROR(__xludf.DUMMYFUNCTION("""COMPUTED_VALUE"""),207)</f>
        <v>207</v>
      </c>
      <c r="J103" s="1">
        <f ca="1">IFERROR(__xludf.DUMMYFUNCTION("""COMPUTED_VALUE"""),67.7)</f>
        <v>67.7</v>
      </c>
      <c r="K103" s="1">
        <f ca="1">IFERROR(__xludf.DUMMYFUNCTION("""COMPUTED_VALUE"""),47)</f>
        <v>47</v>
      </c>
      <c r="L103" s="1" t="str">
        <f ca="1">IFERROR(__xludf.DUMMYFUNCTION("""COMPUTED_VALUE"""),"+.058")</f>
        <v>+.058</v>
      </c>
      <c r="M103" s="1">
        <f ca="1">IFERROR(__xludf.DUMMYFUNCTION("""COMPUTED_VALUE"""),57)</f>
        <v>57</v>
      </c>
      <c r="N103" s="1">
        <f ca="1">IFERROR(__xludf.DUMMYFUNCTION("""COMPUTED_VALUE"""),-1.37)</f>
        <v>-1.37</v>
      </c>
      <c r="O103" s="1">
        <f ca="1">IFERROR(__xludf.DUMMYFUNCTION("""COMPUTED_VALUE"""),176)</f>
        <v>176</v>
      </c>
      <c r="P103" s="1">
        <f ca="1">IFERROR(__xludf.DUMMYFUNCTION("""COMPUTED_VALUE"""),104.9)</f>
        <v>104.9</v>
      </c>
      <c r="Q103" s="1">
        <f ca="1">IFERROR(__xludf.DUMMYFUNCTION("""COMPUTED_VALUE"""),153)</f>
        <v>153</v>
      </c>
      <c r="R103" s="1">
        <f ca="1">IFERROR(__xludf.DUMMYFUNCTION("""COMPUTED_VALUE"""),106.3)</f>
        <v>106.3</v>
      </c>
      <c r="S103" s="1">
        <f ca="1">IFERROR(__xludf.DUMMYFUNCTION("""COMPUTED_VALUE"""),215)</f>
        <v>215</v>
      </c>
      <c r="T103" s="1" t="str">
        <f ca="1">IFERROR(__xludf.DUMMYFUNCTION("""COMPUTED_VALUE"""),"+5.34")</f>
        <v>+5.34</v>
      </c>
      <c r="U103" s="1">
        <f ca="1">IFERROR(__xludf.DUMMYFUNCTION("""COMPUTED_VALUE"""),43)</f>
        <v>43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IFERROR(__xludf.DUMMYFUNCTION("""COMPUTED_VALUE"""),"Washington")</f>
        <v>Washington</v>
      </c>
      <c r="C104" s="1" t="str">
        <f ca="1">IFERROR(__xludf.DUMMYFUNCTION("""COMPUTED_VALUE"""),"P12")</f>
        <v>P12</v>
      </c>
      <c r="D104" s="1" t="str">
        <f ca="1">IFERROR(__xludf.DUMMYFUNCTION("""COMPUTED_VALUE"""),"17-15")</f>
        <v>17-15</v>
      </c>
      <c r="E104" s="1" t="str">
        <f ca="1">IFERROR(__xludf.DUMMYFUNCTION("""COMPUTED_VALUE"""),"+6.78")</f>
        <v>+6.78</v>
      </c>
      <c r="F104" s="1">
        <f ca="1">IFERROR(__xludf.DUMMYFUNCTION("""COMPUTED_VALUE"""),111.8)</f>
        <v>111.8</v>
      </c>
      <c r="G104" s="1">
        <f ca="1">IFERROR(__xludf.DUMMYFUNCTION("""COMPUTED_VALUE"""),62)</f>
        <v>62</v>
      </c>
      <c r="H104" s="1">
        <f ca="1">IFERROR(__xludf.DUMMYFUNCTION("""COMPUTED_VALUE"""),105)</f>
        <v>105</v>
      </c>
      <c r="I104" s="1">
        <f ca="1">IFERROR(__xludf.DUMMYFUNCTION("""COMPUTED_VALUE"""),168)</f>
        <v>168</v>
      </c>
      <c r="J104" s="1">
        <f ca="1">IFERROR(__xludf.DUMMYFUNCTION("""COMPUTED_VALUE"""),66.7)</f>
        <v>66.7</v>
      </c>
      <c r="K104" s="1">
        <f ca="1">IFERROR(__xludf.DUMMYFUNCTION("""COMPUTED_VALUE"""),76)</f>
        <v>76</v>
      </c>
      <c r="L104" s="1" t="str">
        <f ca="1">IFERROR(__xludf.DUMMYFUNCTION("""COMPUTED_VALUE"""),"+.037")</f>
        <v>+.037</v>
      </c>
      <c r="M104" s="1">
        <f ca="1">IFERROR(__xludf.DUMMYFUNCTION("""COMPUTED_VALUE"""),95)</f>
        <v>95</v>
      </c>
      <c r="N104" s="1" t="str">
        <f ca="1">IFERROR(__xludf.DUMMYFUNCTION("""COMPUTED_VALUE"""),"+5.92")</f>
        <v>+5.92</v>
      </c>
      <c r="O104" s="1">
        <f ca="1">IFERROR(__xludf.DUMMYFUNCTION("""COMPUTED_VALUE"""),70)</f>
        <v>70</v>
      </c>
      <c r="P104" s="1">
        <f ca="1">IFERROR(__xludf.DUMMYFUNCTION("""COMPUTED_VALUE"""),107.9)</f>
        <v>107.9</v>
      </c>
      <c r="Q104" s="1">
        <f ca="1">IFERROR(__xludf.DUMMYFUNCTION("""COMPUTED_VALUE"""),73)</f>
        <v>73</v>
      </c>
      <c r="R104" s="1">
        <f ca="1">IFERROR(__xludf.DUMMYFUNCTION("""COMPUTED_VALUE"""),102)</f>
        <v>102</v>
      </c>
      <c r="S104" s="1">
        <f ca="1">IFERROR(__xludf.DUMMYFUNCTION("""COMPUTED_VALUE"""),67)</f>
        <v>67</v>
      </c>
      <c r="T104" s="1">
        <f ca="1">IFERROR(__xludf.DUMMYFUNCTION("""COMPUTED_VALUE"""),-4.23)</f>
        <v>-4.2300000000000004</v>
      </c>
      <c r="U104" s="1">
        <f ca="1">IFERROR(__xludf.DUMMYFUNCTION("""COMPUTED_VALUE"""),288)</f>
        <v>288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IFERROR(__xludf.DUMMYFUNCTION("""COMPUTED_VALUE"""),"Butler")</f>
        <v>Butler</v>
      </c>
      <c r="C105" s="1" t="str">
        <f ca="1">IFERROR(__xludf.DUMMYFUNCTION("""COMPUTED_VALUE"""),"BE")</f>
        <v>BE</v>
      </c>
      <c r="D105" s="1" t="str">
        <f ca="1">IFERROR(__xludf.DUMMYFUNCTION("""COMPUTED_VALUE"""),"14-17")</f>
        <v>14-17</v>
      </c>
      <c r="E105" s="1" t="str">
        <f ca="1">IFERROR(__xludf.DUMMYFUNCTION("""COMPUTED_VALUE"""),"+6.74")</f>
        <v>+6.74</v>
      </c>
      <c r="F105" s="1">
        <f ca="1">IFERROR(__xludf.DUMMYFUNCTION("""COMPUTED_VALUE"""),106)</f>
        <v>106</v>
      </c>
      <c r="G105" s="1">
        <f ca="1">IFERROR(__xludf.DUMMYFUNCTION("""COMPUTED_VALUE"""),160)</f>
        <v>160</v>
      </c>
      <c r="H105" s="1">
        <f ca="1">IFERROR(__xludf.DUMMYFUNCTION("""COMPUTED_VALUE"""),99.3)</f>
        <v>99.3</v>
      </c>
      <c r="I105" s="1">
        <f ca="1">IFERROR(__xludf.DUMMYFUNCTION("""COMPUTED_VALUE"""),64)</f>
        <v>64</v>
      </c>
      <c r="J105" s="1">
        <f ca="1">IFERROR(__xludf.DUMMYFUNCTION("""COMPUTED_VALUE"""),61.9)</f>
        <v>61.9</v>
      </c>
      <c r="K105" s="1">
        <f ca="1">IFERROR(__xludf.DUMMYFUNCTION("""COMPUTED_VALUE"""),304)</f>
        <v>304</v>
      </c>
      <c r="L105" s="1">
        <f ca="1">IFERROR(__xludf.DUMMYFUNCTION("""COMPUTED_VALUE"""),-0.056)</f>
        <v>-5.6000000000000001E-2</v>
      </c>
      <c r="M105" s="1">
        <f ca="1">IFERROR(__xludf.DUMMYFUNCTION("""COMPUTED_VALUE"""),307)</f>
        <v>307</v>
      </c>
      <c r="N105" s="1" t="str">
        <f ca="1">IFERROR(__xludf.DUMMYFUNCTION("""COMPUTED_VALUE"""),"+6.79")</f>
        <v>+6.79</v>
      </c>
      <c r="O105" s="1">
        <f ca="1">IFERROR(__xludf.DUMMYFUNCTION("""COMPUTED_VALUE"""),59)</f>
        <v>59</v>
      </c>
      <c r="P105" s="1">
        <f ca="1">IFERROR(__xludf.DUMMYFUNCTION("""COMPUTED_VALUE"""),108.8)</f>
        <v>108.8</v>
      </c>
      <c r="Q105" s="1">
        <f ca="1">IFERROR(__xludf.DUMMYFUNCTION("""COMPUTED_VALUE"""),47)</f>
        <v>47</v>
      </c>
      <c r="R105" s="1">
        <f ca="1">IFERROR(__xludf.DUMMYFUNCTION("""COMPUTED_VALUE"""),102)</f>
        <v>102</v>
      </c>
      <c r="S105" s="1">
        <f ca="1">IFERROR(__xludf.DUMMYFUNCTION("""COMPUTED_VALUE"""),68)</f>
        <v>68</v>
      </c>
      <c r="T105" s="1">
        <f ca="1">IFERROR(__xludf.DUMMYFUNCTION("""COMPUTED_VALUE"""),-3.05)</f>
        <v>-3.05</v>
      </c>
      <c r="U105" s="1">
        <f ca="1">IFERROR(__xludf.DUMMYFUNCTION("""COMPUTED_VALUE"""),256)</f>
        <v>256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IFERROR(__xludf.DUMMYFUNCTION("""COMPUTED_VALUE"""),"Princeton")</f>
        <v>Princeton</v>
      </c>
      <c r="C106" s="1" t="str">
        <f ca="1">IFERROR(__xludf.DUMMYFUNCTION("""COMPUTED_VALUE"""),"Ivy")</f>
        <v>Ivy</v>
      </c>
      <c r="D106" s="1" t="str">
        <f ca="1">IFERROR(__xludf.DUMMYFUNCTION("""COMPUTED_VALUE"""),"21-9")</f>
        <v>21-9</v>
      </c>
      <c r="E106" s="1" t="str">
        <f ca="1">IFERROR(__xludf.DUMMYFUNCTION("""COMPUTED_VALUE"""),"+6.46")</f>
        <v>+6.46</v>
      </c>
      <c r="F106" s="1">
        <f ca="1">IFERROR(__xludf.DUMMYFUNCTION("""COMPUTED_VALUE"""),106.4)</f>
        <v>106.4</v>
      </c>
      <c r="G106" s="1">
        <f ca="1">IFERROR(__xludf.DUMMYFUNCTION("""COMPUTED_VALUE"""),150)</f>
        <v>150</v>
      </c>
      <c r="H106" s="1">
        <f ca="1">IFERROR(__xludf.DUMMYFUNCTION("""COMPUTED_VALUE"""),99.9)</f>
        <v>99.9</v>
      </c>
      <c r="I106" s="1">
        <f ca="1">IFERROR(__xludf.DUMMYFUNCTION("""COMPUTED_VALUE"""),81)</f>
        <v>81</v>
      </c>
      <c r="J106" s="1">
        <f ca="1">IFERROR(__xludf.DUMMYFUNCTION("""COMPUTED_VALUE"""),63.2)</f>
        <v>63.2</v>
      </c>
      <c r="K106" s="1">
        <f ca="1">IFERROR(__xludf.DUMMYFUNCTION("""COMPUTED_VALUE"""),252)</f>
        <v>252</v>
      </c>
      <c r="L106" s="1" t="str">
        <f ca="1">IFERROR(__xludf.DUMMYFUNCTION("""COMPUTED_VALUE"""),"+.014")</f>
        <v>+.014</v>
      </c>
      <c r="M106" s="1">
        <f ca="1">IFERROR(__xludf.DUMMYFUNCTION("""COMPUTED_VALUE"""),150)</f>
        <v>150</v>
      </c>
      <c r="N106" s="1">
        <f ca="1">IFERROR(__xludf.DUMMYFUNCTION("""COMPUTED_VALUE"""),-2.05)</f>
        <v>-2.0499999999999998</v>
      </c>
      <c r="O106" s="1">
        <f ca="1">IFERROR(__xludf.DUMMYFUNCTION("""COMPUTED_VALUE"""),191)</f>
        <v>191</v>
      </c>
      <c r="P106" s="1">
        <f ca="1">IFERROR(__xludf.DUMMYFUNCTION("""COMPUTED_VALUE"""),104.1)</f>
        <v>104.1</v>
      </c>
      <c r="Q106" s="1">
        <f ca="1">IFERROR(__xludf.DUMMYFUNCTION("""COMPUTED_VALUE"""),183)</f>
        <v>183</v>
      </c>
      <c r="R106" s="1">
        <f ca="1">IFERROR(__xludf.DUMMYFUNCTION("""COMPUTED_VALUE"""),106.2)</f>
        <v>106.2</v>
      </c>
      <c r="S106" s="1">
        <f ca="1">IFERROR(__xludf.DUMMYFUNCTION("""COMPUTED_VALUE"""),211)</f>
        <v>211</v>
      </c>
      <c r="T106" s="1">
        <f ca="1">IFERROR(__xludf.DUMMYFUNCTION("""COMPUTED_VALUE"""),-2.68)</f>
        <v>-2.68</v>
      </c>
      <c r="U106" s="1">
        <f ca="1">IFERROR(__xludf.DUMMYFUNCTION("""COMPUTED_VALUE"""),237)</f>
        <v>237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IFERROR(__xludf.DUMMYFUNCTION("""COMPUTED_VALUE"""),"Buffalo")</f>
        <v>Buffalo</v>
      </c>
      <c r="C107" s="1" t="str">
        <f ca="1">IFERROR(__xludf.DUMMYFUNCTION("""COMPUTED_VALUE"""),"MAC")</f>
        <v>MAC</v>
      </c>
      <c r="D107" s="1" t="str">
        <f ca="1">IFERROR(__xludf.DUMMYFUNCTION("""COMPUTED_VALUE"""),"19-10")</f>
        <v>19-10</v>
      </c>
      <c r="E107" s="1" t="str">
        <f ca="1">IFERROR(__xludf.DUMMYFUNCTION("""COMPUTED_VALUE"""),"+6.36")</f>
        <v>+6.36</v>
      </c>
      <c r="F107" s="1">
        <f ca="1">IFERROR(__xludf.DUMMYFUNCTION("""COMPUTED_VALUE"""),109.7)</f>
        <v>109.7</v>
      </c>
      <c r="G107" s="1">
        <f ca="1">IFERROR(__xludf.DUMMYFUNCTION("""COMPUTED_VALUE"""),96)</f>
        <v>96</v>
      </c>
      <c r="H107" s="1">
        <f ca="1">IFERROR(__xludf.DUMMYFUNCTION("""COMPUTED_VALUE"""),103.4)</f>
        <v>103.4</v>
      </c>
      <c r="I107" s="1">
        <f ca="1">IFERROR(__xludf.DUMMYFUNCTION("""COMPUTED_VALUE"""),138)</f>
        <v>138</v>
      </c>
      <c r="J107" s="1">
        <f ca="1">IFERROR(__xludf.DUMMYFUNCTION("""COMPUTED_VALUE"""),66.6)</f>
        <v>66.599999999999994</v>
      </c>
      <c r="K107" s="1">
        <f ca="1">IFERROR(__xludf.DUMMYFUNCTION("""COMPUTED_VALUE"""),82)</f>
        <v>82</v>
      </c>
      <c r="L107" s="1">
        <f ca="1">IFERROR(__xludf.DUMMYFUNCTION("""COMPUTED_VALUE"""),-0.033)</f>
        <v>-3.3000000000000002E-2</v>
      </c>
      <c r="M107" s="1">
        <f ca="1">IFERROR(__xludf.DUMMYFUNCTION("""COMPUTED_VALUE"""),253)</f>
        <v>253</v>
      </c>
      <c r="N107" s="1">
        <f ca="1">IFERROR(__xludf.DUMMYFUNCTION("""COMPUTED_VALUE"""),-2.39)</f>
        <v>-2.39</v>
      </c>
      <c r="O107" s="1">
        <f ca="1">IFERROR(__xludf.DUMMYFUNCTION("""COMPUTED_VALUE"""),201)</f>
        <v>201</v>
      </c>
      <c r="P107" s="1">
        <f ca="1">IFERROR(__xludf.DUMMYFUNCTION("""COMPUTED_VALUE"""),101.7)</f>
        <v>101.7</v>
      </c>
      <c r="Q107" s="1">
        <f ca="1">IFERROR(__xludf.DUMMYFUNCTION("""COMPUTED_VALUE"""),308)</f>
        <v>308</v>
      </c>
      <c r="R107" s="1">
        <f ca="1">IFERROR(__xludf.DUMMYFUNCTION("""COMPUTED_VALUE"""),104.1)</f>
        <v>104.1</v>
      </c>
      <c r="S107" s="1">
        <f ca="1">IFERROR(__xludf.DUMMYFUNCTION("""COMPUTED_VALUE"""),113)</f>
        <v>113</v>
      </c>
      <c r="T107" s="1">
        <f ca="1">IFERROR(__xludf.DUMMYFUNCTION("""COMPUTED_VALUE"""),-1.24)</f>
        <v>-1.24</v>
      </c>
      <c r="U107" s="1">
        <f ca="1">IFERROR(__xludf.DUMMYFUNCTION("""COMPUTED_VALUE"""),199)</f>
        <v>199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IFERROR(__xludf.DUMMYFUNCTION("""COMPUTED_VALUE"""),"UC Santa Barbara")</f>
        <v>UC Santa Barbara</v>
      </c>
      <c r="C108" s="1" t="str">
        <f ca="1">IFERROR(__xludf.DUMMYFUNCTION("""COMPUTED_VALUE"""),"BW")</f>
        <v>BW</v>
      </c>
      <c r="D108" s="1" t="str">
        <f ca="1">IFERROR(__xludf.DUMMYFUNCTION("""COMPUTED_VALUE"""),"21-9")</f>
        <v>21-9</v>
      </c>
      <c r="E108" s="1" t="str">
        <f ca="1">IFERROR(__xludf.DUMMYFUNCTION("""COMPUTED_VALUE"""),"+6.25")</f>
        <v>+6.25</v>
      </c>
      <c r="F108" s="1">
        <f ca="1">IFERROR(__xludf.DUMMYFUNCTION("""COMPUTED_VALUE"""),110.6)</f>
        <v>110.6</v>
      </c>
      <c r="G108" s="1">
        <f ca="1">IFERROR(__xludf.DUMMYFUNCTION("""COMPUTED_VALUE"""),81)</f>
        <v>81</v>
      </c>
      <c r="H108" s="1">
        <f ca="1">IFERROR(__xludf.DUMMYFUNCTION("""COMPUTED_VALUE"""),104.4)</f>
        <v>104.4</v>
      </c>
      <c r="I108" s="1">
        <f ca="1">IFERROR(__xludf.DUMMYFUNCTION("""COMPUTED_VALUE"""),158)</f>
        <v>158</v>
      </c>
      <c r="J108" s="1">
        <f ca="1">IFERROR(__xludf.DUMMYFUNCTION("""COMPUTED_VALUE"""),62.1)</f>
        <v>62.1</v>
      </c>
      <c r="K108" s="1">
        <f ca="1">IFERROR(__xludf.DUMMYFUNCTION("""COMPUTED_VALUE"""),298)</f>
        <v>298</v>
      </c>
      <c r="L108" s="1" t="str">
        <f ca="1">IFERROR(__xludf.DUMMYFUNCTION("""COMPUTED_VALUE"""),"+.056")</f>
        <v>+.056</v>
      </c>
      <c r="M108" s="1">
        <f ca="1">IFERROR(__xludf.DUMMYFUNCTION("""COMPUTED_VALUE"""),62)</f>
        <v>62</v>
      </c>
      <c r="N108" s="1">
        <f ca="1">IFERROR(__xludf.DUMMYFUNCTION("""COMPUTED_VALUE"""),-0.35)</f>
        <v>-0.35</v>
      </c>
      <c r="O108" s="1">
        <f ca="1">IFERROR(__xludf.DUMMYFUNCTION("""COMPUTED_VALUE"""),155)</f>
        <v>155</v>
      </c>
      <c r="P108" s="1">
        <f ca="1">IFERROR(__xludf.DUMMYFUNCTION("""COMPUTED_VALUE"""),104.8)</f>
        <v>104.8</v>
      </c>
      <c r="Q108" s="1">
        <f ca="1">IFERROR(__xludf.DUMMYFUNCTION("""COMPUTED_VALUE"""),157)</f>
        <v>157</v>
      </c>
      <c r="R108" s="1">
        <f ca="1">IFERROR(__xludf.DUMMYFUNCTION("""COMPUTED_VALUE"""),105.2)</f>
        <v>105.2</v>
      </c>
      <c r="S108" s="1">
        <f ca="1">IFERROR(__xludf.DUMMYFUNCTION("""COMPUTED_VALUE"""),162)</f>
        <v>162</v>
      </c>
      <c r="T108" s="1" t="str">
        <f ca="1">IFERROR(__xludf.DUMMYFUNCTION("""COMPUTED_VALUE"""),"+5.07")</f>
        <v>+5.07</v>
      </c>
      <c r="U108" s="1">
        <f ca="1">IFERROR(__xludf.DUMMYFUNCTION("""COMPUTED_VALUE"""),47)</f>
        <v>47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IFERROR(__xludf.DUMMYFUNCTION("""COMPUTED_VALUE"""),"UTEP")</f>
        <v>UTEP</v>
      </c>
      <c r="C109" s="1" t="str">
        <f ca="1">IFERROR(__xludf.DUMMYFUNCTION("""COMPUTED_VALUE"""),"CUSA")</f>
        <v>CUSA</v>
      </c>
      <c r="D109" s="1" t="str">
        <f ca="1">IFERROR(__xludf.DUMMYFUNCTION("""COMPUTED_VALUE"""),"23-11")</f>
        <v>23-11</v>
      </c>
      <c r="E109" s="1" t="str">
        <f ca="1">IFERROR(__xludf.DUMMYFUNCTION("""COMPUTED_VALUE"""),"+6.02")</f>
        <v>+6.02</v>
      </c>
      <c r="F109" s="1">
        <f ca="1">IFERROR(__xludf.DUMMYFUNCTION("""COMPUTED_VALUE"""),105.3)</f>
        <v>105.3</v>
      </c>
      <c r="G109" s="1">
        <f ca="1">IFERROR(__xludf.DUMMYFUNCTION("""COMPUTED_VALUE"""),175)</f>
        <v>175</v>
      </c>
      <c r="H109" s="1">
        <f ca="1">IFERROR(__xludf.DUMMYFUNCTION("""COMPUTED_VALUE"""),99.3)</f>
        <v>99.3</v>
      </c>
      <c r="I109" s="1">
        <f ca="1">IFERROR(__xludf.DUMMYFUNCTION("""COMPUTED_VALUE"""),65)</f>
        <v>65</v>
      </c>
      <c r="J109" s="1">
        <f ca="1">IFERROR(__xludf.DUMMYFUNCTION("""COMPUTED_VALUE"""),63)</f>
        <v>63</v>
      </c>
      <c r="K109" s="1">
        <f ca="1">IFERROR(__xludf.DUMMYFUNCTION("""COMPUTED_VALUE"""),262)</f>
        <v>262</v>
      </c>
      <c r="L109" s="1" t="str">
        <f ca="1">IFERROR(__xludf.DUMMYFUNCTION("""COMPUTED_VALUE"""),"+.015")</f>
        <v>+.015</v>
      </c>
      <c r="M109" s="1">
        <f ca="1">IFERROR(__xludf.DUMMYFUNCTION("""COMPUTED_VALUE"""),147)</f>
        <v>147</v>
      </c>
      <c r="N109" s="1">
        <f ca="1">IFERROR(__xludf.DUMMYFUNCTION("""COMPUTED_VALUE"""),-2.23)</f>
        <v>-2.23</v>
      </c>
      <c r="O109" s="1">
        <f ca="1">IFERROR(__xludf.DUMMYFUNCTION("""COMPUTED_VALUE"""),197)</f>
        <v>197</v>
      </c>
      <c r="P109" s="1">
        <f ca="1">IFERROR(__xludf.DUMMYFUNCTION("""COMPUTED_VALUE"""),104.1)</f>
        <v>104.1</v>
      </c>
      <c r="Q109" s="1">
        <f ca="1">IFERROR(__xludf.DUMMYFUNCTION("""COMPUTED_VALUE"""),186)</f>
        <v>186</v>
      </c>
      <c r="R109" s="1">
        <f ca="1">IFERROR(__xludf.DUMMYFUNCTION("""COMPUTED_VALUE"""),106.3)</f>
        <v>106.3</v>
      </c>
      <c r="S109" s="1">
        <f ca="1">IFERROR(__xludf.DUMMYFUNCTION("""COMPUTED_VALUE"""),216)</f>
        <v>216</v>
      </c>
      <c r="T109" s="1">
        <f ca="1">IFERROR(__xludf.DUMMYFUNCTION("""COMPUTED_VALUE"""),-0.4)</f>
        <v>-0.4</v>
      </c>
      <c r="U109" s="1">
        <f ca="1">IFERROR(__xludf.DUMMYFUNCTION("""COMPUTED_VALUE"""),172)</f>
        <v>172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IFERROR(__xludf.DUMMYFUNCTION("""COMPUTED_VALUE"""),"Toledo6")</f>
        <v>Toledo6</v>
      </c>
      <c r="C110" s="1" t="str">
        <f ca="1">IFERROR(__xludf.DUMMYFUNCTION("""COMPUTED_VALUE"""),"MAC")</f>
        <v>MAC</v>
      </c>
      <c r="D110" s="1" t="str">
        <f ca="1">IFERROR(__xludf.DUMMYFUNCTION("""COMPUTED_VALUE"""),"27-7")</f>
        <v>27-7</v>
      </c>
      <c r="E110" s="1" t="str">
        <f ca="1">IFERROR(__xludf.DUMMYFUNCTION("""COMPUTED_VALUE"""),"+5.97")</f>
        <v>+5.97</v>
      </c>
      <c r="F110" s="1">
        <f ca="1">IFERROR(__xludf.DUMMYFUNCTION("""COMPUTED_VALUE"""),115)</f>
        <v>115</v>
      </c>
      <c r="G110" s="1">
        <f ca="1">IFERROR(__xludf.DUMMYFUNCTION("""COMPUTED_VALUE"""),26)</f>
        <v>26</v>
      </c>
      <c r="H110" s="1">
        <f ca="1">IFERROR(__xludf.DUMMYFUNCTION("""COMPUTED_VALUE"""),109.1)</f>
        <v>109.1</v>
      </c>
      <c r="I110" s="1">
        <f ca="1">IFERROR(__xludf.DUMMYFUNCTION("""COMPUTED_VALUE"""),250)</f>
        <v>250</v>
      </c>
      <c r="J110" s="1">
        <f ca="1">IFERROR(__xludf.DUMMYFUNCTION("""COMPUTED_VALUE"""),67)</f>
        <v>67</v>
      </c>
      <c r="K110" s="1">
        <f ca="1">IFERROR(__xludf.DUMMYFUNCTION("""COMPUTED_VALUE"""),65)</f>
        <v>65</v>
      </c>
      <c r="L110" s="1" t="str">
        <f ca="1">IFERROR(__xludf.DUMMYFUNCTION("""COMPUTED_VALUE"""),"+.111")</f>
        <v>+.111</v>
      </c>
      <c r="M110" s="1">
        <f ca="1">IFERROR(__xludf.DUMMYFUNCTION("""COMPUTED_VALUE"""),7)</f>
        <v>7</v>
      </c>
      <c r="N110" s="1">
        <f ca="1">IFERROR(__xludf.DUMMYFUNCTION("""COMPUTED_VALUE"""),-1.65)</f>
        <v>-1.65</v>
      </c>
      <c r="O110" s="1">
        <f ca="1">IFERROR(__xludf.DUMMYFUNCTION("""COMPUTED_VALUE"""),179)</f>
        <v>179</v>
      </c>
      <c r="P110" s="1">
        <f ca="1">IFERROR(__xludf.DUMMYFUNCTION("""COMPUTED_VALUE"""),102.7)</f>
        <v>102.7</v>
      </c>
      <c r="Q110" s="1">
        <f ca="1">IFERROR(__xludf.DUMMYFUNCTION("""COMPUTED_VALUE"""),273)</f>
        <v>273</v>
      </c>
      <c r="R110" s="1">
        <f ca="1">IFERROR(__xludf.DUMMYFUNCTION("""COMPUTED_VALUE"""),104.4)</f>
        <v>104.4</v>
      </c>
      <c r="S110" s="1">
        <f ca="1">IFERROR(__xludf.DUMMYFUNCTION("""COMPUTED_VALUE"""),129)</f>
        <v>129</v>
      </c>
      <c r="T110" s="1">
        <f ca="1">IFERROR(__xludf.DUMMYFUNCTION("""COMPUTED_VALUE"""),-1.68)</f>
        <v>-1.68</v>
      </c>
      <c r="U110" s="1">
        <f ca="1">IFERROR(__xludf.DUMMYFUNCTION("""COMPUTED_VALUE"""),210)</f>
        <v>210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IFERROR(__xludf.DUMMYFUNCTION("""COMPUTED_VALUE"""),"La Salle")</f>
        <v>La Salle</v>
      </c>
      <c r="C111" s="1" t="str">
        <f ca="1">IFERROR(__xludf.DUMMYFUNCTION("""COMPUTED_VALUE"""),"A10")</f>
        <v>A10</v>
      </c>
      <c r="D111" s="1" t="str">
        <f ca="1">IFERROR(__xludf.DUMMYFUNCTION("""COMPUTED_VALUE"""),"15-16")</f>
        <v>15-16</v>
      </c>
      <c r="E111" s="1" t="str">
        <f ca="1">IFERROR(__xludf.DUMMYFUNCTION("""COMPUTED_VALUE"""),"+5.88")</f>
        <v>+5.88</v>
      </c>
      <c r="F111" s="1">
        <f ca="1">IFERROR(__xludf.DUMMYFUNCTION("""COMPUTED_VALUE"""),106.3)</f>
        <v>106.3</v>
      </c>
      <c r="G111" s="1">
        <f ca="1">IFERROR(__xludf.DUMMYFUNCTION("""COMPUTED_VALUE"""),154)</f>
        <v>154</v>
      </c>
      <c r="H111" s="1">
        <f ca="1">IFERROR(__xludf.DUMMYFUNCTION("""COMPUTED_VALUE"""),100.4)</f>
        <v>100.4</v>
      </c>
      <c r="I111" s="1">
        <f ca="1">IFERROR(__xludf.DUMMYFUNCTION("""COMPUTED_VALUE"""),85)</f>
        <v>85</v>
      </c>
      <c r="J111" s="1">
        <f ca="1">IFERROR(__xludf.DUMMYFUNCTION("""COMPUTED_VALUE"""),62.7)</f>
        <v>62.7</v>
      </c>
      <c r="K111" s="1">
        <f ca="1">IFERROR(__xludf.DUMMYFUNCTION("""COMPUTED_VALUE"""),279)</f>
        <v>279</v>
      </c>
      <c r="L111" s="1" t="str">
        <f ca="1">IFERROR(__xludf.DUMMYFUNCTION("""COMPUTED_VALUE"""),"+.002")</f>
        <v>+.002</v>
      </c>
      <c r="M111" s="1">
        <f ca="1">IFERROR(__xludf.DUMMYFUNCTION("""COMPUTED_VALUE"""),183)</f>
        <v>183</v>
      </c>
      <c r="N111" s="1" t="str">
        <f ca="1">IFERROR(__xludf.DUMMYFUNCTION("""COMPUTED_VALUE"""),"+5.92")</f>
        <v>+5.92</v>
      </c>
      <c r="O111" s="1">
        <f ca="1">IFERROR(__xludf.DUMMYFUNCTION("""COMPUTED_VALUE"""),69)</f>
        <v>69</v>
      </c>
      <c r="P111" s="1">
        <f ca="1">IFERROR(__xludf.DUMMYFUNCTION("""COMPUTED_VALUE"""),108)</f>
        <v>108</v>
      </c>
      <c r="Q111" s="1">
        <f ca="1">IFERROR(__xludf.DUMMYFUNCTION("""COMPUTED_VALUE"""),70)</f>
        <v>70</v>
      </c>
      <c r="R111" s="1">
        <f ca="1">IFERROR(__xludf.DUMMYFUNCTION("""COMPUTED_VALUE"""),102.1)</f>
        <v>102.1</v>
      </c>
      <c r="S111" s="1">
        <f ca="1">IFERROR(__xludf.DUMMYFUNCTION("""COMPUTED_VALUE"""),69)</f>
        <v>69</v>
      </c>
      <c r="T111" s="1" t="str">
        <f ca="1">IFERROR(__xludf.DUMMYFUNCTION("""COMPUTED_VALUE"""),"+2.37")</f>
        <v>+2.37</v>
      </c>
      <c r="U111" s="1">
        <f ca="1">IFERROR(__xludf.DUMMYFUNCTION("""COMPUTED_VALUE"""),96)</f>
        <v>96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IFERROR(__xludf.DUMMYFUNCTION("""COMPUTED_VALUE"""),"Delaware13")</f>
        <v>Delaware13</v>
      </c>
      <c r="C112" s="1" t="str">
        <f ca="1">IFERROR(__xludf.DUMMYFUNCTION("""COMPUTED_VALUE"""),"CAA")</f>
        <v>CAA</v>
      </c>
      <c r="D112" s="1" t="str">
        <f ca="1">IFERROR(__xludf.DUMMYFUNCTION("""COMPUTED_VALUE"""),"25-10")</f>
        <v>25-10</v>
      </c>
      <c r="E112" s="1" t="str">
        <f ca="1">IFERROR(__xludf.DUMMYFUNCTION("""COMPUTED_VALUE"""),"+5.83")</f>
        <v>+5.83</v>
      </c>
      <c r="F112" s="1">
        <f ca="1">IFERROR(__xludf.DUMMYFUNCTION("""COMPUTED_VALUE"""),112)</f>
        <v>112</v>
      </c>
      <c r="G112" s="1">
        <f ca="1">IFERROR(__xludf.DUMMYFUNCTION("""COMPUTED_VALUE"""),60)</f>
        <v>60</v>
      </c>
      <c r="H112" s="1">
        <f ca="1">IFERROR(__xludf.DUMMYFUNCTION("""COMPUTED_VALUE"""),106.2)</f>
        <v>106.2</v>
      </c>
      <c r="I112" s="1">
        <f ca="1">IFERROR(__xludf.DUMMYFUNCTION("""COMPUTED_VALUE"""),192)</f>
        <v>192</v>
      </c>
      <c r="J112" s="1">
        <f ca="1">IFERROR(__xludf.DUMMYFUNCTION("""COMPUTED_VALUE"""),70.4)</f>
        <v>70.400000000000006</v>
      </c>
      <c r="K112" s="1">
        <f ca="1">IFERROR(__xludf.DUMMYFUNCTION("""COMPUTED_VALUE"""),10)</f>
        <v>10</v>
      </c>
      <c r="L112" s="1" t="str">
        <f ca="1">IFERROR(__xludf.DUMMYFUNCTION("""COMPUTED_VALUE"""),"+.064")</f>
        <v>+.064</v>
      </c>
      <c r="M112" s="1">
        <f ca="1">IFERROR(__xludf.DUMMYFUNCTION("""COMPUTED_VALUE"""),41)</f>
        <v>41</v>
      </c>
      <c r="N112" s="1">
        <f ca="1">IFERROR(__xludf.DUMMYFUNCTION("""COMPUTED_VALUE"""),-0.68)</f>
        <v>-0.68</v>
      </c>
      <c r="O112" s="1">
        <f ca="1">IFERROR(__xludf.DUMMYFUNCTION("""COMPUTED_VALUE"""),163)</f>
        <v>163</v>
      </c>
      <c r="P112" s="1">
        <f ca="1">IFERROR(__xludf.DUMMYFUNCTION("""COMPUTED_VALUE"""),105.2)</f>
        <v>105.2</v>
      </c>
      <c r="Q112" s="1">
        <f ca="1">IFERROR(__xludf.DUMMYFUNCTION("""COMPUTED_VALUE"""),146)</f>
        <v>146</v>
      </c>
      <c r="R112" s="1">
        <f ca="1">IFERROR(__xludf.DUMMYFUNCTION("""COMPUTED_VALUE"""),105.9)</f>
        <v>105.9</v>
      </c>
      <c r="S112" s="1">
        <f ca="1">IFERROR(__xludf.DUMMYFUNCTION("""COMPUTED_VALUE"""),199)</f>
        <v>199</v>
      </c>
      <c r="T112" s="1" t="str">
        <f ca="1">IFERROR(__xludf.DUMMYFUNCTION("""COMPUTED_VALUE"""),"+2.88")</f>
        <v>+2.88</v>
      </c>
      <c r="U112" s="1">
        <f ca="1">IFERROR(__xludf.DUMMYFUNCTION("""COMPUTED_VALUE"""),80)</f>
        <v>80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IFERROR(__xludf.DUMMYFUNCTION("""COMPUTED_VALUE"""),"Oregon St.")</f>
        <v>Oregon St.</v>
      </c>
      <c r="C113" s="1" t="str">
        <f ca="1">IFERROR(__xludf.DUMMYFUNCTION("""COMPUTED_VALUE"""),"P12")</f>
        <v>P12</v>
      </c>
      <c r="D113" s="1" t="str">
        <f ca="1">IFERROR(__xludf.DUMMYFUNCTION("""COMPUTED_VALUE"""),"16-16")</f>
        <v>16-16</v>
      </c>
      <c r="E113" s="1" t="str">
        <f ca="1">IFERROR(__xludf.DUMMYFUNCTION("""COMPUTED_VALUE"""),"+5.81")</f>
        <v>+5.81</v>
      </c>
      <c r="F113" s="1">
        <f ca="1">IFERROR(__xludf.DUMMYFUNCTION("""COMPUTED_VALUE"""),112.5)</f>
        <v>112.5</v>
      </c>
      <c r="G113" s="1">
        <f ca="1">IFERROR(__xludf.DUMMYFUNCTION("""COMPUTED_VALUE"""),52)</f>
        <v>52</v>
      </c>
      <c r="H113" s="1">
        <f ca="1">IFERROR(__xludf.DUMMYFUNCTION("""COMPUTED_VALUE"""),106.7)</f>
        <v>106.7</v>
      </c>
      <c r="I113" s="1">
        <f ca="1">IFERROR(__xludf.DUMMYFUNCTION("""COMPUTED_VALUE"""),205)</f>
        <v>205</v>
      </c>
      <c r="J113" s="1">
        <f ca="1">IFERROR(__xludf.DUMMYFUNCTION("""COMPUTED_VALUE"""),65.5)</f>
        <v>65.5</v>
      </c>
      <c r="K113" s="1">
        <f ca="1">IFERROR(__xludf.DUMMYFUNCTION("""COMPUTED_VALUE"""),130)</f>
        <v>130</v>
      </c>
      <c r="L113" s="1" t="str">
        <f ca="1">IFERROR(__xludf.DUMMYFUNCTION("""COMPUTED_VALUE"""),"+.005")</f>
        <v>+.005</v>
      </c>
      <c r="M113" s="1">
        <f ca="1">IFERROR(__xludf.DUMMYFUNCTION("""COMPUTED_VALUE"""),173)</f>
        <v>173</v>
      </c>
      <c r="N113" s="1" t="str">
        <f ca="1">IFERROR(__xludf.DUMMYFUNCTION("""COMPUTED_VALUE"""),"+5.78")</f>
        <v>+5.78</v>
      </c>
      <c r="O113" s="1">
        <f ca="1">IFERROR(__xludf.DUMMYFUNCTION("""COMPUTED_VALUE"""),71)</f>
        <v>71</v>
      </c>
      <c r="P113" s="1">
        <f ca="1">IFERROR(__xludf.DUMMYFUNCTION("""COMPUTED_VALUE"""),108.6)</f>
        <v>108.6</v>
      </c>
      <c r="Q113" s="1">
        <f ca="1">IFERROR(__xludf.DUMMYFUNCTION("""COMPUTED_VALUE"""),54)</f>
        <v>54</v>
      </c>
      <c r="R113" s="1">
        <f ca="1">IFERROR(__xludf.DUMMYFUNCTION("""COMPUTED_VALUE"""),102.8)</f>
        <v>102.8</v>
      </c>
      <c r="S113" s="1">
        <f ca="1">IFERROR(__xludf.DUMMYFUNCTION("""COMPUTED_VALUE"""),95)</f>
        <v>95</v>
      </c>
      <c r="T113" s="1">
        <f ca="1">IFERROR(__xludf.DUMMYFUNCTION("""COMPUTED_VALUE"""),-4.96)</f>
        <v>-4.96</v>
      </c>
      <c r="U113" s="1">
        <f ca="1">IFERROR(__xludf.DUMMYFUNCTION("""COMPUTED_VALUE"""),302)</f>
        <v>302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IFERROR(__xludf.DUMMYFUNCTION("""COMPUTED_VALUE"""),"Indiana St.6")</f>
        <v>Indiana St.6</v>
      </c>
      <c r="C114" s="1" t="str">
        <f ca="1">IFERROR(__xludf.DUMMYFUNCTION("""COMPUTED_VALUE"""),"MVC")</f>
        <v>MVC</v>
      </c>
      <c r="D114" s="1" t="str">
        <f ca="1">IFERROR(__xludf.DUMMYFUNCTION("""COMPUTED_VALUE"""),"23-11")</f>
        <v>23-11</v>
      </c>
      <c r="E114" s="1" t="str">
        <f ca="1">IFERROR(__xludf.DUMMYFUNCTION("""COMPUTED_VALUE"""),"+5.61")</f>
        <v>+5.61</v>
      </c>
      <c r="F114" s="1">
        <f ca="1">IFERROR(__xludf.DUMMYFUNCTION("""COMPUTED_VALUE"""),106.8)</f>
        <v>106.8</v>
      </c>
      <c r="G114" s="1">
        <f ca="1">IFERROR(__xludf.DUMMYFUNCTION("""COMPUTED_VALUE"""),140)</f>
        <v>140</v>
      </c>
      <c r="H114" s="1">
        <f ca="1">IFERROR(__xludf.DUMMYFUNCTION("""COMPUTED_VALUE"""),101.2)</f>
        <v>101.2</v>
      </c>
      <c r="I114" s="1">
        <f ca="1">IFERROR(__xludf.DUMMYFUNCTION("""COMPUTED_VALUE"""),100)</f>
        <v>100</v>
      </c>
      <c r="J114" s="1">
        <f ca="1">IFERROR(__xludf.DUMMYFUNCTION("""COMPUTED_VALUE"""),65.3)</f>
        <v>65.3</v>
      </c>
      <c r="K114" s="1">
        <f ca="1">IFERROR(__xludf.DUMMYFUNCTION("""COMPUTED_VALUE"""),146)</f>
        <v>146</v>
      </c>
      <c r="L114" s="1" t="str">
        <f ca="1">IFERROR(__xludf.DUMMYFUNCTION("""COMPUTED_VALUE"""),"+.082")</f>
        <v>+.082</v>
      </c>
      <c r="M114" s="1">
        <f ca="1">IFERROR(__xludf.DUMMYFUNCTION("""COMPUTED_VALUE"""),21)</f>
        <v>21</v>
      </c>
      <c r="N114" s="1" t="str">
        <f ca="1">IFERROR(__xludf.DUMMYFUNCTION("""COMPUTED_VALUE"""),"+1.65")</f>
        <v>+1.65</v>
      </c>
      <c r="O114" s="1">
        <f ca="1">IFERROR(__xludf.DUMMYFUNCTION("""COMPUTED_VALUE"""),118)</f>
        <v>118</v>
      </c>
      <c r="P114" s="1">
        <f ca="1">IFERROR(__xludf.DUMMYFUNCTION("""COMPUTED_VALUE"""),106)</f>
        <v>106</v>
      </c>
      <c r="Q114" s="1">
        <f ca="1">IFERROR(__xludf.DUMMYFUNCTION("""COMPUTED_VALUE"""),113)</f>
        <v>113</v>
      </c>
      <c r="R114" s="1">
        <f ca="1">IFERROR(__xludf.DUMMYFUNCTION("""COMPUTED_VALUE"""),104.4)</f>
        <v>104.4</v>
      </c>
      <c r="S114" s="1">
        <f ca="1">IFERROR(__xludf.DUMMYFUNCTION("""COMPUTED_VALUE"""),130)</f>
        <v>130</v>
      </c>
      <c r="T114" s="1" t="str">
        <f ca="1">IFERROR(__xludf.DUMMYFUNCTION("""COMPUTED_VALUE"""),"+0.23")</f>
        <v>+0.23</v>
      </c>
      <c r="U114" s="1">
        <f ca="1">IFERROR(__xludf.DUMMYFUNCTION("""COMPUTED_VALUE"""),153)</f>
        <v>153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IFERROR(__xludf.DUMMYFUNCTION("""COMPUTED_VALUE"""),"Vanderbilt")</f>
        <v>Vanderbilt</v>
      </c>
      <c r="C115" s="1" t="str">
        <f ca="1">IFERROR(__xludf.DUMMYFUNCTION("""COMPUTED_VALUE"""),"SEC")</f>
        <v>SEC</v>
      </c>
      <c r="D115" s="1" t="str">
        <f ca="1">IFERROR(__xludf.DUMMYFUNCTION("""COMPUTED_VALUE"""),"15-16")</f>
        <v>15-16</v>
      </c>
      <c r="E115" s="1" t="str">
        <f ca="1">IFERROR(__xludf.DUMMYFUNCTION("""COMPUTED_VALUE"""),"+5.49")</f>
        <v>+5.49</v>
      </c>
      <c r="F115" s="1">
        <f ca="1">IFERROR(__xludf.DUMMYFUNCTION("""COMPUTED_VALUE"""),104.1)</f>
        <v>104.1</v>
      </c>
      <c r="G115" s="1">
        <f ca="1">IFERROR(__xludf.DUMMYFUNCTION("""COMPUTED_VALUE"""),196)</f>
        <v>196</v>
      </c>
      <c r="H115" s="1">
        <f ca="1">IFERROR(__xludf.DUMMYFUNCTION("""COMPUTED_VALUE"""),98.6)</f>
        <v>98.6</v>
      </c>
      <c r="I115" s="1">
        <f ca="1">IFERROR(__xludf.DUMMYFUNCTION("""COMPUTED_VALUE"""),59)</f>
        <v>59</v>
      </c>
      <c r="J115" s="1">
        <f ca="1">IFERROR(__xludf.DUMMYFUNCTION("""COMPUTED_VALUE"""),61.9)</f>
        <v>61.9</v>
      </c>
      <c r="K115" s="1">
        <f ca="1">IFERROR(__xludf.DUMMYFUNCTION("""COMPUTED_VALUE"""),302)</f>
        <v>302</v>
      </c>
      <c r="L115" s="1" t="str">
        <f ca="1">IFERROR(__xludf.DUMMYFUNCTION("""COMPUTED_VALUE"""),"+.019")</f>
        <v>+.019</v>
      </c>
      <c r="M115" s="1">
        <f ca="1">IFERROR(__xludf.DUMMYFUNCTION("""COMPUTED_VALUE"""),134)</f>
        <v>134</v>
      </c>
      <c r="N115" s="1" t="str">
        <f ca="1">IFERROR(__xludf.DUMMYFUNCTION("""COMPUTED_VALUE"""),"+6.14")</f>
        <v>+6.14</v>
      </c>
      <c r="O115" s="1">
        <f ca="1">IFERROR(__xludf.DUMMYFUNCTION("""COMPUTED_VALUE"""),65)</f>
        <v>65</v>
      </c>
      <c r="P115" s="1">
        <f ca="1">IFERROR(__xludf.DUMMYFUNCTION("""COMPUTED_VALUE"""),107.6)</f>
        <v>107.6</v>
      </c>
      <c r="Q115" s="1">
        <f ca="1">IFERROR(__xludf.DUMMYFUNCTION("""COMPUTED_VALUE"""),82)</f>
        <v>82</v>
      </c>
      <c r="R115" s="1">
        <f ca="1">IFERROR(__xludf.DUMMYFUNCTION("""COMPUTED_VALUE"""),101.4)</f>
        <v>101.4</v>
      </c>
      <c r="S115" s="1">
        <f ca="1">IFERROR(__xludf.DUMMYFUNCTION("""COMPUTED_VALUE"""),52)</f>
        <v>52</v>
      </c>
      <c r="T115" s="1">
        <f ca="1">IFERROR(__xludf.DUMMYFUNCTION("""COMPUTED_VALUE"""),-0.88)</f>
        <v>-0.88</v>
      </c>
      <c r="U115" s="1">
        <f ca="1">IFERROR(__xludf.DUMMYFUNCTION("""COMPUTED_VALUE"""),187)</f>
        <v>187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IFERROR(__xludf.DUMMYFUNCTION("""COMPUTED_VALUE"""),"Texas A&amp;M")</f>
        <v>Texas A&amp;M</v>
      </c>
      <c r="C116" s="1" t="str">
        <f ca="1">IFERROR(__xludf.DUMMYFUNCTION("""COMPUTED_VALUE"""),"SEC")</f>
        <v>SEC</v>
      </c>
      <c r="D116" s="1" t="str">
        <f ca="1">IFERROR(__xludf.DUMMYFUNCTION("""COMPUTED_VALUE"""),"18-16")</f>
        <v>18-16</v>
      </c>
      <c r="E116" s="1" t="str">
        <f ca="1">IFERROR(__xludf.DUMMYFUNCTION("""COMPUTED_VALUE"""),"+5.41")</f>
        <v>+5.41</v>
      </c>
      <c r="F116" s="1">
        <f ca="1">IFERROR(__xludf.DUMMYFUNCTION("""COMPUTED_VALUE"""),101.4)</f>
        <v>101.4</v>
      </c>
      <c r="G116" s="1">
        <f ca="1">IFERROR(__xludf.DUMMYFUNCTION("""COMPUTED_VALUE"""),239)</f>
        <v>239</v>
      </c>
      <c r="H116" s="1">
        <f ca="1">IFERROR(__xludf.DUMMYFUNCTION("""COMPUTED_VALUE"""),95.9)</f>
        <v>95.9</v>
      </c>
      <c r="I116" s="1">
        <f ca="1">IFERROR(__xludf.DUMMYFUNCTION("""COMPUTED_VALUE"""),34)</f>
        <v>34</v>
      </c>
      <c r="J116" s="1">
        <f ca="1">IFERROR(__xludf.DUMMYFUNCTION("""COMPUTED_VALUE"""),61.8)</f>
        <v>61.8</v>
      </c>
      <c r="K116" s="1">
        <f ca="1">IFERROR(__xludf.DUMMYFUNCTION("""COMPUTED_VALUE"""),311)</f>
        <v>311</v>
      </c>
      <c r="L116" s="1">
        <f ca="1">IFERROR(__xludf.DUMMYFUNCTION("""COMPUTED_VALUE"""),-0.013)</f>
        <v>-1.2999999999999999E-2</v>
      </c>
      <c r="M116" s="1">
        <f ca="1">IFERROR(__xludf.DUMMYFUNCTION("""COMPUTED_VALUE"""),211)</f>
        <v>211</v>
      </c>
      <c r="N116" s="1" t="str">
        <f ca="1">IFERROR(__xludf.DUMMYFUNCTION("""COMPUTED_VALUE"""),"+2.04")</f>
        <v>+2.04</v>
      </c>
      <c r="O116" s="1">
        <f ca="1">IFERROR(__xludf.DUMMYFUNCTION("""COMPUTED_VALUE"""),113)</f>
        <v>113</v>
      </c>
      <c r="P116" s="1">
        <f ca="1">IFERROR(__xludf.DUMMYFUNCTION("""COMPUTED_VALUE"""),105.5)</f>
        <v>105.5</v>
      </c>
      <c r="Q116" s="1">
        <f ca="1">IFERROR(__xludf.DUMMYFUNCTION("""COMPUTED_VALUE"""),129)</f>
        <v>129</v>
      </c>
      <c r="R116" s="1">
        <f ca="1">IFERROR(__xludf.DUMMYFUNCTION("""COMPUTED_VALUE"""),103.5)</f>
        <v>103.5</v>
      </c>
      <c r="S116" s="1">
        <f ca="1">IFERROR(__xludf.DUMMYFUNCTION("""COMPUTED_VALUE"""),101)</f>
        <v>101</v>
      </c>
      <c r="T116" s="1">
        <f ca="1">IFERROR(__xludf.DUMMYFUNCTION("""COMPUTED_VALUE"""),-10.94)</f>
        <v>-10.94</v>
      </c>
      <c r="U116" s="1">
        <f ca="1">IFERROR(__xludf.DUMMYFUNCTION("""COMPUTED_VALUE"""),349)</f>
        <v>349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IFERROR(__xludf.DUMMYFUNCTION("""COMPUTED_VALUE"""),"Portland")</f>
        <v>Portland</v>
      </c>
      <c r="C117" s="1" t="str">
        <f ca="1">IFERROR(__xludf.DUMMYFUNCTION("""COMPUTED_VALUE"""),"WCC")</f>
        <v>WCC</v>
      </c>
      <c r="D117" s="1" t="str">
        <f ca="1">IFERROR(__xludf.DUMMYFUNCTION("""COMPUTED_VALUE"""),"15-16")</f>
        <v>15-16</v>
      </c>
      <c r="E117" s="1" t="str">
        <f ca="1">IFERROR(__xludf.DUMMYFUNCTION("""COMPUTED_VALUE"""),"+5.40")</f>
        <v>+5.40</v>
      </c>
      <c r="F117" s="1">
        <f ca="1">IFERROR(__xludf.DUMMYFUNCTION("""COMPUTED_VALUE"""),109.2)</f>
        <v>109.2</v>
      </c>
      <c r="G117" s="1">
        <f ca="1">IFERROR(__xludf.DUMMYFUNCTION("""COMPUTED_VALUE"""),104)</f>
        <v>104</v>
      </c>
      <c r="H117" s="1">
        <f ca="1">IFERROR(__xludf.DUMMYFUNCTION("""COMPUTED_VALUE"""),103.8)</f>
        <v>103.8</v>
      </c>
      <c r="I117" s="1">
        <f ca="1">IFERROR(__xludf.DUMMYFUNCTION("""COMPUTED_VALUE"""),147)</f>
        <v>147</v>
      </c>
      <c r="J117" s="1">
        <f ca="1">IFERROR(__xludf.DUMMYFUNCTION("""COMPUTED_VALUE"""),64.9)</f>
        <v>64.900000000000006</v>
      </c>
      <c r="K117" s="1">
        <f ca="1">IFERROR(__xludf.DUMMYFUNCTION("""COMPUTED_VALUE"""),164)</f>
        <v>164</v>
      </c>
      <c r="L117" s="1">
        <f ca="1">IFERROR(__xludf.DUMMYFUNCTION("""COMPUTED_VALUE"""),-0.11)</f>
        <v>-0.11</v>
      </c>
      <c r="M117" s="1">
        <f ca="1">IFERROR(__xludf.DUMMYFUNCTION("""COMPUTED_VALUE"""),344)</f>
        <v>344</v>
      </c>
      <c r="N117" s="1" t="str">
        <f ca="1">IFERROR(__xludf.DUMMYFUNCTION("""COMPUTED_VALUE"""),"+0.79")</f>
        <v>+0.79</v>
      </c>
      <c r="O117" s="1">
        <f ca="1">IFERROR(__xludf.DUMMYFUNCTION("""COMPUTED_VALUE"""),131)</f>
        <v>131</v>
      </c>
      <c r="P117" s="1">
        <f ca="1">IFERROR(__xludf.DUMMYFUNCTION("""COMPUTED_VALUE"""),106.3)</f>
        <v>106.3</v>
      </c>
      <c r="Q117" s="1">
        <f ca="1">IFERROR(__xludf.DUMMYFUNCTION("""COMPUTED_VALUE"""),107)</f>
        <v>107</v>
      </c>
      <c r="R117" s="1">
        <f ca="1">IFERROR(__xludf.DUMMYFUNCTION("""COMPUTED_VALUE"""),105.5)</f>
        <v>105.5</v>
      </c>
      <c r="S117" s="1">
        <f ca="1">IFERROR(__xludf.DUMMYFUNCTION("""COMPUTED_VALUE"""),179)</f>
        <v>179</v>
      </c>
      <c r="T117" s="1">
        <f ca="1">IFERROR(__xludf.DUMMYFUNCTION("""COMPUTED_VALUE"""),-8.19)</f>
        <v>-8.19</v>
      </c>
      <c r="U117" s="1">
        <f ca="1">IFERROR(__xludf.DUMMYFUNCTION("""COMPUTED_VALUE"""),339)</f>
        <v>339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IFERROR(__xludf.DUMMYFUNCTION("""COMPUTED_VALUE"""),"South Carolina")</f>
        <v>South Carolina</v>
      </c>
      <c r="C118" s="1" t="str">
        <f ca="1">IFERROR(__xludf.DUMMYFUNCTION("""COMPUTED_VALUE"""),"SEC")</f>
        <v>SEC</v>
      </c>
      <c r="D118" s="1" t="str">
        <f ca="1">IFERROR(__xludf.DUMMYFUNCTION("""COMPUTED_VALUE"""),"14-20")</f>
        <v>14-20</v>
      </c>
      <c r="E118" s="1" t="str">
        <f ca="1">IFERROR(__xludf.DUMMYFUNCTION("""COMPUTED_VALUE"""),"+5.30")</f>
        <v>+5.30</v>
      </c>
      <c r="F118" s="1">
        <f ca="1">IFERROR(__xludf.DUMMYFUNCTION("""COMPUTED_VALUE"""),107.5)</f>
        <v>107.5</v>
      </c>
      <c r="G118" s="1">
        <f ca="1">IFERROR(__xludf.DUMMYFUNCTION("""COMPUTED_VALUE"""),131)</f>
        <v>131</v>
      </c>
      <c r="H118" s="1">
        <f ca="1">IFERROR(__xludf.DUMMYFUNCTION("""COMPUTED_VALUE"""),102.2)</f>
        <v>102.2</v>
      </c>
      <c r="I118" s="1">
        <f ca="1">IFERROR(__xludf.DUMMYFUNCTION("""COMPUTED_VALUE"""),115)</f>
        <v>115</v>
      </c>
      <c r="J118" s="1">
        <f ca="1">IFERROR(__xludf.DUMMYFUNCTION("""COMPUTED_VALUE"""),65.4)</f>
        <v>65.400000000000006</v>
      </c>
      <c r="K118" s="1">
        <f ca="1">IFERROR(__xludf.DUMMYFUNCTION("""COMPUTED_VALUE"""),134)</f>
        <v>134</v>
      </c>
      <c r="L118" s="1">
        <f ca="1">IFERROR(__xludf.DUMMYFUNCTION("""COMPUTED_VALUE"""),-0.052)</f>
        <v>-5.1999999999999998E-2</v>
      </c>
      <c r="M118" s="1">
        <f ca="1">IFERROR(__xludf.DUMMYFUNCTION("""COMPUTED_VALUE"""),298)</f>
        <v>298</v>
      </c>
      <c r="N118" s="1" t="str">
        <f ca="1">IFERROR(__xludf.DUMMYFUNCTION("""COMPUTED_VALUE"""),"+7.36")</f>
        <v>+7.36</v>
      </c>
      <c r="O118" s="1">
        <f ca="1">IFERROR(__xludf.DUMMYFUNCTION("""COMPUTED_VALUE"""),51)</f>
        <v>51</v>
      </c>
      <c r="P118" s="1">
        <f ca="1">IFERROR(__xludf.DUMMYFUNCTION("""COMPUTED_VALUE"""),108.3)</f>
        <v>108.3</v>
      </c>
      <c r="Q118" s="1">
        <f ca="1">IFERROR(__xludf.DUMMYFUNCTION("""COMPUTED_VALUE"""),65)</f>
        <v>65</v>
      </c>
      <c r="R118" s="1">
        <f ca="1">IFERROR(__xludf.DUMMYFUNCTION("""COMPUTED_VALUE"""),100.9)</f>
        <v>100.9</v>
      </c>
      <c r="S118" s="1">
        <f ca="1">IFERROR(__xludf.DUMMYFUNCTION("""COMPUTED_VALUE"""),34)</f>
        <v>34</v>
      </c>
      <c r="T118" s="1" t="str">
        <f ca="1">IFERROR(__xludf.DUMMYFUNCTION("""COMPUTED_VALUE"""),"+0.34")</f>
        <v>+0.34</v>
      </c>
      <c r="U118" s="1">
        <f ca="1">IFERROR(__xludf.DUMMYFUNCTION("""COMPUTED_VALUE"""),151)</f>
        <v>151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IFERROR(__xludf.DUMMYFUNCTION("""COMPUTED_VALUE"""),"Louisiana Lafayette14")</f>
        <v>Louisiana Lafayette14</v>
      </c>
      <c r="C119" s="1" t="str">
        <f ca="1">IFERROR(__xludf.DUMMYFUNCTION("""COMPUTED_VALUE"""),"SB")</f>
        <v>SB</v>
      </c>
      <c r="D119" s="1" t="str">
        <f ca="1">IFERROR(__xludf.DUMMYFUNCTION("""COMPUTED_VALUE"""),"23-12")</f>
        <v>23-12</v>
      </c>
      <c r="E119" s="1" t="str">
        <f ca="1">IFERROR(__xludf.DUMMYFUNCTION("""COMPUTED_VALUE"""),"+5.19")</f>
        <v>+5.19</v>
      </c>
      <c r="F119" s="1">
        <f ca="1">IFERROR(__xludf.DUMMYFUNCTION("""COMPUTED_VALUE"""),110.2)</f>
        <v>110.2</v>
      </c>
      <c r="G119" s="1">
        <f ca="1">IFERROR(__xludf.DUMMYFUNCTION("""COMPUTED_VALUE"""),89)</f>
        <v>89</v>
      </c>
      <c r="H119" s="1">
        <f ca="1">IFERROR(__xludf.DUMMYFUNCTION("""COMPUTED_VALUE"""),105)</f>
        <v>105</v>
      </c>
      <c r="I119" s="1">
        <f ca="1">IFERROR(__xludf.DUMMYFUNCTION("""COMPUTED_VALUE"""),167)</f>
        <v>167</v>
      </c>
      <c r="J119" s="1">
        <f ca="1">IFERROR(__xludf.DUMMYFUNCTION("""COMPUTED_VALUE"""),68.5)</f>
        <v>68.5</v>
      </c>
      <c r="K119" s="1">
        <f ca="1">IFERROR(__xludf.DUMMYFUNCTION("""COMPUTED_VALUE"""),31)</f>
        <v>31</v>
      </c>
      <c r="L119" s="1" t="str">
        <f ca="1">IFERROR(__xludf.DUMMYFUNCTION("""COMPUTED_VALUE"""),"+.038")</f>
        <v>+.038</v>
      </c>
      <c r="M119" s="1">
        <f ca="1">IFERROR(__xludf.DUMMYFUNCTION("""COMPUTED_VALUE"""),91)</f>
        <v>91</v>
      </c>
      <c r="N119" s="1">
        <f ca="1">IFERROR(__xludf.DUMMYFUNCTION("""COMPUTED_VALUE"""),-0.57)</f>
        <v>-0.56999999999999995</v>
      </c>
      <c r="O119" s="1">
        <f ca="1">IFERROR(__xludf.DUMMYFUNCTION("""COMPUTED_VALUE"""),161)</f>
        <v>161</v>
      </c>
      <c r="P119" s="1">
        <f ca="1">IFERROR(__xludf.DUMMYFUNCTION("""COMPUTED_VALUE"""),105)</f>
        <v>105</v>
      </c>
      <c r="Q119" s="1">
        <f ca="1">IFERROR(__xludf.DUMMYFUNCTION("""COMPUTED_VALUE"""),150)</f>
        <v>150</v>
      </c>
      <c r="R119" s="1">
        <f ca="1">IFERROR(__xludf.DUMMYFUNCTION("""COMPUTED_VALUE"""),105.6)</f>
        <v>105.6</v>
      </c>
      <c r="S119" s="1">
        <f ca="1">IFERROR(__xludf.DUMMYFUNCTION("""COMPUTED_VALUE"""),181)</f>
        <v>181</v>
      </c>
      <c r="T119" s="1" t="str">
        <f ca="1">IFERROR(__xludf.DUMMYFUNCTION("""COMPUTED_VALUE"""),"+4.65")</f>
        <v>+4.65</v>
      </c>
      <c r="U119" s="1">
        <f ca="1">IFERROR(__xludf.DUMMYFUNCTION("""COMPUTED_VALUE"""),55)</f>
        <v>55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IFERROR(__xludf.DUMMYFUNCTION("""COMPUTED_VALUE"""),"Georgia Tech")</f>
        <v>Georgia Tech</v>
      </c>
      <c r="C120" s="1" t="str">
        <f ca="1">IFERROR(__xludf.DUMMYFUNCTION("""COMPUTED_VALUE"""),"ACC")</f>
        <v>ACC</v>
      </c>
      <c r="D120" s="1" t="str">
        <f ca="1">IFERROR(__xludf.DUMMYFUNCTION("""COMPUTED_VALUE"""),"16-17")</f>
        <v>16-17</v>
      </c>
      <c r="E120" s="1" t="str">
        <f ca="1">IFERROR(__xludf.DUMMYFUNCTION("""COMPUTED_VALUE"""),"+5.17")</f>
        <v>+5.17</v>
      </c>
      <c r="F120" s="1">
        <f ca="1">IFERROR(__xludf.DUMMYFUNCTION("""COMPUTED_VALUE"""),104.8)</f>
        <v>104.8</v>
      </c>
      <c r="G120" s="1">
        <f ca="1">IFERROR(__xludf.DUMMYFUNCTION("""COMPUTED_VALUE"""),187)</f>
        <v>187</v>
      </c>
      <c r="H120" s="1">
        <f ca="1">IFERROR(__xludf.DUMMYFUNCTION("""COMPUTED_VALUE"""),99.6)</f>
        <v>99.6</v>
      </c>
      <c r="I120" s="1">
        <f ca="1">IFERROR(__xludf.DUMMYFUNCTION("""COMPUTED_VALUE"""),73)</f>
        <v>73</v>
      </c>
      <c r="J120" s="1">
        <f ca="1">IFERROR(__xludf.DUMMYFUNCTION("""COMPUTED_VALUE"""),64.2)</f>
        <v>64.2</v>
      </c>
      <c r="K120" s="1">
        <f ca="1">IFERROR(__xludf.DUMMYFUNCTION("""COMPUTED_VALUE"""),205)</f>
        <v>205</v>
      </c>
      <c r="L120" s="1">
        <f ca="1">IFERROR(__xludf.DUMMYFUNCTION("""COMPUTED_VALUE"""),-0.002)</f>
        <v>-2E-3</v>
      </c>
      <c r="M120" s="1">
        <f ca="1">IFERROR(__xludf.DUMMYFUNCTION("""COMPUTED_VALUE"""),189)</f>
        <v>189</v>
      </c>
      <c r="N120" s="1" t="str">
        <f ca="1">IFERROR(__xludf.DUMMYFUNCTION("""COMPUTED_VALUE"""),"+6.28")</f>
        <v>+6.28</v>
      </c>
      <c r="O120" s="1">
        <f ca="1">IFERROR(__xludf.DUMMYFUNCTION("""COMPUTED_VALUE"""),62)</f>
        <v>62</v>
      </c>
      <c r="P120" s="1">
        <f ca="1">IFERROR(__xludf.DUMMYFUNCTION("""COMPUTED_VALUE"""),108.5)</f>
        <v>108.5</v>
      </c>
      <c r="Q120" s="1">
        <f ca="1">IFERROR(__xludf.DUMMYFUNCTION("""COMPUTED_VALUE"""),57)</f>
        <v>57</v>
      </c>
      <c r="R120" s="1">
        <f ca="1">IFERROR(__xludf.DUMMYFUNCTION("""COMPUTED_VALUE"""),102.2)</f>
        <v>102.2</v>
      </c>
      <c r="S120" s="1">
        <f ca="1">IFERROR(__xludf.DUMMYFUNCTION("""COMPUTED_VALUE"""),76)</f>
        <v>76</v>
      </c>
      <c r="T120" s="1">
        <f ca="1">IFERROR(__xludf.DUMMYFUNCTION("""COMPUTED_VALUE"""),-5.68)</f>
        <v>-5.68</v>
      </c>
      <c r="U120" s="1">
        <f ca="1">IFERROR(__xludf.DUMMYFUNCTION("""COMPUTED_VALUE"""),312)</f>
        <v>312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IFERROR(__xludf.DUMMYFUNCTION("""COMPUTED_VALUE"""),"Rhode Island")</f>
        <v>Rhode Island</v>
      </c>
      <c r="C121" s="1" t="str">
        <f ca="1">IFERROR(__xludf.DUMMYFUNCTION("""COMPUTED_VALUE"""),"A10")</f>
        <v>A10</v>
      </c>
      <c r="D121" s="1" t="str">
        <f ca="1">IFERROR(__xludf.DUMMYFUNCTION("""COMPUTED_VALUE"""),"14-18")</f>
        <v>14-18</v>
      </c>
      <c r="E121" s="1" t="str">
        <f ca="1">IFERROR(__xludf.DUMMYFUNCTION("""COMPUTED_VALUE"""),"+5.06")</f>
        <v>+5.06</v>
      </c>
      <c r="F121" s="1">
        <f ca="1">IFERROR(__xludf.DUMMYFUNCTION("""COMPUTED_VALUE"""),104.4)</f>
        <v>104.4</v>
      </c>
      <c r="G121" s="1">
        <f ca="1">IFERROR(__xludf.DUMMYFUNCTION("""COMPUTED_VALUE"""),192)</f>
        <v>192</v>
      </c>
      <c r="H121" s="1">
        <f ca="1">IFERROR(__xludf.DUMMYFUNCTION("""COMPUTED_VALUE"""),99.3)</f>
        <v>99.3</v>
      </c>
      <c r="I121" s="1">
        <f ca="1">IFERROR(__xludf.DUMMYFUNCTION("""COMPUTED_VALUE"""),67)</f>
        <v>67</v>
      </c>
      <c r="J121" s="1">
        <f ca="1">IFERROR(__xludf.DUMMYFUNCTION("""COMPUTED_VALUE"""),64.1)</f>
        <v>64.099999999999994</v>
      </c>
      <c r="K121" s="1">
        <f ca="1">IFERROR(__xludf.DUMMYFUNCTION("""COMPUTED_VALUE"""),213)</f>
        <v>213</v>
      </c>
      <c r="L121" s="1">
        <f ca="1">IFERROR(__xludf.DUMMYFUNCTION("""COMPUTED_VALUE"""),-0.067)</f>
        <v>-6.7000000000000004E-2</v>
      </c>
      <c r="M121" s="1">
        <f ca="1">IFERROR(__xludf.DUMMYFUNCTION("""COMPUTED_VALUE"""),322)</f>
        <v>322</v>
      </c>
      <c r="N121" s="1" t="str">
        <f ca="1">IFERROR(__xludf.DUMMYFUNCTION("""COMPUTED_VALUE"""),"+4.82")</f>
        <v>+4.82</v>
      </c>
      <c r="O121" s="1">
        <f ca="1">IFERROR(__xludf.DUMMYFUNCTION("""COMPUTED_VALUE"""),89)</f>
        <v>89</v>
      </c>
      <c r="P121" s="1">
        <f ca="1">IFERROR(__xludf.DUMMYFUNCTION("""COMPUTED_VALUE"""),106.8)</f>
        <v>106.8</v>
      </c>
      <c r="Q121" s="1">
        <f ca="1">IFERROR(__xludf.DUMMYFUNCTION("""COMPUTED_VALUE"""),104)</f>
        <v>104</v>
      </c>
      <c r="R121" s="1">
        <f ca="1">IFERROR(__xludf.DUMMYFUNCTION("""COMPUTED_VALUE"""),102)</f>
        <v>102</v>
      </c>
      <c r="S121" s="1">
        <f ca="1">IFERROR(__xludf.DUMMYFUNCTION("""COMPUTED_VALUE"""),65)</f>
        <v>65</v>
      </c>
      <c r="T121" s="1">
        <f ca="1">IFERROR(__xludf.DUMMYFUNCTION("""COMPUTED_VALUE"""),-2.59)</f>
        <v>-2.59</v>
      </c>
      <c r="U121" s="1">
        <f ca="1">IFERROR(__xludf.DUMMYFUNCTION("""COMPUTED_VALUE"""),233)</f>
        <v>233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IFERROR(__xludf.DUMMYFUNCTION("""COMPUTED_VALUE"""),"Fresno St.")</f>
        <v>Fresno St.</v>
      </c>
      <c r="C122" s="1" t="str">
        <f ca="1">IFERROR(__xludf.DUMMYFUNCTION("""COMPUTED_VALUE"""),"MWC")</f>
        <v>MWC</v>
      </c>
      <c r="D122" s="1" t="str">
        <f ca="1">IFERROR(__xludf.DUMMYFUNCTION("""COMPUTED_VALUE"""),"21-18")</f>
        <v>21-18</v>
      </c>
      <c r="E122" s="1" t="str">
        <f ca="1">IFERROR(__xludf.DUMMYFUNCTION("""COMPUTED_VALUE"""),"+5.05")</f>
        <v>+5.05</v>
      </c>
      <c r="F122" s="1">
        <f ca="1">IFERROR(__xludf.DUMMYFUNCTION("""COMPUTED_VALUE"""),110.2)</f>
        <v>110.2</v>
      </c>
      <c r="G122" s="1">
        <f ca="1">IFERROR(__xludf.DUMMYFUNCTION("""COMPUTED_VALUE"""),88)</f>
        <v>88</v>
      </c>
      <c r="H122" s="1">
        <f ca="1">IFERROR(__xludf.DUMMYFUNCTION("""COMPUTED_VALUE"""),105.2)</f>
        <v>105.2</v>
      </c>
      <c r="I122" s="1">
        <f ca="1">IFERROR(__xludf.DUMMYFUNCTION("""COMPUTED_VALUE"""),170)</f>
        <v>170</v>
      </c>
      <c r="J122" s="1">
        <f ca="1">IFERROR(__xludf.DUMMYFUNCTION("""COMPUTED_VALUE"""),65.7)</f>
        <v>65.7</v>
      </c>
      <c r="K122" s="1">
        <f ca="1">IFERROR(__xludf.DUMMYFUNCTION("""COMPUTED_VALUE"""),118)</f>
        <v>118</v>
      </c>
      <c r="L122" s="1" t="str">
        <f ca="1">IFERROR(__xludf.DUMMYFUNCTION("""COMPUTED_VALUE"""),"+.013")</f>
        <v>+.013</v>
      </c>
      <c r="M122" s="1">
        <f ca="1">IFERROR(__xludf.DUMMYFUNCTION("""COMPUTED_VALUE"""),153)</f>
        <v>153</v>
      </c>
      <c r="N122" s="1" t="str">
        <f ca="1">IFERROR(__xludf.DUMMYFUNCTION("""COMPUTED_VALUE"""),"+3.86")</f>
        <v>+3.86</v>
      </c>
      <c r="O122" s="1">
        <f ca="1">IFERROR(__xludf.DUMMYFUNCTION("""COMPUTED_VALUE"""),101)</f>
        <v>101</v>
      </c>
      <c r="P122" s="1">
        <f ca="1">IFERROR(__xludf.DUMMYFUNCTION("""COMPUTED_VALUE"""),106.2)</f>
        <v>106.2</v>
      </c>
      <c r="Q122" s="1">
        <f ca="1">IFERROR(__xludf.DUMMYFUNCTION("""COMPUTED_VALUE"""),110)</f>
        <v>110</v>
      </c>
      <c r="R122" s="1">
        <f ca="1">IFERROR(__xludf.DUMMYFUNCTION("""COMPUTED_VALUE"""),102.3)</f>
        <v>102.3</v>
      </c>
      <c r="S122" s="1">
        <f ca="1">IFERROR(__xludf.DUMMYFUNCTION("""COMPUTED_VALUE"""),82)</f>
        <v>82</v>
      </c>
      <c r="T122" s="1" t="str">
        <f ca="1">IFERROR(__xludf.DUMMYFUNCTION("""COMPUTED_VALUE"""),"+5.20")</f>
        <v>+5.20</v>
      </c>
      <c r="U122" s="1">
        <f ca="1">IFERROR(__xludf.DUMMYFUNCTION("""COMPUTED_VALUE"""),45)</f>
        <v>45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IFERROR(__xludf.DUMMYFUNCTION("""COMPUTED_VALUE"""),"Wake Forest")</f>
        <v>Wake Forest</v>
      </c>
      <c r="C123" s="1" t="str">
        <f ca="1">IFERROR(__xludf.DUMMYFUNCTION("""COMPUTED_VALUE"""),"ACC")</f>
        <v>ACC</v>
      </c>
      <c r="D123" s="1" t="str">
        <f ca="1">IFERROR(__xludf.DUMMYFUNCTION("""COMPUTED_VALUE"""),"17-16")</f>
        <v>17-16</v>
      </c>
      <c r="E123" s="1" t="str">
        <f ca="1">IFERROR(__xludf.DUMMYFUNCTION("""COMPUTED_VALUE"""),"+4.99")</f>
        <v>+4.99</v>
      </c>
      <c r="F123" s="1">
        <f ca="1">IFERROR(__xludf.DUMMYFUNCTION("""COMPUTED_VALUE"""),106.6)</f>
        <v>106.6</v>
      </c>
      <c r="G123" s="1">
        <f ca="1">IFERROR(__xludf.DUMMYFUNCTION("""COMPUTED_VALUE"""),144)</f>
        <v>144</v>
      </c>
      <c r="H123" s="1">
        <f ca="1">IFERROR(__xludf.DUMMYFUNCTION("""COMPUTED_VALUE"""),101.6)</f>
        <v>101.6</v>
      </c>
      <c r="I123" s="1">
        <f ca="1">IFERROR(__xludf.DUMMYFUNCTION("""COMPUTED_VALUE"""),108)</f>
        <v>108</v>
      </c>
      <c r="J123" s="1">
        <f ca="1">IFERROR(__xludf.DUMMYFUNCTION("""COMPUTED_VALUE"""),66.4)</f>
        <v>66.400000000000006</v>
      </c>
      <c r="K123" s="1">
        <f ca="1">IFERROR(__xludf.DUMMYFUNCTION("""COMPUTED_VALUE"""),93)</f>
        <v>93</v>
      </c>
      <c r="L123" s="1" t="str">
        <f ca="1">IFERROR(__xludf.DUMMYFUNCTION("""COMPUTED_VALUE"""),"+.059")</f>
        <v>+.059</v>
      </c>
      <c r="M123" s="1">
        <f ca="1">IFERROR(__xludf.DUMMYFUNCTION("""COMPUTED_VALUE"""),53)</f>
        <v>53</v>
      </c>
      <c r="N123" s="1" t="str">
        <f ca="1">IFERROR(__xludf.DUMMYFUNCTION("""COMPUTED_VALUE"""),"+7.26")</f>
        <v>+7.26</v>
      </c>
      <c r="O123" s="1">
        <f ca="1">IFERROR(__xludf.DUMMYFUNCTION("""COMPUTED_VALUE"""),53)</f>
        <v>53</v>
      </c>
      <c r="P123" s="1">
        <f ca="1">IFERROR(__xludf.DUMMYFUNCTION("""COMPUTED_VALUE"""),109.5)</f>
        <v>109.5</v>
      </c>
      <c r="Q123" s="1">
        <f ca="1">IFERROR(__xludf.DUMMYFUNCTION("""COMPUTED_VALUE"""),28)</f>
        <v>28</v>
      </c>
      <c r="R123" s="1">
        <f ca="1">IFERROR(__xludf.DUMMYFUNCTION("""COMPUTED_VALUE"""),102.2)</f>
        <v>102.2</v>
      </c>
      <c r="S123" s="1">
        <f ca="1">IFERROR(__xludf.DUMMYFUNCTION("""COMPUTED_VALUE"""),79)</f>
        <v>79</v>
      </c>
      <c r="T123" s="1">
        <f ca="1">IFERROR(__xludf.DUMMYFUNCTION("""COMPUTED_VALUE"""),-6.16)</f>
        <v>-6.16</v>
      </c>
      <c r="U123" s="1">
        <f ca="1">IFERROR(__xludf.DUMMYFUNCTION("""COMPUTED_VALUE"""),317)</f>
        <v>317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IFERROR(__xludf.DUMMYFUNCTION("""COMPUTED_VALUE"""),"Wyoming")</f>
        <v>Wyoming</v>
      </c>
      <c r="C124" s="1" t="str">
        <f ca="1">IFERROR(__xludf.DUMMYFUNCTION("""COMPUTED_VALUE"""),"MWC")</f>
        <v>MWC</v>
      </c>
      <c r="D124" s="1" t="str">
        <f ca="1">IFERROR(__xludf.DUMMYFUNCTION("""COMPUTED_VALUE"""),"18-15")</f>
        <v>18-15</v>
      </c>
      <c r="E124" s="1" t="str">
        <f ca="1">IFERROR(__xludf.DUMMYFUNCTION("""COMPUTED_VALUE"""),"+4.99")</f>
        <v>+4.99</v>
      </c>
      <c r="F124" s="1">
        <f ca="1">IFERROR(__xludf.DUMMYFUNCTION("""COMPUTED_VALUE"""),105.5)</f>
        <v>105.5</v>
      </c>
      <c r="G124" s="1">
        <f ca="1">IFERROR(__xludf.DUMMYFUNCTION("""COMPUTED_VALUE"""),171)</f>
        <v>171</v>
      </c>
      <c r="H124" s="1">
        <f ca="1">IFERROR(__xludf.DUMMYFUNCTION("""COMPUTED_VALUE"""),100.5)</f>
        <v>100.5</v>
      </c>
      <c r="I124" s="1">
        <f ca="1">IFERROR(__xludf.DUMMYFUNCTION("""COMPUTED_VALUE"""),88)</f>
        <v>88</v>
      </c>
      <c r="J124" s="1">
        <f ca="1">IFERROR(__xludf.DUMMYFUNCTION("""COMPUTED_VALUE"""),59.4)</f>
        <v>59.4</v>
      </c>
      <c r="K124" s="1">
        <f ca="1">IFERROR(__xludf.DUMMYFUNCTION("""COMPUTED_VALUE"""),346)</f>
        <v>346</v>
      </c>
      <c r="L124" s="1">
        <f ca="1">IFERROR(__xludf.DUMMYFUNCTION("""COMPUTED_VALUE"""),-0.053)</f>
        <v>-5.2999999999999999E-2</v>
      </c>
      <c r="M124" s="1">
        <f ca="1">IFERROR(__xludf.DUMMYFUNCTION("""COMPUTED_VALUE"""),303)</f>
        <v>303</v>
      </c>
      <c r="N124" s="1" t="str">
        <f ca="1">IFERROR(__xludf.DUMMYFUNCTION("""COMPUTED_VALUE"""),"+1.70")</f>
        <v>+1.70</v>
      </c>
      <c r="O124" s="1">
        <f ca="1">IFERROR(__xludf.DUMMYFUNCTION("""COMPUTED_VALUE"""),116)</f>
        <v>116</v>
      </c>
      <c r="P124" s="1">
        <f ca="1">IFERROR(__xludf.DUMMYFUNCTION("""COMPUTED_VALUE"""),106)</f>
        <v>106</v>
      </c>
      <c r="Q124" s="1">
        <f ca="1">IFERROR(__xludf.DUMMYFUNCTION("""COMPUTED_VALUE"""),114)</f>
        <v>114</v>
      </c>
      <c r="R124" s="1">
        <f ca="1">IFERROR(__xludf.DUMMYFUNCTION("""COMPUTED_VALUE"""),104.3)</f>
        <v>104.3</v>
      </c>
      <c r="S124" s="1">
        <f ca="1">IFERROR(__xludf.DUMMYFUNCTION("""COMPUTED_VALUE"""),123)</f>
        <v>123</v>
      </c>
      <c r="T124" s="1">
        <f ca="1">IFERROR(__xludf.DUMMYFUNCTION("""COMPUTED_VALUE"""),-4.87)</f>
        <v>-4.87</v>
      </c>
      <c r="U124" s="1">
        <f ca="1">IFERROR(__xludf.DUMMYFUNCTION("""COMPUTED_VALUE"""),297)</f>
        <v>297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IFERROR(__xludf.DUMMYFUNCTION("""COMPUTED_VALUE"""),"Columbia")</f>
        <v>Columbia</v>
      </c>
      <c r="C125" s="1" t="str">
        <f ca="1">IFERROR(__xludf.DUMMYFUNCTION("""COMPUTED_VALUE"""),"Ivy")</f>
        <v>Ivy</v>
      </c>
      <c r="D125" s="1" t="str">
        <f ca="1">IFERROR(__xludf.DUMMYFUNCTION("""COMPUTED_VALUE"""),"21-13")</f>
        <v>21-13</v>
      </c>
      <c r="E125" s="1" t="str">
        <f ca="1">IFERROR(__xludf.DUMMYFUNCTION("""COMPUTED_VALUE"""),"+4.67")</f>
        <v>+4.67</v>
      </c>
      <c r="F125" s="1">
        <f ca="1">IFERROR(__xludf.DUMMYFUNCTION("""COMPUTED_VALUE"""),107.6)</f>
        <v>107.6</v>
      </c>
      <c r="G125" s="1">
        <f ca="1">IFERROR(__xludf.DUMMYFUNCTION("""COMPUTED_VALUE"""),130)</f>
        <v>130</v>
      </c>
      <c r="H125" s="1">
        <f ca="1">IFERROR(__xludf.DUMMYFUNCTION("""COMPUTED_VALUE"""),103)</f>
        <v>103</v>
      </c>
      <c r="I125" s="1">
        <f ca="1">IFERROR(__xludf.DUMMYFUNCTION("""COMPUTED_VALUE"""),129)</f>
        <v>129</v>
      </c>
      <c r="J125" s="1">
        <f ca="1">IFERROR(__xludf.DUMMYFUNCTION("""COMPUTED_VALUE"""),59.9)</f>
        <v>59.9</v>
      </c>
      <c r="K125" s="1">
        <f ca="1">IFERROR(__xludf.DUMMYFUNCTION("""COMPUTED_VALUE"""),339)</f>
        <v>339</v>
      </c>
      <c r="L125" s="1">
        <f ca="1">IFERROR(__xludf.DUMMYFUNCTION("""COMPUTED_VALUE"""),-0.013)</f>
        <v>-1.2999999999999999E-2</v>
      </c>
      <c r="M125" s="1">
        <f ca="1">IFERROR(__xludf.DUMMYFUNCTION("""COMPUTED_VALUE"""),214)</f>
        <v>214</v>
      </c>
      <c r="N125" s="1">
        <f ca="1">IFERROR(__xludf.DUMMYFUNCTION("""COMPUTED_VALUE"""),-2.35)</f>
        <v>-2.35</v>
      </c>
      <c r="O125" s="1">
        <f ca="1">IFERROR(__xludf.DUMMYFUNCTION("""COMPUTED_VALUE"""),199)</f>
        <v>199</v>
      </c>
      <c r="P125" s="1">
        <f ca="1">IFERROR(__xludf.DUMMYFUNCTION("""COMPUTED_VALUE"""),103.2)</f>
        <v>103.2</v>
      </c>
      <c r="Q125" s="1">
        <f ca="1">IFERROR(__xludf.DUMMYFUNCTION("""COMPUTED_VALUE"""),247)</f>
        <v>247</v>
      </c>
      <c r="R125" s="1">
        <f ca="1">IFERROR(__xludf.DUMMYFUNCTION("""COMPUTED_VALUE"""),105.5)</f>
        <v>105.5</v>
      </c>
      <c r="S125" s="1">
        <f ca="1">IFERROR(__xludf.DUMMYFUNCTION("""COMPUTED_VALUE"""),180)</f>
        <v>180</v>
      </c>
      <c r="T125" s="1">
        <f ca="1">IFERROR(__xludf.DUMMYFUNCTION("""COMPUTED_VALUE"""),-3.07)</f>
        <v>-3.07</v>
      </c>
      <c r="U125" s="1">
        <f ca="1">IFERROR(__xludf.DUMMYFUNCTION("""COMPUTED_VALUE"""),257)</f>
        <v>257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IFERROR(__xludf.DUMMYFUNCTION("""COMPUTED_VALUE"""),"American15")</f>
        <v>American15</v>
      </c>
      <c r="C126" s="1" t="str">
        <f ca="1">IFERROR(__xludf.DUMMYFUNCTION("""COMPUTED_VALUE"""),"Pat")</f>
        <v>Pat</v>
      </c>
      <c r="D126" s="1" t="str">
        <f ca="1">IFERROR(__xludf.DUMMYFUNCTION("""COMPUTED_VALUE"""),"20-13")</f>
        <v>20-13</v>
      </c>
      <c r="E126" s="1" t="str">
        <f ca="1">IFERROR(__xludf.DUMMYFUNCTION("""COMPUTED_VALUE"""),"+4.57")</f>
        <v>+4.57</v>
      </c>
      <c r="F126" s="1">
        <f ca="1">IFERROR(__xludf.DUMMYFUNCTION("""COMPUTED_VALUE"""),103.4)</f>
        <v>103.4</v>
      </c>
      <c r="G126" s="1">
        <f ca="1">IFERROR(__xludf.DUMMYFUNCTION("""COMPUTED_VALUE"""),206)</f>
        <v>206</v>
      </c>
      <c r="H126" s="1">
        <f ca="1">IFERROR(__xludf.DUMMYFUNCTION("""COMPUTED_VALUE"""),98.9)</f>
        <v>98.9</v>
      </c>
      <c r="I126" s="1">
        <f ca="1">IFERROR(__xludf.DUMMYFUNCTION("""COMPUTED_VALUE"""),61)</f>
        <v>61</v>
      </c>
      <c r="J126" s="1">
        <f ca="1">IFERROR(__xludf.DUMMYFUNCTION("""COMPUTED_VALUE"""),59.7)</f>
        <v>59.7</v>
      </c>
      <c r="K126" s="1">
        <f ca="1">IFERROR(__xludf.DUMMYFUNCTION("""COMPUTED_VALUE"""),343)</f>
        <v>343</v>
      </c>
      <c r="L126" s="1" t="str">
        <f ca="1">IFERROR(__xludf.DUMMYFUNCTION("""COMPUTED_VALUE"""),"+.007")</f>
        <v>+.007</v>
      </c>
      <c r="M126" s="1">
        <f ca="1">IFERROR(__xludf.DUMMYFUNCTION("""COMPUTED_VALUE"""),165)</f>
        <v>165</v>
      </c>
      <c r="N126" s="1">
        <f ca="1">IFERROR(__xludf.DUMMYFUNCTION("""COMPUTED_VALUE"""),-2.59)</f>
        <v>-2.59</v>
      </c>
      <c r="O126" s="1">
        <f ca="1">IFERROR(__xludf.DUMMYFUNCTION("""COMPUTED_VALUE"""),208)</f>
        <v>208</v>
      </c>
      <c r="P126" s="1">
        <f ca="1">IFERROR(__xludf.DUMMYFUNCTION("""COMPUTED_VALUE"""),103.6)</f>
        <v>103.6</v>
      </c>
      <c r="Q126" s="1">
        <f ca="1">IFERROR(__xludf.DUMMYFUNCTION("""COMPUTED_VALUE"""),218)</f>
        <v>218</v>
      </c>
      <c r="R126" s="1">
        <f ca="1">IFERROR(__xludf.DUMMYFUNCTION("""COMPUTED_VALUE"""),106.2)</f>
        <v>106.2</v>
      </c>
      <c r="S126" s="1">
        <f ca="1">IFERROR(__xludf.DUMMYFUNCTION("""COMPUTED_VALUE"""),210)</f>
        <v>210</v>
      </c>
      <c r="T126" s="1">
        <f ca="1">IFERROR(__xludf.DUMMYFUNCTION("""COMPUTED_VALUE"""),-0.1)</f>
        <v>-0.1</v>
      </c>
      <c r="U126" s="1">
        <f ca="1">IFERROR(__xludf.DUMMYFUNCTION("""COMPUTED_VALUE"""),163)</f>
        <v>163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IFERROR(__xludf.DUMMYFUNCTION("""COMPUTED_VALUE"""),"Utah St.")</f>
        <v>Utah St.</v>
      </c>
      <c r="C129" s="1" t="str">
        <f ca="1">IFERROR(__xludf.DUMMYFUNCTION("""COMPUTED_VALUE"""),"MWC")</f>
        <v>MWC</v>
      </c>
      <c r="D129" s="1" t="str">
        <f ca="1">IFERROR(__xludf.DUMMYFUNCTION("""COMPUTED_VALUE"""),"18-14")</f>
        <v>18-14</v>
      </c>
      <c r="E129" s="1" t="str">
        <f ca="1">IFERROR(__xludf.DUMMYFUNCTION("""COMPUTED_VALUE"""),"+4.48")</f>
        <v>+4.48</v>
      </c>
      <c r="F129" s="1">
        <f ca="1">IFERROR(__xludf.DUMMYFUNCTION("""COMPUTED_VALUE"""),109.8)</f>
        <v>109.8</v>
      </c>
      <c r="G129" s="1">
        <f ca="1">IFERROR(__xludf.DUMMYFUNCTION("""COMPUTED_VALUE"""),94)</f>
        <v>94</v>
      </c>
      <c r="H129" s="1">
        <f ca="1">IFERROR(__xludf.DUMMYFUNCTION("""COMPUTED_VALUE"""),105.3)</f>
        <v>105.3</v>
      </c>
      <c r="I129" s="1">
        <f ca="1">IFERROR(__xludf.DUMMYFUNCTION("""COMPUTED_VALUE"""),172)</f>
        <v>172</v>
      </c>
      <c r="J129" s="1">
        <f ca="1">IFERROR(__xludf.DUMMYFUNCTION("""COMPUTED_VALUE"""),62.2)</f>
        <v>62.2</v>
      </c>
      <c r="K129" s="1">
        <f ca="1">IFERROR(__xludf.DUMMYFUNCTION("""COMPUTED_VALUE"""),297)</f>
        <v>297</v>
      </c>
      <c r="L129" s="1" t="str">
        <f ca="1">IFERROR(__xludf.DUMMYFUNCTION("""COMPUTED_VALUE"""),"+.009")</f>
        <v>+.009</v>
      </c>
      <c r="M129" s="1">
        <f ca="1">IFERROR(__xludf.DUMMYFUNCTION("""COMPUTED_VALUE"""),161)</f>
        <v>161</v>
      </c>
      <c r="N129" s="1" t="str">
        <f ca="1">IFERROR(__xludf.DUMMYFUNCTION("""COMPUTED_VALUE"""),"+1.99")</f>
        <v>+1.99</v>
      </c>
      <c r="O129" s="1">
        <f ca="1">IFERROR(__xludf.DUMMYFUNCTION("""COMPUTED_VALUE"""),114)</f>
        <v>114</v>
      </c>
      <c r="P129" s="1">
        <f ca="1">IFERROR(__xludf.DUMMYFUNCTION("""COMPUTED_VALUE"""),105.8)</f>
        <v>105.8</v>
      </c>
      <c r="Q129" s="1">
        <f ca="1">IFERROR(__xludf.DUMMYFUNCTION("""COMPUTED_VALUE"""),122)</f>
        <v>122</v>
      </c>
      <c r="R129" s="1">
        <f ca="1">IFERROR(__xludf.DUMMYFUNCTION("""COMPUTED_VALUE"""),103.8)</f>
        <v>103.8</v>
      </c>
      <c r="S129" s="1">
        <f ca="1">IFERROR(__xludf.DUMMYFUNCTION("""COMPUTED_VALUE"""),109)</f>
        <v>109</v>
      </c>
      <c r="T129" s="1">
        <f ca="1">IFERROR(__xludf.DUMMYFUNCTION("""COMPUTED_VALUE"""),-5.53)</f>
        <v>-5.53</v>
      </c>
      <c r="U129" s="1">
        <f ca="1">IFERROR(__xludf.DUMMYFUNCTION("""COMPUTED_VALUE"""),310)</f>
        <v>310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IFERROR(__xludf.DUMMYFUNCTION("""COMPUTED_VALUE"""),"Auburn")</f>
        <v>Auburn</v>
      </c>
      <c r="C130" s="1" t="str">
        <f ca="1">IFERROR(__xludf.DUMMYFUNCTION("""COMPUTED_VALUE"""),"SEC")</f>
        <v>SEC</v>
      </c>
      <c r="D130" s="1" t="str">
        <f ca="1">IFERROR(__xludf.DUMMYFUNCTION("""COMPUTED_VALUE"""),"14-16")</f>
        <v>14-16</v>
      </c>
      <c r="E130" s="1" t="str">
        <f ca="1">IFERROR(__xludf.DUMMYFUNCTION("""COMPUTED_VALUE"""),"+4.39")</f>
        <v>+4.39</v>
      </c>
      <c r="F130" s="1">
        <f ca="1">IFERROR(__xludf.DUMMYFUNCTION("""COMPUTED_VALUE"""),109.8)</f>
        <v>109.8</v>
      </c>
      <c r="G130" s="1">
        <f ca="1">IFERROR(__xludf.DUMMYFUNCTION("""COMPUTED_VALUE"""),95)</f>
        <v>95</v>
      </c>
      <c r="H130" s="1">
        <f ca="1">IFERROR(__xludf.DUMMYFUNCTION("""COMPUTED_VALUE"""),105.4)</f>
        <v>105.4</v>
      </c>
      <c r="I130" s="1">
        <f ca="1">IFERROR(__xludf.DUMMYFUNCTION("""COMPUTED_VALUE"""),174)</f>
        <v>174</v>
      </c>
      <c r="J130" s="1">
        <f ca="1">IFERROR(__xludf.DUMMYFUNCTION("""COMPUTED_VALUE"""),66)</f>
        <v>66</v>
      </c>
      <c r="K130" s="1">
        <f ca="1">IFERROR(__xludf.DUMMYFUNCTION("""COMPUTED_VALUE"""),108)</f>
        <v>108</v>
      </c>
      <c r="L130" s="1">
        <f ca="1">IFERROR(__xludf.DUMMYFUNCTION("""COMPUTED_VALUE"""),-0.025)</f>
        <v>-2.5000000000000001E-2</v>
      </c>
      <c r="M130" s="1">
        <f ca="1">IFERROR(__xludf.DUMMYFUNCTION("""COMPUTED_VALUE"""),237)</f>
        <v>237</v>
      </c>
      <c r="N130" s="1" t="str">
        <f ca="1">IFERROR(__xludf.DUMMYFUNCTION("""COMPUTED_VALUE"""),"+4.61")</f>
        <v>+4.61</v>
      </c>
      <c r="O130" s="1">
        <f ca="1">IFERROR(__xludf.DUMMYFUNCTION("""COMPUTED_VALUE"""),93)</f>
        <v>93</v>
      </c>
      <c r="P130" s="1">
        <f ca="1">IFERROR(__xludf.DUMMYFUNCTION("""COMPUTED_VALUE"""),106.8)</f>
        <v>106.8</v>
      </c>
      <c r="Q130" s="1">
        <f ca="1">IFERROR(__xludf.DUMMYFUNCTION("""COMPUTED_VALUE"""),103)</f>
        <v>103</v>
      </c>
      <c r="R130" s="1">
        <f ca="1">IFERROR(__xludf.DUMMYFUNCTION("""COMPUTED_VALUE"""),102.2)</f>
        <v>102.2</v>
      </c>
      <c r="S130" s="1">
        <f ca="1">IFERROR(__xludf.DUMMYFUNCTION("""COMPUTED_VALUE"""),77)</f>
        <v>77</v>
      </c>
      <c r="T130" s="1">
        <f ca="1">IFERROR(__xludf.DUMMYFUNCTION("""COMPUTED_VALUE"""),-7.93)</f>
        <v>-7.93</v>
      </c>
      <c r="U130" s="1">
        <f ca="1">IFERROR(__xludf.DUMMYFUNCTION("""COMPUTED_VALUE"""),337)</f>
        <v>337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IFERROR(__xludf.DUMMYFUNCTION("""COMPUTED_VALUE"""),"Davidson7")</f>
        <v>Davidson7</v>
      </c>
      <c r="C131" s="1" t="str">
        <f ca="1">IFERROR(__xludf.DUMMYFUNCTION("""COMPUTED_VALUE"""),"SC")</f>
        <v>SC</v>
      </c>
      <c r="D131" s="1" t="str">
        <f ca="1">IFERROR(__xludf.DUMMYFUNCTION("""COMPUTED_VALUE"""),"20-13")</f>
        <v>20-13</v>
      </c>
      <c r="E131" s="1" t="str">
        <f ca="1">IFERROR(__xludf.DUMMYFUNCTION("""COMPUTED_VALUE"""),"+4.18")</f>
        <v>+4.18</v>
      </c>
      <c r="F131" s="1">
        <f ca="1">IFERROR(__xludf.DUMMYFUNCTION("""COMPUTED_VALUE"""),113.3)</f>
        <v>113.3</v>
      </c>
      <c r="G131" s="1">
        <f ca="1">IFERROR(__xludf.DUMMYFUNCTION("""COMPUTED_VALUE"""),42)</f>
        <v>42</v>
      </c>
      <c r="H131" s="1">
        <f ca="1">IFERROR(__xludf.DUMMYFUNCTION("""COMPUTED_VALUE"""),109.1)</f>
        <v>109.1</v>
      </c>
      <c r="I131" s="1">
        <f ca="1">IFERROR(__xludf.DUMMYFUNCTION("""COMPUTED_VALUE"""),251)</f>
        <v>251</v>
      </c>
      <c r="J131" s="1">
        <f ca="1">IFERROR(__xludf.DUMMYFUNCTION("""COMPUTED_VALUE"""),66.1)</f>
        <v>66.099999999999994</v>
      </c>
      <c r="K131" s="1">
        <f ca="1">IFERROR(__xludf.DUMMYFUNCTION("""COMPUTED_VALUE"""),101)</f>
        <v>101</v>
      </c>
      <c r="L131" s="1">
        <f ca="1">IFERROR(__xludf.DUMMYFUNCTION("""COMPUTED_VALUE"""),-0.013)</f>
        <v>-1.2999999999999999E-2</v>
      </c>
      <c r="M131" s="1">
        <f ca="1">IFERROR(__xludf.DUMMYFUNCTION("""COMPUTED_VALUE"""),213)</f>
        <v>213</v>
      </c>
      <c r="N131" s="1">
        <f ca="1">IFERROR(__xludf.DUMMYFUNCTION("""COMPUTED_VALUE"""),-4.71)</f>
        <v>-4.71</v>
      </c>
      <c r="O131" s="1">
        <f ca="1">IFERROR(__xludf.DUMMYFUNCTION("""COMPUTED_VALUE"""),255)</f>
        <v>255</v>
      </c>
      <c r="P131" s="1">
        <f ca="1">IFERROR(__xludf.DUMMYFUNCTION("""COMPUTED_VALUE"""),102.4)</f>
        <v>102.4</v>
      </c>
      <c r="Q131" s="1">
        <f ca="1">IFERROR(__xludf.DUMMYFUNCTION("""COMPUTED_VALUE"""),281)</f>
        <v>281</v>
      </c>
      <c r="R131" s="1">
        <f ca="1">IFERROR(__xludf.DUMMYFUNCTION("""COMPUTED_VALUE"""),107.1)</f>
        <v>107.1</v>
      </c>
      <c r="S131" s="1">
        <f ca="1">IFERROR(__xludf.DUMMYFUNCTION("""COMPUTED_VALUE"""),248)</f>
        <v>248</v>
      </c>
      <c r="T131" s="1" t="str">
        <f ca="1">IFERROR(__xludf.DUMMYFUNCTION("""COMPUTED_VALUE"""),"+8.01")</f>
        <v>+8.01</v>
      </c>
      <c r="U131" s="1">
        <f ca="1">IFERROR(__xludf.DUMMYFUNCTION("""COMPUTED_VALUE"""),20)</f>
        <v>20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IFERROR(__xludf.DUMMYFUNCTION("""COMPUTED_VALUE"""),"Canisius")</f>
        <v>Canisius</v>
      </c>
      <c r="C132" s="1" t="str">
        <f ca="1">IFERROR(__xludf.DUMMYFUNCTION("""COMPUTED_VALUE"""),"MAAC")</f>
        <v>MAAC</v>
      </c>
      <c r="D132" s="1" t="str">
        <f ca="1">IFERROR(__xludf.DUMMYFUNCTION("""COMPUTED_VALUE"""),"21-13")</f>
        <v>21-13</v>
      </c>
      <c r="E132" s="1" t="str">
        <f ca="1">IFERROR(__xludf.DUMMYFUNCTION("""COMPUTED_VALUE"""),"+4.14")</f>
        <v>+4.14</v>
      </c>
      <c r="F132" s="1">
        <f ca="1">IFERROR(__xludf.DUMMYFUNCTION("""COMPUTED_VALUE"""),112.5)</f>
        <v>112.5</v>
      </c>
      <c r="G132" s="1">
        <f ca="1">IFERROR(__xludf.DUMMYFUNCTION("""COMPUTED_VALUE"""),53)</f>
        <v>53</v>
      </c>
      <c r="H132" s="1">
        <f ca="1">IFERROR(__xludf.DUMMYFUNCTION("""COMPUTED_VALUE"""),108.3)</f>
        <v>108.3</v>
      </c>
      <c r="I132" s="1">
        <f ca="1">IFERROR(__xludf.DUMMYFUNCTION("""COMPUTED_VALUE"""),233)</f>
        <v>233</v>
      </c>
      <c r="J132" s="1">
        <f ca="1">IFERROR(__xludf.DUMMYFUNCTION("""COMPUTED_VALUE"""),65.3)</f>
        <v>65.3</v>
      </c>
      <c r="K132" s="1">
        <f ca="1">IFERROR(__xludf.DUMMYFUNCTION("""COMPUTED_VALUE"""),140)</f>
        <v>140</v>
      </c>
      <c r="L132" s="1" t="str">
        <f ca="1">IFERROR(__xludf.DUMMYFUNCTION("""COMPUTED_VALUE"""),"+.022")</f>
        <v>+.022</v>
      </c>
      <c r="M132" s="1">
        <f ca="1">IFERROR(__xludf.DUMMYFUNCTION("""COMPUTED_VALUE"""),129)</f>
        <v>129</v>
      </c>
      <c r="N132" s="1">
        <f ca="1">IFERROR(__xludf.DUMMYFUNCTION("""COMPUTED_VALUE"""),-1.19)</f>
        <v>-1.19</v>
      </c>
      <c r="O132" s="1">
        <f ca="1">IFERROR(__xludf.DUMMYFUNCTION("""COMPUTED_VALUE"""),171)</f>
        <v>171</v>
      </c>
      <c r="P132" s="1">
        <f ca="1">IFERROR(__xludf.DUMMYFUNCTION("""COMPUTED_VALUE"""),104.9)</f>
        <v>104.9</v>
      </c>
      <c r="Q132" s="1">
        <f ca="1">IFERROR(__xludf.DUMMYFUNCTION("""COMPUTED_VALUE"""),155)</f>
        <v>155</v>
      </c>
      <c r="R132" s="1">
        <f ca="1">IFERROR(__xludf.DUMMYFUNCTION("""COMPUTED_VALUE"""),106.1)</f>
        <v>106.1</v>
      </c>
      <c r="S132" s="1">
        <f ca="1">IFERROR(__xludf.DUMMYFUNCTION("""COMPUTED_VALUE"""),205)</f>
        <v>205</v>
      </c>
      <c r="T132" s="1" t="str">
        <f ca="1">IFERROR(__xludf.DUMMYFUNCTION("""COMPUTED_VALUE"""),"+1.69")</f>
        <v>+1.69</v>
      </c>
      <c r="U132" s="1">
        <f ca="1">IFERROR(__xludf.DUMMYFUNCTION("""COMPUTED_VALUE"""),112)</f>
        <v>112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IFERROR(__xludf.DUMMYFUNCTION("""COMPUTED_VALUE"""),"Eastern Kentucky15")</f>
        <v>Eastern Kentucky15</v>
      </c>
      <c r="C133" s="1" t="str">
        <f ca="1">IFERROR(__xludf.DUMMYFUNCTION("""COMPUTED_VALUE"""),"OVC")</f>
        <v>OVC</v>
      </c>
      <c r="D133" s="1" t="str">
        <f ca="1">IFERROR(__xludf.DUMMYFUNCTION("""COMPUTED_VALUE"""),"24-10")</f>
        <v>24-10</v>
      </c>
      <c r="E133" s="1" t="str">
        <f ca="1">IFERROR(__xludf.DUMMYFUNCTION("""COMPUTED_VALUE"""),"+3.96")</f>
        <v>+3.96</v>
      </c>
      <c r="F133" s="1">
        <f ca="1">IFERROR(__xludf.DUMMYFUNCTION("""COMPUTED_VALUE"""),112.4)</f>
        <v>112.4</v>
      </c>
      <c r="G133" s="1">
        <f ca="1">IFERROR(__xludf.DUMMYFUNCTION("""COMPUTED_VALUE"""),55)</f>
        <v>55</v>
      </c>
      <c r="H133" s="1">
        <f ca="1">IFERROR(__xludf.DUMMYFUNCTION("""COMPUTED_VALUE"""),108.4)</f>
        <v>108.4</v>
      </c>
      <c r="I133" s="1">
        <f ca="1">IFERROR(__xludf.DUMMYFUNCTION("""COMPUTED_VALUE"""),235)</f>
        <v>235</v>
      </c>
      <c r="J133" s="1">
        <f ca="1">IFERROR(__xludf.DUMMYFUNCTION("""COMPUTED_VALUE"""),64.2)</f>
        <v>64.2</v>
      </c>
      <c r="K133" s="1">
        <f ca="1">IFERROR(__xludf.DUMMYFUNCTION("""COMPUTED_VALUE"""),203)</f>
        <v>203</v>
      </c>
      <c r="L133" s="1" t="str">
        <f ca="1">IFERROR(__xludf.DUMMYFUNCTION("""COMPUTED_VALUE"""),"+.036")</f>
        <v>+.036</v>
      </c>
      <c r="M133" s="1">
        <f ca="1">IFERROR(__xludf.DUMMYFUNCTION("""COMPUTED_VALUE"""),96)</f>
        <v>96</v>
      </c>
      <c r="N133" s="1">
        <f ca="1">IFERROR(__xludf.DUMMYFUNCTION("""COMPUTED_VALUE"""),-4.97)</f>
        <v>-4.97</v>
      </c>
      <c r="O133" s="1">
        <f ca="1">IFERROR(__xludf.DUMMYFUNCTION("""COMPUTED_VALUE"""),268)</f>
        <v>268</v>
      </c>
      <c r="P133" s="1">
        <f ca="1">IFERROR(__xludf.DUMMYFUNCTION("""COMPUTED_VALUE"""),104.1)</f>
        <v>104.1</v>
      </c>
      <c r="Q133" s="1">
        <f ca="1">IFERROR(__xludf.DUMMYFUNCTION("""COMPUTED_VALUE"""),189)</f>
        <v>189</v>
      </c>
      <c r="R133" s="1">
        <f ca="1">IFERROR(__xludf.DUMMYFUNCTION("""COMPUTED_VALUE"""),109)</f>
        <v>109</v>
      </c>
      <c r="S133" s="1">
        <f ca="1">IFERROR(__xludf.DUMMYFUNCTION("""COMPUTED_VALUE"""),314)</f>
        <v>314</v>
      </c>
      <c r="T133" s="1">
        <f ca="1">IFERROR(__xludf.DUMMYFUNCTION("""COMPUTED_VALUE"""),-5.04)</f>
        <v>-5.04</v>
      </c>
      <c r="U133" s="1">
        <f ca="1">IFERROR(__xludf.DUMMYFUNCTION("""COMPUTED_VALUE"""),304)</f>
        <v>304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IFERROR(__xludf.DUMMYFUNCTION("""COMPUTED_VALUE"""),"Boston University7")</f>
        <v>Boston University7</v>
      </c>
      <c r="C134" s="1" t="str">
        <f ca="1">IFERROR(__xludf.DUMMYFUNCTION("""COMPUTED_VALUE"""),"Pat")</f>
        <v>Pat</v>
      </c>
      <c r="D134" s="1" t="str">
        <f ca="1">IFERROR(__xludf.DUMMYFUNCTION("""COMPUTED_VALUE"""),"24-11")</f>
        <v>24-11</v>
      </c>
      <c r="E134" s="1" t="str">
        <f ca="1">IFERROR(__xludf.DUMMYFUNCTION("""COMPUTED_VALUE"""),"+3.82")</f>
        <v>+3.82</v>
      </c>
      <c r="F134" s="1">
        <f ca="1">IFERROR(__xludf.DUMMYFUNCTION("""COMPUTED_VALUE"""),106.3)</f>
        <v>106.3</v>
      </c>
      <c r="G134" s="1">
        <f ca="1">IFERROR(__xludf.DUMMYFUNCTION("""COMPUTED_VALUE"""),153)</f>
        <v>153</v>
      </c>
      <c r="H134" s="1">
        <f ca="1">IFERROR(__xludf.DUMMYFUNCTION("""COMPUTED_VALUE"""),102.5)</f>
        <v>102.5</v>
      </c>
      <c r="I134" s="1">
        <f ca="1">IFERROR(__xludf.DUMMYFUNCTION("""COMPUTED_VALUE"""),123)</f>
        <v>123</v>
      </c>
      <c r="J134" s="1">
        <f ca="1">IFERROR(__xludf.DUMMYFUNCTION("""COMPUTED_VALUE"""),65.1)</f>
        <v>65.099999999999994</v>
      </c>
      <c r="K134" s="1">
        <f ca="1">IFERROR(__xludf.DUMMYFUNCTION("""COMPUTED_VALUE"""),153)</f>
        <v>153</v>
      </c>
      <c r="L134" s="1" t="str">
        <f ca="1">IFERROR(__xludf.DUMMYFUNCTION("""COMPUTED_VALUE"""),"+.077")</f>
        <v>+.077</v>
      </c>
      <c r="M134" s="1">
        <f ca="1">IFERROR(__xludf.DUMMYFUNCTION("""COMPUTED_VALUE"""),27)</f>
        <v>27</v>
      </c>
      <c r="N134" s="1">
        <f ca="1">IFERROR(__xludf.DUMMYFUNCTION("""COMPUTED_VALUE"""),-2.58)</f>
        <v>-2.58</v>
      </c>
      <c r="O134" s="1">
        <f ca="1">IFERROR(__xludf.DUMMYFUNCTION("""COMPUTED_VALUE"""),207)</f>
        <v>207</v>
      </c>
      <c r="P134" s="1">
        <f ca="1">IFERROR(__xludf.DUMMYFUNCTION("""COMPUTED_VALUE"""),103.4)</f>
        <v>103.4</v>
      </c>
      <c r="Q134" s="1">
        <f ca="1">IFERROR(__xludf.DUMMYFUNCTION("""COMPUTED_VALUE"""),225)</f>
        <v>225</v>
      </c>
      <c r="R134" s="1">
        <f ca="1">IFERROR(__xludf.DUMMYFUNCTION("""COMPUTED_VALUE"""),106)</f>
        <v>106</v>
      </c>
      <c r="S134" s="1">
        <f ca="1">IFERROR(__xludf.DUMMYFUNCTION("""COMPUTED_VALUE"""),202)</f>
        <v>202</v>
      </c>
      <c r="T134" s="1" t="str">
        <f ca="1">IFERROR(__xludf.DUMMYFUNCTION("""COMPUTED_VALUE"""),"+3.22")</f>
        <v>+3.22</v>
      </c>
      <c r="U134" s="1">
        <f ca="1">IFERROR(__xludf.DUMMYFUNCTION("""COMPUTED_VALUE"""),70)</f>
        <v>70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IFERROR(__xludf.DUMMYFUNCTION("""COMPUTED_VALUE"""),"Ohio")</f>
        <v>Ohio</v>
      </c>
      <c r="C135" s="1" t="str">
        <f ca="1">IFERROR(__xludf.DUMMYFUNCTION("""COMPUTED_VALUE"""),"MAC")</f>
        <v>MAC</v>
      </c>
      <c r="D135" s="1" t="str">
        <f ca="1">IFERROR(__xludf.DUMMYFUNCTION("""COMPUTED_VALUE"""),"25-12")</f>
        <v>25-12</v>
      </c>
      <c r="E135" s="1" t="str">
        <f ca="1">IFERROR(__xludf.DUMMYFUNCTION("""COMPUTED_VALUE"""),"+3.76")</f>
        <v>+3.76</v>
      </c>
      <c r="F135" s="1">
        <f ca="1">IFERROR(__xludf.DUMMYFUNCTION("""COMPUTED_VALUE"""),106.5)</f>
        <v>106.5</v>
      </c>
      <c r="G135" s="1">
        <f ca="1">IFERROR(__xludf.DUMMYFUNCTION("""COMPUTED_VALUE"""),147)</f>
        <v>147</v>
      </c>
      <c r="H135" s="1">
        <f ca="1">IFERROR(__xludf.DUMMYFUNCTION("""COMPUTED_VALUE"""),102.7)</f>
        <v>102.7</v>
      </c>
      <c r="I135" s="1">
        <f ca="1">IFERROR(__xludf.DUMMYFUNCTION("""COMPUTED_VALUE"""),126)</f>
        <v>126</v>
      </c>
      <c r="J135" s="1">
        <f ca="1">IFERROR(__xludf.DUMMYFUNCTION("""COMPUTED_VALUE"""),64.3)</f>
        <v>64.3</v>
      </c>
      <c r="K135" s="1">
        <f ca="1">IFERROR(__xludf.DUMMYFUNCTION("""COMPUTED_VALUE"""),197)</f>
        <v>197</v>
      </c>
      <c r="L135" s="1" t="str">
        <f ca="1">IFERROR(__xludf.DUMMYFUNCTION("""COMPUTED_VALUE"""),"+.035")</f>
        <v>+.035</v>
      </c>
      <c r="M135" s="1">
        <f ca="1">IFERROR(__xludf.DUMMYFUNCTION("""COMPUTED_VALUE"""),99)</f>
        <v>99</v>
      </c>
      <c r="N135" s="1">
        <f ca="1">IFERROR(__xludf.DUMMYFUNCTION("""COMPUTED_VALUE"""),-2)</f>
        <v>-2</v>
      </c>
      <c r="O135" s="1">
        <f ca="1">IFERROR(__xludf.DUMMYFUNCTION("""COMPUTED_VALUE"""),190)</f>
        <v>190</v>
      </c>
      <c r="P135" s="1">
        <f ca="1">IFERROR(__xludf.DUMMYFUNCTION("""COMPUTED_VALUE"""),103.1)</f>
        <v>103.1</v>
      </c>
      <c r="Q135" s="1">
        <f ca="1">IFERROR(__xludf.DUMMYFUNCTION("""COMPUTED_VALUE"""),256)</f>
        <v>256</v>
      </c>
      <c r="R135" s="1">
        <f ca="1">IFERROR(__xludf.DUMMYFUNCTION("""COMPUTED_VALUE"""),105.1)</f>
        <v>105.1</v>
      </c>
      <c r="S135" s="1">
        <f ca="1">IFERROR(__xludf.DUMMYFUNCTION("""COMPUTED_VALUE"""),160)</f>
        <v>160</v>
      </c>
      <c r="T135" s="1">
        <f ca="1">IFERROR(__xludf.DUMMYFUNCTION("""COMPUTED_VALUE"""),-1.1)</f>
        <v>-1.1000000000000001</v>
      </c>
      <c r="U135" s="1">
        <f ca="1">IFERROR(__xludf.DUMMYFUNCTION("""COMPUTED_VALUE"""),192)</f>
        <v>192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IFERROR(__xludf.DUMMYFUNCTION("""COMPUTED_VALUE"""),"Colorado St.")</f>
        <v>Colorado St.</v>
      </c>
      <c r="C136" s="1" t="str">
        <f ca="1">IFERROR(__xludf.DUMMYFUNCTION("""COMPUTED_VALUE"""),"MWC")</f>
        <v>MWC</v>
      </c>
      <c r="D136" s="1" t="str">
        <f ca="1">IFERROR(__xludf.DUMMYFUNCTION("""COMPUTED_VALUE"""),"16-16")</f>
        <v>16-16</v>
      </c>
      <c r="E136" s="1" t="str">
        <f ca="1">IFERROR(__xludf.DUMMYFUNCTION("""COMPUTED_VALUE"""),"+3.51")</f>
        <v>+3.51</v>
      </c>
      <c r="F136" s="1">
        <f ca="1">IFERROR(__xludf.DUMMYFUNCTION("""COMPUTED_VALUE"""),110.5)</f>
        <v>110.5</v>
      </c>
      <c r="G136" s="1">
        <f ca="1">IFERROR(__xludf.DUMMYFUNCTION("""COMPUTED_VALUE"""),84)</f>
        <v>84</v>
      </c>
      <c r="H136" s="1">
        <f ca="1">IFERROR(__xludf.DUMMYFUNCTION("""COMPUTED_VALUE"""),107)</f>
        <v>107</v>
      </c>
      <c r="I136" s="1">
        <f ca="1">IFERROR(__xludf.DUMMYFUNCTION("""COMPUTED_VALUE"""),212)</f>
        <v>212</v>
      </c>
      <c r="J136" s="1">
        <f ca="1">IFERROR(__xludf.DUMMYFUNCTION("""COMPUTED_VALUE"""),64.9)</f>
        <v>64.900000000000006</v>
      </c>
      <c r="K136" s="1">
        <f ca="1">IFERROR(__xludf.DUMMYFUNCTION("""COMPUTED_VALUE"""),161)</f>
        <v>161</v>
      </c>
      <c r="L136" s="1">
        <f ca="1">IFERROR(__xludf.DUMMYFUNCTION("""COMPUTED_VALUE"""),-0.073)</f>
        <v>-7.2999999999999995E-2</v>
      </c>
      <c r="M136" s="1">
        <f ca="1">IFERROR(__xludf.DUMMYFUNCTION("""COMPUTED_VALUE"""),327)</f>
        <v>327</v>
      </c>
      <c r="N136" s="1" t="str">
        <f ca="1">IFERROR(__xludf.DUMMYFUNCTION("""COMPUTED_VALUE"""),"+0.84")</f>
        <v>+0.84</v>
      </c>
      <c r="O136" s="1">
        <f ca="1">IFERROR(__xludf.DUMMYFUNCTION("""COMPUTED_VALUE"""),130)</f>
        <v>130</v>
      </c>
      <c r="P136" s="1">
        <f ca="1">IFERROR(__xludf.DUMMYFUNCTION("""COMPUTED_VALUE"""),105.4)</f>
        <v>105.4</v>
      </c>
      <c r="Q136" s="1">
        <f ca="1">IFERROR(__xludf.DUMMYFUNCTION("""COMPUTED_VALUE"""),137)</f>
        <v>137</v>
      </c>
      <c r="R136" s="1">
        <f ca="1">IFERROR(__xludf.DUMMYFUNCTION("""COMPUTED_VALUE"""),104.6)</f>
        <v>104.6</v>
      </c>
      <c r="S136" s="1">
        <f ca="1">IFERROR(__xludf.DUMMYFUNCTION("""COMPUTED_VALUE"""),134)</f>
        <v>134</v>
      </c>
      <c r="T136" s="1">
        <f ca="1">IFERROR(__xludf.DUMMYFUNCTION("""COMPUTED_VALUE"""),-7.23)</f>
        <v>-7.23</v>
      </c>
      <c r="U136" s="1">
        <f ca="1">IFERROR(__xludf.DUMMYFUNCTION("""COMPUTED_VALUE"""),330)</f>
        <v>330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IFERROR(__xludf.DUMMYFUNCTION("""COMPUTED_VALUE"""),"Drexel")</f>
        <v>Drexel</v>
      </c>
      <c r="C137" s="1" t="str">
        <f ca="1">IFERROR(__xludf.DUMMYFUNCTION("""COMPUTED_VALUE"""),"CAA")</f>
        <v>CAA</v>
      </c>
      <c r="D137" s="1" t="str">
        <f ca="1">IFERROR(__xludf.DUMMYFUNCTION("""COMPUTED_VALUE"""),"16-14")</f>
        <v>16-14</v>
      </c>
      <c r="E137" s="1" t="str">
        <f ca="1">IFERROR(__xludf.DUMMYFUNCTION("""COMPUTED_VALUE"""),"+3.47")</f>
        <v>+3.47</v>
      </c>
      <c r="F137" s="1">
        <f ca="1">IFERROR(__xludf.DUMMYFUNCTION("""COMPUTED_VALUE"""),105.2)</f>
        <v>105.2</v>
      </c>
      <c r="G137" s="1">
        <f ca="1">IFERROR(__xludf.DUMMYFUNCTION("""COMPUTED_VALUE"""),179)</f>
        <v>179</v>
      </c>
      <c r="H137" s="1">
        <f ca="1">IFERROR(__xludf.DUMMYFUNCTION("""COMPUTED_VALUE"""),101.8)</f>
        <v>101.8</v>
      </c>
      <c r="I137" s="1">
        <f ca="1">IFERROR(__xludf.DUMMYFUNCTION("""COMPUTED_VALUE"""),110)</f>
        <v>110</v>
      </c>
      <c r="J137" s="1">
        <f ca="1">IFERROR(__xludf.DUMMYFUNCTION("""COMPUTED_VALUE"""),62.4)</f>
        <v>62.4</v>
      </c>
      <c r="K137" s="1">
        <f ca="1">IFERROR(__xludf.DUMMYFUNCTION("""COMPUTED_VALUE"""),288)</f>
        <v>288</v>
      </c>
      <c r="L137" s="1">
        <f ca="1">IFERROR(__xludf.DUMMYFUNCTION("""COMPUTED_VALUE"""),-0.032)</f>
        <v>-3.2000000000000001E-2</v>
      </c>
      <c r="M137" s="1">
        <f ca="1">IFERROR(__xludf.DUMMYFUNCTION("""COMPUTED_VALUE"""),248)</f>
        <v>248</v>
      </c>
      <c r="N137" s="1" t="str">
        <f ca="1">IFERROR(__xludf.DUMMYFUNCTION("""COMPUTED_VALUE"""),"+0.37")</f>
        <v>+0.37</v>
      </c>
      <c r="O137" s="1">
        <f ca="1">IFERROR(__xludf.DUMMYFUNCTION("""COMPUTED_VALUE"""),140)</f>
        <v>140</v>
      </c>
      <c r="P137" s="1">
        <f ca="1">IFERROR(__xludf.DUMMYFUNCTION("""COMPUTED_VALUE"""),105.7)</f>
        <v>105.7</v>
      </c>
      <c r="Q137" s="1">
        <f ca="1">IFERROR(__xludf.DUMMYFUNCTION("""COMPUTED_VALUE"""),124)</f>
        <v>124</v>
      </c>
      <c r="R137" s="1">
        <f ca="1">IFERROR(__xludf.DUMMYFUNCTION("""COMPUTED_VALUE"""),105.4)</f>
        <v>105.4</v>
      </c>
      <c r="S137" s="1">
        <f ca="1">IFERROR(__xludf.DUMMYFUNCTION("""COMPUTED_VALUE"""),172)</f>
        <v>172</v>
      </c>
      <c r="T137" s="1" t="str">
        <f ca="1">IFERROR(__xludf.DUMMYFUNCTION("""COMPUTED_VALUE"""),"+6.42")</f>
        <v>+6.42</v>
      </c>
      <c r="U137" s="1">
        <f ca="1">IFERROR(__xludf.DUMMYFUNCTION("""COMPUTED_VALUE"""),34)</f>
        <v>34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IFERROR(__xludf.DUMMYFUNCTION("""COMPUTED_VALUE"""),"Towson")</f>
        <v>Towson</v>
      </c>
      <c r="C138" s="1" t="str">
        <f ca="1">IFERROR(__xludf.DUMMYFUNCTION("""COMPUTED_VALUE"""),"CAA")</f>
        <v>CAA</v>
      </c>
      <c r="D138" s="1" t="str">
        <f ca="1">IFERROR(__xludf.DUMMYFUNCTION("""COMPUTED_VALUE"""),"25-11")</f>
        <v>25-11</v>
      </c>
      <c r="E138" s="1" t="str">
        <f ca="1">IFERROR(__xludf.DUMMYFUNCTION("""COMPUTED_VALUE"""),"+3.45")</f>
        <v>+3.45</v>
      </c>
      <c r="F138" s="1">
        <f ca="1">IFERROR(__xludf.DUMMYFUNCTION("""COMPUTED_VALUE"""),110.6)</f>
        <v>110.6</v>
      </c>
      <c r="G138" s="1">
        <f ca="1">IFERROR(__xludf.DUMMYFUNCTION("""COMPUTED_VALUE"""),79)</f>
        <v>79</v>
      </c>
      <c r="H138" s="1">
        <f ca="1">IFERROR(__xludf.DUMMYFUNCTION("""COMPUTED_VALUE"""),107.2)</f>
        <v>107.2</v>
      </c>
      <c r="I138" s="1">
        <f ca="1">IFERROR(__xludf.DUMMYFUNCTION("""COMPUTED_VALUE"""),214)</f>
        <v>214</v>
      </c>
      <c r="J138" s="1">
        <f ca="1">IFERROR(__xludf.DUMMYFUNCTION("""COMPUTED_VALUE"""),63.9)</f>
        <v>63.9</v>
      </c>
      <c r="K138" s="1">
        <f ca="1">IFERROR(__xludf.DUMMYFUNCTION("""COMPUTED_VALUE"""),220)</f>
        <v>220</v>
      </c>
      <c r="L138" s="1" t="str">
        <f ca="1">IFERROR(__xludf.DUMMYFUNCTION("""COMPUTED_VALUE"""),"+.080")</f>
        <v>+.080</v>
      </c>
      <c r="M138" s="1">
        <f ca="1">IFERROR(__xludf.DUMMYFUNCTION("""COMPUTED_VALUE"""),24)</f>
        <v>24</v>
      </c>
      <c r="N138" s="1">
        <f ca="1">IFERROR(__xludf.DUMMYFUNCTION("""COMPUTED_VALUE"""),-3.45)</f>
        <v>-3.45</v>
      </c>
      <c r="O138" s="1">
        <f ca="1">IFERROR(__xludf.DUMMYFUNCTION("""COMPUTED_VALUE"""),230)</f>
        <v>230</v>
      </c>
      <c r="P138" s="1">
        <f ca="1">IFERROR(__xludf.DUMMYFUNCTION("""COMPUTED_VALUE"""),103.7)</f>
        <v>103.7</v>
      </c>
      <c r="Q138" s="1">
        <f ca="1">IFERROR(__xludf.DUMMYFUNCTION("""COMPUTED_VALUE"""),209)</f>
        <v>209</v>
      </c>
      <c r="R138" s="1">
        <f ca="1">IFERROR(__xludf.DUMMYFUNCTION("""COMPUTED_VALUE"""),107.1)</f>
        <v>107.1</v>
      </c>
      <c r="S138" s="1">
        <f ca="1">IFERROR(__xludf.DUMMYFUNCTION("""COMPUTED_VALUE"""),252)</f>
        <v>252</v>
      </c>
      <c r="T138" s="1">
        <f ca="1">IFERROR(__xludf.DUMMYFUNCTION("""COMPUTED_VALUE"""),-4.9)</f>
        <v>-4.9000000000000004</v>
      </c>
      <c r="U138" s="1">
        <f ca="1">IFERROR(__xludf.DUMMYFUNCTION("""COMPUTED_VALUE"""),300)</f>
        <v>300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IFERROR(__xludf.DUMMYFUNCTION("""COMPUTED_VALUE"""),"Western Michigan14")</f>
        <v>Western Michigan14</v>
      </c>
      <c r="C139" s="1" t="str">
        <f ca="1">IFERROR(__xludf.DUMMYFUNCTION("""COMPUTED_VALUE"""),"MAC")</f>
        <v>MAC</v>
      </c>
      <c r="D139" s="1" t="str">
        <f ca="1">IFERROR(__xludf.DUMMYFUNCTION("""COMPUTED_VALUE"""),"23-10")</f>
        <v>23-10</v>
      </c>
      <c r="E139" s="1" t="str">
        <f ca="1">IFERROR(__xludf.DUMMYFUNCTION("""COMPUTED_VALUE"""),"+3.36")</f>
        <v>+3.36</v>
      </c>
      <c r="F139" s="1">
        <f ca="1">IFERROR(__xludf.DUMMYFUNCTION("""COMPUTED_VALUE"""),106.3)</f>
        <v>106.3</v>
      </c>
      <c r="G139" s="1">
        <f ca="1">IFERROR(__xludf.DUMMYFUNCTION("""COMPUTED_VALUE"""),152)</f>
        <v>152</v>
      </c>
      <c r="H139" s="1">
        <f ca="1">IFERROR(__xludf.DUMMYFUNCTION("""COMPUTED_VALUE"""),103)</f>
        <v>103</v>
      </c>
      <c r="I139" s="1">
        <f ca="1">IFERROR(__xludf.DUMMYFUNCTION("""COMPUTED_VALUE"""),130)</f>
        <v>130</v>
      </c>
      <c r="J139" s="1">
        <f ca="1">IFERROR(__xludf.DUMMYFUNCTION("""COMPUTED_VALUE"""),65.2)</f>
        <v>65.2</v>
      </c>
      <c r="K139" s="1">
        <f ca="1">IFERROR(__xludf.DUMMYFUNCTION("""COMPUTED_VALUE"""),151)</f>
        <v>151</v>
      </c>
      <c r="L139" s="1" t="str">
        <f ca="1">IFERROR(__xludf.DUMMYFUNCTION("""COMPUTED_VALUE"""),"+.098")</f>
        <v>+.098</v>
      </c>
      <c r="M139" s="1">
        <f ca="1">IFERROR(__xludf.DUMMYFUNCTION("""COMPUTED_VALUE"""),10)</f>
        <v>10</v>
      </c>
      <c r="N139" s="1">
        <f ca="1">IFERROR(__xludf.DUMMYFUNCTION("""COMPUTED_VALUE"""),-1.86)</f>
        <v>-1.86</v>
      </c>
      <c r="O139" s="1">
        <f ca="1">IFERROR(__xludf.DUMMYFUNCTION("""COMPUTED_VALUE"""),188)</f>
        <v>188</v>
      </c>
      <c r="P139" s="1">
        <f ca="1">IFERROR(__xludf.DUMMYFUNCTION("""COMPUTED_VALUE"""),103.9)</f>
        <v>103.9</v>
      </c>
      <c r="Q139" s="1">
        <f ca="1">IFERROR(__xludf.DUMMYFUNCTION("""COMPUTED_VALUE"""),202)</f>
        <v>202</v>
      </c>
      <c r="R139" s="1">
        <f ca="1">IFERROR(__xludf.DUMMYFUNCTION("""COMPUTED_VALUE"""),105.7)</f>
        <v>105.7</v>
      </c>
      <c r="S139" s="1">
        <f ca="1">IFERROR(__xludf.DUMMYFUNCTION("""COMPUTED_VALUE"""),187)</f>
        <v>187</v>
      </c>
      <c r="T139" s="1">
        <f ca="1">IFERROR(__xludf.DUMMYFUNCTION("""COMPUTED_VALUE"""),-3.25)</f>
        <v>-3.25</v>
      </c>
      <c r="U139" s="1">
        <f ca="1">IFERROR(__xludf.DUMMYFUNCTION("""COMPUTED_VALUE"""),261)</f>
        <v>261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IFERROR(__xludf.DUMMYFUNCTION("""COMPUTED_VALUE"""),"Houston")</f>
        <v>Houston</v>
      </c>
      <c r="C140" s="1" t="str">
        <f ca="1">IFERROR(__xludf.DUMMYFUNCTION("""COMPUTED_VALUE"""),"Amer")</f>
        <v>Amer</v>
      </c>
      <c r="D140" s="1" t="str">
        <f ca="1">IFERROR(__xludf.DUMMYFUNCTION("""COMPUTED_VALUE"""),"17-16")</f>
        <v>17-16</v>
      </c>
      <c r="E140" s="1" t="str">
        <f ca="1">IFERROR(__xludf.DUMMYFUNCTION("""COMPUTED_VALUE"""),"+3.35")</f>
        <v>+3.35</v>
      </c>
      <c r="F140" s="1">
        <f ca="1">IFERROR(__xludf.DUMMYFUNCTION("""COMPUTED_VALUE"""),111.1)</f>
        <v>111.1</v>
      </c>
      <c r="G140" s="1">
        <f ca="1">IFERROR(__xludf.DUMMYFUNCTION("""COMPUTED_VALUE"""),70)</f>
        <v>70</v>
      </c>
      <c r="H140" s="1">
        <f ca="1">IFERROR(__xludf.DUMMYFUNCTION("""COMPUTED_VALUE"""),107.7)</f>
        <v>107.7</v>
      </c>
      <c r="I140" s="1">
        <f ca="1">IFERROR(__xludf.DUMMYFUNCTION("""COMPUTED_VALUE"""),225)</f>
        <v>225</v>
      </c>
      <c r="J140" s="1">
        <f ca="1">IFERROR(__xludf.DUMMYFUNCTION("""COMPUTED_VALUE"""),65.4)</f>
        <v>65.400000000000006</v>
      </c>
      <c r="K140" s="1">
        <f ca="1">IFERROR(__xludf.DUMMYFUNCTION("""COMPUTED_VALUE"""),136)</f>
        <v>136</v>
      </c>
      <c r="L140" s="1" t="str">
        <f ca="1">IFERROR(__xludf.DUMMYFUNCTION("""COMPUTED_VALUE"""),"+.057")</f>
        <v>+.057</v>
      </c>
      <c r="M140" s="1">
        <f ca="1">IFERROR(__xludf.DUMMYFUNCTION("""COMPUTED_VALUE"""),58)</f>
        <v>58</v>
      </c>
      <c r="N140" s="1" t="str">
        <f ca="1">IFERROR(__xludf.DUMMYFUNCTION("""COMPUTED_VALUE"""),"+4.37")</f>
        <v>+4.37</v>
      </c>
      <c r="O140" s="1">
        <f ca="1">IFERROR(__xludf.DUMMYFUNCTION("""COMPUTED_VALUE"""),94)</f>
        <v>94</v>
      </c>
      <c r="P140" s="1">
        <f ca="1">IFERROR(__xludf.DUMMYFUNCTION("""COMPUTED_VALUE"""),105.9)</f>
        <v>105.9</v>
      </c>
      <c r="Q140" s="1">
        <f ca="1">IFERROR(__xludf.DUMMYFUNCTION("""COMPUTED_VALUE"""),117)</f>
        <v>117</v>
      </c>
      <c r="R140" s="1">
        <f ca="1">IFERROR(__xludf.DUMMYFUNCTION("""COMPUTED_VALUE"""),101.5)</f>
        <v>101.5</v>
      </c>
      <c r="S140" s="1">
        <f ca="1">IFERROR(__xludf.DUMMYFUNCTION("""COMPUTED_VALUE"""),57)</f>
        <v>57</v>
      </c>
      <c r="T140" s="1">
        <f ca="1">IFERROR(__xludf.DUMMYFUNCTION("""COMPUTED_VALUE"""),-9.04)</f>
        <v>-9.0399999999999991</v>
      </c>
      <c r="U140" s="1">
        <f ca="1">IFERROR(__xludf.DUMMYFUNCTION("""COMPUTED_VALUE"""),344)</f>
        <v>344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IFERROR(__xludf.DUMMYFUNCTION("""COMPUTED_VALUE"""),"Wright St.")</f>
        <v>Wright St.</v>
      </c>
      <c r="C141" s="1" t="str">
        <f ca="1">IFERROR(__xludf.DUMMYFUNCTION("""COMPUTED_VALUE"""),"Horz")</f>
        <v>Horz</v>
      </c>
      <c r="D141" s="1" t="str">
        <f ca="1">IFERROR(__xludf.DUMMYFUNCTION("""COMPUTED_VALUE"""),"21-15")</f>
        <v>21-15</v>
      </c>
      <c r="E141" s="1" t="str">
        <f ca="1">IFERROR(__xludf.DUMMYFUNCTION("""COMPUTED_VALUE"""),"+3.35")</f>
        <v>+3.35</v>
      </c>
      <c r="F141" s="1">
        <f ca="1">IFERROR(__xludf.DUMMYFUNCTION("""COMPUTED_VALUE"""),100.4)</f>
        <v>100.4</v>
      </c>
      <c r="G141" s="1">
        <f ca="1">IFERROR(__xludf.DUMMYFUNCTION("""COMPUTED_VALUE"""),256)</f>
        <v>256</v>
      </c>
      <c r="H141" s="1">
        <f ca="1">IFERROR(__xludf.DUMMYFUNCTION("""COMPUTED_VALUE"""),97.1)</f>
        <v>97.1</v>
      </c>
      <c r="I141" s="1">
        <f ca="1">IFERROR(__xludf.DUMMYFUNCTION("""COMPUTED_VALUE"""),49)</f>
        <v>49</v>
      </c>
      <c r="J141" s="1">
        <f ca="1">IFERROR(__xludf.DUMMYFUNCTION("""COMPUTED_VALUE"""),63.4)</f>
        <v>63.4</v>
      </c>
      <c r="K141" s="1">
        <f ca="1">IFERROR(__xludf.DUMMYFUNCTION("""COMPUTED_VALUE"""),244)</f>
        <v>244</v>
      </c>
      <c r="L141" s="1">
        <f ca="1">IFERROR(__xludf.DUMMYFUNCTION("""COMPUTED_VALUE"""),-0.062)</f>
        <v>-6.2E-2</v>
      </c>
      <c r="M141" s="1">
        <f ca="1">IFERROR(__xludf.DUMMYFUNCTION("""COMPUTED_VALUE"""),314)</f>
        <v>314</v>
      </c>
      <c r="N141" s="1">
        <f ca="1">IFERROR(__xludf.DUMMYFUNCTION("""COMPUTED_VALUE"""),-2.58)</f>
        <v>-2.58</v>
      </c>
      <c r="O141" s="1">
        <f ca="1">IFERROR(__xludf.DUMMYFUNCTION("""COMPUTED_VALUE"""),206)</f>
        <v>206</v>
      </c>
      <c r="P141" s="1">
        <f ca="1">IFERROR(__xludf.DUMMYFUNCTION("""COMPUTED_VALUE"""),103.9)</f>
        <v>103.9</v>
      </c>
      <c r="Q141" s="1">
        <f ca="1">IFERROR(__xludf.DUMMYFUNCTION("""COMPUTED_VALUE"""),200)</f>
        <v>200</v>
      </c>
      <c r="R141" s="1">
        <f ca="1">IFERROR(__xludf.DUMMYFUNCTION("""COMPUTED_VALUE"""),106.5)</f>
        <v>106.5</v>
      </c>
      <c r="S141" s="1">
        <f ca="1">IFERROR(__xludf.DUMMYFUNCTION("""COMPUTED_VALUE"""),219)</f>
        <v>219</v>
      </c>
      <c r="T141" s="1">
        <f ca="1">IFERROR(__xludf.DUMMYFUNCTION("""COMPUTED_VALUE"""),-7.41)</f>
        <v>-7.41</v>
      </c>
      <c r="U141" s="1">
        <f ca="1">IFERROR(__xludf.DUMMYFUNCTION("""COMPUTED_VALUE"""),333)</f>
        <v>333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IFERROR(__xludf.DUMMYFUNCTION("""COMPUTED_VALUE"""),"Northwestern")</f>
        <v>Northwestern</v>
      </c>
      <c r="C142" s="1" t="str">
        <f ca="1">IFERROR(__xludf.DUMMYFUNCTION("""COMPUTED_VALUE"""),"B10")</f>
        <v>B10</v>
      </c>
      <c r="D142" s="1" t="str">
        <f ca="1">IFERROR(__xludf.DUMMYFUNCTION("""COMPUTED_VALUE"""),"14-19")</f>
        <v>14-19</v>
      </c>
      <c r="E142" s="1" t="str">
        <f ca="1">IFERROR(__xludf.DUMMYFUNCTION("""COMPUTED_VALUE"""),"+3.33")</f>
        <v>+3.33</v>
      </c>
      <c r="F142" s="1">
        <f ca="1">IFERROR(__xludf.DUMMYFUNCTION("""COMPUTED_VALUE"""),98.3)</f>
        <v>98.3</v>
      </c>
      <c r="G142" s="1">
        <f ca="1">IFERROR(__xludf.DUMMYFUNCTION("""COMPUTED_VALUE"""),288)</f>
        <v>288</v>
      </c>
      <c r="H142" s="1">
        <f ca="1">IFERROR(__xludf.DUMMYFUNCTION("""COMPUTED_VALUE"""),94.9)</f>
        <v>94.9</v>
      </c>
      <c r="I142" s="1">
        <f ca="1">IFERROR(__xludf.DUMMYFUNCTION("""COMPUTED_VALUE"""),23)</f>
        <v>23</v>
      </c>
      <c r="J142" s="1">
        <f ca="1">IFERROR(__xludf.DUMMYFUNCTION("""COMPUTED_VALUE"""),59.9)</f>
        <v>59.9</v>
      </c>
      <c r="K142" s="1">
        <f ca="1">IFERROR(__xludf.DUMMYFUNCTION("""COMPUTED_VALUE"""),341)</f>
        <v>341</v>
      </c>
      <c r="L142" s="1" t="str">
        <f ca="1">IFERROR(__xludf.DUMMYFUNCTION("""COMPUTED_VALUE"""),"+.033")</f>
        <v>+.033</v>
      </c>
      <c r="M142" s="1">
        <f ca="1">IFERROR(__xludf.DUMMYFUNCTION("""COMPUTED_VALUE"""),101)</f>
        <v>101</v>
      </c>
      <c r="N142" s="1" t="str">
        <f ca="1">IFERROR(__xludf.DUMMYFUNCTION("""COMPUTED_VALUE"""),"+9.51")</f>
        <v>+9.51</v>
      </c>
      <c r="O142" s="1">
        <f ca="1">IFERROR(__xludf.DUMMYFUNCTION("""COMPUTED_VALUE"""),12)</f>
        <v>12</v>
      </c>
      <c r="P142" s="1">
        <f ca="1">IFERROR(__xludf.DUMMYFUNCTION("""COMPUTED_VALUE"""),110.2)</f>
        <v>110.2</v>
      </c>
      <c r="Q142" s="1">
        <f ca="1">IFERROR(__xludf.DUMMYFUNCTION("""COMPUTED_VALUE"""),14)</f>
        <v>14</v>
      </c>
      <c r="R142" s="1">
        <f ca="1">IFERROR(__xludf.DUMMYFUNCTION("""COMPUTED_VALUE"""),100.7)</f>
        <v>100.7</v>
      </c>
      <c r="S142" s="1">
        <f ca="1">IFERROR(__xludf.DUMMYFUNCTION("""COMPUTED_VALUE"""),23)</f>
        <v>23</v>
      </c>
      <c r="T142" s="1">
        <f ca="1">IFERROR(__xludf.DUMMYFUNCTION("""COMPUTED_VALUE"""),-3.83)</f>
        <v>-3.83</v>
      </c>
      <c r="U142" s="1">
        <f ca="1">IFERROR(__xludf.DUMMYFUNCTION("""COMPUTED_VALUE"""),281)</f>
        <v>281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IFERROR(__xludf.DUMMYFUNCTION("""COMPUTED_VALUE"""),"Murray St.")</f>
        <v>Murray St.</v>
      </c>
      <c r="C143" s="1" t="str">
        <f ca="1">IFERROR(__xludf.DUMMYFUNCTION("""COMPUTED_VALUE"""),"OVC")</f>
        <v>OVC</v>
      </c>
      <c r="D143" s="1" t="str">
        <f ca="1">IFERROR(__xludf.DUMMYFUNCTION("""COMPUTED_VALUE"""),"23-11")</f>
        <v>23-11</v>
      </c>
      <c r="E143" s="1" t="str">
        <f ca="1">IFERROR(__xludf.DUMMYFUNCTION("""COMPUTED_VALUE"""),"+3.23")</f>
        <v>+3.23</v>
      </c>
      <c r="F143" s="1">
        <f ca="1">IFERROR(__xludf.DUMMYFUNCTION("""COMPUTED_VALUE"""),109)</f>
        <v>109</v>
      </c>
      <c r="G143" s="1">
        <f ca="1">IFERROR(__xludf.DUMMYFUNCTION("""COMPUTED_VALUE"""),107)</f>
        <v>107</v>
      </c>
      <c r="H143" s="1">
        <f ca="1">IFERROR(__xludf.DUMMYFUNCTION("""COMPUTED_VALUE"""),105.8)</f>
        <v>105.8</v>
      </c>
      <c r="I143" s="1">
        <f ca="1">IFERROR(__xludf.DUMMYFUNCTION("""COMPUTED_VALUE"""),182)</f>
        <v>182</v>
      </c>
      <c r="J143" s="1">
        <f ca="1">IFERROR(__xludf.DUMMYFUNCTION("""COMPUTED_VALUE"""),66.2)</f>
        <v>66.2</v>
      </c>
      <c r="K143" s="1">
        <f ca="1">IFERROR(__xludf.DUMMYFUNCTION("""COMPUTED_VALUE"""),100)</f>
        <v>100</v>
      </c>
      <c r="L143" s="1" t="str">
        <f ca="1">IFERROR(__xludf.DUMMYFUNCTION("""COMPUTED_VALUE"""),"+.032")</f>
        <v>+.032</v>
      </c>
      <c r="M143" s="1">
        <f ca="1">IFERROR(__xludf.DUMMYFUNCTION("""COMPUTED_VALUE"""),108)</f>
        <v>108</v>
      </c>
      <c r="N143" s="1">
        <f ca="1">IFERROR(__xludf.DUMMYFUNCTION("""COMPUTED_VALUE"""),-4.46)</f>
        <v>-4.46</v>
      </c>
      <c r="O143" s="1">
        <f ca="1">IFERROR(__xludf.DUMMYFUNCTION("""COMPUTED_VALUE"""),249)</f>
        <v>249</v>
      </c>
      <c r="P143" s="1">
        <f ca="1">IFERROR(__xludf.DUMMYFUNCTION("""COMPUTED_VALUE"""),104.3)</f>
        <v>104.3</v>
      </c>
      <c r="Q143" s="1">
        <f ca="1">IFERROR(__xludf.DUMMYFUNCTION("""COMPUTED_VALUE"""),178)</f>
        <v>178</v>
      </c>
      <c r="R143" s="1">
        <f ca="1">IFERROR(__xludf.DUMMYFUNCTION("""COMPUTED_VALUE"""),108.8)</f>
        <v>108.8</v>
      </c>
      <c r="S143" s="1">
        <f ca="1">IFERROR(__xludf.DUMMYFUNCTION("""COMPUTED_VALUE"""),298)</f>
        <v>298</v>
      </c>
      <c r="T143" s="1" t="str">
        <f ca="1">IFERROR(__xludf.DUMMYFUNCTION("""COMPUTED_VALUE"""),"+2.86")</f>
        <v>+2.86</v>
      </c>
      <c r="U143" s="1">
        <f ca="1">IFERROR(__xludf.DUMMYFUNCTION("""COMPUTED_VALUE"""),81)</f>
        <v>81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IFERROR(__xludf.DUMMYFUNCTION("""COMPUTED_VALUE"""),"Eastern Michigan")</f>
        <v>Eastern Michigan</v>
      </c>
      <c r="C144" s="1" t="str">
        <f ca="1">IFERROR(__xludf.DUMMYFUNCTION("""COMPUTED_VALUE"""),"MAC")</f>
        <v>MAC</v>
      </c>
      <c r="D144" s="1" t="str">
        <f ca="1">IFERROR(__xludf.DUMMYFUNCTION("""COMPUTED_VALUE"""),"22-15")</f>
        <v>22-15</v>
      </c>
      <c r="E144" s="1" t="str">
        <f ca="1">IFERROR(__xludf.DUMMYFUNCTION("""COMPUTED_VALUE"""),"+3.17")</f>
        <v>+3.17</v>
      </c>
      <c r="F144" s="1">
        <f ca="1">IFERROR(__xludf.DUMMYFUNCTION("""COMPUTED_VALUE"""),98.5)</f>
        <v>98.5</v>
      </c>
      <c r="G144" s="1">
        <f ca="1">IFERROR(__xludf.DUMMYFUNCTION("""COMPUTED_VALUE"""),284)</f>
        <v>284</v>
      </c>
      <c r="H144" s="1">
        <f ca="1">IFERROR(__xludf.DUMMYFUNCTION("""COMPUTED_VALUE"""),95.3)</f>
        <v>95.3</v>
      </c>
      <c r="I144" s="1">
        <f ca="1">IFERROR(__xludf.DUMMYFUNCTION("""COMPUTED_VALUE"""),28)</f>
        <v>28</v>
      </c>
      <c r="J144" s="1">
        <f ca="1">IFERROR(__xludf.DUMMYFUNCTION("""COMPUTED_VALUE"""),63)</f>
        <v>63</v>
      </c>
      <c r="K144" s="1">
        <f ca="1">IFERROR(__xludf.DUMMYFUNCTION("""COMPUTED_VALUE"""),259)</f>
        <v>259</v>
      </c>
      <c r="L144" s="1" t="str">
        <f ca="1">IFERROR(__xludf.DUMMYFUNCTION("""COMPUTED_VALUE"""),"+.019")</f>
        <v>+.019</v>
      </c>
      <c r="M144" s="1">
        <f ca="1">IFERROR(__xludf.DUMMYFUNCTION("""COMPUTED_VALUE"""),135)</f>
        <v>135</v>
      </c>
      <c r="N144" s="1" t="str">
        <f ca="1">IFERROR(__xludf.DUMMYFUNCTION("""COMPUTED_VALUE"""),"+0.36")</f>
        <v>+0.36</v>
      </c>
      <c r="O144" s="1">
        <f ca="1">IFERROR(__xludf.DUMMYFUNCTION("""COMPUTED_VALUE"""),141)</f>
        <v>141</v>
      </c>
      <c r="P144" s="1">
        <f ca="1">IFERROR(__xludf.DUMMYFUNCTION("""COMPUTED_VALUE"""),105.4)</f>
        <v>105.4</v>
      </c>
      <c r="Q144" s="1">
        <f ca="1">IFERROR(__xludf.DUMMYFUNCTION("""COMPUTED_VALUE"""),138)</f>
        <v>138</v>
      </c>
      <c r="R144" s="1">
        <f ca="1">IFERROR(__xludf.DUMMYFUNCTION("""COMPUTED_VALUE"""),105)</f>
        <v>105</v>
      </c>
      <c r="S144" s="1">
        <f ca="1">IFERROR(__xludf.DUMMYFUNCTION("""COMPUTED_VALUE"""),154)</f>
        <v>154</v>
      </c>
      <c r="T144" s="1" t="str">
        <f ca="1">IFERROR(__xludf.DUMMYFUNCTION("""COMPUTED_VALUE"""),"+8.94")</f>
        <v>+8.94</v>
      </c>
      <c r="U144" s="1">
        <f ca="1">IFERROR(__xludf.DUMMYFUNCTION("""COMPUTED_VALUE"""),13)</f>
        <v>13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IFERROR(__xludf.DUMMYFUNCTION("""COMPUTED_VALUE"""),"Hawaii")</f>
        <v>Hawaii</v>
      </c>
      <c r="C145" s="1" t="str">
        <f ca="1">IFERROR(__xludf.DUMMYFUNCTION("""COMPUTED_VALUE"""),"BW")</f>
        <v>BW</v>
      </c>
      <c r="D145" s="1" t="str">
        <f ca="1">IFERROR(__xludf.DUMMYFUNCTION("""COMPUTED_VALUE"""),"20-11")</f>
        <v>20-11</v>
      </c>
      <c r="E145" s="1" t="str">
        <f ca="1">IFERROR(__xludf.DUMMYFUNCTION("""COMPUTED_VALUE"""),"+3.03")</f>
        <v>+3.03</v>
      </c>
      <c r="F145" s="1">
        <f ca="1">IFERROR(__xludf.DUMMYFUNCTION("""COMPUTED_VALUE"""),111)</f>
        <v>111</v>
      </c>
      <c r="G145" s="1">
        <f ca="1">IFERROR(__xludf.DUMMYFUNCTION("""COMPUTED_VALUE"""),72)</f>
        <v>72</v>
      </c>
      <c r="H145" s="1">
        <f ca="1">IFERROR(__xludf.DUMMYFUNCTION("""COMPUTED_VALUE"""),108)</f>
        <v>108</v>
      </c>
      <c r="I145" s="1">
        <f ca="1">IFERROR(__xludf.DUMMYFUNCTION("""COMPUTED_VALUE"""),229)</f>
        <v>229</v>
      </c>
      <c r="J145" s="1">
        <f ca="1">IFERROR(__xludf.DUMMYFUNCTION("""COMPUTED_VALUE"""),66.9)</f>
        <v>66.900000000000006</v>
      </c>
      <c r="K145" s="1">
        <f ca="1">IFERROR(__xludf.DUMMYFUNCTION("""COMPUTED_VALUE"""),68)</f>
        <v>68</v>
      </c>
      <c r="L145" s="1">
        <f ca="1">IFERROR(__xludf.DUMMYFUNCTION("""COMPUTED_VALUE"""),-0.045)</f>
        <v>-4.4999999999999998E-2</v>
      </c>
      <c r="M145" s="1">
        <f ca="1">IFERROR(__xludf.DUMMYFUNCTION("""COMPUTED_VALUE"""),280)</f>
        <v>280</v>
      </c>
      <c r="N145" s="1">
        <f ca="1">IFERROR(__xludf.DUMMYFUNCTION("""COMPUTED_VALUE"""),-3.89)</f>
        <v>-3.89</v>
      </c>
      <c r="O145" s="1">
        <f ca="1">IFERROR(__xludf.DUMMYFUNCTION("""COMPUTED_VALUE"""),237)</f>
        <v>237</v>
      </c>
      <c r="P145" s="1">
        <f ca="1">IFERROR(__xludf.DUMMYFUNCTION("""COMPUTED_VALUE"""),104)</f>
        <v>104</v>
      </c>
      <c r="Q145" s="1">
        <f ca="1">IFERROR(__xludf.DUMMYFUNCTION("""COMPUTED_VALUE"""),191)</f>
        <v>191</v>
      </c>
      <c r="R145" s="1">
        <f ca="1">IFERROR(__xludf.DUMMYFUNCTION("""COMPUTED_VALUE"""),107.9)</f>
        <v>107.9</v>
      </c>
      <c r="S145" s="1">
        <f ca="1">IFERROR(__xludf.DUMMYFUNCTION("""COMPUTED_VALUE"""),275)</f>
        <v>275</v>
      </c>
      <c r="T145" s="1">
        <f ca="1">IFERROR(__xludf.DUMMYFUNCTION("""COMPUTED_VALUE"""),-4.32)</f>
        <v>-4.32</v>
      </c>
      <c r="U145" s="1">
        <f ca="1">IFERROR(__xludf.DUMMYFUNCTION("""COMPUTED_VALUE"""),290)</f>
        <v>290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IFERROR(__xludf.DUMMYFUNCTION("""COMPUTED_VALUE"""),"San Diego")</f>
        <v>San Diego</v>
      </c>
      <c r="C146" s="1" t="str">
        <f ca="1">IFERROR(__xludf.DUMMYFUNCTION("""COMPUTED_VALUE"""),"WCC")</f>
        <v>WCC</v>
      </c>
      <c r="D146" s="1" t="str">
        <f ca="1">IFERROR(__xludf.DUMMYFUNCTION("""COMPUTED_VALUE"""),"18-17")</f>
        <v>18-17</v>
      </c>
      <c r="E146" s="1" t="str">
        <f ca="1">IFERROR(__xludf.DUMMYFUNCTION("""COMPUTED_VALUE"""),"+2.98")</f>
        <v>+2.98</v>
      </c>
      <c r="F146" s="1">
        <f ca="1">IFERROR(__xludf.DUMMYFUNCTION("""COMPUTED_VALUE"""),105.4)</f>
        <v>105.4</v>
      </c>
      <c r="G146" s="1">
        <f ca="1">IFERROR(__xludf.DUMMYFUNCTION("""COMPUTED_VALUE"""),172)</f>
        <v>172</v>
      </c>
      <c r="H146" s="1">
        <f ca="1">IFERROR(__xludf.DUMMYFUNCTION("""COMPUTED_VALUE"""),102.5)</f>
        <v>102.5</v>
      </c>
      <c r="I146" s="1">
        <f ca="1">IFERROR(__xludf.DUMMYFUNCTION("""COMPUTED_VALUE"""),122)</f>
        <v>122</v>
      </c>
      <c r="J146" s="1">
        <f ca="1">IFERROR(__xludf.DUMMYFUNCTION("""COMPUTED_VALUE"""),61.7)</f>
        <v>61.7</v>
      </c>
      <c r="K146" s="1">
        <f ca="1">IFERROR(__xludf.DUMMYFUNCTION("""COMPUTED_VALUE"""),312)</f>
        <v>312</v>
      </c>
      <c r="L146" s="1">
        <f ca="1">IFERROR(__xludf.DUMMYFUNCTION("""COMPUTED_VALUE"""),-0.02)</f>
        <v>-0.02</v>
      </c>
      <c r="M146" s="1">
        <f ca="1">IFERROR(__xludf.DUMMYFUNCTION("""COMPUTED_VALUE"""),227)</f>
        <v>227</v>
      </c>
      <c r="N146" s="1" t="str">
        <f ca="1">IFERROR(__xludf.DUMMYFUNCTION("""COMPUTED_VALUE"""),"+2.08")</f>
        <v>+2.08</v>
      </c>
      <c r="O146" s="1">
        <f ca="1">IFERROR(__xludf.DUMMYFUNCTION("""COMPUTED_VALUE"""),112)</f>
        <v>112</v>
      </c>
      <c r="P146" s="1">
        <f ca="1">IFERROR(__xludf.DUMMYFUNCTION("""COMPUTED_VALUE"""),107.3)</f>
        <v>107.3</v>
      </c>
      <c r="Q146" s="1">
        <f ca="1">IFERROR(__xludf.DUMMYFUNCTION("""COMPUTED_VALUE"""),90)</f>
        <v>90</v>
      </c>
      <c r="R146" s="1">
        <f ca="1">IFERROR(__xludf.DUMMYFUNCTION("""COMPUTED_VALUE"""),105.3)</f>
        <v>105.3</v>
      </c>
      <c r="S146" s="1">
        <f ca="1">IFERROR(__xludf.DUMMYFUNCTION("""COMPUTED_VALUE"""),169)</f>
        <v>169</v>
      </c>
      <c r="T146" s="1">
        <f ca="1">IFERROR(__xludf.DUMMYFUNCTION("""COMPUTED_VALUE"""),-4.75)</f>
        <v>-4.75</v>
      </c>
      <c r="U146" s="1">
        <f ca="1">IFERROR(__xludf.DUMMYFUNCTION("""COMPUTED_VALUE"""),296)</f>
        <v>296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IFERROR(__xludf.DUMMYFUNCTION("""COMPUTED_VALUE"""),"Denver")</f>
        <v>Denver</v>
      </c>
      <c r="C147" s="1" t="str">
        <f ca="1">IFERROR(__xludf.DUMMYFUNCTION("""COMPUTED_VALUE"""),"Sum")</f>
        <v>Sum</v>
      </c>
      <c r="D147" s="1" t="str">
        <f ca="1">IFERROR(__xludf.DUMMYFUNCTION("""COMPUTED_VALUE"""),"16-15")</f>
        <v>16-15</v>
      </c>
      <c r="E147" s="1" t="str">
        <f ca="1">IFERROR(__xludf.DUMMYFUNCTION("""COMPUTED_VALUE"""),"+2.86")</f>
        <v>+2.86</v>
      </c>
      <c r="F147" s="1">
        <f ca="1">IFERROR(__xludf.DUMMYFUNCTION("""COMPUTED_VALUE"""),110.6)</f>
        <v>110.6</v>
      </c>
      <c r="G147" s="1">
        <f ca="1">IFERROR(__xludf.DUMMYFUNCTION("""COMPUTED_VALUE"""),83)</f>
        <v>83</v>
      </c>
      <c r="H147" s="1">
        <f ca="1">IFERROR(__xludf.DUMMYFUNCTION("""COMPUTED_VALUE"""),107.7)</f>
        <v>107.7</v>
      </c>
      <c r="I147" s="1">
        <f ca="1">IFERROR(__xludf.DUMMYFUNCTION("""COMPUTED_VALUE"""),224)</f>
        <v>224</v>
      </c>
      <c r="J147" s="1">
        <f ca="1">IFERROR(__xludf.DUMMYFUNCTION("""COMPUTED_VALUE"""),57.8)</f>
        <v>57.8</v>
      </c>
      <c r="K147" s="1">
        <f ca="1">IFERROR(__xludf.DUMMYFUNCTION("""COMPUTED_VALUE"""),350)</f>
        <v>350</v>
      </c>
      <c r="L147" s="1">
        <f ca="1">IFERROR(__xludf.DUMMYFUNCTION("""COMPUTED_VALUE"""),-0.03)</f>
        <v>-0.03</v>
      </c>
      <c r="M147" s="1">
        <f ca="1">IFERROR(__xludf.DUMMYFUNCTION("""COMPUTED_VALUE"""),247)</f>
        <v>247</v>
      </c>
      <c r="N147" s="1" t="str">
        <f ca="1">IFERROR(__xludf.DUMMYFUNCTION("""COMPUTED_VALUE"""),"+0.32")</f>
        <v>+0.32</v>
      </c>
      <c r="O147" s="1">
        <f ca="1">IFERROR(__xludf.DUMMYFUNCTION("""COMPUTED_VALUE"""),142)</f>
        <v>142</v>
      </c>
      <c r="P147" s="1">
        <f ca="1">IFERROR(__xludf.DUMMYFUNCTION("""COMPUTED_VALUE"""),105.3)</f>
        <v>105.3</v>
      </c>
      <c r="Q147" s="1">
        <f ca="1">IFERROR(__xludf.DUMMYFUNCTION("""COMPUTED_VALUE"""),143)</f>
        <v>143</v>
      </c>
      <c r="R147" s="1">
        <f ca="1">IFERROR(__xludf.DUMMYFUNCTION("""COMPUTED_VALUE"""),105)</f>
        <v>105</v>
      </c>
      <c r="S147" s="1">
        <f ca="1">IFERROR(__xludf.DUMMYFUNCTION("""COMPUTED_VALUE"""),150)</f>
        <v>150</v>
      </c>
      <c r="T147" s="1" t="str">
        <f ca="1">IFERROR(__xludf.DUMMYFUNCTION("""COMPUTED_VALUE"""),"+3.83")</f>
        <v>+3.83</v>
      </c>
      <c r="U147" s="1">
        <f ca="1">IFERROR(__xludf.DUMMYFUNCTION("""COMPUTED_VALUE"""),62)</f>
        <v>62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IFERROR(__xludf.DUMMYFUNCTION("""COMPUTED_VALUE"""),"South Dakota St.")</f>
        <v>South Dakota St.</v>
      </c>
      <c r="C148" s="1" t="str">
        <f ca="1">IFERROR(__xludf.DUMMYFUNCTION("""COMPUTED_VALUE"""),"Sum")</f>
        <v>Sum</v>
      </c>
      <c r="D148" s="1" t="str">
        <f ca="1">IFERROR(__xludf.DUMMYFUNCTION("""COMPUTED_VALUE"""),"19-13")</f>
        <v>19-13</v>
      </c>
      <c r="E148" s="1" t="str">
        <f ca="1">IFERROR(__xludf.DUMMYFUNCTION("""COMPUTED_VALUE"""),"+2.77")</f>
        <v>+2.77</v>
      </c>
      <c r="F148" s="1">
        <f ca="1">IFERROR(__xludf.DUMMYFUNCTION("""COMPUTED_VALUE"""),107)</f>
        <v>107</v>
      </c>
      <c r="G148" s="1">
        <f ca="1">IFERROR(__xludf.DUMMYFUNCTION("""COMPUTED_VALUE"""),137)</f>
        <v>137</v>
      </c>
      <c r="H148" s="1">
        <f ca="1">IFERROR(__xludf.DUMMYFUNCTION("""COMPUTED_VALUE"""),104.2)</f>
        <v>104.2</v>
      </c>
      <c r="I148" s="1">
        <f ca="1">IFERROR(__xludf.DUMMYFUNCTION("""COMPUTED_VALUE"""),153)</f>
        <v>153</v>
      </c>
      <c r="J148" s="1">
        <f ca="1">IFERROR(__xludf.DUMMYFUNCTION("""COMPUTED_VALUE"""),65.5)</f>
        <v>65.5</v>
      </c>
      <c r="K148" s="1">
        <f ca="1">IFERROR(__xludf.DUMMYFUNCTION("""COMPUTED_VALUE"""),133)</f>
        <v>133</v>
      </c>
      <c r="L148" s="1">
        <f ca="1">IFERROR(__xludf.DUMMYFUNCTION("""COMPUTED_VALUE"""),-0.003)</f>
        <v>-3.0000000000000001E-3</v>
      </c>
      <c r="M148" s="1">
        <f ca="1">IFERROR(__xludf.DUMMYFUNCTION("""COMPUTED_VALUE"""),191)</f>
        <v>191</v>
      </c>
      <c r="N148" s="1">
        <f ca="1">IFERROR(__xludf.DUMMYFUNCTION("""COMPUTED_VALUE"""),-1.49)</f>
        <v>-1.49</v>
      </c>
      <c r="O148" s="1">
        <f ca="1">IFERROR(__xludf.DUMMYFUNCTION("""COMPUTED_VALUE"""),178)</f>
        <v>178</v>
      </c>
      <c r="P148" s="1">
        <f ca="1">IFERROR(__xludf.DUMMYFUNCTION("""COMPUTED_VALUE"""),104.7)</f>
        <v>104.7</v>
      </c>
      <c r="Q148" s="1">
        <f ca="1">IFERROR(__xludf.DUMMYFUNCTION("""COMPUTED_VALUE"""),161)</f>
        <v>161</v>
      </c>
      <c r="R148" s="1">
        <f ca="1">IFERROR(__xludf.DUMMYFUNCTION("""COMPUTED_VALUE"""),106.2)</f>
        <v>106.2</v>
      </c>
      <c r="S148" s="1">
        <f ca="1">IFERROR(__xludf.DUMMYFUNCTION("""COMPUTED_VALUE"""),212)</f>
        <v>212</v>
      </c>
      <c r="T148" s="1" t="str">
        <f ca="1">IFERROR(__xludf.DUMMYFUNCTION("""COMPUTED_VALUE"""),"+1.45")</f>
        <v>+1.45</v>
      </c>
      <c r="U148" s="1">
        <f ca="1">IFERROR(__xludf.DUMMYFUNCTION("""COMPUTED_VALUE"""),116)</f>
        <v>116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IFERROR(__xludf.DUMMYFUNCTION("""COMPUTED_VALUE"""),"George Mason")</f>
        <v>George Mason</v>
      </c>
      <c r="C149" s="1" t="str">
        <f ca="1">IFERROR(__xludf.DUMMYFUNCTION("""COMPUTED_VALUE"""),"A10")</f>
        <v>A10</v>
      </c>
      <c r="D149" s="2">
        <f ca="1">IFERROR(__xludf.DUMMYFUNCTION("""COMPUTED_VALUE"""),44885)</f>
        <v>44885</v>
      </c>
      <c r="E149" s="1" t="str">
        <f ca="1">IFERROR(__xludf.DUMMYFUNCTION("""COMPUTED_VALUE"""),"+2.67")</f>
        <v>+2.67</v>
      </c>
      <c r="F149" s="1">
        <f ca="1">IFERROR(__xludf.DUMMYFUNCTION("""COMPUTED_VALUE"""),105.8)</f>
        <v>105.8</v>
      </c>
      <c r="G149" s="1">
        <f ca="1">IFERROR(__xludf.DUMMYFUNCTION("""COMPUTED_VALUE"""),167)</f>
        <v>167</v>
      </c>
      <c r="H149" s="1">
        <f ca="1">IFERROR(__xludf.DUMMYFUNCTION("""COMPUTED_VALUE"""),103.2)</f>
        <v>103.2</v>
      </c>
      <c r="I149" s="1">
        <f ca="1">IFERROR(__xludf.DUMMYFUNCTION("""COMPUTED_VALUE"""),132)</f>
        <v>132</v>
      </c>
      <c r="J149" s="1">
        <f ca="1">IFERROR(__xludf.DUMMYFUNCTION("""COMPUTED_VALUE"""),65)</f>
        <v>65</v>
      </c>
      <c r="K149" s="1">
        <f ca="1">IFERROR(__xludf.DUMMYFUNCTION("""COMPUTED_VALUE"""),155)</f>
        <v>155</v>
      </c>
      <c r="L149" s="1">
        <f ca="1">IFERROR(__xludf.DUMMYFUNCTION("""COMPUTED_VALUE"""),-0.036)</f>
        <v>-3.5999999999999997E-2</v>
      </c>
      <c r="M149" s="1">
        <f ca="1">IFERROR(__xludf.DUMMYFUNCTION("""COMPUTED_VALUE"""),259)</f>
        <v>259</v>
      </c>
      <c r="N149" s="1" t="str">
        <f ca="1">IFERROR(__xludf.DUMMYFUNCTION("""COMPUTED_VALUE"""),"+5.64")</f>
        <v>+5.64</v>
      </c>
      <c r="O149" s="1">
        <f ca="1">IFERROR(__xludf.DUMMYFUNCTION("""COMPUTED_VALUE"""),73)</f>
        <v>73</v>
      </c>
      <c r="P149" s="1">
        <f ca="1">IFERROR(__xludf.DUMMYFUNCTION("""COMPUTED_VALUE"""),107.7)</f>
        <v>107.7</v>
      </c>
      <c r="Q149" s="1">
        <f ca="1">IFERROR(__xludf.DUMMYFUNCTION("""COMPUTED_VALUE"""),76)</f>
        <v>76</v>
      </c>
      <c r="R149" s="1">
        <f ca="1">IFERROR(__xludf.DUMMYFUNCTION("""COMPUTED_VALUE"""),102.1)</f>
        <v>102.1</v>
      </c>
      <c r="S149" s="1">
        <f ca="1">IFERROR(__xludf.DUMMYFUNCTION("""COMPUTED_VALUE"""),70)</f>
        <v>70</v>
      </c>
      <c r="T149" s="1" t="str">
        <f ca="1">IFERROR(__xludf.DUMMYFUNCTION("""COMPUTED_VALUE"""),"+1.77")</f>
        <v>+1.77</v>
      </c>
      <c r="U149" s="1">
        <f ca="1">IFERROR(__xludf.DUMMYFUNCTION("""COMPUTED_VALUE"""),108)</f>
        <v>108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IFERROR(__xludf.DUMMYFUNCTION("""COMPUTED_VALUE"""),"Boston College")</f>
        <v>Boston College</v>
      </c>
      <c r="C150" s="1" t="str">
        <f ca="1">IFERROR(__xludf.DUMMYFUNCTION("""COMPUTED_VALUE"""),"ACC")</f>
        <v>ACC</v>
      </c>
      <c r="D150" s="2">
        <f ca="1">IFERROR(__xludf.DUMMYFUNCTION("""COMPUTED_VALUE"""),44797)</f>
        <v>44797</v>
      </c>
      <c r="E150" s="1" t="str">
        <f ca="1">IFERROR(__xludf.DUMMYFUNCTION("""COMPUTED_VALUE"""),"+2.44")</f>
        <v>+2.44</v>
      </c>
      <c r="F150" s="1">
        <f ca="1">IFERROR(__xludf.DUMMYFUNCTION("""COMPUTED_VALUE"""),114.3)</f>
        <v>114.3</v>
      </c>
      <c r="G150" s="1">
        <f ca="1">IFERROR(__xludf.DUMMYFUNCTION("""COMPUTED_VALUE"""),32)</f>
        <v>32</v>
      </c>
      <c r="H150" s="1">
        <f ca="1">IFERROR(__xludf.DUMMYFUNCTION("""COMPUTED_VALUE"""),111.8)</f>
        <v>111.8</v>
      </c>
      <c r="I150" s="1">
        <f ca="1">IFERROR(__xludf.DUMMYFUNCTION("""COMPUTED_VALUE"""),294)</f>
        <v>294</v>
      </c>
      <c r="J150" s="1">
        <f ca="1">IFERROR(__xludf.DUMMYFUNCTION("""COMPUTED_VALUE"""),61.2)</f>
        <v>61.2</v>
      </c>
      <c r="K150" s="1">
        <f ca="1">IFERROR(__xludf.DUMMYFUNCTION("""COMPUTED_VALUE"""),321)</f>
        <v>321</v>
      </c>
      <c r="L150" s="1">
        <f ca="1">IFERROR(__xludf.DUMMYFUNCTION("""COMPUTED_VALUE"""),-0.073)</f>
        <v>-7.2999999999999995E-2</v>
      </c>
      <c r="M150" s="1">
        <f ca="1">IFERROR(__xludf.DUMMYFUNCTION("""COMPUTED_VALUE"""),328)</f>
        <v>328</v>
      </c>
      <c r="N150" s="1" t="str">
        <f ca="1">IFERROR(__xludf.DUMMYFUNCTION("""COMPUTED_VALUE"""),"+10.29")</f>
        <v>+10.29</v>
      </c>
      <c r="O150" s="1">
        <f ca="1">IFERROR(__xludf.DUMMYFUNCTION("""COMPUTED_VALUE"""),8)</f>
        <v>8</v>
      </c>
      <c r="P150" s="1">
        <f ca="1">IFERROR(__xludf.DUMMYFUNCTION("""COMPUTED_VALUE"""),109.8)</f>
        <v>109.8</v>
      </c>
      <c r="Q150" s="1">
        <f ca="1">IFERROR(__xludf.DUMMYFUNCTION("""COMPUTED_VALUE"""),22)</f>
        <v>22</v>
      </c>
      <c r="R150" s="1">
        <f ca="1">IFERROR(__xludf.DUMMYFUNCTION("""COMPUTED_VALUE"""),99.5)</f>
        <v>99.5</v>
      </c>
      <c r="S150" s="1">
        <f ca="1">IFERROR(__xludf.DUMMYFUNCTION("""COMPUTED_VALUE"""),4)</f>
        <v>4</v>
      </c>
      <c r="T150" s="1" t="str">
        <f ca="1">IFERROR(__xludf.DUMMYFUNCTION("""COMPUTED_VALUE"""),"+8.59")</f>
        <v>+8.59</v>
      </c>
      <c r="U150" s="1">
        <f ca="1">IFERROR(__xludf.DUMMYFUNCTION("""COMPUTED_VALUE"""),16)</f>
        <v>16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IFERROR(__xludf.DUMMYFUNCTION("""COMPUTED_VALUE"""),"Nevada")</f>
        <v>Nevada</v>
      </c>
      <c r="C151" s="1" t="str">
        <f ca="1">IFERROR(__xludf.DUMMYFUNCTION("""COMPUTED_VALUE"""),"MWC")</f>
        <v>MWC</v>
      </c>
      <c r="D151" s="1" t="str">
        <f ca="1">IFERROR(__xludf.DUMMYFUNCTION("""COMPUTED_VALUE"""),"15-17")</f>
        <v>15-17</v>
      </c>
      <c r="E151" s="1" t="str">
        <f ca="1">IFERROR(__xludf.DUMMYFUNCTION("""COMPUTED_VALUE"""),"+2.21")</f>
        <v>+2.21</v>
      </c>
      <c r="F151" s="1">
        <f ca="1">IFERROR(__xludf.DUMMYFUNCTION("""COMPUTED_VALUE"""),109.5)</f>
        <v>109.5</v>
      </c>
      <c r="G151" s="1">
        <f ca="1">IFERROR(__xludf.DUMMYFUNCTION("""COMPUTED_VALUE"""),100)</f>
        <v>100</v>
      </c>
      <c r="H151" s="1">
        <f ca="1">IFERROR(__xludf.DUMMYFUNCTION("""COMPUTED_VALUE"""),107.3)</f>
        <v>107.3</v>
      </c>
      <c r="I151" s="1">
        <f ca="1">IFERROR(__xludf.DUMMYFUNCTION("""COMPUTED_VALUE"""),215)</f>
        <v>215</v>
      </c>
      <c r="J151" s="1">
        <f ca="1">IFERROR(__xludf.DUMMYFUNCTION("""COMPUTED_VALUE"""),63.4)</f>
        <v>63.4</v>
      </c>
      <c r="K151" s="1">
        <f ca="1">IFERROR(__xludf.DUMMYFUNCTION("""COMPUTED_VALUE"""),246)</f>
        <v>246</v>
      </c>
      <c r="L151" s="1" t="str">
        <f ca="1">IFERROR(__xludf.DUMMYFUNCTION("""COMPUTED_VALUE"""),"+.027")</f>
        <v>+.027</v>
      </c>
      <c r="M151" s="1">
        <f ca="1">IFERROR(__xludf.DUMMYFUNCTION("""COMPUTED_VALUE"""),118)</f>
        <v>118</v>
      </c>
      <c r="N151" s="1" t="str">
        <f ca="1">IFERROR(__xludf.DUMMYFUNCTION("""COMPUTED_VALUE"""),"+3.20")</f>
        <v>+3.20</v>
      </c>
      <c r="O151" s="1">
        <f ca="1">IFERROR(__xludf.DUMMYFUNCTION("""COMPUTED_VALUE"""),107)</f>
        <v>107</v>
      </c>
      <c r="P151" s="1">
        <f ca="1">IFERROR(__xludf.DUMMYFUNCTION("""COMPUTED_VALUE"""),107.3)</f>
        <v>107.3</v>
      </c>
      <c r="Q151" s="1">
        <f ca="1">IFERROR(__xludf.DUMMYFUNCTION("""COMPUTED_VALUE"""),91)</f>
        <v>91</v>
      </c>
      <c r="R151" s="1">
        <f ca="1">IFERROR(__xludf.DUMMYFUNCTION("""COMPUTED_VALUE"""),104.1)</f>
        <v>104.1</v>
      </c>
      <c r="S151" s="1">
        <f ca="1">IFERROR(__xludf.DUMMYFUNCTION("""COMPUTED_VALUE"""),115)</f>
        <v>115</v>
      </c>
      <c r="T151" s="1" t="str">
        <f ca="1">IFERROR(__xludf.DUMMYFUNCTION("""COMPUTED_VALUE"""),"+1.31")</f>
        <v>+1.31</v>
      </c>
      <c r="U151" s="1">
        <f ca="1">IFERROR(__xludf.DUMMYFUNCTION("""COMPUTED_VALUE"""),120)</f>
        <v>120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IFERROR(__xludf.DUMMYFUNCTION("""COMPUTED_VALUE"""),"Long Beach St.")</f>
        <v>Long Beach St.</v>
      </c>
      <c r="C152" s="1" t="str">
        <f ca="1">IFERROR(__xludf.DUMMYFUNCTION("""COMPUTED_VALUE"""),"BW")</f>
        <v>BW</v>
      </c>
      <c r="D152" s="1" t="str">
        <f ca="1">IFERROR(__xludf.DUMMYFUNCTION("""COMPUTED_VALUE"""),"15-17")</f>
        <v>15-17</v>
      </c>
      <c r="E152" s="1" t="str">
        <f ca="1">IFERROR(__xludf.DUMMYFUNCTION("""COMPUTED_VALUE"""),"+2.17")</f>
        <v>+2.17</v>
      </c>
      <c r="F152" s="1">
        <f ca="1">IFERROR(__xludf.DUMMYFUNCTION("""COMPUTED_VALUE"""),104.9)</f>
        <v>104.9</v>
      </c>
      <c r="G152" s="1">
        <f ca="1">IFERROR(__xludf.DUMMYFUNCTION("""COMPUTED_VALUE"""),186)</f>
        <v>186</v>
      </c>
      <c r="H152" s="1">
        <f ca="1">IFERROR(__xludf.DUMMYFUNCTION("""COMPUTED_VALUE"""),102.7)</f>
        <v>102.7</v>
      </c>
      <c r="I152" s="1">
        <f ca="1">IFERROR(__xludf.DUMMYFUNCTION("""COMPUTED_VALUE"""),127)</f>
        <v>127</v>
      </c>
      <c r="J152" s="1">
        <f ca="1">IFERROR(__xludf.DUMMYFUNCTION("""COMPUTED_VALUE"""),64.6)</f>
        <v>64.599999999999994</v>
      </c>
      <c r="K152" s="1">
        <f ca="1">IFERROR(__xludf.DUMMYFUNCTION("""COMPUTED_VALUE"""),177)</f>
        <v>177</v>
      </c>
      <c r="L152" s="1">
        <f ca="1">IFERROR(__xludf.DUMMYFUNCTION("""COMPUTED_VALUE"""),-0.023)</f>
        <v>-2.3E-2</v>
      </c>
      <c r="M152" s="1">
        <f ca="1">IFERROR(__xludf.DUMMYFUNCTION("""COMPUTED_VALUE"""),235)</f>
        <v>235</v>
      </c>
      <c r="N152" s="1" t="str">
        <f ca="1">IFERROR(__xludf.DUMMYFUNCTION("""COMPUTED_VALUE"""),"+2.95")</f>
        <v>+2.95</v>
      </c>
      <c r="O152" s="1">
        <f ca="1">IFERROR(__xludf.DUMMYFUNCTION("""COMPUTED_VALUE"""),110)</f>
        <v>110</v>
      </c>
      <c r="P152" s="1">
        <f ca="1">IFERROR(__xludf.DUMMYFUNCTION("""COMPUTED_VALUE"""),107.3)</f>
        <v>107.3</v>
      </c>
      <c r="Q152" s="1">
        <f ca="1">IFERROR(__xludf.DUMMYFUNCTION("""COMPUTED_VALUE"""),94)</f>
        <v>94</v>
      </c>
      <c r="R152" s="1">
        <f ca="1">IFERROR(__xludf.DUMMYFUNCTION("""COMPUTED_VALUE"""),104.4)</f>
        <v>104.4</v>
      </c>
      <c r="S152" s="1">
        <f ca="1">IFERROR(__xludf.DUMMYFUNCTION("""COMPUTED_VALUE"""),127)</f>
        <v>127</v>
      </c>
      <c r="T152" s="1" t="str">
        <f ca="1">IFERROR(__xludf.DUMMYFUNCTION("""COMPUTED_VALUE"""),"+13.73")</f>
        <v>+13.73</v>
      </c>
      <c r="U152" s="1">
        <f ca="1">IFERROR(__xludf.DUMMYFUNCTION("""COMPUTED_VALUE"""),3)</f>
        <v>3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IFERROR(__xludf.DUMMYFUNCTION("""COMPUTED_VALUE"""),"Akron")</f>
        <v>Akron</v>
      </c>
      <c r="C153" s="1" t="str">
        <f ca="1">IFERROR(__xludf.DUMMYFUNCTION("""COMPUTED_VALUE"""),"MAC")</f>
        <v>MAC</v>
      </c>
      <c r="D153" s="1" t="str">
        <f ca="1">IFERROR(__xludf.DUMMYFUNCTION("""COMPUTED_VALUE"""),"21-13")</f>
        <v>21-13</v>
      </c>
      <c r="E153" s="1" t="str">
        <f ca="1">IFERROR(__xludf.DUMMYFUNCTION("""COMPUTED_VALUE"""),"+2.10")</f>
        <v>+2.10</v>
      </c>
      <c r="F153" s="1">
        <f ca="1">IFERROR(__xludf.DUMMYFUNCTION("""COMPUTED_VALUE"""),105)</f>
        <v>105</v>
      </c>
      <c r="G153" s="1">
        <f ca="1">IFERROR(__xludf.DUMMYFUNCTION("""COMPUTED_VALUE"""),184)</f>
        <v>184</v>
      </c>
      <c r="H153" s="1">
        <f ca="1">IFERROR(__xludf.DUMMYFUNCTION("""COMPUTED_VALUE"""),102.9)</f>
        <v>102.9</v>
      </c>
      <c r="I153" s="1">
        <f ca="1">IFERROR(__xludf.DUMMYFUNCTION("""COMPUTED_VALUE"""),128)</f>
        <v>128</v>
      </c>
      <c r="J153" s="1">
        <f ca="1">IFERROR(__xludf.DUMMYFUNCTION("""COMPUTED_VALUE"""),64)</f>
        <v>64</v>
      </c>
      <c r="K153" s="1">
        <f ca="1">IFERROR(__xludf.DUMMYFUNCTION("""COMPUTED_VALUE"""),216)</f>
        <v>216</v>
      </c>
      <c r="L153" s="1" t="str">
        <f ca="1">IFERROR(__xludf.DUMMYFUNCTION("""COMPUTED_VALUE"""),"+.073")</f>
        <v>+.073</v>
      </c>
      <c r="M153" s="1">
        <f ca="1">IFERROR(__xludf.DUMMYFUNCTION("""COMPUTED_VALUE"""),31)</f>
        <v>31</v>
      </c>
      <c r="N153" s="1">
        <f ca="1">IFERROR(__xludf.DUMMYFUNCTION("""COMPUTED_VALUE"""),-0.8)</f>
        <v>-0.8</v>
      </c>
      <c r="O153" s="1">
        <f ca="1">IFERROR(__xludf.DUMMYFUNCTION("""COMPUTED_VALUE"""),166)</f>
        <v>166</v>
      </c>
      <c r="P153" s="1">
        <f ca="1">IFERROR(__xludf.DUMMYFUNCTION("""COMPUTED_VALUE"""),103.7)</f>
        <v>103.7</v>
      </c>
      <c r="Q153" s="1">
        <f ca="1">IFERROR(__xludf.DUMMYFUNCTION("""COMPUTED_VALUE"""),212)</f>
        <v>212</v>
      </c>
      <c r="R153" s="1">
        <f ca="1">IFERROR(__xludf.DUMMYFUNCTION("""COMPUTED_VALUE"""),104.5)</f>
        <v>104.5</v>
      </c>
      <c r="S153" s="1">
        <f ca="1">IFERROR(__xludf.DUMMYFUNCTION("""COMPUTED_VALUE"""),132)</f>
        <v>132</v>
      </c>
      <c r="T153" s="1" t="str">
        <f ca="1">IFERROR(__xludf.DUMMYFUNCTION("""COMPUTED_VALUE"""),"+0.10")</f>
        <v>+0.10</v>
      </c>
      <c r="U153" s="1">
        <f ca="1">IFERROR(__xludf.DUMMYFUNCTION("""COMPUTED_VALUE"""),158)</f>
        <v>158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IFERROR(__xludf.DUMMYFUNCTION("""COMPUTED_VALUE"""),"IPFW")</f>
        <v>IPFW</v>
      </c>
      <c r="C154" s="1" t="str">
        <f ca="1">IFERROR(__xludf.DUMMYFUNCTION("""COMPUTED_VALUE"""),"Sum")</f>
        <v>Sum</v>
      </c>
      <c r="D154" s="1" t="str">
        <f ca="1">IFERROR(__xludf.DUMMYFUNCTION("""COMPUTED_VALUE"""),"25-11")</f>
        <v>25-11</v>
      </c>
      <c r="E154" s="1" t="str">
        <f ca="1">IFERROR(__xludf.DUMMYFUNCTION("""COMPUTED_VALUE"""),"+2.08")</f>
        <v>+2.08</v>
      </c>
      <c r="F154" s="1">
        <f ca="1">IFERROR(__xludf.DUMMYFUNCTION("""COMPUTED_VALUE"""),110.1)</f>
        <v>110.1</v>
      </c>
      <c r="G154" s="1">
        <f ca="1">IFERROR(__xludf.DUMMYFUNCTION("""COMPUTED_VALUE"""),90)</f>
        <v>90</v>
      </c>
      <c r="H154" s="1">
        <f ca="1">IFERROR(__xludf.DUMMYFUNCTION("""COMPUTED_VALUE"""),108)</f>
        <v>108</v>
      </c>
      <c r="I154" s="1">
        <f ca="1">IFERROR(__xludf.DUMMYFUNCTION("""COMPUTED_VALUE"""),228)</f>
        <v>228</v>
      </c>
      <c r="J154" s="1">
        <f ca="1">IFERROR(__xludf.DUMMYFUNCTION("""COMPUTED_VALUE"""),65.7)</f>
        <v>65.7</v>
      </c>
      <c r="K154" s="1">
        <f ca="1">IFERROR(__xludf.DUMMYFUNCTION("""COMPUTED_VALUE"""),119)</f>
        <v>119</v>
      </c>
      <c r="L154" s="1" t="str">
        <f ca="1">IFERROR(__xludf.DUMMYFUNCTION("""COMPUTED_VALUE"""),"+.062")</f>
        <v>+.062</v>
      </c>
      <c r="M154" s="1">
        <f ca="1">IFERROR(__xludf.DUMMYFUNCTION("""COMPUTED_VALUE"""),48)</f>
        <v>48</v>
      </c>
      <c r="N154" s="1">
        <f ca="1">IFERROR(__xludf.DUMMYFUNCTION("""COMPUTED_VALUE"""),-3.63)</f>
        <v>-3.63</v>
      </c>
      <c r="O154" s="1">
        <f ca="1">IFERROR(__xludf.DUMMYFUNCTION("""COMPUTED_VALUE"""),233)</f>
        <v>233</v>
      </c>
      <c r="P154" s="1">
        <f ca="1">IFERROR(__xludf.DUMMYFUNCTION("""COMPUTED_VALUE"""),103.2)</f>
        <v>103.2</v>
      </c>
      <c r="Q154" s="1">
        <f ca="1">IFERROR(__xludf.DUMMYFUNCTION("""COMPUTED_VALUE"""),243)</f>
        <v>243</v>
      </c>
      <c r="R154" s="1">
        <f ca="1">IFERROR(__xludf.DUMMYFUNCTION("""COMPUTED_VALUE"""),106.8)</f>
        <v>106.8</v>
      </c>
      <c r="S154" s="1">
        <f ca="1">IFERROR(__xludf.DUMMYFUNCTION("""COMPUTED_VALUE"""),236)</f>
        <v>236</v>
      </c>
      <c r="T154" s="1">
        <f ca="1">IFERROR(__xludf.DUMMYFUNCTION("""COMPUTED_VALUE"""),-4.9)</f>
        <v>-4.9000000000000004</v>
      </c>
      <c r="U154" s="1">
        <f ca="1">IFERROR(__xludf.DUMMYFUNCTION("""COMPUTED_VALUE"""),299)</f>
        <v>299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IFERROR(__xludf.DUMMYFUNCTION("""COMPUTED_VALUE"""),"Illinois St.")</f>
        <v>Illinois St.</v>
      </c>
      <c r="C155" s="1" t="str">
        <f ca="1">IFERROR(__xludf.DUMMYFUNCTION("""COMPUTED_VALUE"""),"MVC")</f>
        <v>MVC</v>
      </c>
      <c r="D155" s="1" t="str">
        <f ca="1">IFERROR(__xludf.DUMMYFUNCTION("""COMPUTED_VALUE"""),"18-16")</f>
        <v>18-16</v>
      </c>
      <c r="E155" s="1" t="str">
        <f ca="1">IFERROR(__xludf.DUMMYFUNCTION("""COMPUTED_VALUE"""),"+1.98")</f>
        <v>+1.98</v>
      </c>
      <c r="F155" s="1">
        <f ca="1">IFERROR(__xludf.DUMMYFUNCTION("""COMPUTED_VALUE"""),101.9)</f>
        <v>101.9</v>
      </c>
      <c r="G155" s="1">
        <f ca="1">IFERROR(__xludf.DUMMYFUNCTION("""COMPUTED_VALUE"""),230)</f>
        <v>230</v>
      </c>
      <c r="H155" s="1">
        <f ca="1">IFERROR(__xludf.DUMMYFUNCTION("""COMPUTED_VALUE"""),99.9)</f>
        <v>99.9</v>
      </c>
      <c r="I155" s="1">
        <f ca="1">IFERROR(__xludf.DUMMYFUNCTION("""COMPUTED_VALUE"""),80)</f>
        <v>80</v>
      </c>
      <c r="J155" s="1">
        <f ca="1">IFERROR(__xludf.DUMMYFUNCTION("""COMPUTED_VALUE"""),66.7)</f>
        <v>66.7</v>
      </c>
      <c r="K155" s="1">
        <f ca="1">IFERROR(__xludf.DUMMYFUNCTION("""COMPUTED_VALUE"""),75)</f>
        <v>75</v>
      </c>
      <c r="L155" s="1" t="str">
        <f ca="1">IFERROR(__xludf.DUMMYFUNCTION("""COMPUTED_VALUE"""),"+.029")</f>
        <v>+.029</v>
      </c>
      <c r="M155" s="1">
        <f ca="1">IFERROR(__xludf.DUMMYFUNCTION("""COMPUTED_VALUE"""),112)</f>
        <v>112</v>
      </c>
      <c r="N155" s="1" t="str">
        <f ca="1">IFERROR(__xludf.DUMMYFUNCTION("""COMPUTED_VALUE"""),"+1.34")</f>
        <v>+1.34</v>
      </c>
      <c r="O155" s="1">
        <f ca="1">IFERROR(__xludf.DUMMYFUNCTION("""COMPUTED_VALUE"""),122)</f>
        <v>122</v>
      </c>
      <c r="P155" s="1">
        <f ca="1">IFERROR(__xludf.DUMMYFUNCTION("""COMPUTED_VALUE"""),105.5)</f>
        <v>105.5</v>
      </c>
      <c r="Q155" s="1">
        <f ca="1">IFERROR(__xludf.DUMMYFUNCTION("""COMPUTED_VALUE"""),131)</f>
        <v>131</v>
      </c>
      <c r="R155" s="1">
        <f ca="1">IFERROR(__xludf.DUMMYFUNCTION("""COMPUTED_VALUE"""),104.1)</f>
        <v>104.1</v>
      </c>
      <c r="S155" s="1">
        <f ca="1">IFERROR(__xludf.DUMMYFUNCTION("""COMPUTED_VALUE"""),114)</f>
        <v>114</v>
      </c>
      <c r="T155" s="1" t="str">
        <f ca="1">IFERROR(__xludf.DUMMYFUNCTION("""COMPUTED_VALUE"""),"+2.30")</f>
        <v>+2.30</v>
      </c>
      <c r="U155" s="1">
        <f ca="1">IFERROR(__xludf.DUMMYFUNCTION("""COMPUTED_VALUE"""),98)</f>
        <v>98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IFERROR(__xludf.DUMMYFUNCTION("""COMPUTED_VALUE"""),"Pacific")</f>
        <v>Pacific</v>
      </c>
      <c r="C156" s="1" t="str">
        <f ca="1">IFERROR(__xludf.DUMMYFUNCTION("""COMPUTED_VALUE"""),"WCC")</f>
        <v>WCC</v>
      </c>
      <c r="D156" s="1" t="str">
        <f ca="1">IFERROR(__xludf.DUMMYFUNCTION("""COMPUTED_VALUE"""),"18-16")</f>
        <v>18-16</v>
      </c>
      <c r="E156" s="1" t="str">
        <f ca="1">IFERROR(__xludf.DUMMYFUNCTION("""COMPUTED_VALUE"""),"+1.98")</f>
        <v>+1.98</v>
      </c>
      <c r="F156" s="1">
        <f ca="1">IFERROR(__xludf.DUMMYFUNCTION("""COMPUTED_VALUE"""),109.5)</f>
        <v>109.5</v>
      </c>
      <c r="G156" s="1">
        <f ca="1">IFERROR(__xludf.DUMMYFUNCTION("""COMPUTED_VALUE"""),99)</f>
        <v>99</v>
      </c>
      <c r="H156" s="1">
        <f ca="1">IFERROR(__xludf.DUMMYFUNCTION("""COMPUTED_VALUE"""),107.5)</f>
        <v>107.5</v>
      </c>
      <c r="I156" s="1">
        <f ca="1">IFERROR(__xludf.DUMMYFUNCTION("""COMPUTED_VALUE"""),220)</f>
        <v>220</v>
      </c>
      <c r="J156" s="1">
        <f ca="1">IFERROR(__xludf.DUMMYFUNCTION("""COMPUTED_VALUE"""),66.1)</f>
        <v>66.099999999999994</v>
      </c>
      <c r="K156" s="1">
        <f ca="1">IFERROR(__xludf.DUMMYFUNCTION("""COMPUTED_VALUE"""),102)</f>
        <v>102</v>
      </c>
      <c r="L156" s="1" t="str">
        <f ca="1">IFERROR(__xludf.DUMMYFUNCTION("""COMPUTED_VALUE"""),"+.057")</f>
        <v>+.057</v>
      </c>
      <c r="M156" s="1">
        <f ca="1">IFERROR(__xludf.DUMMYFUNCTION("""COMPUTED_VALUE"""),59)</f>
        <v>59</v>
      </c>
      <c r="N156" s="1" t="str">
        <f ca="1">IFERROR(__xludf.DUMMYFUNCTION("""COMPUTED_VALUE"""),"+3.53")</f>
        <v>+3.53</v>
      </c>
      <c r="O156" s="1">
        <f ca="1">IFERROR(__xludf.DUMMYFUNCTION("""COMPUTED_VALUE"""),104)</f>
        <v>104</v>
      </c>
      <c r="P156" s="1">
        <f ca="1">IFERROR(__xludf.DUMMYFUNCTION("""COMPUTED_VALUE"""),107.8)</f>
        <v>107.8</v>
      </c>
      <c r="Q156" s="1">
        <f ca="1">IFERROR(__xludf.DUMMYFUNCTION("""COMPUTED_VALUE"""),74)</f>
        <v>74</v>
      </c>
      <c r="R156" s="1">
        <f ca="1">IFERROR(__xludf.DUMMYFUNCTION("""COMPUTED_VALUE"""),104.3)</f>
        <v>104.3</v>
      </c>
      <c r="S156" s="1">
        <f ca="1">IFERROR(__xludf.DUMMYFUNCTION("""COMPUTED_VALUE"""),120)</f>
        <v>120</v>
      </c>
      <c r="T156" s="1" t="str">
        <f ca="1">IFERROR(__xludf.DUMMYFUNCTION("""COMPUTED_VALUE"""),"+1.32")</f>
        <v>+1.32</v>
      </c>
      <c r="U156" s="1">
        <f ca="1">IFERROR(__xludf.DUMMYFUNCTION("""COMPUTED_VALUE"""),119)</f>
        <v>119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IFERROR(__xludf.DUMMYFUNCTION("""COMPUTED_VALUE"""),"Quinnipiac")</f>
        <v>Quinnipiac</v>
      </c>
      <c r="C157" s="1" t="str">
        <f ca="1">IFERROR(__xludf.DUMMYFUNCTION("""COMPUTED_VALUE"""),"MAAC")</f>
        <v>MAAC</v>
      </c>
      <c r="D157" s="1" t="str">
        <f ca="1">IFERROR(__xludf.DUMMYFUNCTION("""COMPUTED_VALUE"""),"20-12")</f>
        <v>20-12</v>
      </c>
      <c r="E157" s="1" t="str">
        <f ca="1">IFERROR(__xludf.DUMMYFUNCTION("""COMPUTED_VALUE"""),"+1.89")</f>
        <v>+1.89</v>
      </c>
      <c r="F157" s="1">
        <f ca="1">IFERROR(__xludf.DUMMYFUNCTION("""COMPUTED_VALUE"""),111.3)</f>
        <v>111.3</v>
      </c>
      <c r="G157" s="1">
        <f ca="1">IFERROR(__xludf.DUMMYFUNCTION("""COMPUTED_VALUE"""),66)</f>
        <v>66</v>
      </c>
      <c r="H157" s="1">
        <f ca="1">IFERROR(__xludf.DUMMYFUNCTION("""COMPUTED_VALUE"""),109.4)</f>
        <v>109.4</v>
      </c>
      <c r="I157" s="1">
        <f ca="1">IFERROR(__xludf.DUMMYFUNCTION("""COMPUTED_VALUE"""),254)</f>
        <v>254</v>
      </c>
      <c r="J157" s="1">
        <f ca="1">IFERROR(__xludf.DUMMYFUNCTION("""COMPUTED_VALUE"""),68.3)</f>
        <v>68.3</v>
      </c>
      <c r="K157" s="1">
        <f ca="1">IFERROR(__xludf.DUMMYFUNCTION("""COMPUTED_VALUE"""),37)</f>
        <v>37</v>
      </c>
      <c r="L157" s="1" t="str">
        <f ca="1">IFERROR(__xludf.DUMMYFUNCTION("""COMPUTED_VALUE"""),"+.055")</f>
        <v>+.055</v>
      </c>
      <c r="M157" s="1">
        <f ca="1">IFERROR(__xludf.DUMMYFUNCTION("""COMPUTED_VALUE"""),65)</f>
        <v>65</v>
      </c>
      <c r="N157" s="1">
        <f ca="1">IFERROR(__xludf.DUMMYFUNCTION("""COMPUTED_VALUE"""),-1.69)</f>
        <v>-1.69</v>
      </c>
      <c r="O157" s="1">
        <f ca="1">IFERROR(__xludf.DUMMYFUNCTION("""COMPUTED_VALUE"""),181)</f>
        <v>181</v>
      </c>
      <c r="P157" s="1">
        <f ca="1">IFERROR(__xludf.DUMMYFUNCTION("""COMPUTED_VALUE"""),103.7)</f>
        <v>103.7</v>
      </c>
      <c r="Q157" s="1">
        <f ca="1">IFERROR(__xludf.DUMMYFUNCTION("""COMPUTED_VALUE"""),213)</f>
        <v>213</v>
      </c>
      <c r="R157" s="1">
        <f ca="1">IFERROR(__xludf.DUMMYFUNCTION("""COMPUTED_VALUE"""),105.3)</f>
        <v>105.3</v>
      </c>
      <c r="S157" s="1">
        <f ca="1">IFERROR(__xludf.DUMMYFUNCTION("""COMPUTED_VALUE"""),171)</f>
        <v>171</v>
      </c>
      <c r="T157" s="1">
        <f ca="1">IFERROR(__xludf.DUMMYFUNCTION("""COMPUTED_VALUE"""),-1.31)</f>
        <v>-1.31</v>
      </c>
      <c r="U157" s="1">
        <f ca="1">IFERROR(__xludf.DUMMYFUNCTION("""COMPUTED_VALUE"""),200)</f>
        <v>200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IFERROR(__xludf.DUMMYFUNCTION("""COMPUTED_VALUE"""),"Temple")</f>
        <v>Temple</v>
      </c>
      <c r="C158" s="1" t="str">
        <f ca="1">IFERROR(__xludf.DUMMYFUNCTION("""COMPUTED_VALUE"""),"Amer")</f>
        <v>Amer</v>
      </c>
      <c r="D158" s="2">
        <f ca="1">IFERROR(__xludf.DUMMYFUNCTION("""COMPUTED_VALUE"""),44826)</f>
        <v>44826</v>
      </c>
      <c r="E158" s="1" t="str">
        <f ca="1">IFERROR(__xludf.DUMMYFUNCTION("""COMPUTED_VALUE"""),"+1.68")</f>
        <v>+1.68</v>
      </c>
      <c r="F158" s="1">
        <f ca="1">IFERROR(__xludf.DUMMYFUNCTION("""COMPUTED_VALUE"""),110.7)</f>
        <v>110.7</v>
      </c>
      <c r="G158" s="1">
        <f ca="1">IFERROR(__xludf.DUMMYFUNCTION("""COMPUTED_VALUE"""),76)</f>
        <v>76</v>
      </c>
      <c r="H158" s="1">
        <f ca="1">IFERROR(__xludf.DUMMYFUNCTION("""COMPUTED_VALUE"""),109.1)</f>
        <v>109.1</v>
      </c>
      <c r="I158" s="1">
        <f ca="1">IFERROR(__xludf.DUMMYFUNCTION("""COMPUTED_VALUE"""),249)</f>
        <v>249</v>
      </c>
      <c r="J158" s="1">
        <f ca="1">IFERROR(__xludf.DUMMYFUNCTION("""COMPUTED_VALUE"""),66.3)</f>
        <v>66.3</v>
      </c>
      <c r="K158" s="1">
        <f ca="1">IFERROR(__xludf.DUMMYFUNCTION("""COMPUTED_VALUE"""),94)</f>
        <v>94</v>
      </c>
      <c r="L158" s="1">
        <f ca="1">IFERROR(__xludf.DUMMYFUNCTION("""COMPUTED_VALUE"""),-0.078)</f>
        <v>-7.8E-2</v>
      </c>
      <c r="M158" s="1">
        <f ca="1">IFERROR(__xludf.DUMMYFUNCTION("""COMPUTED_VALUE"""),330)</f>
        <v>330</v>
      </c>
      <c r="N158" s="1" t="str">
        <f ca="1">IFERROR(__xludf.DUMMYFUNCTION("""COMPUTED_VALUE"""),"+7.08")</f>
        <v>+7.08</v>
      </c>
      <c r="O158" s="1">
        <f ca="1">IFERROR(__xludf.DUMMYFUNCTION("""COMPUTED_VALUE"""),57)</f>
        <v>57</v>
      </c>
      <c r="P158" s="1">
        <f ca="1">IFERROR(__xludf.DUMMYFUNCTION("""COMPUTED_VALUE"""),108.4)</f>
        <v>108.4</v>
      </c>
      <c r="Q158" s="1">
        <f ca="1">IFERROR(__xludf.DUMMYFUNCTION("""COMPUTED_VALUE"""),62)</f>
        <v>62</v>
      </c>
      <c r="R158" s="1">
        <f ca="1">IFERROR(__xludf.DUMMYFUNCTION("""COMPUTED_VALUE"""),101.3)</f>
        <v>101.3</v>
      </c>
      <c r="S158" s="1">
        <f ca="1">IFERROR(__xludf.DUMMYFUNCTION("""COMPUTED_VALUE"""),47)</f>
        <v>47</v>
      </c>
      <c r="T158" s="1" t="str">
        <f ca="1">IFERROR(__xludf.DUMMYFUNCTION("""COMPUTED_VALUE"""),"+2.40")</f>
        <v>+2.40</v>
      </c>
      <c r="U158" s="1">
        <f ca="1">IFERROR(__xludf.DUMMYFUNCTION("""COMPUTED_VALUE"""),92)</f>
        <v>92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IFERROR(__xludf.DUMMYFUNCTION("""COMPUTED_VALUE"""),"USC")</f>
        <v>USC</v>
      </c>
      <c r="C159" s="1" t="str">
        <f ca="1">IFERROR(__xludf.DUMMYFUNCTION("""COMPUTED_VALUE"""),"P12")</f>
        <v>P12</v>
      </c>
      <c r="D159" s="2">
        <f ca="1">IFERROR(__xludf.DUMMYFUNCTION("""COMPUTED_VALUE"""),44886)</f>
        <v>44886</v>
      </c>
      <c r="E159" s="1" t="str">
        <f ca="1">IFERROR(__xludf.DUMMYFUNCTION("""COMPUTED_VALUE"""),"+1.53")</f>
        <v>+1.53</v>
      </c>
      <c r="F159" s="1">
        <f ca="1">IFERROR(__xludf.DUMMYFUNCTION("""COMPUTED_VALUE"""),103.5)</f>
        <v>103.5</v>
      </c>
      <c r="G159" s="1">
        <f ca="1">IFERROR(__xludf.DUMMYFUNCTION("""COMPUTED_VALUE"""),203)</f>
        <v>203</v>
      </c>
      <c r="H159" s="1">
        <f ca="1">IFERROR(__xludf.DUMMYFUNCTION("""COMPUTED_VALUE"""),102)</f>
        <v>102</v>
      </c>
      <c r="I159" s="1">
        <f ca="1">IFERROR(__xludf.DUMMYFUNCTION("""COMPUTED_VALUE"""),112)</f>
        <v>112</v>
      </c>
      <c r="J159" s="1">
        <f ca="1">IFERROR(__xludf.DUMMYFUNCTION("""COMPUTED_VALUE"""),68.4)</f>
        <v>68.400000000000006</v>
      </c>
      <c r="K159" s="1">
        <f ca="1">IFERROR(__xludf.DUMMYFUNCTION("""COMPUTED_VALUE"""),34)</f>
        <v>34</v>
      </c>
      <c r="L159" s="1">
        <f ca="1">IFERROR(__xludf.DUMMYFUNCTION("""COMPUTED_VALUE"""),-0.014)</f>
        <v>-1.4E-2</v>
      </c>
      <c r="M159" s="1">
        <f ca="1">IFERROR(__xludf.DUMMYFUNCTION("""COMPUTED_VALUE"""),216)</f>
        <v>216</v>
      </c>
      <c r="N159" s="1" t="str">
        <f ca="1">IFERROR(__xludf.DUMMYFUNCTION("""COMPUTED_VALUE"""),"+8.70")</f>
        <v>+8.70</v>
      </c>
      <c r="O159" s="1">
        <f ca="1">IFERROR(__xludf.DUMMYFUNCTION("""COMPUTED_VALUE"""),27)</f>
        <v>27</v>
      </c>
      <c r="P159" s="1">
        <f ca="1">IFERROR(__xludf.DUMMYFUNCTION("""COMPUTED_VALUE"""),109.7)</f>
        <v>109.7</v>
      </c>
      <c r="Q159" s="1">
        <f ca="1">IFERROR(__xludf.DUMMYFUNCTION("""COMPUTED_VALUE"""),25)</f>
        <v>25</v>
      </c>
      <c r="R159" s="1">
        <f ca="1">IFERROR(__xludf.DUMMYFUNCTION("""COMPUTED_VALUE"""),101)</f>
        <v>101</v>
      </c>
      <c r="S159" s="1">
        <f ca="1">IFERROR(__xludf.DUMMYFUNCTION("""COMPUTED_VALUE"""),36)</f>
        <v>36</v>
      </c>
      <c r="T159" s="1">
        <f ca="1">IFERROR(__xludf.DUMMYFUNCTION("""COMPUTED_VALUE"""),-0.45)</f>
        <v>-0.45</v>
      </c>
      <c r="U159" s="1">
        <f ca="1">IFERROR(__xludf.DUMMYFUNCTION("""COMPUTED_VALUE"""),173)</f>
        <v>173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IFERROR(__xludf.DUMMYFUNCTION("""COMPUTED_VALUE"""),"Duquesne")</f>
        <v>Duquesne</v>
      </c>
      <c r="C160" s="1" t="str">
        <f ca="1">IFERROR(__xludf.DUMMYFUNCTION("""COMPUTED_VALUE"""),"A10")</f>
        <v>A10</v>
      </c>
      <c r="D160" s="1" t="str">
        <f ca="1">IFERROR(__xludf.DUMMYFUNCTION("""COMPUTED_VALUE"""),"13-17")</f>
        <v>13-17</v>
      </c>
      <c r="E160" s="1" t="str">
        <f ca="1">IFERROR(__xludf.DUMMYFUNCTION("""COMPUTED_VALUE"""),"+1.53")</f>
        <v>+1.53</v>
      </c>
      <c r="F160" s="1">
        <f ca="1">IFERROR(__xludf.DUMMYFUNCTION("""COMPUTED_VALUE"""),110.6)</f>
        <v>110.6</v>
      </c>
      <c r="G160" s="1">
        <f ca="1">IFERROR(__xludf.DUMMYFUNCTION("""COMPUTED_VALUE"""),82)</f>
        <v>82</v>
      </c>
      <c r="H160" s="1">
        <f ca="1">IFERROR(__xludf.DUMMYFUNCTION("""COMPUTED_VALUE"""),109)</f>
        <v>109</v>
      </c>
      <c r="I160" s="1">
        <f ca="1">IFERROR(__xludf.DUMMYFUNCTION("""COMPUTED_VALUE"""),248)</f>
        <v>248</v>
      </c>
      <c r="J160" s="1">
        <f ca="1">IFERROR(__xludf.DUMMYFUNCTION("""COMPUTED_VALUE"""),66.5)</f>
        <v>66.5</v>
      </c>
      <c r="K160" s="1">
        <f ca="1">IFERROR(__xludf.DUMMYFUNCTION("""COMPUTED_VALUE"""),88)</f>
        <v>88</v>
      </c>
      <c r="L160" s="1">
        <f ca="1">IFERROR(__xludf.DUMMYFUNCTION("""COMPUTED_VALUE"""),-0.053)</f>
        <v>-5.2999999999999999E-2</v>
      </c>
      <c r="M160" s="1">
        <f ca="1">IFERROR(__xludf.DUMMYFUNCTION("""COMPUTED_VALUE"""),302)</f>
        <v>302</v>
      </c>
      <c r="N160" s="1" t="str">
        <f ca="1">IFERROR(__xludf.DUMMYFUNCTION("""COMPUTED_VALUE"""),"+1.68")</f>
        <v>+1.68</v>
      </c>
      <c r="O160" s="1">
        <f ca="1">IFERROR(__xludf.DUMMYFUNCTION("""COMPUTED_VALUE"""),117)</f>
        <v>117</v>
      </c>
      <c r="P160" s="1">
        <f ca="1">IFERROR(__xludf.DUMMYFUNCTION("""COMPUTED_VALUE"""),104.4)</f>
        <v>104.4</v>
      </c>
      <c r="Q160" s="1">
        <f ca="1">IFERROR(__xludf.DUMMYFUNCTION("""COMPUTED_VALUE"""),177)</f>
        <v>177</v>
      </c>
      <c r="R160" s="1">
        <f ca="1">IFERROR(__xludf.DUMMYFUNCTION("""COMPUTED_VALUE"""),102.7)</f>
        <v>102.7</v>
      </c>
      <c r="S160" s="1">
        <f ca="1">IFERROR(__xludf.DUMMYFUNCTION("""COMPUTED_VALUE"""),91)</f>
        <v>91</v>
      </c>
      <c r="T160" s="1">
        <f ca="1">IFERROR(__xludf.DUMMYFUNCTION("""COMPUTED_VALUE"""),-9.59)</f>
        <v>-9.59</v>
      </c>
      <c r="U160" s="1">
        <f ca="1">IFERROR(__xludf.DUMMYFUNCTION("""COMPUTED_VALUE"""),348)</f>
        <v>348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IFERROR(__xludf.DUMMYFUNCTION("""COMPUTED_VALUE"""),"Yale")</f>
        <v>Yale</v>
      </c>
      <c r="C161" s="1" t="str">
        <f ca="1">IFERROR(__xludf.DUMMYFUNCTION("""COMPUTED_VALUE"""),"Ivy")</f>
        <v>Ivy</v>
      </c>
      <c r="D161" s="1" t="str">
        <f ca="1">IFERROR(__xludf.DUMMYFUNCTION("""COMPUTED_VALUE"""),"19-14")</f>
        <v>19-14</v>
      </c>
      <c r="E161" s="1" t="str">
        <f ca="1">IFERROR(__xludf.DUMMYFUNCTION("""COMPUTED_VALUE"""),"+1.29")</f>
        <v>+1.29</v>
      </c>
      <c r="F161" s="1">
        <f ca="1">IFERROR(__xludf.DUMMYFUNCTION("""COMPUTED_VALUE"""),102.8)</f>
        <v>102.8</v>
      </c>
      <c r="G161" s="1">
        <f ca="1">IFERROR(__xludf.DUMMYFUNCTION("""COMPUTED_VALUE"""),219)</f>
        <v>219</v>
      </c>
      <c r="H161" s="1">
        <f ca="1">IFERROR(__xludf.DUMMYFUNCTION("""COMPUTED_VALUE"""),101.5)</f>
        <v>101.5</v>
      </c>
      <c r="I161" s="1">
        <f ca="1">IFERROR(__xludf.DUMMYFUNCTION("""COMPUTED_VALUE"""),106)</f>
        <v>106</v>
      </c>
      <c r="J161" s="1">
        <f ca="1">IFERROR(__xludf.DUMMYFUNCTION("""COMPUTED_VALUE"""),63.5)</f>
        <v>63.5</v>
      </c>
      <c r="K161" s="1">
        <f ca="1">IFERROR(__xludf.DUMMYFUNCTION("""COMPUTED_VALUE"""),238)</f>
        <v>238</v>
      </c>
      <c r="L161" s="1" t="str">
        <f ca="1">IFERROR(__xludf.DUMMYFUNCTION("""COMPUTED_VALUE"""),"+.080")</f>
        <v>+.080</v>
      </c>
      <c r="M161" s="1">
        <f ca="1">IFERROR(__xludf.DUMMYFUNCTION("""COMPUTED_VALUE"""),22)</f>
        <v>22</v>
      </c>
      <c r="N161" s="1" t="str">
        <f ca="1">IFERROR(__xludf.DUMMYFUNCTION("""COMPUTED_VALUE"""),"+0.85")</f>
        <v>+0.85</v>
      </c>
      <c r="O161" s="1">
        <f ca="1">IFERROR(__xludf.DUMMYFUNCTION("""COMPUTED_VALUE"""),129)</f>
        <v>129</v>
      </c>
      <c r="P161" s="1">
        <f ca="1">IFERROR(__xludf.DUMMYFUNCTION("""COMPUTED_VALUE"""),105.6)</f>
        <v>105.6</v>
      </c>
      <c r="Q161" s="1">
        <f ca="1">IFERROR(__xludf.DUMMYFUNCTION("""COMPUTED_VALUE"""),127)</f>
        <v>127</v>
      </c>
      <c r="R161" s="1">
        <f ca="1">IFERROR(__xludf.DUMMYFUNCTION("""COMPUTED_VALUE"""),104.7)</f>
        <v>104.7</v>
      </c>
      <c r="S161" s="1">
        <f ca="1">IFERROR(__xludf.DUMMYFUNCTION("""COMPUTED_VALUE"""),142)</f>
        <v>142</v>
      </c>
      <c r="T161" s="1" t="str">
        <f ca="1">IFERROR(__xludf.DUMMYFUNCTION("""COMPUTED_VALUE"""),"+1.83")</f>
        <v>+1.83</v>
      </c>
      <c r="U161" s="1">
        <f ca="1">IFERROR(__xludf.DUMMYFUNCTION("""COMPUTED_VALUE"""),105)</f>
        <v>105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IFERROR(__xludf.DUMMYFUNCTION("""COMPUTED_VALUE"""),"Santa Clara")</f>
        <v>Santa Clara</v>
      </c>
      <c r="C162" s="1" t="str">
        <f ca="1">IFERROR(__xludf.DUMMYFUNCTION("""COMPUTED_VALUE"""),"WCC")</f>
        <v>WCC</v>
      </c>
      <c r="D162" s="1" t="str">
        <f ca="1">IFERROR(__xludf.DUMMYFUNCTION("""COMPUTED_VALUE"""),"14-19")</f>
        <v>14-19</v>
      </c>
      <c r="E162" s="1" t="str">
        <f ca="1">IFERROR(__xludf.DUMMYFUNCTION("""COMPUTED_VALUE"""),"+1.18")</f>
        <v>+1.18</v>
      </c>
      <c r="F162" s="1">
        <f ca="1">IFERROR(__xludf.DUMMYFUNCTION("""COMPUTED_VALUE"""),107.3)</f>
        <v>107.3</v>
      </c>
      <c r="G162" s="1">
        <f ca="1">IFERROR(__xludf.DUMMYFUNCTION("""COMPUTED_VALUE"""),133)</f>
        <v>133</v>
      </c>
      <c r="H162" s="1">
        <f ca="1">IFERROR(__xludf.DUMMYFUNCTION("""COMPUTED_VALUE"""),106.1)</f>
        <v>106.1</v>
      </c>
      <c r="I162" s="1">
        <f ca="1">IFERROR(__xludf.DUMMYFUNCTION("""COMPUTED_VALUE"""),191)</f>
        <v>191</v>
      </c>
      <c r="J162" s="1">
        <f ca="1">IFERROR(__xludf.DUMMYFUNCTION("""COMPUTED_VALUE"""),63.8)</f>
        <v>63.8</v>
      </c>
      <c r="K162" s="1">
        <f ca="1">IFERROR(__xludf.DUMMYFUNCTION("""COMPUTED_VALUE"""),225)</f>
        <v>225</v>
      </c>
      <c r="L162" s="1">
        <f ca="1">IFERROR(__xludf.DUMMYFUNCTION("""COMPUTED_VALUE"""),-0.043)</f>
        <v>-4.2999999999999997E-2</v>
      </c>
      <c r="M162" s="1">
        <f ca="1">IFERROR(__xludf.DUMMYFUNCTION("""COMPUTED_VALUE"""),272)</f>
        <v>272</v>
      </c>
      <c r="N162" s="1" t="str">
        <f ca="1">IFERROR(__xludf.DUMMYFUNCTION("""COMPUTED_VALUE"""),"+3.18")</f>
        <v>+3.18</v>
      </c>
      <c r="O162" s="1">
        <f ca="1">IFERROR(__xludf.DUMMYFUNCTION("""COMPUTED_VALUE"""),108)</f>
        <v>108</v>
      </c>
      <c r="P162" s="1">
        <f ca="1">IFERROR(__xludf.DUMMYFUNCTION("""COMPUTED_VALUE"""),107.6)</f>
        <v>107.6</v>
      </c>
      <c r="Q162" s="1">
        <f ca="1">IFERROR(__xludf.DUMMYFUNCTION("""COMPUTED_VALUE"""),80)</f>
        <v>80</v>
      </c>
      <c r="R162" s="1">
        <f ca="1">IFERROR(__xludf.DUMMYFUNCTION("""COMPUTED_VALUE"""),104.5)</f>
        <v>104.5</v>
      </c>
      <c r="S162" s="1">
        <f ca="1">IFERROR(__xludf.DUMMYFUNCTION("""COMPUTED_VALUE"""),131)</f>
        <v>131</v>
      </c>
      <c r="T162" s="1">
        <f ca="1">IFERROR(__xludf.DUMMYFUNCTION("""COMPUTED_VALUE"""),-3.87)</f>
        <v>-3.87</v>
      </c>
      <c r="U162" s="1">
        <f ca="1">IFERROR(__xludf.DUMMYFUNCTION("""COMPUTED_VALUE"""),282)</f>
        <v>282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IFERROR(__xludf.DUMMYFUNCTION("""COMPUTED_VALUE"""),"UCF")</f>
        <v>UCF</v>
      </c>
      <c r="C163" s="1" t="str">
        <f ca="1">IFERROR(__xludf.DUMMYFUNCTION("""COMPUTED_VALUE"""),"Amer")</f>
        <v>Amer</v>
      </c>
      <c r="D163" s="1" t="str">
        <f ca="1">IFERROR(__xludf.DUMMYFUNCTION("""COMPUTED_VALUE"""),"13-18")</f>
        <v>13-18</v>
      </c>
      <c r="E163" s="1" t="str">
        <f ca="1">IFERROR(__xludf.DUMMYFUNCTION("""COMPUTED_VALUE"""),"+1.05")</f>
        <v>+1.05</v>
      </c>
      <c r="F163" s="1">
        <f ca="1">IFERROR(__xludf.DUMMYFUNCTION("""COMPUTED_VALUE"""),107.1)</f>
        <v>107.1</v>
      </c>
      <c r="G163" s="1">
        <f ca="1">IFERROR(__xludf.DUMMYFUNCTION("""COMPUTED_VALUE"""),135)</f>
        <v>135</v>
      </c>
      <c r="H163" s="1">
        <f ca="1">IFERROR(__xludf.DUMMYFUNCTION("""COMPUTED_VALUE"""),106.1)</f>
        <v>106.1</v>
      </c>
      <c r="I163" s="1">
        <f ca="1">IFERROR(__xludf.DUMMYFUNCTION("""COMPUTED_VALUE"""),190)</f>
        <v>190</v>
      </c>
      <c r="J163" s="1">
        <f ca="1">IFERROR(__xludf.DUMMYFUNCTION("""COMPUTED_VALUE"""),66.3)</f>
        <v>66.3</v>
      </c>
      <c r="K163" s="1">
        <f ca="1">IFERROR(__xludf.DUMMYFUNCTION("""COMPUTED_VALUE"""),96)</f>
        <v>96</v>
      </c>
      <c r="L163" s="1">
        <f ca="1">IFERROR(__xludf.DUMMYFUNCTION("""COMPUTED_VALUE"""),-0.047)</f>
        <v>-4.7E-2</v>
      </c>
      <c r="M163" s="1">
        <f ca="1">IFERROR(__xludf.DUMMYFUNCTION("""COMPUTED_VALUE"""),285)</f>
        <v>285</v>
      </c>
      <c r="N163" s="1" t="str">
        <f ca="1">IFERROR(__xludf.DUMMYFUNCTION("""COMPUTED_VALUE"""),"+5.55")</f>
        <v>+5.55</v>
      </c>
      <c r="O163" s="1">
        <f ca="1">IFERROR(__xludf.DUMMYFUNCTION("""COMPUTED_VALUE"""),75)</f>
        <v>75</v>
      </c>
      <c r="P163" s="1">
        <f ca="1">IFERROR(__xludf.DUMMYFUNCTION("""COMPUTED_VALUE"""),107.4)</f>
        <v>107.4</v>
      </c>
      <c r="Q163" s="1">
        <f ca="1">IFERROR(__xludf.DUMMYFUNCTION("""COMPUTED_VALUE"""),87)</f>
        <v>87</v>
      </c>
      <c r="R163" s="1">
        <f ca="1">IFERROR(__xludf.DUMMYFUNCTION("""COMPUTED_VALUE"""),101.9)</f>
        <v>101.9</v>
      </c>
      <c r="S163" s="1">
        <f ca="1">IFERROR(__xludf.DUMMYFUNCTION("""COMPUTED_VALUE"""),64)</f>
        <v>64</v>
      </c>
      <c r="T163" s="1">
        <f ca="1">IFERROR(__xludf.DUMMYFUNCTION("""COMPUTED_VALUE"""),-8.88)</f>
        <v>-8.8800000000000008</v>
      </c>
      <c r="U163" s="1">
        <f ca="1">IFERROR(__xludf.DUMMYFUNCTION("""COMPUTED_VALUE"""),343)</f>
        <v>343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IFERROR(__xludf.DUMMYFUNCTION("""COMPUTED_VALUE"""),"UAB")</f>
        <v>UAB</v>
      </c>
      <c r="C164" s="1" t="str">
        <f ca="1">IFERROR(__xludf.DUMMYFUNCTION("""COMPUTED_VALUE"""),"CUSA")</f>
        <v>CUSA</v>
      </c>
      <c r="D164" s="1" t="str">
        <f ca="1">IFERROR(__xludf.DUMMYFUNCTION("""COMPUTED_VALUE"""),"18-13")</f>
        <v>18-13</v>
      </c>
      <c r="E164" s="1" t="str">
        <f ca="1">IFERROR(__xludf.DUMMYFUNCTION("""COMPUTED_VALUE"""),"+1.02")</f>
        <v>+1.02</v>
      </c>
      <c r="F164" s="1">
        <f ca="1">IFERROR(__xludf.DUMMYFUNCTION("""COMPUTED_VALUE"""),104.1)</f>
        <v>104.1</v>
      </c>
      <c r="G164" s="1">
        <f ca="1">IFERROR(__xludf.DUMMYFUNCTION("""COMPUTED_VALUE"""),197)</f>
        <v>197</v>
      </c>
      <c r="H164" s="1">
        <f ca="1">IFERROR(__xludf.DUMMYFUNCTION("""COMPUTED_VALUE"""),103.1)</f>
        <v>103.1</v>
      </c>
      <c r="I164" s="1">
        <f ca="1">IFERROR(__xludf.DUMMYFUNCTION("""COMPUTED_VALUE"""),131)</f>
        <v>131</v>
      </c>
      <c r="J164" s="1">
        <f ca="1">IFERROR(__xludf.DUMMYFUNCTION("""COMPUTED_VALUE"""),66.8)</f>
        <v>66.8</v>
      </c>
      <c r="K164" s="1">
        <f ca="1">IFERROR(__xludf.DUMMYFUNCTION("""COMPUTED_VALUE"""),73)</f>
        <v>73</v>
      </c>
      <c r="L164" s="1">
        <f ca="1">IFERROR(__xludf.DUMMYFUNCTION("""COMPUTED_VALUE"""),-0.009)</f>
        <v>-8.9999999999999993E-3</v>
      </c>
      <c r="M164" s="1">
        <f ca="1">IFERROR(__xludf.DUMMYFUNCTION("""COMPUTED_VALUE"""),204)</f>
        <v>204</v>
      </c>
      <c r="N164" s="1">
        <f ca="1">IFERROR(__xludf.DUMMYFUNCTION("""COMPUTED_VALUE"""),-1.94)</f>
        <v>-1.94</v>
      </c>
      <c r="O164" s="1">
        <f ca="1">IFERROR(__xludf.DUMMYFUNCTION("""COMPUTED_VALUE"""),189)</f>
        <v>189</v>
      </c>
      <c r="P164" s="1">
        <f ca="1">IFERROR(__xludf.DUMMYFUNCTION("""COMPUTED_VALUE"""),102.8)</f>
        <v>102.8</v>
      </c>
      <c r="Q164" s="1">
        <f ca="1">IFERROR(__xludf.DUMMYFUNCTION("""COMPUTED_VALUE"""),269)</f>
        <v>269</v>
      </c>
      <c r="R164" s="1">
        <f ca="1">IFERROR(__xludf.DUMMYFUNCTION("""COMPUTED_VALUE"""),104.7)</f>
        <v>104.7</v>
      </c>
      <c r="S164" s="1">
        <f ca="1">IFERROR(__xludf.DUMMYFUNCTION("""COMPUTED_VALUE"""),141)</f>
        <v>141</v>
      </c>
      <c r="T164" s="1">
        <f ca="1">IFERROR(__xludf.DUMMYFUNCTION("""COMPUTED_VALUE"""),-3.02)</f>
        <v>-3.02</v>
      </c>
      <c r="U164" s="1">
        <f ca="1">IFERROR(__xludf.DUMMYFUNCTION("""COMPUTED_VALUE"""),253)</f>
        <v>253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IFERROR(__xludf.DUMMYFUNCTION("""COMPUTED_VALUE"""),"Missouri St.")</f>
        <v>Missouri St.</v>
      </c>
      <c r="C165" s="1" t="str">
        <f ca="1">IFERROR(__xludf.DUMMYFUNCTION("""COMPUTED_VALUE"""),"MVC")</f>
        <v>MVC</v>
      </c>
      <c r="D165" s="1" t="str">
        <f ca="1">IFERROR(__xludf.DUMMYFUNCTION("""COMPUTED_VALUE"""),"20-13")</f>
        <v>20-13</v>
      </c>
      <c r="E165" s="1" t="str">
        <f ca="1">IFERROR(__xludf.DUMMYFUNCTION("""COMPUTED_VALUE"""),"+1.01")</f>
        <v>+1.01</v>
      </c>
      <c r="F165" s="1">
        <f ca="1">IFERROR(__xludf.DUMMYFUNCTION("""COMPUTED_VALUE"""),106.5)</f>
        <v>106.5</v>
      </c>
      <c r="G165" s="1">
        <f ca="1">IFERROR(__xludf.DUMMYFUNCTION("""COMPUTED_VALUE"""),145)</f>
        <v>145</v>
      </c>
      <c r="H165" s="1">
        <f ca="1">IFERROR(__xludf.DUMMYFUNCTION("""COMPUTED_VALUE"""),105.5)</f>
        <v>105.5</v>
      </c>
      <c r="I165" s="1">
        <f ca="1">IFERROR(__xludf.DUMMYFUNCTION("""COMPUTED_VALUE"""),177)</f>
        <v>177</v>
      </c>
      <c r="J165" s="1">
        <f ca="1">IFERROR(__xludf.DUMMYFUNCTION("""COMPUTED_VALUE"""),63)</f>
        <v>63</v>
      </c>
      <c r="K165" s="1">
        <f ca="1">IFERROR(__xludf.DUMMYFUNCTION("""COMPUTED_VALUE"""),261)</f>
        <v>261</v>
      </c>
      <c r="L165" s="1" t="str">
        <f ca="1">IFERROR(__xludf.DUMMYFUNCTION("""COMPUTED_VALUE"""),"+.114")</f>
        <v>+.114</v>
      </c>
      <c r="M165" s="1">
        <f ca="1">IFERROR(__xludf.DUMMYFUNCTION("""COMPUTED_VALUE"""),5)</f>
        <v>5</v>
      </c>
      <c r="N165" s="1" t="str">
        <f ca="1">IFERROR(__xludf.DUMMYFUNCTION("""COMPUTED_VALUE"""),"+0.73")</f>
        <v>+0.73</v>
      </c>
      <c r="O165" s="1">
        <f ca="1">IFERROR(__xludf.DUMMYFUNCTION("""COMPUTED_VALUE"""),132)</f>
        <v>132</v>
      </c>
      <c r="P165" s="1">
        <f ca="1">IFERROR(__xludf.DUMMYFUNCTION("""COMPUTED_VALUE"""),104.8)</f>
        <v>104.8</v>
      </c>
      <c r="Q165" s="1">
        <f ca="1">IFERROR(__xludf.DUMMYFUNCTION("""COMPUTED_VALUE"""),158)</f>
        <v>158</v>
      </c>
      <c r="R165" s="1">
        <f ca="1">IFERROR(__xludf.DUMMYFUNCTION("""COMPUTED_VALUE"""),104)</f>
        <v>104</v>
      </c>
      <c r="S165" s="1">
        <f ca="1">IFERROR(__xludf.DUMMYFUNCTION("""COMPUTED_VALUE"""),112)</f>
        <v>112</v>
      </c>
      <c r="T165" s="1">
        <f ca="1">IFERROR(__xludf.DUMMYFUNCTION("""COMPUTED_VALUE"""),-2.81)</f>
        <v>-2.81</v>
      </c>
      <c r="U165" s="1">
        <f ca="1">IFERROR(__xludf.DUMMYFUNCTION("""COMPUTED_VALUE"""),239)</f>
        <v>239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IFERROR(__xludf.DUMMYFUNCTION("""COMPUTED_VALUE"""),"Holy Cross")</f>
        <v>Holy Cross</v>
      </c>
      <c r="C166" s="1" t="str">
        <f ca="1">IFERROR(__xludf.DUMMYFUNCTION("""COMPUTED_VALUE"""),"Pat")</f>
        <v>Pat</v>
      </c>
      <c r="D166" s="1" t="str">
        <f ca="1">IFERROR(__xludf.DUMMYFUNCTION("""COMPUTED_VALUE"""),"20-14")</f>
        <v>20-14</v>
      </c>
      <c r="E166" s="1" t="str">
        <f ca="1">IFERROR(__xludf.DUMMYFUNCTION("""COMPUTED_VALUE"""),"+0.98")</f>
        <v>+0.98</v>
      </c>
      <c r="F166" s="1">
        <f ca="1">IFERROR(__xludf.DUMMYFUNCTION("""COMPUTED_VALUE"""),104.5)</f>
        <v>104.5</v>
      </c>
      <c r="G166" s="1">
        <f ca="1">IFERROR(__xludf.DUMMYFUNCTION("""COMPUTED_VALUE"""),191)</f>
        <v>191</v>
      </c>
      <c r="H166" s="1">
        <f ca="1">IFERROR(__xludf.DUMMYFUNCTION("""COMPUTED_VALUE"""),103.5)</f>
        <v>103.5</v>
      </c>
      <c r="I166" s="1">
        <f ca="1">IFERROR(__xludf.DUMMYFUNCTION("""COMPUTED_VALUE"""),139)</f>
        <v>139</v>
      </c>
      <c r="J166" s="1">
        <f ca="1">IFERROR(__xludf.DUMMYFUNCTION("""COMPUTED_VALUE"""),62.7)</f>
        <v>62.7</v>
      </c>
      <c r="K166" s="1">
        <f ca="1">IFERROR(__xludf.DUMMYFUNCTION("""COMPUTED_VALUE"""),277)</f>
        <v>277</v>
      </c>
      <c r="L166" s="1" t="str">
        <f ca="1">IFERROR(__xludf.DUMMYFUNCTION("""COMPUTED_VALUE"""),"+.027")</f>
        <v>+.027</v>
      </c>
      <c r="M166" s="1">
        <f ca="1">IFERROR(__xludf.DUMMYFUNCTION("""COMPUTED_VALUE"""),119)</f>
        <v>119</v>
      </c>
      <c r="N166" s="1">
        <f ca="1">IFERROR(__xludf.DUMMYFUNCTION("""COMPUTED_VALUE"""),-2.6)</f>
        <v>-2.6</v>
      </c>
      <c r="O166" s="1">
        <f ca="1">IFERROR(__xludf.DUMMYFUNCTION("""COMPUTED_VALUE"""),210)</f>
        <v>210</v>
      </c>
      <c r="P166" s="1">
        <f ca="1">IFERROR(__xludf.DUMMYFUNCTION("""COMPUTED_VALUE"""),103.1)</f>
        <v>103.1</v>
      </c>
      <c r="Q166" s="1">
        <f ca="1">IFERROR(__xludf.DUMMYFUNCTION("""COMPUTED_VALUE"""),253)</f>
        <v>253</v>
      </c>
      <c r="R166" s="1">
        <f ca="1">IFERROR(__xludf.DUMMYFUNCTION("""COMPUTED_VALUE"""),105.7)</f>
        <v>105.7</v>
      </c>
      <c r="S166" s="1">
        <f ca="1">IFERROR(__xludf.DUMMYFUNCTION("""COMPUTED_VALUE"""),184)</f>
        <v>184</v>
      </c>
      <c r="T166" s="1" t="str">
        <f ca="1">IFERROR(__xludf.DUMMYFUNCTION("""COMPUTED_VALUE"""),"+0.54")</f>
        <v>+0.54</v>
      </c>
      <c r="U166" s="1">
        <f ca="1">IFERROR(__xludf.DUMMYFUNCTION("""COMPUTED_VALUE"""),145)</f>
        <v>145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IFERROR(__xludf.DUMMYFUNCTION("""COMPUTED_VALUE"""),"Pepperdine")</f>
        <v>Pepperdine</v>
      </c>
      <c r="C167" s="1" t="str">
        <f ca="1">IFERROR(__xludf.DUMMYFUNCTION("""COMPUTED_VALUE"""),"WCC")</f>
        <v>WCC</v>
      </c>
      <c r="D167" s="1" t="str">
        <f ca="1">IFERROR(__xludf.DUMMYFUNCTION("""COMPUTED_VALUE"""),"15-16")</f>
        <v>15-16</v>
      </c>
      <c r="E167" s="1" t="str">
        <f ca="1">IFERROR(__xludf.DUMMYFUNCTION("""COMPUTED_VALUE"""),"+0.93")</f>
        <v>+0.93</v>
      </c>
      <c r="F167" s="1">
        <f ca="1">IFERROR(__xludf.DUMMYFUNCTION("""COMPUTED_VALUE"""),107.8)</f>
        <v>107.8</v>
      </c>
      <c r="G167" s="1">
        <f ca="1">IFERROR(__xludf.DUMMYFUNCTION("""COMPUTED_VALUE"""),124)</f>
        <v>124</v>
      </c>
      <c r="H167" s="1">
        <f ca="1">IFERROR(__xludf.DUMMYFUNCTION("""COMPUTED_VALUE"""),106.9)</f>
        <v>106.9</v>
      </c>
      <c r="I167" s="1">
        <f ca="1">IFERROR(__xludf.DUMMYFUNCTION("""COMPUTED_VALUE"""),211)</f>
        <v>211</v>
      </c>
      <c r="J167" s="1">
        <f ca="1">IFERROR(__xludf.DUMMYFUNCTION("""COMPUTED_VALUE"""),64.9)</f>
        <v>64.900000000000006</v>
      </c>
      <c r="K167" s="1">
        <f ca="1">IFERROR(__xludf.DUMMYFUNCTION("""COMPUTED_VALUE"""),163)</f>
        <v>163</v>
      </c>
      <c r="L167" s="1" t="str">
        <f ca="1">IFERROR(__xludf.DUMMYFUNCTION("""COMPUTED_VALUE"""),"+.025")</f>
        <v>+.025</v>
      </c>
      <c r="M167" s="1">
        <f ca="1">IFERROR(__xludf.DUMMYFUNCTION("""COMPUTED_VALUE"""),123)</f>
        <v>123</v>
      </c>
      <c r="N167" s="1" t="str">
        <f ca="1">IFERROR(__xludf.DUMMYFUNCTION("""COMPUTED_VALUE"""),"+2.95")</f>
        <v>+2.95</v>
      </c>
      <c r="O167" s="1">
        <f ca="1">IFERROR(__xludf.DUMMYFUNCTION("""COMPUTED_VALUE"""),109)</f>
        <v>109</v>
      </c>
      <c r="P167" s="1">
        <f ca="1">IFERROR(__xludf.DUMMYFUNCTION("""COMPUTED_VALUE"""),107.1)</f>
        <v>107.1</v>
      </c>
      <c r="Q167" s="1">
        <f ca="1">IFERROR(__xludf.DUMMYFUNCTION("""COMPUTED_VALUE"""),99)</f>
        <v>99</v>
      </c>
      <c r="R167" s="1">
        <f ca="1">IFERROR(__xludf.DUMMYFUNCTION("""COMPUTED_VALUE"""),104.2)</f>
        <v>104.2</v>
      </c>
      <c r="S167" s="1">
        <f ca="1">IFERROR(__xludf.DUMMYFUNCTION("""COMPUTED_VALUE"""),116)</f>
        <v>116</v>
      </c>
      <c r="T167" s="1">
        <f ca="1">IFERROR(__xludf.DUMMYFUNCTION("""COMPUTED_VALUE"""),-3.98)</f>
        <v>-3.98</v>
      </c>
      <c r="U167" s="1">
        <f ca="1">IFERROR(__xludf.DUMMYFUNCTION("""COMPUTED_VALUE"""),283)</f>
        <v>283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IFERROR(__xludf.DUMMYFUNCTION("""COMPUTED_VALUE"""),"Bucknell")</f>
        <v>Bucknell</v>
      </c>
      <c r="C168" s="1" t="str">
        <f ca="1">IFERROR(__xludf.DUMMYFUNCTION("""COMPUTED_VALUE"""),"Pat")</f>
        <v>Pat</v>
      </c>
      <c r="D168" s="1" t="str">
        <f ca="1">IFERROR(__xludf.DUMMYFUNCTION("""COMPUTED_VALUE"""),"16-14")</f>
        <v>16-14</v>
      </c>
      <c r="E168" s="1" t="str">
        <f ca="1">IFERROR(__xludf.DUMMYFUNCTION("""COMPUTED_VALUE"""),"+0.91")</f>
        <v>+0.91</v>
      </c>
      <c r="F168" s="1">
        <f ca="1">IFERROR(__xludf.DUMMYFUNCTION("""COMPUTED_VALUE"""),103)</f>
        <v>103</v>
      </c>
      <c r="G168" s="1">
        <f ca="1">IFERROR(__xludf.DUMMYFUNCTION("""COMPUTED_VALUE"""),214)</f>
        <v>214</v>
      </c>
      <c r="H168" s="1">
        <f ca="1">IFERROR(__xludf.DUMMYFUNCTION("""COMPUTED_VALUE"""),102.1)</f>
        <v>102.1</v>
      </c>
      <c r="I168" s="1">
        <f ca="1">IFERROR(__xludf.DUMMYFUNCTION("""COMPUTED_VALUE"""),113)</f>
        <v>113</v>
      </c>
      <c r="J168" s="1">
        <f ca="1">IFERROR(__xludf.DUMMYFUNCTION("""COMPUTED_VALUE"""),62.9)</f>
        <v>62.9</v>
      </c>
      <c r="K168" s="1">
        <f ca="1">IFERROR(__xludf.DUMMYFUNCTION("""COMPUTED_VALUE"""),267)</f>
        <v>267</v>
      </c>
      <c r="L168" s="1">
        <f ca="1">IFERROR(__xludf.DUMMYFUNCTION("""COMPUTED_VALUE"""),-0.042)</f>
        <v>-4.2000000000000003E-2</v>
      </c>
      <c r="M168" s="1">
        <f ca="1">IFERROR(__xludf.DUMMYFUNCTION("""COMPUTED_VALUE"""),268)</f>
        <v>268</v>
      </c>
      <c r="N168" s="1">
        <f ca="1">IFERROR(__xludf.DUMMYFUNCTION("""COMPUTED_VALUE"""),-2.59)</f>
        <v>-2.59</v>
      </c>
      <c r="O168" s="1">
        <f ca="1">IFERROR(__xludf.DUMMYFUNCTION("""COMPUTED_VALUE"""),209)</f>
        <v>209</v>
      </c>
      <c r="P168" s="1">
        <f ca="1">IFERROR(__xludf.DUMMYFUNCTION("""COMPUTED_VALUE"""),103.4)</f>
        <v>103.4</v>
      </c>
      <c r="Q168" s="1">
        <f ca="1">IFERROR(__xludf.DUMMYFUNCTION("""COMPUTED_VALUE"""),230)</f>
        <v>230</v>
      </c>
      <c r="R168" s="1">
        <f ca="1">IFERROR(__xludf.DUMMYFUNCTION("""COMPUTED_VALUE"""),106)</f>
        <v>106</v>
      </c>
      <c r="S168" s="1">
        <f ca="1">IFERROR(__xludf.DUMMYFUNCTION("""COMPUTED_VALUE"""),200)</f>
        <v>200</v>
      </c>
      <c r="T168" s="1" t="str">
        <f ca="1">IFERROR(__xludf.DUMMYFUNCTION("""COMPUTED_VALUE"""),"+2.46")</f>
        <v>+2.46</v>
      </c>
      <c r="U168" s="1">
        <f ca="1">IFERROR(__xludf.DUMMYFUNCTION("""COMPUTED_VALUE"""),91)</f>
        <v>91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IFERROR(__xludf.DUMMYFUNCTION("""COMPUTED_VALUE"""),"Arkansas St.")</f>
        <v>Arkansas St.</v>
      </c>
      <c r="C171" s="1" t="str">
        <f ca="1">IFERROR(__xludf.DUMMYFUNCTION("""COMPUTED_VALUE"""),"SB")</f>
        <v>SB</v>
      </c>
      <c r="D171" s="1" t="str">
        <f ca="1">IFERROR(__xludf.DUMMYFUNCTION("""COMPUTED_VALUE"""),"19-13")</f>
        <v>19-13</v>
      </c>
      <c r="E171" s="1" t="str">
        <f ca="1">IFERROR(__xludf.DUMMYFUNCTION("""COMPUTED_VALUE"""),"+0.59")</f>
        <v>+0.59</v>
      </c>
      <c r="F171" s="1">
        <f ca="1">IFERROR(__xludf.DUMMYFUNCTION("""COMPUTED_VALUE"""),106.6)</f>
        <v>106.6</v>
      </c>
      <c r="G171" s="1">
        <f ca="1">IFERROR(__xludf.DUMMYFUNCTION("""COMPUTED_VALUE"""),143)</f>
        <v>143</v>
      </c>
      <c r="H171" s="1">
        <f ca="1">IFERROR(__xludf.DUMMYFUNCTION("""COMPUTED_VALUE"""),106)</f>
        <v>106</v>
      </c>
      <c r="I171" s="1">
        <f ca="1">IFERROR(__xludf.DUMMYFUNCTION("""COMPUTED_VALUE"""),188)</f>
        <v>188</v>
      </c>
      <c r="J171" s="1">
        <f ca="1">IFERROR(__xludf.DUMMYFUNCTION("""COMPUTED_VALUE"""),66.6)</f>
        <v>66.599999999999994</v>
      </c>
      <c r="K171" s="1">
        <f ca="1">IFERROR(__xludf.DUMMYFUNCTION("""COMPUTED_VALUE"""),85)</f>
        <v>85</v>
      </c>
      <c r="L171" s="1" t="str">
        <f ca="1">IFERROR(__xludf.DUMMYFUNCTION("""COMPUTED_VALUE"""),"+.003")</f>
        <v>+.003</v>
      </c>
      <c r="M171" s="1">
        <f ca="1">IFERROR(__xludf.DUMMYFUNCTION("""COMPUTED_VALUE"""),176)</f>
        <v>176</v>
      </c>
      <c r="N171" s="1">
        <f ca="1">IFERROR(__xludf.DUMMYFUNCTION("""COMPUTED_VALUE"""),-3.49)</f>
        <v>-3.49</v>
      </c>
      <c r="O171" s="1">
        <f ca="1">IFERROR(__xludf.DUMMYFUNCTION("""COMPUTED_VALUE"""),231)</f>
        <v>231</v>
      </c>
      <c r="P171" s="1">
        <f ca="1">IFERROR(__xludf.DUMMYFUNCTION("""COMPUTED_VALUE"""),103)</f>
        <v>103</v>
      </c>
      <c r="Q171" s="1">
        <f ca="1">IFERROR(__xludf.DUMMYFUNCTION("""COMPUTED_VALUE"""),257)</f>
        <v>257</v>
      </c>
      <c r="R171" s="1">
        <f ca="1">IFERROR(__xludf.DUMMYFUNCTION("""COMPUTED_VALUE"""),106.5)</f>
        <v>106.5</v>
      </c>
      <c r="S171" s="1">
        <f ca="1">IFERROR(__xludf.DUMMYFUNCTION("""COMPUTED_VALUE"""),221)</f>
        <v>221</v>
      </c>
      <c r="T171" s="1">
        <f ca="1">IFERROR(__xludf.DUMMYFUNCTION("""COMPUTED_VALUE"""),-4.87)</f>
        <v>-4.87</v>
      </c>
      <c r="U171" s="1">
        <f ca="1">IFERROR(__xludf.DUMMYFUNCTION("""COMPUTED_VALUE"""),298)</f>
        <v>298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IFERROR(__xludf.DUMMYFUNCTION("""COMPUTED_VALUE"""),"Brown")</f>
        <v>Brown</v>
      </c>
      <c r="C172" s="1" t="str">
        <f ca="1">IFERROR(__xludf.DUMMYFUNCTION("""COMPUTED_VALUE"""),"Ivy")</f>
        <v>Ivy</v>
      </c>
      <c r="D172" s="1" t="str">
        <f ca="1">IFERROR(__xludf.DUMMYFUNCTION("""COMPUTED_VALUE"""),"15-14")</f>
        <v>15-14</v>
      </c>
      <c r="E172" s="1" t="str">
        <f ca="1">IFERROR(__xludf.DUMMYFUNCTION("""COMPUTED_VALUE"""),"+0.59")</f>
        <v>+0.59</v>
      </c>
      <c r="F172" s="1">
        <f ca="1">IFERROR(__xludf.DUMMYFUNCTION("""COMPUTED_VALUE"""),101.1)</f>
        <v>101.1</v>
      </c>
      <c r="G172" s="1">
        <f ca="1">IFERROR(__xludf.DUMMYFUNCTION("""COMPUTED_VALUE"""),246)</f>
        <v>246</v>
      </c>
      <c r="H172" s="1">
        <f ca="1">IFERROR(__xludf.DUMMYFUNCTION("""COMPUTED_VALUE"""),100.5)</f>
        <v>100.5</v>
      </c>
      <c r="I172" s="1">
        <f ca="1">IFERROR(__xludf.DUMMYFUNCTION("""COMPUTED_VALUE"""),87)</f>
        <v>87</v>
      </c>
      <c r="J172" s="1">
        <f ca="1">IFERROR(__xludf.DUMMYFUNCTION("""COMPUTED_VALUE"""),68.3)</f>
        <v>68.3</v>
      </c>
      <c r="K172" s="1">
        <f ca="1">IFERROR(__xludf.DUMMYFUNCTION("""COMPUTED_VALUE"""),36)</f>
        <v>36</v>
      </c>
      <c r="L172" s="1">
        <f ca="1">IFERROR(__xludf.DUMMYFUNCTION("""COMPUTED_VALUE"""),-0.118)</f>
        <v>-0.11799999999999999</v>
      </c>
      <c r="M172" s="1">
        <f ca="1">IFERROR(__xludf.DUMMYFUNCTION("""COMPUTED_VALUE"""),348)</f>
        <v>348</v>
      </c>
      <c r="N172" s="1">
        <f ca="1">IFERROR(__xludf.DUMMYFUNCTION("""COMPUTED_VALUE"""),-3.89)</f>
        <v>-3.89</v>
      </c>
      <c r="O172" s="1">
        <f ca="1">IFERROR(__xludf.DUMMYFUNCTION("""COMPUTED_VALUE"""),238)</f>
        <v>238</v>
      </c>
      <c r="P172" s="1">
        <f ca="1">IFERROR(__xludf.DUMMYFUNCTION("""COMPUTED_VALUE"""),102.2)</f>
        <v>102.2</v>
      </c>
      <c r="Q172" s="1">
        <f ca="1">IFERROR(__xludf.DUMMYFUNCTION("""COMPUTED_VALUE"""),292)</f>
        <v>292</v>
      </c>
      <c r="R172" s="1">
        <f ca="1">IFERROR(__xludf.DUMMYFUNCTION("""COMPUTED_VALUE"""),106.1)</f>
        <v>106.1</v>
      </c>
      <c r="S172" s="1">
        <f ca="1">IFERROR(__xludf.DUMMYFUNCTION("""COMPUTED_VALUE"""),208)</f>
        <v>208</v>
      </c>
      <c r="T172" s="1">
        <f ca="1">IFERROR(__xludf.DUMMYFUNCTION("""COMPUTED_VALUE"""),-6.73)</f>
        <v>-6.73</v>
      </c>
      <c r="U172" s="1">
        <f ca="1">IFERROR(__xludf.DUMMYFUNCTION("""COMPUTED_VALUE"""),326)</f>
        <v>326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IFERROR(__xludf.DUMMYFUNCTION("""COMPUTED_VALUE"""),"Valparaiso")</f>
        <v>Valparaiso</v>
      </c>
      <c r="C173" s="1" t="str">
        <f ca="1">IFERROR(__xludf.DUMMYFUNCTION("""COMPUTED_VALUE"""),"Horz")</f>
        <v>Horz</v>
      </c>
      <c r="D173" s="1" t="str">
        <f ca="1">IFERROR(__xludf.DUMMYFUNCTION("""COMPUTED_VALUE"""),"18-16")</f>
        <v>18-16</v>
      </c>
      <c r="E173" s="1" t="str">
        <f ca="1">IFERROR(__xludf.DUMMYFUNCTION("""COMPUTED_VALUE"""),"+0.50")</f>
        <v>+0.50</v>
      </c>
      <c r="F173" s="1">
        <f ca="1">IFERROR(__xludf.DUMMYFUNCTION("""COMPUTED_VALUE"""),104.2)</f>
        <v>104.2</v>
      </c>
      <c r="G173" s="1">
        <f ca="1">IFERROR(__xludf.DUMMYFUNCTION("""COMPUTED_VALUE"""),194)</f>
        <v>194</v>
      </c>
      <c r="H173" s="1">
        <f ca="1">IFERROR(__xludf.DUMMYFUNCTION("""COMPUTED_VALUE"""),103.7)</f>
        <v>103.7</v>
      </c>
      <c r="I173" s="1">
        <f ca="1">IFERROR(__xludf.DUMMYFUNCTION("""COMPUTED_VALUE"""),145)</f>
        <v>145</v>
      </c>
      <c r="J173" s="1">
        <f ca="1">IFERROR(__xludf.DUMMYFUNCTION("""COMPUTED_VALUE"""),63.4)</f>
        <v>63.4</v>
      </c>
      <c r="K173" s="1">
        <f ca="1">IFERROR(__xludf.DUMMYFUNCTION("""COMPUTED_VALUE"""),245)</f>
        <v>245</v>
      </c>
      <c r="L173" s="1">
        <f ca="1">IFERROR(__xludf.DUMMYFUNCTION("""COMPUTED_VALUE"""),-0.028)</f>
        <v>-2.8000000000000001E-2</v>
      </c>
      <c r="M173" s="1">
        <f ca="1">IFERROR(__xludf.DUMMYFUNCTION("""COMPUTED_VALUE"""),242)</f>
        <v>242</v>
      </c>
      <c r="N173" s="1">
        <f ca="1">IFERROR(__xludf.DUMMYFUNCTION("""COMPUTED_VALUE"""),-0.48)</f>
        <v>-0.48</v>
      </c>
      <c r="O173" s="1">
        <f ca="1">IFERROR(__xludf.DUMMYFUNCTION("""COMPUTED_VALUE"""),158)</f>
        <v>158</v>
      </c>
      <c r="P173" s="1">
        <f ca="1">IFERROR(__xludf.DUMMYFUNCTION("""COMPUTED_VALUE"""),104.5)</f>
        <v>104.5</v>
      </c>
      <c r="Q173" s="1">
        <f ca="1">IFERROR(__xludf.DUMMYFUNCTION("""COMPUTED_VALUE"""),169)</f>
        <v>169</v>
      </c>
      <c r="R173" s="1">
        <f ca="1">IFERROR(__xludf.DUMMYFUNCTION("""COMPUTED_VALUE"""),105)</f>
        <v>105</v>
      </c>
      <c r="S173" s="1">
        <f ca="1">IFERROR(__xludf.DUMMYFUNCTION("""COMPUTED_VALUE"""),156)</f>
        <v>156</v>
      </c>
      <c r="T173" s="1" t="str">
        <f ca="1">IFERROR(__xludf.DUMMYFUNCTION("""COMPUTED_VALUE"""),"+0.15")</f>
        <v>+0.15</v>
      </c>
      <c r="U173" s="1">
        <f ca="1">IFERROR(__xludf.DUMMYFUNCTION("""COMPUTED_VALUE"""),157)</f>
        <v>157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IFERROR(__xludf.DUMMYFUNCTION("""COMPUTED_VALUE"""),"Siena")</f>
        <v>Siena</v>
      </c>
      <c r="C174" s="1" t="str">
        <f ca="1">IFERROR(__xludf.DUMMYFUNCTION("""COMPUTED_VALUE"""),"MAAC")</f>
        <v>MAAC</v>
      </c>
      <c r="D174" s="1" t="str">
        <f ca="1">IFERROR(__xludf.DUMMYFUNCTION("""COMPUTED_VALUE"""),"20-18")</f>
        <v>20-18</v>
      </c>
      <c r="E174" s="1" t="str">
        <f ca="1">IFERROR(__xludf.DUMMYFUNCTION("""COMPUTED_VALUE"""),"+0.33")</f>
        <v>+0.33</v>
      </c>
      <c r="F174" s="1">
        <f ca="1">IFERROR(__xludf.DUMMYFUNCTION("""COMPUTED_VALUE"""),101.6)</f>
        <v>101.6</v>
      </c>
      <c r="G174" s="1">
        <f ca="1">IFERROR(__xludf.DUMMYFUNCTION("""COMPUTED_VALUE"""),234)</f>
        <v>234</v>
      </c>
      <c r="H174" s="1">
        <f ca="1">IFERROR(__xludf.DUMMYFUNCTION("""COMPUTED_VALUE"""),101.3)</f>
        <v>101.3</v>
      </c>
      <c r="I174" s="1">
        <f ca="1">IFERROR(__xludf.DUMMYFUNCTION("""COMPUTED_VALUE"""),102)</f>
        <v>102</v>
      </c>
      <c r="J174" s="1">
        <f ca="1">IFERROR(__xludf.DUMMYFUNCTION("""COMPUTED_VALUE"""),64.6)</f>
        <v>64.599999999999994</v>
      </c>
      <c r="K174" s="1">
        <f ca="1">IFERROR(__xludf.DUMMYFUNCTION("""COMPUTED_VALUE"""),175)</f>
        <v>175</v>
      </c>
      <c r="L174" s="1" t="str">
        <f ca="1">IFERROR(__xludf.DUMMYFUNCTION("""COMPUTED_VALUE"""),"+.041")</f>
        <v>+.041</v>
      </c>
      <c r="M174" s="1">
        <f ca="1">IFERROR(__xludf.DUMMYFUNCTION("""COMPUTED_VALUE"""),85)</f>
        <v>85</v>
      </c>
      <c r="N174" s="1">
        <f ca="1">IFERROR(__xludf.DUMMYFUNCTION("""COMPUTED_VALUE"""),-0.36)</f>
        <v>-0.36</v>
      </c>
      <c r="O174" s="1">
        <f ca="1">IFERROR(__xludf.DUMMYFUNCTION("""COMPUTED_VALUE"""),157)</f>
        <v>157</v>
      </c>
      <c r="P174" s="1">
        <f ca="1">IFERROR(__xludf.DUMMYFUNCTION("""COMPUTED_VALUE"""),105.8)</f>
        <v>105.8</v>
      </c>
      <c r="Q174" s="1">
        <f ca="1">IFERROR(__xludf.DUMMYFUNCTION("""COMPUTED_VALUE"""),120)</f>
        <v>120</v>
      </c>
      <c r="R174" s="1">
        <f ca="1">IFERROR(__xludf.DUMMYFUNCTION("""COMPUTED_VALUE"""),106.2)</f>
        <v>106.2</v>
      </c>
      <c r="S174" s="1">
        <f ca="1">IFERROR(__xludf.DUMMYFUNCTION("""COMPUTED_VALUE"""),213)</f>
        <v>213</v>
      </c>
      <c r="T174" s="1" t="str">
        <f ca="1">IFERROR(__xludf.DUMMYFUNCTION("""COMPUTED_VALUE"""),"+2.95")</f>
        <v>+2.95</v>
      </c>
      <c r="U174" s="1">
        <f ca="1">IFERROR(__xludf.DUMMYFUNCTION("""COMPUTED_VALUE"""),77)</f>
        <v>77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IFERROR(__xludf.DUMMYFUNCTION("""COMPUTED_VALUE"""),"Southern Illinois")</f>
        <v>Southern Illinois</v>
      </c>
      <c r="C175" s="1" t="str">
        <f ca="1">IFERROR(__xludf.DUMMYFUNCTION("""COMPUTED_VALUE"""),"MVC")</f>
        <v>MVC</v>
      </c>
      <c r="D175" s="1" t="str">
        <f ca="1">IFERROR(__xludf.DUMMYFUNCTION("""COMPUTED_VALUE"""),"14-19")</f>
        <v>14-19</v>
      </c>
      <c r="E175" s="1" t="str">
        <f ca="1">IFERROR(__xludf.DUMMYFUNCTION("""COMPUTED_VALUE"""),"+0.17")</f>
        <v>+0.17</v>
      </c>
      <c r="F175" s="1">
        <f ca="1">IFERROR(__xludf.DUMMYFUNCTION("""COMPUTED_VALUE"""),106.1)</f>
        <v>106.1</v>
      </c>
      <c r="G175" s="1">
        <f ca="1">IFERROR(__xludf.DUMMYFUNCTION("""COMPUTED_VALUE"""),157)</f>
        <v>157</v>
      </c>
      <c r="H175" s="1">
        <f ca="1">IFERROR(__xludf.DUMMYFUNCTION("""COMPUTED_VALUE"""),106)</f>
        <v>106</v>
      </c>
      <c r="I175" s="1">
        <f ca="1">IFERROR(__xludf.DUMMYFUNCTION("""COMPUTED_VALUE"""),187)</f>
        <v>187</v>
      </c>
      <c r="J175" s="1">
        <f ca="1">IFERROR(__xludf.DUMMYFUNCTION("""COMPUTED_VALUE"""),61.5)</f>
        <v>61.5</v>
      </c>
      <c r="K175" s="1">
        <f ca="1">IFERROR(__xludf.DUMMYFUNCTION("""COMPUTED_VALUE"""),316)</f>
        <v>316</v>
      </c>
      <c r="L175" s="1">
        <f ca="1">IFERROR(__xludf.DUMMYFUNCTION("""COMPUTED_VALUE"""),-0.061)</f>
        <v>-6.0999999999999999E-2</v>
      </c>
      <c r="M175" s="1">
        <f ca="1">IFERROR(__xludf.DUMMYFUNCTION("""COMPUTED_VALUE"""),312)</f>
        <v>312</v>
      </c>
      <c r="N175" s="1" t="str">
        <f ca="1">IFERROR(__xludf.DUMMYFUNCTION("""COMPUTED_VALUE"""),"+0.30")</f>
        <v>+0.30</v>
      </c>
      <c r="O175" s="1">
        <f ca="1">IFERROR(__xludf.DUMMYFUNCTION("""COMPUTED_VALUE"""),143)</f>
        <v>143</v>
      </c>
      <c r="P175" s="1">
        <f ca="1">IFERROR(__xludf.DUMMYFUNCTION("""COMPUTED_VALUE"""),104.9)</f>
        <v>104.9</v>
      </c>
      <c r="Q175" s="1">
        <f ca="1">IFERROR(__xludf.DUMMYFUNCTION("""COMPUTED_VALUE"""),156)</f>
        <v>156</v>
      </c>
      <c r="R175" s="1">
        <f ca="1">IFERROR(__xludf.DUMMYFUNCTION("""COMPUTED_VALUE"""),104.6)</f>
        <v>104.6</v>
      </c>
      <c r="S175" s="1">
        <f ca="1">IFERROR(__xludf.DUMMYFUNCTION("""COMPUTED_VALUE"""),136)</f>
        <v>136</v>
      </c>
      <c r="T175" s="1">
        <f ca="1">IFERROR(__xludf.DUMMYFUNCTION("""COMPUTED_VALUE"""),-2.86)</f>
        <v>-2.86</v>
      </c>
      <c r="U175" s="1">
        <f ca="1">IFERROR(__xludf.DUMMYFUNCTION("""COMPUTED_VALUE"""),244)</f>
        <v>244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IFERROR(__xludf.DUMMYFUNCTION("""COMPUTED_VALUE"""),"William &amp; Mary")</f>
        <v>William &amp; Mary</v>
      </c>
      <c r="C176" s="1" t="str">
        <f ca="1">IFERROR(__xludf.DUMMYFUNCTION("""COMPUTED_VALUE"""),"CAA")</f>
        <v>CAA</v>
      </c>
      <c r="D176" s="1" t="str">
        <f ca="1">IFERROR(__xludf.DUMMYFUNCTION("""COMPUTED_VALUE"""),"20-12")</f>
        <v>20-12</v>
      </c>
      <c r="E176" s="1" t="str">
        <f ca="1">IFERROR(__xludf.DUMMYFUNCTION("""COMPUTED_VALUE"""),"+0.12")</f>
        <v>+0.12</v>
      </c>
      <c r="F176" s="1">
        <f ca="1">IFERROR(__xludf.DUMMYFUNCTION("""COMPUTED_VALUE"""),112.6)</f>
        <v>112.6</v>
      </c>
      <c r="G176" s="1">
        <f ca="1">IFERROR(__xludf.DUMMYFUNCTION("""COMPUTED_VALUE"""),50)</f>
        <v>50</v>
      </c>
      <c r="H176" s="1">
        <f ca="1">IFERROR(__xludf.DUMMYFUNCTION("""COMPUTED_VALUE"""),112.4)</f>
        <v>112.4</v>
      </c>
      <c r="I176" s="1">
        <f ca="1">IFERROR(__xludf.DUMMYFUNCTION("""COMPUTED_VALUE"""),305)</f>
        <v>305</v>
      </c>
      <c r="J176" s="1">
        <f ca="1">IFERROR(__xludf.DUMMYFUNCTION("""COMPUTED_VALUE"""),63.5)</f>
        <v>63.5</v>
      </c>
      <c r="K176" s="1">
        <f ca="1">IFERROR(__xludf.DUMMYFUNCTION("""COMPUTED_VALUE"""),242)</f>
        <v>242</v>
      </c>
      <c r="L176" s="1" t="str">
        <f ca="1">IFERROR(__xludf.DUMMYFUNCTION("""COMPUTED_VALUE"""),"+.095")</f>
        <v>+.095</v>
      </c>
      <c r="M176" s="1">
        <f ca="1">IFERROR(__xludf.DUMMYFUNCTION("""COMPUTED_VALUE"""),12)</f>
        <v>12</v>
      </c>
      <c r="N176" s="1">
        <f ca="1">IFERROR(__xludf.DUMMYFUNCTION("""COMPUTED_VALUE"""),-2.05)</f>
        <v>-2.0499999999999998</v>
      </c>
      <c r="O176" s="1">
        <f ca="1">IFERROR(__xludf.DUMMYFUNCTION("""COMPUTED_VALUE"""),192)</f>
        <v>192</v>
      </c>
      <c r="P176" s="1">
        <f ca="1">IFERROR(__xludf.DUMMYFUNCTION("""COMPUTED_VALUE"""),103.4)</f>
        <v>103.4</v>
      </c>
      <c r="Q176" s="1">
        <f ca="1">IFERROR(__xludf.DUMMYFUNCTION("""COMPUTED_VALUE"""),229)</f>
        <v>229</v>
      </c>
      <c r="R176" s="1">
        <f ca="1">IFERROR(__xludf.DUMMYFUNCTION("""COMPUTED_VALUE"""),105.4)</f>
        <v>105.4</v>
      </c>
      <c r="S176" s="1">
        <f ca="1">IFERROR(__xludf.DUMMYFUNCTION("""COMPUTED_VALUE"""),177)</f>
        <v>177</v>
      </c>
      <c r="T176" s="1">
        <f ca="1">IFERROR(__xludf.DUMMYFUNCTION("""COMPUTED_VALUE"""),-1.89)</f>
        <v>-1.89</v>
      </c>
      <c r="U176" s="1">
        <f ca="1">IFERROR(__xludf.DUMMYFUNCTION("""COMPUTED_VALUE"""),215)</f>
        <v>215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IFERROR(__xludf.DUMMYFUNCTION("""COMPUTED_VALUE"""),"USC Upstate")</f>
        <v>USC Upstate</v>
      </c>
      <c r="C177" s="1" t="str">
        <f ca="1">IFERROR(__xludf.DUMMYFUNCTION("""COMPUTED_VALUE"""),"ASun")</f>
        <v>ASun</v>
      </c>
      <c r="D177" s="1" t="str">
        <f ca="1">IFERROR(__xludf.DUMMYFUNCTION("""COMPUTED_VALUE"""),"19-15")</f>
        <v>19-15</v>
      </c>
      <c r="E177" s="1" t="str">
        <f ca="1">IFERROR(__xludf.DUMMYFUNCTION("""COMPUTED_VALUE"""),"+0.10")</f>
        <v>+0.10</v>
      </c>
      <c r="F177" s="1">
        <f ca="1">IFERROR(__xludf.DUMMYFUNCTION("""COMPUTED_VALUE"""),105)</f>
        <v>105</v>
      </c>
      <c r="G177" s="1">
        <f ca="1">IFERROR(__xludf.DUMMYFUNCTION("""COMPUTED_VALUE"""),185)</f>
        <v>185</v>
      </c>
      <c r="H177" s="1">
        <f ca="1">IFERROR(__xludf.DUMMYFUNCTION("""COMPUTED_VALUE"""),104.9)</f>
        <v>104.9</v>
      </c>
      <c r="I177" s="1">
        <f ca="1">IFERROR(__xludf.DUMMYFUNCTION("""COMPUTED_VALUE"""),165)</f>
        <v>165</v>
      </c>
      <c r="J177" s="1">
        <f ca="1">IFERROR(__xludf.DUMMYFUNCTION("""COMPUTED_VALUE"""),64.2)</f>
        <v>64.2</v>
      </c>
      <c r="K177" s="1">
        <f ca="1">IFERROR(__xludf.DUMMYFUNCTION("""COMPUTED_VALUE"""),207)</f>
        <v>207</v>
      </c>
      <c r="L177" s="1">
        <f ca="1">IFERROR(__xludf.DUMMYFUNCTION("""COMPUTED_VALUE"""),-0.059)</f>
        <v>-5.8999999999999997E-2</v>
      </c>
      <c r="M177" s="1">
        <f ca="1">IFERROR(__xludf.DUMMYFUNCTION("""COMPUTED_VALUE"""),310)</f>
        <v>310</v>
      </c>
      <c r="N177" s="1">
        <f ca="1">IFERROR(__xludf.DUMMYFUNCTION("""COMPUTED_VALUE"""),-5.48)</f>
        <v>-5.48</v>
      </c>
      <c r="O177" s="1">
        <f ca="1">IFERROR(__xludf.DUMMYFUNCTION("""COMPUTED_VALUE"""),275)</f>
        <v>275</v>
      </c>
      <c r="P177" s="1">
        <f ca="1">IFERROR(__xludf.DUMMYFUNCTION("""COMPUTED_VALUE"""),103.1)</f>
        <v>103.1</v>
      </c>
      <c r="Q177" s="1">
        <f ca="1">IFERROR(__xludf.DUMMYFUNCTION("""COMPUTED_VALUE"""),249)</f>
        <v>249</v>
      </c>
      <c r="R177" s="1">
        <f ca="1">IFERROR(__xludf.DUMMYFUNCTION("""COMPUTED_VALUE"""),108.6)</f>
        <v>108.6</v>
      </c>
      <c r="S177" s="1">
        <f ca="1">IFERROR(__xludf.DUMMYFUNCTION("""COMPUTED_VALUE"""),290)</f>
        <v>290</v>
      </c>
      <c r="T177" s="1" t="str">
        <f ca="1">IFERROR(__xludf.DUMMYFUNCTION("""COMPUTED_VALUE"""),"+1.74")</f>
        <v>+1.74</v>
      </c>
      <c r="U177" s="1">
        <f ca="1">IFERROR(__xludf.DUMMYFUNCTION("""COMPUTED_VALUE"""),109)</f>
        <v>109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IFERROR(__xludf.DUMMYFUNCTION("""COMPUTED_VALUE"""),"Milwaukee15")</f>
        <v>Milwaukee15</v>
      </c>
      <c r="C178" s="1" t="str">
        <f ca="1">IFERROR(__xludf.DUMMYFUNCTION("""COMPUTED_VALUE"""),"Horz")</f>
        <v>Horz</v>
      </c>
      <c r="D178" s="1" t="str">
        <f ca="1">IFERROR(__xludf.DUMMYFUNCTION("""COMPUTED_VALUE"""),"21-14")</f>
        <v>21-14</v>
      </c>
      <c r="E178" s="1" t="str">
        <f ca="1">IFERROR(__xludf.DUMMYFUNCTION("""COMPUTED_VALUE"""),"+0.08")</f>
        <v>+0.08</v>
      </c>
      <c r="F178" s="1">
        <f ca="1">IFERROR(__xludf.DUMMYFUNCTION("""COMPUTED_VALUE"""),104.7)</f>
        <v>104.7</v>
      </c>
      <c r="G178" s="1">
        <f ca="1">IFERROR(__xludf.DUMMYFUNCTION("""COMPUTED_VALUE"""),188)</f>
        <v>188</v>
      </c>
      <c r="H178" s="1">
        <f ca="1">IFERROR(__xludf.DUMMYFUNCTION("""COMPUTED_VALUE"""),104.6)</f>
        <v>104.6</v>
      </c>
      <c r="I178" s="1">
        <f ca="1">IFERROR(__xludf.DUMMYFUNCTION("""COMPUTED_VALUE"""),164)</f>
        <v>164</v>
      </c>
      <c r="J178" s="1">
        <f ca="1">IFERROR(__xludf.DUMMYFUNCTION("""COMPUTED_VALUE"""),65.8)</f>
        <v>65.8</v>
      </c>
      <c r="K178" s="1">
        <f ca="1">IFERROR(__xludf.DUMMYFUNCTION("""COMPUTED_VALUE"""),115)</f>
        <v>115</v>
      </c>
      <c r="L178" s="1" t="str">
        <f ca="1">IFERROR(__xludf.DUMMYFUNCTION("""COMPUTED_VALUE"""),"+.119")</f>
        <v>+.119</v>
      </c>
      <c r="M178" s="1">
        <f ca="1">IFERROR(__xludf.DUMMYFUNCTION("""COMPUTED_VALUE"""),4)</f>
        <v>4</v>
      </c>
      <c r="N178" s="1" t="str">
        <f ca="1">IFERROR(__xludf.DUMMYFUNCTION("""COMPUTED_VALUE"""),"+0.03")</f>
        <v>+0.03</v>
      </c>
      <c r="O178" s="1">
        <f ca="1">IFERROR(__xludf.DUMMYFUNCTION("""COMPUTED_VALUE"""),150)</f>
        <v>150</v>
      </c>
      <c r="P178" s="1">
        <f ca="1">IFERROR(__xludf.DUMMYFUNCTION("""COMPUTED_VALUE"""),104.4)</f>
        <v>104.4</v>
      </c>
      <c r="Q178" s="1">
        <f ca="1">IFERROR(__xludf.DUMMYFUNCTION("""COMPUTED_VALUE"""),173)</f>
        <v>173</v>
      </c>
      <c r="R178" s="1">
        <f ca="1">IFERROR(__xludf.DUMMYFUNCTION("""COMPUTED_VALUE"""),104.4)</f>
        <v>104.4</v>
      </c>
      <c r="S178" s="1">
        <f ca="1">IFERROR(__xludf.DUMMYFUNCTION("""COMPUTED_VALUE"""),128)</f>
        <v>128</v>
      </c>
      <c r="T178" s="1">
        <f ca="1">IFERROR(__xludf.DUMMYFUNCTION("""COMPUTED_VALUE"""),-2.92)</f>
        <v>-2.92</v>
      </c>
      <c r="U178" s="1">
        <f ca="1">IFERROR(__xludf.DUMMYFUNCTION("""COMPUTED_VALUE"""),247)</f>
        <v>247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IFERROR(__xludf.DUMMYFUNCTION("""COMPUTED_VALUE"""),"Stony Brook")</f>
        <v>Stony Brook</v>
      </c>
      <c r="C179" s="1" t="str">
        <f ca="1">IFERROR(__xludf.DUMMYFUNCTION("""COMPUTED_VALUE"""),"AE")</f>
        <v>AE</v>
      </c>
      <c r="D179" s="1" t="str">
        <f ca="1">IFERROR(__xludf.DUMMYFUNCTION("""COMPUTED_VALUE"""),"23-11")</f>
        <v>23-11</v>
      </c>
      <c r="E179" s="1" t="str">
        <f ca="1">IFERROR(__xludf.DUMMYFUNCTION("""COMPUTED_VALUE"""),"+0.00")</f>
        <v>+0.00</v>
      </c>
      <c r="F179" s="1">
        <f ca="1">IFERROR(__xludf.DUMMYFUNCTION("""COMPUTED_VALUE"""),105.4)</f>
        <v>105.4</v>
      </c>
      <c r="G179" s="1">
        <f ca="1">IFERROR(__xludf.DUMMYFUNCTION("""COMPUTED_VALUE"""),173)</f>
        <v>173</v>
      </c>
      <c r="H179" s="1">
        <f ca="1">IFERROR(__xludf.DUMMYFUNCTION("""COMPUTED_VALUE"""),105.4)</f>
        <v>105.4</v>
      </c>
      <c r="I179" s="1">
        <f ca="1">IFERROR(__xludf.DUMMYFUNCTION("""COMPUTED_VALUE"""),173)</f>
        <v>173</v>
      </c>
      <c r="J179" s="1">
        <f ca="1">IFERROR(__xludf.DUMMYFUNCTION("""COMPUTED_VALUE"""),64.4)</f>
        <v>64.400000000000006</v>
      </c>
      <c r="K179" s="1">
        <f ca="1">IFERROR(__xludf.DUMMYFUNCTION("""COMPUTED_VALUE"""),193)</f>
        <v>193</v>
      </c>
      <c r="L179" s="1" t="str">
        <f ca="1">IFERROR(__xludf.DUMMYFUNCTION("""COMPUTED_VALUE"""),"+.015")</f>
        <v>+.015</v>
      </c>
      <c r="M179" s="1">
        <f ca="1">IFERROR(__xludf.DUMMYFUNCTION("""COMPUTED_VALUE"""),148)</f>
        <v>148</v>
      </c>
      <c r="N179" s="1">
        <f ca="1">IFERROR(__xludf.DUMMYFUNCTION("""COMPUTED_VALUE"""),-7.84)</f>
        <v>-7.84</v>
      </c>
      <c r="O179" s="1">
        <f ca="1">IFERROR(__xludf.DUMMYFUNCTION("""COMPUTED_VALUE"""),325)</f>
        <v>325</v>
      </c>
      <c r="P179" s="1">
        <f ca="1">IFERROR(__xludf.DUMMYFUNCTION("""COMPUTED_VALUE"""),99.6)</f>
        <v>99.6</v>
      </c>
      <c r="Q179" s="1">
        <f ca="1">IFERROR(__xludf.DUMMYFUNCTION("""COMPUTED_VALUE"""),341)</f>
        <v>341</v>
      </c>
      <c r="R179" s="1">
        <f ca="1">IFERROR(__xludf.DUMMYFUNCTION("""COMPUTED_VALUE"""),107.4)</f>
        <v>107.4</v>
      </c>
      <c r="S179" s="1">
        <f ca="1">IFERROR(__xludf.DUMMYFUNCTION("""COMPUTED_VALUE"""),259)</f>
        <v>259</v>
      </c>
      <c r="T179" s="1">
        <f ca="1">IFERROR(__xludf.DUMMYFUNCTION("""COMPUTED_VALUE"""),-2.03)</f>
        <v>-2.0299999999999998</v>
      </c>
      <c r="U179" s="1">
        <f ca="1">IFERROR(__xludf.DUMMYFUNCTION("""COMPUTED_VALUE"""),220)</f>
        <v>220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IFERROR(__xludf.DUMMYFUNCTION("""COMPUTED_VALUE"""),"Rutgers")</f>
        <v>Rutgers</v>
      </c>
      <c r="C180" s="1" t="str">
        <f ca="1">IFERROR(__xludf.DUMMYFUNCTION("""COMPUTED_VALUE"""),"Amer")</f>
        <v>Amer</v>
      </c>
      <c r="D180" s="2">
        <f ca="1">IFERROR(__xludf.DUMMYFUNCTION("""COMPUTED_VALUE"""),44916)</f>
        <v>44916</v>
      </c>
      <c r="E180" s="1">
        <f ca="1">IFERROR(__xludf.DUMMYFUNCTION("""COMPUTED_VALUE"""),-0.37)</f>
        <v>-0.37</v>
      </c>
      <c r="F180" s="1">
        <f ca="1">IFERROR(__xludf.DUMMYFUNCTION("""COMPUTED_VALUE"""),106.5)</f>
        <v>106.5</v>
      </c>
      <c r="G180" s="1">
        <f ca="1">IFERROR(__xludf.DUMMYFUNCTION("""COMPUTED_VALUE"""),148)</f>
        <v>148</v>
      </c>
      <c r="H180" s="1">
        <f ca="1">IFERROR(__xludf.DUMMYFUNCTION("""COMPUTED_VALUE"""),106.9)</f>
        <v>106.9</v>
      </c>
      <c r="I180" s="1">
        <f ca="1">IFERROR(__xludf.DUMMYFUNCTION("""COMPUTED_VALUE"""),209)</f>
        <v>209</v>
      </c>
      <c r="J180" s="1">
        <f ca="1">IFERROR(__xludf.DUMMYFUNCTION("""COMPUTED_VALUE"""),66.4)</f>
        <v>66.400000000000006</v>
      </c>
      <c r="K180" s="1">
        <f ca="1">IFERROR(__xludf.DUMMYFUNCTION("""COMPUTED_VALUE"""),91)</f>
        <v>91</v>
      </c>
      <c r="L180" s="1">
        <f ca="1">IFERROR(__xludf.DUMMYFUNCTION("""COMPUTED_VALUE"""),-0.012)</f>
        <v>-1.2E-2</v>
      </c>
      <c r="M180" s="1">
        <f ca="1">IFERROR(__xludf.DUMMYFUNCTION("""COMPUTED_VALUE"""),208)</f>
        <v>208</v>
      </c>
      <c r="N180" s="1" t="str">
        <f ca="1">IFERROR(__xludf.DUMMYFUNCTION("""COMPUTED_VALUE"""),"+4.95")</f>
        <v>+4.95</v>
      </c>
      <c r="O180" s="1">
        <f ca="1">IFERROR(__xludf.DUMMYFUNCTION("""COMPUTED_VALUE"""),86)</f>
        <v>86</v>
      </c>
      <c r="P180" s="1">
        <f ca="1">IFERROR(__xludf.DUMMYFUNCTION("""COMPUTED_VALUE"""),107.3)</f>
        <v>107.3</v>
      </c>
      <c r="Q180" s="1">
        <f ca="1">IFERROR(__xludf.DUMMYFUNCTION("""COMPUTED_VALUE"""),92)</f>
        <v>92</v>
      </c>
      <c r="R180" s="1">
        <f ca="1">IFERROR(__xludf.DUMMYFUNCTION("""COMPUTED_VALUE"""),102.4)</f>
        <v>102.4</v>
      </c>
      <c r="S180" s="1">
        <f ca="1">IFERROR(__xludf.DUMMYFUNCTION("""COMPUTED_VALUE"""),83)</f>
        <v>83</v>
      </c>
      <c r="T180" s="1">
        <f ca="1">IFERROR(__xludf.DUMMYFUNCTION("""COMPUTED_VALUE"""),-5.41)</f>
        <v>-5.41</v>
      </c>
      <c r="U180" s="1">
        <f ca="1">IFERROR(__xludf.DUMMYFUNCTION("""COMPUTED_VALUE"""),308)</f>
        <v>308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IFERROR(__xludf.DUMMYFUNCTION("""COMPUTED_VALUE"""),"Charlotte")</f>
        <v>Charlotte</v>
      </c>
      <c r="C181" s="1" t="str">
        <f ca="1">IFERROR(__xludf.DUMMYFUNCTION("""COMPUTED_VALUE"""),"CUSA")</f>
        <v>CUSA</v>
      </c>
      <c r="D181" s="1" t="str">
        <f ca="1">IFERROR(__xludf.DUMMYFUNCTION("""COMPUTED_VALUE"""),"17-14")</f>
        <v>17-14</v>
      </c>
      <c r="E181" s="1">
        <f ca="1">IFERROR(__xludf.DUMMYFUNCTION("""COMPUTED_VALUE"""),-0.54)</f>
        <v>-0.54</v>
      </c>
      <c r="F181" s="1">
        <f ca="1">IFERROR(__xludf.DUMMYFUNCTION("""COMPUTED_VALUE"""),102.7)</f>
        <v>102.7</v>
      </c>
      <c r="G181" s="1">
        <f ca="1">IFERROR(__xludf.DUMMYFUNCTION("""COMPUTED_VALUE"""),221)</f>
        <v>221</v>
      </c>
      <c r="H181" s="1">
        <f ca="1">IFERROR(__xludf.DUMMYFUNCTION("""COMPUTED_VALUE"""),103.2)</f>
        <v>103.2</v>
      </c>
      <c r="I181" s="1">
        <f ca="1">IFERROR(__xludf.DUMMYFUNCTION("""COMPUTED_VALUE"""),136)</f>
        <v>136</v>
      </c>
      <c r="J181" s="1">
        <f ca="1">IFERROR(__xludf.DUMMYFUNCTION("""COMPUTED_VALUE"""),67.5)</f>
        <v>67.5</v>
      </c>
      <c r="K181" s="1">
        <f ca="1">IFERROR(__xludf.DUMMYFUNCTION("""COMPUTED_VALUE"""),49)</f>
        <v>49</v>
      </c>
      <c r="L181" s="1" t="str">
        <f ca="1">IFERROR(__xludf.DUMMYFUNCTION("""COMPUTED_VALUE"""),"+.046")</f>
        <v>+.046</v>
      </c>
      <c r="M181" s="1">
        <f ca="1">IFERROR(__xludf.DUMMYFUNCTION("""COMPUTED_VALUE"""),79)</f>
        <v>79</v>
      </c>
      <c r="N181" s="1">
        <f ca="1">IFERROR(__xludf.DUMMYFUNCTION("""COMPUTED_VALUE"""),-2.15)</f>
        <v>-2.15</v>
      </c>
      <c r="O181" s="1">
        <f ca="1">IFERROR(__xludf.DUMMYFUNCTION("""COMPUTED_VALUE"""),194)</f>
        <v>194</v>
      </c>
      <c r="P181" s="1">
        <f ca="1">IFERROR(__xludf.DUMMYFUNCTION("""COMPUTED_VALUE"""),103.1)</f>
        <v>103.1</v>
      </c>
      <c r="Q181" s="1">
        <f ca="1">IFERROR(__xludf.DUMMYFUNCTION("""COMPUTED_VALUE"""),251)</f>
        <v>251</v>
      </c>
      <c r="R181" s="1">
        <f ca="1">IFERROR(__xludf.DUMMYFUNCTION("""COMPUTED_VALUE"""),105.3)</f>
        <v>105.3</v>
      </c>
      <c r="S181" s="1">
        <f ca="1">IFERROR(__xludf.DUMMYFUNCTION("""COMPUTED_VALUE"""),170)</f>
        <v>170</v>
      </c>
      <c r="T181" s="1">
        <f ca="1">IFERROR(__xludf.DUMMYFUNCTION("""COMPUTED_VALUE"""),-2.97)</f>
        <v>-2.97</v>
      </c>
      <c r="U181" s="1">
        <f ca="1">IFERROR(__xludf.DUMMYFUNCTION("""COMPUTED_VALUE"""),250)</f>
        <v>250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IFERROR(__xludf.DUMMYFUNCTION("""COMPUTED_VALUE"""),"Weber St.16")</f>
        <v>Weber St.16</v>
      </c>
      <c r="C182" s="1" t="str">
        <f ca="1">IFERROR(__xludf.DUMMYFUNCTION("""COMPUTED_VALUE"""),"BSky")</f>
        <v>BSky</v>
      </c>
      <c r="D182" s="1" t="str">
        <f ca="1">IFERROR(__xludf.DUMMYFUNCTION("""COMPUTED_VALUE"""),"19-12")</f>
        <v>19-12</v>
      </c>
      <c r="E182" s="1">
        <f ca="1">IFERROR(__xludf.DUMMYFUNCTION("""COMPUTED_VALUE"""),-0.62)</f>
        <v>-0.62</v>
      </c>
      <c r="F182" s="1">
        <f ca="1">IFERROR(__xludf.DUMMYFUNCTION("""COMPUTED_VALUE"""),106.4)</f>
        <v>106.4</v>
      </c>
      <c r="G182" s="1">
        <f ca="1">IFERROR(__xludf.DUMMYFUNCTION("""COMPUTED_VALUE"""),149)</f>
        <v>149</v>
      </c>
      <c r="H182" s="1">
        <f ca="1">IFERROR(__xludf.DUMMYFUNCTION("""COMPUTED_VALUE"""),107)</f>
        <v>107</v>
      </c>
      <c r="I182" s="1">
        <f ca="1">IFERROR(__xludf.DUMMYFUNCTION("""COMPUTED_VALUE"""),213)</f>
        <v>213</v>
      </c>
      <c r="J182" s="1">
        <f ca="1">IFERROR(__xludf.DUMMYFUNCTION("""COMPUTED_VALUE"""),62.9)</f>
        <v>62.9</v>
      </c>
      <c r="K182" s="1">
        <f ca="1">IFERROR(__xludf.DUMMYFUNCTION("""COMPUTED_VALUE"""),263)</f>
        <v>263</v>
      </c>
      <c r="L182" s="1">
        <f ca="1">IFERROR(__xludf.DUMMYFUNCTION("""COMPUTED_VALUE"""),-0.009)</f>
        <v>-8.9999999999999993E-3</v>
      </c>
      <c r="M182" s="1">
        <f ca="1">IFERROR(__xludf.DUMMYFUNCTION("""COMPUTED_VALUE"""),203)</f>
        <v>203</v>
      </c>
      <c r="N182" s="1">
        <f ca="1">IFERROR(__xludf.DUMMYFUNCTION("""COMPUTED_VALUE"""),-6.78)</f>
        <v>-6.78</v>
      </c>
      <c r="O182" s="1">
        <f ca="1">IFERROR(__xludf.DUMMYFUNCTION("""COMPUTED_VALUE"""),304)</f>
        <v>304</v>
      </c>
      <c r="P182" s="1">
        <f ca="1">IFERROR(__xludf.DUMMYFUNCTION("""COMPUTED_VALUE"""),103.3)</f>
        <v>103.3</v>
      </c>
      <c r="Q182" s="1">
        <f ca="1">IFERROR(__xludf.DUMMYFUNCTION("""COMPUTED_VALUE"""),238)</f>
        <v>238</v>
      </c>
      <c r="R182" s="1">
        <f ca="1">IFERROR(__xludf.DUMMYFUNCTION("""COMPUTED_VALUE"""),110)</f>
        <v>110</v>
      </c>
      <c r="S182" s="1">
        <f ca="1">IFERROR(__xludf.DUMMYFUNCTION("""COMPUTED_VALUE"""),338)</f>
        <v>338</v>
      </c>
      <c r="T182" s="1" t="str">
        <f ca="1">IFERROR(__xludf.DUMMYFUNCTION("""COMPUTED_VALUE"""),"+6.69")</f>
        <v>+6.69</v>
      </c>
      <c r="U182" s="1">
        <f ca="1">IFERROR(__xludf.DUMMYFUNCTION("""COMPUTED_VALUE"""),30)</f>
        <v>30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IFERROR(__xludf.DUMMYFUNCTION("""COMPUTED_VALUE"""),"Robert Morris8")</f>
        <v>Robert Morris8</v>
      </c>
      <c r="C183" s="1" t="str">
        <f ca="1">IFERROR(__xludf.DUMMYFUNCTION("""COMPUTED_VALUE"""),"NEC")</f>
        <v>NEC</v>
      </c>
      <c r="D183" s="1" t="str">
        <f ca="1">IFERROR(__xludf.DUMMYFUNCTION("""COMPUTED_VALUE"""),"22-14")</f>
        <v>22-14</v>
      </c>
      <c r="E183" s="1">
        <f ca="1">IFERROR(__xludf.DUMMYFUNCTION("""COMPUTED_VALUE"""),-0.65)</f>
        <v>-0.65</v>
      </c>
      <c r="F183" s="1">
        <f ca="1">IFERROR(__xludf.DUMMYFUNCTION("""COMPUTED_VALUE"""),105.8)</f>
        <v>105.8</v>
      </c>
      <c r="G183" s="1">
        <f ca="1">IFERROR(__xludf.DUMMYFUNCTION("""COMPUTED_VALUE"""),165)</f>
        <v>165</v>
      </c>
      <c r="H183" s="1">
        <f ca="1">IFERROR(__xludf.DUMMYFUNCTION("""COMPUTED_VALUE"""),106.5)</f>
        <v>106.5</v>
      </c>
      <c r="I183" s="1">
        <f ca="1">IFERROR(__xludf.DUMMYFUNCTION("""COMPUTED_VALUE"""),198)</f>
        <v>198</v>
      </c>
      <c r="J183" s="1">
        <f ca="1">IFERROR(__xludf.DUMMYFUNCTION("""COMPUTED_VALUE"""),64.2)</f>
        <v>64.2</v>
      </c>
      <c r="K183" s="1">
        <f ca="1">IFERROR(__xludf.DUMMYFUNCTION("""COMPUTED_VALUE"""),201)</f>
        <v>201</v>
      </c>
      <c r="L183" s="1" t="str">
        <f ca="1">IFERROR(__xludf.DUMMYFUNCTION("""COMPUTED_VALUE"""),"+.093")</f>
        <v>+.093</v>
      </c>
      <c r="M183" s="1">
        <f ca="1">IFERROR(__xludf.DUMMYFUNCTION("""COMPUTED_VALUE"""),13)</f>
        <v>13</v>
      </c>
      <c r="N183" s="1">
        <f ca="1">IFERROR(__xludf.DUMMYFUNCTION("""COMPUTED_VALUE"""),-2.9)</f>
        <v>-2.9</v>
      </c>
      <c r="O183" s="1">
        <f ca="1">IFERROR(__xludf.DUMMYFUNCTION("""COMPUTED_VALUE"""),218)</f>
        <v>218</v>
      </c>
      <c r="P183" s="1">
        <f ca="1">IFERROR(__xludf.DUMMYFUNCTION("""COMPUTED_VALUE"""),104.7)</f>
        <v>104.7</v>
      </c>
      <c r="Q183" s="1">
        <f ca="1">IFERROR(__xludf.DUMMYFUNCTION("""COMPUTED_VALUE"""),162)</f>
        <v>162</v>
      </c>
      <c r="R183" s="1">
        <f ca="1">IFERROR(__xludf.DUMMYFUNCTION("""COMPUTED_VALUE"""),107.6)</f>
        <v>107.6</v>
      </c>
      <c r="S183" s="1">
        <f ca="1">IFERROR(__xludf.DUMMYFUNCTION("""COMPUTED_VALUE"""),263)</f>
        <v>263</v>
      </c>
      <c r="T183" s="1" t="str">
        <f ca="1">IFERROR(__xludf.DUMMYFUNCTION("""COMPUTED_VALUE"""),"+5.14")</f>
        <v>+5.14</v>
      </c>
      <c r="U183" s="1">
        <f ca="1">IFERROR(__xludf.DUMMYFUNCTION("""COMPUTED_VALUE"""),46)</f>
        <v>46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IFERROR(__xludf.DUMMYFUNCTION("""COMPUTED_VALUE"""),"Virginia Tech")</f>
        <v>Virginia Tech</v>
      </c>
      <c r="C184" s="1" t="str">
        <f ca="1">IFERROR(__xludf.DUMMYFUNCTION("""COMPUTED_VALUE"""),"ACC")</f>
        <v>ACC</v>
      </c>
      <c r="D184" s="2">
        <f ca="1">IFERROR(__xludf.DUMMYFUNCTION("""COMPUTED_VALUE"""),44826)</f>
        <v>44826</v>
      </c>
      <c r="E184" s="1">
        <f ca="1">IFERROR(__xludf.DUMMYFUNCTION("""COMPUTED_VALUE"""),-0.68)</f>
        <v>-0.68</v>
      </c>
      <c r="F184" s="1">
        <f ca="1">IFERROR(__xludf.DUMMYFUNCTION("""COMPUTED_VALUE"""),100.1)</f>
        <v>100.1</v>
      </c>
      <c r="G184" s="1">
        <f ca="1">IFERROR(__xludf.DUMMYFUNCTION("""COMPUTED_VALUE"""),265)</f>
        <v>265</v>
      </c>
      <c r="H184" s="1">
        <f ca="1">IFERROR(__xludf.DUMMYFUNCTION("""COMPUTED_VALUE"""),100.8)</f>
        <v>100.8</v>
      </c>
      <c r="I184" s="1">
        <f ca="1">IFERROR(__xludf.DUMMYFUNCTION("""COMPUTED_VALUE"""),95)</f>
        <v>95</v>
      </c>
      <c r="J184" s="1">
        <f ca="1">IFERROR(__xludf.DUMMYFUNCTION("""COMPUTED_VALUE"""),62.3)</f>
        <v>62.3</v>
      </c>
      <c r="K184" s="1">
        <f ca="1">IFERROR(__xludf.DUMMYFUNCTION("""COMPUTED_VALUE"""),290)</f>
        <v>290</v>
      </c>
      <c r="L184" s="1">
        <f ca="1">IFERROR(__xludf.DUMMYFUNCTION("""COMPUTED_VALUE"""),-0.08)</f>
        <v>-0.08</v>
      </c>
      <c r="M184" s="1">
        <f ca="1">IFERROR(__xludf.DUMMYFUNCTION("""COMPUTED_VALUE"""),332)</f>
        <v>332</v>
      </c>
      <c r="N184" s="1" t="str">
        <f ca="1">IFERROR(__xludf.DUMMYFUNCTION("""COMPUTED_VALUE"""),"+6.13")</f>
        <v>+6.13</v>
      </c>
      <c r="O184" s="1">
        <f ca="1">IFERROR(__xludf.DUMMYFUNCTION("""COMPUTED_VALUE"""),66)</f>
        <v>66</v>
      </c>
      <c r="P184" s="1">
        <f ca="1">IFERROR(__xludf.DUMMYFUNCTION("""COMPUTED_VALUE"""),108.8)</f>
        <v>108.8</v>
      </c>
      <c r="Q184" s="1">
        <f ca="1">IFERROR(__xludf.DUMMYFUNCTION("""COMPUTED_VALUE"""),49)</f>
        <v>49</v>
      </c>
      <c r="R184" s="1">
        <f ca="1">IFERROR(__xludf.DUMMYFUNCTION("""COMPUTED_VALUE"""),102.6)</f>
        <v>102.6</v>
      </c>
      <c r="S184" s="1">
        <f ca="1">IFERROR(__xludf.DUMMYFUNCTION("""COMPUTED_VALUE"""),89)</f>
        <v>89</v>
      </c>
      <c r="T184" s="1">
        <f ca="1">IFERROR(__xludf.DUMMYFUNCTION("""COMPUTED_VALUE"""),-7.09)</f>
        <v>-7.09</v>
      </c>
      <c r="U184" s="1">
        <f ca="1">IFERROR(__xludf.DUMMYFUNCTION("""COMPUTED_VALUE"""),329)</f>
        <v>329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IFERROR(__xludf.DUMMYFUNCTION("""COMPUTED_VALUE"""),"Old Dominion")</f>
        <v>Old Dominion</v>
      </c>
      <c r="C185" s="1" t="str">
        <f ca="1">IFERROR(__xludf.DUMMYFUNCTION("""COMPUTED_VALUE"""),"CUSA")</f>
        <v>CUSA</v>
      </c>
      <c r="D185" s="1" t="str">
        <f ca="1">IFERROR(__xludf.DUMMYFUNCTION("""COMPUTED_VALUE"""),"18-18")</f>
        <v>18-18</v>
      </c>
      <c r="E185" s="1">
        <f ca="1">IFERROR(__xludf.DUMMYFUNCTION("""COMPUTED_VALUE"""),-0.72)</f>
        <v>-0.72</v>
      </c>
      <c r="F185" s="1">
        <f ca="1">IFERROR(__xludf.DUMMYFUNCTION("""COMPUTED_VALUE"""),100.7)</f>
        <v>100.7</v>
      </c>
      <c r="G185" s="1">
        <f ca="1">IFERROR(__xludf.DUMMYFUNCTION("""COMPUTED_VALUE"""),251)</f>
        <v>251</v>
      </c>
      <c r="H185" s="1">
        <f ca="1">IFERROR(__xludf.DUMMYFUNCTION("""COMPUTED_VALUE"""),101.4)</f>
        <v>101.4</v>
      </c>
      <c r="I185" s="1">
        <f ca="1">IFERROR(__xludf.DUMMYFUNCTION("""COMPUTED_VALUE"""),104)</f>
        <v>104</v>
      </c>
      <c r="J185" s="1">
        <f ca="1">IFERROR(__xludf.DUMMYFUNCTION("""COMPUTED_VALUE"""),62.5)</f>
        <v>62.5</v>
      </c>
      <c r="K185" s="1">
        <f ca="1">IFERROR(__xludf.DUMMYFUNCTION("""COMPUTED_VALUE"""),283)</f>
        <v>283</v>
      </c>
      <c r="L185" s="1" t="str">
        <f ca="1">IFERROR(__xludf.DUMMYFUNCTION("""COMPUTED_VALUE"""),"+.005")</f>
        <v>+.005</v>
      </c>
      <c r="M185" s="1">
        <f ca="1">IFERROR(__xludf.DUMMYFUNCTION("""COMPUTED_VALUE"""),170)</f>
        <v>170</v>
      </c>
      <c r="N185" s="1">
        <f ca="1">IFERROR(__xludf.DUMMYFUNCTION("""COMPUTED_VALUE"""),-1.37)</f>
        <v>-1.37</v>
      </c>
      <c r="O185" s="1">
        <f ca="1">IFERROR(__xludf.DUMMYFUNCTION("""COMPUTED_VALUE"""),175)</f>
        <v>175</v>
      </c>
      <c r="P185" s="1">
        <f ca="1">IFERROR(__xludf.DUMMYFUNCTION("""COMPUTED_VALUE"""),103.6)</f>
        <v>103.6</v>
      </c>
      <c r="Q185" s="1">
        <f ca="1">IFERROR(__xludf.DUMMYFUNCTION("""COMPUTED_VALUE"""),215)</f>
        <v>215</v>
      </c>
      <c r="R185" s="1">
        <f ca="1">IFERROR(__xludf.DUMMYFUNCTION("""COMPUTED_VALUE"""),105)</f>
        <v>105</v>
      </c>
      <c r="S185" s="1">
        <f ca="1">IFERROR(__xludf.DUMMYFUNCTION("""COMPUTED_VALUE"""),152)</f>
        <v>152</v>
      </c>
      <c r="T185" s="1">
        <f ca="1">IFERROR(__xludf.DUMMYFUNCTION("""COMPUTED_VALUE"""),-0.55)</f>
        <v>-0.55000000000000004</v>
      </c>
      <c r="U185" s="1">
        <f ca="1">IFERROR(__xludf.DUMMYFUNCTION("""COMPUTED_VALUE"""),177)</f>
        <v>177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IFERROR(__xludf.DUMMYFUNCTION("""COMPUTED_VALUE"""),"Cal Poly16")</f>
        <v>Cal Poly16</v>
      </c>
      <c r="C186" s="1" t="str">
        <f ca="1">IFERROR(__xludf.DUMMYFUNCTION("""COMPUTED_VALUE"""),"BW")</f>
        <v>BW</v>
      </c>
      <c r="D186" s="1" t="str">
        <f ca="1">IFERROR(__xludf.DUMMYFUNCTION("""COMPUTED_VALUE"""),"14-20")</f>
        <v>14-20</v>
      </c>
      <c r="E186" s="1">
        <f ca="1">IFERROR(__xludf.DUMMYFUNCTION("""COMPUTED_VALUE"""),-0.82)</f>
        <v>-0.82</v>
      </c>
      <c r="F186" s="1">
        <f ca="1">IFERROR(__xludf.DUMMYFUNCTION("""COMPUTED_VALUE"""),103.6)</f>
        <v>103.6</v>
      </c>
      <c r="G186" s="1">
        <f ca="1">IFERROR(__xludf.DUMMYFUNCTION("""COMPUTED_VALUE"""),202)</f>
        <v>202</v>
      </c>
      <c r="H186" s="1">
        <f ca="1">IFERROR(__xludf.DUMMYFUNCTION("""COMPUTED_VALUE"""),104.4)</f>
        <v>104.4</v>
      </c>
      <c r="I186" s="1">
        <f ca="1">IFERROR(__xludf.DUMMYFUNCTION("""COMPUTED_VALUE"""),159)</f>
        <v>159</v>
      </c>
      <c r="J186" s="1">
        <f ca="1">IFERROR(__xludf.DUMMYFUNCTION("""COMPUTED_VALUE"""),58.8)</f>
        <v>58.8</v>
      </c>
      <c r="K186" s="1">
        <f ca="1">IFERROR(__xludf.DUMMYFUNCTION("""COMPUTED_VALUE"""),347)</f>
        <v>347</v>
      </c>
      <c r="L186" s="1">
        <f ca="1">IFERROR(__xludf.DUMMYFUNCTION("""COMPUTED_VALUE"""),-0.044)</f>
        <v>-4.3999999999999997E-2</v>
      </c>
      <c r="M186" s="1">
        <f ca="1">IFERROR(__xludf.DUMMYFUNCTION("""COMPUTED_VALUE"""),276)</f>
        <v>276</v>
      </c>
      <c r="N186" s="1" t="str">
        <f ca="1">IFERROR(__xludf.DUMMYFUNCTION("""COMPUTED_VALUE"""),"+2.38")</f>
        <v>+2.38</v>
      </c>
      <c r="O186" s="1">
        <f ca="1">IFERROR(__xludf.DUMMYFUNCTION("""COMPUTED_VALUE"""),111)</f>
        <v>111</v>
      </c>
      <c r="P186" s="1">
        <f ca="1">IFERROR(__xludf.DUMMYFUNCTION("""COMPUTED_VALUE"""),107.4)</f>
        <v>107.4</v>
      </c>
      <c r="Q186" s="1">
        <f ca="1">IFERROR(__xludf.DUMMYFUNCTION("""COMPUTED_VALUE"""),89)</f>
        <v>89</v>
      </c>
      <c r="R186" s="1">
        <f ca="1">IFERROR(__xludf.DUMMYFUNCTION("""COMPUTED_VALUE"""),105)</f>
        <v>105</v>
      </c>
      <c r="S186" s="1">
        <f ca="1">IFERROR(__xludf.DUMMYFUNCTION("""COMPUTED_VALUE"""),158)</f>
        <v>158</v>
      </c>
      <c r="T186" s="1" t="str">
        <f ca="1">IFERROR(__xludf.DUMMYFUNCTION("""COMPUTED_VALUE"""),"+10.19")</f>
        <v>+10.19</v>
      </c>
      <c r="U186" s="1">
        <f ca="1">IFERROR(__xludf.DUMMYFUNCTION("""COMPUTED_VALUE"""),9)</f>
        <v>9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IFERROR(__xludf.DUMMYFUNCTION("""COMPUTED_VALUE"""),"Nebraska Omaha")</f>
        <v>Nebraska Omaha</v>
      </c>
      <c r="C187" s="1" t="str">
        <f ca="1">IFERROR(__xludf.DUMMYFUNCTION("""COMPUTED_VALUE"""),"Sum")</f>
        <v>Sum</v>
      </c>
      <c r="D187" s="1" t="str">
        <f ca="1">IFERROR(__xludf.DUMMYFUNCTION("""COMPUTED_VALUE"""),"17-15")</f>
        <v>17-15</v>
      </c>
      <c r="E187" s="1">
        <f ca="1">IFERROR(__xludf.DUMMYFUNCTION("""COMPUTED_VALUE"""),-0.86)</f>
        <v>-0.86</v>
      </c>
      <c r="F187" s="1">
        <f ca="1">IFERROR(__xludf.DUMMYFUNCTION("""COMPUTED_VALUE"""),104.5)</f>
        <v>104.5</v>
      </c>
      <c r="G187" s="1">
        <f ca="1">IFERROR(__xludf.DUMMYFUNCTION("""COMPUTED_VALUE"""),190)</f>
        <v>190</v>
      </c>
      <c r="H187" s="1">
        <f ca="1">IFERROR(__xludf.DUMMYFUNCTION("""COMPUTED_VALUE"""),105.4)</f>
        <v>105.4</v>
      </c>
      <c r="I187" s="1">
        <f ca="1">IFERROR(__xludf.DUMMYFUNCTION("""COMPUTED_VALUE"""),175)</f>
        <v>175</v>
      </c>
      <c r="J187" s="1">
        <f ca="1">IFERROR(__xludf.DUMMYFUNCTION("""COMPUTED_VALUE"""),72.2)</f>
        <v>72.2</v>
      </c>
      <c r="K187" s="1">
        <f ca="1">IFERROR(__xludf.DUMMYFUNCTION("""COMPUTED_VALUE"""),4)</f>
        <v>4</v>
      </c>
      <c r="L187" s="1">
        <f ca="1">IFERROR(__xludf.DUMMYFUNCTION("""COMPUTED_VALUE"""),-0.053)</f>
        <v>-5.2999999999999999E-2</v>
      </c>
      <c r="M187" s="1">
        <f ca="1">IFERROR(__xludf.DUMMYFUNCTION("""COMPUTED_VALUE"""),304)</f>
        <v>304</v>
      </c>
      <c r="N187" s="1">
        <f ca="1">IFERROR(__xludf.DUMMYFUNCTION("""COMPUTED_VALUE"""),-2.51)</f>
        <v>-2.5099999999999998</v>
      </c>
      <c r="O187" s="1">
        <f ca="1">IFERROR(__xludf.DUMMYFUNCTION("""COMPUTED_VALUE"""),202)</f>
        <v>202</v>
      </c>
      <c r="P187" s="1">
        <f ca="1">IFERROR(__xludf.DUMMYFUNCTION("""COMPUTED_VALUE"""),104.2)</f>
        <v>104.2</v>
      </c>
      <c r="Q187" s="1">
        <f ca="1">IFERROR(__xludf.DUMMYFUNCTION("""COMPUTED_VALUE"""),180)</f>
        <v>180</v>
      </c>
      <c r="R187" s="1">
        <f ca="1">IFERROR(__xludf.DUMMYFUNCTION("""COMPUTED_VALUE"""),106.7)</f>
        <v>106.7</v>
      </c>
      <c r="S187" s="1">
        <f ca="1">IFERROR(__xludf.DUMMYFUNCTION("""COMPUTED_VALUE"""),230)</f>
        <v>230</v>
      </c>
      <c r="T187" s="1">
        <f ca="1">IFERROR(__xludf.DUMMYFUNCTION("""COMPUTED_VALUE"""),-1.98)</f>
        <v>-1.98</v>
      </c>
      <c r="U187" s="1">
        <f ca="1">IFERROR(__xludf.DUMMYFUNCTION("""COMPUTED_VALUE"""),219)</f>
        <v>219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IFERROR(__xludf.DUMMYFUNCTION("""COMPUTED_VALUE"""),"Loyola Marymount")</f>
        <v>Loyola Marymount</v>
      </c>
      <c r="C188" s="1" t="str">
        <f ca="1">IFERROR(__xludf.DUMMYFUNCTION("""COMPUTED_VALUE"""),"WCC")</f>
        <v>WCC</v>
      </c>
      <c r="D188" s="1" t="str">
        <f ca="1">IFERROR(__xludf.DUMMYFUNCTION("""COMPUTED_VALUE"""),"13-19")</f>
        <v>13-19</v>
      </c>
      <c r="E188" s="1">
        <f ca="1">IFERROR(__xludf.DUMMYFUNCTION("""COMPUTED_VALUE"""),-0.94)</f>
        <v>-0.94</v>
      </c>
      <c r="F188" s="1">
        <f ca="1">IFERROR(__xludf.DUMMYFUNCTION("""COMPUTED_VALUE"""),105.7)</f>
        <v>105.7</v>
      </c>
      <c r="G188" s="1">
        <f ca="1">IFERROR(__xludf.DUMMYFUNCTION("""COMPUTED_VALUE"""),170)</f>
        <v>170</v>
      </c>
      <c r="H188" s="1">
        <f ca="1">IFERROR(__xludf.DUMMYFUNCTION("""COMPUTED_VALUE"""),106.6)</f>
        <v>106.6</v>
      </c>
      <c r="I188" s="1">
        <f ca="1">IFERROR(__xludf.DUMMYFUNCTION("""COMPUTED_VALUE"""),203)</f>
        <v>203</v>
      </c>
      <c r="J188" s="1">
        <f ca="1">IFERROR(__xludf.DUMMYFUNCTION("""COMPUTED_VALUE"""),67.8)</f>
        <v>67.8</v>
      </c>
      <c r="K188" s="1">
        <f ca="1">IFERROR(__xludf.DUMMYFUNCTION("""COMPUTED_VALUE"""),45)</f>
        <v>45</v>
      </c>
      <c r="L188" s="1" t="str">
        <f ca="1">IFERROR(__xludf.DUMMYFUNCTION("""COMPUTED_VALUE"""),"+.048")</f>
        <v>+.048</v>
      </c>
      <c r="M188" s="1">
        <f ca="1">IFERROR(__xludf.DUMMYFUNCTION("""COMPUTED_VALUE"""),74)</f>
        <v>74</v>
      </c>
      <c r="N188" s="1" t="str">
        <f ca="1">IFERROR(__xludf.DUMMYFUNCTION("""COMPUTED_VALUE"""),"+4.78")</f>
        <v>+4.78</v>
      </c>
      <c r="O188" s="1">
        <f ca="1">IFERROR(__xludf.DUMMYFUNCTION("""COMPUTED_VALUE"""),90)</f>
        <v>90</v>
      </c>
      <c r="P188" s="1">
        <f ca="1">IFERROR(__xludf.DUMMYFUNCTION("""COMPUTED_VALUE"""),108.4)</f>
        <v>108.4</v>
      </c>
      <c r="Q188" s="1">
        <f ca="1">IFERROR(__xludf.DUMMYFUNCTION("""COMPUTED_VALUE"""),59)</f>
        <v>59</v>
      </c>
      <c r="R188" s="1">
        <f ca="1">IFERROR(__xludf.DUMMYFUNCTION("""COMPUTED_VALUE"""),103.6)</f>
        <v>103.6</v>
      </c>
      <c r="S188" s="1">
        <f ca="1">IFERROR(__xludf.DUMMYFUNCTION("""COMPUTED_VALUE"""),105)</f>
        <v>105</v>
      </c>
      <c r="T188" s="1" t="str">
        <f ca="1">IFERROR(__xludf.DUMMYFUNCTION("""COMPUTED_VALUE"""),"+0.92")</f>
        <v>+0.92</v>
      </c>
      <c r="U188" s="1">
        <f ca="1">IFERROR(__xludf.DUMMYFUNCTION("""COMPUTED_VALUE"""),133)</f>
        <v>133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IFERROR(__xludf.DUMMYFUNCTION("""COMPUTED_VALUE"""),"Western Kentucky")</f>
        <v>Western Kentucky</v>
      </c>
      <c r="C189" s="1" t="str">
        <f ca="1">IFERROR(__xludf.DUMMYFUNCTION("""COMPUTED_VALUE"""),"SB")</f>
        <v>SB</v>
      </c>
      <c r="D189" s="1" t="str">
        <f ca="1">IFERROR(__xludf.DUMMYFUNCTION("""COMPUTED_VALUE"""),"20-12")</f>
        <v>20-12</v>
      </c>
      <c r="E189" s="1">
        <f ca="1">IFERROR(__xludf.DUMMYFUNCTION("""COMPUTED_VALUE"""),-0.97)</f>
        <v>-0.97</v>
      </c>
      <c r="F189" s="1">
        <f ca="1">IFERROR(__xludf.DUMMYFUNCTION("""COMPUTED_VALUE"""),101.1)</f>
        <v>101.1</v>
      </c>
      <c r="G189" s="1">
        <f ca="1">IFERROR(__xludf.DUMMYFUNCTION("""COMPUTED_VALUE"""),242)</f>
        <v>242</v>
      </c>
      <c r="H189" s="1">
        <f ca="1">IFERROR(__xludf.DUMMYFUNCTION("""COMPUTED_VALUE"""),102.1)</f>
        <v>102.1</v>
      </c>
      <c r="I189" s="1">
        <f ca="1">IFERROR(__xludf.DUMMYFUNCTION("""COMPUTED_VALUE"""),114)</f>
        <v>114</v>
      </c>
      <c r="J189" s="1">
        <f ca="1">IFERROR(__xludf.DUMMYFUNCTION("""COMPUTED_VALUE"""),64.4)</f>
        <v>64.400000000000006</v>
      </c>
      <c r="K189" s="1">
        <f ca="1">IFERROR(__xludf.DUMMYFUNCTION("""COMPUTED_VALUE"""),190)</f>
        <v>190</v>
      </c>
      <c r="L189" s="1" t="str">
        <f ca="1">IFERROR(__xludf.DUMMYFUNCTION("""COMPUTED_VALUE"""),"+.113")</f>
        <v>+.113</v>
      </c>
      <c r="M189" s="1">
        <f ca="1">IFERROR(__xludf.DUMMYFUNCTION("""COMPUTED_VALUE"""),6)</f>
        <v>6</v>
      </c>
      <c r="N189" s="1">
        <f ca="1">IFERROR(__xludf.DUMMYFUNCTION("""COMPUTED_VALUE"""),-2.27)</f>
        <v>-2.27</v>
      </c>
      <c r="O189" s="1">
        <f ca="1">IFERROR(__xludf.DUMMYFUNCTION("""COMPUTED_VALUE"""),198)</f>
        <v>198</v>
      </c>
      <c r="P189" s="1">
        <f ca="1">IFERROR(__xludf.DUMMYFUNCTION("""COMPUTED_VALUE"""),103.8)</f>
        <v>103.8</v>
      </c>
      <c r="Q189" s="1">
        <f ca="1">IFERROR(__xludf.DUMMYFUNCTION("""COMPUTED_VALUE"""),204)</f>
        <v>204</v>
      </c>
      <c r="R189" s="1">
        <f ca="1">IFERROR(__xludf.DUMMYFUNCTION("""COMPUTED_VALUE"""),106.1)</f>
        <v>106.1</v>
      </c>
      <c r="S189" s="1">
        <f ca="1">IFERROR(__xludf.DUMMYFUNCTION("""COMPUTED_VALUE"""),204)</f>
        <v>204</v>
      </c>
      <c r="T189" s="1">
        <f ca="1">IFERROR(__xludf.DUMMYFUNCTION("""COMPUTED_VALUE"""),-1.14)</f>
        <v>-1.1399999999999999</v>
      </c>
      <c r="U189" s="1">
        <f ca="1">IFERROR(__xludf.DUMMYFUNCTION("""COMPUTED_VALUE"""),193)</f>
        <v>193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IFERROR(__xludf.DUMMYFUNCTION("""COMPUTED_VALUE"""),"Morehead St.")</f>
        <v>Morehead St.</v>
      </c>
      <c r="C190" s="1" t="str">
        <f ca="1">IFERROR(__xludf.DUMMYFUNCTION("""COMPUTED_VALUE"""),"OVC")</f>
        <v>OVC</v>
      </c>
      <c r="D190" s="1" t="str">
        <f ca="1">IFERROR(__xludf.DUMMYFUNCTION("""COMPUTED_VALUE"""),"20-14")</f>
        <v>20-14</v>
      </c>
      <c r="E190" s="1">
        <f ca="1">IFERROR(__xludf.DUMMYFUNCTION("""COMPUTED_VALUE"""),-1.02)</f>
        <v>-1.02</v>
      </c>
      <c r="F190" s="1">
        <f ca="1">IFERROR(__xludf.DUMMYFUNCTION("""COMPUTED_VALUE"""),102.9)</f>
        <v>102.9</v>
      </c>
      <c r="G190" s="1">
        <f ca="1">IFERROR(__xludf.DUMMYFUNCTION("""COMPUTED_VALUE"""),215)</f>
        <v>215</v>
      </c>
      <c r="H190" s="1">
        <f ca="1">IFERROR(__xludf.DUMMYFUNCTION("""COMPUTED_VALUE"""),103.9)</f>
        <v>103.9</v>
      </c>
      <c r="I190" s="1">
        <f ca="1">IFERROR(__xludf.DUMMYFUNCTION("""COMPUTED_VALUE"""),149)</f>
        <v>149</v>
      </c>
      <c r="J190" s="1">
        <f ca="1">IFERROR(__xludf.DUMMYFUNCTION("""COMPUTED_VALUE"""),67.5)</f>
        <v>67.5</v>
      </c>
      <c r="K190" s="1">
        <f ca="1">IFERROR(__xludf.DUMMYFUNCTION("""COMPUTED_VALUE"""),51)</f>
        <v>51</v>
      </c>
      <c r="L190" s="1" t="str">
        <f ca="1">IFERROR(__xludf.DUMMYFUNCTION("""COMPUTED_VALUE"""),"+.038")</f>
        <v>+.038</v>
      </c>
      <c r="M190" s="1">
        <f ca="1">IFERROR(__xludf.DUMMYFUNCTION("""COMPUTED_VALUE"""),92)</f>
        <v>92</v>
      </c>
      <c r="N190" s="1">
        <f ca="1">IFERROR(__xludf.DUMMYFUNCTION("""COMPUTED_VALUE"""),-3.13)</f>
        <v>-3.13</v>
      </c>
      <c r="O190" s="1">
        <f ca="1">IFERROR(__xludf.DUMMYFUNCTION("""COMPUTED_VALUE"""),224)</f>
        <v>224</v>
      </c>
      <c r="P190" s="1">
        <f ca="1">IFERROR(__xludf.DUMMYFUNCTION("""COMPUTED_VALUE"""),104.6)</f>
        <v>104.6</v>
      </c>
      <c r="Q190" s="1">
        <f ca="1">IFERROR(__xludf.DUMMYFUNCTION("""COMPUTED_VALUE"""),167)</f>
        <v>167</v>
      </c>
      <c r="R190" s="1">
        <f ca="1">IFERROR(__xludf.DUMMYFUNCTION("""COMPUTED_VALUE"""),107.7)</f>
        <v>107.7</v>
      </c>
      <c r="S190" s="1">
        <f ca="1">IFERROR(__xludf.DUMMYFUNCTION("""COMPUTED_VALUE"""),268)</f>
        <v>268</v>
      </c>
      <c r="T190" s="1" t="str">
        <f ca="1">IFERROR(__xludf.DUMMYFUNCTION("""COMPUTED_VALUE"""),"+1.03")</f>
        <v>+1.03</v>
      </c>
      <c r="U190" s="1">
        <f ca="1">IFERROR(__xludf.DUMMYFUNCTION("""COMPUTED_VALUE"""),128)</f>
        <v>128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IFERROR(__xludf.DUMMYFUNCTION("""COMPUTED_VALUE"""),"Albany16")</f>
        <v>Albany16</v>
      </c>
      <c r="C191" s="1" t="str">
        <f ca="1">IFERROR(__xludf.DUMMYFUNCTION("""COMPUTED_VALUE"""),"AE")</f>
        <v>AE</v>
      </c>
      <c r="D191" s="1" t="str">
        <f ca="1">IFERROR(__xludf.DUMMYFUNCTION("""COMPUTED_VALUE"""),"19-15")</f>
        <v>19-15</v>
      </c>
      <c r="E191" s="1">
        <f ca="1">IFERROR(__xludf.DUMMYFUNCTION("""COMPUTED_VALUE"""),-1.04)</f>
        <v>-1.04</v>
      </c>
      <c r="F191" s="1">
        <f ca="1">IFERROR(__xludf.DUMMYFUNCTION("""COMPUTED_VALUE"""),102.9)</f>
        <v>102.9</v>
      </c>
      <c r="G191" s="1">
        <f ca="1">IFERROR(__xludf.DUMMYFUNCTION("""COMPUTED_VALUE"""),217)</f>
        <v>217</v>
      </c>
      <c r="H191" s="1">
        <f ca="1">IFERROR(__xludf.DUMMYFUNCTION("""COMPUTED_VALUE"""),103.9)</f>
        <v>103.9</v>
      </c>
      <c r="I191" s="1">
        <f ca="1">IFERROR(__xludf.DUMMYFUNCTION("""COMPUTED_VALUE"""),148)</f>
        <v>148</v>
      </c>
      <c r="J191" s="1">
        <f ca="1">IFERROR(__xludf.DUMMYFUNCTION("""COMPUTED_VALUE"""),61.6)</f>
        <v>61.6</v>
      </c>
      <c r="K191" s="1">
        <f ca="1">IFERROR(__xludf.DUMMYFUNCTION("""COMPUTED_VALUE"""),314)</f>
        <v>314</v>
      </c>
      <c r="L191" s="1" t="str">
        <f ca="1">IFERROR(__xludf.DUMMYFUNCTION("""COMPUTED_VALUE"""),"+.002")</f>
        <v>+.002</v>
      </c>
      <c r="M191" s="1">
        <f ca="1">IFERROR(__xludf.DUMMYFUNCTION("""COMPUTED_VALUE"""),181)</f>
        <v>181</v>
      </c>
      <c r="N191" s="1">
        <f ca="1">IFERROR(__xludf.DUMMYFUNCTION("""COMPUTED_VALUE"""),-5.12)</f>
        <v>-5.12</v>
      </c>
      <c r="O191" s="1">
        <f ca="1">IFERROR(__xludf.DUMMYFUNCTION("""COMPUTED_VALUE"""),270)</f>
        <v>270</v>
      </c>
      <c r="P191" s="1">
        <f ca="1">IFERROR(__xludf.DUMMYFUNCTION("""COMPUTED_VALUE"""),101.5)</f>
        <v>101.5</v>
      </c>
      <c r="Q191" s="1">
        <f ca="1">IFERROR(__xludf.DUMMYFUNCTION("""COMPUTED_VALUE"""),311)</f>
        <v>311</v>
      </c>
      <c r="R191" s="1">
        <f ca="1">IFERROR(__xludf.DUMMYFUNCTION("""COMPUTED_VALUE"""),106.6)</f>
        <v>106.6</v>
      </c>
      <c r="S191" s="1">
        <f ca="1">IFERROR(__xludf.DUMMYFUNCTION("""COMPUTED_VALUE"""),224)</f>
        <v>224</v>
      </c>
      <c r="T191" s="1" t="str">
        <f ca="1">IFERROR(__xludf.DUMMYFUNCTION("""COMPUTED_VALUE"""),"+0.91")</f>
        <v>+0.91</v>
      </c>
      <c r="U191" s="1">
        <f ca="1">IFERROR(__xludf.DUMMYFUNCTION("""COMPUTED_VALUE"""),135)</f>
        <v>135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IFERROR(__xludf.DUMMYFUNCTION("""COMPUTED_VALUE"""),"Florida Gulf Coast8")</f>
        <v>Florida Gulf Coast8</v>
      </c>
      <c r="C192" s="1" t="str">
        <f ca="1">IFERROR(__xludf.DUMMYFUNCTION("""COMPUTED_VALUE"""),"ASun")</f>
        <v>ASun</v>
      </c>
      <c r="D192" s="1" t="str">
        <f ca="1">IFERROR(__xludf.DUMMYFUNCTION("""COMPUTED_VALUE"""),"22-13")</f>
        <v>22-13</v>
      </c>
      <c r="E192" s="1">
        <f ca="1">IFERROR(__xludf.DUMMYFUNCTION("""COMPUTED_VALUE"""),-1.08)</f>
        <v>-1.08</v>
      </c>
      <c r="F192" s="1">
        <f ca="1">IFERROR(__xludf.DUMMYFUNCTION("""COMPUTED_VALUE"""),100)</f>
        <v>100</v>
      </c>
      <c r="G192" s="1">
        <f ca="1">IFERROR(__xludf.DUMMYFUNCTION("""COMPUTED_VALUE"""),266)</f>
        <v>266</v>
      </c>
      <c r="H192" s="1">
        <f ca="1">IFERROR(__xludf.DUMMYFUNCTION("""COMPUTED_VALUE"""),101.1)</f>
        <v>101.1</v>
      </c>
      <c r="I192" s="1">
        <f ca="1">IFERROR(__xludf.DUMMYFUNCTION("""COMPUTED_VALUE"""),99)</f>
        <v>99</v>
      </c>
      <c r="J192" s="1">
        <f ca="1">IFERROR(__xludf.DUMMYFUNCTION("""COMPUTED_VALUE"""),66.2)</f>
        <v>66.2</v>
      </c>
      <c r="K192" s="1">
        <f ca="1">IFERROR(__xludf.DUMMYFUNCTION("""COMPUTED_VALUE"""),98)</f>
        <v>98</v>
      </c>
      <c r="L192" s="1" t="str">
        <f ca="1">IFERROR(__xludf.DUMMYFUNCTION("""COMPUTED_VALUE"""),"+.011")</f>
        <v>+.011</v>
      </c>
      <c r="M192" s="1">
        <f ca="1">IFERROR(__xludf.DUMMYFUNCTION("""COMPUTED_VALUE"""),159)</f>
        <v>159</v>
      </c>
      <c r="N192" s="1">
        <f ca="1">IFERROR(__xludf.DUMMYFUNCTION("""COMPUTED_VALUE"""),-7.17)</f>
        <v>-7.17</v>
      </c>
      <c r="O192" s="1">
        <f ca="1">IFERROR(__xludf.DUMMYFUNCTION("""COMPUTED_VALUE"""),311)</f>
        <v>311</v>
      </c>
      <c r="P192" s="1">
        <f ca="1">IFERROR(__xludf.DUMMYFUNCTION("""COMPUTED_VALUE"""),102.6)</f>
        <v>102.6</v>
      </c>
      <c r="Q192" s="1">
        <f ca="1">IFERROR(__xludf.DUMMYFUNCTION("""COMPUTED_VALUE"""),276)</f>
        <v>276</v>
      </c>
      <c r="R192" s="1">
        <f ca="1">IFERROR(__xludf.DUMMYFUNCTION("""COMPUTED_VALUE"""),109.8)</f>
        <v>109.8</v>
      </c>
      <c r="S192" s="1">
        <f ca="1">IFERROR(__xludf.DUMMYFUNCTION("""COMPUTED_VALUE"""),335)</f>
        <v>335</v>
      </c>
      <c r="T192" s="1">
        <f ca="1">IFERROR(__xludf.DUMMYFUNCTION("""COMPUTED_VALUE"""),-2.98)</f>
        <v>-2.98</v>
      </c>
      <c r="U192" s="1">
        <f ca="1">IFERROR(__xludf.DUMMYFUNCTION("""COMPUTED_VALUE"""),251)</f>
        <v>251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IFERROR(__xludf.DUMMYFUNCTION("""COMPUTED_VALUE"""),"DePaul")</f>
        <v>DePaul</v>
      </c>
      <c r="C193" s="1" t="str">
        <f ca="1">IFERROR(__xludf.DUMMYFUNCTION("""COMPUTED_VALUE"""),"BE")</f>
        <v>BE</v>
      </c>
      <c r="D193" s="2">
        <f ca="1">IFERROR(__xludf.DUMMYFUNCTION("""COMPUTED_VALUE"""),44916)</f>
        <v>44916</v>
      </c>
      <c r="E193" s="1">
        <f ca="1">IFERROR(__xludf.DUMMYFUNCTION("""COMPUTED_VALUE"""),-1.19)</f>
        <v>-1.19</v>
      </c>
      <c r="F193" s="1">
        <f ca="1">IFERROR(__xludf.DUMMYFUNCTION("""COMPUTED_VALUE"""),106.1)</f>
        <v>106.1</v>
      </c>
      <c r="G193" s="1">
        <f ca="1">IFERROR(__xludf.DUMMYFUNCTION("""COMPUTED_VALUE"""),156)</f>
        <v>156</v>
      </c>
      <c r="H193" s="1">
        <f ca="1">IFERROR(__xludf.DUMMYFUNCTION("""COMPUTED_VALUE"""),107.3)</f>
        <v>107.3</v>
      </c>
      <c r="I193" s="1">
        <f ca="1">IFERROR(__xludf.DUMMYFUNCTION("""COMPUTED_VALUE"""),217)</f>
        <v>217</v>
      </c>
      <c r="J193" s="1">
        <f ca="1">IFERROR(__xludf.DUMMYFUNCTION("""COMPUTED_VALUE"""),65.6)</f>
        <v>65.599999999999994</v>
      </c>
      <c r="K193" s="1">
        <f ca="1">IFERROR(__xludf.DUMMYFUNCTION("""COMPUTED_VALUE"""),126)</f>
        <v>126</v>
      </c>
      <c r="L193" s="1" t="str">
        <f ca="1">IFERROR(__xludf.DUMMYFUNCTION("""COMPUTED_VALUE"""),"+.032")</f>
        <v>+.032</v>
      </c>
      <c r="M193" s="1">
        <f ca="1">IFERROR(__xludf.DUMMYFUNCTION("""COMPUTED_VALUE"""),105)</f>
        <v>105</v>
      </c>
      <c r="N193" s="1" t="str">
        <f ca="1">IFERROR(__xludf.DUMMYFUNCTION("""COMPUTED_VALUE"""),"+8.44")</f>
        <v>+8.44</v>
      </c>
      <c r="O193" s="1">
        <f ca="1">IFERROR(__xludf.DUMMYFUNCTION("""COMPUTED_VALUE"""),30)</f>
        <v>30</v>
      </c>
      <c r="P193" s="1">
        <f ca="1">IFERROR(__xludf.DUMMYFUNCTION("""COMPUTED_VALUE"""),109.5)</f>
        <v>109.5</v>
      </c>
      <c r="Q193" s="1">
        <f ca="1">IFERROR(__xludf.DUMMYFUNCTION("""COMPUTED_VALUE"""),29)</f>
        <v>29</v>
      </c>
      <c r="R193" s="1">
        <f ca="1">IFERROR(__xludf.DUMMYFUNCTION("""COMPUTED_VALUE"""),101)</f>
        <v>101</v>
      </c>
      <c r="S193" s="1">
        <f ca="1">IFERROR(__xludf.DUMMYFUNCTION("""COMPUTED_VALUE"""),37)</f>
        <v>37</v>
      </c>
      <c r="T193" s="1">
        <f ca="1">IFERROR(__xludf.DUMMYFUNCTION("""COMPUTED_VALUE"""),-0.75)</f>
        <v>-0.75</v>
      </c>
      <c r="U193" s="1">
        <f ca="1">IFERROR(__xludf.DUMMYFUNCTION("""COMPUTED_VALUE"""),184)</f>
        <v>184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IFERROR(__xludf.DUMMYFUNCTION("""COMPUTED_VALUE"""),"Colgate")</f>
        <v>Colgate</v>
      </c>
      <c r="C194" s="1" t="str">
        <f ca="1">IFERROR(__xludf.DUMMYFUNCTION("""COMPUTED_VALUE"""),"Pat")</f>
        <v>Pat</v>
      </c>
      <c r="D194" s="1" t="str">
        <f ca="1">IFERROR(__xludf.DUMMYFUNCTION("""COMPUTED_VALUE"""),"13-18")</f>
        <v>13-18</v>
      </c>
      <c r="E194" s="1">
        <f ca="1">IFERROR(__xludf.DUMMYFUNCTION("""COMPUTED_VALUE"""),-1.28)</f>
        <v>-1.28</v>
      </c>
      <c r="F194" s="1">
        <f ca="1">IFERROR(__xludf.DUMMYFUNCTION("""COMPUTED_VALUE"""),108.5)</f>
        <v>108.5</v>
      </c>
      <c r="G194" s="1">
        <f ca="1">IFERROR(__xludf.DUMMYFUNCTION("""COMPUTED_VALUE"""),117)</f>
        <v>117</v>
      </c>
      <c r="H194" s="1">
        <f ca="1">IFERROR(__xludf.DUMMYFUNCTION("""COMPUTED_VALUE"""),109.7)</f>
        <v>109.7</v>
      </c>
      <c r="I194" s="1">
        <f ca="1">IFERROR(__xludf.DUMMYFUNCTION("""COMPUTED_VALUE"""),261)</f>
        <v>261</v>
      </c>
      <c r="J194" s="1">
        <f ca="1">IFERROR(__xludf.DUMMYFUNCTION("""COMPUTED_VALUE"""),62.4)</f>
        <v>62.4</v>
      </c>
      <c r="K194" s="1">
        <f ca="1">IFERROR(__xludf.DUMMYFUNCTION("""COMPUTED_VALUE"""),285)</f>
        <v>285</v>
      </c>
      <c r="L194" s="1">
        <f ca="1">IFERROR(__xludf.DUMMYFUNCTION("""COMPUTED_VALUE"""),-0.149)</f>
        <v>-0.14899999999999999</v>
      </c>
      <c r="M194" s="1">
        <f ca="1">IFERROR(__xludf.DUMMYFUNCTION("""COMPUTED_VALUE"""),350)</f>
        <v>350</v>
      </c>
      <c r="N194" s="1">
        <f ca="1">IFERROR(__xludf.DUMMYFUNCTION("""COMPUTED_VALUE"""),-4.06)</f>
        <v>-4.0599999999999996</v>
      </c>
      <c r="O194" s="1">
        <f ca="1">IFERROR(__xludf.DUMMYFUNCTION("""COMPUTED_VALUE"""),242)</f>
        <v>242</v>
      </c>
      <c r="P194" s="1">
        <f ca="1">IFERROR(__xludf.DUMMYFUNCTION("""COMPUTED_VALUE"""),102.3)</f>
        <v>102.3</v>
      </c>
      <c r="Q194" s="1">
        <f ca="1">IFERROR(__xludf.DUMMYFUNCTION("""COMPUTED_VALUE"""),288)</f>
        <v>288</v>
      </c>
      <c r="R194" s="1">
        <f ca="1">IFERROR(__xludf.DUMMYFUNCTION("""COMPUTED_VALUE"""),106.3)</f>
        <v>106.3</v>
      </c>
      <c r="S194" s="1">
        <f ca="1">IFERROR(__xludf.DUMMYFUNCTION("""COMPUTED_VALUE"""),217)</f>
        <v>217</v>
      </c>
      <c r="T194" s="1">
        <f ca="1">IFERROR(__xludf.DUMMYFUNCTION("""COMPUTED_VALUE"""),-2.64)</f>
        <v>-2.64</v>
      </c>
      <c r="U194" s="1">
        <f ca="1">IFERROR(__xludf.DUMMYFUNCTION("""COMPUTED_VALUE"""),235)</f>
        <v>235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IFERROR(__xludf.DUMMYFUNCTION("""COMPUTED_VALUE"""),"Northwestern St.")</f>
        <v>Northwestern St.</v>
      </c>
      <c r="C195" s="1" t="str">
        <f ca="1">IFERROR(__xludf.DUMMYFUNCTION("""COMPUTED_VALUE"""),"Slnd")</f>
        <v>Slnd</v>
      </c>
      <c r="D195" s="1" t="str">
        <f ca="1">IFERROR(__xludf.DUMMYFUNCTION("""COMPUTED_VALUE"""),"17-14")</f>
        <v>17-14</v>
      </c>
      <c r="E195" s="1">
        <f ca="1">IFERROR(__xludf.DUMMYFUNCTION("""COMPUTED_VALUE"""),-1.31)</f>
        <v>-1.31</v>
      </c>
      <c r="F195" s="1">
        <f ca="1">IFERROR(__xludf.DUMMYFUNCTION("""COMPUTED_VALUE"""),108.6)</f>
        <v>108.6</v>
      </c>
      <c r="G195" s="1">
        <f ca="1">IFERROR(__xludf.DUMMYFUNCTION("""COMPUTED_VALUE"""),115)</f>
        <v>115</v>
      </c>
      <c r="H195" s="1">
        <f ca="1">IFERROR(__xludf.DUMMYFUNCTION("""COMPUTED_VALUE"""),109.9)</f>
        <v>109.9</v>
      </c>
      <c r="I195" s="1">
        <f ca="1">IFERROR(__xludf.DUMMYFUNCTION("""COMPUTED_VALUE"""),263)</f>
        <v>263</v>
      </c>
      <c r="J195" s="1">
        <f ca="1">IFERROR(__xludf.DUMMYFUNCTION("""COMPUTED_VALUE"""),74.2)</f>
        <v>74.2</v>
      </c>
      <c r="K195" s="1">
        <f ca="1">IFERROR(__xludf.DUMMYFUNCTION("""COMPUTED_VALUE"""),1)</f>
        <v>1</v>
      </c>
      <c r="L195" s="1">
        <f ca="1">IFERROR(__xludf.DUMMYFUNCTION("""COMPUTED_VALUE"""),-0.019)</f>
        <v>-1.9E-2</v>
      </c>
      <c r="M195" s="1">
        <f ca="1">IFERROR(__xludf.DUMMYFUNCTION("""COMPUTED_VALUE"""),225)</f>
        <v>225</v>
      </c>
      <c r="N195" s="1">
        <f ca="1">IFERROR(__xludf.DUMMYFUNCTION("""COMPUTED_VALUE"""),-4.75)</f>
        <v>-4.75</v>
      </c>
      <c r="O195" s="1">
        <f ca="1">IFERROR(__xludf.DUMMYFUNCTION("""COMPUTED_VALUE"""),259)</f>
        <v>259</v>
      </c>
      <c r="P195" s="1">
        <f ca="1">IFERROR(__xludf.DUMMYFUNCTION("""COMPUTED_VALUE"""),103.1)</f>
        <v>103.1</v>
      </c>
      <c r="Q195" s="1">
        <f ca="1">IFERROR(__xludf.DUMMYFUNCTION("""COMPUTED_VALUE"""),248)</f>
        <v>248</v>
      </c>
      <c r="R195" s="1">
        <f ca="1">IFERROR(__xludf.DUMMYFUNCTION("""COMPUTED_VALUE"""),107.9)</f>
        <v>107.9</v>
      </c>
      <c r="S195" s="1">
        <f ca="1">IFERROR(__xludf.DUMMYFUNCTION("""COMPUTED_VALUE"""),272)</f>
        <v>272</v>
      </c>
      <c r="T195" s="1" t="str">
        <f ca="1">IFERROR(__xludf.DUMMYFUNCTION("""COMPUTED_VALUE"""),"+10.12")</f>
        <v>+10.12</v>
      </c>
      <c r="U195" s="1">
        <f ca="1">IFERROR(__xludf.DUMMYFUNCTION("""COMPUTED_VALUE"""),10)</f>
        <v>10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IFERROR(__xludf.DUMMYFUNCTION("""COMPUTED_VALUE"""),"Youngstown St.")</f>
        <v>Youngstown St.</v>
      </c>
      <c r="C196" s="1" t="str">
        <f ca="1">IFERROR(__xludf.DUMMYFUNCTION("""COMPUTED_VALUE"""),"Horz")</f>
        <v>Horz</v>
      </c>
      <c r="D196" s="1" t="str">
        <f ca="1">IFERROR(__xludf.DUMMYFUNCTION("""COMPUTED_VALUE"""),"15-17")</f>
        <v>15-17</v>
      </c>
      <c r="E196" s="1">
        <f ca="1">IFERROR(__xludf.DUMMYFUNCTION("""COMPUTED_VALUE"""),-1.33)</f>
        <v>-1.33</v>
      </c>
      <c r="F196" s="1">
        <f ca="1">IFERROR(__xludf.DUMMYFUNCTION("""COMPUTED_VALUE"""),107.9)</f>
        <v>107.9</v>
      </c>
      <c r="G196" s="1">
        <f ca="1">IFERROR(__xludf.DUMMYFUNCTION("""COMPUTED_VALUE"""),123)</f>
        <v>123</v>
      </c>
      <c r="H196" s="1">
        <f ca="1">IFERROR(__xludf.DUMMYFUNCTION("""COMPUTED_VALUE"""),109.3)</f>
        <v>109.3</v>
      </c>
      <c r="I196" s="1">
        <f ca="1">IFERROR(__xludf.DUMMYFUNCTION("""COMPUTED_VALUE"""),252)</f>
        <v>252</v>
      </c>
      <c r="J196" s="1">
        <f ca="1">IFERROR(__xludf.DUMMYFUNCTION("""COMPUTED_VALUE"""),66)</f>
        <v>66</v>
      </c>
      <c r="K196" s="1">
        <f ca="1">IFERROR(__xludf.DUMMYFUNCTION("""COMPUTED_VALUE"""),105)</f>
        <v>105</v>
      </c>
      <c r="L196" s="1">
        <f ca="1">IFERROR(__xludf.DUMMYFUNCTION("""COMPUTED_VALUE"""),-0.053)</f>
        <v>-5.2999999999999999E-2</v>
      </c>
      <c r="M196" s="1">
        <f ca="1">IFERROR(__xludf.DUMMYFUNCTION("""COMPUTED_VALUE"""),301)</f>
        <v>301</v>
      </c>
      <c r="N196" s="1">
        <f ca="1">IFERROR(__xludf.DUMMYFUNCTION("""COMPUTED_VALUE"""),-0.58)</f>
        <v>-0.57999999999999996</v>
      </c>
      <c r="O196" s="1">
        <f ca="1">IFERROR(__xludf.DUMMYFUNCTION("""COMPUTED_VALUE"""),162)</f>
        <v>162</v>
      </c>
      <c r="P196" s="1">
        <f ca="1">IFERROR(__xludf.DUMMYFUNCTION("""COMPUTED_VALUE"""),104.6)</f>
        <v>104.6</v>
      </c>
      <c r="Q196" s="1">
        <f ca="1">IFERROR(__xludf.DUMMYFUNCTION("""COMPUTED_VALUE"""),168)</f>
        <v>168</v>
      </c>
      <c r="R196" s="1">
        <f ca="1">IFERROR(__xludf.DUMMYFUNCTION("""COMPUTED_VALUE"""),105.2)</f>
        <v>105.2</v>
      </c>
      <c r="S196" s="1">
        <f ca="1">IFERROR(__xludf.DUMMYFUNCTION("""COMPUTED_VALUE"""),164)</f>
        <v>164</v>
      </c>
      <c r="T196" s="1">
        <f ca="1">IFERROR(__xludf.DUMMYFUNCTION("""COMPUTED_VALUE"""),-2.59)</f>
        <v>-2.59</v>
      </c>
      <c r="U196" s="1">
        <f ca="1">IFERROR(__xludf.DUMMYFUNCTION("""COMPUTED_VALUE"""),232)</f>
        <v>232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IFERROR(__xludf.DUMMYFUNCTION("""COMPUTED_VALUE"""),"Drake")</f>
        <v>Drake</v>
      </c>
      <c r="C197" s="1" t="str">
        <f ca="1">IFERROR(__xludf.DUMMYFUNCTION("""COMPUTED_VALUE"""),"MVC")</f>
        <v>MVC</v>
      </c>
      <c r="D197" s="1" t="str">
        <f ca="1">IFERROR(__xludf.DUMMYFUNCTION("""COMPUTED_VALUE"""),"15-16")</f>
        <v>15-16</v>
      </c>
      <c r="E197" s="1">
        <f ca="1">IFERROR(__xludf.DUMMYFUNCTION("""COMPUTED_VALUE"""),-1.46)</f>
        <v>-1.46</v>
      </c>
      <c r="F197" s="1">
        <f ca="1">IFERROR(__xludf.DUMMYFUNCTION("""COMPUTED_VALUE"""),105)</f>
        <v>105</v>
      </c>
      <c r="G197" s="1">
        <f ca="1">IFERROR(__xludf.DUMMYFUNCTION("""COMPUTED_VALUE"""),183)</f>
        <v>183</v>
      </c>
      <c r="H197" s="1">
        <f ca="1">IFERROR(__xludf.DUMMYFUNCTION("""COMPUTED_VALUE"""),106.5)</f>
        <v>106.5</v>
      </c>
      <c r="I197" s="1">
        <f ca="1">IFERROR(__xludf.DUMMYFUNCTION("""COMPUTED_VALUE"""),199)</f>
        <v>199</v>
      </c>
      <c r="J197" s="1">
        <f ca="1">IFERROR(__xludf.DUMMYFUNCTION("""COMPUTED_VALUE"""),62.9)</f>
        <v>62.9</v>
      </c>
      <c r="K197" s="1">
        <f ca="1">IFERROR(__xludf.DUMMYFUNCTION("""COMPUTED_VALUE"""),266)</f>
        <v>266</v>
      </c>
      <c r="L197" s="1" t="str">
        <f ca="1">IFERROR(__xludf.DUMMYFUNCTION("""COMPUTED_VALUE"""),"+.024")</f>
        <v>+.024</v>
      </c>
      <c r="M197" s="1">
        <f ca="1">IFERROR(__xludf.DUMMYFUNCTION("""COMPUTED_VALUE"""),126)</f>
        <v>126</v>
      </c>
      <c r="N197" s="1" t="str">
        <f ca="1">IFERROR(__xludf.DUMMYFUNCTION("""COMPUTED_VALUE"""),"+0.86")</f>
        <v>+0.86</v>
      </c>
      <c r="O197" s="1">
        <f ca="1">IFERROR(__xludf.DUMMYFUNCTION("""COMPUTED_VALUE"""),128)</f>
        <v>128</v>
      </c>
      <c r="P197" s="1">
        <f ca="1">IFERROR(__xludf.DUMMYFUNCTION("""COMPUTED_VALUE"""),105.7)</f>
        <v>105.7</v>
      </c>
      <c r="Q197" s="1">
        <f ca="1">IFERROR(__xludf.DUMMYFUNCTION("""COMPUTED_VALUE"""),126)</f>
        <v>126</v>
      </c>
      <c r="R197" s="1">
        <f ca="1">IFERROR(__xludf.DUMMYFUNCTION("""COMPUTED_VALUE"""),104.8)</f>
        <v>104.8</v>
      </c>
      <c r="S197" s="1">
        <f ca="1">IFERROR(__xludf.DUMMYFUNCTION("""COMPUTED_VALUE"""),145)</f>
        <v>145</v>
      </c>
      <c r="T197" s="1">
        <f ca="1">IFERROR(__xludf.DUMMYFUNCTION("""COMPUTED_VALUE"""),-0.03)</f>
        <v>-0.03</v>
      </c>
      <c r="U197" s="1">
        <f ca="1">IFERROR(__xludf.DUMMYFUNCTION("""COMPUTED_VALUE"""),161)</f>
        <v>161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IFERROR(__xludf.DUMMYFUNCTION("""COMPUTED_VALUE"""),"Oral Roberts")</f>
        <v>Oral Roberts</v>
      </c>
      <c r="C198" s="1" t="str">
        <f ca="1">IFERROR(__xludf.DUMMYFUNCTION("""COMPUTED_VALUE"""),"Slnd")</f>
        <v>Slnd</v>
      </c>
      <c r="D198" s="1" t="str">
        <f ca="1">IFERROR(__xludf.DUMMYFUNCTION("""COMPUTED_VALUE"""),"17-16")</f>
        <v>17-16</v>
      </c>
      <c r="E198" s="1">
        <f ca="1">IFERROR(__xludf.DUMMYFUNCTION("""COMPUTED_VALUE"""),-1.53)</f>
        <v>-1.53</v>
      </c>
      <c r="F198" s="1">
        <f ca="1">IFERROR(__xludf.DUMMYFUNCTION("""COMPUTED_VALUE"""),108)</f>
        <v>108</v>
      </c>
      <c r="G198" s="1">
        <f ca="1">IFERROR(__xludf.DUMMYFUNCTION("""COMPUTED_VALUE"""),122)</f>
        <v>122</v>
      </c>
      <c r="H198" s="1">
        <f ca="1">IFERROR(__xludf.DUMMYFUNCTION("""COMPUTED_VALUE"""),109.6)</f>
        <v>109.6</v>
      </c>
      <c r="I198" s="1">
        <f ca="1">IFERROR(__xludf.DUMMYFUNCTION("""COMPUTED_VALUE"""),258)</f>
        <v>258</v>
      </c>
      <c r="J198" s="1">
        <f ca="1">IFERROR(__xludf.DUMMYFUNCTION("""COMPUTED_VALUE"""),62.8)</f>
        <v>62.8</v>
      </c>
      <c r="K198" s="1">
        <f ca="1">IFERROR(__xludf.DUMMYFUNCTION("""COMPUTED_VALUE"""),271)</f>
        <v>271</v>
      </c>
      <c r="L198" s="1">
        <f ca="1">IFERROR(__xludf.DUMMYFUNCTION("""COMPUTED_VALUE"""),-0.058)</f>
        <v>-5.8000000000000003E-2</v>
      </c>
      <c r="M198" s="1">
        <f ca="1">IFERROR(__xludf.DUMMYFUNCTION("""COMPUTED_VALUE"""),309)</f>
        <v>309</v>
      </c>
      <c r="N198" s="1">
        <f ca="1">IFERROR(__xludf.DUMMYFUNCTION("""COMPUTED_VALUE"""),-4.7)</f>
        <v>-4.7</v>
      </c>
      <c r="O198" s="1">
        <f ca="1">IFERROR(__xludf.DUMMYFUNCTION("""COMPUTED_VALUE"""),254)</f>
        <v>254</v>
      </c>
      <c r="P198" s="1">
        <f ca="1">IFERROR(__xludf.DUMMYFUNCTION("""COMPUTED_VALUE"""),102.4)</f>
        <v>102.4</v>
      </c>
      <c r="Q198" s="1">
        <f ca="1">IFERROR(__xludf.DUMMYFUNCTION("""COMPUTED_VALUE"""),282)</f>
        <v>282</v>
      </c>
      <c r="R198" s="1">
        <f ca="1">IFERROR(__xludf.DUMMYFUNCTION("""COMPUTED_VALUE"""),107.1)</f>
        <v>107.1</v>
      </c>
      <c r="S198" s="1">
        <f ca="1">IFERROR(__xludf.DUMMYFUNCTION("""COMPUTED_VALUE"""),246)</f>
        <v>246</v>
      </c>
      <c r="T198" s="1" t="str">
        <f ca="1">IFERROR(__xludf.DUMMYFUNCTION("""COMPUTED_VALUE"""),"+10.43")</f>
        <v>+10.43</v>
      </c>
      <c r="U198" s="1">
        <f ca="1">IFERROR(__xludf.DUMMYFUNCTION("""COMPUTED_VALUE"""),8)</f>
        <v>8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IFERROR(__xludf.DUMMYFUNCTION("""COMPUTED_VALUE"""),"Wagner")</f>
        <v>Wagner</v>
      </c>
      <c r="C199" s="1" t="str">
        <f ca="1">IFERROR(__xludf.DUMMYFUNCTION("""COMPUTED_VALUE"""),"NEC")</f>
        <v>NEC</v>
      </c>
      <c r="D199" s="1" t="str">
        <f ca="1">IFERROR(__xludf.DUMMYFUNCTION("""COMPUTED_VALUE"""),"19-12")</f>
        <v>19-12</v>
      </c>
      <c r="E199" s="1">
        <f ca="1">IFERROR(__xludf.DUMMYFUNCTION("""COMPUTED_VALUE"""),-1.7)</f>
        <v>-1.7</v>
      </c>
      <c r="F199" s="1">
        <f ca="1">IFERROR(__xludf.DUMMYFUNCTION("""COMPUTED_VALUE"""),98.6)</f>
        <v>98.6</v>
      </c>
      <c r="G199" s="1">
        <f ca="1">IFERROR(__xludf.DUMMYFUNCTION("""COMPUTED_VALUE"""),282)</f>
        <v>282</v>
      </c>
      <c r="H199" s="1">
        <f ca="1">IFERROR(__xludf.DUMMYFUNCTION("""COMPUTED_VALUE"""),100.3)</f>
        <v>100.3</v>
      </c>
      <c r="I199" s="1">
        <f ca="1">IFERROR(__xludf.DUMMYFUNCTION("""COMPUTED_VALUE"""),84)</f>
        <v>84</v>
      </c>
      <c r="J199" s="1">
        <f ca="1">IFERROR(__xludf.DUMMYFUNCTION("""COMPUTED_VALUE"""),66.6)</f>
        <v>66.599999999999994</v>
      </c>
      <c r="K199" s="1">
        <f ca="1">IFERROR(__xludf.DUMMYFUNCTION("""COMPUTED_VALUE"""),81)</f>
        <v>81</v>
      </c>
      <c r="L199" s="1" t="str">
        <f ca="1">IFERROR(__xludf.DUMMYFUNCTION("""COMPUTED_VALUE"""),"+.016")</f>
        <v>+.016</v>
      </c>
      <c r="M199" s="1">
        <f ca="1">IFERROR(__xludf.DUMMYFUNCTION("""COMPUTED_VALUE"""),140)</f>
        <v>140</v>
      </c>
      <c r="N199" s="1">
        <f ca="1">IFERROR(__xludf.DUMMYFUNCTION("""COMPUTED_VALUE"""),-6.85)</f>
        <v>-6.85</v>
      </c>
      <c r="O199" s="1">
        <f ca="1">IFERROR(__xludf.DUMMYFUNCTION("""COMPUTED_VALUE"""),305)</f>
        <v>305</v>
      </c>
      <c r="P199" s="1">
        <f ca="1">IFERROR(__xludf.DUMMYFUNCTION("""COMPUTED_VALUE"""),102.6)</f>
        <v>102.6</v>
      </c>
      <c r="Q199" s="1">
        <f ca="1">IFERROR(__xludf.DUMMYFUNCTION("""COMPUTED_VALUE"""),275)</f>
        <v>275</v>
      </c>
      <c r="R199" s="1">
        <f ca="1">IFERROR(__xludf.DUMMYFUNCTION("""COMPUTED_VALUE"""),109.5)</f>
        <v>109.5</v>
      </c>
      <c r="S199" s="1">
        <f ca="1">IFERROR(__xludf.DUMMYFUNCTION("""COMPUTED_VALUE"""),324)</f>
        <v>324</v>
      </c>
      <c r="T199" s="1">
        <f ca="1">IFERROR(__xludf.DUMMYFUNCTION("""COMPUTED_VALUE"""),-0.25)</f>
        <v>-0.25</v>
      </c>
      <c r="U199" s="1">
        <f ca="1">IFERROR(__xludf.DUMMYFUNCTION("""COMPUTED_VALUE"""),167)</f>
        <v>167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IFERROR(__xludf.DUMMYFUNCTION("""COMPUTED_VALUE"""),"Washington St.")</f>
        <v>Washington St.</v>
      </c>
      <c r="C200" s="1" t="str">
        <f ca="1">IFERROR(__xludf.DUMMYFUNCTION("""COMPUTED_VALUE"""),"P12")</f>
        <v>P12</v>
      </c>
      <c r="D200" s="2">
        <f ca="1">IFERROR(__xludf.DUMMYFUNCTION("""COMPUTED_VALUE"""),44855)</f>
        <v>44855</v>
      </c>
      <c r="E200" s="1">
        <f ca="1">IFERROR(__xludf.DUMMYFUNCTION("""COMPUTED_VALUE"""),-1.84)</f>
        <v>-1.84</v>
      </c>
      <c r="F200" s="1">
        <f ca="1">IFERROR(__xludf.DUMMYFUNCTION("""COMPUTED_VALUE"""),101.7)</f>
        <v>101.7</v>
      </c>
      <c r="G200" s="1">
        <f ca="1">IFERROR(__xludf.DUMMYFUNCTION("""COMPUTED_VALUE"""),233)</f>
        <v>233</v>
      </c>
      <c r="H200" s="1">
        <f ca="1">IFERROR(__xludf.DUMMYFUNCTION("""COMPUTED_VALUE"""),103.6)</f>
        <v>103.6</v>
      </c>
      <c r="I200" s="1">
        <f ca="1">IFERROR(__xludf.DUMMYFUNCTION("""COMPUTED_VALUE"""),141)</f>
        <v>141</v>
      </c>
      <c r="J200" s="1">
        <f ca="1">IFERROR(__xludf.DUMMYFUNCTION("""COMPUTED_VALUE"""),60.5)</f>
        <v>60.5</v>
      </c>
      <c r="K200" s="1">
        <f ca="1">IFERROR(__xludf.DUMMYFUNCTION("""COMPUTED_VALUE"""),338)</f>
        <v>338</v>
      </c>
      <c r="L200" s="1">
        <f ca="1">IFERROR(__xludf.DUMMYFUNCTION("""COMPUTED_VALUE"""),-0.042)</f>
        <v>-4.2000000000000003E-2</v>
      </c>
      <c r="M200" s="1">
        <f ca="1">IFERROR(__xludf.DUMMYFUNCTION("""COMPUTED_VALUE"""),269)</f>
        <v>269</v>
      </c>
      <c r="N200" s="1" t="str">
        <f ca="1">IFERROR(__xludf.DUMMYFUNCTION("""COMPUTED_VALUE"""),"+7.58")</f>
        <v>+7.58</v>
      </c>
      <c r="O200" s="1">
        <f ca="1">IFERROR(__xludf.DUMMYFUNCTION("""COMPUTED_VALUE"""),45)</f>
        <v>45</v>
      </c>
      <c r="P200" s="1">
        <f ca="1">IFERROR(__xludf.DUMMYFUNCTION("""COMPUTED_VALUE"""),108.9)</f>
        <v>108.9</v>
      </c>
      <c r="Q200" s="1">
        <f ca="1">IFERROR(__xludf.DUMMYFUNCTION("""COMPUTED_VALUE"""),45)</f>
        <v>45</v>
      </c>
      <c r="R200" s="1">
        <f ca="1">IFERROR(__xludf.DUMMYFUNCTION("""COMPUTED_VALUE"""),101.3)</f>
        <v>101.3</v>
      </c>
      <c r="S200" s="1">
        <f ca="1">IFERROR(__xludf.DUMMYFUNCTION("""COMPUTED_VALUE"""),48)</f>
        <v>48</v>
      </c>
      <c r="T200" s="1">
        <f ca="1">IFERROR(__xludf.DUMMYFUNCTION("""COMPUTED_VALUE"""),-3.55)</f>
        <v>-3.55</v>
      </c>
      <c r="U200" s="1">
        <f ca="1">IFERROR(__xludf.DUMMYFUNCTION("""COMPUTED_VALUE"""),272)</f>
        <v>272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IFERROR(__xludf.DUMMYFUNCTION("""COMPUTED_VALUE"""),"South Florida")</f>
        <v>South Florida</v>
      </c>
      <c r="C201" s="1" t="str">
        <f ca="1">IFERROR(__xludf.DUMMYFUNCTION("""COMPUTED_VALUE"""),"Amer")</f>
        <v>Amer</v>
      </c>
      <c r="D201" s="2">
        <f ca="1">IFERROR(__xludf.DUMMYFUNCTION("""COMPUTED_VALUE"""),44915)</f>
        <v>44915</v>
      </c>
      <c r="E201" s="1">
        <f ca="1">IFERROR(__xludf.DUMMYFUNCTION("""COMPUTED_VALUE"""),-1.9)</f>
        <v>-1.9</v>
      </c>
      <c r="F201" s="1">
        <f ca="1">IFERROR(__xludf.DUMMYFUNCTION("""COMPUTED_VALUE"""),102.4)</f>
        <v>102.4</v>
      </c>
      <c r="G201" s="1">
        <f ca="1">IFERROR(__xludf.DUMMYFUNCTION("""COMPUTED_VALUE"""),223)</f>
        <v>223</v>
      </c>
      <c r="H201" s="1">
        <f ca="1">IFERROR(__xludf.DUMMYFUNCTION("""COMPUTED_VALUE"""),104.3)</f>
        <v>104.3</v>
      </c>
      <c r="I201" s="1">
        <f ca="1">IFERROR(__xludf.DUMMYFUNCTION("""COMPUTED_VALUE"""),155)</f>
        <v>155</v>
      </c>
      <c r="J201" s="1">
        <f ca="1">IFERROR(__xludf.DUMMYFUNCTION("""COMPUTED_VALUE"""),63.9)</f>
        <v>63.9</v>
      </c>
      <c r="K201" s="1">
        <f ca="1">IFERROR(__xludf.DUMMYFUNCTION("""COMPUTED_VALUE"""),222)</f>
        <v>222</v>
      </c>
      <c r="L201" s="1" t="str">
        <f ca="1">IFERROR(__xludf.DUMMYFUNCTION("""COMPUTED_VALUE"""),"+.018")</f>
        <v>+.018</v>
      </c>
      <c r="M201" s="1">
        <f ca="1">IFERROR(__xludf.DUMMYFUNCTION("""COMPUTED_VALUE"""),137)</f>
        <v>137</v>
      </c>
      <c r="N201" s="1" t="str">
        <f ca="1">IFERROR(__xludf.DUMMYFUNCTION("""COMPUTED_VALUE"""),"+3.85")</f>
        <v>+3.85</v>
      </c>
      <c r="O201" s="1">
        <f ca="1">IFERROR(__xludf.DUMMYFUNCTION("""COMPUTED_VALUE"""),102)</f>
        <v>102</v>
      </c>
      <c r="P201" s="1">
        <f ca="1">IFERROR(__xludf.DUMMYFUNCTION("""COMPUTED_VALUE"""),106.3)</f>
        <v>106.3</v>
      </c>
      <c r="Q201" s="1">
        <f ca="1">IFERROR(__xludf.DUMMYFUNCTION("""COMPUTED_VALUE"""),109)</f>
        <v>109</v>
      </c>
      <c r="R201" s="1">
        <f ca="1">IFERROR(__xludf.DUMMYFUNCTION("""COMPUTED_VALUE"""),102.4)</f>
        <v>102.4</v>
      </c>
      <c r="S201" s="1">
        <f ca="1">IFERROR(__xludf.DUMMYFUNCTION("""COMPUTED_VALUE"""),84)</f>
        <v>84</v>
      </c>
      <c r="T201" s="1">
        <f ca="1">IFERROR(__xludf.DUMMYFUNCTION("""COMPUTED_VALUE"""),-6.07)</f>
        <v>-6.07</v>
      </c>
      <c r="U201" s="1">
        <f ca="1">IFERROR(__xludf.DUMMYFUNCTION("""COMPUTED_VALUE"""),315)</f>
        <v>315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IFERROR(__xludf.DUMMYFUNCTION("""COMPUTED_VALUE"""),"Wofford15")</f>
        <v>Wofford15</v>
      </c>
      <c r="C202" s="1" t="str">
        <f ca="1">IFERROR(__xludf.DUMMYFUNCTION("""COMPUTED_VALUE"""),"SC")</f>
        <v>SC</v>
      </c>
      <c r="D202" s="1" t="str">
        <f ca="1">IFERROR(__xludf.DUMMYFUNCTION("""COMPUTED_VALUE"""),"20-13")</f>
        <v>20-13</v>
      </c>
      <c r="E202" s="1">
        <f ca="1">IFERROR(__xludf.DUMMYFUNCTION("""COMPUTED_VALUE"""),-1.94)</f>
        <v>-1.94</v>
      </c>
      <c r="F202" s="1">
        <f ca="1">IFERROR(__xludf.DUMMYFUNCTION("""COMPUTED_VALUE"""),100.6)</f>
        <v>100.6</v>
      </c>
      <c r="G202" s="1">
        <f ca="1">IFERROR(__xludf.DUMMYFUNCTION("""COMPUTED_VALUE"""),252)</f>
        <v>252</v>
      </c>
      <c r="H202" s="1">
        <f ca="1">IFERROR(__xludf.DUMMYFUNCTION("""COMPUTED_VALUE"""),102.6)</f>
        <v>102.6</v>
      </c>
      <c r="I202" s="1">
        <f ca="1">IFERROR(__xludf.DUMMYFUNCTION("""COMPUTED_VALUE"""),125)</f>
        <v>125</v>
      </c>
      <c r="J202" s="1">
        <f ca="1">IFERROR(__xludf.DUMMYFUNCTION("""COMPUTED_VALUE"""),60.5)</f>
        <v>60.5</v>
      </c>
      <c r="K202" s="1">
        <f ca="1">IFERROR(__xludf.DUMMYFUNCTION("""COMPUTED_VALUE"""),337)</f>
        <v>337</v>
      </c>
      <c r="L202" s="1" t="str">
        <f ca="1">IFERROR(__xludf.DUMMYFUNCTION("""COMPUTED_VALUE"""),"+.025")</f>
        <v>+.025</v>
      </c>
      <c r="M202" s="1">
        <f ca="1">IFERROR(__xludf.DUMMYFUNCTION("""COMPUTED_VALUE"""),125)</f>
        <v>125</v>
      </c>
      <c r="N202" s="1">
        <f ca="1">IFERROR(__xludf.DUMMYFUNCTION("""COMPUTED_VALUE"""),-5.87)</f>
        <v>-5.87</v>
      </c>
      <c r="O202" s="1">
        <f ca="1">IFERROR(__xludf.DUMMYFUNCTION("""COMPUTED_VALUE"""),287)</f>
        <v>287</v>
      </c>
      <c r="P202" s="1">
        <f ca="1">IFERROR(__xludf.DUMMYFUNCTION("""COMPUTED_VALUE"""),103.5)</f>
        <v>103.5</v>
      </c>
      <c r="Q202" s="1">
        <f ca="1">IFERROR(__xludf.DUMMYFUNCTION("""COMPUTED_VALUE"""),224)</f>
        <v>224</v>
      </c>
      <c r="R202" s="1">
        <f ca="1">IFERROR(__xludf.DUMMYFUNCTION("""COMPUTED_VALUE"""),109.3)</f>
        <v>109.3</v>
      </c>
      <c r="S202" s="1">
        <f ca="1">IFERROR(__xludf.DUMMYFUNCTION("""COMPUTED_VALUE"""),320)</f>
        <v>320</v>
      </c>
      <c r="T202" s="1" t="str">
        <f ca="1">IFERROR(__xludf.DUMMYFUNCTION("""COMPUTED_VALUE"""),"+7.63")</f>
        <v>+7.63</v>
      </c>
      <c r="U202" s="1">
        <f ca="1">IFERROR(__xludf.DUMMYFUNCTION("""COMPUTED_VALUE"""),22)</f>
        <v>22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IFERROR(__xludf.DUMMYFUNCTION("""COMPUTED_VALUE"""),"Kent St.")</f>
        <v>Kent St.</v>
      </c>
      <c r="C203" s="1" t="str">
        <f ca="1">IFERROR(__xludf.DUMMYFUNCTION("""COMPUTED_VALUE"""),"MAC")</f>
        <v>MAC</v>
      </c>
      <c r="D203" s="1" t="str">
        <f ca="1">IFERROR(__xludf.DUMMYFUNCTION("""COMPUTED_VALUE"""),"16-16")</f>
        <v>16-16</v>
      </c>
      <c r="E203" s="1">
        <f ca="1">IFERROR(__xludf.DUMMYFUNCTION("""COMPUTED_VALUE"""),-2.11)</f>
        <v>-2.11</v>
      </c>
      <c r="F203" s="1">
        <f ca="1">IFERROR(__xludf.DUMMYFUNCTION("""COMPUTED_VALUE"""),104.1)</f>
        <v>104.1</v>
      </c>
      <c r="G203" s="1">
        <f ca="1">IFERROR(__xludf.DUMMYFUNCTION("""COMPUTED_VALUE"""),195)</f>
        <v>195</v>
      </c>
      <c r="H203" s="1">
        <f ca="1">IFERROR(__xludf.DUMMYFUNCTION("""COMPUTED_VALUE"""),106.2)</f>
        <v>106.2</v>
      </c>
      <c r="I203" s="1">
        <f ca="1">IFERROR(__xludf.DUMMYFUNCTION("""COMPUTED_VALUE"""),193)</f>
        <v>193</v>
      </c>
      <c r="J203" s="1">
        <f ca="1">IFERROR(__xludf.DUMMYFUNCTION("""COMPUTED_VALUE"""),64.7)</f>
        <v>64.7</v>
      </c>
      <c r="K203" s="1">
        <f ca="1">IFERROR(__xludf.DUMMYFUNCTION("""COMPUTED_VALUE"""),171)</f>
        <v>171</v>
      </c>
      <c r="L203" s="1">
        <f ca="1">IFERROR(__xludf.DUMMYFUNCTION("""COMPUTED_VALUE"""),-0.022)</f>
        <v>-2.1999999999999999E-2</v>
      </c>
      <c r="M203" s="1">
        <f ca="1">IFERROR(__xludf.DUMMYFUNCTION("""COMPUTED_VALUE"""),231)</f>
        <v>231</v>
      </c>
      <c r="N203" s="1">
        <f ca="1">IFERROR(__xludf.DUMMYFUNCTION("""COMPUTED_VALUE"""),-2.78)</f>
        <v>-2.78</v>
      </c>
      <c r="O203" s="1">
        <f ca="1">IFERROR(__xludf.DUMMYFUNCTION("""COMPUTED_VALUE"""),215)</f>
        <v>215</v>
      </c>
      <c r="P203" s="1">
        <f ca="1">IFERROR(__xludf.DUMMYFUNCTION("""COMPUTED_VALUE"""),102.3)</f>
        <v>102.3</v>
      </c>
      <c r="Q203" s="1">
        <f ca="1">IFERROR(__xludf.DUMMYFUNCTION("""COMPUTED_VALUE"""),289)</f>
        <v>289</v>
      </c>
      <c r="R203" s="1">
        <f ca="1">IFERROR(__xludf.DUMMYFUNCTION("""COMPUTED_VALUE"""),105)</f>
        <v>105</v>
      </c>
      <c r="S203" s="1">
        <f ca="1">IFERROR(__xludf.DUMMYFUNCTION("""COMPUTED_VALUE"""),157)</f>
        <v>157</v>
      </c>
      <c r="T203" s="1">
        <f ca="1">IFERROR(__xludf.DUMMYFUNCTION("""COMPUTED_VALUE"""),-4.36)</f>
        <v>-4.3600000000000003</v>
      </c>
      <c r="U203" s="1">
        <f ca="1">IFERROR(__xludf.DUMMYFUNCTION("""COMPUTED_VALUE"""),291)</f>
        <v>291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IFERROR(__xludf.DUMMYFUNCTION("""COMPUTED_VALUE"""),"Oakland")</f>
        <v>Oakland</v>
      </c>
      <c r="C204" s="1" t="str">
        <f ca="1">IFERROR(__xludf.DUMMYFUNCTION("""COMPUTED_VALUE"""),"Horz")</f>
        <v>Horz</v>
      </c>
      <c r="D204" s="1" t="str">
        <f ca="1">IFERROR(__xludf.DUMMYFUNCTION("""COMPUTED_VALUE"""),"13-20")</f>
        <v>13-20</v>
      </c>
      <c r="E204" s="1">
        <f ca="1">IFERROR(__xludf.DUMMYFUNCTION("""COMPUTED_VALUE"""),-2.16)</f>
        <v>-2.16</v>
      </c>
      <c r="F204" s="1">
        <f ca="1">IFERROR(__xludf.DUMMYFUNCTION("""COMPUTED_VALUE"""),109.9)</f>
        <v>109.9</v>
      </c>
      <c r="G204" s="1">
        <f ca="1">IFERROR(__xludf.DUMMYFUNCTION("""COMPUTED_VALUE"""),93)</f>
        <v>93</v>
      </c>
      <c r="H204" s="1">
        <f ca="1">IFERROR(__xludf.DUMMYFUNCTION("""COMPUTED_VALUE"""),112)</f>
        <v>112</v>
      </c>
      <c r="I204" s="1">
        <f ca="1">IFERROR(__xludf.DUMMYFUNCTION("""COMPUTED_VALUE"""),299)</f>
        <v>299</v>
      </c>
      <c r="J204" s="1">
        <f ca="1">IFERROR(__xludf.DUMMYFUNCTION("""COMPUTED_VALUE"""),67.1)</f>
        <v>67.099999999999994</v>
      </c>
      <c r="K204" s="1">
        <f ca="1">IFERROR(__xludf.DUMMYFUNCTION("""COMPUTED_VALUE"""),62)</f>
        <v>62</v>
      </c>
      <c r="L204" s="1" t="str">
        <f ca="1">IFERROR(__xludf.DUMMYFUNCTION("""COMPUTED_VALUE"""),"+.025")</f>
        <v>+.025</v>
      </c>
      <c r="M204" s="1">
        <f ca="1">IFERROR(__xludf.DUMMYFUNCTION("""COMPUTED_VALUE"""),122)</f>
        <v>122</v>
      </c>
      <c r="N204" s="1" t="str">
        <f ca="1">IFERROR(__xludf.DUMMYFUNCTION("""COMPUTED_VALUE"""),"+3.70")</f>
        <v>+3.70</v>
      </c>
      <c r="O204" s="1">
        <f ca="1">IFERROR(__xludf.DUMMYFUNCTION("""COMPUTED_VALUE"""),103)</f>
        <v>103</v>
      </c>
      <c r="P204" s="1">
        <f ca="1">IFERROR(__xludf.DUMMYFUNCTION("""COMPUTED_VALUE"""),105.8)</f>
        <v>105.8</v>
      </c>
      <c r="Q204" s="1">
        <f ca="1">IFERROR(__xludf.DUMMYFUNCTION("""COMPUTED_VALUE"""),118)</f>
        <v>118</v>
      </c>
      <c r="R204" s="1">
        <f ca="1">IFERROR(__xludf.DUMMYFUNCTION("""COMPUTED_VALUE"""),102.1)</f>
        <v>102.1</v>
      </c>
      <c r="S204" s="1">
        <f ca="1">IFERROR(__xludf.DUMMYFUNCTION("""COMPUTED_VALUE"""),71)</f>
        <v>71</v>
      </c>
      <c r="T204" s="1" t="str">
        <f ca="1">IFERROR(__xludf.DUMMYFUNCTION("""COMPUTED_VALUE"""),"+9.47")</f>
        <v>+9.47</v>
      </c>
      <c r="U204" s="1">
        <f ca="1">IFERROR(__xludf.DUMMYFUNCTION("""COMPUTED_VALUE"""),12)</f>
        <v>12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IFERROR(__xludf.DUMMYFUNCTION("""COMPUTED_VALUE"""),"Detroit")</f>
        <v>Detroit</v>
      </c>
      <c r="C205" s="1" t="str">
        <f ca="1">IFERROR(__xludf.DUMMYFUNCTION("""COMPUTED_VALUE"""),"Horz")</f>
        <v>Horz</v>
      </c>
      <c r="D205" s="1" t="str">
        <f ca="1">IFERROR(__xludf.DUMMYFUNCTION("""COMPUTED_VALUE"""),"13-19")</f>
        <v>13-19</v>
      </c>
      <c r="E205" s="1">
        <f ca="1">IFERROR(__xludf.DUMMYFUNCTION("""COMPUTED_VALUE"""),-2.23)</f>
        <v>-2.23</v>
      </c>
      <c r="F205" s="1">
        <f ca="1">IFERROR(__xludf.DUMMYFUNCTION("""COMPUTED_VALUE"""),101.4)</f>
        <v>101.4</v>
      </c>
      <c r="G205" s="1">
        <f ca="1">IFERROR(__xludf.DUMMYFUNCTION("""COMPUTED_VALUE"""),238)</f>
        <v>238</v>
      </c>
      <c r="H205" s="1">
        <f ca="1">IFERROR(__xludf.DUMMYFUNCTION("""COMPUTED_VALUE"""),103.6)</f>
        <v>103.6</v>
      </c>
      <c r="I205" s="1">
        <f ca="1">IFERROR(__xludf.DUMMYFUNCTION("""COMPUTED_VALUE"""),142)</f>
        <v>142</v>
      </c>
      <c r="J205" s="1">
        <f ca="1">IFERROR(__xludf.DUMMYFUNCTION("""COMPUTED_VALUE"""),66)</f>
        <v>66</v>
      </c>
      <c r="K205" s="1">
        <f ca="1">IFERROR(__xludf.DUMMYFUNCTION("""COMPUTED_VALUE"""),104)</f>
        <v>104</v>
      </c>
      <c r="L205" s="1">
        <f ca="1">IFERROR(__xludf.DUMMYFUNCTION("""COMPUTED_VALUE"""),-0.048)</f>
        <v>-4.8000000000000001E-2</v>
      </c>
      <c r="M205" s="1">
        <f ca="1">IFERROR(__xludf.DUMMYFUNCTION("""COMPUTED_VALUE"""),289)</f>
        <v>289</v>
      </c>
      <c r="N205" s="1" t="str">
        <f ca="1">IFERROR(__xludf.DUMMYFUNCTION("""COMPUTED_VALUE"""),"+0.88")</f>
        <v>+0.88</v>
      </c>
      <c r="O205" s="1">
        <f ca="1">IFERROR(__xludf.DUMMYFUNCTION("""COMPUTED_VALUE"""),127)</f>
        <v>127</v>
      </c>
      <c r="P205" s="1">
        <f ca="1">IFERROR(__xludf.DUMMYFUNCTION("""COMPUTED_VALUE"""),105.5)</f>
        <v>105.5</v>
      </c>
      <c r="Q205" s="1">
        <f ca="1">IFERROR(__xludf.DUMMYFUNCTION("""COMPUTED_VALUE"""),133)</f>
        <v>133</v>
      </c>
      <c r="R205" s="1">
        <f ca="1">IFERROR(__xludf.DUMMYFUNCTION("""COMPUTED_VALUE"""),104.6)</f>
        <v>104.6</v>
      </c>
      <c r="S205" s="1">
        <f ca="1">IFERROR(__xludf.DUMMYFUNCTION("""COMPUTED_VALUE"""),135)</f>
        <v>135</v>
      </c>
      <c r="T205" s="1" t="str">
        <f ca="1">IFERROR(__xludf.DUMMYFUNCTION("""COMPUTED_VALUE"""),"+1.00")</f>
        <v>+1.00</v>
      </c>
      <c r="U205" s="1">
        <f ca="1">IFERROR(__xludf.DUMMYFUNCTION("""COMPUTED_VALUE"""),129)</f>
        <v>129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IFERROR(__xludf.DUMMYFUNCTION("""COMPUTED_VALUE"""),"Bryant")</f>
        <v>Bryant</v>
      </c>
      <c r="C206" s="1" t="str">
        <f ca="1">IFERROR(__xludf.DUMMYFUNCTION("""COMPUTED_VALUE"""),"NEC")</f>
        <v>NEC</v>
      </c>
      <c r="D206" s="1" t="str">
        <f ca="1">IFERROR(__xludf.DUMMYFUNCTION("""COMPUTED_VALUE"""),"18-14")</f>
        <v>18-14</v>
      </c>
      <c r="E206" s="1">
        <f ca="1">IFERROR(__xludf.DUMMYFUNCTION("""COMPUTED_VALUE"""),-2.54)</f>
        <v>-2.54</v>
      </c>
      <c r="F206" s="1">
        <f ca="1">IFERROR(__xludf.DUMMYFUNCTION("""COMPUTED_VALUE"""),106)</f>
        <v>106</v>
      </c>
      <c r="G206" s="1">
        <f ca="1">IFERROR(__xludf.DUMMYFUNCTION("""COMPUTED_VALUE"""),161)</f>
        <v>161</v>
      </c>
      <c r="H206" s="1">
        <f ca="1">IFERROR(__xludf.DUMMYFUNCTION("""COMPUTED_VALUE"""),108.5)</f>
        <v>108.5</v>
      </c>
      <c r="I206" s="1">
        <f ca="1">IFERROR(__xludf.DUMMYFUNCTION("""COMPUTED_VALUE"""),239)</f>
        <v>239</v>
      </c>
      <c r="J206" s="1">
        <f ca="1">IFERROR(__xludf.DUMMYFUNCTION("""COMPUTED_VALUE"""),65.3)</f>
        <v>65.3</v>
      </c>
      <c r="K206" s="1">
        <f ca="1">IFERROR(__xludf.DUMMYFUNCTION("""COMPUTED_VALUE"""),141)</f>
        <v>141</v>
      </c>
      <c r="L206" s="1" t="str">
        <f ca="1">IFERROR(__xludf.DUMMYFUNCTION("""COMPUTED_VALUE"""),"+.029")</f>
        <v>+.029</v>
      </c>
      <c r="M206" s="1">
        <f ca="1">IFERROR(__xludf.DUMMYFUNCTION("""COMPUTED_VALUE"""),113)</f>
        <v>113</v>
      </c>
      <c r="N206" s="1">
        <f ca="1">IFERROR(__xludf.DUMMYFUNCTION("""COMPUTED_VALUE"""),-4.92)</f>
        <v>-4.92</v>
      </c>
      <c r="O206" s="1">
        <f ca="1">IFERROR(__xludf.DUMMYFUNCTION("""COMPUTED_VALUE"""),265)</f>
        <v>265</v>
      </c>
      <c r="P206" s="1">
        <f ca="1">IFERROR(__xludf.DUMMYFUNCTION("""COMPUTED_VALUE"""),102.2)</f>
        <v>102.2</v>
      </c>
      <c r="Q206" s="1">
        <f ca="1">IFERROR(__xludf.DUMMYFUNCTION("""COMPUTED_VALUE"""),291)</f>
        <v>291</v>
      </c>
      <c r="R206" s="1">
        <f ca="1">IFERROR(__xludf.DUMMYFUNCTION("""COMPUTED_VALUE"""),107.1)</f>
        <v>107.1</v>
      </c>
      <c r="S206" s="1">
        <f ca="1">IFERROR(__xludf.DUMMYFUNCTION("""COMPUTED_VALUE"""),251)</f>
        <v>251</v>
      </c>
      <c r="T206" s="1" t="str">
        <f ca="1">IFERROR(__xludf.DUMMYFUNCTION("""COMPUTED_VALUE"""),"+2.74")</f>
        <v>+2.74</v>
      </c>
      <c r="U206" s="1">
        <f ca="1">IFERROR(__xludf.DUMMYFUNCTION("""COMPUTED_VALUE"""),84)</f>
        <v>84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IFERROR(__xludf.DUMMYFUNCTION("""COMPUTED_VALUE"""),"Sam Houston St.")</f>
        <v>Sam Houston St.</v>
      </c>
      <c r="C207" s="1" t="str">
        <f ca="1">IFERROR(__xludf.DUMMYFUNCTION("""COMPUTED_VALUE"""),"Slnd")</f>
        <v>Slnd</v>
      </c>
      <c r="D207" s="1" t="str">
        <f ca="1">IFERROR(__xludf.DUMMYFUNCTION("""COMPUTED_VALUE"""),"24-11")</f>
        <v>24-11</v>
      </c>
      <c r="E207" s="1">
        <f ca="1">IFERROR(__xludf.DUMMYFUNCTION("""COMPUTED_VALUE"""),-2.57)</f>
        <v>-2.57</v>
      </c>
      <c r="F207" s="1">
        <f ca="1">IFERROR(__xludf.DUMMYFUNCTION("""COMPUTED_VALUE"""),105.8)</f>
        <v>105.8</v>
      </c>
      <c r="G207" s="1">
        <f ca="1">IFERROR(__xludf.DUMMYFUNCTION("""COMPUTED_VALUE"""),166)</f>
        <v>166</v>
      </c>
      <c r="H207" s="1">
        <f ca="1">IFERROR(__xludf.DUMMYFUNCTION("""COMPUTED_VALUE"""),108.4)</f>
        <v>108.4</v>
      </c>
      <c r="I207" s="1">
        <f ca="1">IFERROR(__xludf.DUMMYFUNCTION("""COMPUTED_VALUE"""),234)</f>
        <v>234</v>
      </c>
      <c r="J207" s="1">
        <f ca="1">IFERROR(__xludf.DUMMYFUNCTION("""COMPUTED_VALUE"""),64.5)</f>
        <v>64.5</v>
      </c>
      <c r="K207" s="1">
        <f ca="1">IFERROR(__xludf.DUMMYFUNCTION("""COMPUTED_VALUE"""),182)</f>
        <v>182</v>
      </c>
      <c r="L207" s="1" t="str">
        <f ca="1">IFERROR(__xludf.DUMMYFUNCTION("""COMPUTED_VALUE"""),"+.073")</f>
        <v>+.073</v>
      </c>
      <c r="M207" s="1">
        <f ca="1">IFERROR(__xludf.DUMMYFUNCTION("""COMPUTED_VALUE"""),32)</f>
        <v>32</v>
      </c>
      <c r="N207" s="1">
        <f ca="1">IFERROR(__xludf.DUMMYFUNCTION("""COMPUTED_VALUE"""),-8.37)</f>
        <v>-8.3699999999999992</v>
      </c>
      <c r="O207" s="1">
        <f ca="1">IFERROR(__xludf.DUMMYFUNCTION("""COMPUTED_VALUE"""),335)</f>
        <v>335</v>
      </c>
      <c r="P207" s="1">
        <f ca="1">IFERROR(__xludf.DUMMYFUNCTION("""COMPUTED_VALUE"""),101.3)</f>
        <v>101.3</v>
      </c>
      <c r="Q207" s="1">
        <f ca="1">IFERROR(__xludf.DUMMYFUNCTION("""COMPUTED_VALUE"""),320)</f>
        <v>320</v>
      </c>
      <c r="R207" s="1">
        <f ca="1">IFERROR(__xludf.DUMMYFUNCTION("""COMPUTED_VALUE"""),109.7)</f>
        <v>109.7</v>
      </c>
      <c r="S207" s="1">
        <f ca="1">IFERROR(__xludf.DUMMYFUNCTION("""COMPUTED_VALUE"""),331)</f>
        <v>331</v>
      </c>
      <c r="T207" s="1">
        <f ca="1">IFERROR(__xludf.DUMMYFUNCTION("""COMPUTED_VALUE"""),-4.04)</f>
        <v>-4.04</v>
      </c>
      <c r="U207" s="1">
        <f ca="1">IFERROR(__xludf.DUMMYFUNCTION("""COMPUTED_VALUE"""),284)</f>
        <v>284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IFERROR(__xludf.DUMMYFUNCTION("""COMPUTED_VALUE"""),"Southern")</f>
        <v>Southern</v>
      </c>
      <c r="C208" s="1" t="str">
        <f ca="1">IFERROR(__xludf.DUMMYFUNCTION("""COMPUTED_VALUE"""),"SWAC")</f>
        <v>SWAC</v>
      </c>
      <c r="D208" s="1" t="str">
        <f ca="1">IFERROR(__xludf.DUMMYFUNCTION("""COMPUTED_VALUE"""),"19-13")</f>
        <v>19-13</v>
      </c>
      <c r="E208" s="1">
        <f ca="1">IFERROR(__xludf.DUMMYFUNCTION("""COMPUTED_VALUE"""),-2.58)</f>
        <v>-2.58</v>
      </c>
      <c r="F208" s="1">
        <f ca="1">IFERROR(__xludf.DUMMYFUNCTION("""COMPUTED_VALUE"""),97.6)</f>
        <v>97.6</v>
      </c>
      <c r="G208" s="1">
        <f ca="1">IFERROR(__xludf.DUMMYFUNCTION("""COMPUTED_VALUE"""),297)</f>
        <v>297</v>
      </c>
      <c r="H208" s="1">
        <f ca="1">IFERROR(__xludf.DUMMYFUNCTION("""COMPUTED_VALUE"""),100.2)</f>
        <v>100.2</v>
      </c>
      <c r="I208" s="1">
        <f ca="1">IFERROR(__xludf.DUMMYFUNCTION("""COMPUTED_VALUE"""),83)</f>
        <v>83</v>
      </c>
      <c r="J208" s="1">
        <f ca="1">IFERROR(__xludf.DUMMYFUNCTION("""COMPUTED_VALUE"""),65.6)</f>
        <v>65.599999999999994</v>
      </c>
      <c r="K208" s="1">
        <f ca="1">IFERROR(__xludf.DUMMYFUNCTION("""COMPUTED_VALUE"""),122)</f>
        <v>122</v>
      </c>
      <c r="L208" s="1">
        <f ca="1">IFERROR(__xludf.DUMMYFUNCTION("""COMPUTED_VALUE"""),-0.035)</f>
        <v>-3.5000000000000003E-2</v>
      </c>
      <c r="M208" s="1">
        <f ca="1">IFERROR(__xludf.DUMMYFUNCTION("""COMPUTED_VALUE"""),256)</f>
        <v>256</v>
      </c>
      <c r="N208" s="1">
        <f ca="1">IFERROR(__xludf.DUMMYFUNCTION("""COMPUTED_VALUE"""),-9.63)</f>
        <v>-9.6300000000000008</v>
      </c>
      <c r="O208" s="1">
        <f ca="1">IFERROR(__xludf.DUMMYFUNCTION("""COMPUTED_VALUE"""),346)</f>
        <v>346</v>
      </c>
      <c r="P208" s="1">
        <f ca="1">IFERROR(__xludf.DUMMYFUNCTION("""COMPUTED_VALUE"""),99.2)</f>
        <v>99.2</v>
      </c>
      <c r="Q208" s="1">
        <f ca="1">IFERROR(__xludf.DUMMYFUNCTION("""COMPUTED_VALUE"""),345)</f>
        <v>345</v>
      </c>
      <c r="R208" s="1">
        <f ca="1">IFERROR(__xludf.DUMMYFUNCTION("""COMPUTED_VALUE"""),108.8)</f>
        <v>108.8</v>
      </c>
      <c r="S208" s="1">
        <f ca="1">IFERROR(__xludf.DUMMYFUNCTION("""COMPUTED_VALUE"""),304)</f>
        <v>304</v>
      </c>
      <c r="T208" s="1" t="str">
        <f ca="1">IFERROR(__xludf.DUMMYFUNCTION("""COMPUTED_VALUE"""),"+12.66")</f>
        <v>+12.66</v>
      </c>
      <c r="U208" s="1">
        <f ca="1">IFERROR(__xludf.DUMMYFUNCTION("""COMPUTED_VALUE"""),5)</f>
        <v>5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IFERROR(__xludf.DUMMYFUNCTION("""COMPUTED_VALUE"""),"St. Francis NY")</f>
        <v>St. Francis NY</v>
      </c>
      <c r="C209" s="1" t="str">
        <f ca="1">IFERROR(__xludf.DUMMYFUNCTION("""COMPUTED_VALUE"""),"NEC")</f>
        <v>NEC</v>
      </c>
      <c r="D209" s="1" t="str">
        <f ca="1">IFERROR(__xludf.DUMMYFUNCTION("""COMPUTED_VALUE"""),"18-14")</f>
        <v>18-14</v>
      </c>
      <c r="E209" s="1">
        <f ca="1">IFERROR(__xludf.DUMMYFUNCTION("""COMPUTED_VALUE"""),-2.65)</f>
        <v>-2.65</v>
      </c>
      <c r="F209" s="1">
        <f ca="1">IFERROR(__xludf.DUMMYFUNCTION("""COMPUTED_VALUE"""),98.9)</f>
        <v>98.9</v>
      </c>
      <c r="G209" s="1">
        <f ca="1">IFERROR(__xludf.DUMMYFUNCTION("""COMPUTED_VALUE"""),278)</f>
        <v>278</v>
      </c>
      <c r="H209" s="1">
        <f ca="1">IFERROR(__xludf.DUMMYFUNCTION("""COMPUTED_VALUE"""),101.5)</f>
        <v>101.5</v>
      </c>
      <c r="I209" s="1">
        <f ca="1">IFERROR(__xludf.DUMMYFUNCTION("""COMPUTED_VALUE"""),107)</f>
        <v>107</v>
      </c>
      <c r="J209" s="1">
        <f ca="1">IFERROR(__xludf.DUMMYFUNCTION("""COMPUTED_VALUE"""),65)</f>
        <v>65</v>
      </c>
      <c r="K209" s="1">
        <f ca="1">IFERROR(__xludf.DUMMYFUNCTION("""COMPUTED_VALUE"""),158)</f>
        <v>158</v>
      </c>
      <c r="L209" s="1" t="str">
        <f ca="1">IFERROR(__xludf.DUMMYFUNCTION("""COMPUTED_VALUE"""),"+.006")</f>
        <v>+.006</v>
      </c>
      <c r="M209" s="1">
        <f ca="1">IFERROR(__xludf.DUMMYFUNCTION("""COMPUTED_VALUE"""),169)</f>
        <v>169</v>
      </c>
      <c r="N209" s="1">
        <f ca="1">IFERROR(__xludf.DUMMYFUNCTION("""COMPUTED_VALUE"""),-5.57)</f>
        <v>-5.57</v>
      </c>
      <c r="O209" s="1">
        <f ca="1">IFERROR(__xludf.DUMMYFUNCTION("""COMPUTED_VALUE"""),278)</f>
        <v>278</v>
      </c>
      <c r="P209" s="1">
        <f ca="1">IFERROR(__xludf.DUMMYFUNCTION("""COMPUTED_VALUE"""),103.4)</f>
        <v>103.4</v>
      </c>
      <c r="Q209" s="1">
        <f ca="1">IFERROR(__xludf.DUMMYFUNCTION("""COMPUTED_VALUE"""),227)</f>
        <v>227</v>
      </c>
      <c r="R209" s="1">
        <f ca="1">IFERROR(__xludf.DUMMYFUNCTION("""COMPUTED_VALUE"""),109)</f>
        <v>109</v>
      </c>
      <c r="S209" s="1">
        <f ca="1">IFERROR(__xludf.DUMMYFUNCTION("""COMPUTED_VALUE"""),313)</f>
        <v>313</v>
      </c>
      <c r="T209" s="1" t="str">
        <f ca="1">IFERROR(__xludf.DUMMYFUNCTION("""COMPUTED_VALUE"""),"+0.23")</f>
        <v>+0.23</v>
      </c>
      <c r="U209" s="1">
        <f ca="1">IFERROR(__xludf.DUMMYFUNCTION("""COMPUTED_VALUE"""),154)</f>
        <v>154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IFERROR(__xludf.DUMMYFUNCTION("""COMPUTED_VALUE"""),"College of Charleston")</f>
        <v>College of Charleston</v>
      </c>
      <c r="C210" s="1" t="str">
        <f ca="1">IFERROR(__xludf.DUMMYFUNCTION("""COMPUTED_VALUE"""),"CAA")</f>
        <v>CAA</v>
      </c>
      <c r="D210" s="1" t="str">
        <f ca="1">IFERROR(__xludf.DUMMYFUNCTION("""COMPUTED_VALUE"""),"14-18")</f>
        <v>14-18</v>
      </c>
      <c r="E210" s="1">
        <f ca="1">IFERROR(__xludf.DUMMYFUNCTION("""COMPUTED_VALUE"""),-2.83)</f>
        <v>-2.83</v>
      </c>
      <c r="F210" s="1">
        <f ca="1">IFERROR(__xludf.DUMMYFUNCTION("""COMPUTED_VALUE"""),98.1)</f>
        <v>98.1</v>
      </c>
      <c r="G210" s="1">
        <f ca="1">IFERROR(__xludf.DUMMYFUNCTION("""COMPUTED_VALUE"""),292)</f>
        <v>292</v>
      </c>
      <c r="H210" s="1">
        <f ca="1">IFERROR(__xludf.DUMMYFUNCTION("""COMPUTED_VALUE"""),100.9)</f>
        <v>100.9</v>
      </c>
      <c r="I210" s="1">
        <f ca="1">IFERROR(__xludf.DUMMYFUNCTION("""COMPUTED_VALUE"""),97)</f>
        <v>97</v>
      </c>
      <c r="J210" s="1">
        <f ca="1">IFERROR(__xludf.DUMMYFUNCTION("""COMPUTED_VALUE"""),60.7)</f>
        <v>60.7</v>
      </c>
      <c r="K210" s="1">
        <f ca="1">IFERROR(__xludf.DUMMYFUNCTION("""COMPUTED_VALUE"""),333)</f>
        <v>333</v>
      </c>
      <c r="L210" s="1">
        <f ca="1">IFERROR(__xludf.DUMMYFUNCTION("""COMPUTED_VALUE"""),-0.067)</f>
        <v>-6.7000000000000004E-2</v>
      </c>
      <c r="M210" s="1">
        <f ca="1">IFERROR(__xludf.DUMMYFUNCTION("""COMPUTED_VALUE"""),323)</f>
        <v>323</v>
      </c>
      <c r="N210" s="1">
        <f ca="1">IFERROR(__xludf.DUMMYFUNCTION("""COMPUTED_VALUE"""),-2.86)</f>
        <v>-2.86</v>
      </c>
      <c r="O210" s="1">
        <f ca="1">IFERROR(__xludf.DUMMYFUNCTION("""COMPUTED_VALUE"""),217)</f>
        <v>217</v>
      </c>
      <c r="P210" s="1">
        <f ca="1">IFERROR(__xludf.DUMMYFUNCTION("""COMPUTED_VALUE"""),104.1)</f>
        <v>104.1</v>
      </c>
      <c r="Q210" s="1">
        <f ca="1">IFERROR(__xludf.DUMMYFUNCTION("""COMPUTED_VALUE"""),185)</f>
        <v>185</v>
      </c>
      <c r="R210" s="1">
        <f ca="1">IFERROR(__xludf.DUMMYFUNCTION("""COMPUTED_VALUE"""),107)</f>
        <v>107</v>
      </c>
      <c r="S210" s="1">
        <f ca="1">IFERROR(__xludf.DUMMYFUNCTION("""COMPUTED_VALUE"""),240)</f>
        <v>240</v>
      </c>
      <c r="T210" s="1">
        <f ca="1">IFERROR(__xludf.DUMMYFUNCTION("""COMPUTED_VALUE"""),-3.27)</f>
        <v>-3.27</v>
      </c>
      <c r="U210" s="1">
        <f ca="1">IFERROR(__xludf.DUMMYFUNCTION("""COMPUTED_VALUE"""),263)</f>
        <v>263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IFERROR(__xludf.DUMMYFUNCTION("""COMPUTED_VALUE"""),"Fordham")</f>
        <v>Fordham</v>
      </c>
      <c r="C213" s="1" t="str">
        <f ca="1">IFERROR(__xludf.DUMMYFUNCTION("""COMPUTED_VALUE"""),"A10")</f>
        <v>A10</v>
      </c>
      <c r="D213" s="2">
        <f ca="1">IFERROR(__xludf.DUMMYFUNCTION("""COMPUTED_VALUE"""),44855)</f>
        <v>44855</v>
      </c>
      <c r="E213" s="1">
        <f ca="1">IFERROR(__xludf.DUMMYFUNCTION("""COMPUTED_VALUE"""),-2.86)</f>
        <v>-2.86</v>
      </c>
      <c r="F213" s="1">
        <f ca="1">IFERROR(__xludf.DUMMYFUNCTION("""COMPUTED_VALUE"""),108.8)</f>
        <v>108.8</v>
      </c>
      <c r="G213" s="1">
        <f ca="1">IFERROR(__xludf.DUMMYFUNCTION("""COMPUTED_VALUE"""),109)</f>
        <v>109</v>
      </c>
      <c r="H213" s="1">
        <f ca="1">IFERROR(__xludf.DUMMYFUNCTION("""COMPUTED_VALUE"""),111.7)</f>
        <v>111.7</v>
      </c>
      <c r="I213" s="1">
        <f ca="1">IFERROR(__xludf.DUMMYFUNCTION("""COMPUTED_VALUE"""),291)</f>
        <v>291</v>
      </c>
      <c r="J213" s="1">
        <f ca="1">IFERROR(__xludf.DUMMYFUNCTION("""COMPUTED_VALUE"""),67.5)</f>
        <v>67.5</v>
      </c>
      <c r="K213" s="1">
        <f ca="1">IFERROR(__xludf.DUMMYFUNCTION("""COMPUTED_VALUE"""),55)</f>
        <v>55</v>
      </c>
      <c r="L213" s="1">
        <f ca="1">IFERROR(__xludf.DUMMYFUNCTION("""COMPUTED_VALUE"""),-0.035)</f>
        <v>-3.5000000000000003E-2</v>
      </c>
      <c r="M213" s="1">
        <f ca="1">IFERROR(__xludf.DUMMYFUNCTION("""COMPUTED_VALUE"""),257)</f>
        <v>257</v>
      </c>
      <c r="N213" s="1" t="str">
        <f ca="1">IFERROR(__xludf.DUMMYFUNCTION("""COMPUTED_VALUE"""),"+5.09")</f>
        <v>+5.09</v>
      </c>
      <c r="O213" s="1">
        <f ca="1">IFERROR(__xludf.DUMMYFUNCTION("""COMPUTED_VALUE"""),81)</f>
        <v>81</v>
      </c>
      <c r="P213" s="1">
        <f ca="1">IFERROR(__xludf.DUMMYFUNCTION("""COMPUTED_VALUE"""),105.9)</f>
        <v>105.9</v>
      </c>
      <c r="Q213" s="1">
        <f ca="1">IFERROR(__xludf.DUMMYFUNCTION("""COMPUTED_VALUE"""),116)</f>
        <v>116</v>
      </c>
      <c r="R213" s="1">
        <f ca="1">IFERROR(__xludf.DUMMYFUNCTION("""COMPUTED_VALUE"""),100.8)</f>
        <v>100.8</v>
      </c>
      <c r="S213" s="1">
        <f ca="1">IFERROR(__xludf.DUMMYFUNCTION("""COMPUTED_VALUE"""),31)</f>
        <v>31</v>
      </c>
      <c r="T213" s="1">
        <f ca="1">IFERROR(__xludf.DUMMYFUNCTION("""COMPUTED_VALUE"""),-3.67)</f>
        <v>-3.67</v>
      </c>
      <c r="U213" s="1">
        <f ca="1">IFERROR(__xludf.DUMMYFUNCTION("""COMPUTED_VALUE"""),276)</f>
        <v>276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IFERROR(__xludf.DUMMYFUNCTION("""COMPUTED_VALUE"""),"Elon")</f>
        <v>Elon</v>
      </c>
      <c r="C214" s="1" t="str">
        <f ca="1">IFERROR(__xludf.DUMMYFUNCTION("""COMPUTED_VALUE"""),"SC")</f>
        <v>SC</v>
      </c>
      <c r="D214" s="1" t="str">
        <f ca="1">IFERROR(__xludf.DUMMYFUNCTION("""COMPUTED_VALUE"""),"18-14")</f>
        <v>18-14</v>
      </c>
      <c r="E214" s="1">
        <f ca="1">IFERROR(__xludf.DUMMYFUNCTION("""COMPUTED_VALUE"""),-2.95)</f>
        <v>-2.95</v>
      </c>
      <c r="F214" s="1">
        <f ca="1">IFERROR(__xludf.DUMMYFUNCTION("""COMPUTED_VALUE"""),104.6)</f>
        <v>104.6</v>
      </c>
      <c r="G214" s="1">
        <f ca="1">IFERROR(__xludf.DUMMYFUNCTION("""COMPUTED_VALUE"""),189)</f>
        <v>189</v>
      </c>
      <c r="H214" s="1">
        <f ca="1">IFERROR(__xludf.DUMMYFUNCTION("""COMPUTED_VALUE"""),107.5)</f>
        <v>107.5</v>
      </c>
      <c r="I214" s="1">
        <f ca="1">IFERROR(__xludf.DUMMYFUNCTION("""COMPUTED_VALUE"""),222)</f>
        <v>222</v>
      </c>
      <c r="J214" s="1">
        <f ca="1">IFERROR(__xludf.DUMMYFUNCTION("""COMPUTED_VALUE"""),64.4)</f>
        <v>64.400000000000006</v>
      </c>
      <c r="K214" s="1">
        <f ca="1">IFERROR(__xludf.DUMMYFUNCTION("""COMPUTED_VALUE"""),189)</f>
        <v>189</v>
      </c>
      <c r="L214" s="1" t="str">
        <f ca="1">IFERROR(__xludf.DUMMYFUNCTION("""COMPUTED_VALUE"""),"+.033")</f>
        <v>+.033</v>
      </c>
      <c r="M214" s="1">
        <f ca="1">IFERROR(__xludf.DUMMYFUNCTION("""COMPUTED_VALUE"""),102)</f>
        <v>102</v>
      </c>
      <c r="N214" s="1">
        <f ca="1">IFERROR(__xludf.DUMMYFUNCTION("""COMPUTED_VALUE"""),-4.75)</f>
        <v>-4.75</v>
      </c>
      <c r="O214" s="1">
        <f ca="1">IFERROR(__xludf.DUMMYFUNCTION("""COMPUTED_VALUE"""),258)</f>
        <v>258</v>
      </c>
      <c r="P214" s="1">
        <f ca="1">IFERROR(__xludf.DUMMYFUNCTION("""COMPUTED_VALUE"""),103.4)</f>
        <v>103.4</v>
      </c>
      <c r="Q214" s="1">
        <f ca="1">IFERROR(__xludf.DUMMYFUNCTION("""COMPUTED_VALUE"""),226)</f>
        <v>226</v>
      </c>
      <c r="R214" s="1">
        <f ca="1">IFERROR(__xludf.DUMMYFUNCTION("""COMPUTED_VALUE"""),108.2)</f>
        <v>108.2</v>
      </c>
      <c r="S214" s="1">
        <f ca="1">IFERROR(__xludf.DUMMYFUNCTION("""COMPUTED_VALUE"""),283)</f>
        <v>283</v>
      </c>
      <c r="T214" s="1" t="str">
        <f ca="1">IFERROR(__xludf.DUMMYFUNCTION("""COMPUTED_VALUE"""),"+5.35")</f>
        <v>+5.35</v>
      </c>
      <c r="U214" s="1">
        <f ca="1">IFERROR(__xludf.DUMMYFUNCTION("""COMPUTED_VALUE"""),42)</f>
        <v>42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IFERROR(__xludf.DUMMYFUNCTION("""COMPUTED_VALUE"""),"Northeastern")</f>
        <v>Northeastern</v>
      </c>
      <c r="C215" s="1" t="str">
        <f ca="1">IFERROR(__xludf.DUMMYFUNCTION("""COMPUTED_VALUE"""),"CAA")</f>
        <v>CAA</v>
      </c>
      <c r="D215" s="2">
        <f ca="1">IFERROR(__xludf.DUMMYFUNCTION("""COMPUTED_VALUE"""),44886)</f>
        <v>44886</v>
      </c>
      <c r="E215" s="1">
        <f ca="1">IFERROR(__xludf.DUMMYFUNCTION("""COMPUTED_VALUE"""),-3.16)</f>
        <v>-3.16</v>
      </c>
      <c r="F215" s="1">
        <f ca="1">IFERROR(__xludf.DUMMYFUNCTION("""COMPUTED_VALUE"""),101.4)</f>
        <v>101.4</v>
      </c>
      <c r="G215" s="1">
        <f ca="1">IFERROR(__xludf.DUMMYFUNCTION("""COMPUTED_VALUE"""),237)</f>
        <v>237</v>
      </c>
      <c r="H215" s="1">
        <f ca="1">IFERROR(__xludf.DUMMYFUNCTION("""COMPUTED_VALUE"""),104.5)</f>
        <v>104.5</v>
      </c>
      <c r="I215" s="1">
        <f ca="1">IFERROR(__xludf.DUMMYFUNCTION("""COMPUTED_VALUE"""),162)</f>
        <v>162</v>
      </c>
      <c r="J215" s="1">
        <f ca="1">IFERROR(__xludf.DUMMYFUNCTION("""COMPUTED_VALUE"""),63.2)</f>
        <v>63.2</v>
      </c>
      <c r="K215" s="1">
        <f ca="1">IFERROR(__xludf.DUMMYFUNCTION("""COMPUTED_VALUE"""),253)</f>
        <v>253</v>
      </c>
      <c r="L215" s="1">
        <f ca="1">IFERROR(__xludf.DUMMYFUNCTION("""COMPUTED_VALUE"""),-0.047)</f>
        <v>-4.7E-2</v>
      </c>
      <c r="M215" s="1">
        <f ca="1">IFERROR(__xludf.DUMMYFUNCTION("""COMPUTED_VALUE"""),286)</f>
        <v>286</v>
      </c>
      <c r="N215" s="1" t="str">
        <f ca="1">IFERROR(__xludf.DUMMYFUNCTION("""COMPUTED_VALUE"""),"+0.26")</f>
        <v>+0.26</v>
      </c>
      <c r="O215" s="1">
        <f ca="1">IFERROR(__xludf.DUMMYFUNCTION("""COMPUTED_VALUE"""),144)</f>
        <v>144</v>
      </c>
      <c r="P215" s="1">
        <f ca="1">IFERROR(__xludf.DUMMYFUNCTION("""COMPUTED_VALUE"""),104.9)</f>
        <v>104.9</v>
      </c>
      <c r="Q215" s="1">
        <f ca="1">IFERROR(__xludf.DUMMYFUNCTION("""COMPUTED_VALUE"""),151)</f>
        <v>151</v>
      </c>
      <c r="R215" s="1">
        <f ca="1">IFERROR(__xludf.DUMMYFUNCTION("""COMPUTED_VALUE"""),104.7)</f>
        <v>104.7</v>
      </c>
      <c r="S215" s="1">
        <f ca="1">IFERROR(__xludf.DUMMYFUNCTION("""COMPUTED_VALUE"""),140)</f>
        <v>140</v>
      </c>
      <c r="T215" s="1" t="str">
        <f ca="1">IFERROR(__xludf.DUMMYFUNCTION("""COMPUTED_VALUE"""),"+3.13")</f>
        <v>+3.13</v>
      </c>
      <c r="U215" s="1">
        <f ca="1">IFERROR(__xludf.DUMMYFUNCTION("""COMPUTED_VALUE"""),74)</f>
        <v>74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IFERROR(__xludf.DUMMYFUNCTION("""COMPUTED_VALUE"""),"Utah Valley7")</f>
        <v>Utah Valley7</v>
      </c>
      <c r="C216" s="1" t="str">
        <f ca="1">IFERROR(__xludf.DUMMYFUNCTION("""COMPUTED_VALUE"""),"WAC")</f>
        <v>WAC</v>
      </c>
      <c r="D216" s="1" t="str">
        <f ca="1">IFERROR(__xludf.DUMMYFUNCTION("""COMPUTED_VALUE"""),"20-12")</f>
        <v>20-12</v>
      </c>
      <c r="E216" s="1">
        <f ca="1">IFERROR(__xludf.DUMMYFUNCTION("""COMPUTED_VALUE"""),-3.19)</f>
        <v>-3.19</v>
      </c>
      <c r="F216" s="1">
        <f ca="1">IFERROR(__xludf.DUMMYFUNCTION("""COMPUTED_VALUE"""),102.8)</f>
        <v>102.8</v>
      </c>
      <c r="G216" s="1">
        <f ca="1">IFERROR(__xludf.DUMMYFUNCTION("""COMPUTED_VALUE"""),218)</f>
        <v>218</v>
      </c>
      <c r="H216" s="1">
        <f ca="1">IFERROR(__xludf.DUMMYFUNCTION("""COMPUTED_VALUE"""),106)</f>
        <v>106</v>
      </c>
      <c r="I216" s="1">
        <f ca="1">IFERROR(__xludf.DUMMYFUNCTION("""COMPUTED_VALUE"""),189)</f>
        <v>189</v>
      </c>
      <c r="J216" s="1">
        <f ca="1">IFERROR(__xludf.DUMMYFUNCTION("""COMPUTED_VALUE"""),61.1)</f>
        <v>61.1</v>
      </c>
      <c r="K216" s="1">
        <f ca="1">IFERROR(__xludf.DUMMYFUNCTION("""COMPUTED_VALUE"""),329)</f>
        <v>329</v>
      </c>
      <c r="L216" s="1" t="str">
        <f ca="1">IFERROR(__xludf.DUMMYFUNCTION("""COMPUTED_VALUE"""),"+.121")</f>
        <v>+.121</v>
      </c>
      <c r="M216" s="1">
        <f ca="1">IFERROR(__xludf.DUMMYFUNCTION("""COMPUTED_VALUE"""),2)</f>
        <v>2</v>
      </c>
      <c r="N216" s="1">
        <f ca="1">IFERROR(__xludf.DUMMYFUNCTION("""COMPUTED_VALUE"""),-4.5)</f>
        <v>-4.5</v>
      </c>
      <c r="O216" s="1">
        <f ca="1">IFERROR(__xludf.DUMMYFUNCTION("""COMPUTED_VALUE"""),250)</f>
        <v>250</v>
      </c>
      <c r="P216" s="1">
        <f ca="1">IFERROR(__xludf.DUMMYFUNCTION("""COMPUTED_VALUE"""),103.1)</f>
        <v>103.1</v>
      </c>
      <c r="Q216" s="1">
        <f ca="1">IFERROR(__xludf.DUMMYFUNCTION("""COMPUTED_VALUE"""),252)</f>
        <v>252</v>
      </c>
      <c r="R216" s="1">
        <f ca="1">IFERROR(__xludf.DUMMYFUNCTION("""COMPUTED_VALUE"""),107.6)</f>
        <v>107.6</v>
      </c>
      <c r="S216" s="1">
        <f ca="1">IFERROR(__xludf.DUMMYFUNCTION("""COMPUTED_VALUE"""),265)</f>
        <v>265</v>
      </c>
      <c r="T216" s="1">
        <f ca="1">IFERROR(__xludf.DUMMYFUNCTION("""COMPUTED_VALUE"""),-0.78)</f>
        <v>-0.78</v>
      </c>
      <c r="U216" s="1">
        <f ca="1">IFERROR(__xludf.DUMMYFUNCTION("""COMPUTED_VALUE"""),185)</f>
        <v>185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IFERROR(__xludf.DUMMYFUNCTION("""COMPUTED_VALUE"""),"Mississippi St.")</f>
        <v>Mississippi St.</v>
      </c>
      <c r="C217" s="1" t="str">
        <f ca="1">IFERROR(__xludf.DUMMYFUNCTION("""COMPUTED_VALUE"""),"SEC")</f>
        <v>SEC</v>
      </c>
      <c r="D217" s="1" t="str">
        <f ca="1">IFERROR(__xludf.DUMMYFUNCTION("""COMPUTED_VALUE"""),"14-19")</f>
        <v>14-19</v>
      </c>
      <c r="E217" s="1">
        <f ca="1">IFERROR(__xludf.DUMMYFUNCTION("""COMPUTED_VALUE"""),-3.35)</f>
        <v>-3.35</v>
      </c>
      <c r="F217" s="1">
        <f ca="1">IFERROR(__xludf.DUMMYFUNCTION("""COMPUTED_VALUE"""),100.3)</f>
        <v>100.3</v>
      </c>
      <c r="G217" s="1">
        <f ca="1">IFERROR(__xludf.DUMMYFUNCTION("""COMPUTED_VALUE"""),262)</f>
        <v>262</v>
      </c>
      <c r="H217" s="1">
        <f ca="1">IFERROR(__xludf.DUMMYFUNCTION("""COMPUTED_VALUE"""),103.6)</f>
        <v>103.6</v>
      </c>
      <c r="I217" s="1">
        <f ca="1">IFERROR(__xludf.DUMMYFUNCTION("""COMPUTED_VALUE"""),143)</f>
        <v>143</v>
      </c>
      <c r="J217" s="1">
        <f ca="1">IFERROR(__xludf.DUMMYFUNCTION("""COMPUTED_VALUE"""),66.8)</f>
        <v>66.8</v>
      </c>
      <c r="K217" s="1">
        <f ca="1">IFERROR(__xludf.DUMMYFUNCTION("""COMPUTED_VALUE"""),69)</f>
        <v>69</v>
      </c>
      <c r="L217" s="1" t="str">
        <f ca="1">IFERROR(__xludf.DUMMYFUNCTION("""COMPUTED_VALUE"""),"+.032")</f>
        <v>+.032</v>
      </c>
      <c r="M217" s="1">
        <f ca="1">IFERROR(__xludf.DUMMYFUNCTION("""COMPUTED_VALUE"""),104)</f>
        <v>104</v>
      </c>
      <c r="N217" s="1" t="str">
        <f ca="1">IFERROR(__xludf.DUMMYFUNCTION("""COMPUTED_VALUE"""),"+1.92")</f>
        <v>+1.92</v>
      </c>
      <c r="O217" s="1">
        <f ca="1">IFERROR(__xludf.DUMMYFUNCTION("""COMPUTED_VALUE"""),115)</f>
        <v>115</v>
      </c>
      <c r="P217" s="1">
        <f ca="1">IFERROR(__xludf.DUMMYFUNCTION("""COMPUTED_VALUE"""),105.3)</f>
        <v>105.3</v>
      </c>
      <c r="Q217" s="1">
        <f ca="1">IFERROR(__xludf.DUMMYFUNCTION("""COMPUTED_VALUE"""),145)</f>
        <v>145</v>
      </c>
      <c r="R217" s="1">
        <f ca="1">IFERROR(__xludf.DUMMYFUNCTION("""COMPUTED_VALUE"""),103.3)</f>
        <v>103.3</v>
      </c>
      <c r="S217" s="1">
        <f ca="1">IFERROR(__xludf.DUMMYFUNCTION("""COMPUTED_VALUE"""),100)</f>
        <v>100</v>
      </c>
      <c r="T217" s="1">
        <f ca="1">IFERROR(__xludf.DUMMYFUNCTION("""COMPUTED_VALUE"""),-14.41)</f>
        <v>-14.41</v>
      </c>
      <c r="U217" s="1">
        <f ca="1">IFERROR(__xludf.DUMMYFUNCTION("""COMPUTED_VALUE"""),351)</f>
        <v>351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IFERROR(__xludf.DUMMYFUNCTION("""COMPUTED_VALUE"""),"Marist")</f>
        <v>Marist</v>
      </c>
      <c r="C218" s="1" t="str">
        <f ca="1">IFERROR(__xludf.DUMMYFUNCTION("""COMPUTED_VALUE"""),"MAAC")</f>
        <v>MAAC</v>
      </c>
      <c r="D218" s="2">
        <f ca="1">IFERROR(__xludf.DUMMYFUNCTION("""COMPUTED_VALUE"""),44914)</f>
        <v>44914</v>
      </c>
      <c r="E218" s="1">
        <f ca="1">IFERROR(__xludf.DUMMYFUNCTION("""COMPUTED_VALUE"""),-3.87)</f>
        <v>-3.87</v>
      </c>
      <c r="F218" s="1">
        <f ca="1">IFERROR(__xludf.DUMMYFUNCTION("""COMPUTED_VALUE"""),101.6)</f>
        <v>101.6</v>
      </c>
      <c r="G218" s="1">
        <f ca="1">IFERROR(__xludf.DUMMYFUNCTION("""COMPUTED_VALUE"""),235)</f>
        <v>235</v>
      </c>
      <c r="H218" s="1">
        <f ca="1">IFERROR(__xludf.DUMMYFUNCTION("""COMPUTED_VALUE"""),105.5)</f>
        <v>105.5</v>
      </c>
      <c r="I218" s="1">
        <f ca="1">IFERROR(__xludf.DUMMYFUNCTION("""COMPUTED_VALUE"""),176)</f>
        <v>176</v>
      </c>
      <c r="J218" s="1">
        <f ca="1">IFERROR(__xludf.DUMMYFUNCTION("""COMPUTED_VALUE"""),64.4)</f>
        <v>64.400000000000006</v>
      </c>
      <c r="K218" s="1">
        <f ca="1">IFERROR(__xludf.DUMMYFUNCTION("""COMPUTED_VALUE"""),192)</f>
        <v>192</v>
      </c>
      <c r="L218" s="1">
        <f ca="1">IFERROR(__xludf.DUMMYFUNCTION("""COMPUTED_VALUE"""),-0.021)</f>
        <v>-2.1000000000000001E-2</v>
      </c>
      <c r="M218" s="1">
        <f ca="1">IFERROR(__xludf.DUMMYFUNCTION("""COMPUTED_VALUE"""),228)</f>
        <v>228</v>
      </c>
      <c r="N218" s="1">
        <f ca="1">IFERROR(__xludf.DUMMYFUNCTION("""COMPUTED_VALUE"""),-0.98)</f>
        <v>-0.98</v>
      </c>
      <c r="O218" s="1">
        <f ca="1">IFERROR(__xludf.DUMMYFUNCTION("""COMPUTED_VALUE"""),167)</f>
        <v>167</v>
      </c>
      <c r="P218" s="1">
        <f ca="1">IFERROR(__xludf.DUMMYFUNCTION("""COMPUTED_VALUE"""),104.6)</f>
        <v>104.6</v>
      </c>
      <c r="Q218" s="1">
        <f ca="1">IFERROR(__xludf.DUMMYFUNCTION("""COMPUTED_VALUE"""),165)</f>
        <v>165</v>
      </c>
      <c r="R218" s="1">
        <f ca="1">IFERROR(__xludf.DUMMYFUNCTION("""COMPUTED_VALUE"""),105.6)</f>
        <v>105.6</v>
      </c>
      <c r="S218" s="1">
        <f ca="1">IFERROR(__xludf.DUMMYFUNCTION("""COMPUTED_VALUE"""),182)</f>
        <v>182</v>
      </c>
      <c r="T218" s="1" t="str">
        <f ca="1">IFERROR(__xludf.DUMMYFUNCTION("""COMPUTED_VALUE"""),"+1.81")</f>
        <v>+1.81</v>
      </c>
      <c r="U218" s="1">
        <f ca="1">IFERROR(__xludf.DUMMYFUNCTION("""COMPUTED_VALUE"""),107)</f>
        <v>107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IFERROR(__xludf.DUMMYFUNCTION("""COMPUTED_VALUE"""),"Bowling Green")</f>
        <v>Bowling Green</v>
      </c>
      <c r="C219" s="1" t="str">
        <f ca="1">IFERROR(__xludf.DUMMYFUNCTION("""COMPUTED_VALUE"""),"MAC")</f>
        <v>MAC</v>
      </c>
      <c r="D219" s="2">
        <f ca="1">IFERROR(__xludf.DUMMYFUNCTION("""COMPUTED_VALUE"""),44915)</f>
        <v>44915</v>
      </c>
      <c r="E219" s="1">
        <f ca="1">IFERROR(__xludf.DUMMYFUNCTION("""COMPUTED_VALUE"""),-3.9)</f>
        <v>-3.9</v>
      </c>
      <c r="F219" s="1">
        <f ca="1">IFERROR(__xludf.DUMMYFUNCTION("""COMPUTED_VALUE"""),93)</f>
        <v>93</v>
      </c>
      <c r="G219" s="1">
        <f ca="1">IFERROR(__xludf.DUMMYFUNCTION("""COMPUTED_VALUE"""),337)</f>
        <v>337</v>
      </c>
      <c r="H219" s="1">
        <f ca="1">IFERROR(__xludf.DUMMYFUNCTION("""COMPUTED_VALUE"""),96.9)</f>
        <v>96.9</v>
      </c>
      <c r="I219" s="1">
        <f ca="1">IFERROR(__xludf.DUMMYFUNCTION("""COMPUTED_VALUE"""),45)</f>
        <v>45</v>
      </c>
      <c r="J219" s="1">
        <f ca="1">IFERROR(__xludf.DUMMYFUNCTION("""COMPUTED_VALUE"""),65)</f>
        <v>65</v>
      </c>
      <c r="K219" s="1">
        <f ca="1">IFERROR(__xludf.DUMMYFUNCTION("""COMPUTED_VALUE"""),157)</f>
        <v>157</v>
      </c>
      <c r="L219" s="1">
        <f ca="1">IFERROR(__xludf.DUMMYFUNCTION("""COMPUTED_VALUE"""),-0.028)</f>
        <v>-2.8000000000000001E-2</v>
      </c>
      <c r="M219" s="1">
        <f ca="1">IFERROR(__xludf.DUMMYFUNCTION("""COMPUTED_VALUE"""),245)</f>
        <v>245</v>
      </c>
      <c r="N219" s="1">
        <f ca="1">IFERROR(__xludf.DUMMYFUNCTION("""COMPUTED_VALUE"""),-0.21)</f>
        <v>-0.21</v>
      </c>
      <c r="O219" s="1">
        <f ca="1">IFERROR(__xludf.DUMMYFUNCTION("""COMPUTED_VALUE"""),154)</f>
        <v>154</v>
      </c>
      <c r="P219" s="1">
        <f ca="1">IFERROR(__xludf.DUMMYFUNCTION("""COMPUTED_VALUE"""),104.1)</f>
        <v>104.1</v>
      </c>
      <c r="Q219" s="1">
        <f ca="1">IFERROR(__xludf.DUMMYFUNCTION("""COMPUTED_VALUE"""),187)</f>
        <v>187</v>
      </c>
      <c r="R219" s="1">
        <f ca="1">IFERROR(__xludf.DUMMYFUNCTION("""COMPUTED_VALUE"""),104.3)</f>
        <v>104.3</v>
      </c>
      <c r="S219" s="1">
        <f ca="1">IFERROR(__xludf.DUMMYFUNCTION("""COMPUTED_VALUE"""),121)</f>
        <v>121</v>
      </c>
      <c r="T219" s="1" t="str">
        <f ca="1">IFERROR(__xludf.DUMMYFUNCTION("""COMPUTED_VALUE"""),"+0.10")</f>
        <v>+0.10</v>
      </c>
      <c r="U219" s="1">
        <f ca="1">IFERROR(__xludf.DUMMYFUNCTION("""COMPUTED_VALUE"""),159)</f>
        <v>159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IFERROR(__xludf.DUMMYFUNCTION("""COMPUTED_VALUE"""),"Northern Illinois")</f>
        <v>Northern Illinois</v>
      </c>
      <c r="C220" s="1" t="str">
        <f ca="1">IFERROR(__xludf.DUMMYFUNCTION("""COMPUTED_VALUE"""),"MAC")</f>
        <v>MAC</v>
      </c>
      <c r="D220" s="1" t="str">
        <f ca="1">IFERROR(__xludf.DUMMYFUNCTION("""COMPUTED_VALUE"""),"15-17")</f>
        <v>15-17</v>
      </c>
      <c r="E220" s="1">
        <f ca="1">IFERROR(__xludf.DUMMYFUNCTION("""COMPUTED_VALUE"""),-3.94)</f>
        <v>-3.94</v>
      </c>
      <c r="F220" s="1">
        <f ca="1">IFERROR(__xludf.DUMMYFUNCTION("""COMPUTED_VALUE"""),94.4)</f>
        <v>94.4</v>
      </c>
      <c r="G220" s="1">
        <f ca="1">IFERROR(__xludf.DUMMYFUNCTION("""COMPUTED_VALUE"""),327)</f>
        <v>327</v>
      </c>
      <c r="H220" s="1">
        <f ca="1">IFERROR(__xludf.DUMMYFUNCTION("""COMPUTED_VALUE"""),98.3)</f>
        <v>98.3</v>
      </c>
      <c r="I220" s="1">
        <f ca="1">IFERROR(__xludf.DUMMYFUNCTION("""COMPUTED_VALUE"""),57)</f>
        <v>57</v>
      </c>
      <c r="J220" s="1">
        <f ca="1">IFERROR(__xludf.DUMMYFUNCTION("""COMPUTED_VALUE"""),61.5)</f>
        <v>61.5</v>
      </c>
      <c r="K220" s="1">
        <f ca="1">IFERROR(__xludf.DUMMYFUNCTION("""COMPUTED_VALUE"""),315)</f>
        <v>315</v>
      </c>
      <c r="L220" s="1" t="str">
        <f ca="1">IFERROR(__xludf.DUMMYFUNCTION("""COMPUTED_VALUE"""),"+.019")</f>
        <v>+.019</v>
      </c>
      <c r="M220" s="1">
        <f ca="1">IFERROR(__xludf.DUMMYFUNCTION("""COMPUTED_VALUE"""),132)</f>
        <v>132</v>
      </c>
      <c r="N220" s="1">
        <f ca="1">IFERROR(__xludf.DUMMYFUNCTION("""COMPUTED_VALUE"""),-2.38)</f>
        <v>-2.38</v>
      </c>
      <c r="O220" s="1">
        <f ca="1">IFERROR(__xludf.DUMMYFUNCTION("""COMPUTED_VALUE"""),200)</f>
        <v>200</v>
      </c>
      <c r="P220" s="1">
        <f ca="1">IFERROR(__xludf.DUMMYFUNCTION("""COMPUTED_VALUE"""),102.9)</f>
        <v>102.9</v>
      </c>
      <c r="Q220" s="1">
        <f ca="1">IFERROR(__xludf.DUMMYFUNCTION("""COMPUTED_VALUE"""),264)</f>
        <v>264</v>
      </c>
      <c r="R220" s="1">
        <f ca="1">IFERROR(__xludf.DUMMYFUNCTION("""COMPUTED_VALUE"""),105.2)</f>
        <v>105.2</v>
      </c>
      <c r="S220" s="1">
        <f ca="1">IFERROR(__xludf.DUMMYFUNCTION("""COMPUTED_VALUE"""),167)</f>
        <v>167</v>
      </c>
      <c r="T220" s="1">
        <f ca="1">IFERROR(__xludf.DUMMYFUNCTION("""COMPUTED_VALUE"""),-3.35)</f>
        <v>-3.35</v>
      </c>
      <c r="U220" s="1">
        <f ca="1">IFERROR(__xludf.DUMMYFUNCTION("""COMPUTED_VALUE"""),266)</f>
        <v>266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IFERROR(__xludf.DUMMYFUNCTION("""COMPUTED_VALUE"""),"Mount St. Mary's16")</f>
        <v>Mount St. Mary's16</v>
      </c>
      <c r="C221" s="1" t="str">
        <f ca="1">IFERROR(__xludf.DUMMYFUNCTION("""COMPUTED_VALUE"""),"NEC")</f>
        <v>NEC</v>
      </c>
      <c r="D221" s="1" t="str">
        <f ca="1">IFERROR(__xludf.DUMMYFUNCTION("""COMPUTED_VALUE"""),"16-17")</f>
        <v>16-17</v>
      </c>
      <c r="E221" s="1">
        <f ca="1">IFERROR(__xludf.DUMMYFUNCTION("""COMPUTED_VALUE"""),-3.96)</f>
        <v>-3.96</v>
      </c>
      <c r="F221" s="1">
        <f ca="1">IFERROR(__xludf.DUMMYFUNCTION("""COMPUTED_VALUE"""),107.8)</f>
        <v>107.8</v>
      </c>
      <c r="G221" s="1">
        <f ca="1">IFERROR(__xludf.DUMMYFUNCTION("""COMPUTED_VALUE"""),127)</f>
        <v>127</v>
      </c>
      <c r="H221" s="1">
        <f ca="1">IFERROR(__xludf.DUMMYFUNCTION("""COMPUTED_VALUE"""),111.7)</f>
        <v>111.7</v>
      </c>
      <c r="I221" s="1">
        <f ca="1">IFERROR(__xludf.DUMMYFUNCTION("""COMPUTED_VALUE"""),292)</f>
        <v>292</v>
      </c>
      <c r="J221" s="1">
        <f ca="1">IFERROR(__xludf.DUMMYFUNCTION("""COMPUTED_VALUE"""),68.2)</f>
        <v>68.2</v>
      </c>
      <c r="K221" s="1">
        <f ca="1">IFERROR(__xludf.DUMMYFUNCTION("""COMPUTED_VALUE"""),39)</f>
        <v>39</v>
      </c>
      <c r="L221" s="1" t="str">
        <f ca="1">IFERROR(__xludf.DUMMYFUNCTION("""COMPUTED_VALUE"""),"+.031")</f>
        <v>+.031</v>
      </c>
      <c r="M221" s="1">
        <f ca="1">IFERROR(__xludf.DUMMYFUNCTION("""COMPUTED_VALUE"""),110)</f>
        <v>110</v>
      </c>
      <c r="N221" s="1">
        <f ca="1">IFERROR(__xludf.DUMMYFUNCTION("""COMPUTED_VALUE"""),-4.27)</f>
        <v>-4.2699999999999996</v>
      </c>
      <c r="O221" s="1">
        <f ca="1">IFERROR(__xludf.DUMMYFUNCTION("""COMPUTED_VALUE"""),245)</f>
        <v>245</v>
      </c>
      <c r="P221" s="1">
        <f ca="1">IFERROR(__xludf.DUMMYFUNCTION("""COMPUTED_VALUE"""),102.7)</f>
        <v>102.7</v>
      </c>
      <c r="Q221" s="1">
        <f ca="1">IFERROR(__xludf.DUMMYFUNCTION("""COMPUTED_VALUE"""),272)</f>
        <v>272</v>
      </c>
      <c r="R221" s="1">
        <f ca="1">IFERROR(__xludf.DUMMYFUNCTION("""COMPUTED_VALUE"""),107)</f>
        <v>107</v>
      </c>
      <c r="S221" s="1">
        <f ca="1">IFERROR(__xludf.DUMMYFUNCTION("""COMPUTED_VALUE"""),242)</f>
        <v>242</v>
      </c>
      <c r="T221" s="1" t="str">
        <f ca="1">IFERROR(__xludf.DUMMYFUNCTION("""COMPUTED_VALUE"""),"+3.09")</f>
        <v>+3.09</v>
      </c>
      <c r="U221" s="1">
        <f ca="1">IFERROR(__xludf.DUMMYFUNCTION("""COMPUTED_VALUE"""),75)</f>
        <v>75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IFERROR(__xludf.DUMMYFUNCTION("""COMPUTED_VALUE"""),"VMI")</f>
        <v>VMI</v>
      </c>
      <c r="C222" s="1" t="str">
        <f ca="1">IFERROR(__xludf.DUMMYFUNCTION("""COMPUTED_VALUE"""),"BSth")</f>
        <v>BSth</v>
      </c>
      <c r="D222" s="1" t="str">
        <f ca="1">IFERROR(__xludf.DUMMYFUNCTION("""COMPUTED_VALUE"""),"22-13")</f>
        <v>22-13</v>
      </c>
      <c r="E222" s="1">
        <f ca="1">IFERROR(__xludf.DUMMYFUNCTION("""COMPUTED_VALUE"""),-3.97)</f>
        <v>-3.97</v>
      </c>
      <c r="F222" s="1">
        <f ca="1">IFERROR(__xludf.DUMMYFUNCTION("""COMPUTED_VALUE"""),108.3)</f>
        <v>108.3</v>
      </c>
      <c r="G222" s="1">
        <f ca="1">IFERROR(__xludf.DUMMYFUNCTION("""COMPUTED_VALUE"""),120)</f>
        <v>120</v>
      </c>
      <c r="H222" s="1">
        <f ca="1">IFERROR(__xludf.DUMMYFUNCTION("""COMPUTED_VALUE"""),112.2)</f>
        <v>112.2</v>
      </c>
      <c r="I222" s="1">
        <f ca="1">IFERROR(__xludf.DUMMYFUNCTION("""COMPUTED_VALUE"""),302)</f>
        <v>302</v>
      </c>
      <c r="J222" s="1">
        <f ca="1">IFERROR(__xludf.DUMMYFUNCTION("""COMPUTED_VALUE"""),73.3)</f>
        <v>73.3</v>
      </c>
      <c r="K222" s="1">
        <f ca="1">IFERROR(__xludf.DUMMYFUNCTION("""COMPUTED_VALUE"""),2)</f>
        <v>2</v>
      </c>
      <c r="L222" s="1" t="str">
        <f ca="1">IFERROR(__xludf.DUMMYFUNCTION("""COMPUTED_VALUE"""),"+.061")</f>
        <v>+.061</v>
      </c>
      <c r="M222" s="1">
        <f ca="1">IFERROR(__xludf.DUMMYFUNCTION("""COMPUTED_VALUE"""),49)</f>
        <v>49</v>
      </c>
      <c r="N222" s="1">
        <f ca="1">IFERROR(__xludf.DUMMYFUNCTION("""COMPUTED_VALUE"""),-6.32)</f>
        <v>-6.32</v>
      </c>
      <c r="O222" s="1">
        <f ca="1">IFERROR(__xludf.DUMMYFUNCTION("""COMPUTED_VALUE"""),293)</f>
        <v>293</v>
      </c>
      <c r="P222" s="1">
        <f ca="1">IFERROR(__xludf.DUMMYFUNCTION("""COMPUTED_VALUE"""),102.9)</f>
        <v>102.9</v>
      </c>
      <c r="Q222" s="1">
        <f ca="1">IFERROR(__xludf.DUMMYFUNCTION("""COMPUTED_VALUE"""),262)</f>
        <v>262</v>
      </c>
      <c r="R222" s="1">
        <f ca="1">IFERROR(__xludf.DUMMYFUNCTION("""COMPUTED_VALUE"""),109.2)</f>
        <v>109.2</v>
      </c>
      <c r="S222" s="1">
        <f ca="1">IFERROR(__xludf.DUMMYFUNCTION("""COMPUTED_VALUE"""),318)</f>
        <v>318</v>
      </c>
      <c r="T222" s="1">
        <f ca="1">IFERROR(__xludf.DUMMYFUNCTION("""COMPUTED_VALUE"""),-0.15)</f>
        <v>-0.15</v>
      </c>
      <c r="U222" s="1">
        <f ca="1">IFERROR(__xludf.DUMMYFUNCTION("""COMPUTED_VALUE"""),166)</f>
        <v>166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IFERROR(__xludf.DUMMYFUNCTION("""COMPUTED_VALUE"""),"Evansville")</f>
        <v>Evansville</v>
      </c>
      <c r="C223" s="1" t="str">
        <f ca="1">IFERROR(__xludf.DUMMYFUNCTION("""COMPUTED_VALUE"""),"MVC")</f>
        <v>MVC</v>
      </c>
      <c r="D223" s="1" t="str">
        <f ca="1">IFERROR(__xludf.DUMMYFUNCTION("""COMPUTED_VALUE"""),"14-19")</f>
        <v>14-19</v>
      </c>
      <c r="E223" s="1">
        <f ca="1">IFERROR(__xludf.DUMMYFUNCTION("""COMPUTED_VALUE"""),-4.19)</f>
        <v>-4.1900000000000004</v>
      </c>
      <c r="F223" s="1">
        <f ca="1">IFERROR(__xludf.DUMMYFUNCTION("""COMPUTED_VALUE"""),103.1)</f>
        <v>103.1</v>
      </c>
      <c r="G223" s="1">
        <f ca="1">IFERROR(__xludf.DUMMYFUNCTION("""COMPUTED_VALUE"""),212)</f>
        <v>212</v>
      </c>
      <c r="H223" s="1">
        <f ca="1">IFERROR(__xludf.DUMMYFUNCTION("""COMPUTED_VALUE"""),107.3)</f>
        <v>107.3</v>
      </c>
      <c r="I223" s="1">
        <f ca="1">IFERROR(__xludf.DUMMYFUNCTION("""COMPUTED_VALUE"""),216)</f>
        <v>216</v>
      </c>
      <c r="J223" s="1">
        <f ca="1">IFERROR(__xludf.DUMMYFUNCTION("""COMPUTED_VALUE"""),65.6)</f>
        <v>65.599999999999994</v>
      </c>
      <c r="K223" s="1">
        <f ca="1">IFERROR(__xludf.DUMMYFUNCTION("""COMPUTED_VALUE"""),128)</f>
        <v>128</v>
      </c>
      <c r="L223" s="1" t="str">
        <f ca="1">IFERROR(__xludf.DUMMYFUNCTION("""COMPUTED_VALUE"""),"+.007")</f>
        <v>+.007</v>
      </c>
      <c r="M223" s="1">
        <f ca="1">IFERROR(__xludf.DUMMYFUNCTION("""COMPUTED_VALUE"""),166)</f>
        <v>166</v>
      </c>
      <c r="N223" s="1" t="str">
        <f ca="1">IFERROR(__xludf.DUMMYFUNCTION("""COMPUTED_VALUE"""),"+1.26")</f>
        <v>+1.26</v>
      </c>
      <c r="O223" s="1">
        <f ca="1">IFERROR(__xludf.DUMMYFUNCTION("""COMPUTED_VALUE"""),124)</f>
        <v>124</v>
      </c>
      <c r="P223" s="1">
        <f ca="1">IFERROR(__xludf.DUMMYFUNCTION("""COMPUTED_VALUE"""),105.4)</f>
        <v>105.4</v>
      </c>
      <c r="Q223" s="1">
        <f ca="1">IFERROR(__xludf.DUMMYFUNCTION("""COMPUTED_VALUE"""),134)</f>
        <v>134</v>
      </c>
      <c r="R223" s="1">
        <f ca="1">IFERROR(__xludf.DUMMYFUNCTION("""COMPUTED_VALUE"""),104.2)</f>
        <v>104.2</v>
      </c>
      <c r="S223" s="1">
        <f ca="1">IFERROR(__xludf.DUMMYFUNCTION("""COMPUTED_VALUE"""),117)</f>
        <v>117</v>
      </c>
      <c r="T223" s="1">
        <f ca="1">IFERROR(__xludf.DUMMYFUNCTION("""COMPUTED_VALUE"""),-2.1)</f>
        <v>-2.1</v>
      </c>
      <c r="U223" s="1">
        <f ca="1">IFERROR(__xludf.DUMMYFUNCTION("""COMPUTED_VALUE"""),221)</f>
        <v>221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IFERROR(__xludf.DUMMYFUNCTION("""COMPUTED_VALUE"""),"TCU")</f>
        <v>TCU</v>
      </c>
      <c r="C224" s="1" t="str">
        <f ca="1">IFERROR(__xludf.DUMMYFUNCTION("""COMPUTED_VALUE"""),"B12")</f>
        <v>B12</v>
      </c>
      <c r="D224" s="2">
        <f ca="1">IFERROR(__xludf.DUMMYFUNCTION("""COMPUTED_VALUE"""),44826)</f>
        <v>44826</v>
      </c>
      <c r="E224" s="1">
        <f ca="1">IFERROR(__xludf.DUMMYFUNCTION("""COMPUTED_VALUE"""),-4.34)</f>
        <v>-4.34</v>
      </c>
      <c r="F224" s="1">
        <f ca="1">IFERROR(__xludf.DUMMYFUNCTION("""COMPUTED_VALUE"""),99.4)</f>
        <v>99.4</v>
      </c>
      <c r="G224" s="1">
        <f ca="1">IFERROR(__xludf.DUMMYFUNCTION("""COMPUTED_VALUE"""),271)</f>
        <v>271</v>
      </c>
      <c r="H224" s="1">
        <f ca="1">IFERROR(__xludf.DUMMYFUNCTION("""COMPUTED_VALUE"""),103.7)</f>
        <v>103.7</v>
      </c>
      <c r="I224" s="1">
        <f ca="1">IFERROR(__xludf.DUMMYFUNCTION("""COMPUTED_VALUE"""),146)</f>
        <v>146</v>
      </c>
      <c r="J224" s="1">
        <f ca="1">IFERROR(__xludf.DUMMYFUNCTION("""COMPUTED_VALUE"""),63.8)</f>
        <v>63.8</v>
      </c>
      <c r="K224" s="1">
        <f ca="1">IFERROR(__xludf.DUMMYFUNCTION("""COMPUTED_VALUE"""),224)</f>
        <v>224</v>
      </c>
      <c r="L224" s="1" t="str">
        <f ca="1">IFERROR(__xludf.DUMMYFUNCTION("""COMPUTED_VALUE"""),"+.007")</f>
        <v>+.007</v>
      </c>
      <c r="M224" s="1">
        <f ca="1">IFERROR(__xludf.DUMMYFUNCTION("""COMPUTED_VALUE"""),167)</f>
        <v>167</v>
      </c>
      <c r="N224" s="1" t="str">
        <f ca="1">IFERROR(__xludf.DUMMYFUNCTION("""COMPUTED_VALUE"""),"+10.02")</f>
        <v>+10.02</v>
      </c>
      <c r="O224" s="1">
        <f ca="1">IFERROR(__xludf.DUMMYFUNCTION("""COMPUTED_VALUE"""),9)</f>
        <v>9</v>
      </c>
      <c r="P224" s="1">
        <f ca="1">IFERROR(__xludf.DUMMYFUNCTION("""COMPUTED_VALUE"""),110.9)</f>
        <v>110.9</v>
      </c>
      <c r="Q224" s="1">
        <f ca="1">IFERROR(__xludf.DUMMYFUNCTION("""COMPUTED_VALUE"""),5)</f>
        <v>5</v>
      </c>
      <c r="R224" s="1">
        <f ca="1">IFERROR(__xludf.DUMMYFUNCTION("""COMPUTED_VALUE"""),100.9)</f>
        <v>100.9</v>
      </c>
      <c r="S224" s="1">
        <f ca="1">IFERROR(__xludf.DUMMYFUNCTION("""COMPUTED_VALUE"""),33)</f>
        <v>33</v>
      </c>
      <c r="T224" s="1">
        <f ca="1">IFERROR(__xludf.DUMMYFUNCTION("""COMPUTED_VALUE"""),-6.41)</f>
        <v>-6.41</v>
      </c>
      <c r="U224" s="1">
        <f ca="1">IFERROR(__xludf.DUMMYFUNCTION("""COMPUTED_VALUE"""),321)</f>
        <v>321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IFERROR(__xludf.DUMMYFUNCTION("""COMPUTED_VALUE"""),"Hampton")</f>
        <v>Hampton</v>
      </c>
      <c r="C225" s="1" t="str">
        <f ca="1">IFERROR(__xludf.DUMMYFUNCTION("""COMPUTED_VALUE"""),"MEAC")</f>
        <v>MEAC</v>
      </c>
      <c r="D225" s="1" t="str">
        <f ca="1">IFERROR(__xludf.DUMMYFUNCTION("""COMPUTED_VALUE"""),"18-13")</f>
        <v>18-13</v>
      </c>
      <c r="E225" s="1">
        <f ca="1">IFERROR(__xludf.DUMMYFUNCTION("""COMPUTED_VALUE"""),-4.38)</f>
        <v>-4.38</v>
      </c>
      <c r="F225" s="1">
        <f ca="1">IFERROR(__xludf.DUMMYFUNCTION("""COMPUTED_VALUE"""),96.4)</f>
        <v>96.4</v>
      </c>
      <c r="G225" s="1">
        <f ca="1">IFERROR(__xludf.DUMMYFUNCTION("""COMPUTED_VALUE"""),307)</f>
        <v>307</v>
      </c>
      <c r="H225" s="1">
        <f ca="1">IFERROR(__xludf.DUMMYFUNCTION("""COMPUTED_VALUE"""),100.8)</f>
        <v>100.8</v>
      </c>
      <c r="I225" s="1">
        <f ca="1">IFERROR(__xludf.DUMMYFUNCTION("""COMPUTED_VALUE"""),96)</f>
        <v>96</v>
      </c>
      <c r="J225" s="1">
        <f ca="1">IFERROR(__xludf.DUMMYFUNCTION("""COMPUTED_VALUE"""),69.7)</f>
        <v>69.7</v>
      </c>
      <c r="K225" s="1">
        <f ca="1">IFERROR(__xludf.DUMMYFUNCTION("""COMPUTED_VALUE"""),15)</f>
        <v>15</v>
      </c>
      <c r="L225" s="1">
        <f ca="1">IFERROR(__xludf.DUMMYFUNCTION("""COMPUTED_VALUE"""),0)</f>
        <v>0</v>
      </c>
      <c r="M225" s="1">
        <f ca="1">IFERROR(__xludf.DUMMYFUNCTION("""COMPUTED_VALUE"""),188)</f>
        <v>188</v>
      </c>
      <c r="N225" s="1">
        <f ca="1">IFERROR(__xludf.DUMMYFUNCTION("""COMPUTED_VALUE"""),-9.45)</f>
        <v>-9.4499999999999993</v>
      </c>
      <c r="O225" s="1">
        <f ca="1">IFERROR(__xludf.DUMMYFUNCTION("""COMPUTED_VALUE"""),345)</f>
        <v>345</v>
      </c>
      <c r="P225" s="1">
        <f ca="1">IFERROR(__xludf.DUMMYFUNCTION("""COMPUTED_VALUE"""),100.2)</f>
        <v>100.2</v>
      </c>
      <c r="Q225" s="1">
        <f ca="1">IFERROR(__xludf.DUMMYFUNCTION("""COMPUTED_VALUE"""),335)</f>
        <v>335</v>
      </c>
      <c r="R225" s="1">
        <f ca="1">IFERROR(__xludf.DUMMYFUNCTION("""COMPUTED_VALUE"""),109.7)</f>
        <v>109.7</v>
      </c>
      <c r="S225" s="1">
        <f ca="1">IFERROR(__xludf.DUMMYFUNCTION("""COMPUTED_VALUE"""),330)</f>
        <v>330</v>
      </c>
      <c r="T225" s="1">
        <f ca="1">IFERROR(__xludf.DUMMYFUNCTION("""COMPUTED_VALUE"""),-2.94)</f>
        <v>-2.94</v>
      </c>
      <c r="U225" s="1">
        <f ca="1">IFERROR(__xludf.DUMMYFUNCTION("""COMPUTED_VALUE"""),248)</f>
        <v>248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IFERROR(__xludf.DUMMYFUNCTION("""COMPUTED_VALUE"""),"Bradley")</f>
        <v>Bradley</v>
      </c>
      <c r="C226" s="1" t="str">
        <f ca="1">IFERROR(__xludf.DUMMYFUNCTION("""COMPUTED_VALUE"""),"MVC")</f>
        <v>MVC</v>
      </c>
      <c r="D226" s="2">
        <f ca="1">IFERROR(__xludf.DUMMYFUNCTION("""COMPUTED_VALUE"""),44915)</f>
        <v>44915</v>
      </c>
      <c r="E226" s="1">
        <f ca="1">IFERROR(__xludf.DUMMYFUNCTION("""COMPUTED_VALUE"""),-4.38)</f>
        <v>-4.38</v>
      </c>
      <c r="F226" s="1">
        <f ca="1">IFERROR(__xludf.DUMMYFUNCTION("""COMPUTED_VALUE"""),100.2)</f>
        <v>100.2</v>
      </c>
      <c r="G226" s="1">
        <f ca="1">IFERROR(__xludf.DUMMYFUNCTION("""COMPUTED_VALUE"""),264)</f>
        <v>264</v>
      </c>
      <c r="H226" s="1">
        <f ca="1">IFERROR(__xludf.DUMMYFUNCTION("""COMPUTED_VALUE"""),104.6)</f>
        <v>104.6</v>
      </c>
      <c r="I226" s="1">
        <f ca="1">IFERROR(__xludf.DUMMYFUNCTION("""COMPUTED_VALUE"""),163)</f>
        <v>163</v>
      </c>
      <c r="J226" s="1">
        <f ca="1">IFERROR(__xludf.DUMMYFUNCTION("""COMPUTED_VALUE"""),62.5)</f>
        <v>62.5</v>
      </c>
      <c r="K226" s="1">
        <f ca="1">IFERROR(__xludf.DUMMYFUNCTION("""COMPUTED_VALUE"""),284)</f>
        <v>284</v>
      </c>
      <c r="L226" s="1">
        <f ca="1">IFERROR(__xludf.DUMMYFUNCTION("""COMPUTED_VALUE"""),-0.05)</f>
        <v>-0.05</v>
      </c>
      <c r="M226" s="1">
        <f ca="1">IFERROR(__xludf.DUMMYFUNCTION("""COMPUTED_VALUE"""),293)</f>
        <v>293</v>
      </c>
      <c r="N226" s="1">
        <f ca="1">IFERROR(__xludf.DUMMYFUNCTION("""COMPUTED_VALUE"""),-1.7)</f>
        <v>-1.7</v>
      </c>
      <c r="O226" s="1">
        <f ca="1">IFERROR(__xludf.DUMMYFUNCTION("""COMPUTED_VALUE"""),183)</f>
        <v>183</v>
      </c>
      <c r="P226" s="1">
        <f ca="1">IFERROR(__xludf.DUMMYFUNCTION("""COMPUTED_VALUE"""),104.4)</f>
        <v>104.4</v>
      </c>
      <c r="Q226" s="1">
        <f ca="1">IFERROR(__xludf.DUMMYFUNCTION("""COMPUTED_VALUE"""),176)</f>
        <v>176</v>
      </c>
      <c r="R226" s="1">
        <f ca="1">IFERROR(__xludf.DUMMYFUNCTION("""COMPUTED_VALUE"""),106.1)</f>
        <v>106.1</v>
      </c>
      <c r="S226" s="1">
        <f ca="1">IFERROR(__xludf.DUMMYFUNCTION("""COMPUTED_VALUE"""),203)</f>
        <v>203</v>
      </c>
      <c r="T226" s="1">
        <f ca="1">IFERROR(__xludf.DUMMYFUNCTION("""COMPUTED_VALUE"""),-7.33)</f>
        <v>-7.33</v>
      </c>
      <c r="U226" s="1">
        <f ca="1">IFERROR(__xludf.DUMMYFUNCTION("""COMPUTED_VALUE"""),332)</f>
        <v>332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IFERROR(__xludf.DUMMYFUNCTION("""COMPUTED_VALUE"""),"UT Arlington")</f>
        <v>UT Arlington</v>
      </c>
      <c r="C227" s="1" t="str">
        <f ca="1">IFERROR(__xludf.DUMMYFUNCTION("""COMPUTED_VALUE"""),"SB")</f>
        <v>SB</v>
      </c>
      <c r="D227" s="1" t="str">
        <f ca="1">IFERROR(__xludf.DUMMYFUNCTION("""COMPUTED_VALUE"""),"15-17")</f>
        <v>15-17</v>
      </c>
      <c r="E227" s="1">
        <f ca="1">IFERROR(__xludf.DUMMYFUNCTION("""COMPUTED_VALUE"""),-4.42)</f>
        <v>-4.42</v>
      </c>
      <c r="F227" s="1">
        <f ca="1">IFERROR(__xludf.DUMMYFUNCTION("""COMPUTED_VALUE"""),105.9)</f>
        <v>105.9</v>
      </c>
      <c r="G227" s="1">
        <f ca="1">IFERROR(__xludf.DUMMYFUNCTION("""COMPUTED_VALUE"""),164)</f>
        <v>164</v>
      </c>
      <c r="H227" s="1">
        <f ca="1">IFERROR(__xludf.DUMMYFUNCTION("""COMPUTED_VALUE"""),110.3)</f>
        <v>110.3</v>
      </c>
      <c r="I227" s="1">
        <f ca="1">IFERROR(__xludf.DUMMYFUNCTION("""COMPUTED_VALUE"""),266)</f>
        <v>266</v>
      </c>
      <c r="J227" s="1">
        <f ca="1">IFERROR(__xludf.DUMMYFUNCTION("""COMPUTED_VALUE"""),68.2)</f>
        <v>68.2</v>
      </c>
      <c r="K227" s="1">
        <f ca="1">IFERROR(__xludf.DUMMYFUNCTION("""COMPUTED_VALUE"""),40)</f>
        <v>40</v>
      </c>
      <c r="L227" s="1" t="str">
        <f ca="1">IFERROR(__xludf.DUMMYFUNCTION("""COMPUTED_VALUE"""),"+.059")</f>
        <v>+.059</v>
      </c>
      <c r="M227" s="1">
        <f ca="1">IFERROR(__xludf.DUMMYFUNCTION("""COMPUTED_VALUE"""),54)</f>
        <v>54</v>
      </c>
      <c r="N227" s="1">
        <f ca="1">IFERROR(__xludf.DUMMYFUNCTION("""COMPUTED_VALUE"""),-0.49)</f>
        <v>-0.49</v>
      </c>
      <c r="O227" s="1">
        <f ca="1">IFERROR(__xludf.DUMMYFUNCTION("""COMPUTED_VALUE"""),159)</f>
        <v>159</v>
      </c>
      <c r="P227" s="1">
        <f ca="1">IFERROR(__xludf.DUMMYFUNCTION("""COMPUTED_VALUE"""),104.5)</f>
        <v>104.5</v>
      </c>
      <c r="Q227" s="1">
        <f ca="1">IFERROR(__xludf.DUMMYFUNCTION("""COMPUTED_VALUE"""),171)</f>
        <v>171</v>
      </c>
      <c r="R227" s="1">
        <f ca="1">IFERROR(__xludf.DUMMYFUNCTION("""COMPUTED_VALUE"""),104.9)</f>
        <v>104.9</v>
      </c>
      <c r="S227" s="1">
        <f ca="1">IFERROR(__xludf.DUMMYFUNCTION("""COMPUTED_VALUE"""),149)</f>
        <v>149</v>
      </c>
      <c r="T227" s="1" t="str">
        <f ca="1">IFERROR(__xludf.DUMMYFUNCTION("""COMPUTED_VALUE"""),"+5.69")</f>
        <v>+5.69</v>
      </c>
      <c r="U227" s="1">
        <f ca="1">IFERROR(__xludf.DUMMYFUNCTION("""COMPUTED_VALUE"""),38)</f>
        <v>38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IFERROR(__xludf.DUMMYFUNCTION("""COMPUTED_VALUE"""),"Montana")</f>
        <v>Montana</v>
      </c>
      <c r="C228" s="1" t="str">
        <f ca="1">IFERROR(__xludf.DUMMYFUNCTION("""COMPUTED_VALUE"""),"BSky")</f>
        <v>BSky</v>
      </c>
      <c r="D228" s="1" t="str">
        <f ca="1">IFERROR(__xludf.DUMMYFUNCTION("""COMPUTED_VALUE"""),"17-13")</f>
        <v>17-13</v>
      </c>
      <c r="E228" s="1">
        <f ca="1">IFERROR(__xludf.DUMMYFUNCTION("""COMPUTED_VALUE"""),-4.45)</f>
        <v>-4.45</v>
      </c>
      <c r="F228" s="1">
        <f ca="1">IFERROR(__xludf.DUMMYFUNCTION("""COMPUTED_VALUE"""),107.4)</f>
        <v>107.4</v>
      </c>
      <c r="G228" s="1">
        <f ca="1">IFERROR(__xludf.DUMMYFUNCTION("""COMPUTED_VALUE"""),132)</f>
        <v>132</v>
      </c>
      <c r="H228" s="1">
        <f ca="1">IFERROR(__xludf.DUMMYFUNCTION("""COMPUTED_VALUE"""),111.9)</f>
        <v>111.9</v>
      </c>
      <c r="I228" s="1">
        <f ca="1">IFERROR(__xludf.DUMMYFUNCTION("""COMPUTED_VALUE"""),296)</f>
        <v>296</v>
      </c>
      <c r="J228" s="1">
        <f ca="1">IFERROR(__xludf.DUMMYFUNCTION("""COMPUTED_VALUE"""),59.8)</f>
        <v>59.8</v>
      </c>
      <c r="K228" s="1">
        <f ca="1">IFERROR(__xludf.DUMMYFUNCTION("""COMPUTED_VALUE"""),342)</f>
        <v>342</v>
      </c>
      <c r="L228" s="1" t="str">
        <f ca="1">IFERROR(__xludf.DUMMYFUNCTION("""COMPUTED_VALUE"""),"+.002")</f>
        <v>+.002</v>
      </c>
      <c r="M228" s="1">
        <f ca="1">IFERROR(__xludf.DUMMYFUNCTION("""COMPUTED_VALUE"""),182)</f>
        <v>182</v>
      </c>
      <c r="N228" s="1">
        <f ca="1">IFERROR(__xludf.DUMMYFUNCTION("""COMPUTED_VALUE"""),-6.45)</f>
        <v>-6.45</v>
      </c>
      <c r="O228" s="1">
        <f ca="1">IFERROR(__xludf.DUMMYFUNCTION("""COMPUTED_VALUE"""),294)</f>
        <v>294</v>
      </c>
      <c r="P228" s="1">
        <f ca="1">IFERROR(__xludf.DUMMYFUNCTION("""COMPUTED_VALUE"""),103.7)</f>
        <v>103.7</v>
      </c>
      <c r="Q228" s="1">
        <f ca="1">IFERROR(__xludf.DUMMYFUNCTION("""COMPUTED_VALUE"""),210)</f>
        <v>210</v>
      </c>
      <c r="R228" s="1">
        <f ca="1">IFERROR(__xludf.DUMMYFUNCTION("""COMPUTED_VALUE"""),110.1)</f>
        <v>110.1</v>
      </c>
      <c r="S228" s="1">
        <f ca="1">IFERROR(__xludf.DUMMYFUNCTION("""COMPUTED_VALUE"""),340)</f>
        <v>340</v>
      </c>
      <c r="T228" s="1" t="str">
        <f ca="1">IFERROR(__xludf.DUMMYFUNCTION("""COMPUTED_VALUE"""),"+4.97")</f>
        <v>+4.97</v>
      </c>
      <c r="U228" s="1">
        <f ca="1">IFERROR(__xludf.DUMMYFUNCTION("""COMPUTED_VALUE"""),48)</f>
        <v>48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IFERROR(__xludf.DUMMYFUNCTION("""COMPUTED_VALUE"""),"Rider")</f>
        <v>Rider</v>
      </c>
      <c r="C229" s="1" t="str">
        <f ca="1">IFERROR(__xludf.DUMMYFUNCTION("""COMPUTED_VALUE"""),"MAAC")</f>
        <v>MAAC</v>
      </c>
      <c r="D229" s="1" t="str">
        <f ca="1">IFERROR(__xludf.DUMMYFUNCTION("""COMPUTED_VALUE"""),"14-17")</f>
        <v>14-17</v>
      </c>
      <c r="E229" s="1">
        <f ca="1">IFERROR(__xludf.DUMMYFUNCTION("""COMPUTED_VALUE"""),-4.52)</f>
        <v>-4.5199999999999996</v>
      </c>
      <c r="F229" s="1">
        <f ca="1">IFERROR(__xludf.DUMMYFUNCTION("""COMPUTED_VALUE"""),106.9)</f>
        <v>106.9</v>
      </c>
      <c r="G229" s="1">
        <f ca="1">IFERROR(__xludf.DUMMYFUNCTION("""COMPUTED_VALUE"""),139)</f>
        <v>139</v>
      </c>
      <c r="H229" s="1">
        <f ca="1">IFERROR(__xludf.DUMMYFUNCTION("""COMPUTED_VALUE"""),111.4)</f>
        <v>111.4</v>
      </c>
      <c r="I229" s="1">
        <f ca="1">IFERROR(__xludf.DUMMYFUNCTION("""COMPUTED_VALUE"""),286)</f>
        <v>286</v>
      </c>
      <c r="J229" s="1">
        <f ca="1">IFERROR(__xludf.DUMMYFUNCTION("""COMPUTED_VALUE"""),65.4)</f>
        <v>65.400000000000006</v>
      </c>
      <c r="K229" s="1">
        <f ca="1">IFERROR(__xludf.DUMMYFUNCTION("""COMPUTED_VALUE"""),137)</f>
        <v>137</v>
      </c>
      <c r="L229" s="1" t="str">
        <f ca="1">IFERROR(__xludf.DUMMYFUNCTION("""COMPUTED_VALUE"""),"+.041")</f>
        <v>+.041</v>
      </c>
      <c r="M229" s="1">
        <f ca="1">IFERROR(__xludf.DUMMYFUNCTION("""COMPUTED_VALUE"""),86)</f>
        <v>86</v>
      </c>
      <c r="N229" s="1">
        <f ca="1">IFERROR(__xludf.DUMMYFUNCTION("""COMPUTED_VALUE"""),-1.48)</f>
        <v>-1.48</v>
      </c>
      <c r="O229" s="1">
        <f ca="1">IFERROR(__xludf.DUMMYFUNCTION("""COMPUTED_VALUE"""),177)</f>
        <v>177</v>
      </c>
      <c r="P229" s="1">
        <f ca="1">IFERROR(__xludf.DUMMYFUNCTION("""COMPUTED_VALUE"""),103.9)</f>
        <v>103.9</v>
      </c>
      <c r="Q229" s="1">
        <f ca="1">IFERROR(__xludf.DUMMYFUNCTION("""COMPUTED_VALUE"""),194)</f>
        <v>194</v>
      </c>
      <c r="R229" s="1">
        <f ca="1">IFERROR(__xludf.DUMMYFUNCTION("""COMPUTED_VALUE"""),105.4)</f>
        <v>105.4</v>
      </c>
      <c r="S229" s="1">
        <f ca="1">IFERROR(__xludf.DUMMYFUNCTION("""COMPUTED_VALUE"""),176)</f>
        <v>176</v>
      </c>
      <c r="T229" s="1">
        <f ca="1">IFERROR(__xludf.DUMMYFUNCTION("""COMPUTED_VALUE"""),-1.33)</f>
        <v>-1.33</v>
      </c>
      <c r="U229" s="1">
        <f ca="1">IFERROR(__xludf.DUMMYFUNCTION("""COMPUTED_VALUE"""),201)</f>
        <v>201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IFERROR(__xludf.DUMMYFUNCTION("""COMPUTED_VALUE"""),"Miami OH")</f>
        <v>Miami OH</v>
      </c>
      <c r="C230" s="1" t="str">
        <f ca="1">IFERROR(__xludf.DUMMYFUNCTION("""COMPUTED_VALUE"""),"MAC")</f>
        <v>MAC</v>
      </c>
      <c r="D230" s="1" t="str">
        <f ca="1">IFERROR(__xludf.DUMMYFUNCTION("""COMPUTED_VALUE"""),"13-18")</f>
        <v>13-18</v>
      </c>
      <c r="E230" s="1">
        <f ca="1">IFERROR(__xludf.DUMMYFUNCTION("""COMPUTED_VALUE"""),-4.63)</f>
        <v>-4.63</v>
      </c>
      <c r="F230" s="1">
        <f ca="1">IFERROR(__xludf.DUMMYFUNCTION("""COMPUTED_VALUE"""),98.9)</f>
        <v>98.9</v>
      </c>
      <c r="G230" s="1">
        <f ca="1">IFERROR(__xludf.DUMMYFUNCTION("""COMPUTED_VALUE"""),277)</f>
        <v>277</v>
      </c>
      <c r="H230" s="1">
        <f ca="1">IFERROR(__xludf.DUMMYFUNCTION("""COMPUTED_VALUE"""),103.5)</f>
        <v>103.5</v>
      </c>
      <c r="I230" s="1">
        <f ca="1">IFERROR(__xludf.DUMMYFUNCTION("""COMPUTED_VALUE"""),140)</f>
        <v>140</v>
      </c>
      <c r="J230" s="1">
        <f ca="1">IFERROR(__xludf.DUMMYFUNCTION("""COMPUTED_VALUE"""),65.4)</f>
        <v>65.400000000000006</v>
      </c>
      <c r="K230" s="1">
        <f ca="1">IFERROR(__xludf.DUMMYFUNCTION("""COMPUTED_VALUE"""),135)</f>
        <v>135</v>
      </c>
      <c r="L230" s="1" t="str">
        <f ca="1">IFERROR(__xludf.DUMMYFUNCTION("""COMPUTED_VALUE"""),"+.076")</f>
        <v>+.076</v>
      </c>
      <c r="M230" s="1">
        <f ca="1">IFERROR(__xludf.DUMMYFUNCTION("""COMPUTED_VALUE"""),29)</f>
        <v>29</v>
      </c>
      <c r="N230" s="1" t="str">
        <f ca="1">IFERROR(__xludf.DUMMYFUNCTION("""COMPUTED_VALUE"""),"+0.26")</f>
        <v>+0.26</v>
      </c>
      <c r="O230" s="1">
        <f ca="1">IFERROR(__xludf.DUMMYFUNCTION("""COMPUTED_VALUE"""),145)</f>
        <v>145</v>
      </c>
      <c r="P230" s="1">
        <f ca="1">IFERROR(__xludf.DUMMYFUNCTION("""COMPUTED_VALUE"""),104.6)</f>
        <v>104.6</v>
      </c>
      <c r="Q230" s="1">
        <f ca="1">IFERROR(__xludf.DUMMYFUNCTION("""COMPUTED_VALUE"""),166)</f>
        <v>166</v>
      </c>
      <c r="R230" s="1">
        <f ca="1">IFERROR(__xludf.DUMMYFUNCTION("""COMPUTED_VALUE"""),104.4)</f>
        <v>104.4</v>
      </c>
      <c r="S230" s="1">
        <f ca="1">IFERROR(__xludf.DUMMYFUNCTION("""COMPUTED_VALUE"""),126)</f>
        <v>126</v>
      </c>
      <c r="T230" s="1" t="str">
        <f ca="1">IFERROR(__xludf.DUMMYFUNCTION("""COMPUTED_VALUE"""),"+4.24")</f>
        <v>+4.24</v>
      </c>
      <c r="U230" s="1">
        <f ca="1">IFERROR(__xludf.DUMMYFUNCTION("""COMPUTED_VALUE"""),59)</f>
        <v>59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IFERROR(__xludf.DUMMYFUNCTION("""COMPUTED_VALUE"""),"Arkansas Little Rock")</f>
        <v>Arkansas Little Rock</v>
      </c>
      <c r="C231" s="1" t="str">
        <f ca="1">IFERROR(__xludf.DUMMYFUNCTION("""COMPUTED_VALUE"""),"SB")</f>
        <v>SB</v>
      </c>
      <c r="D231" s="1" t="str">
        <f ca="1">IFERROR(__xludf.DUMMYFUNCTION("""COMPUTED_VALUE"""),"15-17")</f>
        <v>15-17</v>
      </c>
      <c r="E231" s="1">
        <f ca="1">IFERROR(__xludf.DUMMYFUNCTION("""COMPUTED_VALUE"""),-4.7)</f>
        <v>-4.7</v>
      </c>
      <c r="F231" s="1">
        <f ca="1">IFERROR(__xludf.DUMMYFUNCTION("""COMPUTED_VALUE"""),101.1)</f>
        <v>101.1</v>
      </c>
      <c r="G231" s="1">
        <f ca="1">IFERROR(__xludf.DUMMYFUNCTION("""COMPUTED_VALUE"""),243)</f>
        <v>243</v>
      </c>
      <c r="H231" s="1">
        <f ca="1">IFERROR(__xludf.DUMMYFUNCTION("""COMPUTED_VALUE"""),105.8)</f>
        <v>105.8</v>
      </c>
      <c r="I231" s="1">
        <f ca="1">IFERROR(__xludf.DUMMYFUNCTION("""COMPUTED_VALUE"""),184)</f>
        <v>184</v>
      </c>
      <c r="J231" s="1">
        <f ca="1">IFERROR(__xludf.DUMMYFUNCTION("""COMPUTED_VALUE"""),66.3)</f>
        <v>66.3</v>
      </c>
      <c r="K231" s="1">
        <f ca="1">IFERROR(__xludf.DUMMYFUNCTION("""COMPUTED_VALUE"""),95)</f>
        <v>95</v>
      </c>
      <c r="L231" s="1" t="str">
        <f ca="1">IFERROR(__xludf.DUMMYFUNCTION("""COMPUTED_VALUE"""),"+.060")</f>
        <v>+.060</v>
      </c>
      <c r="M231" s="1">
        <f ca="1">IFERROR(__xludf.DUMMYFUNCTION("""COMPUTED_VALUE"""),52)</f>
        <v>52</v>
      </c>
      <c r="N231" s="1">
        <f ca="1">IFERROR(__xludf.DUMMYFUNCTION("""COMPUTED_VALUE"""),-0.35)</f>
        <v>-0.35</v>
      </c>
      <c r="O231" s="1">
        <f ca="1">IFERROR(__xludf.DUMMYFUNCTION("""COMPUTED_VALUE"""),156)</f>
        <v>156</v>
      </c>
      <c r="P231" s="1">
        <f ca="1">IFERROR(__xludf.DUMMYFUNCTION("""COMPUTED_VALUE"""),104.6)</f>
        <v>104.6</v>
      </c>
      <c r="Q231" s="1">
        <f ca="1">IFERROR(__xludf.DUMMYFUNCTION("""COMPUTED_VALUE"""),164)</f>
        <v>164</v>
      </c>
      <c r="R231" s="1">
        <f ca="1">IFERROR(__xludf.DUMMYFUNCTION("""COMPUTED_VALUE"""),105)</f>
        <v>105</v>
      </c>
      <c r="S231" s="1">
        <f ca="1">IFERROR(__xludf.DUMMYFUNCTION("""COMPUTED_VALUE"""),151)</f>
        <v>151</v>
      </c>
      <c r="T231" s="1" t="str">
        <f ca="1">IFERROR(__xludf.DUMMYFUNCTION("""COMPUTED_VALUE"""),"+7.34")</f>
        <v>+7.34</v>
      </c>
      <c r="U231" s="1">
        <f ca="1">IFERROR(__xludf.DUMMYFUNCTION("""COMPUTED_VALUE"""),26)</f>
        <v>26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IFERROR(__xludf.DUMMYFUNCTION("""COMPUTED_VALUE"""),"Charleston Southern")</f>
        <v>Charleston Southern</v>
      </c>
      <c r="C232" s="1" t="str">
        <f ca="1">IFERROR(__xludf.DUMMYFUNCTION("""COMPUTED_VALUE"""),"BSth")</f>
        <v>BSth</v>
      </c>
      <c r="D232" s="1" t="str">
        <f ca="1">IFERROR(__xludf.DUMMYFUNCTION("""COMPUTED_VALUE"""),"13-18")</f>
        <v>13-18</v>
      </c>
      <c r="E232" s="1">
        <f ca="1">IFERROR(__xludf.DUMMYFUNCTION("""COMPUTED_VALUE"""),-4.88)</f>
        <v>-4.88</v>
      </c>
      <c r="F232" s="1">
        <f ca="1">IFERROR(__xludf.DUMMYFUNCTION("""COMPUTED_VALUE"""),106.1)</f>
        <v>106.1</v>
      </c>
      <c r="G232" s="1">
        <f ca="1">IFERROR(__xludf.DUMMYFUNCTION("""COMPUTED_VALUE"""),158)</f>
        <v>158</v>
      </c>
      <c r="H232" s="1">
        <f ca="1">IFERROR(__xludf.DUMMYFUNCTION("""COMPUTED_VALUE"""),111)</f>
        <v>111</v>
      </c>
      <c r="I232" s="1">
        <f ca="1">IFERROR(__xludf.DUMMYFUNCTION("""COMPUTED_VALUE"""),275)</f>
        <v>275</v>
      </c>
      <c r="J232" s="1">
        <f ca="1">IFERROR(__xludf.DUMMYFUNCTION("""COMPUTED_VALUE"""),65.7)</f>
        <v>65.7</v>
      </c>
      <c r="K232" s="1">
        <f ca="1">IFERROR(__xludf.DUMMYFUNCTION("""COMPUTED_VALUE"""),121)</f>
        <v>121</v>
      </c>
      <c r="L232" s="1">
        <f ca="1">IFERROR(__xludf.DUMMYFUNCTION("""COMPUTED_VALUE"""),-0.182)</f>
        <v>-0.182</v>
      </c>
      <c r="M232" s="1">
        <f ca="1">IFERROR(__xludf.DUMMYFUNCTION("""COMPUTED_VALUE"""),351)</f>
        <v>351</v>
      </c>
      <c r="N232" s="1">
        <f ca="1">IFERROR(__xludf.DUMMYFUNCTION("""COMPUTED_VALUE"""),-5.51)</f>
        <v>-5.51</v>
      </c>
      <c r="O232" s="1">
        <f ca="1">IFERROR(__xludf.DUMMYFUNCTION("""COMPUTED_VALUE"""),276)</f>
        <v>276</v>
      </c>
      <c r="P232" s="1">
        <f ca="1">IFERROR(__xludf.DUMMYFUNCTION("""COMPUTED_VALUE"""),103.3)</f>
        <v>103.3</v>
      </c>
      <c r="Q232" s="1">
        <f ca="1">IFERROR(__xludf.DUMMYFUNCTION("""COMPUTED_VALUE"""),236)</f>
        <v>236</v>
      </c>
      <c r="R232" s="1">
        <f ca="1">IFERROR(__xludf.DUMMYFUNCTION("""COMPUTED_VALUE"""),108.8)</f>
        <v>108.8</v>
      </c>
      <c r="S232" s="1">
        <f ca="1">IFERROR(__xludf.DUMMYFUNCTION("""COMPUTED_VALUE"""),301)</f>
        <v>301</v>
      </c>
      <c r="T232" s="1" t="str">
        <f ca="1">IFERROR(__xludf.DUMMYFUNCTION("""COMPUTED_VALUE"""),"+6.90")</f>
        <v>+6.90</v>
      </c>
      <c r="U232" s="1">
        <f ca="1">IFERROR(__xludf.DUMMYFUNCTION("""COMPUTED_VALUE"""),27)</f>
        <v>27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IFERROR(__xludf.DUMMYFUNCTION("""COMPUTED_VALUE"""),"Coastal Carolina16")</f>
        <v>Coastal Carolina16</v>
      </c>
      <c r="C233" s="1" t="str">
        <f ca="1">IFERROR(__xludf.DUMMYFUNCTION("""COMPUTED_VALUE"""),"BSth")</f>
        <v>BSth</v>
      </c>
      <c r="D233" s="1" t="str">
        <f ca="1">IFERROR(__xludf.DUMMYFUNCTION("""COMPUTED_VALUE"""),"21-13")</f>
        <v>21-13</v>
      </c>
      <c r="E233" s="1">
        <f ca="1">IFERROR(__xludf.DUMMYFUNCTION("""COMPUTED_VALUE"""),-4.98)</f>
        <v>-4.9800000000000004</v>
      </c>
      <c r="F233" s="1">
        <f ca="1">IFERROR(__xludf.DUMMYFUNCTION("""COMPUTED_VALUE"""),98.2)</f>
        <v>98.2</v>
      </c>
      <c r="G233" s="1">
        <f ca="1">IFERROR(__xludf.DUMMYFUNCTION("""COMPUTED_VALUE"""),290)</f>
        <v>290</v>
      </c>
      <c r="H233" s="1">
        <f ca="1">IFERROR(__xludf.DUMMYFUNCTION("""COMPUTED_VALUE"""),103.2)</f>
        <v>103.2</v>
      </c>
      <c r="I233" s="1">
        <f ca="1">IFERROR(__xludf.DUMMYFUNCTION("""COMPUTED_VALUE"""),133)</f>
        <v>133</v>
      </c>
      <c r="J233" s="1">
        <f ca="1">IFERROR(__xludf.DUMMYFUNCTION("""COMPUTED_VALUE"""),65.6)</f>
        <v>65.599999999999994</v>
      </c>
      <c r="K233" s="1">
        <f ca="1">IFERROR(__xludf.DUMMYFUNCTION("""COMPUTED_VALUE"""),125)</f>
        <v>125</v>
      </c>
      <c r="L233" s="1" t="str">
        <f ca="1">IFERROR(__xludf.DUMMYFUNCTION("""COMPUTED_VALUE"""),"+.040")</f>
        <v>+.040</v>
      </c>
      <c r="M233" s="1">
        <f ca="1">IFERROR(__xludf.DUMMYFUNCTION("""COMPUTED_VALUE"""),89)</f>
        <v>89</v>
      </c>
      <c r="N233" s="1">
        <f ca="1">IFERROR(__xludf.DUMMYFUNCTION("""COMPUTED_VALUE"""),-8.1)</f>
        <v>-8.1</v>
      </c>
      <c r="O233" s="1">
        <f ca="1">IFERROR(__xludf.DUMMYFUNCTION("""COMPUTED_VALUE"""),332)</f>
        <v>332</v>
      </c>
      <c r="P233" s="1">
        <f ca="1">IFERROR(__xludf.DUMMYFUNCTION("""COMPUTED_VALUE"""),102.1)</f>
        <v>102.1</v>
      </c>
      <c r="Q233" s="1">
        <f ca="1">IFERROR(__xludf.DUMMYFUNCTION("""COMPUTED_VALUE"""),297)</f>
        <v>297</v>
      </c>
      <c r="R233" s="1">
        <f ca="1">IFERROR(__xludf.DUMMYFUNCTION("""COMPUTED_VALUE"""),110.2)</f>
        <v>110.2</v>
      </c>
      <c r="S233" s="1">
        <f ca="1">IFERROR(__xludf.DUMMYFUNCTION("""COMPUTED_VALUE"""),342)</f>
        <v>342</v>
      </c>
      <c r="T233" s="1">
        <f ca="1">IFERROR(__xludf.DUMMYFUNCTION("""COMPUTED_VALUE"""),-4.94)</f>
        <v>-4.9400000000000004</v>
      </c>
      <c r="U233" s="1">
        <f ca="1">IFERROR(__xludf.DUMMYFUNCTION("""COMPUTED_VALUE"""),301)</f>
        <v>301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IFERROR(__xludf.DUMMYFUNCTION("""COMPUTED_VALUE"""),"Dartmouth")</f>
        <v>Dartmouth</v>
      </c>
      <c r="C234" s="1" t="str">
        <f ca="1">IFERROR(__xludf.DUMMYFUNCTION("""COMPUTED_VALUE"""),"Ivy")</f>
        <v>Ivy</v>
      </c>
      <c r="D234" s="2">
        <f ca="1">IFERROR(__xludf.DUMMYFUNCTION("""COMPUTED_VALUE"""),44911)</f>
        <v>44911</v>
      </c>
      <c r="E234" s="1">
        <f ca="1">IFERROR(__xludf.DUMMYFUNCTION("""COMPUTED_VALUE"""),-4.99)</f>
        <v>-4.99</v>
      </c>
      <c r="F234" s="1">
        <f ca="1">IFERROR(__xludf.DUMMYFUNCTION("""COMPUTED_VALUE"""),103.6)</f>
        <v>103.6</v>
      </c>
      <c r="G234" s="1">
        <f ca="1">IFERROR(__xludf.DUMMYFUNCTION("""COMPUTED_VALUE"""),201)</f>
        <v>201</v>
      </c>
      <c r="H234" s="1">
        <f ca="1">IFERROR(__xludf.DUMMYFUNCTION("""COMPUTED_VALUE"""),108.6)</f>
        <v>108.6</v>
      </c>
      <c r="I234" s="1">
        <f ca="1">IFERROR(__xludf.DUMMYFUNCTION("""COMPUTED_VALUE"""),240)</f>
        <v>240</v>
      </c>
      <c r="J234" s="1">
        <f ca="1">IFERROR(__xludf.DUMMYFUNCTION("""COMPUTED_VALUE"""),62.8)</f>
        <v>62.8</v>
      </c>
      <c r="K234" s="1">
        <f ca="1">IFERROR(__xludf.DUMMYFUNCTION("""COMPUTED_VALUE"""),270)</f>
        <v>270</v>
      </c>
      <c r="L234" s="1">
        <f ca="1">IFERROR(__xludf.DUMMYFUNCTION("""COMPUTED_VALUE"""),-0.079)</f>
        <v>-7.9000000000000001E-2</v>
      </c>
      <c r="M234" s="1">
        <f ca="1">IFERROR(__xludf.DUMMYFUNCTION("""COMPUTED_VALUE"""),331)</f>
        <v>331</v>
      </c>
      <c r="N234" s="1">
        <f ca="1">IFERROR(__xludf.DUMMYFUNCTION("""COMPUTED_VALUE"""),-3.12)</f>
        <v>-3.12</v>
      </c>
      <c r="O234" s="1">
        <f ca="1">IFERROR(__xludf.DUMMYFUNCTION("""COMPUTED_VALUE"""),223)</f>
        <v>223</v>
      </c>
      <c r="P234" s="1">
        <f ca="1">IFERROR(__xludf.DUMMYFUNCTION("""COMPUTED_VALUE"""),102.3)</f>
        <v>102.3</v>
      </c>
      <c r="Q234" s="1">
        <f ca="1">IFERROR(__xludf.DUMMYFUNCTION("""COMPUTED_VALUE"""),286)</f>
        <v>286</v>
      </c>
      <c r="R234" s="1">
        <f ca="1">IFERROR(__xludf.DUMMYFUNCTION("""COMPUTED_VALUE"""),105.5)</f>
        <v>105.5</v>
      </c>
      <c r="S234" s="1">
        <f ca="1">IFERROR(__xludf.DUMMYFUNCTION("""COMPUTED_VALUE"""),178)</f>
        <v>178</v>
      </c>
      <c r="T234" s="1">
        <f ca="1">IFERROR(__xludf.DUMMYFUNCTION("""COMPUTED_VALUE"""),-6.84)</f>
        <v>-6.84</v>
      </c>
      <c r="U234" s="1">
        <f ca="1">IFERROR(__xludf.DUMMYFUNCTION("""COMPUTED_VALUE"""),327)</f>
        <v>327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IFERROR(__xludf.DUMMYFUNCTION("""COMPUTED_VALUE"""),"Cal St. Northridge")</f>
        <v>Cal St. Northridge</v>
      </c>
      <c r="C235" s="1" t="str">
        <f ca="1">IFERROR(__xludf.DUMMYFUNCTION("""COMPUTED_VALUE"""),"BW")</f>
        <v>BW</v>
      </c>
      <c r="D235" s="1" t="str">
        <f ca="1">IFERROR(__xludf.DUMMYFUNCTION("""COMPUTED_VALUE"""),"17-18")</f>
        <v>17-18</v>
      </c>
      <c r="E235" s="1">
        <f ca="1">IFERROR(__xludf.DUMMYFUNCTION("""COMPUTED_VALUE"""),-5.1)</f>
        <v>-5.0999999999999996</v>
      </c>
      <c r="F235" s="1">
        <f ca="1">IFERROR(__xludf.DUMMYFUNCTION("""COMPUTED_VALUE"""),106.3)</f>
        <v>106.3</v>
      </c>
      <c r="G235" s="1">
        <f ca="1">IFERROR(__xludf.DUMMYFUNCTION("""COMPUTED_VALUE"""),151)</f>
        <v>151</v>
      </c>
      <c r="H235" s="1">
        <f ca="1">IFERROR(__xludf.DUMMYFUNCTION("""COMPUTED_VALUE"""),111.4)</f>
        <v>111.4</v>
      </c>
      <c r="I235" s="1">
        <f ca="1">IFERROR(__xludf.DUMMYFUNCTION("""COMPUTED_VALUE"""),287)</f>
        <v>287</v>
      </c>
      <c r="J235" s="1">
        <f ca="1">IFERROR(__xludf.DUMMYFUNCTION("""COMPUTED_VALUE"""),67.5)</f>
        <v>67.5</v>
      </c>
      <c r="K235" s="1">
        <f ca="1">IFERROR(__xludf.DUMMYFUNCTION("""COMPUTED_VALUE"""),54)</f>
        <v>54</v>
      </c>
      <c r="L235" s="1" t="str">
        <f ca="1">IFERROR(__xludf.DUMMYFUNCTION("""COMPUTED_VALUE"""),"+.029")</f>
        <v>+.029</v>
      </c>
      <c r="M235" s="1">
        <f ca="1">IFERROR(__xludf.DUMMYFUNCTION("""COMPUTED_VALUE"""),114)</f>
        <v>114</v>
      </c>
      <c r="N235" s="1">
        <f ca="1">IFERROR(__xludf.DUMMYFUNCTION("""COMPUTED_VALUE"""),-3.53)</f>
        <v>-3.53</v>
      </c>
      <c r="O235" s="1">
        <f ca="1">IFERROR(__xludf.DUMMYFUNCTION("""COMPUTED_VALUE"""),232)</f>
        <v>232</v>
      </c>
      <c r="P235" s="1">
        <f ca="1">IFERROR(__xludf.DUMMYFUNCTION("""COMPUTED_VALUE"""),103.6)</f>
        <v>103.6</v>
      </c>
      <c r="Q235" s="1">
        <f ca="1">IFERROR(__xludf.DUMMYFUNCTION("""COMPUTED_VALUE"""),219)</f>
        <v>219</v>
      </c>
      <c r="R235" s="1">
        <f ca="1">IFERROR(__xludf.DUMMYFUNCTION("""COMPUTED_VALUE"""),107.1)</f>
        <v>107.1</v>
      </c>
      <c r="S235" s="1">
        <f ca="1">IFERROR(__xludf.DUMMYFUNCTION("""COMPUTED_VALUE"""),247)</f>
        <v>247</v>
      </c>
      <c r="T235" s="1">
        <f ca="1">IFERROR(__xludf.DUMMYFUNCTION("""COMPUTED_VALUE"""),-6.09)</f>
        <v>-6.09</v>
      </c>
      <c r="U235" s="1">
        <f ca="1">IFERROR(__xludf.DUMMYFUNCTION("""COMPUTED_VALUE"""),316)</f>
        <v>316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IFERROR(__xludf.DUMMYFUNCTION("""COMPUTED_VALUE"""),"Morgan St.")</f>
        <v>Morgan St.</v>
      </c>
      <c r="C236" s="1" t="str">
        <f ca="1">IFERROR(__xludf.DUMMYFUNCTION("""COMPUTED_VALUE"""),"MEAC")</f>
        <v>MEAC</v>
      </c>
      <c r="D236" s="1" t="str">
        <f ca="1">IFERROR(__xludf.DUMMYFUNCTION("""COMPUTED_VALUE"""),"15-16")</f>
        <v>15-16</v>
      </c>
      <c r="E236" s="1">
        <f ca="1">IFERROR(__xludf.DUMMYFUNCTION("""COMPUTED_VALUE"""),-5.11)</f>
        <v>-5.1100000000000003</v>
      </c>
      <c r="F236" s="1">
        <f ca="1">IFERROR(__xludf.DUMMYFUNCTION("""COMPUTED_VALUE"""),100.4)</f>
        <v>100.4</v>
      </c>
      <c r="G236" s="1">
        <f ca="1">IFERROR(__xludf.DUMMYFUNCTION("""COMPUTED_VALUE"""),255)</f>
        <v>255</v>
      </c>
      <c r="H236" s="1">
        <f ca="1">IFERROR(__xludf.DUMMYFUNCTION("""COMPUTED_VALUE"""),105.5)</f>
        <v>105.5</v>
      </c>
      <c r="I236" s="1">
        <f ca="1">IFERROR(__xludf.DUMMYFUNCTION("""COMPUTED_VALUE"""),178)</f>
        <v>178</v>
      </c>
      <c r="J236" s="1">
        <f ca="1">IFERROR(__xludf.DUMMYFUNCTION("""COMPUTED_VALUE"""),67.5)</f>
        <v>67.5</v>
      </c>
      <c r="K236" s="1">
        <f ca="1">IFERROR(__xludf.DUMMYFUNCTION("""COMPUTED_VALUE"""),52)</f>
        <v>52</v>
      </c>
      <c r="L236" s="1" t="str">
        <f ca="1">IFERROR(__xludf.DUMMYFUNCTION("""COMPUTED_VALUE"""),"+.005")</f>
        <v>+.005</v>
      </c>
      <c r="M236" s="1">
        <f ca="1">IFERROR(__xludf.DUMMYFUNCTION("""COMPUTED_VALUE"""),172)</f>
        <v>172</v>
      </c>
      <c r="N236" s="1">
        <f ca="1">IFERROR(__xludf.DUMMYFUNCTION("""COMPUTED_VALUE"""),-5.91)</f>
        <v>-5.91</v>
      </c>
      <c r="O236" s="1">
        <f ca="1">IFERROR(__xludf.DUMMYFUNCTION("""COMPUTED_VALUE"""),288)</f>
        <v>288</v>
      </c>
      <c r="P236" s="1">
        <f ca="1">IFERROR(__xludf.DUMMYFUNCTION("""COMPUTED_VALUE"""),101)</f>
        <v>101</v>
      </c>
      <c r="Q236" s="1">
        <f ca="1">IFERROR(__xludf.DUMMYFUNCTION("""COMPUTED_VALUE"""),326)</f>
        <v>326</v>
      </c>
      <c r="R236" s="1">
        <f ca="1">IFERROR(__xludf.DUMMYFUNCTION("""COMPUTED_VALUE"""),106.9)</f>
        <v>106.9</v>
      </c>
      <c r="S236" s="1">
        <f ca="1">IFERROR(__xludf.DUMMYFUNCTION("""COMPUTED_VALUE"""),237)</f>
        <v>237</v>
      </c>
      <c r="T236" s="1" t="str">
        <f ca="1">IFERROR(__xludf.DUMMYFUNCTION("""COMPUTED_VALUE"""),"+6.11")</f>
        <v>+6.11</v>
      </c>
      <c r="U236" s="1">
        <f ca="1">IFERROR(__xludf.DUMMYFUNCTION("""COMPUTED_VALUE"""),36)</f>
        <v>36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IFERROR(__xludf.DUMMYFUNCTION("""COMPUTED_VALUE"""),"Cal St. Bakersfield")</f>
        <v>Cal St. Bakersfield</v>
      </c>
      <c r="C237" s="1" t="str">
        <f ca="1">IFERROR(__xludf.DUMMYFUNCTION("""COMPUTED_VALUE"""),"WAC")</f>
        <v>WAC</v>
      </c>
      <c r="D237" s="1" t="str">
        <f ca="1">IFERROR(__xludf.DUMMYFUNCTION("""COMPUTED_VALUE"""),"13-19")</f>
        <v>13-19</v>
      </c>
      <c r="E237" s="1">
        <f ca="1">IFERROR(__xludf.DUMMYFUNCTION("""COMPUTED_VALUE"""),-5.12)</f>
        <v>-5.12</v>
      </c>
      <c r="F237" s="1">
        <f ca="1">IFERROR(__xludf.DUMMYFUNCTION("""COMPUTED_VALUE"""),100.8)</f>
        <v>100.8</v>
      </c>
      <c r="G237" s="1">
        <f ca="1">IFERROR(__xludf.DUMMYFUNCTION("""COMPUTED_VALUE"""),250)</f>
        <v>250</v>
      </c>
      <c r="H237" s="1">
        <f ca="1">IFERROR(__xludf.DUMMYFUNCTION("""COMPUTED_VALUE"""),105.9)</f>
        <v>105.9</v>
      </c>
      <c r="I237" s="1">
        <f ca="1">IFERROR(__xludf.DUMMYFUNCTION("""COMPUTED_VALUE"""),186)</f>
        <v>186</v>
      </c>
      <c r="J237" s="1">
        <f ca="1">IFERROR(__xludf.DUMMYFUNCTION("""COMPUTED_VALUE"""),63.6)</f>
        <v>63.6</v>
      </c>
      <c r="K237" s="1">
        <f ca="1">IFERROR(__xludf.DUMMYFUNCTION("""COMPUTED_VALUE"""),232)</f>
        <v>232</v>
      </c>
      <c r="L237" s="1">
        <f ca="1">IFERROR(__xludf.DUMMYFUNCTION("""COMPUTED_VALUE"""),-0.088)</f>
        <v>-8.7999999999999995E-2</v>
      </c>
      <c r="M237" s="1">
        <f ca="1">IFERROR(__xludf.DUMMYFUNCTION("""COMPUTED_VALUE"""),337)</f>
        <v>337</v>
      </c>
      <c r="N237" s="1">
        <f ca="1">IFERROR(__xludf.DUMMYFUNCTION("""COMPUTED_VALUE"""),-4.84)</f>
        <v>-4.84</v>
      </c>
      <c r="O237" s="1">
        <f ca="1">IFERROR(__xludf.DUMMYFUNCTION("""COMPUTED_VALUE"""),263)</f>
        <v>263</v>
      </c>
      <c r="P237" s="1">
        <f ca="1">IFERROR(__xludf.DUMMYFUNCTION("""COMPUTED_VALUE"""),103.2)</f>
        <v>103.2</v>
      </c>
      <c r="Q237" s="1">
        <f ca="1">IFERROR(__xludf.DUMMYFUNCTION("""COMPUTED_VALUE"""),245)</f>
        <v>245</v>
      </c>
      <c r="R237" s="1">
        <f ca="1">IFERROR(__xludf.DUMMYFUNCTION("""COMPUTED_VALUE"""),108)</f>
        <v>108</v>
      </c>
      <c r="S237" s="1">
        <f ca="1">IFERROR(__xludf.DUMMYFUNCTION("""COMPUTED_VALUE"""),277)</f>
        <v>277</v>
      </c>
      <c r="T237" s="1">
        <f ca="1">IFERROR(__xludf.DUMMYFUNCTION("""COMPUTED_VALUE"""),-3.13)</f>
        <v>-3.13</v>
      </c>
      <c r="U237" s="1">
        <f ca="1">IFERROR(__xludf.DUMMYFUNCTION("""COMPUTED_VALUE"""),259)</f>
        <v>259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IFERROR(__xludf.DUMMYFUNCTION("""COMPUTED_VALUE"""),"Southeast Missouri St.")</f>
        <v>Southeast Missouri St.</v>
      </c>
      <c r="C238" s="1" t="str">
        <f ca="1">IFERROR(__xludf.DUMMYFUNCTION("""COMPUTED_VALUE"""),"OVC")</f>
        <v>OVC</v>
      </c>
      <c r="D238" s="1" t="str">
        <f ca="1">IFERROR(__xludf.DUMMYFUNCTION("""COMPUTED_VALUE"""),"18-14")</f>
        <v>18-14</v>
      </c>
      <c r="E238" s="1">
        <f ca="1">IFERROR(__xludf.DUMMYFUNCTION("""COMPUTED_VALUE"""),-5.22)</f>
        <v>-5.22</v>
      </c>
      <c r="F238" s="1">
        <f ca="1">IFERROR(__xludf.DUMMYFUNCTION("""COMPUTED_VALUE"""),108.4)</f>
        <v>108.4</v>
      </c>
      <c r="G238" s="1">
        <f ca="1">IFERROR(__xludf.DUMMYFUNCTION("""COMPUTED_VALUE"""),118)</f>
        <v>118</v>
      </c>
      <c r="H238" s="1">
        <f ca="1">IFERROR(__xludf.DUMMYFUNCTION("""COMPUTED_VALUE"""),113.7)</f>
        <v>113.7</v>
      </c>
      <c r="I238" s="1">
        <f ca="1">IFERROR(__xludf.DUMMYFUNCTION("""COMPUTED_VALUE"""),323)</f>
        <v>323</v>
      </c>
      <c r="J238" s="1">
        <f ca="1">IFERROR(__xludf.DUMMYFUNCTION("""COMPUTED_VALUE"""),69)</f>
        <v>69</v>
      </c>
      <c r="K238" s="1">
        <f ca="1">IFERROR(__xludf.DUMMYFUNCTION("""COMPUTED_VALUE"""),20)</f>
        <v>20</v>
      </c>
      <c r="L238" s="1">
        <f ca="1">IFERROR(__xludf.DUMMYFUNCTION("""COMPUTED_VALUE"""),-0.013)</f>
        <v>-1.2999999999999999E-2</v>
      </c>
      <c r="M238" s="1">
        <f ca="1">IFERROR(__xludf.DUMMYFUNCTION("""COMPUTED_VALUE"""),212)</f>
        <v>212</v>
      </c>
      <c r="N238" s="1">
        <f ca="1">IFERROR(__xludf.DUMMYFUNCTION("""COMPUTED_VALUE"""),-8.06)</f>
        <v>-8.06</v>
      </c>
      <c r="O238" s="1">
        <f ca="1">IFERROR(__xludf.DUMMYFUNCTION("""COMPUTED_VALUE"""),329)</f>
        <v>329</v>
      </c>
      <c r="P238" s="1">
        <f ca="1">IFERROR(__xludf.DUMMYFUNCTION("""COMPUTED_VALUE"""),101.9)</f>
        <v>101.9</v>
      </c>
      <c r="Q238" s="1">
        <f ca="1">IFERROR(__xludf.DUMMYFUNCTION("""COMPUTED_VALUE"""),302)</f>
        <v>302</v>
      </c>
      <c r="R238" s="1">
        <f ca="1">IFERROR(__xludf.DUMMYFUNCTION("""COMPUTED_VALUE"""),110)</f>
        <v>110</v>
      </c>
      <c r="S238" s="1">
        <f ca="1">IFERROR(__xludf.DUMMYFUNCTION("""COMPUTED_VALUE"""),337)</f>
        <v>337</v>
      </c>
      <c r="T238" s="1">
        <f ca="1">IFERROR(__xludf.DUMMYFUNCTION("""COMPUTED_VALUE"""),-7.82)</f>
        <v>-7.82</v>
      </c>
      <c r="U238" s="1">
        <f ca="1">IFERROR(__xludf.DUMMYFUNCTION("""COMPUTED_VALUE"""),335)</f>
        <v>335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IFERROR(__xludf.DUMMYFUNCTION("""COMPUTED_VALUE"""),"Northern Colorado")</f>
        <v>Northern Colorado</v>
      </c>
      <c r="C239" s="1" t="str">
        <f ca="1">IFERROR(__xludf.DUMMYFUNCTION("""COMPUTED_VALUE"""),"BSky")</f>
        <v>BSky</v>
      </c>
      <c r="D239" s="1" t="str">
        <f ca="1">IFERROR(__xludf.DUMMYFUNCTION("""COMPUTED_VALUE"""),"18-14")</f>
        <v>18-14</v>
      </c>
      <c r="E239" s="1">
        <f ca="1">IFERROR(__xludf.DUMMYFUNCTION("""COMPUTED_VALUE"""),-5.3)</f>
        <v>-5.3</v>
      </c>
      <c r="F239" s="1">
        <f ca="1">IFERROR(__xludf.DUMMYFUNCTION("""COMPUTED_VALUE"""),108.8)</f>
        <v>108.8</v>
      </c>
      <c r="G239" s="1">
        <f ca="1">IFERROR(__xludf.DUMMYFUNCTION("""COMPUTED_VALUE"""),110)</f>
        <v>110</v>
      </c>
      <c r="H239" s="1">
        <f ca="1">IFERROR(__xludf.DUMMYFUNCTION("""COMPUTED_VALUE"""),114.1)</f>
        <v>114.1</v>
      </c>
      <c r="I239" s="1">
        <f ca="1">IFERROR(__xludf.DUMMYFUNCTION("""COMPUTED_VALUE"""),325)</f>
        <v>325</v>
      </c>
      <c r="J239" s="1">
        <f ca="1">IFERROR(__xludf.DUMMYFUNCTION("""COMPUTED_VALUE"""),62.7)</f>
        <v>62.7</v>
      </c>
      <c r="K239" s="1">
        <f ca="1">IFERROR(__xludf.DUMMYFUNCTION("""COMPUTED_VALUE"""),275)</f>
        <v>275</v>
      </c>
      <c r="L239" s="1">
        <f ca="1">IFERROR(__xludf.DUMMYFUNCTION("""COMPUTED_VALUE"""),-0.017)</f>
        <v>-1.7000000000000001E-2</v>
      </c>
      <c r="M239" s="1">
        <f ca="1">IFERROR(__xludf.DUMMYFUNCTION("""COMPUTED_VALUE"""),219)</f>
        <v>219</v>
      </c>
      <c r="N239" s="1">
        <f ca="1">IFERROR(__xludf.DUMMYFUNCTION("""COMPUTED_VALUE"""),-7.9)</f>
        <v>-7.9</v>
      </c>
      <c r="O239" s="1">
        <f ca="1">IFERROR(__xludf.DUMMYFUNCTION("""COMPUTED_VALUE"""),327)</f>
        <v>327</v>
      </c>
      <c r="P239" s="1">
        <f ca="1">IFERROR(__xludf.DUMMYFUNCTION("""COMPUTED_VALUE"""),102)</f>
        <v>102</v>
      </c>
      <c r="Q239" s="1">
        <f ca="1">IFERROR(__xludf.DUMMYFUNCTION("""COMPUTED_VALUE"""),300)</f>
        <v>300</v>
      </c>
      <c r="R239" s="1">
        <f ca="1">IFERROR(__xludf.DUMMYFUNCTION("""COMPUTED_VALUE"""),109.9)</f>
        <v>109.9</v>
      </c>
      <c r="S239" s="1">
        <f ca="1">IFERROR(__xludf.DUMMYFUNCTION("""COMPUTED_VALUE"""),336)</f>
        <v>336</v>
      </c>
      <c r="T239" s="1">
        <f ca="1">IFERROR(__xludf.DUMMYFUNCTION("""COMPUTED_VALUE"""),-0.85)</f>
        <v>-0.85</v>
      </c>
      <c r="U239" s="1">
        <f ca="1">IFERROR(__xludf.DUMMYFUNCTION("""COMPUTED_VALUE"""),186)</f>
        <v>186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IFERROR(__xludf.DUMMYFUNCTION("""COMPUTED_VALUE"""),"Army")</f>
        <v>Army</v>
      </c>
      <c r="C240" s="1" t="str">
        <f ca="1">IFERROR(__xludf.DUMMYFUNCTION("""COMPUTED_VALUE"""),"Pat")</f>
        <v>Pat</v>
      </c>
      <c r="D240" s="1" t="str">
        <f ca="1">IFERROR(__xludf.DUMMYFUNCTION("""COMPUTED_VALUE"""),"15-16")</f>
        <v>15-16</v>
      </c>
      <c r="E240" s="1">
        <f ca="1">IFERROR(__xludf.DUMMYFUNCTION("""COMPUTED_VALUE"""),-5.31)</f>
        <v>-5.31</v>
      </c>
      <c r="F240" s="1">
        <f ca="1">IFERROR(__xludf.DUMMYFUNCTION("""COMPUTED_VALUE"""),105.1)</f>
        <v>105.1</v>
      </c>
      <c r="G240" s="1">
        <f ca="1">IFERROR(__xludf.DUMMYFUNCTION("""COMPUTED_VALUE"""),181)</f>
        <v>181</v>
      </c>
      <c r="H240" s="1">
        <f ca="1">IFERROR(__xludf.DUMMYFUNCTION("""COMPUTED_VALUE"""),110.4)</f>
        <v>110.4</v>
      </c>
      <c r="I240" s="1">
        <f ca="1">IFERROR(__xludf.DUMMYFUNCTION("""COMPUTED_VALUE"""),269)</f>
        <v>269</v>
      </c>
      <c r="J240" s="1">
        <f ca="1">IFERROR(__xludf.DUMMYFUNCTION("""COMPUTED_VALUE"""),67)</f>
        <v>67</v>
      </c>
      <c r="K240" s="1">
        <f ca="1">IFERROR(__xludf.DUMMYFUNCTION("""COMPUTED_VALUE"""),64)</f>
        <v>64</v>
      </c>
      <c r="L240" s="1" t="str">
        <f ca="1">IFERROR(__xludf.DUMMYFUNCTION("""COMPUTED_VALUE"""),"+.016")</f>
        <v>+.016</v>
      </c>
      <c r="M240" s="1">
        <f ca="1">IFERROR(__xludf.DUMMYFUNCTION("""COMPUTED_VALUE"""),145)</f>
        <v>145</v>
      </c>
      <c r="N240" s="1">
        <f ca="1">IFERROR(__xludf.DUMMYFUNCTION("""COMPUTED_VALUE"""),-4.44)</f>
        <v>-4.4400000000000004</v>
      </c>
      <c r="O240" s="1">
        <f ca="1">IFERROR(__xludf.DUMMYFUNCTION("""COMPUTED_VALUE"""),247)</f>
        <v>247</v>
      </c>
      <c r="P240" s="1">
        <f ca="1">IFERROR(__xludf.DUMMYFUNCTION("""COMPUTED_VALUE"""),102.3)</f>
        <v>102.3</v>
      </c>
      <c r="Q240" s="1">
        <f ca="1">IFERROR(__xludf.DUMMYFUNCTION("""COMPUTED_VALUE"""),287)</f>
        <v>287</v>
      </c>
      <c r="R240" s="1">
        <f ca="1">IFERROR(__xludf.DUMMYFUNCTION("""COMPUTED_VALUE"""),106.7)</f>
        <v>106.7</v>
      </c>
      <c r="S240" s="1">
        <f ca="1">IFERROR(__xludf.DUMMYFUNCTION("""COMPUTED_VALUE"""),228)</f>
        <v>228</v>
      </c>
      <c r="T240" s="1">
        <f ca="1">IFERROR(__xludf.DUMMYFUNCTION("""COMPUTED_VALUE"""),-8.02)</f>
        <v>-8.02</v>
      </c>
      <c r="U240" s="1">
        <f ca="1">IFERROR(__xludf.DUMMYFUNCTION("""COMPUTED_VALUE"""),338)</f>
        <v>338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IFERROR(__xludf.DUMMYFUNCTION("""COMPUTED_VALUE"""),"Winthrop")</f>
        <v>Winthrop</v>
      </c>
      <c r="C241" s="1" t="str">
        <f ca="1">IFERROR(__xludf.DUMMYFUNCTION("""COMPUTED_VALUE"""),"BSth")</f>
        <v>BSth</v>
      </c>
      <c r="D241" s="1" t="str">
        <f ca="1">IFERROR(__xludf.DUMMYFUNCTION("""COMPUTED_VALUE"""),"20-13")</f>
        <v>20-13</v>
      </c>
      <c r="E241" s="1">
        <f ca="1">IFERROR(__xludf.DUMMYFUNCTION("""COMPUTED_VALUE"""),-5.41)</f>
        <v>-5.41</v>
      </c>
      <c r="F241" s="1">
        <f ca="1">IFERROR(__xludf.DUMMYFUNCTION("""COMPUTED_VALUE"""),103.2)</f>
        <v>103.2</v>
      </c>
      <c r="G241" s="1">
        <f ca="1">IFERROR(__xludf.DUMMYFUNCTION("""COMPUTED_VALUE"""),210)</f>
        <v>210</v>
      </c>
      <c r="H241" s="1">
        <f ca="1">IFERROR(__xludf.DUMMYFUNCTION("""COMPUTED_VALUE"""),108.6)</f>
        <v>108.6</v>
      </c>
      <c r="I241" s="1">
        <f ca="1">IFERROR(__xludf.DUMMYFUNCTION("""COMPUTED_VALUE"""),241)</f>
        <v>241</v>
      </c>
      <c r="J241" s="1">
        <f ca="1">IFERROR(__xludf.DUMMYFUNCTION("""COMPUTED_VALUE"""),64.3)</f>
        <v>64.3</v>
      </c>
      <c r="K241" s="1">
        <f ca="1">IFERROR(__xludf.DUMMYFUNCTION("""COMPUTED_VALUE"""),199)</f>
        <v>199</v>
      </c>
      <c r="L241" s="1" t="str">
        <f ca="1">IFERROR(__xludf.DUMMYFUNCTION("""COMPUTED_VALUE"""),"+.060")</f>
        <v>+.060</v>
      </c>
      <c r="M241" s="1">
        <f ca="1">IFERROR(__xludf.DUMMYFUNCTION("""COMPUTED_VALUE"""),51)</f>
        <v>51</v>
      </c>
      <c r="N241" s="1">
        <f ca="1">IFERROR(__xludf.DUMMYFUNCTION("""COMPUTED_VALUE"""),-6.91)</f>
        <v>-6.91</v>
      </c>
      <c r="O241" s="1">
        <f ca="1">IFERROR(__xludf.DUMMYFUNCTION("""COMPUTED_VALUE"""),306)</f>
        <v>306</v>
      </c>
      <c r="P241" s="1">
        <f ca="1">IFERROR(__xludf.DUMMYFUNCTION("""COMPUTED_VALUE"""),101.9)</f>
        <v>101.9</v>
      </c>
      <c r="Q241" s="1">
        <f ca="1">IFERROR(__xludf.DUMMYFUNCTION("""COMPUTED_VALUE"""),303)</f>
        <v>303</v>
      </c>
      <c r="R241" s="1">
        <f ca="1">IFERROR(__xludf.DUMMYFUNCTION("""COMPUTED_VALUE"""),108.8)</f>
        <v>108.8</v>
      </c>
      <c r="S241" s="1">
        <f ca="1">IFERROR(__xludf.DUMMYFUNCTION("""COMPUTED_VALUE"""),303)</f>
        <v>303</v>
      </c>
      <c r="T241" s="1" t="str">
        <f ca="1">IFERROR(__xludf.DUMMYFUNCTION("""COMPUTED_VALUE"""),"+0.45")</f>
        <v>+0.45</v>
      </c>
      <c r="U241" s="1">
        <f ca="1">IFERROR(__xludf.DUMMYFUNCTION("""COMPUTED_VALUE"""),148)</f>
        <v>148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IFERROR(__xludf.DUMMYFUNCTION("""COMPUTED_VALUE"""),"Texas A&amp;M Corpus Chris")</f>
        <v>Texas A&amp;M Corpus Chris</v>
      </c>
      <c r="C242" s="1" t="str">
        <f ca="1">IFERROR(__xludf.DUMMYFUNCTION("""COMPUTED_VALUE"""),"Slnd")</f>
        <v>Slnd</v>
      </c>
      <c r="D242" s="1" t="str">
        <f ca="1">IFERROR(__xludf.DUMMYFUNCTION("""COMPUTED_VALUE"""),"18-16")</f>
        <v>18-16</v>
      </c>
      <c r="E242" s="1">
        <f ca="1">IFERROR(__xludf.DUMMYFUNCTION("""COMPUTED_VALUE"""),-5.47)</f>
        <v>-5.47</v>
      </c>
      <c r="F242" s="1">
        <f ca="1">IFERROR(__xludf.DUMMYFUNCTION("""COMPUTED_VALUE"""),105.2)</f>
        <v>105.2</v>
      </c>
      <c r="G242" s="1">
        <f ca="1">IFERROR(__xludf.DUMMYFUNCTION("""COMPUTED_VALUE"""),180)</f>
        <v>180</v>
      </c>
      <c r="H242" s="1">
        <f ca="1">IFERROR(__xludf.DUMMYFUNCTION("""COMPUTED_VALUE"""),110.6)</f>
        <v>110.6</v>
      </c>
      <c r="I242" s="1">
        <f ca="1">IFERROR(__xludf.DUMMYFUNCTION("""COMPUTED_VALUE"""),272)</f>
        <v>272</v>
      </c>
      <c r="J242" s="1">
        <f ca="1">IFERROR(__xludf.DUMMYFUNCTION("""COMPUTED_VALUE"""),60.5)</f>
        <v>60.5</v>
      </c>
      <c r="K242" s="1">
        <f ca="1">IFERROR(__xludf.DUMMYFUNCTION("""COMPUTED_VALUE"""),336)</f>
        <v>336</v>
      </c>
      <c r="L242" s="1" t="str">
        <f ca="1">IFERROR(__xludf.DUMMYFUNCTION("""COMPUTED_VALUE"""),"+.016")</f>
        <v>+.016</v>
      </c>
      <c r="M242" s="1">
        <f ca="1">IFERROR(__xludf.DUMMYFUNCTION("""COMPUTED_VALUE"""),143)</f>
        <v>143</v>
      </c>
      <c r="N242" s="1">
        <f ca="1">IFERROR(__xludf.DUMMYFUNCTION("""COMPUTED_VALUE"""),-8.48)</f>
        <v>-8.48</v>
      </c>
      <c r="O242" s="1">
        <f ca="1">IFERROR(__xludf.DUMMYFUNCTION("""COMPUTED_VALUE"""),336)</f>
        <v>336</v>
      </c>
      <c r="P242" s="1">
        <f ca="1">IFERROR(__xludf.DUMMYFUNCTION("""COMPUTED_VALUE"""),102.1)</f>
        <v>102.1</v>
      </c>
      <c r="Q242" s="1">
        <f ca="1">IFERROR(__xludf.DUMMYFUNCTION("""COMPUTED_VALUE"""),295)</f>
        <v>295</v>
      </c>
      <c r="R242" s="1">
        <f ca="1">IFERROR(__xludf.DUMMYFUNCTION("""COMPUTED_VALUE"""),110.6)</f>
        <v>110.6</v>
      </c>
      <c r="S242" s="1">
        <f ca="1">IFERROR(__xludf.DUMMYFUNCTION("""COMPUTED_VALUE"""),348)</f>
        <v>348</v>
      </c>
      <c r="T242" s="1">
        <f ca="1">IFERROR(__xludf.DUMMYFUNCTION("""COMPUTED_VALUE"""),-3.28)</f>
        <v>-3.28</v>
      </c>
      <c r="U242" s="1">
        <f ca="1">IFERROR(__xludf.DUMMYFUNCTION("""COMPUTED_VALUE"""),264)</f>
        <v>264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IFERROR(__xludf.DUMMYFUNCTION("""COMPUTED_VALUE"""),"FIU")</f>
        <v>FIU</v>
      </c>
      <c r="C243" s="1" t="str">
        <f ca="1">IFERROR(__xludf.DUMMYFUNCTION("""COMPUTED_VALUE"""),"CUSA")</f>
        <v>CUSA</v>
      </c>
      <c r="D243" s="1" t="str">
        <f ca="1">IFERROR(__xludf.DUMMYFUNCTION("""COMPUTED_VALUE"""),"15-16")</f>
        <v>15-16</v>
      </c>
      <c r="E243" s="1">
        <f ca="1">IFERROR(__xludf.DUMMYFUNCTION("""COMPUTED_VALUE"""),-5.48)</f>
        <v>-5.48</v>
      </c>
      <c r="F243" s="1">
        <f ca="1">IFERROR(__xludf.DUMMYFUNCTION("""COMPUTED_VALUE"""),101.4)</f>
        <v>101.4</v>
      </c>
      <c r="G243" s="1">
        <f ca="1">IFERROR(__xludf.DUMMYFUNCTION("""COMPUTED_VALUE"""),236)</f>
        <v>236</v>
      </c>
      <c r="H243" s="1">
        <f ca="1">IFERROR(__xludf.DUMMYFUNCTION("""COMPUTED_VALUE"""),106.9)</f>
        <v>106.9</v>
      </c>
      <c r="I243" s="1">
        <f ca="1">IFERROR(__xludf.DUMMYFUNCTION("""COMPUTED_VALUE"""),210)</f>
        <v>210</v>
      </c>
      <c r="J243" s="1">
        <f ca="1">IFERROR(__xludf.DUMMYFUNCTION("""COMPUTED_VALUE"""),64.7)</f>
        <v>64.7</v>
      </c>
      <c r="K243" s="1">
        <f ca="1">IFERROR(__xludf.DUMMYFUNCTION("""COMPUTED_VALUE"""),174)</f>
        <v>174</v>
      </c>
      <c r="L243" s="1" t="str">
        <f ca="1">IFERROR(__xludf.DUMMYFUNCTION("""COMPUTED_VALUE"""),"+.054")</f>
        <v>+.054</v>
      </c>
      <c r="M243" s="1">
        <f ca="1">IFERROR(__xludf.DUMMYFUNCTION("""COMPUTED_VALUE"""),67)</f>
        <v>67</v>
      </c>
      <c r="N243" s="1">
        <f ca="1">IFERROR(__xludf.DUMMYFUNCTION("""COMPUTED_VALUE"""),-2.55)</f>
        <v>-2.5499999999999998</v>
      </c>
      <c r="O243" s="1">
        <f ca="1">IFERROR(__xludf.DUMMYFUNCTION("""COMPUTED_VALUE"""),204)</f>
        <v>204</v>
      </c>
      <c r="P243" s="1">
        <f ca="1">IFERROR(__xludf.DUMMYFUNCTION("""COMPUTED_VALUE"""),103.3)</f>
        <v>103.3</v>
      </c>
      <c r="Q243" s="1">
        <f ca="1">IFERROR(__xludf.DUMMYFUNCTION("""COMPUTED_VALUE"""),234)</f>
        <v>234</v>
      </c>
      <c r="R243" s="1">
        <f ca="1">IFERROR(__xludf.DUMMYFUNCTION("""COMPUTED_VALUE"""),105.9)</f>
        <v>105.9</v>
      </c>
      <c r="S243" s="1">
        <f ca="1">IFERROR(__xludf.DUMMYFUNCTION("""COMPUTED_VALUE"""),195)</f>
        <v>195</v>
      </c>
      <c r="T243" s="1">
        <f ca="1">IFERROR(__xludf.DUMMYFUNCTION("""COMPUTED_VALUE"""),-2.84)</f>
        <v>-2.84</v>
      </c>
      <c r="U243" s="1">
        <f ca="1">IFERROR(__xludf.DUMMYFUNCTION("""COMPUTED_VALUE"""),242)</f>
        <v>242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IFERROR(__xludf.DUMMYFUNCTION("""COMPUTED_VALUE"""),"North Texas")</f>
        <v>North Texas</v>
      </c>
      <c r="C244" s="1" t="str">
        <f ca="1">IFERROR(__xludf.DUMMYFUNCTION("""COMPUTED_VALUE"""),"CUSA")</f>
        <v>CUSA</v>
      </c>
      <c r="D244" s="1" t="str">
        <f ca="1">IFERROR(__xludf.DUMMYFUNCTION("""COMPUTED_VALUE"""),"16-16")</f>
        <v>16-16</v>
      </c>
      <c r="E244" s="1">
        <f ca="1">IFERROR(__xludf.DUMMYFUNCTION("""COMPUTED_VALUE"""),-5.56)</f>
        <v>-5.56</v>
      </c>
      <c r="F244" s="1">
        <f ca="1">IFERROR(__xludf.DUMMYFUNCTION("""COMPUTED_VALUE"""),99.4)</f>
        <v>99.4</v>
      </c>
      <c r="G244" s="1">
        <f ca="1">IFERROR(__xludf.DUMMYFUNCTION("""COMPUTED_VALUE"""),272)</f>
        <v>272</v>
      </c>
      <c r="H244" s="1">
        <f ca="1">IFERROR(__xludf.DUMMYFUNCTION("""COMPUTED_VALUE"""),104.9)</f>
        <v>104.9</v>
      </c>
      <c r="I244" s="1">
        <f ca="1">IFERROR(__xludf.DUMMYFUNCTION("""COMPUTED_VALUE"""),166)</f>
        <v>166</v>
      </c>
      <c r="J244" s="1">
        <f ca="1">IFERROR(__xludf.DUMMYFUNCTION("""COMPUTED_VALUE"""),66.9)</f>
        <v>66.900000000000006</v>
      </c>
      <c r="K244" s="1">
        <f ca="1">IFERROR(__xludf.DUMMYFUNCTION("""COMPUTED_VALUE"""),67)</f>
        <v>67</v>
      </c>
      <c r="L244" s="1" t="str">
        <f ca="1">IFERROR(__xludf.DUMMYFUNCTION("""COMPUTED_VALUE"""),"+.047")</f>
        <v>+.047</v>
      </c>
      <c r="M244" s="1">
        <f ca="1">IFERROR(__xludf.DUMMYFUNCTION("""COMPUTED_VALUE"""),75)</f>
        <v>75</v>
      </c>
      <c r="N244" s="1">
        <f ca="1">IFERROR(__xludf.DUMMYFUNCTION("""COMPUTED_VALUE"""),-2.74)</f>
        <v>-2.74</v>
      </c>
      <c r="O244" s="1">
        <f ca="1">IFERROR(__xludf.DUMMYFUNCTION("""COMPUTED_VALUE"""),213)</f>
        <v>213</v>
      </c>
      <c r="P244" s="1">
        <f ca="1">IFERROR(__xludf.DUMMYFUNCTION("""COMPUTED_VALUE"""),103)</f>
        <v>103</v>
      </c>
      <c r="Q244" s="1">
        <f ca="1">IFERROR(__xludf.DUMMYFUNCTION("""COMPUTED_VALUE"""),259)</f>
        <v>259</v>
      </c>
      <c r="R244" s="1">
        <f ca="1">IFERROR(__xludf.DUMMYFUNCTION("""COMPUTED_VALUE"""),105.8)</f>
        <v>105.8</v>
      </c>
      <c r="S244" s="1">
        <f ca="1">IFERROR(__xludf.DUMMYFUNCTION("""COMPUTED_VALUE"""),188)</f>
        <v>188</v>
      </c>
      <c r="T244" s="1">
        <f ca="1">IFERROR(__xludf.DUMMYFUNCTION("""COMPUTED_VALUE"""),-3.08)</f>
        <v>-3.08</v>
      </c>
      <c r="U244" s="1">
        <f ca="1">IFERROR(__xludf.DUMMYFUNCTION("""COMPUTED_VALUE"""),258)</f>
        <v>258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IFERROR(__xludf.DUMMYFUNCTION("""COMPUTED_VALUE"""),"Eastern Washington")</f>
        <v>Eastern Washington</v>
      </c>
      <c r="C245" s="1" t="str">
        <f ca="1">IFERROR(__xludf.DUMMYFUNCTION("""COMPUTED_VALUE"""),"BSky")</f>
        <v>BSky</v>
      </c>
      <c r="D245" s="1" t="str">
        <f ca="1">IFERROR(__xludf.DUMMYFUNCTION("""COMPUTED_VALUE"""),"15-16")</f>
        <v>15-16</v>
      </c>
      <c r="E245" s="1">
        <f ca="1">IFERROR(__xludf.DUMMYFUNCTION("""COMPUTED_VALUE"""),-5.56)</f>
        <v>-5.56</v>
      </c>
      <c r="F245" s="1">
        <f ca="1">IFERROR(__xludf.DUMMYFUNCTION("""COMPUTED_VALUE"""),105.7)</f>
        <v>105.7</v>
      </c>
      <c r="G245" s="1">
        <f ca="1">IFERROR(__xludf.DUMMYFUNCTION("""COMPUTED_VALUE"""),169)</f>
        <v>169</v>
      </c>
      <c r="H245" s="1">
        <f ca="1">IFERROR(__xludf.DUMMYFUNCTION("""COMPUTED_VALUE"""),111.3)</f>
        <v>111.3</v>
      </c>
      <c r="I245" s="1">
        <f ca="1">IFERROR(__xludf.DUMMYFUNCTION("""COMPUTED_VALUE"""),282)</f>
        <v>282</v>
      </c>
      <c r="J245" s="1">
        <f ca="1">IFERROR(__xludf.DUMMYFUNCTION("""COMPUTED_VALUE"""),69)</f>
        <v>69</v>
      </c>
      <c r="K245" s="1">
        <f ca="1">IFERROR(__xludf.DUMMYFUNCTION("""COMPUTED_VALUE"""),19)</f>
        <v>19</v>
      </c>
      <c r="L245" s="1">
        <f ca="1">IFERROR(__xludf.DUMMYFUNCTION("""COMPUTED_VALUE"""),-0.028)</f>
        <v>-2.8000000000000001E-2</v>
      </c>
      <c r="M245" s="1">
        <f ca="1">IFERROR(__xludf.DUMMYFUNCTION("""COMPUTED_VALUE"""),243)</f>
        <v>243</v>
      </c>
      <c r="N245" s="1">
        <f ca="1">IFERROR(__xludf.DUMMYFUNCTION("""COMPUTED_VALUE"""),-5.44)</f>
        <v>-5.44</v>
      </c>
      <c r="O245" s="1">
        <f ca="1">IFERROR(__xludf.DUMMYFUNCTION("""COMPUTED_VALUE"""),273)</f>
        <v>273</v>
      </c>
      <c r="P245" s="1">
        <f ca="1">IFERROR(__xludf.DUMMYFUNCTION("""COMPUTED_VALUE"""),103.2)</f>
        <v>103.2</v>
      </c>
      <c r="Q245" s="1">
        <f ca="1">IFERROR(__xludf.DUMMYFUNCTION("""COMPUTED_VALUE"""),241)</f>
        <v>241</v>
      </c>
      <c r="R245" s="1">
        <f ca="1">IFERROR(__xludf.DUMMYFUNCTION("""COMPUTED_VALUE"""),108.7)</f>
        <v>108.7</v>
      </c>
      <c r="S245" s="1">
        <f ca="1">IFERROR(__xludf.DUMMYFUNCTION("""COMPUTED_VALUE"""),292)</f>
        <v>292</v>
      </c>
      <c r="T245" s="1" t="str">
        <f ca="1">IFERROR(__xludf.DUMMYFUNCTION("""COMPUTED_VALUE"""),"+6.45")</f>
        <v>+6.45</v>
      </c>
      <c r="U245" s="1">
        <f ca="1">IFERROR(__xludf.DUMMYFUNCTION("""COMPUTED_VALUE"""),33)</f>
        <v>33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IFERROR(__xludf.DUMMYFUNCTION("""COMPUTED_VALUE"""),"Hartford")</f>
        <v>Hartford</v>
      </c>
      <c r="C246" s="1" t="str">
        <f ca="1">IFERROR(__xludf.DUMMYFUNCTION("""COMPUTED_VALUE"""),"AE")</f>
        <v>AE</v>
      </c>
      <c r="D246" s="1" t="str">
        <f ca="1">IFERROR(__xludf.DUMMYFUNCTION("""COMPUTED_VALUE"""),"17-16")</f>
        <v>17-16</v>
      </c>
      <c r="E246" s="1">
        <f ca="1">IFERROR(__xludf.DUMMYFUNCTION("""COMPUTED_VALUE"""),-5.62)</f>
        <v>-5.62</v>
      </c>
      <c r="F246" s="1">
        <f ca="1">IFERROR(__xludf.DUMMYFUNCTION("""COMPUTED_VALUE"""),102.2)</f>
        <v>102.2</v>
      </c>
      <c r="G246" s="1">
        <f ca="1">IFERROR(__xludf.DUMMYFUNCTION("""COMPUTED_VALUE"""),227)</f>
        <v>227</v>
      </c>
      <c r="H246" s="1">
        <f ca="1">IFERROR(__xludf.DUMMYFUNCTION("""COMPUTED_VALUE"""),107.8)</f>
        <v>107.8</v>
      </c>
      <c r="I246" s="1">
        <f ca="1">IFERROR(__xludf.DUMMYFUNCTION("""COMPUTED_VALUE"""),226)</f>
        <v>226</v>
      </c>
      <c r="J246" s="1">
        <f ca="1">IFERROR(__xludf.DUMMYFUNCTION("""COMPUTED_VALUE"""),61.9)</f>
        <v>61.9</v>
      </c>
      <c r="K246" s="1">
        <f ca="1">IFERROR(__xludf.DUMMYFUNCTION("""COMPUTED_VALUE"""),307)</f>
        <v>307</v>
      </c>
      <c r="L246" s="1" t="str">
        <f ca="1">IFERROR(__xludf.DUMMYFUNCTION("""COMPUTED_VALUE"""),"+.028")</f>
        <v>+.028</v>
      </c>
      <c r="M246" s="1">
        <f ca="1">IFERROR(__xludf.DUMMYFUNCTION("""COMPUTED_VALUE"""),115)</f>
        <v>115</v>
      </c>
      <c r="N246" s="1">
        <f ca="1">IFERROR(__xludf.DUMMYFUNCTION("""COMPUTED_VALUE"""),-6.73)</f>
        <v>-6.73</v>
      </c>
      <c r="O246" s="1">
        <f ca="1">IFERROR(__xludf.DUMMYFUNCTION("""COMPUTED_VALUE"""),302)</f>
        <v>302</v>
      </c>
      <c r="P246" s="1">
        <f ca="1">IFERROR(__xludf.DUMMYFUNCTION("""COMPUTED_VALUE"""),100.3)</f>
        <v>100.3</v>
      </c>
      <c r="Q246" s="1">
        <f ca="1">IFERROR(__xludf.DUMMYFUNCTION("""COMPUTED_VALUE"""),333)</f>
        <v>333</v>
      </c>
      <c r="R246" s="1">
        <f ca="1">IFERROR(__xludf.DUMMYFUNCTION("""COMPUTED_VALUE"""),107.1)</f>
        <v>107.1</v>
      </c>
      <c r="S246" s="1">
        <f ca="1">IFERROR(__xludf.DUMMYFUNCTION("""COMPUTED_VALUE"""),244)</f>
        <v>244</v>
      </c>
      <c r="T246" s="1">
        <f ca="1">IFERROR(__xludf.DUMMYFUNCTION("""COMPUTED_VALUE"""),-1.38)</f>
        <v>-1.38</v>
      </c>
      <c r="U246" s="1">
        <f ca="1">IFERROR(__xludf.DUMMYFUNCTION("""COMPUTED_VALUE"""),203)</f>
        <v>203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IFERROR(__xludf.DUMMYFUNCTION("""COMPUTED_VALUE"""),"UNC Asheville")</f>
        <v>UNC Asheville</v>
      </c>
      <c r="C247" s="1" t="str">
        <f ca="1">IFERROR(__xludf.DUMMYFUNCTION("""COMPUTED_VALUE"""),"BSth")</f>
        <v>BSth</v>
      </c>
      <c r="D247" s="1" t="str">
        <f ca="1">IFERROR(__xludf.DUMMYFUNCTION("""COMPUTED_VALUE"""),"17-15")</f>
        <v>17-15</v>
      </c>
      <c r="E247" s="1">
        <f ca="1">IFERROR(__xludf.DUMMYFUNCTION("""COMPUTED_VALUE"""),-5.75)</f>
        <v>-5.75</v>
      </c>
      <c r="F247" s="1">
        <f ca="1">IFERROR(__xludf.DUMMYFUNCTION("""COMPUTED_VALUE"""),106.7)</f>
        <v>106.7</v>
      </c>
      <c r="G247" s="1">
        <f ca="1">IFERROR(__xludf.DUMMYFUNCTION("""COMPUTED_VALUE"""),141)</f>
        <v>141</v>
      </c>
      <c r="H247" s="1">
        <f ca="1">IFERROR(__xludf.DUMMYFUNCTION("""COMPUTED_VALUE"""),112.5)</f>
        <v>112.5</v>
      </c>
      <c r="I247" s="1">
        <f ca="1">IFERROR(__xludf.DUMMYFUNCTION("""COMPUTED_VALUE"""),306)</f>
        <v>306</v>
      </c>
      <c r="J247" s="1">
        <f ca="1">IFERROR(__xludf.DUMMYFUNCTION("""COMPUTED_VALUE"""),69)</f>
        <v>69</v>
      </c>
      <c r="K247" s="1">
        <f ca="1">IFERROR(__xludf.DUMMYFUNCTION("""COMPUTED_VALUE"""),21)</f>
        <v>21</v>
      </c>
      <c r="L247" s="1" t="str">
        <f ca="1">IFERROR(__xludf.DUMMYFUNCTION("""COMPUTED_VALUE"""),"+.026")</f>
        <v>+.026</v>
      </c>
      <c r="M247" s="1">
        <f ca="1">IFERROR(__xludf.DUMMYFUNCTION("""COMPUTED_VALUE"""),120)</f>
        <v>120</v>
      </c>
      <c r="N247" s="1">
        <f ca="1">IFERROR(__xludf.DUMMYFUNCTION("""COMPUTED_VALUE"""),-5.7)</f>
        <v>-5.7</v>
      </c>
      <c r="O247" s="1">
        <f ca="1">IFERROR(__xludf.DUMMYFUNCTION("""COMPUTED_VALUE"""),280)</f>
        <v>280</v>
      </c>
      <c r="P247" s="1">
        <f ca="1">IFERROR(__xludf.DUMMYFUNCTION("""COMPUTED_VALUE"""),103.1)</f>
        <v>103.1</v>
      </c>
      <c r="Q247" s="1">
        <f ca="1">IFERROR(__xludf.DUMMYFUNCTION("""COMPUTED_VALUE"""),250)</f>
        <v>250</v>
      </c>
      <c r="R247" s="1">
        <f ca="1">IFERROR(__xludf.DUMMYFUNCTION("""COMPUTED_VALUE"""),108.8)</f>
        <v>108.8</v>
      </c>
      <c r="S247" s="1">
        <f ca="1">IFERROR(__xludf.DUMMYFUNCTION("""COMPUTED_VALUE"""),305)</f>
        <v>305</v>
      </c>
      <c r="T247" s="1" t="str">
        <f ca="1">IFERROR(__xludf.DUMMYFUNCTION("""COMPUTED_VALUE"""),"+3.00")</f>
        <v>+3.00</v>
      </c>
      <c r="U247" s="1">
        <f ca="1">IFERROR(__xludf.DUMMYFUNCTION("""COMPUTED_VALUE"""),76)</f>
        <v>76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IFERROR(__xludf.DUMMYFUNCTION("""COMPUTED_VALUE"""),"Marshall")</f>
        <v>Marshall</v>
      </c>
      <c r="C248" s="1" t="str">
        <f ca="1">IFERROR(__xludf.DUMMYFUNCTION("""COMPUTED_VALUE"""),"CUSA")</f>
        <v>CUSA</v>
      </c>
      <c r="D248" s="2">
        <f ca="1">IFERROR(__xludf.DUMMYFUNCTION("""COMPUTED_VALUE"""),44887)</f>
        <v>44887</v>
      </c>
      <c r="E248" s="1">
        <f ca="1">IFERROR(__xludf.DUMMYFUNCTION("""COMPUTED_VALUE"""),-5.82)</f>
        <v>-5.82</v>
      </c>
      <c r="F248" s="1">
        <f ca="1">IFERROR(__xludf.DUMMYFUNCTION("""COMPUTED_VALUE"""),99.9)</f>
        <v>99.9</v>
      </c>
      <c r="G248" s="1">
        <f ca="1">IFERROR(__xludf.DUMMYFUNCTION("""COMPUTED_VALUE"""),267)</f>
        <v>267</v>
      </c>
      <c r="H248" s="1">
        <f ca="1">IFERROR(__xludf.DUMMYFUNCTION("""COMPUTED_VALUE"""),105.7)</f>
        <v>105.7</v>
      </c>
      <c r="I248" s="1">
        <f ca="1">IFERROR(__xludf.DUMMYFUNCTION("""COMPUTED_VALUE"""),181)</f>
        <v>181</v>
      </c>
      <c r="J248" s="1">
        <f ca="1">IFERROR(__xludf.DUMMYFUNCTION("""COMPUTED_VALUE"""),66.9)</f>
        <v>66.900000000000006</v>
      </c>
      <c r="K248" s="1">
        <f ca="1">IFERROR(__xludf.DUMMYFUNCTION("""COMPUTED_VALUE"""),66)</f>
        <v>66</v>
      </c>
      <c r="L248" s="1">
        <f ca="1">IFERROR(__xludf.DUMMYFUNCTION("""COMPUTED_VALUE"""),-0.109)</f>
        <v>-0.109</v>
      </c>
      <c r="M248" s="1">
        <f ca="1">IFERROR(__xludf.DUMMYFUNCTION("""COMPUTED_VALUE"""),342)</f>
        <v>342</v>
      </c>
      <c r="N248" s="1">
        <f ca="1">IFERROR(__xludf.DUMMYFUNCTION("""COMPUTED_VALUE"""),-1.81)</f>
        <v>-1.81</v>
      </c>
      <c r="O248" s="1">
        <f ca="1">IFERROR(__xludf.DUMMYFUNCTION("""COMPUTED_VALUE"""),186)</f>
        <v>186</v>
      </c>
      <c r="P248" s="1">
        <f ca="1">IFERROR(__xludf.DUMMYFUNCTION("""COMPUTED_VALUE"""),103.1)</f>
        <v>103.1</v>
      </c>
      <c r="Q248" s="1">
        <f ca="1">IFERROR(__xludf.DUMMYFUNCTION("""COMPUTED_VALUE"""),255)</f>
        <v>255</v>
      </c>
      <c r="R248" s="1">
        <f ca="1">IFERROR(__xludf.DUMMYFUNCTION("""COMPUTED_VALUE"""),104.9)</f>
        <v>104.9</v>
      </c>
      <c r="S248" s="1">
        <f ca="1">IFERROR(__xludf.DUMMYFUNCTION("""COMPUTED_VALUE"""),148)</f>
        <v>148</v>
      </c>
      <c r="T248" s="1">
        <f ca="1">IFERROR(__xludf.DUMMYFUNCTION("""COMPUTED_VALUE"""),-1.02)</f>
        <v>-1.02</v>
      </c>
      <c r="U248" s="1">
        <f ca="1">IFERROR(__xludf.DUMMYFUNCTION("""COMPUTED_VALUE"""),190)</f>
        <v>190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IFERROR(__xludf.DUMMYFUNCTION("""COMPUTED_VALUE"""),"Western Carolina")</f>
        <v>Western Carolina</v>
      </c>
      <c r="C249" s="1" t="str">
        <f ca="1">IFERROR(__xludf.DUMMYFUNCTION("""COMPUTED_VALUE"""),"SC")</f>
        <v>SC</v>
      </c>
      <c r="D249" s="1" t="str">
        <f ca="1">IFERROR(__xludf.DUMMYFUNCTION("""COMPUTED_VALUE"""),"19-15")</f>
        <v>19-15</v>
      </c>
      <c r="E249" s="1">
        <f ca="1">IFERROR(__xludf.DUMMYFUNCTION("""COMPUTED_VALUE"""),-5.82)</f>
        <v>-5.82</v>
      </c>
      <c r="F249" s="1">
        <f ca="1">IFERROR(__xludf.DUMMYFUNCTION("""COMPUTED_VALUE"""),103.7)</f>
        <v>103.7</v>
      </c>
      <c r="G249" s="1">
        <f ca="1">IFERROR(__xludf.DUMMYFUNCTION("""COMPUTED_VALUE"""),200)</f>
        <v>200</v>
      </c>
      <c r="H249" s="1">
        <f ca="1">IFERROR(__xludf.DUMMYFUNCTION("""COMPUTED_VALUE"""),109.5)</f>
        <v>109.5</v>
      </c>
      <c r="I249" s="1">
        <f ca="1">IFERROR(__xludf.DUMMYFUNCTION("""COMPUTED_VALUE"""),257)</f>
        <v>257</v>
      </c>
      <c r="J249" s="1">
        <f ca="1">IFERROR(__xludf.DUMMYFUNCTION("""COMPUTED_VALUE"""),65.6)</f>
        <v>65.599999999999994</v>
      </c>
      <c r="K249" s="1">
        <f ca="1">IFERROR(__xludf.DUMMYFUNCTION("""COMPUTED_VALUE"""),127)</f>
        <v>127</v>
      </c>
      <c r="L249" s="1" t="str">
        <f ca="1">IFERROR(__xludf.DUMMYFUNCTION("""COMPUTED_VALUE"""),"+.028")</f>
        <v>+.028</v>
      </c>
      <c r="M249" s="1">
        <f ca="1">IFERROR(__xludf.DUMMYFUNCTION("""COMPUTED_VALUE"""),116)</f>
        <v>116</v>
      </c>
      <c r="N249" s="1">
        <f ca="1">IFERROR(__xludf.DUMMYFUNCTION("""COMPUTED_VALUE"""),-6.22)</f>
        <v>-6.22</v>
      </c>
      <c r="O249" s="1">
        <f ca="1">IFERROR(__xludf.DUMMYFUNCTION("""COMPUTED_VALUE"""),292)</f>
        <v>292</v>
      </c>
      <c r="P249" s="1">
        <f ca="1">IFERROR(__xludf.DUMMYFUNCTION("""COMPUTED_VALUE"""),102.2)</f>
        <v>102.2</v>
      </c>
      <c r="Q249" s="1">
        <f ca="1">IFERROR(__xludf.DUMMYFUNCTION("""COMPUTED_VALUE"""),293)</f>
        <v>293</v>
      </c>
      <c r="R249" s="1">
        <f ca="1">IFERROR(__xludf.DUMMYFUNCTION("""COMPUTED_VALUE"""),108.4)</f>
        <v>108.4</v>
      </c>
      <c r="S249" s="1">
        <f ca="1">IFERROR(__xludf.DUMMYFUNCTION("""COMPUTED_VALUE"""),286)</f>
        <v>286</v>
      </c>
      <c r="T249" s="1" t="str">
        <f ca="1">IFERROR(__xludf.DUMMYFUNCTION("""COMPUTED_VALUE"""),"+1.92")</f>
        <v>+1.92</v>
      </c>
      <c r="U249" s="1">
        <f ca="1">IFERROR(__xludf.DUMMYFUNCTION("""COMPUTED_VALUE"""),104)</f>
        <v>104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IFERROR(__xludf.DUMMYFUNCTION("""COMPUTED_VALUE"""),"Saint Peter's")</f>
        <v>Saint Peter's</v>
      </c>
      <c r="C250" s="1" t="str">
        <f ca="1">IFERROR(__xludf.DUMMYFUNCTION("""COMPUTED_VALUE"""),"MAAC")</f>
        <v>MAAC</v>
      </c>
      <c r="D250" s="1" t="str">
        <f ca="1">IFERROR(__xludf.DUMMYFUNCTION("""COMPUTED_VALUE"""),"14-17")</f>
        <v>14-17</v>
      </c>
      <c r="E250" s="1">
        <f ca="1">IFERROR(__xludf.DUMMYFUNCTION("""COMPUTED_VALUE"""),-5.86)</f>
        <v>-5.86</v>
      </c>
      <c r="F250" s="1">
        <f ca="1">IFERROR(__xludf.DUMMYFUNCTION("""COMPUTED_VALUE"""),98.1)</f>
        <v>98.1</v>
      </c>
      <c r="G250" s="1">
        <f ca="1">IFERROR(__xludf.DUMMYFUNCTION("""COMPUTED_VALUE"""),293)</f>
        <v>293</v>
      </c>
      <c r="H250" s="1">
        <f ca="1">IFERROR(__xludf.DUMMYFUNCTION("""COMPUTED_VALUE"""),103.9)</f>
        <v>103.9</v>
      </c>
      <c r="I250" s="1">
        <f ca="1">IFERROR(__xludf.DUMMYFUNCTION("""COMPUTED_VALUE"""),150)</f>
        <v>150</v>
      </c>
      <c r="J250" s="1">
        <f ca="1">IFERROR(__xludf.DUMMYFUNCTION("""COMPUTED_VALUE"""),60.5)</f>
        <v>60.5</v>
      </c>
      <c r="K250" s="1">
        <f ca="1">IFERROR(__xludf.DUMMYFUNCTION("""COMPUTED_VALUE"""),335)</f>
        <v>335</v>
      </c>
      <c r="L250" s="1" t="str">
        <f ca="1">IFERROR(__xludf.DUMMYFUNCTION("""COMPUTED_VALUE"""),"+.059")</f>
        <v>+.059</v>
      </c>
      <c r="M250" s="1">
        <f ca="1">IFERROR(__xludf.DUMMYFUNCTION("""COMPUTED_VALUE"""),55)</f>
        <v>55</v>
      </c>
      <c r="N250" s="1">
        <f ca="1">IFERROR(__xludf.DUMMYFUNCTION("""COMPUTED_VALUE"""),-2.77)</f>
        <v>-2.77</v>
      </c>
      <c r="O250" s="1">
        <f ca="1">IFERROR(__xludf.DUMMYFUNCTION("""COMPUTED_VALUE"""),214)</f>
        <v>214</v>
      </c>
      <c r="P250" s="1">
        <f ca="1">IFERROR(__xludf.DUMMYFUNCTION("""COMPUTED_VALUE"""),104)</f>
        <v>104</v>
      </c>
      <c r="Q250" s="1">
        <f ca="1">IFERROR(__xludf.DUMMYFUNCTION("""COMPUTED_VALUE"""),192)</f>
        <v>192</v>
      </c>
      <c r="R250" s="1">
        <f ca="1">IFERROR(__xludf.DUMMYFUNCTION("""COMPUTED_VALUE"""),106.8)</f>
        <v>106.8</v>
      </c>
      <c r="S250" s="1">
        <f ca="1">IFERROR(__xludf.DUMMYFUNCTION("""COMPUTED_VALUE"""),232)</f>
        <v>232</v>
      </c>
      <c r="T250" s="1">
        <f ca="1">IFERROR(__xludf.DUMMYFUNCTION("""COMPUTED_VALUE"""),-6.58)</f>
        <v>-6.58</v>
      </c>
      <c r="U250" s="1">
        <f ca="1">IFERROR(__xludf.DUMMYFUNCTION("""COMPUTED_VALUE"""),324)</f>
        <v>324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IFERROR(__xludf.DUMMYFUNCTION("""COMPUTED_VALUE"""),"East Carolina")</f>
        <v>East Carolina</v>
      </c>
      <c r="C251" s="1" t="str">
        <f ca="1">IFERROR(__xludf.DUMMYFUNCTION("""COMPUTED_VALUE"""),"CUSA")</f>
        <v>CUSA</v>
      </c>
      <c r="D251" s="1" t="str">
        <f ca="1">IFERROR(__xludf.DUMMYFUNCTION("""COMPUTED_VALUE"""),"17-17")</f>
        <v>17-17</v>
      </c>
      <c r="E251" s="1">
        <f ca="1">IFERROR(__xludf.DUMMYFUNCTION("""COMPUTED_VALUE"""),-5.88)</f>
        <v>-5.88</v>
      </c>
      <c r="F251" s="1">
        <f ca="1">IFERROR(__xludf.DUMMYFUNCTION("""COMPUTED_VALUE"""),106)</f>
        <v>106</v>
      </c>
      <c r="G251" s="1">
        <f ca="1">IFERROR(__xludf.DUMMYFUNCTION("""COMPUTED_VALUE"""),163)</f>
        <v>163</v>
      </c>
      <c r="H251" s="1">
        <f ca="1">IFERROR(__xludf.DUMMYFUNCTION("""COMPUTED_VALUE"""),111.8)</f>
        <v>111.8</v>
      </c>
      <c r="I251" s="1">
        <f ca="1">IFERROR(__xludf.DUMMYFUNCTION("""COMPUTED_VALUE"""),295)</f>
        <v>295</v>
      </c>
      <c r="J251" s="1">
        <f ca="1">IFERROR(__xludf.DUMMYFUNCTION("""COMPUTED_VALUE"""),63.7)</f>
        <v>63.7</v>
      </c>
      <c r="K251" s="1">
        <f ca="1">IFERROR(__xludf.DUMMYFUNCTION("""COMPUTED_VALUE"""),227)</f>
        <v>227</v>
      </c>
      <c r="L251" s="1" t="str">
        <f ca="1">IFERROR(__xludf.DUMMYFUNCTION("""COMPUTED_VALUE"""),"+.008")</f>
        <v>+.008</v>
      </c>
      <c r="M251" s="1">
        <f ca="1">IFERROR(__xludf.DUMMYFUNCTION("""COMPUTED_VALUE"""),162)</f>
        <v>162</v>
      </c>
      <c r="N251" s="1">
        <f ca="1">IFERROR(__xludf.DUMMYFUNCTION("""COMPUTED_VALUE"""),-3.25)</f>
        <v>-3.25</v>
      </c>
      <c r="O251" s="1">
        <f ca="1">IFERROR(__xludf.DUMMYFUNCTION("""COMPUTED_VALUE"""),228)</f>
        <v>228</v>
      </c>
      <c r="P251" s="1">
        <f ca="1">IFERROR(__xludf.DUMMYFUNCTION("""COMPUTED_VALUE"""),102.9)</f>
        <v>102.9</v>
      </c>
      <c r="Q251" s="1">
        <f ca="1">IFERROR(__xludf.DUMMYFUNCTION("""COMPUTED_VALUE"""),263)</f>
        <v>263</v>
      </c>
      <c r="R251" s="1">
        <f ca="1">IFERROR(__xludf.DUMMYFUNCTION("""COMPUTED_VALUE"""),106.1)</f>
        <v>106.1</v>
      </c>
      <c r="S251" s="1">
        <f ca="1">IFERROR(__xludf.DUMMYFUNCTION("""COMPUTED_VALUE"""),209)</f>
        <v>209</v>
      </c>
      <c r="T251" s="1">
        <f ca="1">IFERROR(__xludf.DUMMYFUNCTION("""COMPUTED_VALUE"""),-6.45)</f>
        <v>-6.45</v>
      </c>
      <c r="U251" s="1">
        <f ca="1">IFERROR(__xludf.DUMMYFUNCTION("""COMPUTED_VALUE"""),323)</f>
        <v>323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IFERROR(__xludf.DUMMYFUNCTION("""COMPUTED_VALUE"""),"Seattle")</f>
        <v>Seattle</v>
      </c>
      <c r="C252" s="1" t="str">
        <f ca="1">IFERROR(__xludf.DUMMYFUNCTION("""COMPUTED_VALUE"""),"WAC")</f>
        <v>WAC</v>
      </c>
      <c r="D252" s="1" t="str">
        <f ca="1">IFERROR(__xludf.DUMMYFUNCTION("""COMPUTED_VALUE"""),"13-17")</f>
        <v>13-17</v>
      </c>
      <c r="E252" s="1">
        <f ca="1">IFERROR(__xludf.DUMMYFUNCTION("""COMPUTED_VALUE"""),-5.95)</f>
        <v>-5.95</v>
      </c>
      <c r="F252" s="1">
        <f ca="1">IFERROR(__xludf.DUMMYFUNCTION("""COMPUTED_VALUE"""),100.4)</f>
        <v>100.4</v>
      </c>
      <c r="G252" s="1">
        <f ca="1">IFERROR(__xludf.DUMMYFUNCTION("""COMPUTED_VALUE"""),259)</f>
        <v>259</v>
      </c>
      <c r="H252" s="1">
        <f ca="1">IFERROR(__xludf.DUMMYFUNCTION("""COMPUTED_VALUE"""),106.3)</f>
        <v>106.3</v>
      </c>
      <c r="I252" s="1">
        <f ca="1">IFERROR(__xludf.DUMMYFUNCTION("""COMPUTED_VALUE"""),196)</f>
        <v>196</v>
      </c>
      <c r="J252" s="1">
        <f ca="1">IFERROR(__xludf.DUMMYFUNCTION("""COMPUTED_VALUE"""),65.3)</f>
        <v>65.3</v>
      </c>
      <c r="K252" s="1">
        <f ca="1">IFERROR(__xludf.DUMMYFUNCTION("""COMPUTED_VALUE"""),143)</f>
        <v>143</v>
      </c>
      <c r="L252" s="1">
        <f ca="1">IFERROR(__xludf.DUMMYFUNCTION("""COMPUTED_VALUE"""),-0.065)</f>
        <v>-6.5000000000000002E-2</v>
      </c>
      <c r="M252" s="1">
        <f ca="1">IFERROR(__xludf.DUMMYFUNCTION("""COMPUTED_VALUE"""),319)</f>
        <v>319</v>
      </c>
      <c r="N252" s="1">
        <f ca="1">IFERROR(__xludf.DUMMYFUNCTION("""COMPUTED_VALUE"""),-4.74)</f>
        <v>-4.74</v>
      </c>
      <c r="O252" s="1">
        <f ca="1">IFERROR(__xludf.DUMMYFUNCTION("""COMPUTED_VALUE"""),257)</f>
        <v>257</v>
      </c>
      <c r="P252" s="1">
        <f ca="1">IFERROR(__xludf.DUMMYFUNCTION("""COMPUTED_VALUE"""),103.4)</f>
        <v>103.4</v>
      </c>
      <c r="Q252" s="1">
        <f ca="1">IFERROR(__xludf.DUMMYFUNCTION("""COMPUTED_VALUE"""),228)</f>
        <v>228</v>
      </c>
      <c r="R252" s="1">
        <f ca="1">IFERROR(__xludf.DUMMYFUNCTION("""COMPUTED_VALUE"""),108.1)</f>
        <v>108.1</v>
      </c>
      <c r="S252" s="1">
        <f ca="1">IFERROR(__xludf.DUMMYFUNCTION("""COMPUTED_VALUE"""),282)</f>
        <v>282</v>
      </c>
      <c r="T252" s="1">
        <f ca="1">IFERROR(__xludf.DUMMYFUNCTION("""COMPUTED_VALUE"""),-3.04)</f>
        <v>-3.04</v>
      </c>
      <c r="U252" s="1">
        <f ca="1">IFERROR(__xludf.DUMMYFUNCTION("""COMPUTED_VALUE"""),254)</f>
        <v>254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IFERROR(__xludf.DUMMYFUNCTION("""COMPUTED_VALUE"""),"Grand Canyon")</f>
        <v>Grand Canyon</v>
      </c>
      <c r="C255" s="1" t="str">
        <f ca="1">IFERROR(__xludf.DUMMYFUNCTION("""COMPUTED_VALUE"""),"WAC")</f>
        <v>WAC</v>
      </c>
      <c r="D255" s="1" t="str">
        <f ca="1">IFERROR(__xludf.DUMMYFUNCTION("""COMPUTED_VALUE"""),"15-15")</f>
        <v>15-15</v>
      </c>
      <c r="E255" s="1">
        <f ca="1">IFERROR(__xludf.DUMMYFUNCTION("""COMPUTED_VALUE"""),-6.04)</f>
        <v>-6.04</v>
      </c>
      <c r="F255" s="1">
        <f ca="1">IFERROR(__xludf.DUMMYFUNCTION("""COMPUTED_VALUE"""),105.3)</f>
        <v>105.3</v>
      </c>
      <c r="G255" s="1">
        <f ca="1">IFERROR(__xludf.DUMMYFUNCTION("""COMPUTED_VALUE"""),176)</f>
        <v>176</v>
      </c>
      <c r="H255" s="1">
        <f ca="1">IFERROR(__xludf.DUMMYFUNCTION("""COMPUTED_VALUE"""),111.3)</f>
        <v>111.3</v>
      </c>
      <c r="I255" s="1">
        <f ca="1">IFERROR(__xludf.DUMMYFUNCTION("""COMPUTED_VALUE"""),283)</f>
        <v>283</v>
      </c>
      <c r="J255" s="1">
        <f ca="1">IFERROR(__xludf.DUMMYFUNCTION("""COMPUTED_VALUE"""),65.4)</f>
        <v>65.400000000000006</v>
      </c>
      <c r="K255" s="1">
        <f ca="1">IFERROR(__xludf.DUMMYFUNCTION("""COMPUTED_VALUE"""),138)</f>
        <v>138</v>
      </c>
      <c r="L255" s="1" t="str">
        <f ca="1">IFERROR(__xludf.DUMMYFUNCTION("""COMPUTED_VALUE"""),"+.046")</f>
        <v>+.046</v>
      </c>
      <c r="M255" s="1">
        <f ca="1">IFERROR(__xludf.DUMMYFUNCTION("""COMPUTED_VALUE"""),80)</f>
        <v>80</v>
      </c>
      <c r="N255" s="1">
        <f ca="1">IFERROR(__xludf.DUMMYFUNCTION("""COMPUTED_VALUE"""),-3.21)</f>
        <v>-3.21</v>
      </c>
      <c r="O255" s="1">
        <f ca="1">IFERROR(__xludf.DUMMYFUNCTION("""COMPUTED_VALUE"""),227)</f>
        <v>227</v>
      </c>
      <c r="P255" s="1">
        <f ca="1">IFERROR(__xludf.DUMMYFUNCTION("""COMPUTED_VALUE"""),102.4)</f>
        <v>102.4</v>
      </c>
      <c r="Q255" s="1">
        <f ca="1">IFERROR(__xludf.DUMMYFUNCTION("""COMPUTED_VALUE"""),280)</f>
        <v>280</v>
      </c>
      <c r="R255" s="1">
        <f ca="1">IFERROR(__xludf.DUMMYFUNCTION("""COMPUTED_VALUE"""),105.6)</f>
        <v>105.6</v>
      </c>
      <c r="S255" s="1">
        <f ca="1">IFERROR(__xludf.DUMMYFUNCTION("""COMPUTED_VALUE"""),183)</f>
        <v>183</v>
      </c>
      <c r="T255" s="1" t="str">
        <f ca="1">IFERROR(__xludf.DUMMYFUNCTION("""COMPUTED_VALUE"""),"+3.16")</f>
        <v>+3.16</v>
      </c>
      <c r="U255" s="1">
        <f ca="1">IFERROR(__xludf.DUMMYFUNCTION("""COMPUTED_VALUE"""),72)</f>
        <v>72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IFERROR(__xludf.DUMMYFUNCTION("""COMPUTED_VALUE"""),"Lehigh")</f>
        <v>Lehigh</v>
      </c>
      <c r="C256" s="1" t="str">
        <f ca="1">IFERROR(__xludf.DUMMYFUNCTION("""COMPUTED_VALUE"""),"Pat")</f>
        <v>Pat</v>
      </c>
      <c r="D256" s="1" t="str">
        <f ca="1">IFERROR(__xludf.DUMMYFUNCTION("""COMPUTED_VALUE"""),"14-18")</f>
        <v>14-18</v>
      </c>
      <c r="E256" s="1">
        <f ca="1">IFERROR(__xludf.DUMMYFUNCTION("""COMPUTED_VALUE"""),-6.06)</f>
        <v>-6.06</v>
      </c>
      <c r="F256" s="1">
        <f ca="1">IFERROR(__xludf.DUMMYFUNCTION("""COMPUTED_VALUE"""),98)</f>
        <v>98</v>
      </c>
      <c r="G256" s="1">
        <f ca="1">IFERROR(__xludf.DUMMYFUNCTION("""COMPUTED_VALUE"""),294)</f>
        <v>294</v>
      </c>
      <c r="H256" s="1">
        <f ca="1">IFERROR(__xludf.DUMMYFUNCTION("""COMPUTED_VALUE"""),104.1)</f>
        <v>104.1</v>
      </c>
      <c r="I256" s="1">
        <f ca="1">IFERROR(__xludf.DUMMYFUNCTION("""COMPUTED_VALUE"""),151)</f>
        <v>151</v>
      </c>
      <c r="J256" s="1">
        <f ca="1">IFERROR(__xludf.DUMMYFUNCTION("""COMPUTED_VALUE"""),64.3)</f>
        <v>64.3</v>
      </c>
      <c r="K256" s="1">
        <f ca="1">IFERROR(__xludf.DUMMYFUNCTION("""COMPUTED_VALUE"""),196)</f>
        <v>196</v>
      </c>
      <c r="L256" s="1" t="str">
        <f ca="1">IFERROR(__xludf.DUMMYFUNCTION("""COMPUTED_VALUE"""),"+.031")</f>
        <v>+.031</v>
      </c>
      <c r="M256" s="1">
        <f ca="1">IFERROR(__xludf.DUMMYFUNCTION("""COMPUTED_VALUE"""),109)</f>
        <v>109</v>
      </c>
      <c r="N256" s="1">
        <f ca="1">IFERROR(__xludf.DUMMYFUNCTION("""COMPUTED_VALUE"""),-3.26)</f>
        <v>-3.26</v>
      </c>
      <c r="O256" s="1">
        <f ca="1">IFERROR(__xludf.DUMMYFUNCTION("""COMPUTED_VALUE"""),229)</f>
        <v>229</v>
      </c>
      <c r="P256" s="1">
        <f ca="1">IFERROR(__xludf.DUMMYFUNCTION("""COMPUTED_VALUE"""),104.3)</f>
        <v>104.3</v>
      </c>
      <c r="Q256" s="1">
        <f ca="1">IFERROR(__xludf.DUMMYFUNCTION("""COMPUTED_VALUE"""),179)</f>
        <v>179</v>
      </c>
      <c r="R256" s="1">
        <f ca="1">IFERROR(__xludf.DUMMYFUNCTION("""COMPUTED_VALUE"""),107.6)</f>
        <v>107.6</v>
      </c>
      <c r="S256" s="1">
        <f ca="1">IFERROR(__xludf.DUMMYFUNCTION("""COMPUTED_VALUE"""),261)</f>
        <v>261</v>
      </c>
      <c r="T256" s="1">
        <f ca="1">IFERROR(__xludf.DUMMYFUNCTION("""COMPUTED_VALUE"""),-2.97)</f>
        <v>-2.97</v>
      </c>
      <c r="U256" s="1">
        <f ca="1">IFERROR(__xludf.DUMMYFUNCTION("""COMPUTED_VALUE"""),249)</f>
        <v>249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IFERROR(__xludf.DUMMYFUNCTION("""COMPUTED_VALUE"""),"East Tennessee St.")</f>
        <v>East Tennessee St.</v>
      </c>
      <c r="C257" s="1" t="str">
        <f ca="1">IFERROR(__xludf.DUMMYFUNCTION("""COMPUTED_VALUE"""),"ASun")</f>
        <v>ASun</v>
      </c>
      <c r="D257" s="1" t="str">
        <f ca="1">IFERROR(__xludf.DUMMYFUNCTION("""COMPUTED_VALUE"""),"19-16")</f>
        <v>19-16</v>
      </c>
      <c r="E257" s="1">
        <f ca="1">IFERROR(__xludf.DUMMYFUNCTION("""COMPUTED_VALUE"""),-6.16)</f>
        <v>-6.16</v>
      </c>
      <c r="F257" s="1">
        <f ca="1">IFERROR(__xludf.DUMMYFUNCTION("""COMPUTED_VALUE"""),103.5)</f>
        <v>103.5</v>
      </c>
      <c r="G257" s="1">
        <f ca="1">IFERROR(__xludf.DUMMYFUNCTION("""COMPUTED_VALUE"""),204)</f>
        <v>204</v>
      </c>
      <c r="H257" s="1">
        <f ca="1">IFERROR(__xludf.DUMMYFUNCTION("""COMPUTED_VALUE"""),109.6)</f>
        <v>109.6</v>
      </c>
      <c r="I257" s="1">
        <f ca="1">IFERROR(__xludf.DUMMYFUNCTION("""COMPUTED_VALUE"""),260)</f>
        <v>260</v>
      </c>
      <c r="J257" s="1">
        <f ca="1">IFERROR(__xludf.DUMMYFUNCTION("""COMPUTED_VALUE"""),68.6)</f>
        <v>68.599999999999994</v>
      </c>
      <c r="K257" s="1">
        <f ca="1">IFERROR(__xludf.DUMMYFUNCTION("""COMPUTED_VALUE"""),26)</f>
        <v>26</v>
      </c>
      <c r="L257" s="1" t="str">
        <f ca="1">IFERROR(__xludf.DUMMYFUNCTION("""COMPUTED_VALUE"""),"+.018")</f>
        <v>+.018</v>
      </c>
      <c r="M257" s="1">
        <f ca="1">IFERROR(__xludf.DUMMYFUNCTION("""COMPUTED_VALUE"""),136)</f>
        <v>136</v>
      </c>
      <c r="N257" s="1">
        <f ca="1">IFERROR(__xludf.DUMMYFUNCTION("""COMPUTED_VALUE"""),-7.75)</f>
        <v>-7.75</v>
      </c>
      <c r="O257" s="1">
        <f ca="1">IFERROR(__xludf.DUMMYFUNCTION("""COMPUTED_VALUE"""),323)</f>
        <v>323</v>
      </c>
      <c r="P257" s="1">
        <f ca="1">IFERROR(__xludf.DUMMYFUNCTION("""COMPUTED_VALUE"""),101.5)</f>
        <v>101.5</v>
      </c>
      <c r="Q257" s="1">
        <f ca="1">IFERROR(__xludf.DUMMYFUNCTION("""COMPUTED_VALUE"""),313)</f>
        <v>313</v>
      </c>
      <c r="R257" s="1">
        <f ca="1">IFERROR(__xludf.DUMMYFUNCTION("""COMPUTED_VALUE"""),109.2)</f>
        <v>109.2</v>
      </c>
      <c r="S257" s="1">
        <f ca="1">IFERROR(__xludf.DUMMYFUNCTION("""COMPUTED_VALUE"""),319)</f>
        <v>319</v>
      </c>
      <c r="T257" s="1">
        <f ca="1">IFERROR(__xludf.DUMMYFUNCTION("""COMPUTED_VALUE"""),-5.52)</f>
        <v>-5.52</v>
      </c>
      <c r="U257" s="1">
        <f ca="1">IFERROR(__xludf.DUMMYFUNCTION("""COMPUTED_VALUE"""),309)</f>
        <v>309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IFERROR(__xludf.DUMMYFUNCTION("""COMPUTED_VALUE"""),"Florida Atlantic")</f>
        <v>Florida Atlantic</v>
      </c>
      <c r="C258" s="1" t="str">
        <f ca="1">IFERROR(__xludf.DUMMYFUNCTION("""COMPUTED_VALUE"""),"CUSA")</f>
        <v>CUSA</v>
      </c>
      <c r="D258" s="2">
        <f ca="1">IFERROR(__xludf.DUMMYFUNCTION("""COMPUTED_VALUE"""),44856)</f>
        <v>44856</v>
      </c>
      <c r="E258" s="1">
        <f ca="1">IFERROR(__xludf.DUMMYFUNCTION("""COMPUTED_VALUE"""),-6.4)</f>
        <v>-6.4</v>
      </c>
      <c r="F258" s="1">
        <f ca="1">IFERROR(__xludf.DUMMYFUNCTION("""COMPUTED_VALUE"""),101.1)</f>
        <v>101.1</v>
      </c>
      <c r="G258" s="1">
        <f ca="1">IFERROR(__xludf.DUMMYFUNCTION("""COMPUTED_VALUE"""),244)</f>
        <v>244</v>
      </c>
      <c r="H258" s="1">
        <f ca="1">IFERROR(__xludf.DUMMYFUNCTION("""COMPUTED_VALUE"""),107.5)</f>
        <v>107.5</v>
      </c>
      <c r="I258" s="1">
        <f ca="1">IFERROR(__xludf.DUMMYFUNCTION("""COMPUTED_VALUE"""),219)</f>
        <v>219</v>
      </c>
      <c r="J258" s="1">
        <f ca="1">IFERROR(__xludf.DUMMYFUNCTION("""COMPUTED_VALUE"""),63)</f>
        <v>63</v>
      </c>
      <c r="K258" s="1">
        <f ca="1">IFERROR(__xludf.DUMMYFUNCTION("""COMPUTED_VALUE"""),257)</f>
        <v>257</v>
      </c>
      <c r="L258" s="1">
        <f ca="1">IFERROR(__xludf.DUMMYFUNCTION("""COMPUTED_VALUE"""),-0.085)</f>
        <v>-8.5000000000000006E-2</v>
      </c>
      <c r="M258" s="1">
        <f ca="1">IFERROR(__xludf.DUMMYFUNCTION("""COMPUTED_VALUE"""),335)</f>
        <v>335</v>
      </c>
      <c r="N258" s="1">
        <f ca="1">IFERROR(__xludf.DUMMYFUNCTION("""COMPUTED_VALUE"""),-1.01)</f>
        <v>-1.01</v>
      </c>
      <c r="O258" s="1">
        <f ca="1">IFERROR(__xludf.DUMMYFUNCTION("""COMPUTED_VALUE"""),168)</f>
        <v>168</v>
      </c>
      <c r="P258" s="1">
        <f ca="1">IFERROR(__xludf.DUMMYFUNCTION("""COMPUTED_VALUE"""),104.4)</f>
        <v>104.4</v>
      </c>
      <c r="Q258" s="1">
        <f ca="1">IFERROR(__xludf.DUMMYFUNCTION("""COMPUTED_VALUE"""),175)</f>
        <v>175</v>
      </c>
      <c r="R258" s="1">
        <f ca="1">IFERROR(__xludf.DUMMYFUNCTION("""COMPUTED_VALUE"""),105.4)</f>
        <v>105.4</v>
      </c>
      <c r="S258" s="1">
        <f ca="1">IFERROR(__xludf.DUMMYFUNCTION("""COMPUTED_VALUE"""),175)</f>
        <v>175</v>
      </c>
      <c r="T258" s="1" t="str">
        <f ca="1">IFERROR(__xludf.DUMMYFUNCTION("""COMPUTED_VALUE"""),"+1.13")</f>
        <v>+1.13</v>
      </c>
      <c r="U258" s="1">
        <f ca="1">IFERROR(__xludf.DUMMYFUNCTION("""COMPUTED_VALUE"""),126)</f>
        <v>126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IFERROR(__xludf.DUMMYFUNCTION("""COMPUTED_VALUE"""),"Lafayette")</f>
        <v>Lafayette</v>
      </c>
      <c r="C259" s="1" t="str">
        <f ca="1">IFERROR(__xludf.DUMMYFUNCTION("""COMPUTED_VALUE"""),"Pat")</f>
        <v>Pat</v>
      </c>
      <c r="D259" s="2">
        <f ca="1">IFERROR(__xludf.DUMMYFUNCTION("""COMPUTED_VALUE"""),44885)</f>
        <v>44885</v>
      </c>
      <c r="E259" s="1">
        <f ca="1">IFERROR(__xludf.DUMMYFUNCTION("""COMPUTED_VALUE"""),-6.43)</f>
        <v>-6.43</v>
      </c>
      <c r="F259" s="1">
        <f ca="1">IFERROR(__xludf.DUMMYFUNCTION("""COMPUTED_VALUE"""),109.3)</f>
        <v>109.3</v>
      </c>
      <c r="G259" s="1">
        <f ca="1">IFERROR(__xludf.DUMMYFUNCTION("""COMPUTED_VALUE"""),102)</f>
        <v>102</v>
      </c>
      <c r="H259" s="1">
        <f ca="1">IFERROR(__xludf.DUMMYFUNCTION("""COMPUTED_VALUE"""),115.7)</f>
        <v>115.7</v>
      </c>
      <c r="I259" s="1">
        <f ca="1">IFERROR(__xludf.DUMMYFUNCTION("""COMPUTED_VALUE"""),333)</f>
        <v>333</v>
      </c>
      <c r="J259" s="1">
        <f ca="1">IFERROR(__xludf.DUMMYFUNCTION("""COMPUTED_VALUE"""),64.6)</f>
        <v>64.599999999999994</v>
      </c>
      <c r="K259" s="1">
        <f ca="1">IFERROR(__xludf.DUMMYFUNCTION("""COMPUTED_VALUE"""),181)</f>
        <v>181</v>
      </c>
      <c r="L259" s="1">
        <f ca="1">IFERROR(__xludf.DUMMYFUNCTION("""COMPUTED_VALUE"""),-0.051)</f>
        <v>-5.0999999999999997E-2</v>
      </c>
      <c r="M259" s="1">
        <f ca="1">IFERROR(__xludf.DUMMYFUNCTION("""COMPUTED_VALUE"""),296)</f>
        <v>296</v>
      </c>
      <c r="N259" s="1">
        <f ca="1">IFERROR(__xludf.DUMMYFUNCTION("""COMPUTED_VALUE"""),-2.16)</f>
        <v>-2.16</v>
      </c>
      <c r="O259" s="1">
        <f ca="1">IFERROR(__xludf.DUMMYFUNCTION("""COMPUTED_VALUE"""),195)</f>
        <v>195</v>
      </c>
      <c r="P259" s="1">
        <f ca="1">IFERROR(__xludf.DUMMYFUNCTION("""COMPUTED_VALUE"""),102.5)</f>
        <v>102.5</v>
      </c>
      <c r="Q259" s="1">
        <f ca="1">IFERROR(__xludf.DUMMYFUNCTION("""COMPUTED_VALUE"""),279)</f>
        <v>279</v>
      </c>
      <c r="R259" s="1">
        <f ca="1">IFERROR(__xludf.DUMMYFUNCTION("""COMPUTED_VALUE"""),104.6)</f>
        <v>104.6</v>
      </c>
      <c r="S259" s="1">
        <f ca="1">IFERROR(__xludf.DUMMYFUNCTION("""COMPUTED_VALUE"""),139)</f>
        <v>139</v>
      </c>
      <c r="T259" s="1" t="str">
        <f ca="1">IFERROR(__xludf.DUMMYFUNCTION("""COMPUTED_VALUE"""),"+0.63")</f>
        <v>+0.63</v>
      </c>
      <c r="U259" s="1">
        <f ca="1">IFERROR(__xludf.DUMMYFUNCTION("""COMPUTED_VALUE"""),141)</f>
        <v>141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IFERROR(__xludf.DUMMYFUNCTION("""COMPUTED_VALUE"""),"Loyola Chicago")</f>
        <v>Loyola Chicago</v>
      </c>
      <c r="C260" s="1" t="str">
        <f ca="1">IFERROR(__xludf.DUMMYFUNCTION("""COMPUTED_VALUE"""),"MVC")</f>
        <v>MVC</v>
      </c>
      <c r="D260" s="2">
        <f ca="1">IFERROR(__xludf.DUMMYFUNCTION("""COMPUTED_VALUE"""),44856)</f>
        <v>44856</v>
      </c>
      <c r="E260" s="1">
        <f ca="1">IFERROR(__xludf.DUMMYFUNCTION("""COMPUTED_VALUE"""),-6.47)</f>
        <v>-6.47</v>
      </c>
      <c r="F260" s="1">
        <f ca="1">IFERROR(__xludf.DUMMYFUNCTION("""COMPUTED_VALUE"""),102.2)</f>
        <v>102.2</v>
      </c>
      <c r="G260" s="1">
        <f ca="1">IFERROR(__xludf.DUMMYFUNCTION("""COMPUTED_VALUE"""),225)</f>
        <v>225</v>
      </c>
      <c r="H260" s="1">
        <f ca="1">IFERROR(__xludf.DUMMYFUNCTION("""COMPUTED_VALUE"""),108.7)</f>
        <v>108.7</v>
      </c>
      <c r="I260" s="1">
        <f ca="1">IFERROR(__xludf.DUMMYFUNCTION("""COMPUTED_VALUE"""),243)</f>
        <v>243</v>
      </c>
      <c r="J260" s="1">
        <f ca="1">IFERROR(__xludf.DUMMYFUNCTION("""COMPUTED_VALUE"""),61.9)</f>
        <v>61.9</v>
      </c>
      <c r="K260" s="1">
        <f ca="1">IFERROR(__xludf.DUMMYFUNCTION("""COMPUTED_VALUE"""),305)</f>
        <v>305</v>
      </c>
      <c r="L260" s="1">
        <f ca="1">IFERROR(__xludf.DUMMYFUNCTION("""COMPUTED_VALUE"""),-0.073)</f>
        <v>-7.2999999999999995E-2</v>
      </c>
      <c r="M260" s="1">
        <f ca="1">IFERROR(__xludf.DUMMYFUNCTION("""COMPUTED_VALUE"""),326)</f>
        <v>326</v>
      </c>
      <c r="N260" s="1">
        <f ca="1">IFERROR(__xludf.DUMMYFUNCTION("""COMPUTED_VALUE"""),-1.78)</f>
        <v>-1.78</v>
      </c>
      <c r="O260" s="1">
        <f ca="1">IFERROR(__xludf.DUMMYFUNCTION("""COMPUTED_VALUE"""),184)</f>
        <v>184</v>
      </c>
      <c r="P260" s="1">
        <f ca="1">IFERROR(__xludf.DUMMYFUNCTION("""COMPUTED_VALUE"""),104)</f>
        <v>104</v>
      </c>
      <c r="Q260" s="1">
        <f ca="1">IFERROR(__xludf.DUMMYFUNCTION("""COMPUTED_VALUE"""),190)</f>
        <v>190</v>
      </c>
      <c r="R260" s="1">
        <f ca="1">IFERROR(__xludf.DUMMYFUNCTION("""COMPUTED_VALUE"""),105.8)</f>
        <v>105.8</v>
      </c>
      <c r="S260" s="1">
        <f ca="1">IFERROR(__xludf.DUMMYFUNCTION("""COMPUTED_VALUE"""),192)</f>
        <v>192</v>
      </c>
      <c r="T260" s="1">
        <f ca="1">IFERROR(__xludf.DUMMYFUNCTION("""COMPUTED_VALUE"""),-8.54)</f>
        <v>-8.5399999999999991</v>
      </c>
      <c r="U260" s="1">
        <f ca="1">IFERROR(__xludf.DUMMYFUNCTION("""COMPUTED_VALUE"""),341)</f>
        <v>341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IFERROR(__xludf.DUMMYFUNCTION("""COMPUTED_VALUE"""),"Gardner Webb")</f>
        <v>Gardner Webb</v>
      </c>
      <c r="C261" s="1" t="str">
        <f ca="1">IFERROR(__xludf.DUMMYFUNCTION("""COMPUTED_VALUE"""),"BSth")</f>
        <v>BSth</v>
      </c>
      <c r="D261" s="1" t="str">
        <f ca="1">IFERROR(__xludf.DUMMYFUNCTION("""COMPUTED_VALUE"""),"18-15")</f>
        <v>18-15</v>
      </c>
      <c r="E261" s="1">
        <f ca="1">IFERROR(__xludf.DUMMYFUNCTION("""COMPUTED_VALUE"""),-6.59)</f>
        <v>-6.59</v>
      </c>
      <c r="F261" s="1">
        <f ca="1">IFERROR(__xludf.DUMMYFUNCTION("""COMPUTED_VALUE"""),99)</f>
        <v>99</v>
      </c>
      <c r="G261" s="1">
        <f ca="1">IFERROR(__xludf.DUMMYFUNCTION("""COMPUTED_VALUE"""),276)</f>
        <v>276</v>
      </c>
      <c r="H261" s="1">
        <f ca="1">IFERROR(__xludf.DUMMYFUNCTION("""COMPUTED_VALUE"""),105.6)</f>
        <v>105.6</v>
      </c>
      <c r="I261" s="1">
        <f ca="1">IFERROR(__xludf.DUMMYFUNCTION("""COMPUTED_VALUE"""),179)</f>
        <v>179</v>
      </c>
      <c r="J261" s="1">
        <f ca="1">IFERROR(__xludf.DUMMYFUNCTION("""COMPUTED_VALUE"""),64.8)</f>
        <v>64.8</v>
      </c>
      <c r="K261" s="1">
        <f ca="1">IFERROR(__xludf.DUMMYFUNCTION("""COMPUTED_VALUE"""),168)</f>
        <v>168</v>
      </c>
      <c r="L261" s="1" t="str">
        <f ca="1">IFERROR(__xludf.DUMMYFUNCTION("""COMPUTED_VALUE"""),"+.005")</f>
        <v>+.005</v>
      </c>
      <c r="M261" s="1">
        <f ca="1">IFERROR(__xludf.DUMMYFUNCTION("""COMPUTED_VALUE"""),171)</f>
        <v>171</v>
      </c>
      <c r="N261" s="1">
        <f ca="1">IFERROR(__xludf.DUMMYFUNCTION("""COMPUTED_VALUE"""),-7.75)</f>
        <v>-7.75</v>
      </c>
      <c r="O261" s="1">
        <f ca="1">IFERROR(__xludf.DUMMYFUNCTION("""COMPUTED_VALUE"""),322)</f>
        <v>322</v>
      </c>
      <c r="P261" s="1">
        <f ca="1">IFERROR(__xludf.DUMMYFUNCTION("""COMPUTED_VALUE"""),102.8)</f>
        <v>102.8</v>
      </c>
      <c r="Q261" s="1">
        <f ca="1">IFERROR(__xludf.DUMMYFUNCTION("""COMPUTED_VALUE"""),271)</f>
        <v>271</v>
      </c>
      <c r="R261" s="1">
        <f ca="1">IFERROR(__xludf.DUMMYFUNCTION("""COMPUTED_VALUE"""),110.5)</f>
        <v>110.5</v>
      </c>
      <c r="S261" s="1">
        <f ca="1">IFERROR(__xludf.DUMMYFUNCTION("""COMPUTED_VALUE"""),347)</f>
        <v>347</v>
      </c>
      <c r="T261" s="1">
        <f ca="1">IFERROR(__xludf.DUMMYFUNCTION("""COMPUTED_VALUE"""),-1.21)</f>
        <v>-1.21</v>
      </c>
      <c r="U261" s="1">
        <f ca="1">IFERROR(__xludf.DUMMYFUNCTION("""COMPUTED_VALUE"""),198)</f>
        <v>198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IFERROR(__xludf.DUMMYFUNCTION("""COMPUTED_VALUE"""),"High Point8")</f>
        <v>High Point8</v>
      </c>
      <c r="C262" s="1" t="str">
        <f ca="1">IFERROR(__xludf.DUMMYFUNCTION("""COMPUTED_VALUE"""),"BSth")</f>
        <v>BSth</v>
      </c>
      <c r="D262" s="1" t="str">
        <f ca="1">IFERROR(__xludf.DUMMYFUNCTION("""COMPUTED_VALUE"""),"16-15")</f>
        <v>16-15</v>
      </c>
      <c r="E262" s="1">
        <f ca="1">IFERROR(__xludf.DUMMYFUNCTION("""COMPUTED_VALUE"""),-6.63)</f>
        <v>-6.63</v>
      </c>
      <c r="F262" s="1">
        <f ca="1">IFERROR(__xludf.DUMMYFUNCTION("""COMPUTED_VALUE"""),106)</f>
        <v>106</v>
      </c>
      <c r="G262" s="1">
        <f ca="1">IFERROR(__xludf.DUMMYFUNCTION("""COMPUTED_VALUE"""),162)</f>
        <v>162</v>
      </c>
      <c r="H262" s="1">
        <f ca="1">IFERROR(__xludf.DUMMYFUNCTION("""COMPUTED_VALUE"""),112.6)</f>
        <v>112.6</v>
      </c>
      <c r="I262" s="1">
        <f ca="1">IFERROR(__xludf.DUMMYFUNCTION("""COMPUTED_VALUE"""),311)</f>
        <v>311</v>
      </c>
      <c r="J262" s="1">
        <f ca="1">IFERROR(__xludf.DUMMYFUNCTION("""COMPUTED_VALUE"""),62.7)</f>
        <v>62.7</v>
      </c>
      <c r="K262" s="1">
        <f ca="1">IFERROR(__xludf.DUMMYFUNCTION("""COMPUTED_VALUE"""),281)</f>
        <v>281</v>
      </c>
      <c r="L262" s="1" t="str">
        <f ca="1">IFERROR(__xludf.DUMMYFUNCTION("""COMPUTED_VALUE"""),"+.061")</f>
        <v>+.061</v>
      </c>
      <c r="M262" s="1">
        <f ca="1">IFERROR(__xludf.DUMMYFUNCTION("""COMPUTED_VALUE"""),50)</f>
        <v>50</v>
      </c>
      <c r="N262" s="1">
        <f ca="1">IFERROR(__xludf.DUMMYFUNCTION("""COMPUTED_VALUE"""),-4.96)</f>
        <v>-4.96</v>
      </c>
      <c r="O262" s="1">
        <f ca="1">IFERROR(__xludf.DUMMYFUNCTION("""COMPUTED_VALUE"""),267)</f>
        <v>267</v>
      </c>
      <c r="P262" s="1">
        <f ca="1">IFERROR(__xludf.DUMMYFUNCTION("""COMPUTED_VALUE"""),103.9)</f>
        <v>103.9</v>
      </c>
      <c r="Q262" s="1">
        <f ca="1">IFERROR(__xludf.DUMMYFUNCTION("""COMPUTED_VALUE"""),196)</f>
        <v>196</v>
      </c>
      <c r="R262" s="1">
        <f ca="1">IFERROR(__xludf.DUMMYFUNCTION("""COMPUTED_VALUE"""),108.9)</f>
        <v>108.9</v>
      </c>
      <c r="S262" s="1">
        <f ca="1">IFERROR(__xludf.DUMMYFUNCTION("""COMPUTED_VALUE"""),309)</f>
        <v>309</v>
      </c>
      <c r="T262" s="1" t="str">
        <f ca="1">IFERROR(__xludf.DUMMYFUNCTION("""COMPUTED_VALUE"""),"+4.54")</f>
        <v>+4.54</v>
      </c>
      <c r="U262" s="1">
        <f ca="1">IFERROR(__xludf.DUMMYFUNCTION("""COMPUTED_VALUE"""),57)</f>
        <v>57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IFERROR(__xludf.DUMMYFUNCTION("""COMPUTED_VALUE"""),"Cal St. Fullerton")</f>
        <v>Cal St. Fullerton</v>
      </c>
      <c r="C263" s="1" t="str">
        <f ca="1">IFERROR(__xludf.DUMMYFUNCTION("""COMPUTED_VALUE"""),"BW")</f>
        <v>BW</v>
      </c>
      <c r="D263" s="2">
        <f ca="1">IFERROR(__xludf.DUMMYFUNCTION("""COMPUTED_VALUE"""),44885)</f>
        <v>44885</v>
      </c>
      <c r="E263" s="1">
        <f ca="1">IFERROR(__xludf.DUMMYFUNCTION("""COMPUTED_VALUE"""),-6.64)</f>
        <v>-6.64</v>
      </c>
      <c r="F263" s="1">
        <f ca="1">IFERROR(__xludf.DUMMYFUNCTION("""COMPUTED_VALUE"""),100.9)</f>
        <v>100.9</v>
      </c>
      <c r="G263" s="1">
        <f ca="1">IFERROR(__xludf.DUMMYFUNCTION("""COMPUTED_VALUE"""),249)</f>
        <v>249</v>
      </c>
      <c r="H263" s="1">
        <f ca="1">IFERROR(__xludf.DUMMYFUNCTION("""COMPUTED_VALUE"""),107.5)</f>
        <v>107.5</v>
      </c>
      <c r="I263" s="1">
        <f ca="1">IFERROR(__xludf.DUMMYFUNCTION("""COMPUTED_VALUE"""),221)</f>
        <v>221</v>
      </c>
      <c r="J263" s="1">
        <f ca="1">IFERROR(__xludf.DUMMYFUNCTION("""COMPUTED_VALUE"""),65.5)</f>
        <v>65.5</v>
      </c>
      <c r="K263" s="1">
        <f ca="1">IFERROR(__xludf.DUMMYFUNCTION("""COMPUTED_VALUE"""),132)</f>
        <v>132</v>
      </c>
      <c r="L263" s="1">
        <f ca="1">IFERROR(__xludf.DUMMYFUNCTION("""COMPUTED_VALUE"""),-0.021)</f>
        <v>-2.1000000000000001E-2</v>
      </c>
      <c r="M263" s="1">
        <f ca="1">IFERROR(__xludf.DUMMYFUNCTION("""COMPUTED_VALUE"""),229)</f>
        <v>229</v>
      </c>
      <c r="N263" s="1">
        <f ca="1">IFERROR(__xludf.DUMMYFUNCTION("""COMPUTED_VALUE"""),-1.7)</f>
        <v>-1.7</v>
      </c>
      <c r="O263" s="1">
        <f ca="1">IFERROR(__xludf.DUMMYFUNCTION("""COMPUTED_VALUE"""),182)</f>
        <v>182</v>
      </c>
      <c r="P263" s="1">
        <f ca="1">IFERROR(__xludf.DUMMYFUNCTION("""COMPUTED_VALUE"""),104.1)</f>
        <v>104.1</v>
      </c>
      <c r="Q263" s="1">
        <f ca="1">IFERROR(__xludf.DUMMYFUNCTION("""COMPUTED_VALUE"""),188)</f>
        <v>188</v>
      </c>
      <c r="R263" s="1">
        <f ca="1">IFERROR(__xludf.DUMMYFUNCTION("""COMPUTED_VALUE"""),105.8)</f>
        <v>105.8</v>
      </c>
      <c r="S263" s="1">
        <f ca="1">IFERROR(__xludf.DUMMYFUNCTION("""COMPUTED_VALUE"""),189)</f>
        <v>189</v>
      </c>
      <c r="T263" s="1">
        <f ca="1">IFERROR(__xludf.DUMMYFUNCTION("""COMPUTED_VALUE"""),-1.5)</f>
        <v>-1.5</v>
      </c>
      <c r="U263" s="1">
        <f ca="1">IFERROR(__xludf.DUMMYFUNCTION("""COMPUTED_VALUE"""),207)</f>
        <v>207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IFERROR(__xludf.DUMMYFUNCTION("""COMPUTED_VALUE"""),"Troy")</f>
        <v>Troy</v>
      </c>
      <c r="C264" s="1" t="str">
        <f ca="1">IFERROR(__xludf.DUMMYFUNCTION("""COMPUTED_VALUE"""),"SB")</f>
        <v>SB</v>
      </c>
      <c r="D264" s="2">
        <f ca="1">IFERROR(__xludf.DUMMYFUNCTION("""COMPUTED_VALUE"""),44885)</f>
        <v>44885</v>
      </c>
      <c r="E264" s="1">
        <f ca="1">IFERROR(__xludf.DUMMYFUNCTION("""COMPUTED_VALUE"""),-6.82)</f>
        <v>-6.82</v>
      </c>
      <c r="F264" s="1">
        <f ca="1">IFERROR(__xludf.DUMMYFUNCTION("""COMPUTED_VALUE"""),101.9)</f>
        <v>101.9</v>
      </c>
      <c r="G264" s="1">
        <f ca="1">IFERROR(__xludf.DUMMYFUNCTION("""COMPUTED_VALUE"""),228)</f>
        <v>228</v>
      </c>
      <c r="H264" s="1">
        <f ca="1">IFERROR(__xludf.DUMMYFUNCTION("""COMPUTED_VALUE"""),108.8)</f>
        <v>108.8</v>
      </c>
      <c r="I264" s="1">
        <f ca="1">IFERROR(__xludf.DUMMYFUNCTION("""COMPUTED_VALUE"""),245)</f>
        <v>245</v>
      </c>
      <c r="J264" s="1">
        <f ca="1">IFERROR(__xludf.DUMMYFUNCTION("""COMPUTED_VALUE"""),63.3)</f>
        <v>63.3</v>
      </c>
      <c r="K264" s="1">
        <f ca="1">IFERROR(__xludf.DUMMYFUNCTION("""COMPUTED_VALUE"""),248)</f>
        <v>248</v>
      </c>
      <c r="L264" s="1">
        <f ca="1">IFERROR(__xludf.DUMMYFUNCTION("""COMPUTED_VALUE"""),-0.085)</f>
        <v>-8.5000000000000006E-2</v>
      </c>
      <c r="M264" s="1">
        <f ca="1">IFERROR(__xludf.DUMMYFUNCTION("""COMPUTED_VALUE"""),334)</f>
        <v>334</v>
      </c>
      <c r="N264" s="1">
        <f ca="1">IFERROR(__xludf.DUMMYFUNCTION("""COMPUTED_VALUE"""),-2.94)</f>
        <v>-2.94</v>
      </c>
      <c r="O264" s="1">
        <f ca="1">IFERROR(__xludf.DUMMYFUNCTION("""COMPUTED_VALUE"""),220)</f>
        <v>220</v>
      </c>
      <c r="P264" s="1">
        <f ca="1">IFERROR(__xludf.DUMMYFUNCTION("""COMPUTED_VALUE"""),102.9)</f>
        <v>102.9</v>
      </c>
      <c r="Q264" s="1">
        <f ca="1">IFERROR(__xludf.DUMMYFUNCTION("""COMPUTED_VALUE"""),261)</f>
        <v>261</v>
      </c>
      <c r="R264" s="1">
        <f ca="1">IFERROR(__xludf.DUMMYFUNCTION("""COMPUTED_VALUE"""),105.9)</f>
        <v>105.9</v>
      </c>
      <c r="S264" s="1">
        <f ca="1">IFERROR(__xludf.DUMMYFUNCTION("""COMPUTED_VALUE"""),196)</f>
        <v>196</v>
      </c>
      <c r="T264" s="1">
        <f ca="1">IFERROR(__xludf.DUMMYFUNCTION("""COMPUTED_VALUE"""),-3.29)</f>
        <v>-3.29</v>
      </c>
      <c r="U264" s="1">
        <f ca="1">IFERROR(__xludf.DUMMYFUNCTION("""COMPUTED_VALUE"""),265)</f>
        <v>265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IFERROR(__xludf.DUMMYFUNCTION("""COMPUTED_VALUE"""),"Louisiana Monroe")</f>
        <v>Louisiana Monroe</v>
      </c>
      <c r="C265" s="1" t="str">
        <f ca="1">IFERROR(__xludf.DUMMYFUNCTION("""COMPUTED_VALUE"""),"SB")</f>
        <v>SB</v>
      </c>
      <c r="D265" s="2">
        <f ca="1">IFERROR(__xludf.DUMMYFUNCTION("""COMPUTED_VALUE"""),44851)</f>
        <v>44851</v>
      </c>
      <c r="E265" s="1">
        <f ca="1">IFERROR(__xludf.DUMMYFUNCTION("""COMPUTED_VALUE"""),-7)</f>
        <v>-7</v>
      </c>
      <c r="F265" s="1">
        <f ca="1">IFERROR(__xludf.DUMMYFUNCTION("""COMPUTED_VALUE"""),97.5)</f>
        <v>97.5</v>
      </c>
      <c r="G265" s="1">
        <f ca="1">IFERROR(__xludf.DUMMYFUNCTION("""COMPUTED_VALUE"""),298)</f>
        <v>298</v>
      </c>
      <c r="H265" s="1">
        <f ca="1">IFERROR(__xludf.DUMMYFUNCTION("""COMPUTED_VALUE"""),104.5)</f>
        <v>104.5</v>
      </c>
      <c r="I265" s="1">
        <f ca="1">IFERROR(__xludf.DUMMYFUNCTION("""COMPUTED_VALUE"""),161)</f>
        <v>161</v>
      </c>
      <c r="J265" s="1">
        <f ca="1">IFERROR(__xludf.DUMMYFUNCTION("""COMPUTED_VALUE"""),61.8)</f>
        <v>61.8</v>
      </c>
      <c r="K265" s="1">
        <f ca="1">IFERROR(__xludf.DUMMYFUNCTION("""COMPUTED_VALUE"""),310)</f>
        <v>310</v>
      </c>
      <c r="L265" s="1">
        <f ca="1">IFERROR(__xludf.DUMMYFUNCTION("""COMPUTED_VALUE"""),-0.012)</f>
        <v>-1.2E-2</v>
      </c>
      <c r="M265" s="1">
        <f ca="1">IFERROR(__xludf.DUMMYFUNCTION("""COMPUTED_VALUE"""),209)</f>
        <v>209</v>
      </c>
      <c r="N265" s="1" t="str">
        <f ca="1">IFERROR(__xludf.DUMMYFUNCTION("""COMPUTED_VALUE"""),"+0.70")</f>
        <v>+0.70</v>
      </c>
      <c r="O265" s="1">
        <f ca="1">IFERROR(__xludf.DUMMYFUNCTION("""COMPUTED_VALUE"""),133)</f>
        <v>133</v>
      </c>
      <c r="P265" s="1">
        <f ca="1">IFERROR(__xludf.DUMMYFUNCTION("""COMPUTED_VALUE"""),105.7)</f>
        <v>105.7</v>
      </c>
      <c r="Q265" s="1">
        <f ca="1">IFERROR(__xludf.DUMMYFUNCTION("""COMPUTED_VALUE"""),125)</f>
        <v>125</v>
      </c>
      <c r="R265" s="1">
        <f ca="1">IFERROR(__xludf.DUMMYFUNCTION("""COMPUTED_VALUE"""),105)</f>
        <v>105</v>
      </c>
      <c r="S265" s="1">
        <f ca="1">IFERROR(__xludf.DUMMYFUNCTION("""COMPUTED_VALUE"""),155)</f>
        <v>155</v>
      </c>
      <c r="T265" s="1" t="str">
        <f ca="1">IFERROR(__xludf.DUMMYFUNCTION("""COMPUTED_VALUE"""),"+12.24")</f>
        <v>+12.24</v>
      </c>
      <c r="U265" s="1">
        <f ca="1">IFERROR(__xludf.DUMMYFUNCTION("""COMPUTED_VALUE"""),6)</f>
        <v>6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IFERROR(__xludf.DUMMYFUNCTION("""COMPUTED_VALUE"""),"Air Force")</f>
        <v>Air Force</v>
      </c>
      <c r="C266" s="1" t="str">
        <f ca="1">IFERROR(__xludf.DUMMYFUNCTION("""COMPUTED_VALUE"""),"MWC")</f>
        <v>MWC</v>
      </c>
      <c r="D266" s="2">
        <f ca="1">IFERROR(__xludf.DUMMYFUNCTION("""COMPUTED_VALUE"""),44913)</f>
        <v>44913</v>
      </c>
      <c r="E266" s="1">
        <f ca="1">IFERROR(__xludf.DUMMYFUNCTION("""COMPUTED_VALUE"""),-7)</f>
        <v>-7</v>
      </c>
      <c r="F266" s="1">
        <f ca="1">IFERROR(__xludf.DUMMYFUNCTION("""COMPUTED_VALUE"""),99.6)</f>
        <v>99.6</v>
      </c>
      <c r="G266" s="1">
        <f ca="1">IFERROR(__xludf.DUMMYFUNCTION("""COMPUTED_VALUE"""),269)</f>
        <v>269</v>
      </c>
      <c r="H266" s="1">
        <f ca="1">IFERROR(__xludf.DUMMYFUNCTION("""COMPUTED_VALUE"""),106.6)</f>
        <v>106.6</v>
      </c>
      <c r="I266" s="1">
        <f ca="1">IFERROR(__xludf.DUMMYFUNCTION("""COMPUTED_VALUE"""),204)</f>
        <v>204</v>
      </c>
      <c r="J266" s="1">
        <f ca="1">IFERROR(__xludf.DUMMYFUNCTION("""COMPUTED_VALUE"""),63.6)</f>
        <v>63.6</v>
      </c>
      <c r="K266" s="1">
        <f ca="1">IFERROR(__xludf.DUMMYFUNCTION("""COMPUTED_VALUE"""),236)</f>
        <v>236</v>
      </c>
      <c r="L266" s="1" t="str">
        <f ca="1">IFERROR(__xludf.DUMMYFUNCTION("""COMPUTED_VALUE"""),"+.056")</f>
        <v>+.056</v>
      </c>
      <c r="M266" s="1">
        <f ca="1">IFERROR(__xludf.DUMMYFUNCTION("""COMPUTED_VALUE"""),63)</f>
        <v>63</v>
      </c>
      <c r="N266" s="1" t="str">
        <f ca="1">IFERROR(__xludf.DUMMYFUNCTION("""COMPUTED_VALUE"""),"+0.57")</f>
        <v>+0.57</v>
      </c>
      <c r="O266" s="1">
        <f ca="1">IFERROR(__xludf.DUMMYFUNCTION("""COMPUTED_VALUE"""),137)</f>
        <v>137</v>
      </c>
      <c r="P266" s="1">
        <f ca="1">IFERROR(__xludf.DUMMYFUNCTION("""COMPUTED_VALUE"""),105.4)</f>
        <v>105.4</v>
      </c>
      <c r="Q266" s="1">
        <f ca="1">IFERROR(__xludf.DUMMYFUNCTION("""COMPUTED_VALUE"""),139)</f>
        <v>139</v>
      </c>
      <c r="R266" s="1">
        <f ca="1">IFERROR(__xludf.DUMMYFUNCTION("""COMPUTED_VALUE"""),104.8)</f>
        <v>104.8</v>
      </c>
      <c r="S266" s="1">
        <f ca="1">IFERROR(__xludf.DUMMYFUNCTION("""COMPUTED_VALUE"""),143)</f>
        <v>143</v>
      </c>
      <c r="T266" s="1">
        <f ca="1">IFERROR(__xludf.DUMMYFUNCTION("""COMPUTED_VALUE"""),-9.12)</f>
        <v>-9.1199999999999992</v>
      </c>
      <c r="U266" s="1">
        <f ca="1">IFERROR(__xludf.DUMMYFUNCTION("""COMPUTED_VALUE"""),346)</f>
        <v>346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IFERROR(__xludf.DUMMYFUNCTION("""COMPUTED_VALUE"""),"South Alabama")</f>
        <v>South Alabama</v>
      </c>
      <c r="C267" s="1" t="str">
        <f ca="1">IFERROR(__xludf.DUMMYFUNCTION("""COMPUTED_VALUE"""),"SB")</f>
        <v>SB</v>
      </c>
      <c r="D267" s="2">
        <f ca="1">IFERROR(__xludf.DUMMYFUNCTION("""COMPUTED_VALUE"""),44885)</f>
        <v>44885</v>
      </c>
      <c r="E267" s="1">
        <f ca="1">IFERROR(__xludf.DUMMYFUNCTION("""COMPUTED_VALUE"""),-7.06)</f>
        <v>-7.06</v>
      </c>
      <c r="F267" s="1">
        <f ca="1">IFERROR(__xludf.DUMMYFUNCTION("""COMPUTED_VALUE"""),101.1)</f>
        <v>101.1</v>
      </c>
      <c r="G267" s="1">
        <f ca="1">IFERROR(__xludf.DUMMYFUNCTION("""COMPUTED_VALUE"""),245)</f>
        <v>245</v>
      </c>
      <c r="H267" s="1">
        <f ca="1">IFERROR(__xludf.DUMMYFUNCTION("""COMPUTED_VALUE"""),108.1)</f>
        <v>108.1</v>
      </c>
      <c r="I267" s="1">
        <f ca="1">IFERROR(__xludf.DUMMYFUNCTION("""COMPUTED_VALUE"""),232)</f>
        <v>232</v>
      </c>
      <c r="J267" s="1">
        <f ca="1">IFERROR(__xludf.DUMMYFUNCTION("""COMPUTED_VALUE"""),64.5)</f>
        <v>64.5</v>
      </c>
      <c r="K267" s="1">
        <f ca="1">IFERROR(__xludf.DUMMYFUNCTION("""COMPUTED_VALUE"""),187)</f>
        <v>187</v>
      </c>
      <c r="L267" s="1">
        <f ca="1">IFERROR(__xludf.DUMMYFUNCTION("""COMPUTED_VALUE"""),-0.047)</f>
        <v>-4.7E-2</v>
      </c>
      <c r="M267" s="1">
        <f ca="1">IFERROR(__xludf.DUMMYFUNCTION("""COMPUTED_VALUE"""),284)</f>
        <v>284</v>
      </c>
      <c r="N267" s="1">
        <f ca="1">IFERROR(__xludf.DUMMYFUNCTION("""COMPUTED_VALUE"""),-0.08)</f>
        <v>-0.08</v>
      </c>
      <c r="O267" s="1">
        <f ca="1">IFERROR(__xludf.DUMMYFUNCTION("""COMPUTED_VALUE"""),151)</f>
        <v>151</v>
      </c>
      <c r="P267" s="1">
        <f ca="1">IFERROR(__xludf.DUMMYFUNCTION("""COMPUTED_VALUE"""),104.1)</f>
        <v>104.1</v>
      </c>
      <c r="Q267" s="1">
        <f ca="1">IFERROR(__xludf.DUMMYFUNCTION("""COMPUTED_VALUE"""),181)</f>
        <v>181</v>
      </c>
      <c r="R267" s="1">
        <f ca="1">IFERROR(__xludf.DUMMYFUNCTION("""COMPUTED_VALUE"""),104.2)</f>
        <v>104.2</v>
      </c>
      <c r="S267" s="1">
        <f ca="1">IFERROR(__xludf.DUMMYFUNCTION("""COMPUTED_VALUE"""),119)</f>
        <v>119</v>
      </c>
      <c r="T267" s="1" t="str">
        <f ca="1">IFERROR(__xludf.DUMMYFUNCTION("""COMPUTED_VALUE"""),"+5.58")</f>
        <v>+5.58</v>
      </c>
      <c r="U267" s="1">
        <f ca="1">IFERROR(__xludf.DUMMYFUNCTION("""COMPUTED_VALUE"""),39)</f>
        <v>39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IFERROR(__xludf.DUMMYFUNCTION("""COMPUTED_VALUE"""),"Idaho")</f>
        <v>Idaho</v>
      </c>
      <c r="C268" s="1" t="str">
        <f ca="1">IFERROR(__xludf.DUMMYFUNCTION("""COMPUTED_VALUE"""),"WAC")</f>
        <v>WAC</v>
      </c>
      <c r="D268" s="1" t="str">
        <f ca="1">IFERROR(__xludf.DUMMYFUNCTION("""COMPUTED_VALUE"""),"16-18")</f>
        <v>16-18</v>
      </c>
      <c r="E268" s="1">
        <f ca="1">IFERROR(__xludf.DUMMYFUNCTION("""COMPUTED_VALUE"""),-7.12)</f>
        <v>-7.12</v>
      </c>
      <c r="F268" s="1">
        <f ca="1">IFERROR(__xludf.DUMMYFUNCTION("""COMPUTED_VALUE"""),105.4)</f>
        <v>105.4</v>
      </c>
      <c r="G268" s="1">
        <f ca="1">IFERROR(__xludf.DUMMYFUNCTION("""COMPUTED_VALUE"""),174)</f>
        <v>174</v>
      </c>
      <c r="H268" s="1">
        <f ca="1">IFERROR(__xludf.DUMMYFUNCTION("""COMPUTED_VALUE"""),112.5)</f>
        <v>112.5</v>
      </c>
      <c r="I268" s="1">
        <f ca="1">IFERROR(__xludf.DUMMYFUNCTION("""COMPUTED_VALUE"""),308)</f>
        <v>308</v>
      </c>
      <c r="J268" s="1">
        <f ca="1">IFERROR(__xludf.DUMMYFUNCTION("""COMPUTED_VALUE"""),65.6)</f>
        <v>65.599999999999994</v>
      </c>
      <c r="K268" s="1">
        <f ca="1">IFERROR(__xludf.DUMMYFUNCTION("""COMPUTED_VALUE"""),123)</f>
        <v>123</v>
      </c>
      <c r="L268" s="1" t="str">
        <f ca="1">IFERROR(__xludf.DUMMYFUNCTION("""COMPUTED_VALUE"""),"+.078")</f>
        <v>+.078</v>
      </c>
      <c r="M268" s="1">
        <f ca="1">IFERROR(__xludf.DUMMYFUNCTION("""COMPUTED_VALUE"""),26)</f>
        <v>26</v>
      </c>
      <c r="N268" s="1">
        <f ca="1">IFERROR(__xludf.DUMMYFUNCTION("""COMPUTED_VALUE"""),-4.4)</f>
        <v>-4.4000000000000004</v>
      </c>
      <c r="O268" s="1">
        <f ca="1">IFERROR(__xludf.DUMMYFUNCTION("""COMPUTED_VALUE"""),246)</f>
        <v>246</v>
      </c>
      <c r="P268" s="1">
        <f ca="1">IFERROR(__xludf.DUMMYFUNCTION("""COMPUTED_VALUE"""),103.2)</f>
        <v>103.2</v>
      </c>
      <c r="Q268" s="1">
        <f ca="1">IFERROR(__xludf.DUMMYFUNCTION("""COMPUTED_VALUE"""),246)</f>
        <v>246</v>
      </c>
      <c r="R268" s="1">
        <f ca="1">IFERROR(__xludf.DUMMYFUNCTION("""COMPUTED_VALUE"""),107.6)</f>
        <v>107.6</v>
      </c>
      <c r="S268" s="1">
        <f ca="1">IFERROR(__xludf.DUMMYFUNCTION("""COMPUTED_VALUE"""),262)</f>
        <v>262</v>
      </c>
      <c r="T268" s="1">
        <f ca="1">IFERROR(__xludf.DUMMYFUNCTION("""COMPUTED_VALUE"""),-2.36)</f>
        <v>-2.36</v>
      </c>
      <c r="U268" s="1">
        <f ca="1">IFERROR(__xludf.DUMMYFUNCTION("""COMPUTED_VALUE"""),226)</f>
        <v>226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IFERROR(__xludf.DUMMYFUNCTION("""COMPUTED_VALUE"""),"South Dakota")</f>
        <v>South Dakota</v>
      </c>
      <c r="C269" s="1" t="str">
        <f ca="1">IFERROR(__xludf.DUMMYFUNCTION("""COMPUTED_VALUE"""),"Sum")</f>
        <v>Sum</v>
      </c>
      <c r="D269" s="2">
        <f ca="1">IFERROR(__xludf.DUMMYFUNCTION("""COMPUTED_VALUE"""),44913)</f>
        <v>44913</v>
      </c>
      <c r="E269" s="1">
        <f ca="1">IFERROR(__xludf.DUMMYFUNCTION("""COMPUTED_VALUE"""),-7.13)</f>
        <v>-7.13</v>
      </c>
      <c r="F269" s="1">
        <f ca="1">IFERROR(__xludf.DUMMYFUNCTION("""COMPUTED_VALUE"""),101.7)</f>
        <v>101.7</v>
      </c>
      <c r="G269" s="1">
        <f ca="1">IFERROR(__xludf.DUMMYFUNCTION("""COMPUTED_VALUE"""),232)</f>
        <v>232</v>
      </c>
      <c r="H269" s="1">
        <f ca="1">IFERROR(__xludf.DUMMYFUNCTION("""COMPUTED_VALUE"""),108.9)</f>
        <v>108.9</v>
      </c>
      <c r="I269" s="1">
        <f ca="1">IFERROR(__xludf.DUMMYFUNCTION("""COMPUTED_VALUE"""),246)</f>
        <v>246</v>
      </c>
      <c r="J269" s="1">
        <f ca="1">IFERROR(__xludf.DUMMYFUNCTION("""COMPUTED_VALUE"""),65.5)</f>
        <v>65.5</v>
      </c>
      <c r="K269" s="1">
        <f ca="1">IFERROR(__xludf.DUMMYFUNCTION("""COMPUTED_VALUE"""),129)</f>
        <v>129</v>
      </c>
      <c r="L269" s="1" t="str">
        <f ca="1">IFERROR(__xludf.DUMMYFUNCTION("""COMPUTED_VALUE"""),"+.024")</f>
        <v>+.024</v>
      </c>
      <c r="M269" s="1">
        <f ca="1">IFERROR(__xludf.DUMMYFUNCTION("""COMPUTED_VALUE"""),127)</f>
        <v>127</v>
      </c>
      <c r="N269" s="1" t="str">
        <f ca="1">IFERROR(__xludf.DUMMYFUNCTION("""COMPUTED_VALUE"""),"+0.55")</f>
        <v>+0.55</v>
      </c>
      <c r="O269" s="1">
        <f ca="1">IFERROR(__xludf.DUMMYFUNCTION("""COMPUTED_VALUE"""),138)</f>
        <v>138</v>
      </c>
      <c r="P269" s="1">
        <f ca="1">IFERROR(__xludf.DUMMYFUNCTION("""COMPUTED_VALUE"""),105.8)</f>
        <v>105.8</v>
      </c>
      <c r="Q269" s="1">
        <f ca="1">IFERROR(__xludf.DUMMYFUNCTION("""COMPUTED_VALUE"""),123)</f>
        <v>123</v>
      </c>
      <c r="R269" s="1">
        <f ca="1">IFERROR(__xludf.DUMMYFUNCTION("""COMPUTED_VALUE"""),105.2)</f>
        <v>105.2</v>
      </c>
      <c r="S269" s="1">
        <f ca="1">IFERROR(__xludf.DUMMYFUNCTION("""COMPUTED_VALUE"""),168)</f>
        <v>168</v>
      </c>
      <c r="T269" s="1" t="str">
        <f ca="1">IFERROR(__xludf.DUMMYFUNCTION("""COMPUTED_VALUE"""),"+3.40")</f>
        <v>+3.40</v>
      </c>
      <c r="U269" s="1">
        <f ca="1">IFERROR(__xludf.DUMMYFUNCTION("""COMPUTED_VALUE"""),67)</f>
        <v>67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IFERROR(__xludf.DUMMYFUNCTION("""COMPUTED_VALUE"""),"Radford")</f>
        <v>Radford</v>
      </c>
      <c r="C270" s="1" t="str">
        <f ca="1">IFERROR(__xludf.DUMMYFUNCTION("""COMPUTED_VALUE"""),"BSth")</f>
        <v>BSth</v>
      </c>
      <c r="D270" s="1" t="str">
        <f ca="1">IFERROR(__xludf.DUMMYFUNCTION("""COMPUTED_VALUE"""),"22-13")</f>
        <v>22-13</v>
      </c>
      <c r="E270" s="1">
        <f ca="1">IFERROR(__xludf.DUMMYFUNCTION("""COMPUTED_VALUE"""),-7.36)</f>
        <v>-7.36</v>
      </c>
      <c r="F270" s="1">
        <f ca="1">IFERROR(__xludf.DUMMYFUNCTION("""COMPUTED_VALUE"""),106.9)</f>
        <v>106.9</v>
      </c>
      <c r="G270" s="1">
        <f ca="1">IFERROR(__xludf.DUMMYFUNCTION("""COMPUTED_VALUE"""),138)</f>
        <v>138</v>
      </c>
      <c r="H270" s="1">
        <f ca="1">IFERROR(__xludf.DUMMYFUNCTION("""COMPUTED_VALUE"""),114.3)</f>
        <v>114.3</v>
      </c>
      <c r="I270" s="1">
        <f ca="1">IFERROR(__xludf.DUMMYFUNCTION("""COMPUTED_VALUE"""),327)</f>
        <v>327</v>
      </c>
      <c r="J270" s="1">
        <f ca="1">IFERROR(__xludf.DUMMYFUNCTION("""COMPUTED_VALUE"""),66.5)</f>
        <v>66.5</v>
      </c>
      <c r="K270" s="1">
        <f ca="1">IFERROR(__xludf.DUMMYFUNCTION("""COMPUTED_VALUE"""),89)</f>
        <v>89</v>
      </c>
      <c r="L270" s="1" t="str">
        <f ca="1">IFERROR(__xludf.DUMMYFUNCTION("""COMPUTED_VALUE"""),"+.084")</f>
        <v>+.084</v>
      </c>
      <c r="M270" s="1">
        <f ca="1">IFERROR(__xludf.DUMMYFUNCTION("""COMPUTED_VALUE"""),20)</f>
        <v>20</v>
      </c>
      <c r="N270" s="1">
        <f ca="1">IFERROR(__xludf.DUMMYFUNCTION("""COMPUTED_VALUE"""),-8.98)</f>
        <v>-8.98</v>
      </c>
      <c r="O270" s="1">
        <f ca="1">IFERROR(__xludf.DUMMYFUNCTION("""COMPUTED_VALUE"""),339)</f>
        <v>339</v>
      </c>
      <c r="P270" s="1">
        <f ca="1">IFERROR(__xludf.DUMMYFUNCTION("""COMPUTED_VALUE"""),101.5)</f>
        <v>101.5</v>
      </c>
      <c r="Q270" s="1">
        <f ca="1">IFERROR(__xludf.DUMMYFUNCTION("""COMPUTED_VALUE"""),312)</f>
        <v>312</v>
      </c>
      <c r="R270" s="1">
        <f ca="1">IFERROR(__xludf.DUMMYFUNCTION("""COMPUTED_VALUE"""),110.5)</f>
        <v>110.5</v>
      </c>
      <c r="S270" s="1">
        <f ca="1">IFERROR(__xludf.DUMMYFUNCTION("""COMPUTED_VALUE"""),346)</f>
        <v>346</v>
      </c>
      <c r="T270" s="1">
        <f ca="1">IFERROR(__xludf.DUMMYFUNCTION("""COMPUTED_VALUE"""),-6.3)</f>
        <v>-6.3</v>
      </c>
      <c r="U270" s="1">
        <f ca="1">IFERROR(__xludf.DUMMYFUNCTION("""COMPUTED_VALUE"""),319)</f>
        <v>319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IFERROR(__xludf.DUMMYFUNCTION("""COMPUTED_VALUE"""),"Penn")</f>
        <v>Penn</v>
      </c>
      <c r="C271" s="1" t="str">
        <f ca="1">IFERROR(__xludf.DUMMYFUNCTION("""COMPUTED_VALUE"""),"Ivy")</f>
        <v>Ivy</v>
      </c>
      <c r="D271" s="2">
        <f ca="1">IFERROR(__xludf.DUMMYFUNCTION("""COMPUTED_VALUE"""),44793)</f>
        <v>44793</v>
      </c>
      <c r="E271" s="1">
        <f ca="1">IFERROR(__xludf.DUMMYFUNCTION("""COMPUTED_VALUE"""),-7.46)</f>
        <v>-7.46</v>
      </c>
      <c r="F271" s="1">
        <f ca="1">IFERROR(__xludf.DUMMYFUNCTION("""COMPUTED_VALUE"""),99.1)</f>
        <v>99.1</v>
      </c>
      <c r="G271" s="1">
        <f ca="1">IFERROR(__xludf.DUMMYFUNCTION("""COMPUTED_VALUE"""),274)</f>
        <v>274</v>
      </c>
      <c r="H271" s="1">
        <f ca="1">IFERROR(__xludf.DUMMYFUNCTION("""COMPUTED_VALUE"""),106.6)</f>
        <v>106.6</v>
      </c>
      <c r="I271" s="1">
        <f ca="1">IFERROR(__xludf.DUMMYFUNCTION("""COMPUTED_VALUE"""),202)</f>
        <v>202</v>
      </c>
      <c r="J271" s="1">
        <f ca="1">IFERROR(__xludf.DUMMYFUNCTION("""COMPUTED_VALUE"""),68.2)</f>
        <v>68.2</v>
      </c>
      <c r="K271" s="1">
        <f ca="1">IFERROR(__xludf.DUMMYFUNCTION("""COMPUTED_VALUE"""),38)</f>
        <v>38</v>
      </c>
      <c r="L271" s="1">
        <f ca="1">IFERROR(__xludf.DUMMYFUNCTION("""COMPUTED_VALUE"""),-0.013)</f>
        <v>-1.2999999999999999E-2</v>
      </c>
      <c r="M271" s="1">
        <f ca="1">IFERROR(__xludf.DUMMYFUNCTION("""COMPUTED_VALUE"""),210)</f>
        <v>210</v>
      </c>
      <c r="N271" s="1" t="str">
        <f ca="1">IFERROR(__xludf.DUMMYFUNCTION("""COMPUTED_VALUE"""),"+0.58")</f>
        <v>+0.58</v>
      </c>
      <c r="O271" s="1">
        <f ca="1">IFERROR(__xludf.DUMMYFUNCTION("""COMPUTED_VALUE"""),135)</f>
        <v>135</v>
      </c>
      <c r="P271" s="1">
        <f ca="1">IFERROR(__xludf.DUMMYFUNCTION("""COMPUTED_VALUE"""),105.4)</f>
        <v>105.4</v>
      </c>
      <c r="Q271" s="1">
        <f ca="1">IFERROR(__xludf.DUMMYFUNCTION("""COMPUTED_VALUE"""),136)</f>
        <v>136</v>
      </c>
      <c r="R271" s="1">
        <f ca="1">IFERROR(__xludf.DUMMYFUNCTION("""COMPUTED_VALUE"""),104.8)</f>
        <v>104.8</v>
      </c>
      <c r="S271" s="1">
        <f ca="1">IFERROR(__xludf.DUMMYFUNCTION("""COMPUTED_VALUE"""),147)</f>
        <v>147</v>
      </c>
      <c r="T271" s="1" t="str">
        <f ca="1">IFERROR(__xludf.DUMMYFUNCTION("""COMPUTED_VALUE"""),"+0.94")</f>
        <v>+0.94</v>
      </c>
      <c r="U271" s="1">
        <f ca="1">IFERROR(__xludf.DUMMYFUNCTION("""COMPUTED_VALUE"""),131)</f>
        <v>131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IFERROR(__xludf.DUMMYFUNCTION("""COMPUTED_VALUE"""),"Norfolk St.")</f>
        <v>Norfolk St.</v>
      </c>
      <c r="C272" s="1" t="str">
        <f ca="1">IFERROR(__xludf.DUMMYFUNCTION("""COMPUTED_VALUE"""),"MEAC")</f>
        <v>MEAC</v>
      </c>
      <c r="D272" s="1" t="str">
        <f ca="1">IFERROR(__xludf.DUMMYFUNCTION("""COMPUTED_VALUE"""),"19-15")</f>
        <v>19-15</v>
      </c>
      <c r="E272" s="1">
        <f ca="1">IFERROR(__xludf.DUMMYFUNCTION("""COMPUTED_VALUE"""),-7.48)</f>
        <v>-7.48</v>
      </c>
      <c r="F272" s="1">
        <f ca="1">IFERROR(__xludf.DUMMYFUNCTION("""COMPUTED_VALUE"""),102.9)</f>
        <v>102.9</v>
      </c>
      <c r="G272" s="1">
        <f ca="1">IFERROR(__xludf.DUMMYFUNCTION("""COMPUTED_VALUE"""),216)</f>
        <v>216</v>
      </c>
      <c r="H272" s="1">
        <f ca="1">IFERROR(__xludf.DUMMYFUNCTION("""COMPUTED_VALUE"""),110.3)</f>
        <v>110.3</v>
      </c>
      <c r="I272" s="1">
        <f ca="1">IFERROR(__xludf.DUMMYFUNCTION("""COMPUTED_VALUE"""),267)</f>
        <v>267</v>
      </c>
      <c r="J272" s="1">
        <f ca="1">IFERROR(__xludf.DUMMYFUNCTION("""COMPUTED_VALUE"""),62.7)</f>
        <v>62.7</v>
      </c>
      <c r="K272" s="1">
        <f ca="1">IFERROR(__xludf.DUMMYFUNCTION("""COMPUTED_VALUE"""),278)</f>
        <v>278</v>
      </c>
      <c r="L272" s="1" t="str">
        <f ca="1">IFERROR(__xludf.DUMMYFUNCTION("""COMPUTED_VALUE"""),"+.042")</f>
        <v>+.042</v>
      </c>
      <c r="M272" s="1">
        <f ca="1">IFERROR(__xludf.DUMMYFUNCTION("""COMPUTED_VALUE"""),82)</f>
        <v>82</v>
      </c>
      <c r="N272" s="1">
        <f ca="1">IFERROR(__xludf.DUMMYFUNCTION("""COMPUTED_VALUE"""),-7.58)</f>
        <v>-7.58</v>
      </c>
      <c r="O272" s="1">
        <f ca="1">IFERROR(__xludf.DUMMYFUNCTION("""COMPUTED_VALUE"""),317)</f>
        <v>317</v>
      </c>
      <c r="P272" s="1">
        <f ca="1">IFERROR(__xludf.DUMMYFUNCTION("""COMPUTED_VALUE"""),100.5)</f>
        <v>100.5</v>
      </c>
      <c r="Q272" s="1">
        <f ca="1">IFERROR(__xludf.DUMMYFUNCTION("""COMPUTED_VALUE"""),330)</f>
        <v>330</v>
      </c>
      <c r="R272" s="1">
        <f ca="1">IFERROR(__xludf.DUMMYFUNCTION("""COMPUTED_VALUE"""),108.1)</f>
        <v>108.1</v>
      </c>
      <c r="S272" s="1">
        <f ca="1">IFERROR(__xludf.DUMMYFUNCTION("""COMPUTED_VALUE"""),281)</f>
        <v>281</v>
      </c>
      <c r="T272" s="1">
        <f ca="1">IFERROR(__xludf.DUMMYFUNCTION("""COMPUTED_VALUE"""),-0.13)</f>
        <v>-0.13</v>
      </c>
      <c r="U272" s="1">
        <f ca="1">IFERROR(__xludf.DUMMYFUNCTION("""COMPUTED_VALUE"""),165)</f>
        <v>165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IFERROR(__xludf.DUMMYFUNCTION("""COMPUTED_VALUE"""),"Texas Southern16")</f>
        <v>Texas Southern16</v>
      </c>
      <c r="C273" s="1" t="str">
        <f ca="1">IFERROR(__xludf.DUMMYFUNCTION("""COMPUTED_VALUE"""),"SWAC")</f>
        <v>SWAC</v>
      </c>
      <c r="D273" s="1" t="str">
        <f ca="1">IFERROR(__xludf.DUMMYFUNCTION("""COMPUTED_VALUE"""),"19-15")</f>
        <v>19-15</v>
      </c>
      <c r="E273" s="1">
        <f ca="1">IFERROR(__xludf.DUMMYFUNCTION("""COMPUTED_VALUE"""),-7.49)</f>
        <v>-7.49</v>
      </c>
      <c r="F273" s="1">
        <f ca="1">IFERROR(__xludf.DUMMYFUNCTION("""COMPUTED_VALUE"""),106.7)</f>
        <v>106.7</v>
      </c>
      <c r="G273" s="1">
        <f ca="1">IFERROR(__xludf.DUMMYFUNCTION("""COMPUTED_VALUE"""),142)</f>
        <v>142</v>
      </c>
      <c r="H273" s="1">
        <f ca="1">IFERROR(__xludf.DUMMYFUNCTION("""COMPUTED_VALUE"""),114.1)</f>
        <v>114.1</v>
      </c>
      <c r="I273" s="1">
        <f ca="1">IFERROR(__xludf.DUMMYFUNCTION("""COMPUTED_VALUE"""),326)</f>
        <v>326</v>
      </c>
      <c r="J273" s="1">
        <f ca="1">IFERROR(__xludf.DUMMYFUNCTION("""COMPUTED_VALUE"""),65.7)</f>
        <v>65.7</v>
      </c>
      <c r="K273" s="1">
        <f ca="1">IFERROR(__xludf.DUMMYFUNCTION("""COMPUTED_VALUE"""),120)</f>
        <v>120</v>
      </c>
      <c r="L273" s="1">
        <f ca="1">IFERROR(__xludf.DUMMYFUNCTION("""COMPUTED_VALUE"""),-0.004)</f>
        <v>-4.0000000000000001E-3</v>
      </c>
      <c r="M273" s="1">
        <f ca="1">IFERROR(__xludf.DUMMYFUNCTION("""COMPUTED_VALUE"""),196)</f>
        <v>196</v>
      </c>
      <c r="N273" s="1">
        <f ca="1">IFERROR(__xludf.DUMMYFUNCTION("""COMPUTED_VALUE"""),-11.11)</f>
        <v>-11.11</v>
      </c>
      <c r="O273" s="1">
        <f ca="1">IFERROR(__xludf.DUMMYFUNCTION("""COMPUTED_VALUE"""),349)</f>
        <v>349</v>
      </c>
      <c r="P273" s="1">
        <f ca="1">IFERROR(__xludf.DUMMYFUNCTION("""COMPUTED_VALUE"""),97.6)</f>
        <v>97.6</v>
      </c>
      <c r="Q273" s="1">
        <f ca="1">IFERROR(__xludf.DUMMYFUNCTION("""COMPUTED_VALUE"""),350)</f>
        <v>350</v>
      </c>
      <c r="R273" s="1">
        <f ca="1">IFERROR(__xludf.DUMMYFUNCTION("""COMPUTED_VALUE"""),108.8)</f>
        <v>108.8</v>
      </c>
      <c r="S273" s="1">
        <f ca="1">IFERROR(__xludf.DUMMYFUNCTION("""COMPUTED_VALUE"""),300)</f>
        <v>300</v>
      </c>
      <c r="T273" s="1" t="str">
        <f ca="1">IFERROR(__xludf.DUMMYFUNCTION("""COMPUTED_VALUE"""),"+2.72")</f>
        <v>+2.72</v>
      </c>
      <c r="U273" s="1">
        <f ca="1">IFERROR(__xludf.DUMMYFUNCTION("""COMPUTED_VALUE"""),85)</f>
        <v>85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IFERROR(__xludf.DUMMYFUNCTION("""COMPUTED_VALUE"""),"Idaho St.")</f>
        <v>Idaho St.</v>
      </c>
      <c r="C274" s="1" t="str">
        <f ca="1">IFERROR(__xludf.DUMMYFUNCTION("""COMPUTED_VALUE"""),"BSky")</f>
        <v>BSky</v>
      </c>
      <c r="D274" s="2">
        <f ca="1">IFERROR(__xludf.DUMMYFUNCTION("""COMPUTED_VALUE"""),44883)</f>
        <v>44883</v>
      </c>
      <c r="E274" s="1">
        <f ca="1">IFERROR(__xludf.DUMMYFUNCTION("""COMPUTED_VALUE"""),-7.58)</f>
        <v>-7.58</v>
      </c>
      <c r="F274" s="1">
        <f ca="1">IFERROR(__xludf.DUMMYFUNCTION("""COMPUTED_VALUE"""),104)</f>
        <v>104</v>
      </c>
      <c r="G274" s="1">
        <f ca="1">IFERROR(__xludf.DUMMYFUNCTION("""COMPUTED_VALUE"""),198)</f>
        <v>198</v>
      </c>
      <c r="H274" s="1">
        <f ca="1">IFERROR(__xludf.DUMMYFUNCTION("""COMPUTED_VALUE"""),111.6)</f>
        <v>111.6</v>
      </c>
      <c r="I274" s="1">
        <f ca="1">IFERROR(__xludf.DUMMYFUNCTION("""COMPUTED_VALUE"""),289)</f>
        <v>289</v>
      </c>
      <c r="J274" s="1">
        <f ca="1">IFERROR(__xludf.DUMMYFUNCTION("""COMPUTED_VALUE"""),63)</f>
        <v>63</v>
      </c>
      <c r="K274" s="1">
        <f ca="1">IFERROR(__xludf.DUMMYFUNCTION("""COMPUTED_VALUE"""),258)</f>
        <v>258</v>
      </c>
      <c r="L274" s="1">
        <f ca="1">IFERROR(__xludf.DUMMYFUNCTION("""COMPUTED_VALUE"""),-0.091)</f>
        <v>-9.0999999999999998E-2</v>
      </c>
      <c r="M274" s="1">
        <f ca="1">IFERROR(__xludf.DUMMYFUNCTION("""COMPUTED_VALUE"""),338)</f>
        <v>338</v>
      </c>
      <c r="N274" s="1">
        <f ca="1">IFERROR(__xludf.DUMMYFUNCTION("""COMPUTED_VALUE"""),-5.87)</f>
        <v>-5.87</v>
      </c>
      <c r="O274" s="1">
        <f ca="1">IFERROR(__xludf.DUMMYFUNCTION("""COMPUTED_VALUE"""),286)</f>
        <v>286</v>
      </c>
      <c r="P274" s="1">
        <f ca="1">IFERROR(__xludf.DUMMYFUNCTION("""COMPUTED_VALUE"""),103.5)</f>
        <v>103.5</v>
      </c>
      <c r="Q274" s="1">
        <f ca="1">IFERROR(__xludf.DUMMYFUNCTION("""COMPUTED_VALUE"""),223)</f>
        <v>223</v>
      </c>
      <c r="R274" s="1">
        <f ca="1">IFERROR(__xludf.DUMMYFUNCTION("""COMPUTED_VALUE"""),109.3)</f>
        <v>109.3</v>
      </c>
      <c r="S274" s="1">
        <f ca="1">IFERROR(__xludf.DUMMYFUNCTION("""COMPUTED_VALUE"""),321)</f>
        <v>321</v>
      </c>
      <c r="T274" s="1" t="str">
        <f ca="1">IFERROR(__xludf.DUMMYFUNCTION("""COMPUTED_VALUE"""),"+6.90")</f>
        <v>+6.90</v>
      </c>
      <c r="U274" s="1">
        <f ca="1">IFERROR(__xludf.DUMMYFUNCTION("""COMPUTED_VALUE"""),28)</f>
        <v>28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IFERROR(__xludf.DUMMYFUNCTION("""COMPUTED_VALUE"""),"Incarnate Word")</f>
        <v>Incarnate Word</v>
      </c>
      <c r="C275" s="1" t="str">
        <f ca="1">IFERROR(__xludf.DUMMYFUNCTION("""COMPUTED_VALUE"""),"Slnd")</f>
        <v>Slnd</v>
      </c>
      <c r="D275" s="1" t="str">
        <f ca="1">IFERROR(__xludf.DUMMYFUNCTION("""COMPUTED_VALUE"""),"21-6")</f>
        <v>21-6</v>
      </c>
      <c r="E275" s="1">
        <f ca="1">IFERROR(__xludf.DUMMYFUNCTION("""COMPUTED_VALUE"""),-7.59)</f>
        <v>-7.59</v>
      </c>
      <c r="F275" s="1">
        <f ca="1">IFERROR(__xludf.DUMMYFUNCTION("""COMPUTED_VALUE"""),102.7)</f>
        <v>102.7</v>
      </c>
      <c r="G275" s="1">
        <f ca="1">IFERROR(__xludf.DUMMYFUNCTION("""COMPUTED_VALUE"""),222)</f>
        <v>222</v>
      </c>
      <c r="H275" s="1">
        <f ca="1">IFERROR(__xludf.DUMMYFUNCTION("""COMPUTED_VALUE"""),110.3)</f>
        <v>110.3</v>
      </c>
      <c r="I275" s="1">
        <f ca="1">IFERROR(__xludf.DUMMYFUNCTION("""COMPUTED_VALUE"""),265)</f>
        <v>265</v>
      </c>
      <c r="J275" s="1">
        <f ca="1">IFERROR(__xludf.DUMMYFUNCTION("""COMPUTED_VALUE"""),68.7)</f>
        <v>68.7</v>
      </c>
      <c r="K275" s="1">
        <f ca="1">IFERROR(__xludf.DUMMYFUNCTION("""COMPUTED_VALUE"""),25)</f>
        <v>25</v>
      </c>
      <c r="L275" s="1" t="str">
        <f ca="1">IFERROR(__xludf.DUMMYFUNCTION("""COMPUTED_VALUE"""),"+.015")</f>
        <v>+.015</v>
      </c>
      <c r="M275" s="1">
        <f ca="1">IFERROR(__xludf.DUMMYFUNCTION("""COMPUTED_VALUE"""),149)</f>
        <v>149</v>
      </c>
      <c r="N275" s="1">
        <f ca="1">IFERROR(__xludf.DUMMYFUNCTION("""COMPUTED_VALUE"""),-11.99)</f>
        <v>-11.99</v>
      </c>
      <c r="O275" s="1">
        <f ca="1">IFERROR(__xludf.DUMMYFUNCTION("""COMPUTED_VALUE"""),350)</f>
        <v>350</v>
      </c>
      <c r="P275" s="1">
        <f ca="1">IFERROR(__xludf.DUMMYFUNCTION("""COMPUTED_VALUE"""),99.5)</f>
        <v>99.5</v>
      </c>
      <c r="Q275" s="1">
        <f ca="1">IFERROR(__xludf.DUMMYFUNCTION("""COMPUTED_VALUE"""),343)</f>
        <v>343</v>
      </c>
      <c r="R275" s="1">
        <f ca="1">IFERROR(__xludf.DUMMYFUNCTION("""COMPUTED_VALUE"""),111.5)</f>
        <v>111.5</v>
      </c>
      <c r="S275" s="1">
        <f ca="1">IFERROR(__xludf.DUMMYFUNCTION("""COMPUTED_VALUE"""),351)</f>
        <v>351</v>
      </c>
      <c r="T275" s="1">
        <f ca="1">IFERROR(__xludf.DUMMYFUNCTION("""COMPUTED_VALUE"""),-1.04)</f>
        <v>-1.04</v>
      </c>
      <c r="U275" s="1">
        <f ca="1">IFERROR(__xludf.DUMMYFUNCTION("""COMPUTED_VALUE"""),191)</f>
        <v>191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IFERROR(__xludf.DUMMYFUNCTION("""COMPUTED_VALUE"""),"Northern Arizona")</f>
        <v>Northern Arizona</v>
      </c>
      <c r="C276" s="1" t="str">
        <f ca="1">IFERROR(__xludf.DUMMYFUNCTION("""COMPUTED_VALUE"""),"BSky")</f>
        <v>BSky</v>
      </c>
      <c r="D276" s="1" t="str">
        <f ca="1">IFERROR(__xludf.DUMMYFUNCTION("""COMPUTED_VALUE"""),"15-17")</f>
        <v>15-17</v>
      </c>
      <c r="E276" s="1">
        <f ca="1">IFERROR(__xludf.DUMMYFUNCTION("""COMPUTED_VALUE"""),-7.72)</f>
        <v>-7.72</v>
      </c>
      <c r="F276" s="1">
        <f ca="1">IFERROR(__xludf.DUMMYFUNCTION("""COMPUTED_VALUE"""),100.4)</f>
        <v>100.4</v>
      </c>
      <c r="G276" s="1">
        <f ca="1">IFERROR(__xludf.DUMMYFUNCTION("""COMPUTED_VALUE"""),258)</f>
        <v>258</v>
      </c>
      <c r="H276" s="1">
        <f ca="1">IFERROR(__xludf.DUMMYFUNCTION("""COMPUTED_VALUE"""),108.1)</f>
        <v>108.1</v>
      </c>
      <c r="I276" s="1">
        <f ca="1">IFERROR(__xludf.DUMMYFUNCTION("""COMPUTED_VALUE"""),230)</f>
        <v>230</v>
      </c>
      <c r="J276" s="1">
        <f ca="1">IFERROR(__xludf.DUMMYFUNCTION("""COMPUTED_VALUE"""),62.3)</f>
        <v>62.3</v>
      </c>
      <c r="K276" s="1">
        <f ca="1">IFERROR(__xludf.DUMMYFUNCTION("""COMPUTED_VALUE"""),291)</f>
        <v>291</v>
      </c>
      <c r="L276" s="1" t="str">
        <f ca="1">IFERROR(__xludf.DUMMYFUNCTION("""COMPUTED_VALUE"""),"+.003")</f>
        <v>+.003</v>
      </c>
      <c r="M276" s="1">
        <f ca="1">IFERROR(__xludf.DUMMYFUNCTION("""COMPUTED_VALUE"""),178)</f>
        <v>178</v>
      </c>
      <c r="N276" s="1">
        <f ca="1">IFERROR(__xludf.DUMMYFUNCTION("""COMPUTED_VALUE"""),-5.81)</f>
        <v>-5.81</v>
      </c>
      <c r="O276" s="1">
        <f ca="1">IFERROR(__xludf.DUMMYFUNCTION("""COMPUTED_VALUE"""),283)</f>
        <v>283</v>
      </c>
      <c r="P276" s="1">
        <f ca="1">IFERROR(__xludf.DUMMYFUNCTION("""COMPUTED_VALUE"""),103.9)</f>
        <v>103.9</v>
      </c>
      <c r="Q276" s="1">
        <f ca="1">IFERROR(__xludf.DUMMYFUNCTION("""COMPUTED_VALUE"""),195)</f>
        <v>195</v>
      </c>
      <c r="R276" s="1">
        <f ca="1">IFERROR(__xludf.DUMMYFUNCTION("""COMPUTED_VALUE"""),109.7)</f>
        <v>109.7</v>
      </c>
      <c r="S276" s="1">
        <f ca="1">IFERROR(__xludf.DUMMYFUNCTION("""COMPUTED_VALUE"""),333)</f>
        <v>333</v>
      </c>
      <c r="T276" s="1" t="str">
        <f ca="1">IFERROR(__xludf.DUMMYFUNCTION("""COMPUTED_VALUE"""),"+2.57")</f>
        <v>+2.57</v>
      </c>
      <c r="U276" s="1">
        <f ca="1">IFERROR(__xludf.DUMMYFUNCTION("""COMPUTED_VALUE"""),89)</f>
        <v>89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IFERROR(__xludf.DUMMYFUNCTION("""COMPUTED_VALUE"""),"North Florida")</f>
        <v>North Florida</v>
      </c>
      <c r="C277" s="1" t="str">
        <f ca="1">IFERROR(__xludf.DUMMYFUNCTION("""COMPUTED_VALUE"""),"ASun")</f>
        <v>ASun</v>
      </c>
      <c r="D277" s="1" t="str">
        <f ca="1">IFERROR(__xludf.DUMMYFUNCTION("""COMPUTED_VALUE"""),"16-16")</f>
        <v>16-16</v>
      </c>
      <c r="E277" s="1">
        <f ca="1">IFERROR(__xludf.DUMMYFUNCTION("""COMPUTED_VALUE"""),-7.75)</f>
        <v>-7.75</v>
      </c>
      <c r="F277" s="1">
        <f ca="1">IFERROR(__xludf.DUMMYFUNCTION("""COMPUTED_VALUE"""),103.3)</f>
        <v>103.3</v>
      </c>
      <c r="G277" s="1">
        <f ca="1">IFERROR(__xludf.DUMMYFUNCTION("""COMPUTED_VALUE"""),208)</f>
        <v>208</v>
      </c>
      <c r="H277" s="1">
        <f ca="1">IFERROR(__xludf.DUMMYFUNCTION("""COMPUTED_VALUE"""),111.1)</f>
        <v>111.1</v>
      </c>
      <c r="I277" s="1">
        <f ca="1">IFERROR(__xludf.DUMMYFUNCTION("""COMPUTED_VALUE"""),276)</f>
        <v>276</v>
      </c>
      <c r="J277" s="1">
        <f ca="1">IFERROR(__xludf.DUMMYFUNCTION("""COMPUTED_VALUE"""),66.7)</f>
        <v>66.7</v>
      </c>
      <c r="K277" s="1">
        <f ca="1">IFERROR(__xludf.DUMMYFUNCTION("""COMPUTED_VALUE"""),77)</f>
        <v>77</v>
      </c>
      <c r="L277" s="1" t="str">
        <f ca="1">IFERROR(__xludf.DUMMYFUNCTION("""COMPUTED_VALUE"""),"+.089")</f>
        <v>+.089</v>
      </c>
      <c r="M277" s="1">
        <f ca="1">IFERROR(__xludf.DUMMYFUNCTION("""COMPUTED_VALUE"""),18)</f>
        <v>18</v>
      </c>
      <c r="N277" s="1">
        <f ca="1">IFERROR(__xludf.DUMMYFUNCTION("""COMPUTED_VALUE"""),-3.74)</f>
        <v>-3.74</v>
      </c>
      <c r="O277" s="1">
        <f ca="1">IFERROR(__xludf.DUMMYFUNCTION("""COMPUTED_VALUE"""),235)</f>
        <v>235</v>
      </c>
      <c r="P277" s="1">
        <f ca="1">IFERROR(__xludf.DUMMYFUNCTION("""COMPUTED_VALUE"""),102.3)</f>
        <v>102.3</v>
      </c>
      <c r="Q277" s="1">
        <f ca="1">IFERROR(__xludf.DUMMYFUNCTION("""COMPUTED_VALUE"""),285)</f>
        <v>285</v>
      </c>
      <c r="R277" s="1">
        <f ca="1">IFERROR(__xludf.DUMMYFUNCTION("""COMPUTED_VALUE"""),106.1)</f>
        <v>106.1</v>
      </c>
      <c r="S277" s="1">
        <f ca="1">IFERROR(__xludf.DUMMYFUNCTION("""COMPUTED_VALUE"""),206)</f>
        <v>206</v>
      </c>
      <c r="T277" s="1" t="str">
        <f ca="1">IFERROR(__xludf.DUMMYFUNCTION("""COMPUTED_VALUE"""),"+7.46")</f>
        <v>+7.46</v>
      </c>
      <c r="U277" s="1">
        <f ca="1">IFERROR(__xludf.DUMMYFUNCTION("""COMPUTED_VALUE"""),23)</f>
        <v>23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IFERROR(__xludf.DUMMYFUNCTION("""COMPUTED_VALUE"""),"North Dakota")</f>
        <v>North Dakota</v>
      </c>
      <c r="C278" s="1" t="str">
        <f ca="1">IFERROR(__xludf.DUMMYFUNCTION("""COMPUTED_VALUE"""),"BSky")</f>
        <v>BSky</v>
      </c>
      <c r="D278" s="1" t="str">
        <f ca="1">IFERROR(__xludf.DUMMYFUNCTION("""COMPUTED_VALUE"""),"17-17")</f>
        <v>17-17</v>
      </c>
      <c r="E278" s="1">
        <f ca="1">IFERROR(__xludf.DUMMYFUNCTION("""COMPUTED_VALUE"""),-7.79)</f>
        <v>-7.79</v>
      </c>
      <c r="F278" s="1">
        <f ca="1">IFERROR(__xludf.DUMMYFUNCTION("""COMPUTED_VALUE"""),104.3)</f>
        <v>104.3</v>
      </c>
      <c r="G278" s="1">
        <f ca="1">IFERROR(__xludf.DUMMYFUNCTION("""COMPUTED_VALUE"""),193)</f>
        <v>193</v>
      </c>
      <c r="H278" s="1">
        <f ca="1">IFERROR(__xludf.DUMMYFUNCTION("""COMPUTED_VALUE"""),112.1)</f>
        <v>112.1</v>
      </c>
      <c r="I278" s="1">
        <f ca="1">IFERROR(__xludf.DUMMYFUNCTION("""COMPUTED_VALUE"""),300)</f>
        <v>300</v>
      </c>
      <c r="J278" s="1">
        <f ca="1">IFERROR(__xludf.DUMMYFUNCTION("""COMPUTED_VALUE"""),67.9)</f>
        <v>67.900000000000006</v>
      </c>
      <c r="K278" s="1">
        <f ca="1">IFERROR(__xludf.DUMMYFUNCTION("""COMPUTED_VALUE"""),42)</f>
        <v>42</v>
      </c>
      <c r="L278" s="1" t="str">
        <f ca="1">IFERROR(__xludf.DUMMYFUNCTION("""COMPUTED_VALUE"""),"+.063")</f>
        <v>+.063</v>
      </c>
      <c r="M278" s="1">
        <f ca="1">IFERROR(__xludf.DUMMYFUNCTION("""COMPUTED_VALUE"""),46)</f>
        <v>46</v>
      </c>
      <c r="N278" s="1">
        <f ca="1">IFERROR(__xludf.DUMMYFUNCTION("""COMPUTED_VALUE"""),-4.79)</f>
        <v>-4.79</v>
      </c>
      <c r="O278" s="1">
        <f ca="1">IFERROR(__xludf.DUMMYFUNCTION("""COMPUTED_VALUE"""),262)</f>
        <v>262</v>
      </c>
      <c r="P278" s="1">
        <f ca="1">IFERROR(__xludf.DUMMYFUNCTION("""COMPUTED_VALUE"""),104)</f>
        <v>104</v>
      </c>
      <c r="Q278" s="1">
        <f ca="1">IFERROR(__xludf.DUMMYFUNCTION("""COMPUTED_VALUE"""),193)</f>
        <v>193</v>
      </c>
      <c r="R278" s="1">
        <f ca="1">IFERROR(__xludf.DUMMYFUNCTION("""COMPUTED_VALUE"""),108.7)</f>
        <v>108.7</v>
      </c>
      <c r="S278" s="1">
        <f ca="1">IFERROR(__xludf.DUMMYFUNCTION("""COMPUTED_VALUE"""),295)</f>
        <v>295</v>
      </c>
      <c r="T278" s="1" t="str">
        <f ca="1">IFERROR(__xludf.DUMMYFUNCTION("""COMPUTED_VALUE"""),"+7.80")</f>
        <v>+7.80</v>
      </c>
      <c r="U278" s="1">
        <f ca="1">IFERROR(__xludf.DUMMYFUNCTION("""COMPUTED_VALUE"""),21)</f>
        <v>21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IFERROR(__xludf.DUMMYFUNCTION("""COMPUTED_VALUE"""),"Lipscomb")</f>
        <v>Lipscomb</v>
      </c>
      <c r="C279" s="1" t="str">
        <f ca="1">IFERROR(__xludf.DUMMYFUNCTION("""COMPUTED_VALUE"""),"ASun")</f>
        <v>ASun</v>
      </c>
      <c r="D279" s="1" t="str">
        <f ca="1">IFERROR(__xludf.DUMMYFUNCTION("""COMPUTED_VALUE"""),"15-15")</f>
        <v>15-15</v>
      </c>
      <c r="E279" s="1">
        <f ca="1">IFERROR(__xludf.DUMMYFUNCTION("""COMPUTED_VALUE"""),-8.04)</f>
        <v>-8.0399999999999991</v>
      </c>
      <c r="F279" s="1">
        <f ca="1">IFERROR(__xludf.DUMMYFUNCTION("""COMPUTED_VALUE"""),103.4)</f>
        <v>103.4</v>
      </c>
      <c r="G279" s="1">
        <f ca="1">IFERROR(__xludf.DUMMYFUNCTION("""COMPUTED_VALUE"""),207)</f>
        <v>207</v>
      </c>
      <c r="H279" s="1">
        <f ca="1">IFERROR(__xludf.DUMMYFUNCTION("""COMPUTED_VALUE"""),111.5)</f>
        <v>111.5</v>
      </c>
      <c r="I279" s="1">
        <f ca="1">IFERROR(__xludf.DUMMYFUNCTION("""COMPUTED_VALUE"""),288)</f>
        <v>288</v>
      </c>
      <c r="J279" s="1">
        <f ca="1">IFERROR(__xludf.DUMMYFUNCTION("""COMPUTED_VALUE"""),68.6)</f>
        <v>68.599999999999994</v>
      </c>
      <c r="K279" s="1">
        <f ca="1">IFERROR(__xludf.DUMMYFUNCTION("""COMPUTED_VALUE"""),27)</f>
        <v>27</v>
      </c>
      <c r="L279" s="1" t="str">
        <f ca="1">IFERROR(__xludf.DUMMYFUNCTION("""COMPUTED_VALUE"""),"+.086")</f>
        <v>+.086</v>
      </c>
      <c r="M279" s="1">
        <f ca="1">IFERROR(__xludf.DUMMYFUNCTION("""COMPUTED_VALUE"""),19)</f>
        <v>19</v>
      </c>
      <c r="N279" s="1">
        <f ca="1">IFERROR(__xludf.DUMMYFUNCTION("""COMPUTED_VALUE"""),-5.02)</f>
        <v>-5.0199999999999996</v>
      </c>
      <c r="O279" s="1">
        <f ca="1">IFERROR(__xludf.DUMMYFUNCTION("""COMPUTED_VALUE"""),269)</f>
        <v>269</v>
      </c>
      <c r="P279" s="1">
        <f ca="1">IFERROR(__xludf.DUMMYFUNCTION("""COMPUTED_VALUE"""),103.7)</f>
        <v>103.7</v>
      </c>
      <c r="Q279" s="1">
        <f ca="1">IFERROR(__xludf.DUMMYFUNCTION("""COMPUTED_VALUE"""),208)</f>
        <v>208</v>
      </c>
      <c r="R279" s="1">
        <f ca="1">IFERROR(__xludf.DUMMYFUNCTION("""COMPUTED_VALUE"""),108.7)</f>
        <v>108.7</v>
      </c>
      <c r="S279" s="1">
        <f ca="1">IFERROR(__xludf.DUMMYFUNCTION("""COMPUTED_VALUE"""),293)</f>
        <v>293</v>
      </c>
      <c r="T279" s="1" t="str">
        <f ca="1">IFERROR(__xludf.DUMMYFUNCTION("""COMPUTED_VALUE"""),"+2.26")</f>
        <v>+2.26</v>
      </c>
      <c r="U279" s="1">
        <f ca="1">IFERROR(__xludf.DUMMYFUNCTION("""COMPUTED_VALUE"""),99)</f>
        <v>99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IFERROR(__xludf.DUMMYFUNCTION("""COMPUTED_VALUE"""),"Hofstra")</f>
        <v>Hofstra</v>
      </c>
      <c r="C280" s="1" t="str">
        <f ca="1">IFERROR(__xludf.DUMMYFUNCTION("""COMPUTED_VALUE"""),"CAA")</f>
        <v>CAA</v>
      </c>
      <c r="D280" s="2">
        <f ca="1">IFERROR(__xludf.DUMMYFUNCTION("""COMPUTED_VALUE"""),44857)</f>
        <v>44857</v>
      </c>
      <c r="E280" s="1">
        <f ca="1">IFERROR(__xludf.DUMMYFUNCTION("""COMPUTED_VALUE"""),-8.14)</f>
        <v>-8.14</v>
      </c>
      <c r="F280" s="1">
        <f ca="1">IFERROR(__xludf.DUMMYFUNCTION("""COMPUTED_VALUE"""),105.1)</f>
        <v>105.1</v>
      </c>
      <c r="G280" s="1">
        <f ca="1">IFERROR(__xludf.DUMMYFUNCTION("""COMPUTED_VALUE"""),182)</f>
        <v>182</v>
      </c>
      <c r="H280" s="1">
        <f ca="1">IFERROR(__xludf.DUMMYFUNCTION("""COMPUTED_VALUE"""),113.2)</f>
        <v>113.2</v>
      </c>
      <c r="I280" s="1">
        <f ca="1">IFERROR(__xludf.DUMMYFUNCTION("""COMPUTED_VALUE"""),320)</f>
        <v>320</v>
      </c>
      <c r="J280" s="1">
        <f ca="1">IFERROR(__xludf.DUMMYFUNCTION("""COMPUTED_VALUE"""),63.8)</f>
        <v>63.8</v>
      </c>
      <c r="K280" s="1">
        <f ca="1">IFERROR(__xludf.DUMMYFUNCTION("""COMPUTED_VALUE"""),226)</f>
        <v>226</v>
      </c>
      <c r="L280" s="1">
        <f ca="1">IFERROR(__xludf.DUMMYFUNCTION("""COMPUTED_VALUE"""),-0.036)</f>
        <v>-3.5999999999999997E-2</v>
      </c>
      <c r="M280" s="1">
        <f ca="1">IFERROR(__xludf.DUMMYFUNCTION("""COMPUTED_VALUE"""),260)</f>
        <v>260</v>
      </c>
      <c r="N280" s="1">
        <f ca="1">IFERROR(__xludf.DUMMYFUNCTION("""COMPUTED_VALUE"""),-2.08)</f>
        <v>-2.08</v>
      </c>
      <c r="O280" s="1">
        <f ca="1">IFERROR(__xludf.DUMMYFUNCTION("""COMPUTED_VALUE"""),193)</f>
        <v>193</v>
      </c>
      <c r="P280" s="1">
        <f ca="1">IFERROR(__xludf.DUMMYFUNCTION("""COMPUTED_VALUE"""),103.7)</f>
        <v>103.7</v>
      </c>
      <c r="Q280" s="1">
        <f ca="1">IFERROR(__xludf.DUMMYFUNCTION("""COMPUTED_VALUE"""),211)</f>
        <v>211</v>
      </c>
      <c r="R280" s="1">
        <f ca="1">IFERROR(__xludf.DUMMYFUNCTION("""COMPUTED_VALUE"""),105.8)</f>
        <v>105.8</v>
      </c>
      <c r="S280" s="1">
        <f ca="1">IFERROR(__xludf.DUMMYFUNCTION("""COMPUTED_VALUE"""),190)</f>
        <v>190</v>
      </c>
      <c r="T280" s="1">
        <f ca="1">IFERROR(__xludf.DUMMYFUNCTION("""COMPUTED_VALUE"""),-2.11)</f>
        <v>-2.11</v>
      </c>
      <c r="U280" s="1">
        <f ca="1">IFERROR(__xludf.DUMMYFUNCTION("""COMPUTED_VALUE"""),223)</f>
        <v>223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IFERROR(__xludf.DUMMYFUNCTION("""COMPUTED_VALUE"""),"James Madison")</f>
        <v>James Madison</v>
      </c>
      <c r="C281" s="1" t="str">
        <f ca="1">IFERROR(__xludf.DUMMYFUNCTION("""COMPUTED_VALUE"""),"CAA")</f>
        <v>CAA</v>
      </c>
      <c r="D281" s="2">
        <f ca="1">IFERROR(__xludf.DUMMYFUNCTION("""COMPUTED_VALUE"""),44885)</f>
        <v>44885</v>
      </c>
      <c r="E281" s="1">
        <f ca="1">IFERROR(__xludf.DUMMYFUNCTION("""COMPUTED_VALUE"""),-8.25)</f>
        <v>-8.25</v>
      </c>
      <c r="F281" s="1">
        <f ca="1">IFERROR(__xludf.DUMMYFUNCTION("""COMPUTED_VALUE"""),98.5)</f>
        <v>98.5</v>
      </c>
      <c r="G281" s="1">
        <f ca="1">IFERROR(__xludf.DUMMYFUNCTION("""COMPUTED_VALUE"""),283)</f>
        <v>283</v>
      </c>
      <c r="H281" s="1">
        <f ca="1">IFERROR(__xludf.DUMMYFUNCTION("""COMPUTED_VALUE"""),106.8)</f>
        <v>106.8</v>
      </c>
      <c r="I281" s="1">
        <f ca="1">IFERROR(__xludf.DUMMYFUNCTION("""COMPUTED_VALUE"""),206)</f>
        <v>206</v>
      </c>
      <c r="J281" s="1">
        <f ca="1">IFERROR(__xludf.DUMMYFUNCTION("""COMPUTED_VALUE"""),63.5)</f>
        <v>63.5</v>
      </c>
      <c r="K281" s="1">
        <f ca="1">IFERROR(__xludf.DUMMYFUNCTION("""COMPUTED_VALUE"""),241)</f>
        <v>241</v>
      </c>
      <c r="L281" s="1" t="str">
        <f ca="1">IFERROR(__xludf.DUMMYFUNCTION("""COMPUTED_VALUE"""),"+.048")</f>
        <v>+.048</v>
      </c>
      <c r="M281" s="1">
        <f ca="1">IFERROR(__xludf.DUMMYFUNCTION("""COMPUTED_VALUE"""),72)</f>
        <v>72</v>
      </c>
      <c r="N281" s="1">
        <f ca="1">IFERROR(__xludf.DUMMYFUNCTION("""COMPUTED_VALUE"""),-1.09)</f>
        <v>-1.0900000000000001</v>
      </c>
      <c r="O281" s="1">
        <f ca="1">IFERROR(__xludf.DUMMYFUNCTION("""COMPUTED_VALUE"""),170)</f>
        <v>170</v>
      </c>
      <c r="P281" s="1">
        <f ca="1">IFERROR(__xludf.DUMMYFUNCTION("""COMPUTED_VALUE"""),104.1)</f>
        <v>104.1</v>
      </c>
      <c r="Q281" s="1">
        <f ca="1">IFERROR(__xludf.DUMMYFUNCTION("""COMPUTED_VALUE"""),182)</f>
        <v>182</v>
      </c>
      <c r="R281" s="1">
        <f ca="1">IFERROR(__xludf.DUMMYFUNCTION("""COMPUTED_VALUE"""),105.2)</f>
        <v>105.2</v>
      </c>
      <c r="S281" s="1">
        <f ca="1">IFERROR(__xludf.DUMMYFUNCTION("""COMPUTED_VALUE"""),166)</f>
        <v>166</v>
      </c>
      <c r="T281" s="1">
        <f ca="1">IFERROR(__xludf.DUMMYFUNCTION("""COMPUTED_VALUE"""),-0.48)</f>
        <v>-0.48</v>
      </c>
      <c r="U281" s="1">
        <f ca="1">IFERROR(__xludf.DUMMYFUNCTION("""COMPUTED_VALUE"""),175)</f>
        <v>175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IFERROR(__xludf.DUMMYFUNCTION("""COMPUTED_VALUE"""),"Tennessee Tech")</f>
        <v>Tennessee Tech</v>
      </c>
      <c r="C282" s="1" t="str">
        <f ca="1">IFERROR(__xludf.DUMMYFUNCTION("""COMPUTED_VALUE"""),"OVC")</f>
        <v>OVC</v>
      </c>
      <c r="D282" s="1" t="str">
        <f ca="1">IFERROR(__xludf.DUMMYFUNCTION("""COMPUTED_VALUE"""),"17-16")</f>
        <v>17-16</v>
      </c>
      <c r="E282" s="1">
        <f ca="1">IFERROR(__xludf.DUMMYFUNCTION("""COMPUTED_VALUE"""),-8.28)</f>
        <v>-8.2799999999999994</v>
      </c>
      <c r="F282" s="1">
        <f ca="1">IFERROR(__xludf.DUMMYFUNCTION("""COMPUTED_VALUE"""),100.2)</f>
        <v>100.2</v>
      </c>
      <c r="G282" s="1">
        <f ca="1">IFERROR(__xludf.DUMMYFUNCTION("""COMPUTED_VALUE"""),263)</f>
        <v>263</v>
      </c>
      <c r="H282" s="1">
        <f ca="1">IFERROR(__xludf.DUMMYFUNCTION("""COMPUTED_VALUE"""),108.5)</f>
        <v>108.5</v>
      </c>
      <c r="I282" s="1">
        <f ca="1">IFERROR(__xludf.DUMMYFUNCTION("""COMPUTED_VALUE"""),236)</f>
        <v>236</v>
      </c>
      <c r="J282" s="1">
        <f ca="1">IFERROR(__xludf.DUMMYFUNCTION("""COMPUTED_VALUE"""),66.2)</f>
        <v>66.2</v>
      </c>
      <c r="K282" s="1">
        <f ca="1">IFERROR(__xludf.DUMMYFUNCTION("""COMPUTED_VALUE"""),99)</f>
        <v>99</v>
      </c>
      <c r="L282" s="1" t="str">
        <f ca="1">IFERROR(__xludf.DUMMYFUNCTION("""COMPUTED_VALUE"""),"+.092")</f>
        <v>+.092</v>
      </c>
      <c r="M282" s="1">
        <f ca="1">IFERROR(__xludf.DUMMYFUNCTION("""COMPUTED_VALUE"""),15)</f>
        <v>15</v>
      </c>
      <c r="N282" s="1">
        <f ca="1">IFERROR(__xludf.DUMMYFUNCTION("""COMPUTED_VALUE"""),-4.9)</f>
        <v>-4.9000000000000004</v>
      </c>
      <c r="O282" s="1">
        <f ca="1">IFERROR(__xludf.DUMMYFUNCTION("""COMPUTED_VALUE"""),264)</f>
        <v>264</v>
      </c>
      <c r="P282" s="1">
        <f ca="1">IFERROR(__xludf.DUMMYFUNCTION("""COMPUTED_VALUE"""),103.9)</f>
        <v>103.9</v>
      </c>
      <c r="Q282" s="1">
        <f ca="1">IFERROR(__xludf.DUMMYFUNCTION("""COMPUTED_VALUE"""),198)</f>
        <v>198</v>
      </c>
      <c r="R282" s="1">
        <f ca="1">IFERROR(__xludf.DUMMYFUNCTION("""COMPUTED_VALUE"""),108.8)</f>
        <v>108.8</v>
      </c>
      <c r="S282" s="1">
        <f ca="1">IFERROR(__xludf.DUMMYFUNCTION("""COMPUTED_VALUE"""),302)</f>
        <v>302</v>
      </c>
      <c r="T282" s="1">
        <f ca="1">IFERROR(__xludf.DUMMYFUNCTION("""COMPUTED_VALUE"""),-2.84)</f>
        <v>-2.84</v>
      </c>
      <c r="U282" s="1">
        <f ca="1">IFERROR(__xludf.DUMMYFUNCTION("""COMPUTED_VALUE"""),241)</f>
        <v>241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IFERROR(__xludf.DUMMYFUNCTION("""COMPUTED_VALUE"""),"Monmouth")</f>
        <v>Monmouth</v>
      </c>
      <c r="C283" s="1" t="str">
        <f ca="1">IFERROR(__xludf.DUMMYFUNCTION("""COMPUTED_VALUE"""),"MAAC")</f>
        <v>MAAC</v>
      </c>
      <c r="D283" s="2">
        <f ca="1">IFERROR(__xludf.DUMMYFUNCTION("""COMPUTED_VALUE"""),44886)</f>
        <v>44886</v>
      </c>
      <c r="E283" s="1">
        <f ca="1">IFERROR(__xludf.DUMMYFUNCTION("""COMPUTED_VALUE"""),-8.45)</f>
        <v>-8.4499999999999993</v>
      </c>
      <c r="F283" s="1">
        <f ca="1">IFERROR(__xludf.DUMMYFUNCTION("""COMPUTED_VALUE"""),96.8)</f>
        <v>96.8</v>
      </c>
      <c r="G283" s="1">
        <f ca="1">IFERROR(__xludf.DUMMYFUNCTION("""COMPUTED_VALUE"""),303)</f>
        <v>303</v>
      </c>
      <c r="H283" s="1">
        <f ca="1">IFERROR(__xludf.DUMMYFUNCTION("""COMPUTED_VALUE"""),105.3)</f>
        <v>105.3</v>
      </c>
      <c r="I283" s="1">
        <f ca="1">IFERROR(__xludf.DUMMYFUNCTION("""COMPUTED_VALUE"""),171)</f>
        <v>171</v>
      </c>
      <c r="J283" s="1">
        <f ca="1">IFERROR(__xludf.DUMMYFUNCTION("""COMPUTED_VALUE"""),66.6)</f>
        <v>66.599999999999994</v>
      </c>
      <c r="K283" s="1">
        <f ca="1">IFERROR(__xludf.DUMMYFUNCTION("""COMPUTED_VALUE"""),79)</f>
        <v>79</v>
      </c>
      <c r="L283" s="1">
        <f ca="1">IFERROR(__xludf.DUMMYFUNCTION("""COMPUTED_VALUE"""),-0.033)</f>
        <v>-3.3000000000000002E-2</v>
      </c>
      <c r="M283" s="1">
        <f ca="1">IFERROR(__xludf.DUMMYFUNCTION("""COMPUTED_VALUE"""),250)</f>
        <v>250</v>
      </c>
      <c r="N283" s="1">
        <f ca="1">IFERROR(__xludf.DUMMYFUNCTION("""COMPUTED_VALUE"""),-2.91)</f>
        <v>-2.91</v>
      </c>
      <c r="O283" s="1">
        <f ca="1">IFERROR(__xludf.DUMMYFUNCTION("""COMPUTED_VALUE"""),219)</f>
        <v>219</v>
      </c>
      <c r="P283" s="1">
        <f ca="1">IFERROR(__xludf.DUMMYFUNCTION("""COMPUTED_VALUE"""),103.8)</f>
        <v>103.8</v>
      </c>
      <c r="Q283" s="1">
        <f ca="1">IFERROR(__xludf.DUMMYFUNCTION("""COMPUTED_VALUE"""),203)</f>
        <v>203</v>
      </c>
      <c r="R283" s="1">
        <f ca="1">IFERROR(__xludf.DUMMYFUNCTION("""COMPUTED_VALUE"""),106.7)</f>
        <v>106.7</v>
      </c>
      <c r="S283" s="1">
        <f ca="1">IFERROR(__xludf.DUMMYFUNCTION("""COMPUTED_VALUE"""),229)</f>
        <v>229</v>
      </c>
      <c r="T283" s="1">
        <f ca="1">IFERROR(__xludf.DUMMYFUNCTION("""COMPUTED_VALUE"""),-6.43)</f>
        <v>-6.43</v>
      </c>
      <c r="U283" s="1">
        <f ca="1">IFERROR(__xludf.DUMMYFUNCTION("""COMPUTED_VALUE"""),322)</f>
        <v>322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IFERROR(__xludf.DUMMYFUNCTION("""COMPUTED_VALUE"""),"Niagara")</f>
        <v>Niagara</v>
      </c>
      <c r="C284" s="1" t="str">
        <f ca="1">IFERROR(__xludf.DUMMYFUNCTION("""COMPUTED_VALUE"""),"MAAC")</f>
        <v>MAAC</v>
      </c>
      <c r="D284" s="2">
        <f ca="1">IFERROR(__xludf.DUMMYFUNCTION("""COMPUTED_VALUE"""),44768)</f>
        <v>44768</v>
      </c>
      <c r="E284" s="1">
        <f ca="1">IFERROR(__xludf.DUMMYFUNCTION("""COMPUTED_VALUE"""),-8.75)</f>
        <v>-8.75</v>
      </c>
      <c r="F284" s="1">
        <f ca="1">IFERROR(__xludf.DUMMYFUNCTION("""COMPUTED_VALUE"""),101.9)</f>
        <v>101.9</v>
      </c>
      <c r="G284" s="1">
        <f ca="1">IFERROR(__xludf.DUMMYFUNCTION("""COMPUTED_VALUE"""),229)</f>
        <v>229</v>
      </c>
      <c r="H284" s="1">
        <f ca="1">IFERROR(__xludf.DUMMYFUNCTION("""COMPUTED_VALUE"""),110.7)</f>
        <v>110.7</v>
      </c>
      <c r="I284" s="1">
        <f ca="1">IFERROR(__xludf.DUMMYFUNCTION("""COMPUTED_VALUE"""),274)</f>
        <v>274</v>
      </c>
      <c r="J284" s="1">
        <f ca="1">IFERROR(__xludf.DUMMYFUNCTION("""COMPUTED_VALUE"""),70.6)</f>
        <v>70.599999999999994</v>
      </c>
      <c r="K284" s="1">
        <f ca="1">IFERROR(__xludf.DUMMYFUNCTION("""COMPUTED_VALUE"""),9)</f>
        <v>9</v>
      </c>
      <c r="L284" s="1">
        <f ca="1">IFERROR(__xludf.DUMMYFUNCTION("""COMPUTED_VALUE"""),-0.025)</f>
        <v>-2.5000000000000001E-2</v>
      </c>
      <c r="M284" s="1">
        <f ca="1">IFERROR(__xludf.DUMMYFUNCTION("""COMPUTED_VALUE"""),239)</f>
        <v>239</v>
      </c>
      <c r="N284" s="1">
        <f ca="1">IFERROR(__xludf.DUMMYFUNCTION("""COMPUTED_VALUE"""),-0.51)</f>
        <v>-0.51</v>
      </c>
      <c r="O284" s="1">
        <f ca="1">IFERROR(__xludf.DUMMYFUNCTION("""COMPUTED_VALUE"""),160)</f>
        <v>160</v>
      </c>
      <c r="P284" s="1">
        <f ca="1">IFERROR(__xludf.DUMMYFUNCTION("""COMPUTED_VALUE"""),105.3)</f>
        <v>105.3</v>
      </c>
      <c r="Q284" s="1">
        <f ca="1">IFERROR(__xludf.DUMMYFUNCTION("""COMPUTED_VALUE"""),140)</f>
        <v>140</v>
      </c>
      <c r="R284" s="1">
        <f ca="1">IFERROR(__xludf.DUMMYFUNCTION("""COMPUTED_VALUE"""),105.8)</f>
        <v>105.8</v>
      </c>
      <c r="S284" s="1">
        <f ca="1">IFERROR(__xludf.DUMMYFUNCTION("""COMPUTED_VALUE"""),193)</f>
        <v>193</v>
      </c>
      <c r="T284" s="1" t="str">
        <f ca="1">IFERROR(__xludf.DUMMYFUNCTION("""COMPUTED_VALUE"""),"+0.88")</f>
        <v>+0.88</v>
      </c>
      <c r="U284" s="1">
        <f ca="1">IFERROR(__xludf.DUMMYFUNCTION("""COMPUTED_VALUE"""),136)</f>
        <v>136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IFERROR(__xludf.DUMMYFUNCTION("""COMPUTED_VALUE"""),"Fairfield")</f>
        <v>Fairfield</v>
      </c>
      <c r="C285" s="1" t="str">
        <f ca="1">IFERROR(__xludf.DUMMYFUNCTION("""COMPUTED_VALUE"""),"MAAC")</f>
        <v>MAAC</v>
      </c>
      <c r="D285" s="2">
        <f ca="1">IFERROR(__xludf.DUMMYFUNCTION("""COMPUTED_VALUE"""),44767)</f>
        <v>44767</v>
      </c>
      <c r="E285" s="1">
        <f ca="1">IFERROR(__xludf.DUMMYFUNCTION("""COMPUTED_VALUE"""),-8.84)</f>
        <v>-8.84</v>
      </c>
      <c r="F285" s="1">
        <f ca="1">IFERROR(__xludf.DUMMYFUNCTION("""COMPUTED_VALUE"""),95.6)</f>
        <v>95.6</v>
      </c>
      <c r="G285" s="1">
        <f ca="1">IFERROR(__xludf.DUMMYFUNCTION("""COMPUTED_VALUE"""),315)</f>
        <v>315</v>
      </c>
      <c r="H285" s="1">
        <f ca="1">IFERROR(__xludf.DUMMYFUNCTION("""COMPUTED_VALUE"""),104.5)</f>
        <v>104.5</v>
      </c>
      <c r="I285" s="1">
        <f ca="1">IFERROR(__xludf.DUMMYFUNCTION("""COMPUTED_VALUE"""),160)</f>
        <v>160</v>
      </c>
      <c r="J285" s="1">
        <f ca="1">IFERROR(__xludf.DUMMYFUNCTION("""COMPUTED_VALUE"""),64.5)</f>
        <v>64.5</v>
      </c>
      <c r="K285" s="1">
        <f ca="1">IFERROR(__xludf.DUMMYFUNCTION("""COMPUTED_VALUE"""),185)</f>
        <v>185</v>
      </c>
      <c r="L285" s="1">
        <f ca="1">IFERROR(__xludf.DUMMYFUNCTION("""COMPUTED_VALUE"""),-0.019)</f>
        <v>-1.9E-2</v>
      </c>
      <c r="M285" s="1">
        <f ca="1">IFERROR(__xludf.DUMMYFUNCTION("""COMPUTED_VALUE"""),223)</f>
        <v>223</v>
      </c>
      <c r="N285" s="1">
        <f ca="1">IFERROR(__xludf.DUMMYFUNCTION("""COMPUTED_VALUE"""),-0.21)</f>
        <v>-0.21</v>
      </c>
      <c r="O285" s="1">
        <f ca="1">IFERROR(__xludf.DUMMYFUNCTION("""COMPUTED_VALUE"""),153)</f>
        <v>153</v>
      </c>
      <c r="P285" s="1">
        <f ca="1">IFERROR(__xludf.DUMMYFUNCTION("""COMPUTED_VALUE"""),105.2)</f>
        <v>105.2</v>
      </c>
      <c r="Q285" s="1">
        <f ca="1">IFERROR(__xludf.DUMMYFUNCTION("""COMPUTED_VALUE"""),147)</f>
        <v>147</v>
      </c>
      <c r="R285" s="1">
        <f ca="1">IFERROR(__xludf.DUMMYFUNCTION("""COMPUTED_VALUE"""),105.4)</f>
        <v>105.4</v>
      </c>
      <c r="S285" s="1">
        <f ca="1">IFERROR(__xludf.DUMMYFUNCTION("""COMPUTED_VALUE"""),174)</f>
        <v>174</v>
      </c>
      <c r="T285" s="1" t="str">
        <f ca="1">IFERROR(__xludf.DUMMYFUNCTION("""COMPUTED_VALUE"""),"+2.91")</f>
        <v>+2.91</v>
      </c>
      <c r="U285" s="1">
        <f ca="1">IFERROR(__xludf.DUMMYFUNCTION("""COMPUTED_VALUE"""),78)</f>
        <v>78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IFERROR(__xludf.DUMMYFUNCTION("""COMPUTED_VALUE"""),"UMKC")</f>
        <v>UMKC</v>
      </c>
      <c r="C286" s="1" t="str">
        <f ca="1">IFERROR(__xludf.DUMMYFUNCTION("""COMPUTED_VALUE"""),"WAC")</f>
        <v>WAC</v>
      </c>
      <c r="D286" s="2">
        <f ca="1">IFERROR(__xludf.DUMMYFUNCTION("""COMPUTED_VALUE"""),44854)</f>
        <v>44854</v>
      </c>
      <c r="E286" s="1">
        <f ca="1">IFERROR(__xludf.DUMMYFUNCTION("""COMPUTED_VALUE"""),-8.94)</f>
        <v>-8.94</v>
      </c>
      <c r="F286" s="1">
        <f ca="1">IFERROR(__xludf.DUMMYFUNCTION("""COMPUTED_VALUE"""),98.4)</f>
        <v>98.4</v>
      </c>
      <c r="G286" s="1">
        <f ca="1">IFERROR(__xludf.DUMMYFUNCTION("""COMPUTED_VALUE"""),286)</f>
        <v>286</v>
      </c>
      <c r="H286" s="1">
        <f ca="1">IFERROR(__xludf.DUMMYFUNCTION("""COMPUTED_VALUE"""),107.4)</f>
        <v>107.4</v>
      </c>
      <c r="I286" s="1">
        <f ca="1">IFERROR(__xludf.DUMMYFUNCTION("""COMPUTED_VALUE"""),218)</f>
        <v>218</v>
      </c>
      <c r="J286" s="1">
        <f ca="1">IFERROR(__xludf.DUMMYFUNCTION("""COMPUTED_VALUE"""),68.3)</f>
        <v>68.3</v>
      </c>
      <c r="K286" s="1">
        <f ca="1">IFERROR(__xludf.DUMMYFUNCTION("""COMPUTED_VALUE"""),35)</f>
        <v>35</v>
      </c>
      <c r="L286" s="1" t="str">
        <f ca="1">IFERROR(__xludf.DUMMYFUNCTION("""COMPUTED_VALUE"""),"+.017")</f>
        <v>+.017</v>
      </c>
      <c r="M286" s="1">
        <f ca="1">IFERROR(__xludf.DUMMYFUNCTION("""COMPUTED_VALUE"""),138)</f>
        <v>138</v>
      </c>
      <c r="N286" s="1">
        <f ca="1">IFERROR(__xludf.DUMMYFUNCTION("""COMPUTED_VALUE"""),-2.53)</f>
        <v>-2.5299999999999998</v>
      </c>
      <c r="O286" s="1">
        <f ca="1">IFERROR(__xludf.DUMMYFUNCTION("""COMPUTED_VALUE"""),203)</f>
        <v>203</v>
      </c>
      <c r="P286" s="1">
        <f ca="1">IFERROR(__xludf.DUMMYFUNCTION("""COMPUTED_VALUE"""),104.4)</f>
        <v>104.4</v>
      </c>
      <c r="Q286" s="1">
        <f ca="1">IFERROR(__xludf.DUMMYFUNCTION("""COMPUTED_VALUE"""),174)</f>
        <v>174</v>
      </c>
      <c r="R286" s="1">
        <f ca="1">IFERROR(__xludf.DUMMYFUNCTION("""COMPUTED_VALUE"""),106.9)</f>
        <v>106.9</v>
      </c>
      <c r="S286" s="1">
        <f ca="1">IFERROR(__xludf.DUMMYFUNCTION("""COMPUTED_VALUE"""),239)</f>
        <v>239</v>
      </c>
      <c r="T286" s="1" t="str">
        <f ca="1">IFERROR(__xludf.DUMMYFUNCTION("""COMPUTED_VALUE"""),"+3.16")</f>
        <v>+3.16</v>
      </c>
      <c r="U286" s="1">
        <f ca="1">IFERROR(__xludf.DUMMYFUNCTION("""COMPUTED_VALUE"""),73)</f>
        <v>73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IFERROR(__xludf.DUMMYFUNCTION("""COMPUTED_VALUE"""),"UC Riverside")</f>
        <v>UC Riverside</v>
      </c>
      <c r="C287" s="1" t="str">
        <f ca="1">IFERROR(__xludf.DUMMYFUNCTION("""COMPUTED_VALUE"""),"BW")</f>
        <v>BW</v>
      </c>
      <c r="D287" s="2">
        <f ca="1">IFERROR(__xludf.DUMMYFUNCTION("""COMPUTED_VALUE"""),44855)</f>
        <v>44855</v>
      </c>
      <c r="E287" s="1">
        <f ca="1">IFERROR(__xludf.DUMMYFUNCTION("""COMPUTED_VALUE"""),-9)</f>
        <v>-9</v>
      </c>
      <c r="F287" s="1">
        <f ca="1">IFERROR(__xludf.DUMMYFUNCTION("""COMPUTED_VALUE"""),98.7)</f>
        <v>98.7</v>
      </c>
      <c r="G287" s="1">
        <f ca="1">IFERROR(__xludf.DUMMYFUNCTION("""COMPUTED_VALUE"""),281)</f>
        <v>281</v>
      </c>
      <c r="H287" s="1">
        <f ca="1">IFERROR(__xludf.DUMMYFUNCTION("""COMPUTED_VALUE"""),107.7)</f>
        <v>107.7</v>
      </c>
      <c r="I287" s="1">
        <f ca="1">IFERROR(__xludf.DUMMYFUNCTION("""COMPUTED_VALUE"""),223)</f>
        <v>223</v>
      </c>
      <c r="J287" s="1">
        <f ca="1">IFERROR(__xludf.DUMMYFUNCTION("""COMPUTED_VALUE"""),65.8)</f>
        <v>65.8</v>
      </c>
      <c r="K287" s="1">
        <f ca="1">IFERROR(__xludf.DUMMYFUNCTION("""COMPUTED_VALUE"""),114)</f>
        <v>114</v>
      </c>
      <c r="L287" s="1">
        <f ca="1">IFERROR(__xludf.DUMMYFUNCTION("""COMPUTED_VALUE"""),-0.049)</f>
        <v>-4.9000000000000002E-2</v>
      </c>
      <c r="M287" s="1">
        <f ca="1">IFERROR(__xludf.DUMMYFUNCTION("""COMPUTED_VALUE"""),290)</f>
        <v>290</v>
      </c>
      <c r="N287" s="1">
        <f ca="1">IFERROR(__xludf.DUMMYFUNCTION("""COMPUTED_VALUE"""),-3.15)</f>
        <v>-3.15</v>
      </c>
      <c r="O287" s="1">
        <f ca="1">IFERROR(__xludf.DUMMYFUNCTION("""COMPUTED_VALUE"""),225)</f>
        <v>225</v>
      </c>
      <c r="P287" s="1">
        <f ca="1">IFERROR(__xludf.DUMMYFUNCTION("""COMPUTED_VALUE"""),103.2)</f>
        <v>103.2</v>
      </c>
      <c r="Q287" s="1">
        <f ca="1">IFERROR(__xludf.DUMMYFUNCTION("""COMPUTED_VALUE"""),242)</f>
        <v>242</v>
      </c>
      <c r="R287" s="1">
        <f ca="1">IFERROR(__xludf.DUMMYFUNCTION("""COMPUTED_VALUE"""),106.4)</f>
        <v>106.4</v>
      </c>
      <c r="S287" s="1">
        <f ca="1">IFERROR(__xludf.DUMMYFUNCTION("""COMPUTED_VALUE"""),218)</f>
        <v>218</v>
      </c>
      <c r="T287" s="1">
        <f ca="1">IFERROR(__xludf.DUMMYFUNCTION("""COMPUTED_VALUE"""),-5.99)</f>
        <v>-5.99</v>
      </c>
      <c r="U287" s="1">
        <f ca="1">IFERROR(__xludf.DUMMYFUNCTION("""COMPUTED_VALUE"""),314)</f>
        <v>314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IFERROR(__xludf.DUMMYFUNCTION("""COMPUTED_VALUE"""),"Western Illinois")</f>
        <v>Western Illinois</v>
      </c>
      <c r="C288" s="1" t="str">
        <f ca="1">IFERROR(__xludf.DUMMYFUNCTION("""COMPUTED_VALUE"""),"Sum")</f>
        <v>Sum</v>
      </c>
      <c r="D288" s="2">
        <f ca="1">IFERROR(__xludf.DUMMYFUNCTION("""COMPUTED_VALUE"""),44854)</f>
        <v>44854</v>
      </c>
      <c r="E288" s="1">
        <f ca="1">IFERROR(__xludf.DUMMYFUNCTION("""COMPUTED_VALUE"""),-9.06)</f>
        <v>-9.06</v>
      </c>
      <c r="F288" s="1">
        <f ca="1">IFERROR(__xludf.DUMMYFUNCTION("""COMPUTED_VALUE"""),94.1)</f>
        <v>94.1</v>
      </c>
      <c r="G288" s="1">
        <f ca="1">IFERROR(__xludf.DUMMYFUNCTION("""COMPUTED_VALUE"""),329)</f>
        <v>329</v>
      </c>
      <c r="H288" s="1">
        <f ca="1">IFERROR(__xludf.DUMMYFUNCTION("""COMPUTED_VALUE"""),103.2)</f>
        <v>103.2</v>
      </c>
      <c r="I288" s="1">
        <f ca="1">IFERROR(__xludf.DUMMYFUNCTION("""COMPUTED_VALUE"""),134)</f>
        <v>134</v>
      </c>
      <c r="J288" s="1">
        <f ca="1">IFERROR(__xludf.DUMMYFUNCTION("""COMPUTED_VALUE"""),60.9)</f>
        <v>60.9</v>
      </c>
      <c r="K288" s="1">
        <f ca="1">IFERROR(__xludf.DUMMYFUNCTION("""COMPUTED_VALUE"""),331)</f>
        <v>331</v>
      </c>
      <c r="L288" s="1">
        <f ca="1">IFERROR(__xludf.DUMMYFUNCTION("""COMPUTED_VALUE"""),-0.068)</f>
        <v>-6.8000000000000005E-2</v>
      </c>
      <c r="M288" s="1">
        <f ca="1">IFERROR(__xludf.DUMMYFUNCTION("""COMPUTED_VALUE"""),324)</f>
        <v>324</v>
      </c>
      <c r="N288" s="1">
        <f ca="1">IFERROR(__xludf.DUMMYFUNCTION("""COMPUTED_VALUE"""),-1.33)</f>
        <v>-1.33</v>
      </c>
      <c r="O288" s="1">
        <f ca="1">IFERROR(__xludf.DUMMYFUNCTION("""COMPUTED_VALUE"""),173)</f>
        <v>173</v>
      </c>
      <c r="P288" s="1">
        <f ca="1">IFERROR(__xludf.DUMMYFUNCTION("""COMPUTED_VALUE"""),105.8)</f>
        <v>105.8</v>
      </c>
      <c r="Q288" s="1">
        <f ca="1">IFERROR(__xludf.DUMMYFUNCTION("""COMPUTED_VALUE"""),121)</f>
        <v>121</v>
      </c>
      <c r="R288" s="1">
        <f ca="1">IFERROR(__xludf.DUMMYFUNCTION("""COMPUTED_VALUE"""),107.2)</f>
        <v>107.2</v>
      </c>
      <c r="S288" s="1">
        <f ca="1">IFERROR(__xludf.DUMMYFUNCTION("""COMPUTED_VALUE"""),253)</f>
        <v>253</v>
      </c>
      <c r="T288" s="1">
        <f ca="1">IFERROR(__xludf.DUMMYFUNCTION("""COMPUTED_VALUE"""),-1.54)</f>
        <v>-1.54</v>
      </c>
      <c r="U288" s="1">
        <f ca="1">IFERROR(__xludf.DUMMYFUNCTION("""COMPUTED_VALUE"""),208)</f>
        <v>208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IFERROR(__xludf.DUMMYFUNCTION("""COMPUTED_VALUE"""),"Illinois Chicago")</f>
        <v>Illinois Chicago</v>
      </c>
      <c r="C289" s="1" t="str">
        <f ca="1">IFERROR(__xludf.DUMMYFUNCTION("""COMPUTED_VALUE"""),"Horz")</f>
        <v>Horz</v>
      </c>
      <c r="D289" s="2">
        <f ca="1">IFERROR(__xludf.DUMMYFUNCTION("""COMPUTED_VALUE"""),44737)</f>
        <v>44737</v>
      </c>
      <c r="E289" s="1">
        <f ca="1">IFERROR(__xludf.DUMMYFUNCTION("""COMPUTED_VALUE"""),-9.07)</f>
        <v>-9.07</v>
      </c>
      <c r="F289" s="1">
        <f ca="1">IFERROR(__xludf.DUMMYFUNCTION("""COMPUTED_VALUE"""),100.4)</f>
        <v>100.4</v>
      </c>
      <c r="G289" s="1">
        <f ca="1">IFERROR(__xludf.DUMMYFUNCTION("""COMPUTED_VALUE"""),257)</f>
        <v>257</v>
      </c>
      <c r="H289" s="1">
        <f ca="1">IFERROR(__xludf.DUMMYFUNCTION("""COMPUTED_VALUE"""),109.5)</f>
        <v>109.5</v>
      </c>
      <c r="I289" s="1">
        <f ca="1">IFERROR(__xludf.DUMMYFUNCTION("""COMPUTED_VALUE"""),256)</f>
        <v>256</v>
      </c>
      <c r="J289" s="1">
        <f ca="1">IFERROR(__xludf.DUMMYFUNCTION("""COMPUTED_VALUE"""),64.5)</f>
        <v>64.5</v>
      </c>
      <c r="K289" s="1">
        <f ca="1">IFERROR(__xludf.DUMMYFUNCTION("""COMPUTED_VALUE"""),184)</f>
        <v>184</v>
      </c>
      <c r="L289" s="1">
        <f ca="1">IFERROR(__xludf.DUMMYFUNCTION("""COMPUTED_VALUE"""),-0.113)</f>
        <v>-0.113</v>
      </c>
      <c r="M289" s="1">
        <f ca="1">IFERROR(__xludf.DUMMYFUNCTION("""COMPUTED_VALUE"""),345)</f>
        <v>345</v>
      </c>
      <c r="N289" s="1" t="str">
        <f ca="1">IFERROR(__xludf.DUMMYFUNCTION("""COMPUTED_VALUE"""),"+1.30")</f>
        <v>+1.30</v>
      </c>
      <c r="O289" s="1">
        <f ca="1">IFERROR(__xludf.DUMMYFUNCTION("""COMPUTED_VALUE"""),123)</f>
        <v>123</v>
      </c>
      <c r="P289" s="1">
        <f ca="1">IFERROR(__xludf.DUMMYFUNCTION("""COMPUTED_VALUE"""),105)</f>
        <v>105</v>
      </c>
      <c r="Q289" s="1">
        <f ca="1">IFERROR(__xludf.DUMMYFUNCTION("""COMPUTED_VALUE"""),149)</f>
        <v>149</v>
      </c>
      <c r="R289" s="1">
        <f ca="1">IFERROR(__xludf.DUMMYFUNCTION("""COMPUTED_VALUE"""),103.7)</f>
        <v>103.7</v>
      </c>
      <c r="S289" s="1">
        <f ca="1">IFERROR(__xludf.DUMMYFUNCTION("""COMPUTED_VALUE"""),108)</f>
        <v>108</v>
      </c>
      <c r="T289" s="1" t="str">
        <f ca="1">IFERROR(__xludf.DUMMYFUNCTION("""COMPUTED_VALUE"""),"+0.88")</f>
        <v>+0.88</v>
      </c>
      <c r="U289" s="1">
        <f ca="1">IFERROR(__xludf.DUMMYFUNCTION("""COMPUTED_VALUE"""),137)</f>
        <v>137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IFERROR(__xludf.DUMMYFUNCTION("""COMPUTED_VALUE"""),"Sacramento St.")</f>
        <v>Sacramento St.</v>
      </c>
      <c r="C290" s="1" t="str">
        <f ca="1">IFERROR(__xludf.DUMMYFUNCTION("""COMPUTED_VALUE"""),"BSky")</f>
        <v>BSky</v>
      </c>
      <c r="D290" s="1" t="str">
        <f ca="1">IFERROR(__xludf.DUMMYFUNCTION("""COMPUTED_VALUE"""),"14-16")</f>
        <v>14-16</v>
      </c>
      <c r="E290" s="1">
        <f ca="1">IFERROR(__xludf.DUMMYFUNCTION("""COMPUTED_VALUE"""),-9.33)</f>
        <v>-9.33</v>
      </c>
      <c r="F290" s="1">
        <f ca="1">IFERROR(__xludf.DUMMYFUNCTION("""COMPUTED_VALUE"""),103.4)</f>
        <v>103.4</v>
      </c>
      <c r="G290" s="1">
        <f ca="1">IFERROR(__xludf.DUMMYFUNCTION("""COMPUTED_VALUE"""),205)</f>
        <v>205</v>
      </c>
      <c r="H290" s="1">
        <f ca="1">IFERROR(__xludf.DUMMYFUNCTION("""COMPUTED_VALUE"""),112.8)</f>
        <v>112.8</v>
      </c>
      <c r="I290" s="1">
        <f ca="1">IFERROR(__xludf.DUMMYFUNCTION("""COMPUTED_VALUE"""),315)</f>
        <v>315</v>
      </c>
      <c r="J290" s="1">
        <f ca="1">IFERROR(__xludf.DUMMYFUNCTION("""COMPUTED_VALUE"""),62.8)</f>
        <v>62.8</v>
      </c>
      <c r="K290" s="1">
        <f ca="1">IFERROR(__xludf.DUMMYFUNCTION("""COMPUTED_VALUE"""),274)</f>
        <v>274</v>
      </c>
      <c r="L290" s="1">
        <f ca="1">IFERROR(__xludf.DUMMYFUNCTION("""COMPUTED_VALUE"""),-0.008)</f>
        <v>-8.0000000000000002E-3</v>
      </c>
      <c r="M290" s="1">
        <f ca="1">IFERROR(__xludf.DUMMYFUNCTION("""COMPUTED_VALUE"""),201)</f>
        <v>201</v>
      </c>
      <c r="N290" s="1">
        <f ca="1">IFERROR(__xludf.DUMMYFUNCTION("""COMPUTED_VALUE"""),-7.04)</f>
        <v>-7.04</v>
      </c>
      <c r="O290" s="1">
        <f ca="1">IFERROR(__xludf.DUMMYFUNCTION("""COMPUTED_VALUE"""),308)</f>
        <v>308</v>
      </c>
      <c r="P290" s="1">
        <f ca="1">IFERROR(__xludf.DUMMYFUNCTION("""COMPUTED_VALUE"""),102.6)</f>
        <v>102.6</v>
      </c>
      <c r="Q290" s="1">
        <f ca="1">IFERROR(__xludf.DUMMYFUNCTION("""COMPUTED_VALUE"""),278)</f>
        <v>278</v>
      </c>
      <c r="R290" s="1">
        <f ca="1">IFERROR(__xludf.DUMMYFUNCTION("""COMPUTED_VALUE"""),109.6)</f>
        <v>109.6</v>
      </c>
      <c r="S290" s="1">
        <f ca="1">IFERROR(__xludf.DUMMYFUNCTION("""COMPUTED_VALUE"""),327)</f>
        <v>327</v>
      </c>
      <c r="T290" s="1" t="str">
        <f ca="1">IFERROR(__xludf.DUMMYFUNCTION("""COMPUTED_VALUE"""),"+1.19")</f>
        <v>+1.19</v>
      </c>
      <c r="U290" s="1">
        <f ca="1">IFERROR(__xludf.DUMMYFUNCTION("""COMPUTED_VALUE"""),125)</f>
        <v>125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IFERROR(__xludf.DUMMYFUNCTION("""COMPUTED_VALUE"""),"Texas St.")</f>
        <v>Texas St.</v>
      </c>
      <c r="C291" s="1" t="str">
        <f ca="1">IFERROR(__xludf.DUMMYFUNCTION("""COMPUTED_VALUE"""),"SB")</f>
        <v>SB</v>
      </c>
      <c r="D291" s="2">
        <f ca="1">IFERROR(__xludf.DUMMYFUNCTION("""COMPUTED_VALUE"""),44796)</f>
        <v>44796</v>
      </c>
      <c r="E291" s="1">
        <f ca="1">IFERROR(__xludf.DUMMYFUNCTION("""COMPUTED_VALUE"""),-9.41)</f>
        <v>-9.41</v>
      </c>
      <c r="F291" s="1">
        <f ca="1">IFERROR(__xludf.DUMMYFUNCTION("""COMPUTED_VALUE"""),94.9)</f>
        <v>94.9</v>
      </c>
      <c r="G291" s="1">
        <f ca="1">IFERROR(__xludf.DUMMYFUNCTION("""COMPUTED_VALUE"""),321)</f>
        <v>321</v>
      </c>
      <c r="H291" s="1">
        <f ca="1">IFERROR(__xludf.DUMMYFUNCTION("""COMPUTED_VALUE"""),104.3)</f>
        <v>104.3</v>
      </c>
      <c r="I291" s="1">
        <f ca="1">IFERROR(__xludf.DUMMYFUNCTION("""COMPUTED_VALUE"""),157)</f>
        <v>157</v>
      </c>
      <c r="J291" s="1">
        <f ca="1">IFERROR(__xludf.DUMMYFUNCTION("""COMPUTED_VALUE"""),61.1)</f>
        <v>61.1</v>
      </c>
      <c r="K291" s="1">
        <f ca="1">IFERROR(__xludf.DUMMYFUNCTION("""COMPUTED_VALUE"""),327)</f>
        <v>327</v>
      </c>
      <c r="L291" s="1">
        <f ca="1">IFERROR(__xludf.DUMMYFUNCTION("""COMPUTED_VALUE"""),-0.114)</f>
        <v>-0.114</v>
      </c>
      <c r="M291" s="1">
        <f ca="1">IFERROR(__xludf.DUMMYFUNCTION("""COMPUTED_VALUE"""),346)</f>
        <v>346</v>
      </c>
      <c r="N291" s="1">
        <f ca="1">IFERROR(__xludf.DUMMYFUNCTION("""COMPUTED_VALUE"""),-1.35)</f>
        <v>-1.35</v>
      </c>
      <c r="O291" s="1">
        <f ca="1">IFERROR(__xludf.DUMMYFUNCTION("""COMPUTED_VALUE"""),174)</f>
        <v>174</v>
      </c>
      <c r="P291" s="1">
        <f ca="1">IFERROR(__xludf.DUMMYFUNCTION("""COMPUTED_VALUE"""),105.3)</f>
        <v>105.3</v>
      </c>
      <c r="Q291" s="1">
        <f ca="1">IFERROR(__xludf.DUMMYFUNCTION("""COMPUTED_VALUE"""),141)</f>
        <v>141</v>
      </c>
      <c r="R291" s="1">
        <f ca="1">IFERROR(__xludf.DUMMYFUNCTION("""COMPUTED_VALUE"""),106.7)</f>
        <v>106.7</v>
      </c>
      <c r="S291" s="1">
        <f ca="1">IFERROR(__xludf.DUMMYFUNCTION("""COMPUTED_VALUE"""),226)</f>
        <v>226</v>
      </c>
      <c r="T291" s="1" t="str">
        <f ca="1">IFERROR(__xludf.DUMMYFUNCTION("""COMPUTED_VALUE"""),"+0.76")</f>
        <v>+0.76</v>
      </c>
      <c r="U291" s="1">
        <f ca="1">IFERROR(__xludf.DUMMYFUNCTION("""COMPUTED_VALUE"""),140)</f>
        <v>140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IFERROR(__xludf.DUMMYFUNCTION("""COMPUTED_VALUE"""),"Portland St.")</f>
        <v>Portland St.</v>
      </c>
      <c r="C292" s="1" t="str">
        <f ca="1">IFERROR(__xludf.DUMMYFUNCTION("""COMPUTED_VALUE"""),"BSky")</f>
        <v>BSky</v>
      </c>
      <c r="D292" s="1" t="str">
        <f ca="1">IFERROR(__xludf.DUMMYFUNCTION("""COMPUTED_VALUE"""),"17-15")</f>
        <v>17-15</v>
      </c>
      <c r="E292" s="1">
        <f ca="1">IFERROR(__xludf.DUMMYFUNCTION("""COMPUTED_VALUE"""),-9.47)</f>
        <v>-9.4700000000000006</v>
      </c>
      <c r="F292" s="1">
        <f ca="1">IFERROR(__xludf.DUMMYFUNCTION("""COMPUTED_VALUE"""),102.3)</f>
        <v>102.3</v>
      </c>
      <c r="G292" s="1">
        <f ca="1">IFERROR(__xludf.DUMMYFUNCTION("""COMPUTED_VALUE"""),224)</f>
        <v>224</v>
      </c>
      <c r="H292" s="1">
        <f ca="1">IFERROR(__xludf.DUMMYFUNCTION("""COMPUTED_VALUE"""),111.7)</f>
        <v>111.7</v>
      </c>
      <c r="I292" s="1">
        <f ca="1">IFERROR(__xludf.DUMMYFUNCTION("""COMPUTED_VALUE"""),293)</f>
        <v>293</v>
      </c>
      <c r="J292" s="1">
        <f ca="1">IFERROR(__xludf.DUMMYFUNCTION("""COMPUTED_VALUE"""),64.9)</f>
        <v>64.900000000000006</v>
      </c>
      <c r="K292" s="1">
        <f ca="1">IFERROR(__xludf.DUMMYFUNCTION("""COMPUTED_VALUE"""),162)</f>
        <v>162</v>
      </c>
      <c r="L292" s="1" t="str">
        <f ca="1">IFERROR(__xludf.DUMMYFUNCTION("""COMPUTED_VALUE"""),"+.063")</f>
        <v>+.063</v>
      </c>
      <c r="M292" s="1">
        <f ca="1">IFERROR(__xludf.DUMMYFUNCTION("""COMPUTED_VALUE"""),45)</f>
        <v>45</v>
      </c>
      <c r="N292" s="1">
        <f ca="1">IFERROR(__xludf.DUMMYFUNCTION("""COMPUTED_VALUE"""),-8.07)</f>
        <v>-8.07</v>
      </c>
      <c r="O292" s="1">
        <f ca="1">IFERROR(__xludf.DUMMYFUNCTION("""COMPUTED_VALUE"""),331)</f>
        <v>331</v>
      </c>
      <c r="P292" s="1">
        <f ca="1">IFERROR(__xludf.DUMMYFUNCTION("""COMPUTED_VALUE"""),102.8)</f>
        <v>102.8</v>
      </c>
      <c r="Q292" s="1">
        <f ca="1">IFERROR(__xludf.DUMMYFUNCTION("""COMPUTED_VALUE"""),265)</f>
        <v>265</v>
      </c>
      <c r="R292" s="1">
        <f ca="1">IFERROR(__xludf.DUMMYFUNCTION("""COMPUTED_VALUE"""),110.9)</f>
        <v>110.9</v>
      </c>
      <c r="S292" s="1">
        <f ca="1">IFERROR(__xludf.DUMMYFUNCTION("""COMPUTED_VALUE"""),350)</f>
        <v>350</v>
      </c>
      <c r="T292" s="1">
        <f ca="1">IFERROR(__xludf.DUMMYFUNCTION("""COMPUTED_VALUE"""),-6.33)</f>
        <v>-6.33</v>
      </c>
      <c r="U292" s="1">
        <f ca="1">IFERROR(__xludf.DUMMYFUNCTION("""COMPUTED_VALUE"""),320)</f>
        <v>320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IFERROR(__xludf.DUMMYFUNCTION("""COMPUTED_VALUE"""),"Chattanooga")</f>
        <v>Chattanooga</v>
      </c>
      <c r="C293" s="1" t="str">
        <f ca="1">IFERROR(__xludf.DUMMYFUNCTION("""COMPUTED_VALUE"""),"SC")</f>
        <v>SC</v>
      </c>
      <c r="D293" s="1" t="str">
        <f ca="1">IFERROR(__xludf.DUMMYFUNCTION("""COMPUTED_VALUE"""),"18-15")</f>
        <v>18-15</v>
      </c>
      <c r="E293" s="1">
        <f ca="1">IFERROR(__xludf.DUMMYFUNCTION("""COMPUTED_VALUE"""),-9.48)</f>
        <v>-9.48</v>
      </c>
      <c r="F293" s="1">
        <f ca="1">IFERROR(__xludf.DUMMYFUNCTION("""COMPUTED_VALUE"""),100.6)</f>
        <v>100.6</v>
      </c>
      <c r="G293" s="1">
        <f ca="1">IFERROR(__xludf.DUMMYFUNCTION("""COMPUTED_VALUE"""),253)</f>
        <v>253</v>
      </c>
      <c r="H293" s="1">
        <f ca="1">IFERROR(__xludf.DUMMYFUNCTION("""COMPUTED_VALUE"""),110.1)</f>
        <v>110.1</v>
      </c>
      <c r="I293" s="1">
        <f ca="1">IFERROR(__xludf.DUMMYFUNCTION("""COMPUTED_VALUE"""),264)</f>
        <v>264</v>
      </c>
      <c r="J293" s="1">
        <f ca="1">IFERROR(__xludf.DUMMYFUNCTION("""COMPUTED_VALUE"""),66.8)</f>
        <v>66.8</v>
      </c>
      <c r="K293" s="1">
        <f ca="1">IFERROR(__xludf.DUMMYFUNCTION("""COMPUTED_VALUE"""),74)</f>
        <v>74</v>
      </c>
      <c r="L293" s="1" t="str">
        <f ca="1">IFERROR(__xludf.DUMMYFUNCTION("""COMPUTED_VALUE"""),"+.054")</f>
        <v>+.054</v>
      </c>
      <c r="M293" s="1">
        <f ca="1">IFERROR(__xludf.DUMMYFUNCTION("""COMPUTED_VALUE"""),66)</f>
        <v>66</v>
      </c>
      <c r="N293" s="1">
        <f ca="1">IFERROR(__xludf.DUMMYFUNCTION("""COMPUTED_VALUE"""),-9.02)</f>
        <v>-9.02</v>
      </c>
      <c r="O293" s="1">
        <f ca="1">IFERROR(__xludf.DUMMYFUNCTION("""COMPUTED_VALUE"""),340)</f>
        <v>340</v>
      </c>
      <c r="P293" s="1">
        <f ca="1">IFERROR(__xludf.DUMMYFUNCTION("""COMPUTED_VALUE"""),101.1)</f>
        <v>101.1</v>
      </c>
      <c r="Q293" s="1">
        <f ca="1">IFERROR(__xludf.DUMMYFUNCTION("""COMPUTED_VALUE"""),322)</f>
        <v>322</v>
      </c>
      <c r="R293" s="1">
        <f ca="1">IFERROR(__xludf.DUMMYFUNCTION("""COMPUTED_VALUE"""),110.2)</f>
        <v>110.2</v>
      </c>
      <c r="S293" s="1">
        <f ca="1">IFERROR(__xludf.DUMMYFUNCTION("""COMPUTED_VALUE"""),341)</f>
        <v>341</v>
      </c>
      <c r="T293" s="1">
        <f ca="1">IFERROR(__xludf.DUMMYFUNCTION("""COMPUTED_VALUE"""),-3)</f>
        <v>-3</v>
      </c>
      <c r="U293" s="1">
        <f ca="1">IFERROR(__xludf.DUMMYFUNCTION("""COMPUTED_VALUE"""),252)</f>
        <v>252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IFERROR(__xludf.DUMMYFUNCTION("""COMPUTED_VALUE"""),"UNC Wilmington")</f>
        <v>UNC Wilmington</v>
      </c>
      <c r="C294" s="1" t="str">
        <f ca="1">IFERROR(__xludf.DUMMYFUNCTION("""COMPUTED_VALUE"""),"CAA")</f>
        <v>CAA</v>
      </c>
      <c r="D294" s="2">
        <f ca="1">IFERROR(__xludf.DUMMYFUNCTION("""COMPUTED_VALUE"""),44827)</f>
        <v>44827</v>
      </c>
      <c r="E294" s="1">
        <f ca="1">IFERROR(__xludf.DUMMYFUNCTION("""COMPUTED_VALUE"""),-9.67)</f>
        <v>-9.67</v>
      </c>
      <c r="F294" s="1">
        <f ca="1">IFERROR(__xludf.DUMMYFUNCTION("""COMPUTED_VALUE"""),96)</f>
        <v>96</v>
      </c>
      <c r="G294" s="1">
        <f ca="1">IFERROR(__xludf.DUMMYFUNCTION("""COMPUTED_VALUE"""),313)</f>
        <v>313</v>
      </c>
      <c r="H294" s="1">
        <f ca="1">IFERROR(__xludf.DUMMYFUNCTION("""COMPUTED_VALUE"""),105.7)</f>
        <v>105.7</v>
      </c>
      <c r="I294" s="1">
        <f ca="1">IFERROR(__xludf.DUMMYFUNCTION("""COMPUTED_VALUE"""),180)</f>
        <v>180</v>
      </c>
      <c r="J294" s="1">
        <f ca="1">IFERROR(__xludf.DUMMYFUNCTION("""COMPUTED_VALUE"""),62.2)</f>
        <v>62.2</v>
      </c>
      <c r="K294" s="1">
        <f ca="1">IFERROR(__xludf.DUMMYFUNCTION("""COMPUTED_VALUE"""),296)</f>
        <v>296</v>
      </c>
      <c r="L294" s="1">
        <f ca="1">IFERROR(__xludf.DUMMYFUNCTION("""COMPUTED_VALUE"""),-0.043)</f>
        <v>-4.2999999999999997E-2</v>
      </c>
      <c r="M294" s="1">
        <f ca="1">IFERROR(__xludf.DUMMYFUNCTION("""COMPUTED_VALUE"""),274)</f>
        <v>274</v>
      </c>
      <c r="N294" s="1" t="str">
        <f ca="1">IFERROR(__xludf.DUMMYFUNCTION("""COMPUTED_VALUE"""),"+0.03")</f>
        <v>+0.03</v>
      </c>
      <c r="O294" s="1">
        <f ca="1">IFERROR(__xludf.DUMMYFUNCTION("""COMPUTED_VALUE"""),149)</f>
        <v>149</v>
      </c>
      <c r="P294" s="1">
        <f ca="1">IFERROR(__xludf.DUMMYFUNCTION("""COMPUTED_VALUE"""),106.1)</f>
        <v>106.1</v>
      </c>
      <c r="Q294" s="1">
        <f ca="1">IFERROR(__xludf.DUMMYFUNCTION("""COMPUTED_VALUE"""),112)</f>
        <v>112</v>
      </c>
      <c r="R294" s="1">
        <f ca="1">IFERROR(__xludf.DUMMYFUNCTION("""COMPUTED_VALUE"""),106.1)</f>
        <v>106.1</v>
      </c>
      <c r="S294" s="1">
        <f ca="1">IFERROR(__xludf.DUMMYFUNCTION("""COMPUTED_VALUE"""),207)</f>
        <v>207</v>
      </c>
      <c r="T294" s="1" t="str">
        <f ca="1">IFERROR(__xludf.DUMMYFUNCTION("""COMPUTED_VALUE"""),"+3.52")</f>
        <v>+3.52</v>
      </c>
      <c r="U294" s="1">
        <f ca="1">IFERROR(__xludf.DUMMYFUNCTION("""COMPUTED_VALUE"""),64)</f>
        <v>64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IFERROR(__xludf.DUMMYFUNCTION("""COMPUTED_VALUE"""),"Savannah St.")</f>
        <v>Savannah St.</v>
      </c>
      <c r="C297" s="1" t="str">
        <f ca="1">IFERROR(__xludf.DUMMYFUNCTION("""COMPUTED_VALUE"""),"MEAC")</f>
        <v>MEAC</v>
      </c>
      <c r="D297" s="1" t="str">
        <f ca="1">IFERROR(__xludf.DUMMYFUNCTION("""COMPUTED_VALUE"""),"13-19")</f>
        <v>13-19</v>
      </c>
      <c r="E297" s="1">
        <f ca="1">IFERROR(__xludf.DUMMYFUNCTION("""COMPUTED_VALUE"""),-9.93)</f>
        <v>-9.93</v>
      </c>
      <c r="F297" s="1">
        <f ca="1">IFERROR(__xludf.DUMMYFUNCTION("""COMPUTED_VALUE"""),91.7)</f>
        <v>91.7</v>
      </c>
      <c r="G297" s="1">
        <f ca="1">IFERROR(__xludf.DUMMYFUNCTION("""COMPUTED_VALUE"""),345)</f>
        <v>345</v>
      </c>
      <c r="H297" s="1">
        <f ca="1">IFERROR(__xludf.DUMMYFUNCTION("""COMPUTED_VALUE"""),101.6)</f>
        <v>101.6</v>
      </c>
      <c r="I297" s="1">
        <f ca="1">IFERROR(__xludf.DUMMYFUNCTION("""COMPUTED_VALUE"""),109)</f>
        <v>109</v>
      </c>
      <c r="J297" s="1">
        <f ca="1">IFERROR(__xludf.DUMMYFUNCTION("""COMPUTED_VALUE"""),63)</f>
        <v>63</v>
      </c>
      <c r="K297" s="1">
        <f ca="1">IFERROR(__xludf.DUMMYFUNCTION("""COMPUTED_VALUE"""),260)</f>
        <v>260</v>
      </c>
      <c r="L297" s="1">
        <f ca="1">IFERROR(__xludf.DUMMYFUNCTION("""COMPUTED_VALUE"""),-0.038)</f>
        <v>-3.7999999999999999E-2</v>
      </c>
      <c r="M297" s="1">
        <f ca="1">IFERROR(__xludf.DUMMYFUNCTION("""COMPUTED_VALUE"""),263)</f>
        <v>263</v>
      </c>
      <c r="N297" s="1">
        <f ca="1">IFERROR(__xludf.DUMMYFUNCTION("""COMPUTED_VALUE"""),-6.57)</f>
        <v>-6.57</v>
      </c>
      <c r="O297" s="1">
        <f ca="1">IFERROR(__xludf.DUMMYFUNCTION("""COMPUTED_VALUE"""),297)</f>
        <v>297</v>
      </c>
      <c r="P297" s="1">
        <f ca="1">IFERROR(__xludf.DUMMYFUNCTION("""COMPUTED_VALUE"""),101.3)</f>
        <v>101.3</v>
      </c>
      <c r="Q297" s="1">
        <f ca="1">IFERROR(__xludf.DUMMYFUNCTION("""COMPUTED_VALUE"""),318)</f>
        <v>318</v>
      </c>
      <c r="R297" s="1">
        <f ca="1">IFERROR(__xludf.DUMMYFUNCTION("""COMPUTED_VALUE"""),107.9)</f>
        <v>107.9</v>
      </c>
      <c r="S297" s="1">
        <f ca="1">IFERROR(__xludf.DUMMYFUNCTION("""COMPUTED_VALUE"""),274)</f>
        <v>274</v>
      </c>
      <c r="T297" s="1" t="str">
        <f ca="1">IFERROR(__xludf.DUMMYFUNCTION("""COMPUTED_VALUE"""),"+8.62")</f>
        <v>+8.62</v>
      </c>
      <c r="U297" s="1">
        <f ca="1">IFERROR(__xludf.DUMMYFUNCTION("""COMPUTED_VALUE"""),15)</f>
        <v>15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IFERROR(__xludf.DUMMYFUNCTION("""COMPUTED_VALUE"""),"Fairleigh Dickinson")</f>
        <v>Fairleigh Dickinson</v>
      </c>
      <c r="C298" s="1" t="str">
        <f ca="1">IFERROR(__xludf.DUMMYFUNCTION("""COMPUTED_VALUE"""),"NEC")</f>
        <v>NEC</v>
      </c>
      <c r="D298" s="2">
        <f ca="1">IFERROR(__xludf.DUMMYFUNCTION("""COMPUTED_VALUE"""),44855)</f>
        <v>44855</v>
      </c>
      <c r="E298" s="1">
        <f ca="1">IFERROR(__xludf.DUMMYFUNCTION("""COMPUTED_VALUE"""),-10.57)</f>
        <v>-10.57</v>
      </c>
      <c r="F298" s="1">
        <f ca="1">IFERROR(__xludf.DUMMYFUNCTION("""COMPUTED_VALUE"""),102.2)</f>
        <v>102.2</v>
      </c>
      <c r="G298" s="1">
        <f ca="1">IFERROR(__xludf.DUMMYFUNCTION("""COMPUTED_VALUE"""),226)</f>
        <v>226</v>
      </c>
      <c r="H298" s="1">
        <f ca="1">IFERROR(__xludf.DUMMYFUNCTION("""COMPUTED_VALUE"""),112.8)</f>
        <v>112.8</v>
      </c>
      <c r="I298" s="1">
        <f ca="1">IFERROR(__xludf.DUMMYFUNCTION("""COMPUTED_VALUE"""),316)</f>
        <v>316</v>
      </c>
      <c r="J298" s="1">
        <f ca="1">IFERROR(__xludf.DUMMYFUNCTION("""COMPUTED_VALUE"""),65)</f>
        <v>65</v>
      </c>
      <c r="K298" s="1">
        <f ca="1">IFERROR(__xludf.DUMMYFUNCTION("""COMPUTED_VALUE"""),160)</f>
        <v>160</v>
      </c>
      <c r="L298" s="1">
        <f ca="1">IFERROR(__xludf.DUMMYFUNCTION("""COMPUTED_VALUE"""),-0.017)</f>
        <v>-1.7000000000000001E-2</v>
      </c>
      <c r="M298" s="1">
        <f ca="1">IFERROR(__xludf.DUMMYFUNCTION("""COMPUTED_VALUE"""),218)</f>
        <v>218</v>
      </c>
      <c r="N298" s="1">
        <f ca="1">IFERROR(__xludf.DUMMYFUNCTION("""COMPUTED_VALUE"""),-3)</f>
        <v>-3</v>
      </c>
      <c r="O298" s="1">
        <f ca="1">IFERROR(__xludf.DUMMYFUNCTION("""COMPUTED_VALUE"""),221)</f>
        <v>221</v>
      </c>
      <c r="P298" s="1">
        <f ca="1">IFERROR(__xludf.DUMMYFUNCTION("""COMPUTED_VALUE"""),103.7)</f>
        <v>103.7</v>
      </c>
      <c r="Q298" s="1">
        <f ca="1">IFERROR(__xludf.DUMMYFUNCTION("""COMPUTED_VALUE"""),206)</f>
        <v>206</v>
      </c>
      <c r="R298" s="1">
        <f ca="1">IFERROR(__xludf.DUMMYFUNCTION("""COMPUTED_VALUE"""),106.7)</f>
        <v>106.7</v>
      </c>
      <c r="S298" s="1">
        <f ca="1">IFERROR(__xludf.DUMMYFUNCTION("""COMPUTED_VALUE"""),231)</f>
        <v>231</v>
      </c>
      <c r="T298" s="1" t="str">
        <f ca="1">IFERROR(__xludf.DUMMYFUNCTION("""COMPUTED_VALUE"""),"+4.97")</f>
        <v>+4.97</v>
      </c>
      <c r="U298" s="1">
        <f ca="1">IFERROR(__xludf.DUMMYFUNCTION("""COMPUTED_VALUE"""),49)</f>
        <v>49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IFERROR(__xludf.DUMMYFUNCTION("""COMPUTED_VALUE"""),"Liberty")</f>
        <v>Liberty</v>
      </c>
      <c r="C299" s="1" t="str">
        <f ca="1">IFERROR(__xludf.DUMMYFUNCTION("""COMPUTED_VALUE"""),"BSth")</f>
        <v>BSth</v>
      </c>
      <c r="D299" s="2">
        <f ca="1">IFERROR(__xludf.DUMMYFUNCTION("""COMPUTED_VALUE"""),44886)</f>
        <v>44886</v>
      </c>
      <c r="E299" s="1">
        <f ca="1">IFERROR(__xludf.DUMMYFUNCTION("""COMPUTED_VALUE"""),-11.25)</f>
        <v>-11.25</v>
      </c>
      <c r="F299" s="1">
        <f ca="1">IFERROR(__xludf.DUMMYFUNCTION("""COMPUTED_VALUE"""),101.3)</f>
        <v>101.3</v>
      </c>
      <c r="G299" s="1">
        <f ca="1">IFERROR(__xludf.DUMMYFUNCTION("""COMPUTED_VALUE"""),240)</f>
        <v>240</v>
      </c>
      <c r="H299" s="1">
        <f ca="1">IFERROR(__xludf.DUMMYFUNCTION("""COMPUTED_VALUE"""),112.6)</f>
        <v>112.6</v>
      </c>
      <c r="I299" s="1">
        <f ca="1">IFERROR(__xludf.DUMMYFUNCTION("""COMPUTED_VALUE"""),309)</f>
        <v>309</v>
      </c>
      <c r="J299" s="1">
        <f ca="1">IFERROR(__xludf.DUMMYFUNCTION("""COMPUTED_VALUE"""),62.8)</f>
        <v>62.8</v>
      </c>
      <c r="K299" s="1">
        <f ca="1">IFERROR(__xludf.DUMMYFUNCTION("""COMPUTED_VALUE"""),268)</f>
        <v>268</v>
      </c>
      <c r="L299" s="1">
        <f ca="1">IFERROR(__xludf.DUMMYFUNCTION("""COMPUTED_VALUE"""),-0.129)</f>
        <v>-0.129</v>
      </c>
      <c r="M299" s="1">
        <f ca="1">IFERROR(__xludf.DUMMYFUNCTION("""COMPUTED_VALUE"""),349)</f>
        <v>349</v>
      </c>
      <c r="N299" s="1">
        <f ca="1">IFERROR(__xludf.DUMMYFUNCTION("""COMPUTED_VALUE"""),-7.85)</f>
        <v>-7.85</v>
      </c>
      <c r="O299" s="1">
        <f ca="1">IFERROR(__xludf.DUMMYFUNCTION("""COMPUTED_VALUE"""),326)</f>
        <v>326</v>
      </c>
      <c r="P299" s="1">
        <f ca="1">IFERROR(__xludf.DUMMYFUNCTION("""COMPUTED_VALUE"""),102.4)</f>
        <v>102.4</v>
      </c>
      <c r="Q299" s="1">
        <f ca="1">IFERROR(__xludf.DUMMYFUNCTION("""COMPUTED_VALUE"""),284)</f>
        <v>284</v>
      </c>
      <c r="R299" s="1">
        <f ca="1">IFERROR(__xludf.DUMMYFUNCTION("""COMPUTED_VALUE"""),110.2)</f>
        <v>110.2</v>
      </c>
      <c r="S299" s="1">
        <f ca="1">IFERROR(__xludf.DUMMYFUNCTION("""COMPUTED_VALUE"""),343)</f>
        <v>343</v>
      </c>
      <c r="T299" s="1">
        <f ca="1">IFERROR(__xludf.DUMMYFUNCTION("""COMPUTED_VALUE"""),-3.44)</f>
        <v>-3.44</v>
      </c>
      <c r="U299" s="1">
        <f ca="1">IFERROR(__xludf.DUMMYFUNCTION("""COMPUTED_VALUE"""),268)</f>
        <v>268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IFERROR(__xludf.DUMMYFUNCTION("""COMPUTED_VALUE"""),"Chicago St.")</f>
        <v>Chicago St.</v>
      </c>
      <c r="C300" s="1" t="str">
        <f ca="1">IFERROR(__xludf.DUMMYFUNCTION("""COMPUTED_VALUE"""),"WAC")</f>
        <v>WAC</v>
      </c>
      <c r="D300" s="1" t="str">
        <f ca="1">IFERROR(__xludf.DUMMYFUNCTION("""COMPUTED_VALUE"""),"13-19")</f>
        <v>13-19</v>
      </c>
      <c r="E300" s="1">
        <f ca="1">IFERROR(__xludf.DUMMYFUNCTION("""COMPUTED_VALUE"""),-11.26)</f>
        <v>-11.26</v>
      </c>
      <c r="F300" s="1">
        <f ca="1">IFERROR(__xludf.DUMMYFUNCTION("""COMPUTED_VALUE"""),98.1)</f>
        <v>98.1</v>
      </c>
      <c r="G300" s="1">
        <f ca="1">IFERROR(__xludf.DUMMYFUNCTION("""COMPUTED_VALUE"""),291)</f>
        <v>291</v>
      </c>
      <c r="H300" s="1">
        <f ca="1">IFERROR(__xludf.DUMMYFUNCTION("""COMPUTED_VALUE"""),109.4)</f>
        <v>109.4</v>
      </c>
      <c r="I300" s="1">
        <f ca="1">IFERROR(__xludf.DUMMYFUNCTION("""COMPUTED_VALUE"""),255)</f>
        <v>255</v>
      </c>
      <c r="J300" s="1">
        <f ca="1">IFERROR(__xludf.DUMMYFUNCTION("""COMPUTED_VALUE"""),67.8)</f>
        <v>67.8</v>
      </c>
      <c r="K300" s="1">
        <f ca="1">IFERROR(__xludf.DUMMYFUNCTION("""COMPUTED_VALUE"""),44)</f>
        <v>44</v>
      </c>
      <c r="L300" s="1" t="str">
        <f ca="1">IFERROR(__xludf.DUMMYFUNCTION("""COMPUTED_VALUE"""),"+.069")</f>
        <v>+.069</v>
      </c>
      <c r="M300" s="1">
        <f ca="1">IFERROR(__xludf.DUMMYFUNCTION("""COMPUTED_VALUE"""),35)</f>
        <v>35</v>
      </c>
      <c r="N300" s="1">
        <f ca="1">IFERROR(__xludf.DUMMYFUNCTION("""COMPUTED_VALUE"""),-2.57)</f>
        <v>-2.57</v>
      </c>
      <c r="O300" s="1">
        <f ca="1">IFERROR(__xludf.DUMMYFUNCTION("""COMPUTED_VALUE"""),205)</f>
        <v>205</v>
      </c>
      <c r="P300" s="1">
        <f ca="1">IFERROR(__xludf.DUMMYFUNCTION("""COMPUTED_VALUE"""),103.3)</f>
        <v>103.3</v>
      </c>
      <c r="Q300" s="1">
        <f ca="1">IFERROR(__xludf.DUMMYFUNCTION("""COMPUTED_VALUE"""),235)</f>
        <v>235</v>
      </c>
      <c r="R300" s="1">
        <f ca="1">IFERROR(__xludf.DUMMYFUNCTION("""COMPUTED_VALUE"""),105.9)</f>
        <v>105.9</v>
      </c>
      <c r="S300" s="1">
        <f ca="1">IFERROR(__xludf.DUMMYFUNCTION("""COMPUTED_VALUE"""),194)</f>
        <v>194</v>
      </c>
      <c r="T300" s="1" t="str">
        <f ca="1">IFERROR(__xludf.DUMMYFUNCTION("""COMPUTED_VALUE"""),"+2.79")</f>
        <v>+2.79</v>
      </c>
      <c r="U300" s="1">
        <f ca="1">IFERROR(__xludf.DUMMYFUNCTION("""COMPUTED_VALUE"""),83)</f>
        <v>83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IFERROR(__xludf.DUMMYFUNCTION("""COMPUTED_VALUE"""),"Tulane")</f>
        <v>Tulane</v>
      </c>
      <c r="C301" s="1" t="str">
        <f ca="1">IFERROR(__xludf.DUMMYFUNCTION("""COMPUTED_VALUE"""),"CUSA")</f>
        <v>CUSA</v>
      </c>
      <c r="D301" s="1" t="str">
        <f ca="1">IFERROR(__xludf.DUMMYFUNCTION("""COMPUTED_VALUE"""),"17-17")</f>
        <v>17-17</v>
      </c>
      <c r="E301" s="1">
        <f ca="1">IFERROR(__xludf.DUMMYFUNCTION("""COMPUTED_VALUE"""),-11.41)</f>
        <v>-11.41</v>
      </c>
      <c r="F301" s="1">
        <f ca="1">IFERROR(__xludf.DUMMYFUNCTION("""COMPUTED_VALUE"""),99.7)</f>
        <v>99.7</v>
      </c>
      <c r="G301" s="1">
        <f ca="1">IFERROR(__xludf.DUMMYFUNCTION("""COMPUTED_VALUE"""),268)</f>
        <v>268</v>
      </c>
      <c r="H301" s="1">
        <f ca="1">IFERROR(__xludf.DUMMYFUNCTION("""COMPUTED_VALUE"""),111.1)</f>
        <v>111.1</v>
      </c>
      <c r="I301" s="1">
        <f ca="1">IFERROR(__xludf.DUMMYFUNCTION("""COMPUTED_VALUE"""),280)</f>
        <v>280</v>
      </c>
      <c r="J301" s="1">
        <f ca="1">IFERROR(__xludf.DUMMYFUNCTION("""COMPUTED_VALUE"""),61.9)</f>
        <v>61.9</v>
      </c>
      <c r="K301" s="1">
        <f ca="1">IFERROR(__xludf.DUMMYFUNCTION("""COMPUTED_VALUE"""),306)</f>
        <v>306</v>
      </c>
      <c r="L301" s="1" t="str">
        <f ca="1">IFERROR(__xludf.DUMMYFUNCTION("""COMPUTED_VALUE"""),"+.143")</f>
        <v>+.143</v>
      </c>
      <c r="M301" s="1">
        <f ca="1">IFERROR(__xludf.DUMMYFUNCTION("""COMPUTED_VALUE"""),1)</f>
        <v>1</v>
      </c>
      <c r="N301" s="1">
        <f ca="1">IFERROR(__xludf.DUMMYFUNCTION("""COMPUTED_VALUE"""),-3.78)</f>
        <v>-3.78</v>
      </c>
      <c r="O301" s="1">
        <f ca="1">IFERROR(__xludf.DUMMYFUNCTION("""COMPUTED_VALUE"""),236)</f>
        <v>236</v>
      </c>
      <c r="P301" s="1">
        <f ca="1">IFERROR(__xludf.DUMMYFUNCTION("""COMPUTED_VALUE"""),102.1)</f>
        <v>102.1</v>
      </c>
      <c r="Q301" s="1">
        <f ca="1">IFERROR(__xludf.DUMMYFUNCTION("""COMPUTED_VALUE"""),294)</f>
        <v>294</v>
      </c>
      <c r="R301" s="1">
        <f ca="1">IFERROR(__xludf.DUMMYFUNCTION("""COMPUTED_VALUE"""),105.9)</f>
        <v>105.9</v>
      </c>
      <c r="S301" s="1">
        <f ca="1">IFERROR(__xludf.DUMMYFUNCTION("""COMPUTED_VALUE"""),197)</f>
        <v>197</v>
      </c>
      <c r="T301" s="1">
        <f ca="1">IFERROR(__xludf.DUMMYFUNCTION("""COMPUTED_VALUE"""),-8.8)</f>
        <v>-8.8000000000000007</v>
      </c>
      <c r="U301" s="1">
        <f ca="1">IFERROR(__xludf.DUMMYFUNCTION("""COMPUTED_VALUE"""),342)</f>
        <v>342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IFERROR(__xludf.DUMMYFUNCTION("""COMPUTED_VALUE"""),"Central Michigan")</f>
        <v>Central Michigan</v>
      </c>
      <c r="C302" s="1" t="str">
        <f ca="1">IFERROR(__xludf.DUMMYFUNCTION("""COMPUTED_VALUE"""),"MAC")</f>
        <v>MAC</v>
      </c>
      <c r="D302" s="2">
        <f ca="1">IFERROR(__xludf.DUMMYFUNCTION("""COMPUTED_VALUE"""),44855)</f>
        <v>44855</v>
      </c>
      <c r="E302" s="1">
        <f ca="1">IFERROR(__xludf.DUMMYFUNCTION("""COMPUTED_VALUE"""),-11.43)</f>
        <v>-11.43</v>
      </c>
      <c r="F302" s="1">
        <f ca="1">IFERROR(__xludf.DUMMYFUNCTION("""COMPUTED_VALUE"""),106.3)</f>
        <v>106.3</v>
      </c>
      <c r="G302" s="1">
        <f ca="1">IFERROR(__xludf.DUMMYFUNCTION("""COMPUTED_VALUE"""),155)</f>
        <v>155</v>
      </c>
      <c r="H302" s="1">
        <f ca="1">IFERROR(__xludf.DUMMYFUNCTION("""COMPUTED_VALUE"""),117.7)</f>
        <v>117.7</v>
      </c>
      <c r="I302" s="1">
        <f ca="1">IFERROR(__xludf.DUMMYFUNCTION("""COMPUTED_VALUE"""),343)</f>
        <v>343</v>
      </c>
      <c r="J302" s="1">
        <f ca="1">IFERROR(__xludf.DUMMYFUNCTION("""COMPUTED_VALUE"""),63.7)</f>
        <v>63.7</v>
      </c>
      <c r="K302" s="1">
        <f ca="1">IFERROR(__xludf.DUMMYFUNCTION("""COMPUTED_VALUE"""),228)</f>
        <v>228</v>
      </c>
      <c r="L302" s="1" t="str">
        <f ca="1">IFERROR(__xludf.DUMMYFUNCTION("""COMPUTED_VALUE"""),"+.004")</f>
        <v>+.004</v>
      </c>
      <c r="M302" s="1">
        <f ca="1">IFERROR(__xludf.DUMMYFUNCTION("""COMPUTED_VALUE"""),175)</f>
        <v>175</v>
      </c>
      <c r="N302" s="1">
        <f ca="1">IFERROR(__xludf.DUMMYFUNCTION("""COMPUTED_VALUE"""),-3.18)</f>
        <v>-3.18</v>
      </c>
      <c r="O302" s="1">
        <f ca="1">IFERROR(__xludf.DUMMYFUNCTION("""COMPUTED_VALUE"""),226)</f>
        <v>226</v>
      </c>
      <c r="P302" s="1">
        <f ca="1">IFERROR(__xludf.DUMMYFUNCTION("""COMPUTED_VALUE"""),102)</f>
        <v>102</v>
      </c>
      <c r="Q302" s="1">
        <f ca="1">IFERROR(__xludf.DUMMYFUNCTION("""COMPUTED_VALUE"""),301)</f>
        <v>301</v>
      </c>
      <c r="R302" s="1">
        <f ca="1">IFERROR(__xludf.DUMMYFUNCTION("""COMPUTED_VALUE"""),105.2)</f>
        <v>105.2</v>
      </c>
      <c r="S302" s="1">
        <f ca="1">IFERROR(__xludf.DUMMYFUNCTION("""COMPUTED_VALUE"""),163)</f>
        <v>163</v>
      </c>
      <c r="T302" s="1">
        <f ca="1">IFERROR(__xludf.DUMMYFUNCTION("""COMPUTED_VALUE"""),-7.84)</f>
        <v>-7.84</v>
      </c>
      <c r="U302" s="1">
        <f ca="1">IFERROR(__xludf.DUMMYFUNCTION("""COMPUTED_VALUE"""),336)</f>
        <v>336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IFERROR(__xludf.DUMMYFUNCTION("""COMPUTED_VALUE"""),"Austin Peay")</f>
        <v>Austin Peay</v>
      </c>
      <c r="C303" s="1" t="str">
        <f ca="1">IFERROR(__xludf.DUMMYFUNCTION("""COMPUTED_VALUE"""),"OVC")</f>
        <v>OVC</v>
      </c>
      <c r="D303" s="2">
        <f ca="1">IFERROR(__xludf.DUMMYFUNCTION("""COMPUTED_VALUE"""),44913)</f>
        <v>44913</v>
      </c>
      <c r="E303" s="1">
        <f ca="1">IFERROR(__xludf.DUMMYFUNCTION("""COMPUTED_VALUE"""),-11.64)</f>
        <v>-11.64</v>
      </c>
      <c r="F303" s="1">
        <f ca="1">IFERROR(__xludf.DUMMYFUNCTION("""COMPUTED_VALUE"""),99.6)</f>
        <v>99.6</v>
      </c>
      <c r="G303" s="1">
        <f ca="1">IFERROR(__xludf.DUMMYFUNCTION("""COMPUTED_VALUE"""),270)</f>
        <v>270</v>
      </c>
      <c r="H303" s="1">
        <f ca="1">IFERROR(__xludf.DUMMYFUNCTION("""COMPUTED_VALUE"""),111.2)</f>
        <v>111.2</v>
      </c>
      <c r="I303" s="1">
        <f ca="1">IFERROR(__xludf.DUMMYFUNCTION("""COMPUTED_VALUE"""),281)</f>
        <v>281</v>
      </c>
      <c r="J303" s="1">
        <f ca="1">IFERROR(__xludf.DUMMYFUNCTION("""COMPUTED_VALUE"""),68.9)</f>
        <v>68.900000000000006</v>
      </c>
      <c r="K303" s="1">
        <f ca="1">IFERROR(__xludf.DUMMYFUNCTION("""COMPUTED_VALUE"""),23)</f>
        <v>23</v>
      </c>
      <c r="L303" s="1" t="str">
        <f ca="1">IFERROR(__xludf.DUMMYFUNCTION("""COMPUTED_VALUE"""),"+.012")</f>
        <v>+.012</v>
      </c>
      <c r="M303" s="1">
        <f ca="1">IFERROR(__xludf.DUMMYFUNCTION("""COMPUTED_VALUE"""),155)</f>
        <v>155</v>
      </c>
      <c r="N303" s="1">
        <f ca="1">IFERROR(__xludf.DUMMYFUNCTION("""COMPUTED_VALUE"""),-6.73)</f>
        <v>-6.73</v>
      </c>
      <c r="O303" s="1">
        <f ca="1">IFERROR(__xludf.DUMMYFUNCTION("""COMPUTED_VALUE"""),303)</f>
        <v>303</v>
      </c>
      <c r="P303" s="1">
        <f ca="1">IFERROR(__xludf.DUMMYFUNCTION("""COMPUTED_VALUE"""),103.9)</f>
        <v>103.9</v>
      </c>
      <c r="Q303" s="1">
        <f ca="1">IFERROR(__xludf.DUMMYFUNCTION("""COMPUTED_VALUE"""),197)</f>
        <v>197</v>
      </c>
      <c r="R303" s="1">
        <f ca="1">IFERROR(__xludf.DUMMYFUNCTION("""COMPUTED_VALUE"""),110.6)</f>
        <v>110.6</v>
      </c>
      <c r="S303" s="1">
        <f ca="1">IFERROR(__xludf.DUMMYFUNCTION("""COMPUTED_VALUE"""),349)</f>
        <v>349</v>
      </c>
      <c r="T303" s="1">
        <f ca="1">IFERROR(__xludf.DUMMYFUNCTION("""COMPUTED_VALUE"""),-5.37)</f>
        <v>-5.37</v>
      </c>
      <c r="U303" s="1">
        <f ca="1">IFERROR(__xludf.DUMMYFUNCTION("""COMPUTED_VALUE"""),307)</f>
        <v>307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IFERROR(__xludf.DUMMYFUNCTION("""COMPUTED_VALUE"""),"Tennessee St.")</f>
        <v>Tennessee St.</v>
      </c>
      <c r="C304" s="1" t="str">
        <f ca="1">IFERROR(__xludf.DUMMYFUNCTION("""COMPUTED_VALUE"""),"OVC")</f>
        <v>OVC</v>
      </c>
      <c r="D304" s="2">
        <f ca="1">IFERROR(__xludf.DUMMYFUNCTION("""COMPUTED_VALUE"""),44706)</f>
        <v>44706</v>
      </c>
      <c r="E304" s="1">
        <f ca="1">IFERROR(__xludf.DUMMYFUNCTION("""COMPUTED_VALUE"""),-11.71)</f>
        <v>-11.71</v>
      </c>
      <c r="F304" s="1">
        <f ca="1">IFERROR(__xludf.DUMMYFUNCTION("""COMPUTED_VALUE"""),101.9)</f>
        <v>101.9</v>
      </c>
      <c r="G304" s="1">
        <f ca="1">IFERROR(__xludf.DUMMYFUNCTION("""COMPUTED_VALUE"""),231)</f>
        <v>231</v>
      </c>
      <c r="H304" s="1">
        <f ca="1">IFERROR(__xludf.DUMMYFUNCTION("""COMPUTED_VALUE"""),113.6)</f>
        <v>113.6</v>
      </c>
      <c r="I304" s="1">
        <f ca="1">IFERROR(__xludf.DUMMYFUNCTION("""COMPUTED_VALUE"""),322)</f>
        <v>322</v>
      </c>
      <c r="J304" s="1">
        <f ca="1">IFERROR(__xludf.DUMMYFUNCTION("""COMPUTED_VALUE"""),63.2)</f>
        <v>63.2</v>
      </c>
      <c r="K304" s="1">
        <f ca="1">IFERROR(__xludf.DUMMYFUNCTION("""COMPUTED_VALUE"""),256)</f>
        <v>256</v>
      </c>
      <c r="L304" s="1">
        <f ca="1">IFERROR(__xludf.DUMMYFUNCTION("""COMPUTED_VALUE"""),-0.05)</f>
        <v>-0.05</v>
      </c>
      <c r="M304" s="1">
        <f ca="1">IFERROR(__xludf.DUMMYFUNCTION("""COMPUTED_VALUE"""),294)</f>
        <v>294</v>
      </c>
      <c r="N304" s="1">
        <f ca="1">IFERROR(__xludf.DUMMYFUNCTION("""COMPUTED_VALUE"""),-1.3)</f>
        <v>-1.3</v>
      </c>
      <c r="O304" s="1">
        <f ca="1">IFERROR(__xludf.DUMMYFUNCTION("""COMPUTED_VALUE"""),172)</f>
        <v>172</v>
      </c>
      <c r="P304" s="1">
        <f ca="1">IFERROR(__xludf.DUMMYFUNCTION("""COMPUTED_VALUE"""),105.3)</f>
        <v>105.3</v>
      </c>
      <c r="Q304" s="1">
        <f ca="1">IFERROR(__xludf.DUMMYFUNCTION("""COMPUTED_VALUE"""),142)</f>
        <v>142</v>
      </c>
      <c r="R304" s="1">
        <f ca="1">IFERROR(__xludf.DUMMYFUNCTION("""COMPUTED_VALUE"""),106.6)</f>
        <v>106.6</v>
      </c>
      <c r="S304" s="1">
        <f ca="1">IFERROR(__xludf.DUMMYFUNCTION("""COMPUTED_VALUE"""),222)</f>
        <v>222</v>
      </c>
      <c r="T304" s="1" t="str">
        <f ca="1">IFERROR(__xludf.DUMMYFUNCTION("""COMPUTED_VALUE"""),"+4.89")</f>
        <v>+4.89</v>
      </c>
      <c r="U304" s="1">
        <f ca="1">IFERROR(__xludf.DUMMYFUNCTION("""COMPUTED_VALUE"""),54)</f>
        <v>54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IFERROR(__xludf.DUMMYFUNCTION("""COMPUTED_VALUE"""),"San Jose St.")</f>
        <v>San Jose St.</v>
      </c>
      <c r="C305" s="1" t="str">
        <f ca="1">IFERROR(__xludf.DUMMYFUNCTION("""COMPUTED_VALUE"""),"MWC")</f>
        <v>MWC</v>
      </c>
      <c r="D305" s="2">
        <f ca="1">IFERROR(__xludf.DUMMYFUNCTION("""COMPUTED_VALUE"""),44766)</f>
        <v>44766</v>
      </c>
      <c r="E305" s="1">
        <f ca="1">IFERROR(__xludf.DUMMYFUNCTION("""COMPUTED_VALUE"""),-11.75)</f>
        <v>-11.75</v>
      </c>
      <c r="F305" s="1">
        <f ca="1">IFERROR(__xludf.DUMMYFUNCTION("""COMPUTED_VALUE"""),94.5)</f>
        <v>94.5</v>
      </c>
      <c r="G305" s="1">
        <f ca="1">IFERROR(__xludf.DUMMYFUNCTION("""COMPUTED_VALUE"""),325)</f>
        <v>325</v>
      </c>
      <c r="H305" s="1">
        <f ca="1">IFERROR(__xludf.DUMMYFUNCTION("""COMPUTED_VALUE"""),106.3)</f>
        <v>106.3</v>
      </c>
      <c r="I305" s="1">
        <f ca="1">IFERROR(__xludf.DUMMYFUNCTION("""COMPUTED_VALUE"""),194)</f>
        <v>194</v>
      </c>
      <c r="J305" s="1">
        <f ca="1">IFERROR(__xludf.DUMMYFUNCTION("""COMPUTED_VALUE"""),64.1)</f>
        <v>64.099999999999994</v>
      </c>
      <c r="K305" s="1">
        <f ca="1">IFERROR(__xludf.DUMMYFUNCTION("""COMPUTED_VALUE"""),214)</f>
        <v>214</v>
      </c>
      <c r="L305" s="1">
        <f ca="1">IFERROR(__xludf.DUMMYFUNCTION("""COMPUTED_VALUE"""),-0.004)</f>
        <v>-4.0000000000000001E-3</v>
      </c>
      <c r="M305" s="1">
        <f ca="1">IFERROR(__xludf.DUMMYFUNCTION("""COMPUTED_VALUE"""),195)</f>
        <v>195</v>
      </c>
      <c r="N305" s="1" t="str">
        <f ca="1">IFERROR(__xludf.DUMMYFUNCTION("""COMPUTED_VALUE"""),"+3.90")</f>
        <v>+3.90</v>
      </c>
      <c r="O305" s="1">
        <f ca="1">IFERROR(__xludf.DUMMYFUNCTION("""COMPUTED_VALUE"""),99)</f>
        <v>99</v>
      </c>
      <c r="P305" s="1">
        <f ca="1">IFERROR(__xludf.DUMMYFUNCTION("""COMPUTED_VALUE"""),107.6)</f>
        <v>107.6</v>
      </c>
      <c r="Q305" s="1">
        <f ca="1">IFERROR(__xludf.DUMMYFUNCTION("""COMPUTED_VALUE"""),81)</f>
        <v>81</v>
      </c>
      <c r="R305" s="1">
        <f ca="1">IFERROR(__xludf.DUMMYFUNCTION("""COMPUTED_VALUE"""),103.7)</f>
        <v>103.7</v>
      </c>
      <c r="S305" s="1">
        <f ca="1">IFERROR(__xludf.DUMMYFUNCTION("""COMPUTED_VALUE"""),106)</f>
        <v>106</v>
      </c>
      <c r="T305" s="1">
        <f ca="1">IFERROR(__xludf.DUMMYFUNCTION("""COMPUTED_VALUE"""),-0.32)</f>
        <v>-0.32</v>
      </c>
      <c r="U305" s="1">
        <f ca="1">IFERROR(__xludf.DUMMYFUNCTION("""COMPUTED_VALUE"""),170)</f>
        <v>170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IFERROR(__xludf.DUMMYFUNCTION("""COMPUTED_VALUE"""),"SIU Edwardsville")</f>
        <v>SIU Edwardsville</v>
      </c>
      <c r="C306" s="1" t="str">
        <f ca="1">IFERROR(__xludf.DUMMYFUNCTION("""COMPUTED_VALUE"""),"OVC")</f>
        <v>OVC</v>
      </c>
      <c r="D306" s="2">
        <f ca="1">IFERROR(__xludf.DUMMYFUNCTION("""COMPUTED_VALUE"""),44885)</f>
        <v>44885</v>
      </c>
      <c r="E306" s="1">
        <f ca="1">IFERROR(__xludf.DUMMYFUNCTION("""COMPUTED_VALUE"""),-11.94)</f>
        <v>-11.94</v>
      </c>
      <c r="F306" s="1">
        <f ca="1">IFERROR(__xludf.DUMMYFUNCTION("""COMPUTED_VALUE"""),100.6)</f>
        <v>100.6</v>
      </c>
      <c r="G306" s="1">
        <f ca="1">IFERROR(__xludf.DUMMYFUNCTION("""COMPUTED_VALUE"""),254)</f>
        <v>254</v>
      </c>
      <c r="H306" s="1">
        <f ca="1">IFERROR(__xludf.DUMMYFUNCTION("""COMPUTED_VALUE"""),112.5)</f>
        <v>112.5</v>
      </c>
      <c r="I306" s="1">
        <f ca="1">IFERROR(__xludf.DUMMYFUNCTION("""COMPUTED_VALUE"""),307)</f>
        <v>307</v>
      </c>
      <c r="J306" s="1">
        <f ca="1">IFERROR(__xludf.DUMMYFUNCTION("""COMPUTED_VALUE"""),65.4)</f>
        <v>65.400000000000006</v>
      </c>
      <c r="K306" s="1">
        <f ca="1">IFERROR(__xludf.DUMMYFUNCTION("""COMPUTED_VALUE"""),139)</f>
        <v>139</v>
      </c>
      <c r="L306" s="1">
        <f ca="1">IFERROR(__xludf.DUMMYFUNCTION("""COMPUTED_VALUE"""),-0.004)</f>
        <v>-4.0000000000000001E-3</v>
      </c>
      <c r="M306" s="1">
        <f ca="1">IFERROR(__xludf.DUMMYFUNCTION("""COMPUTED_VALUE"""),197)</f>
        <v>197</v>
      </c>
      <c r="N306" s="1">
        <f ca="1">IFERROR(__xludf.DUMMYFUNCTION("""COMPUTED_VALUE"""),-6.21)</f>
        <v>-6.21</v>
      </c>
      <c r="O306" s="1">
        <f ca="1">IFERROR(__xludf.DUMMYFUNCTION("""COMPUTED_VALUE"""),291)</f>
        <v>291</v>
      </c>
      <c r="P306" s="1">
        <f ca="1">IFERROR(__xludf.DUMMYFUNCTION("""COMPUTED_VALUE"""),103.6)</f>
        <v>103.6</v>
      </c>
      <c r="Q306" s="1">
        <f ca="1">IFERROR(__xludf.DUMMYFUNCTION("""COMPUTED_VALUE"""),217)</f>
        <v>217</v>
      </c>
      <c r="R306" s="1">
        <f ca="1">IFERROR(__xludf.DUMMYFUNCTION("""COMPUTED_VALUE"""),109.8)</f>
        <v>109.8</v>
      </c>
      <c r="S306" s="1">
        <f ca="1">IFERROR(__xludf.DUMMYFUNCTION("""COMPUTED_VALUE"""),334)</f>
        <v>334</v>
      </c>
      <c r="T306" s="1">
        <f ca="1">IFERROR(__xludf.DUMMYFUNCTION("""COMPUTED_VALUE"""),-3.76)</f>
        <v>-3.76</v>
      </c>
      <c r="U306" s="1">
        <f ca="1">IFERROR(__xludf.DUMMYFUNCTION("""COMPUTED_VALUE"""),279)</f>
        <v>279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IFERROR(__xludf.DUMMYFUNCTION("""COMPUTED_VALUE"""),"Georgia Southern")</f>
        <v>Georgia Southern</v>
      </c>
      <c r="C307" s="1" t="str">
        <f ca="1">IFERROR(__xludf.DUMMYFUNCTION("""COMPUTED_VALUE"""),"SC")</f>
        <v>SC</v>
      </c>
      <c r="D307" s="1" t="str">
        <f ca="1">IFERROR(__xludf.DUMMYFUNCTION("""COMPUTED_VALUE"""),"15-19")</f>
        <v>15-19</v>
      </c>
      <c r="E307" s="1">
        <f ca="1">IFERROR(__xludf.DUMMYFUNCTION("""COMPUTED_VALUE"""),-12.09)</f>
        <v>-12.09</v>
      </c>
      <c r="F307" s="1">
        <f ca="1">IFERROR(__xludf.DUMMYFUNCTION("""COMPUTED_VALUE"""),98.3)</f>
        <v>98.3</v>
      </c>
      <c r="G307" s="1">
        <f ca="1">IFERROR(__xludf.DUMMYFUNCTION("""COMPUTED_VALUE"""),287)</f>
        <v>287</v>
      </c>
      <c r="H307" s="1">
        <f ca="1">IFERROR(__xludf.DUMMYFUNCTION("""COMPUTED_VALUE"""),110.4)</f>
        <v>110.4</v>
      </c>
      <c r="I307" s="1">
        <f ca="1">IFERROR(__xludf.DUMMYFUNCTION("""COMPUTED_VALUE"""),268)</f>
        <v>268</v>
      </c>
      <c r="J307" s="1">
        <f ca="1">IFERROR(__xludf.DUMMYFUNCTION("""COMPUTED_VALUE"""),64.8)</f>
        <v>64.8</v>
      </c>
      <c r="K307" s="1">
        <f ca="1">IFERROR(__xludf.DUMMYFUNCTION("""COMPUTED_VALUE"""),169)</f>
        <v>169</v>
      </c>
      <c r="L307" s="1">
        <f ca="1">IFERROR(__xludf.DUMMYFUNCTION("""COMPUTED_VALUE"""),-0.04)</f>
        <v>-0.04</v>
      </c>
      <c r="M307" s="1">
        <f ca="1">IFERROR(__xludf.DUMMYFUNCTION("""COMPUTED_VALUE"""),266)</f>
        <v>266</v>
      </c>
      <c r="N307" s="1">
        <f ca="1">IFERROR(__xludf.DUMMYFUNCTION("""COMPUTED_VALUE"""),-9.45)</f>
        <v>-9.4499999999999993</v>
      </c>
      <c r="O307" s="1">
        <f ca="1">IFERROR(__xludf.DUMMYFUNCTION("""COMPUTED_VALUE"""),344)</f>
        <v>344</v>
      </c>
      <c r="P307" s="1">
        <f ca="1">IFERROR(__xludf.DUMMYFUNCTION("""COMPUTED_VALUE"""),100.6)</f>
        <v>100.6</v>
      </c>
      <c r="Q307" s="1">
        <f ca="1">IFERROR(__xludf.DUMMYFUNCTION("""COMPUTED_VALUE"""),329)</f>
        <v>329</v>
      </c>
      <c r="R307" s="1">
        <f ca="1">IFERROR(__xludf.DUMMYFUNCTION("""COMPUTED_VALUE"""),110.1)</f>
        <v>110.1</v>
      </c>
      <c r="S307" s="1">
        <f ca="1">IFERROR(__xludf.DUMMYFUNCTION("""COMPUTED_VALUE"""),339)</f>
        <v>339</v>
      </c>
      <c r="T307" s="1">
        <f ca="1">IFERROR(__xludf.DUMMYFUNCTION("""COMPUTED_VALUE"""),-5.55)</f>
        <v>-5.55</v>
      </c>
      <c r="U307" s="1">
        <f ca="1">IFERROR(__xludf.DUMMYFUNCTION("""COMPUTED_VALUE"""),311)</f>
        <v>311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IFERROR(__xludf.DUMMYFUNCTION("""COMPUTED_VALUE"""),"Loyola MD")</f>
        <v>Loyola MD</v>
      </c>
      <c r="C308" s="1" t="str">
        <f ca="1">IFERROR(__xludf.DUMMYFUNCTION("""COMPUTED_VALUE"""),"Pat")</f>
        <v>Pat</v>
      </c>
      <c r="D308" s="2">
        <f ca="1">IFERROR(__xludf.DUMMYFUNCTION("""COMPUTED_VALUE"""),44884)</f>
        <v>44884</v>
      </c>
      <c r="E308" s="1">
        <f ca="1">IFERROR(__xludf.DUMMYFUNCTION("""COMPUTED_VALUE"""),-12.17)</f>
        <v>-12.17</v>
      </c>
      <c r="F308" s="1">
        <f ca="1">IFERROR(__xludf.DUMMYFUNCTION("""COMPUTED_VALUE"""),97.1)</f>
        <v>97.1</v>
      </c>
      <c r="G308" s="1">
        <f ca="1">IFERROR(__xludf.DUMMYFUNCTION("""COMPUTED_VALUE"""),301)</f>
        <v>301</v>
      </c>
      <c r="H308" s="1">
        <f ca="1">IFERROR(__xludf.DUMMYFUNCTION("""COMPUTED_VALUE"""),109.3)</f>
        <v>109.3</v>
      </c>
      <c r="I308" s="1">
        <f ca="1">IFERROR(__xludf.DUMMYFUNCTION("""COMPUTED_VALUE"""),253)</f>
        <v>253</v>
      </c>
      <c r="J308" s="1">
        <f ca="1">IFERROR(__xludf.DUMMYFUNCTION("""COMPUTED_VALUE"""),64.6)</f>
        <v>64.599999999999994</v>
      </c>
      <c r="K308" s="1">
        <f ca="1">IFERROR(__xludf.DUMMYFUNCTION("""COMPUTED_VALUE"""),176)</f>
        <v>176</v>
      </c>
      <c r="L308" s="1" t="str">
        <f ca="1">IFERROR(__xludf.DUMMYFUNCTION("""COMPUTED_VALUE"""),"+.063")</f>
        <v>+.063</v>
      </c>
      <c r="M308" s="1">
        <f ca="1">IFERROR(__xludf.DUMMYFUNCTION("""COMPUTED_VALUE"""),44)</f>
        <v>44</v>
      </c>
      <c r="N308" s="1">
        <f ca="1">IFERROR(__xludf.DUMMYFUNCTION("""COMPUTED_VALUE"""),-2.84)</f>
        <v>-2.84</v>
      </c>
      <c r="O308" s="1">
        <f ca="1">IFERROR(__xludf.DUMMYFUNCTION("""COMPUTED_VALUE"""),216)</f>
        <v>216</v>
      </c>
      <c r="P308" s="1">
        <f ca="1">IFERROR(__xludf.DUMMYFUNCTION("""COMPUTED_VALUE"""),103.7)</f>
        <v>103.7</v>
      </c>
      <c r="Q308" s="1">
        <f ca="1">IFERROR(__xludf.DUMMYFUNCTION("""COMPUTED_VALUE"""),214)</f>
        <v>214</v>
      </c>
      <c r="R308" s="1">
        <f ca="1">IFERROR(__xludf.DUMMYFUNCTION("""COMPUTED_VALUE"""),106.5)</f>
        <v>106.5</v>
      </c>
      <c r="S308" s="1">
        <f ca="1">IFERROR(__xludf.DUMMYFUNCTION("""COMPUTED_VALUE"""),220)</f>
        <v>220</v>
      </c>
      <c r="T308" s="1">
        <f ca="1">IFERROR(__xludf.DUMMYFUNCTION("""COMPUTED_VALUE"""),-0.51)</f>
        <v>-0.51</v>
      </c>
      <c r="U308" s="1">
        <f ca="1">IFERROR(__xludf.DUMMYFUNCTION("""COMPUTED_VALUE"""),176)</f>
        <v>176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IFERROR(__xludf.DUMMYFUNCTION("""COMPUTED_VALUE"""),"Coppin St.")</f>
        <v>Coppin St.</v>
      </c>
      <c r="C309" s="1" t="str">
        <f ca="1">IFERROR(__xludf.DUMMYFUNCTION("""COMPUTED_VALUE"""),"MEAC")</f>
        <v>MEAC</v>
      </c>
      <c r="D309" s="2">
        <f ca="1">IFERROR(__xludf.DUMMYFUNCTION("""COMPUTED_VALUE"""),44915)</f>
        <v>44915</v>
      </c>
      <c r="E309" s="1">
        <f ca="1">IFERROR(__xludf.DUMMYFUNCTION("""COMPUTED_VALUE"""),-12.31)</f>
        <v>-12.31</v>
      </c>
      <c r="F309" s="1">
        <f ca="1">IFERROR(__xludf.DUMMYFUNCTION("""COMPUTED_VALUE"""),100.3)</f>
        <v>100.3</v>
      </c>
      <c r="G309" s="1">
        <f ca="1">IFERROR(__xludf.DUMMYFUNCTION("""COMPUTED_VALUE"""),261)</f>
        <v>261</v>
      </c>
      <c r="H309" s="1">
        <f ca="1">IFERROR(__xludf.DUMMYFUNCTION("""COMPUTED_VALUE"""),112.6)</f>
        <v>112.6</v>
      </c>
      <c r="I309" s="1">
        <f ca="1">IFERROR(__xludf.DUMMYFUNCTION("""COMPUTED_VALUE"""),310)</f>
        <v>310</v>
      </c>
      <c r="J309" s="1">
        <f ca="1">IFERROR(__xludf.DUMMYFUNCTION("""COMPUTED_VALUE"""),66.8)</f>
        <v>66.8</v>
      </c>
      <c r="K309" s="1">
        <f ca="1">IFERROR(__xludf.DUMMYFUNCTION("""COMPUTED_VALUE"""),71)</f>
        <v>71</v>
      </c>
      <c r="L309" s="1" t="str">
        <f ca="1">IFERROR(__xludf.DUMMYFUNCTION("""COMPUTED_VALUE"""),"+.007")</f>
        <v>+.007</v>
      </c>
      <c r="M309" s="1">
        <f ca="1">IFERROR(__xludf.DUMMYFUNCTION("""COMPUTED_VALUE"""),164)</f>
        <v>164</v>
      </c>
      <c r="N309" s="1">
        <f ca="1">IFERROR(__xludf.DUMMYFUNCTION("""COMPUTED_VALUE"""),-5.44)</f>
        <v>-5.44</v>
      </c>
      <c r="O309" s="1">
        <f ca="1">IFERROR(__xludf.DUMMYFUNCTION("""COMPUTED_VALUE"""),274)</f>
        <v>274</v>
      </c>
      <c r="P309" s="1">
        <f ca="1">IFERROR(__xludf.DUMMYFUNCTION("""COMPUTED_VALUE"""),101.4)</f>
        <v>101.4</v>
      </c>
      <c r="Q309" s="1">
        <f ca="1">IFERROR(__xludf.DUMMYFUNCTION("""COMPUTED_VALUE"""),316)</f>
        <v>316</v>
      </c>
      <c r="R309" s="1">
        <f ca="1">IFERROR(__xludf.DUMMYFUNCTION("""COMPUTED_VALUE"""),106.8)</f>
        <v>106.8</v>
      </c>
      <c r="S309" s="1">
        <f ca="1">IFERROR(__xludf.DUMMYFUNCTION("""COMPUTED_VALUE"""),234)</f>
        <v>234</v>
      </c>
      <c r="T309" s="1" t="str">
        <f ca="1">IFERROR(__xludf.DUMMYFUNCTION("""COMPUTED_VALUE"""),"+6.86")</f>
        <v>+6.86</v>
      </c>
      <c r="U309" s="1">
        <f ca="1">IFERROR(__xludf.DUMMYFUNCTION("""COMPUTED_VALUE"""),29)</f>
        <v>29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IFERROR(__xludf.DUMMYFUNCTION("""COMPUTED_VALUE"""),"Jackson St.")</f>
        <v>Jackson St.</v>
      </c>
      <c r="C310" s="1" t="str">
        <f ca="1">IFERROR(__xludf.DUMMYFUNCTION("""COMPUTED_VALUE"""),"SWAC")</f>
        <v>SWAC</v>
      </c>
      <c r="D310" s="2">
        <f ca="1">IFERROR(__xludf.DUMMYFUNCTION("""COMPUTED_VALUE"""),44885)</f>
        <v>44885</v>
      </c>
      <c r="E310" s="1">
        <f ca="1">IFERROR(__xludf.DUMMYFUNCTION("""COMPUTED_VALUE"""),-12.63)</f>
        <v>-12.63</v>
      </c>
      <c r="F310" s="1">
        <f ca="1">IFERROR(__xludf.DUMMYFUNCTION("""COMPUTED_VALUE"""),93.7)</f>
        <v>93.7</v>
      </c>
      <c r="G310" s="1">
        <f ca="1">IFERROR(__xludf.DUMMYFUNCTION("""COMPUTED_VALUE"""),334)</f>
        <v>334</v>
      </c>
      <c r="H310" s="1">
        <f ca="1">IFERROR(__xludf.DUMMYFUNCTION("""COMPUTED_VALUE"""),106.3)</f>
        <v>106.3</v>
      </c>
      <c r="I310" s="1">
        <f ca="1">IFERROR(__xludf.DUMMYFUNCTION("""COMPUTED_VALUE"""),195)</f>
        <v>195</v>
      </c>
      <c r="J310" s="1">
        <f ca="1">IFERROR(__xludf.DUMMYFUNCTION("""COMPUTED_VALUE"""),65)</f>
        <v>65</v>
      </c>
      <c r="K310" s="1">
        <f ca="1">IFERROR(__xludf.DUMMYFUNCTION("""COMPUTED_VALUE"""),156)</f>
        <v>156</v>
      </c>
      <c r="L310" s="1">
        <f ca="1">IFERROR(__xludf.DUMMYFUNCTION("""COMPUTED_VALUE"""),-0.043)</f>
        <v>-4.2999999999999997E-2</v>
      </c>
      <c r="M310" s="1">
        <f ca="1">IFERROR(__xludf.DUMMYFUNCTION("""COMPUTED_VALUE"""),271)</f>
        <v>271</v>
      </c>
      <c r="N310" s="1">
        <f ca="1">IFERROR(__xludf.DUMMYFUNCTION("""COMPUTED_VALUE"""),-9.04)</f>
        <v>-9.0399999999999991</v>
      </c>
      <c r="O310" s="1">
        <f ca="1">IFERROR(__xludf.DUMMYFUNCTION("""COMPUTED_VALUE"""),341)</f>
        <v>341</v>
      </c>
      <c r="P310" s="1">
        <f ca="1">IFERROR(__xludf.DUMMYFUNCTION("""COMPUTED_VALUE"""),99.7)</f>
        <v>99.7</v>
      </c>
      <c r="Q310" s="1">
        <f ca="1">IFERROR(__xludf.DUMMYFUNCTION("""COMPUTED_VALUE"""),340)</f>
        <v>340</v>
      </c>
      <c r="R310" s="1">
        <f ca="1">IFERROR(__xludf.DUMMYFUNCTION("""COMPUTED_VALUE"""),108.7)</f>
        <v>108.7</v>
      </c>
      <c r="S310" s="1">
        <f ca="1">IFERROR(__xludf.DUMMYFUNCTION("""COMPUTED_VALUE"""),294)</f>
        <v>294</v>
      </c>
      <c r="T310" s="1" t="str">
        <f ca="1">IFERROR(__xludf.DUMMYFUNCTION("""COMPUTED_VALUE"""),"+3.89")</f>
        <v>+3.89</v>
      </c>
      <c r="U310" s="1">
        <f ca="1">IFERROR(__xludf.DUMMYFUNCTION("""COMPUTED_VALUE"""),61)</f>
        <v>61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IFERROR(__xludf.DUMMYFUNCTION("""COMPUTED_VALUE"""),"Texas Pan American")</f>
        <v>Texas Pan American</v>
      </c>
      <c r="C311" s="1" t="str">
        <f ca="1">IFERROR(__xludf.DUMMYFUNCTION("""COMPUTED_VALUE"""),"WAC")</f>
        <v>WAC</v>
      </c>
      <c r="D311" s="2">
        <f ca="1">IFERROR(__xludf.DUMMYFUNCTION("""COMPUTED_VALUE"""),44827)</f>
        <v>44827</v>
      </c>
      <c r="E311" s="1">
        <f ca="1">IFERROR(__xludf.DUMMYFUNCTION("""COMPUTED_VALUE"""),-12.8)</f>
        <v>-12.8</v>
      </c>
      <c r="F311" s="1">
        <f ca="1">IFERROR(__xludf.DUMMYFUNCTION("""COMPUTED_VALUE"""),93.7)</f>
        <v>93.7</v>
      </c>
      <c r="G311" s="1">
        <f ca="1">IFERROR(__xludf.DUMMYFUNCTION("""COMPUTED_VALUE"""),333)</f>
        <v>333</v>
      </c>
      <c r="H311" s="1">
        <f ca="1">IFERROR(__xludf.DUMMYFUNCTION("""COMPUTED_VALUE"""),106.5)</f>
        <v>106.5</v>
      </c>
      <c r="I311" s="1">
        <f ca="1">IFERROR(__xludf.DUMMYFUNCTION("""COMPUTED_VALUE"""),200)</f>
        <v>200</v>
      </c>
      <c r="J311" s="1">
        <f ca="1">IFERROR(__xludf.DUMMYFUNCTION("""COMPUTED_VALUE"""),64.1)</f>
        <v>64.099999999999994</v>
      </c>
      <c r="K311" s="1">
        <f ca="1">IFERROR(__xludf.DUMMYFUNCTION("""COMPUTED_VALUE"""),215)</f>
        <v>215</v>
      </c>
      <c r="L311" s="1">
        <f ca="1">IFERROR(__xludf.DUMMYFUNCTION("""COMPUTED_VALUE"""),-0.032)</f>
        <v>-3.2000000000000001E-2</v>
      </c>
      <c r="M311" s="1">
        <f ca="1">IFERROR(__xludf.DUMMYFUNCTION("""COMPUTED_VALUE"""),249)</f>
        <v>249</v>
      </c>
      <c r="N311" s="1">
        <f ca="1">IFERROR(__xludf.DUMMYFUNCTION("""COMPUTED_VALUE"""),-4.72)</f>
        <v>-4.72</v>
      </c>
      <c r="O311" s="1">
        <f ca="1">IFERROR(__xludf.DUMMYFUNCTION("""COMPUTED_VALUE"""),256)</f>
        <v>256</v>
      </c>
      <c r="P311" s="1">
        <f ca="1">IFERROR(__xludf.DUMMYFUNCTION("""COMPUTED_VALUE"""),103.1)</f>
        <v>103.1</v>
      </c>
      <c r="Q311" s="1">
        <f ca="1">IFERROR(__xludf.DUMMYFUNCTION("""COMPUTED_VALUE"""),254)</f>
        <v>254</v>
      </c>
      <c r="R311" s="1">
        <f ca="1">IFERROR(__xludf.DUMMYFUNCTION("""COMPUTED_VALUE"""),107.8)</f>
        <v>107.8</v>
      </c>
      <c r="S311" s="1">
        <f ca="1">IFERROR(__xludf.DUMMYFUNCTION("""COMPUTED_VALUE"""),270)</f>
        <v>270</v>
      </c>
      <c r="T311" s="1">
        <f ca="1">IFERROR(__xludf.DUMMYFUNCTION("""COMPUTED_VALUE"""),-3.62)</f>
        <v>-3.62</v>
      </c>
      <c r="U311" s="1">
        <f ca="1">IFERROR(__xludf.DUMMYFUNCTION("""COMPUTED_VALUE"""),274)</f>
        <v>274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IFERROR(__xludf.DUMMYFUNCTION("""COMPUTED_VALUE"""),"Ball St.")</f>
        <v>Ball St.</v>
      </c>
      <c r="C312" s="1" t="str">
        <f ca="1">IFERROR(__xludf.DUMMYFUNCTION("""COMPUTED_VALUE"""),"MAC")</f>
        <v>MAC</v>
      </c>
      <c r="D312" s="2">
        <f ca="1">IFERROR(__xludf.DUMMYFUNCTION("""COMPUTED_VALUE"""),44706)</f>
        <v>44706</v>
      </c>
      <c r="E312" s="1">
        <f ca="1">IFERROR(__xludf.DUMMYFUNCTION("""COMPUTED_VALUE"""),-13.09)</f>
        <v>-13.09</v>
      </c>
      <c r="F312" s="1">
        <f ca="1">IFERROR(__xludf.DUMMYFUNCTION("""COMPUTED_VALUE"""),96.5)</f>
        <v>96.5</v>
      </c>
      <c r="G312" s="1">
        <f ca="1">IFERROR(__xludf.DUMMYFUNCTION("""COMPUTED_VALUE"""),305)</f>
        <v>305</v>
      </c>
      <c r="H312" s="1">
        <f ca="1">IFERROR(__xludf.DUMMYFUNCTION("""COMPUTED_VALUE"""),109.6)</f>
        <v>109.6</v>
      </c>
      <c r="I312" s="1">
        <f ca="1">IFERROR(__xludf.DUMMYFUNCTION("""COMPUTED_VALUE"""),259)</f>
        <v>259</v>
      </c>
      <c r="J312" s="1">
        <f ca="1">IFERROR(__xludf.DUMMYFUNCTION("""COMPUTED_VALUE"""),65.9)</f>
        <v>65.900000000000006</v>
      </c>
      <c r="K312" s="1">
        <f ca="1">IFERROR(__xludf.DUMMYFUNCTION("""COMPUTED_VALUE"""),112)</f>
        <v>112</v>
      </c>
      <c r="L312" s="1">
        <f ca="1">IFERROR(__xludf.DUMMYFUNCTION("""COMPUTED_VALUE"""),-0.022)</f>
        <v>-2.1999999999999999E-2</v>
      </c>
      <c r="M312" s="1">
        <f ca="1">IFERROR(__xludf.DUMMYFUNCTION("""COMPUTED_VALUE"""),230)</f>
        <v>230</v>
      </c>
      <c r="N312" s="1" t="str">
        <f ca="1">IFERROR(__xludf.DUMMYFUNCTION("""COMPUTED_VALUE"""),"+1.59")</f>
        <v>+1.59</v>
      </c>
      <c r="O312" s="1">
        <f ca="1">IFERROR(__xludf.DUMMYFUNCTION("""COMPUTED_VALUE"""),119)</f>
        <v>119</v>
      </c>
      <c r="P312" s="1">
        <f ca="1">IFERROR(__xludf.DUMMYFUNCTION("""COMPUTED_VALUE"""),105.1)</f>
        <v>105.1</v>
      </c>
      <c r="Q312" s="1">
        <f ca="1">IFERROR(__xludf.DUMMYFUNCTION("""COMPUTED_VALUE"""),148)</f>
        <v>148</v>
      </c>
      <c r="R312" s="1">
        <f ca="1">IFERROR(__xludf.DUMMYFUNCTION("""COMPUTED_VALUE"""),103.5)</f>
        <v>103.5</v>
      </c>
      <c r="S312" s="1">
        <f ca="1">IFERROR(__xludf.DUMMYFUNCTION("""COMPUTED_VALUE"""),102)</f>
        <v>102</v>
      </c>
      <c r="T312" s="1" t="str">
        <f ca="1">IFERROR(__xludf.DUMMYFUNCTION("""COMPUTED_VALUE"""),"+4.95")</f>
        <v>+4.95</v>
      </c>
      <c r="U312" s="1">
        <f ca="1">IFERROR(__xludf.DUMMYFUNCTION("""COMPUTED_VALUE"""),50)</f>
        <v>50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IFERROR(__xludf.DUMMYFUNCTION("""COMPUTED_VALUE"""),"Florida A&amp;M")</f>
        <v>Florida A&amp;M</v>
      </c>
      <c r="C313" s="1" t="str">
        <f ca="1">IFERROR(__xludf.DUMMYFUNCTION("""COMPUTED_VALUE"""),"MEAC")</f>
        <v>MEAC</v>
      </c>
      <c r="D313" s="1" t="str">
        <f ca="1">IFERROR(__xludf.DUMMYFUNCTION("""COMPUTED_VALUE"""),"14-18")</f>
        <v>14-18</v>
      </c>
      <c r="E313" s="1">
        <f ca="1">IFERROR(__xludf.DUMMYFUNCTION("""COMPUTED_VALUE"""),-13.19)</f>
        <v>-13.19</v>
      </c>
      <c r="F313" s="1">
        <f ca="1">IFERROR(__xludf.DUMMYFUNCTION("""COMPUTED_VALUE"""),94.9)</f>
        <v>94.9</v>
      </c>
      <c r="G313" s="1">
        <f ca="1">IFERROR(__xludf.DUMMYFUNCTION("""COMPUTED_VALUE"""),322)</f>
        <v>322</v>
      </c>
      <c r="H313" s="1">
        <f ca="1">IFERROR(__xludf.DUMMYFUNCTION("""COMPUTED_VALUE"""),108.1)</f>
        <v>108.1</v>
      </c>
      <c r="I313" s="1">
        <f ca="1">IFERROR(__xludf.DUMMYFUNCTION("""COMPUTED_VALUE"""),231)</f>
        <v>231</v>
      </c>
      <c r="J313" s="1">
        <f ca="1">IFERROR(__xludf.DUMMYFUNCTION("""COMPUTED_VALUE"""),70)</f>
        <v>70</v>
      </c>
      <c r="K313" s="1">
        <f ca="1">IFERROR(__xludf.DUMMYFUNCTION("""COMPUTED_VALUE"""),14)</f>
        <v>14</v>
      </c>
      <c r="L313" s="1" t="str">
        <f ca="1">IFERROR(__xludf.DUMMYFUNCTION("""COMPUTED_VALUE"""),"+.050")</f>
        <v>+.050</v>
      </c>
      <c r="M313" s="1">
        <f ca="1">IFERROR(__xludf.DUMMYFUNCTION("""COMPUTED_VALUE"""),71)</f>
        <v>71</v>
      </c>
      <c r="N313" s="1">
        <f ca="1">IFERROR(__xludf.DUMMYFUNCTION("""COMPUTED_VALUE"""),-8.01)</f>
        <v>-8.01</v>
      </c>
      <c r="O313" s="1">
        <f ca="1">IFERROR(__xludf.DUMMYFUNCTION("""COMPUTED_VALUE"""),328)</f>
        <v>328</v>
      </c>
      <c r="P313" s="1">
        <f ca="1">IFERROR(__xludf.DUMMYFUNCTION("""COMPUTED_VALUE"""),99.8)</f>
        <v>99.8</v>
      </c>
      <c r="Q313" s="1">
        <f ca="1">IFERROR(__xludf.DUMMYFUNCTION("""COMPUTED_VALUE"""),338)</f>
        <v>338</v>
      </c>
      <c r="R313" s="1">
        <f ca="1">IFERROR(__xludf.DUMMYFUNCTION("""COMPUTED_VALUE"""),107.9)</f>
        <v>107.9</v>
      </c>
      <c r="S313" s="1">
        <f ca="1">IFERROR(__xludf.DUMMYFUNCTION("""COMPUTED_VALUE"""),271)</f>
        <v>271</v>
      </c>
      <c r="T313" s="1">
        <f ca="1">IFERROR(__xludf.DUMMYFUNCTION("""COMPUTED_VALUE"""),-0.98)</f>
        <v>-0.98</v>
      </c>
      <c r="U313" s="1">
        <f ca="1">IFERROR(__xludf.DUMMYFUNCTION("""COMPUTED_VALUE"""),188)</f>
        <v>188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IFERROR(__xludf.DUMMYFUNCTION("""COMPUTED_VALUE"""),"Alabama St.")</f>
        <v>Alabama St.</v>
      </c>
      <c r="C314" s="1" t="str">
        <f ca="1">IFERROR(__xludf.DUMMYFUNCTION("""COMPUTED_VALUE"""),"SWAC")</f>
        <v>SWAC</v>
      </c>
      <c r="D314" s="1" t="str">
        <f ca="1">IFERROR(__xludf.DUMMYFUNCTION("""COMPUTED_VALUE"""),"19-13")</f>
        <v>19-13</v>
      </c>
      <c r="E314" s="1">
        <f ca="1">IFERROR(__xludf.DUMMYFUNCTION("""COMPUTED_VALUE"""),-13.22)</f>
        <v>-13.22</v>
      </c>
      <c r="F314" s="1">
        <f ca="1">IFERROR(__xludf.DUMMYFUNCTION("""COMPUTED_VALUE"""),97.3)</f>
        <v>97.3</v>
      </c>
      <c r="G314" s="1">
        <f ca="1">IFERROR(__xludf.DUMMYFUNCTION("""COMPUTED_VALUE"""),300)</f>
        <v>300</v>
      </c>
      <c r="H314" s="1">
        <f ca="1">IFERROR(__xludf.DUMMYFUNCTION("""COMPUTED_VALUE"""),110.5)</f>
        <v>110.5</v>
      </c>
      <c r="I314" s="1">
        <f ca="1">IFERROR(__xludf.DUMMYFUNCTION("""COMPUTED_VALUE"""),271)</f>
        <v>271</v>
      </c>
      <c r="J314" s="1">
        <f ca="1">IFERROR(__xludf.DUMMYFUNCTION("""COMPUTED_VALUE"""),65.9)</f>
        <v>65.900000000000006</v>
      </c>
      <c r="K314" s="1">
        <f ca="1">IFERROR(__xludf.DUMMYFUNCTION("""COMPUTED_VALUE"""),109)</f>
        <v>109</v>
      </c>
      <c r="L314" s="1" t="str">
        <f ca="1">IFERROR(__xludf.DUMMYFUNCTION("""COMPUTED_VALUE"""),"+.096")</f>
        <v>+.096</v>
      </c>
      <c r="M314" s="1">
        <f ca="1">IFERROR(__xludf.DUMMYFUNCTION("""COMPUTED_VALUE"""),11)</f>
        <v>11</v>
      </c>
      <c r="N314" s="1">
        <f ca="1">IFERROR(__xludf.DUMMYFUNCTION("""COMPUTED_VALUE"""),-12.01)</f>
        <v>-12.01</v>
      </c>
      <c r="O314" s="1">
        <f ca="1">IFERROR(__xludf.DUMMYFUNCTION("""COMPUTED_VALUE"""),351)</f>
        <v>351</v>
      </c>
      <c r="P314" s="1">
        <f ca="1">IFERROR(__xludf.DUMMYFUNCTION("""COMPUTED_VALUE"""),97.5)</f>
        <v>97.5</v>
      </c>
      <c r="Q314" s="1">
        <f ca="1">IFERROR(__xludf.DUMMYFUNCTION("""COMPUTED_VALUE"""),351)</f>
        <v>351</v>
      </c>
      <c r="R314" s="1">
        <f ca="1">IFERROR(__xludf.DUMMYFUNCTION("""COMPUTED_VALUE"""),109.5)</f>
        <v>109.5</v>
      </c>
      <c r="S314" s="1">
        <f ca="1">IFERROR(__xludf.DUMMYFUNCTION("""COMPUTED_VALUE"""),323)</f>
        <v>323</v>
      </c>
      <c r="T314" s="1">
        <f ca="1">IFERROR(__xludf.DUMMYFUNCTION("""COMPUTED_VALUE"""),-4.44)</f>
        <v>-4.4400000000000004</v>
      </c>
      <c r="U314" s="1">
        <f ca="1">IFERROR(__xludf.DUMMYFUNCTION("""COMPUTED_VALUE"""),293)</f>
        <v>293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IFERROR(__xludf.DUMMYFUNCTION("""COMPUTED_VALUE"""),"Rice")</f>
        <v>Rice</v>
      </c>
      <c r="C315" s="1" t="str">
        <f ca="1">IFERROR(__xludf.DUMMYFUNCTION("""COMPUTED_VALUE"""),"CUSA")</f>
        <v>CUSA</v>
      </c>
      <c r="D315" s="2">
        <f ca="1">IFERROR(__xludf.DUMMYFUNCTION("""COMPUTED_VALUE"""),44765)</f>
        <v>44765</v>
      </c>
      <c r="E315" s="1">
        <f ca="1">IFERROR(__xludf.DUMMYFUNCTION("""COMPUTED_VALUE"""),-13.23)</f>
        <v>-13.23</v>
      </c>
      <c r="F315" s="1">
        <f ca="1">IFERROR(__xludf.DUMMYFUNCTION("""COMPUTED_VALUE"""),94.7)</f>
        <v>94.7</v>
      </c>
      <c r="G315" s="1">
        <f ca="1">IFERROR(__xludf.DUMMYFUNCTION("""COMPUTED_VALUE"""),324)</f>
        <v>324</v>
      </c>
      <c r="H315" s="1">
        <f ca="1">IFERROR(__xludf.DUMMYFUNCTION("""COMPUTED_VALUE"""),107.9)</f>
        <v>107.9</v>
      </c>
      <c r="I315" s="1">
        <f ca="1">IFERROR(__xludf.DUMMYFUNCTION("""COMPUTED_VALUE"""),227)</f>
        <v>227</v>
      </c>
      <c r="J315" s="1">
        <f ca="1">IFERROR(__xludf.DUMMYFUNCTION("""COMPUTED_VALUE"""),62.4)</f>
        <v>62.4</v>
      </c>
      <c r="K315" s="1">
        <f ca="1">IFERROR(__xludf.DUMMYFUNCTION("""COMPUTED_VALUE"""),289)</f>
        <v>289</v>
      </c>
      <c r="L315" s="1">
        <f ca="1">IFERROR(__xludf.DUMMYFUNCTION("""COMPUTED_VALUE"""),-0.007)</f>
        <v>-7.0000000000000001E-3</v>
      </c>
      <c r="M315" s="1">
        <f ca="1">IFERROR(__xludf.DUMMYFUNCTION("""COMPUTED_VALUE"""),200)</f>
        <v>200</v>
      </c>
      <c r="N315" s="1">
        <f ca="1">IFERROR(__xludf.DUMMYFUNCTION("""COMPUTED_VALUE"""),-0.68)</f>
        <v>-0.68</v>
      </c>
      <c r="O315" s="1">
        <f ca="1">IFERROR(__xludf.DUMMYFUNCTION("""COMPUTED_VALUE"""),164)</f>
        <v>164</v>
      </c>
      <c r="P315" s="1">
        <f ca="1">IFERROR(__xludf.DUMMYFUNCTION("""COMPUTED_VALUE"""),103.9)</f>
        <v>103.9</v>
      </c>
      <c r="Q315" s="1">
        <f ca="1">IFERROR(__xludf.DUMMYFUNCTION("""COMPUTED_VALUE"""),201)</f>
        <v>201</v>
      </c>
      <c r="R315" s="1">
        <f ca="1">IFERROR(__xludf.DUMMYFUNCTION("""COMPUTED_VALUE"""),104.5)</f>
        <v>104.5</v>
      </c>
      <c r="S315" s="1">
        <f ca="1">IFERROR(__xludf.DUMMYFUNCTION("""COMPUTED_VALUE"""),133)</f>
        <v>133</v>
      </c>
      <c r="T315" s="1">
        <f ca="1">IFERROR(__xludf.DUMMYFUNCTION("""COMPUTED_VALUE"""),-0.46)</f>
        <v>-0.46</v>
      </c>
      <c r="U315" s="1">
        <f ca="1">IFERROR(__xludf.DUMMYFUNCTION("""COMPUTED_VALUE"""),174)</f>
        <v>174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IFERROR(__xludf.DUMMYFUNCTION("""COMPUTED_VALUE"""),"Eastern Illinois")</f>
        <v>Eastern Illinois</v>
      </c>
      <c r="C316" s="1" t="str">
        <f ca="1">IFERROR(__xludf.DUMMYFUNCTION("""COMPUTED_VALUE"""),"OVC")</f>
        <v>OVC</v>
      </c>
      <c r="D316" s="2">
        <f ca="1">IFERROR(__xludf.DUMMYFUNCTION("""COMPUTED_VALUE"""),44884)</f>
        <v>44884</v>
      </c>
      <c r="E316" s="1">
        <f ca="1">IFERROR(__xludf.DUMMYFUNCTION("""COMPUTED_VALUE"""),-13.28)</f>
        <v>-13.28</v>
      </c>
      <c r="F316" s="1">
        <f ca="1">IFERROR(__xludf.DUMMYFUNCTION("""COMPUTED_VALUE"""),98.7)</f>
        <v>98.7</v>
      </c>
      <c r="G316" s="1">
        <f ca="1">IFERROR(__xludf.DUMMYFUNCTION("""COMPUTED_VALUE"""),279)</f>
        <v>279</v>
      </c>
      <c r="H316" s="1">
        <f ca="1">IFERROR(__xludf.DUMMYFUNCTION("""COMPUTED_VALUE"""),112)</f>
        <v>112</v>
      </c>
      <c r="I316" s="1">
        <f ca="1">IFERROR(__xludf.DUMMYFUNCTION("""COMPUTED_VALUE"""),298)</f>
        <v>298</v>
      </c>
      <c r="J316" s="1">
        <f ca="1">IFERROR(__xludf.DUMMYFUNCTION("""COMPUTED_VALUE"""),64.2)</f>
        <v>64.2</v>
      </c>
      <c r="K316" s="1">
        <f ca="1">IFERROR(__xludf.DUMMYFUNCTION("""COMPUTED_VALUE"""),204)</f>
        <v>204</v>
      </c>
      <c r="L316" s="1" t="str">
        <f ca="1">IFERROR(__xludf.DUMMYFUNCTION("""COMPUTED_VALUE"""),"+.030")</f>
        <v>+.030</v>
      </c>
      <c r="M316" s="1">
        <f ca="1">IFERROR(__xludf.DUMMYFUNCTION("""COMPUTED_VALUE"""),111)</f>
        <v>111</v>
      </c>
      <c r="N316" s="1">
        <f ca="1">IFERROR(__xludf.DUMMYFUNCTION("""COMPUTED_VALUE"""),-4.08)</f>
        <v>-4.08</v>
      </c>
      <c r="O316" s="1">
        <f ca="1">IFERROR(__xludf.DUMMYFUNCTION("""COMPUTED_VALUE"""),243)</f>
        <v>243</v>
      </c>
      <c r="P316" s="1">
        <f ca="1">IFERROR(__xludf.DUMMYFUNCTION("""COMPUTED_VALUE"""),104.1)</f>
        <v>104.1</v>
      </c>
      <c r="Q316" s="1">
        <f ca="1">IFERROR(__xludf.DUMMYFUNCTION("""COMPUTED_VALUE"""),184)</f>
        <v>184</v>
      </c>
      <c r="R316" s="1">
        <f ca="1">IFERROR(__xludf.DUMMYFUNCTION("""COMPUTED_VALUE"""),108.2)</f>
        <v>108.2</v>
      </c>
      <c r="S316" s="1">
        <f ca="1">IFERROR(__xludf.DUMMYFUNCTION("""COMPUTED_VALUE"""),284)</f>
        <v>284</v>
      </c>
      <c r="T316" s="1" t="str">
        <f ca="1">IFERROR(__xludf.DUMMYFUNCTION("""COMPUTED_VALUE"""),"+1.26")</f>
        <v>+1.26</v>
      </c>
      <c r="U316" s="1">
        <f ca="1">IFERROR(__xludf.DUMMYFUNCTION("""COMPUTED_VALUE"""),123)</f>
        <v>123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IFERROR(__xludf.DUMMYFUNCTION("""COMPUTED_VALUE"""),"Sacred Heart")</f>
        <v>Sacred Heart</v>
      </c>
      <c r="C317" s="1" t="str">
        <f ca="1">IFERROR(__xludf.DUMMYFUNCTION("""COMPUTED_VALUE"""),"NEC")</f>
        <v>NEC</v>
      </c>
      <c r="D317" s="2">
        <f ca="1">IFERROR(__xludf.DUMMYFUNCTION("""COMPUTED_VALUE"""),44707)</f>
        <v>44707</v>
      </c>
      <c r="E317" s="1">
        <f ca="1">IFERROR(__xludf.DUMMYFUNCTION("""COMPUTED_VALUE"""),-13.4)</f>
        <v>-13.4</v>
      </c>
      <c r="F317" s="1">
        <f ca="1">IFERROR(__xludf.DUMMYFUNCTION("""COMPUTED_VALUE"""),99.3)</f>
        <v>99.3</v>
      </c>
      <c r="G317" s="1">
        <f ca="1">IFERROR(__xludf.DUMMYFUNCTION("""COMPUTED_VALUE"""),273)</f>
        <v>273</v>
      </c>
      <c r="H317" s="1">
        <f ca="1">IFERROR(__xludf.DUMMYFUNCTION("""COMPUTED_VALUE"""),112.7)</f>
        <v>112.7</v>
      </c>
      <c r="I317" s="1">
        <f ca="1">IFERROR(__xludf.DUMMYFUNCTION("""COMPUTED_VALUE"""),313)</f>
        <v>313</v>
      </c>
      <c r="J317" s="1">
        <f ca="1">IFERROR(__xludf.DUMMYFUNCTION("""COMPUTED_VALUE"""),65.9)</f>
        <v>65.900000000000006</v>
      </c>
      <c r="K317" s="1">
        <f ca="1">IFERROR(__xludf.DUMMYFUNCTION("""COMPUTED_VALUE"""),111)</f>
        <v>111</v>
      </c>
      <c r="L317" s="1">
        <f ca="1">IFERROR(__xludf.DUMMYFUNCTION("""COMPUTED_VALUE"""),-0.093)</f>
        <v>-9.2999999999999999E-2</v>
      </c>
      <c r="M317" s="1">
        <f ca="1">IFERROR(__xludf.DUMMYFUNCTION("""COMPUTED_VALUE"""),340)</f>
        <v>340</v>
      </c>
      <c r="N317" s="1">
        <f ca="1">IFERROR(__xludf.DUMMYFUNCTION("""COMPUTED_VALUE"""),-4.78)</f>
        <v>-4.78</v>
      </c>
      <c r="O317" s="1">
        <f ca="1">IFERROR(__xludf.DUMMYFUNCTION("""COMPUTED_VALUE"""),261)</f>
        <v>261</v>
      </c>
      <c r="P317" s="1">
        <f ca="1">IFERROR(__xludf.DUMMYFUNCTION("""COMPUTED_VALUE"""),102.8)</f>
        <v>102.8</v>
      </c>
      <c r="Q317" s="1">
        <f ca="1">IFERROR(__xludf.DUMMYFUNCTION("""COMPUTED_VALUE"""),267)</f>
        <v>267</v>
      </c>
      <c r="R317" s="1">
        <f ca="1">IFERROR(__xludf.DUMMYFUNCTION("""COMPUTED_VALUE"""),107.6)</f>
        <v>107.6</v>
      </c>
      <c r="S317" s="1">
        <f ca="1">IFERROR(__xludf.DUMMYFUNCTION("""COMPUTED_VALUE"""),266)</f>
        <v>266</v>
      </c>
      <c r="T317" s="1">
        <f ca="1">IFERROR(__xludf.DUMMYFUNCTION("""COMPUTED_VALUE"""),-2.22)</f>
        <v>-2.2200000000000002</v>
      </c>
      <c r="U317" s="1">
        <f ca="1">IFERROR(__xludf.DUMMYFUNCTION("""COMPUTED_VALUE"""),225)</f>
        <v>225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IFERROR(__xludf.DUMMYFUNCTION("""COMPUTED_VALUE"""),"Montana St.")</f>
        <v>Montana St.</v>
      </c>
      <c r="C318" s="1" t="str">
        <f ca="1">IFERROR(__xludf.DUMMYFUNCTION("""COMPUTED_VALUE"""),"BSky")</f>
        <v>BSky</v>
      </c>
      <c r="D318" s="1" t="str">
        <f ca="1">IFERROR(__xludf.DUMMYFUNCTION("""COMPUTED_VALUE"""),"14-17")</f>
        <v>14-17</v>
      </c>
      <c r="E318" s="1">
        <f ca="1">IFERROR(__xludf.DUMMYFUNCTION("""COMPUTED_VALUE"""),-13.51)</f>
        <v>-13.51</v>
      </c>
      <c r="F318" s="1">
        <f ca="1">IFERROR(__xludf.DUMMYFUNCTION("""COMPUTED_VALUE"""),95)</f>
        <v>95</v>
      </c>
      <c r="G318" s="1">
        <f ca="1">IFERROR(__xludf.DUMMYFUNCTION("""COMPUTED_VALUE"""),320)</f>
        <v>320</v>
      </c>
      <c r="H318" s="1">
        <f ca="1">IFERROR(__xludf.DUMMYFUNCTION("""COMPUTED_VALUE"""),108.5)</f>
        <v>108.5</v>
      </c>
      <c r="I318" s="1">
        <f ca="1">IFERROR(__xludf.DUMMYFUNCTION("""COMPUTED_VALUE"""),238)</f>
        <v>238</v>
      </c>
      <c r="J318" s="1">
        <f ca="1">IFERROR(__xludf.DUMMYFUNCTION("""COMPUTED_VALUE"""),63.9)</f>
        <v>63.9</v>
      </c>
      <c r="K318" s="1">
        <f ca="1">IFERROR(__xludf.DUMMYFUNCTION("""COMPUTED_VALUE"""),221)</f>
        <v>221</v>
      </c>
      <c r="L318" s="1" t="str">
        <f ca="1">IFERROR(__xludf.DUMMYFUNCTION("""COMPUTED_VALUE"""),"+.056")</f>
        <v>+.056</v>
      </c>
      <c r="M318" s="1">
        <f ca="1">IFERROR(__xludf.DUMMYFUNCTION("""COMPUTED_VALUE"""),60)</f>
        <v>60</v>
      </c>
      <c r="N318" s="1">
        <f ca="1">IFERROR(__xludf.DUMMYFUNCTION("""COMPUTED_VALUE"""),-7.16)</f>
        <v>-7.16</v>
      </c>
      <c r="O318" s="1">
        <f ca="1">IFERROR(__xludf.DUMMYFUNCTION("""COMPUTED_VALUE"""),310)</f>
        <v>310</v>
      </c>
      <c r="P318" s="1">
        <f ca="1">IFERROR(__xludf.DUMMYFUNCTION("""COMPUTED_VALUE"""),103.3)</f>
        <v>103.3</v>
      </c>
      <c r="Q318" s="1">
        <f ca="1">IFERROR(__xludf.DUMMYFUNCTION("""COMPUTED_VALUE"""),233)</f>
        <v>233</v>
      </c>
      <c r="R318" s="1">
        <f ca="1">IFERROR(__xludf.DUMMYFUNCTION("""COMPUTED_VALUE"""),110.5)</f>
        <v>110.5</v>
      </c>
      <c r="S318" s="1">
        <f ca="1">IFERROR(__xludf.DUMMYFUNCTION("""COMPUTED_VALUE"""),345)</f>
        <v>345</v>
      </c>
      <c r="T318" s="1">
        <f ca="1">IFERROR(__xludf.DUMMYFUNCTION("""COMPUTED_VALUE"""),-2.84)</f>
        <v>-2.84</v>
      </c>
      <c r="U318" s="1">
        <f ca="1">IFERROR(__xludf.DUMMYFUNCTION("""COMPUTED_VALUE"""),243)</f>
        <v>243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IFERROR(__xludf.DUMMYFUNCTION("""COMPUTED_VALUE"""),"Jacksonville")</f>
        <v>Jacksonville</v>
      </c>
      <c r="C319" s="1" t="str">
        <f ca="1">IFERROR(__xludf.DUMMYFUNCTION("""COMPUTED_VALUE"""),"ASun")</f>
        <v>ASun</v>
      </c>
      <c r="D319" s="2">
        <f ca="1">IFERROR(__xludf.DUMMYFUNCTION("""COMPUTED_VALUE"""),44913)</f>
        <v>44913</v>
      </c>
      <c r="E319" s="1">
        <f ca="1">IFERROR(__xludf.DUMMYFUNCTION("""COMPUTED_VALUE"""),-13.55)</f>
        <v>-13.55</v>
      </c>
      <c r="F319" s="1">
        <f ca="1">IFERROR(__xludf.DUMMYFUNCTION("""COMPUTED_VALUE"""),103.2)</f>
        <v>103.2</v>
      </c>
      <c r="G319" s="1">
        <f ca="1">IFERROR(__xludf.DUMMYFUNCTION("""COMPUTED_VALUE"""),209)</f>
        <v>209</v>
      </c>
      <c r="H319" s="1">
        <f ca="1">IFERROR(__xludf.DUMMYFUNCTION("""COMPUTED_VALUE"""),116.8)</f>
        <v>116.8</v>
      </c>
      <c r="I319" s="1">
        <f ca="1">IFERROR(__xludf.DUMMYFUNCTION("""COMPUTED_VALUE"""),339)</f>
        <v>339</v>
      </c>
      <c r="J319" s="1">
        <f ca="1">IFERROR(__xludf.DUMMYFUNCTION("""COMPUTED_VALUE"""),67.8)</f>
        <v>67.8</v>
      </c>
      <c r="K319" s="1">
        <f ca="1">IFERROR(__xludf.DUMMYFUNCTION("""COMPUTED_VALUE"""),43)</f>
        <v>43</v>
      </c>
      <c r="L319" s="1" t="str">
        <f ca="1">IFERROR(__xludf.DUMMYFUNCTION("""COMPUTED_VALUE"""),"+.028")</f>
        <v>+.028</v>
      </c>
      <c r="M319" s="1">
        <f ca="1">IFERROR(__xludf.DUMMYFUNCTION("""COMPUTED_VALUE"""),117)</f>
        <v>117</v>
      </c>
      <c r="N319" s="1">
        <f ca="1">IFERROR(__xludf.DUMMYFUNCTION("""COMPUTED_VALUE"""),-5.75)</f>
        <v>-5.75</v>
      </c>
      <c r="O319" s="1">
        <f ca="1">IFERROR(__xludf.DUMMYFUNCTION("""COMPUTED_VALUE"""),281)</f>
        <v>281</v>
      </c>
      <c r="P319" s="1">
        <f ca="1">IFERROR(__xludf.DUMMYFUNCTION("""COMPUTED_VALUE"""),102.2)</f>
        <v>102.2</v>
      </c>
      <c r="Q319" s="1">
        <f ca="1">IFERROR(__xludf.DUMMYFUNCTION("""COMPUTED_VALUE"""),290)</f>
        <v>290</v>
      </c>
      <c r="R319" s="1">
        <f ca="1">IFERROR(__xludf.DUMMYFUNCTION("""COMPUTED_VALUE"""),108)</f>
        <v>108</v>
      </c>
      <c r="S319" s="1">
        <f ca="1">IFERROR(__xludf.DUMMYFUNCTION("""COMPUTED_VALUE"""),276)</f>
        <v>276</v>
      </c>
      <c r="T319" s="1">
        <f ca="1">IFERROR(__xludf.DUMMYFUNCTION("""COMPUTED_VALUE"""),-1.35)</f>
        <v>-1.35</v>
      </c>
      <c r="U319" s="1">
        <f ca="1">IFERROR(__xludf.DUMMYFUNCTION("""COMPUTED_VALUE"""),202)</f>
        <v>202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IFERROR(__xludf.DUMMYFUNCTION("""COMPUTED_VALUE"""),"Nicholls St.")</f>
        <v>Nicholls St.</v>
      </c>
      <c r="C320" s="1" t="str">
        <f ca="1">IFERROR(__xludf.DUMMYFUNCTION("""COMPUTED_VALUE"""),"Slnd")</f>
        <v>Slnd</v>
      </c>
      <c r="D320" s="1" t="str">
        <f ca="1">IFERROR(__xludf.DUMMYFUNCTION("""COMPUTED_VALUE"""),"14-15")</f>
        <v>14-15</v>
      </c>
      <c r="E320" s="1">
        <f ca="1">IFERROR(__xludf.DUMMYFUNCTION("""COMPUTED_VALUE"""),-13.64)</f>
        <v>-13.64</v>
      </c>
      <c r="F320" s="1">
        <f ca="1">IFERROR(__xludf.DUMMYFUNCTION("""COMPUTED_VALUE"""),98)</f>
        <v>98</v>
      </c>
      <c r="G320" s="1">
        <f ca="1">IFERROR(__xludf.DUMMYFUNCTION("""COMPUTED_VALUE"""),295)</f>
        <v>295</v>
      </c>
      <c r="H320" s="1">
        <f ca="1">IFERROR(__xludf.DUMMYFUNCTION("""COMPUTED_VALUE"""),111.6)</f>
        <v>111.6</v>
      </c>
      <c r="I320" s="1">
        <f ca="1">IFERROR(__xludf.DUMMYFUNCTION("""COMPUTED_VALUE"""),290)</f>
        <v>290</v>
      </c>
      <c r="J320" s="1">
        <f ca="1">IFERROR(__xludf.DUMMYFUNCTION("""COMPUTED_VALUE"""),63.6)</f>
        <v>63.6</v>
      </c>
      <c r="K320" s="1">
        <f ca="1">IFERROR(__xludf.DUMMYFUNCTION("""COMPUTED_VALUE"""),235)</f>
        <v>235</v>
      </c>
      <c r="L320" s="1" t="str">
        <f ca="1">IFERROR(__xludf.DUMMYFUNCTION("""COMPUTED_VALUE"""),"+.109")</f>
        <v>+.109</v>
      </c>
      <c r="M320" s="1">
        <f ca="1">IFERROR(__xludf.DUMMYFUNCTION("""COMPUTED_VALUE"""),8)</f>
        <v>8</v>
      </c>
      <c r="N320" s="1">
        <f ca="1">IFERROR(__xludf.DUMMYFUNCTION("""COMPUTED_VALUE"""),-8.13)</f>
        <v>-8.1300000000000008</v>
      </c>
      <c r="O320" s="1">
        <f ca="1">IFERROR(__xludf.DUMMYFUNCTION("""COMPUTED_VALUE"""),333)</f>
        <v>333</v>
      </c>
      <c r="P320" s="1">
        <f ca="1">IFERROR(__xludf.DUMMYFUNCTION("""COMPUTED_VALUE"""),101.6)</f>
        <v>101.6</v>
      </c>
      <c r="Q320" s="1">
        <f ca="1">IFERROR(__xludf.DUMMYFUNCTION("""COMPUTED_VALUE"""),310)</f>
        <v>310</v>
      </c>
      <c r="R320" s="1">
        <f ca="1">IFERROR(__xludf.DUMMYFUNCTION("""COMPUTED_VALUE"""),109.7)</f>
        <v>109.7</v>
      </c>
      <c r="S320" s="1">
        <f ca="1">IFERROR(__xludf.DUMMYFUNCTION("""COMPUTED_VALUE"""),332)</f>
        <v>332</v>
      </c>
      <c r="T320" s="1" t="str">
        <f ca="1">IFERROR(__xludf.DUMMYFUNCTION("""COMPUTED_VALUE"""),"+3.55")</f>
        <v>+3.55</v>
      </c>
      <c r="U320" s="1">
        <f ca="1">IFERROR(__xludf.DUMMYFUNCTION("""COMPUTED_VALUE"""),63)</f>
        <v>63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IFERROR(__xludf.DUMMYFUNCTION("""COMPUTED_VALUE"""),"Central Connecticut")</f>
        <v>Central Connecticut</v>
      </c>
      <c r="C321" s="1" t="str">
        <f ca="1">IFERROR(__xludf.DUMMYFUNCTION("""COMPUTED_VALUE"""),"NEC")</f>
        <v>NEC</v>
      </c>
      <c r="D321" s="2">
        <f ca="1">IFERROR(__xludf.DUMMYFUNCTION("""COMPUTED_VALUE"""),44884)</f>
        <v>44884</v>
      </c>
      <c r="E321" s="1">
        <f ca="1">IFERROR(__xludf.DUMMYFUNCTION("""COMPUTED_VALUE"""),-13.65)</f>
        <v>-13.65</v>
      </c>
      <c r="F321" s="1">
        <f ca="1">IFERROR(__xludf.DUMMYFUNCTION("""COMPUTED_VALUE"""),97.4)</f>
        <v>97.4</v>
      </c>
      <c r="G321" s="1">
        <f ca="1">IFERROR(__xludf.DUMMYFUNCTION("""COMPUTED_VALUE"""),299)</f>
        <v>299</v>
      </c>
      <c r="H321" s="1">
        <f ca="1">IFERROR(__xludf.DUMMYFUNCTION("""COMPUTED_VALUE"""),111.1)</f>
        <v>111.1</v>
      </c>
      <c r="I321" s="1">
        <f ca="1">IFERROR(__xludf.DUMMYFUNCTION("""COMPUTED_VALUE"""),277)</f>
        <v>277</v>
      </c>
      <c r="J321" s="1">
        <f ca="1">IFERROR(__xludf.DUMMYFUNCTION("""COMPUTED_VALUE"""),68.4)</f>
        <v>68.400000000000006</v>
      </c>
      <c r="K321" s="1">
        <f ca="1">IFERROR(__xludf.DUMMYFUNCTION("""COMPUTED_VALUE"""),32)</f>
        <v>32</v>
      </c>
      <c r="L321" s="1" t="str">
        <f ca="1">IFERROR(__xludf.DUMMYFUNCTION("""COMPUTED_VALUE"""),"+.071")</f>
        <v>+.071</v>
      </c>
      <c r="M321" s="1">
        <f ca="1">IFERROR(__xludf.DUMMYFUNCTION("""COMPUTED_VALUE"""),34)</f>
        <v>34</v>
      </c>
      <c r="N321" s="1">
        <f ca="1">IFERROR(__xludf.DUMMYFUNCTION("""COMPUTED_VALUE"""),-5.85)</f>
        <v>-5.85</v>
      </c>
      <c r="O321" s="1">
        <f ca="1">IFERROR(__xludf.DUMMYFUNCTION("""COMPUTED_VALUE"""),285)</f>
        <v>285</v>
      </c>
      <c r="P321" s="1">
        <f ca="1">IFERROR(__xludf.DUMMYFUNCTION("""COMPUTED_VALUE"""),101.2)</f>
        <v>101.2</v>
      </c>
      <c r="Q321" s="1">
        <f ca="1">IFERROR(__xludf.DUMMYFUNCTION("""COMPUTED_VALUE"""),321)</f>
        <v>321</v>
      </c>
      <c r="R321" s="1">
        <f ca="1">IFERROR(__xludf.DUMMYFUNCTION("""COMPUTED_VALUE"""),107.1)</f>
        <v>107.1</v>
      </c>
      <c r="S321" s="1">
        <f ca="1">IFERROR(__xludf.DUMMYFUNCTION("""COMPUTED_VALUE"""),245)</f>
        <v>245</v>
      </c>
      <c r="T321" s="1">
        <f ca="1">IFERROR(__xludf.DUMMYFUNCTION("""COMPUTED_VALUE"""),-2.52)</f>
        <v>-2.52</v>
      </c>
      <c r="U321" s="1">
        <f ca="1">IFERROR(__xludf.DUMMYFUNCTION("""COMPUTED_VALUE"""),229)</f>
        <v>229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IFERROR(__xludf.DUMMYFUNCTION("""COMPUTED_VALUE"""),"Alabama A&amp;M")</f>
        <v>Alabama A&amp;M</v>
      </c>
      <c r="C322" s="1" t="str">
        <f ca="1">IFERROR(__xludf.DUMMYFUNCTION("""COMPUTED_VALUE"""),"SWAC")</f>
        <v>SWAC</v>
      </c>
      <c r="D322" s="1" t="str">
        <f ca="1">IFERROR(__xludf.DUMMYFUNCTION("""COMPUTED_VALUE"""),"14-16")</f>
        <v>14-16</v>
      </c>
      <c r="E322" s="1">
        <f ca="1">IFERROR(__xludf.DUMMYFUNCTION("""COMPUTED_VALUE"""),-13.83)</f>
        <v>-13.83</v>
      </c>
      <c r="F322" s="1">
        <f ca="1">IFERROR(__xludf.DUMMYFUNCTION("""COMPUTED_VALUE"""),92)</f>
        <v>92</v>
      </c>
      <c r="G322" s="1">
        <f ca="1">IFERROR(__xludf.DUMMYFUNCTION("""COMPUTED_VALUE"""),343)</f>
        <v>343</v>
      </c>
      <c r="H322" s="1">
        <f ca="1">IFERROR(__xludf.DUMMYFUNCTION("""COMPUTED_VALUE"""),105.8)</f>
        <v>105.8</v>
      </c>
      <c r="I322" s="1">
        <f ca="1">IFERROR(__xludf.DUMMYFUNCTION("""COMPUTED_VALUE"""),183)</f>
        <v>183</v>
      </c>
      <c r="J322" s="1">
        <f ca="1">IFERROR(__xludf.DUMMYFUNCTION("""COMPUTED_VALUE"""),64.3)</f>
        <v>64.3</v>
      </c>
      <c r="K322" s="1">
        <f ca="1">IFERROR(__xludf.DUMMYFUNCTION("""COMPUTED_VALUE"""),195)</f>
        <v>195</v>
      </c>
      <c r="L322" s="1" t="str">
        <f ca="1">IFERROR(__xludf.DUMMYFUNCTION("""COMPUTED_VALUE"""),"+.025")</f>
        <v>+.025</v>
      </c>
      <c r="M322" s="1">
        <f ca="1">IFERROR(__xludf.DUMMYFUNCTION("""COMPUTED_VALUE"""),124)</f>
        <v>124</v>
      </c>
      <c r="N322" s="1">
        <f ca="1">IFERROR(__xludf.DUMMYFUNCTION("""COMPUTED_VALUE"""),-10.94)</f>
        <v>-10.94</v>
      </c>
      <c r="O322" s="1">
        <f ca="1">IFERROR(__xludf.DUMMYFUNCTION("""COMPUTED_VALUE"""),348)</f>
        <v>348</v>
      </c>
      <c r="P322" s="1">
        <f ca="1">IFERROR(__xludf.DUMMYFUNCTION("""COMPUTED_VALUE"""),98.7)</f>
        <v>98.7</v>
      </c>
      <c r="Q322" s="1">
        <f ca="1">IFERROR(__xludf.DUMMYFUNCTION("""COMPUTED_VALUE"""),347)</f>
        <v>347</v>
      </c>
      <c r="R322" s="1">
        <f ca="1">IFERROR(__xludf.DUMMYFUNCTION("""COMPUTED_VALUE"""),109.7)</f>
        <v>109.7</v>
      </c>
      <c r="S322" s="1">
        <f ca="1">IFERROR(__xludf.DUMMYFUNCTION("""COMPUTED_VALUE"""),328)</f>
        <v>328</v>
      </c>
      <c r="T322" s="1" t="str">
        <f ca="1">IFERROR(__xludf.DUMMYFUNCTION("""COMPUTED_VALUE"""),"+4.90")</f>
        <v>+4.90</v>
      </c>
      <c r="U322" s="1">
        <f ca="1">IFERROR(__xludf.DUMMYFUNCTION("""COMPUTED_VALUE"""),53)</f>
        <v>53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IFERROR(__xludf.DUMMYFUNCTION("""COMPUTED_VALUE"""),"NJIT")</f>
        <v>NJIT</v>
      </c>
      <c r="C323" s="1" t="str">
        <f ca="1">IFERROR(__xludf.DUMMYFUNCTION("""COMPUTED_VALUE"""),"ind")</f>
        <v>ind</v>
      </c>
      <c r="D323" s="1" t="str">
        <f ca="1">IFERROR(__xludf.DUMMYFUNCTION("""COMPUTED_VALUE"""),"13-16")</f>
        <v>13-16</v>
      </c>
      <c r="E323" s="1">
        <f ca="1">IFERROR(__xludf.DUMMYFUNCTION("""COMPUTED_VALUE"""),-13.86)</f>
        <v>-13.86</v>
      </c>
      <c r="F323" s="1">
        <f ca="1">IFERROR(__xludf.DUMMYFUNCTION("""COMPUTED_VALUE"""),96.6)</f>
        <v>96.6</v>
      </c>
      <c r="G323" s="1">
        <f ca="1">IFERROR(__xludf.DUMMYFUNCTION("""COMPUTED_VALUE"""),304)</f>
        <v>304</v>
      </c>
      <c r="H323" s="1">
        <f ca="1">IFERROR(__xludf.DUMMYFUNCTION("""COMPUTED_VALUE"""),110.5)</f>
        <v>110.5</v>
      </c>
      <c r="I323" s="1">
        <f ca="1">IFERROR(__xludf.DUMMYFUNCTION("""COMPUTED_VALUE"""),270)</f>
        <v>270</v>
      </c>
      <c r="J323" s="1">
        <f ca="1">IFERROR(__xludf.DUMMYFUNCTION("""COMPUTED_VALUE"""),66.5)</f>
        <v>66.5</v>
      </c>
      <c r="K323" s="1">
        <f ca="1">IFERROR(__xludf.DUMMYFUNCTION("""COMPUTED_VALUE"""),87)</f>
        <v>87</v>
      </c>
      <c r="L323" s="1" t="str">
        <f ca="1">IFERROR(__xludf.DUMMYFUNCTION("""COMPUTED_VALUE"""),"+.055")</f>
        <v>+.055</v>
      </c>
      <c r="M323" s="1">
        <f ca="1">IFERROR(__xludf.DUMMYFUNCTION("""COMPUTED_VALUE"""),64)</f>
        <v>64</v>
      </c>
      <c r="N323" s="1">
        <f ca="1">IFERROR(__xludf.DUMMYFUNCTION("""COMPUTED_VALUE"""),-7.49)</f>
        <v>-7.49</v>
      </c>
      <c r="O323" s="1">
        <f ca="1">IFERROR(__xludf.DUMMYFUNCTION("""COMPUTED_VALUE"""),315)</f>
        <v>315</v>
      </c>
      <c r="P323" s="1">
        <f ca="1">IFERROR(__xludf.DUMMYFUNCTION("""COMPUTED_VALUE"""),101.4)</f>
        <v>101.4</v>
      </c>
      <c r="Q323" s="1">
        <f ca="1">IFERROR(__xludf.DUMMYFUNCTION("""COMPUTED_VALUE"""),317)</f>
        <v>317</v>
      </c>
      <c r="R323" s="1">
        <f ca="1">IFERROR(__xludf.DUMMYFUNCTION("""COMPUTED_VALUE"""),108.9)</f>
        <v>108.9</v>
      </c>
      <c r="S323" s="1">
        <f ca="1">IFERROR(__xludf.DUMMYFUNCTION("""COMPUTED_VALUE"""),307)</f>
        <v>307</v>
      </c>
      <c r="T323" s="1">
        <f ca="1">IFERROR(__xludf.DUMMYFUNCTION("""COMPUTED_VALUE"""),-7.49)</f>
        <v>-7.49</v>
      </c>
      <c r="U323" s="1">
        <f ca="1">IFERROR(__xludf.DUMMYFUNCTION("""COMPUTED_VALUE"""),334)</f>
        <v>334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IFERROR(__xludf.DUMMYFUNCTION("""COMPUTED_VALUE"""),"Navy")</f>
        <v>Navy</v>
      </c>
      <c r="C324" s="1" t="str">
        <f ca="1">IFERROR(__xludf.DUMMYFUNCTION("""COMPUTED_VALUE"""),"Pat")</f>
        <v>Pat</v>
      </c>
      <c r="D324" s="2">
        <f ca="1">IFERROR(__xludf.DUMMYFUNCTION("""COMPUTED_VALUE"""),44825)</f>
        <v>44825</v>
      </c>
      <c r="E324" s="1">
        <f ca="1">IFERROR(__xludf.DUMMYFUNCTION("""COMPUTED_VALUE"""),-13.87)</f>
        <v>-13.87</v>
      </c>
      <c r="F324" s="1">
        <f ca="1">IFERROR(__xludf.DUMMYFUNCTION("""COMPUTED_VALUE"""),93)</f>
        <v>93</v>
      </c>
      <c r="G324" s="1">
        <f ca="1">IFERROR(__xludf.DUMMYFUNCTION("""COMPUTED_VALUE"""),339)</f>
        <v>339</v>
      </c>
      <c r="H324" s="1">
        <f ca="1">IFERROR(__xludf.DUMMYFUNCTION("""COMPUTED_VALUE"""),106.8)</f>
        <v>106.8</v>
      </c>
      <c r="I324" s="1">
        <f ca="1">IFERROR(__xludf.DUMMYFUNCTION("""COMPUTED_VALUE"""),208)</f>
        <v>208</v>
      </c>
      <c r="J324" s="1">
        <f ca="1">IFERROR(__xludf.DUMMYFUNCTION("""COMPUTED_VALUE"""),61.8)</f>
        <v>61.8</v>
      </c>
      <c r="K324" s="1">
        <f ca="1">IFERROR(__xludf.DUMMYFUNCTION("""COMPUTED_VALUE"""),309)</f>
        <v>309</v>
      </c>
      <c r="L324" s="1">
        <f ca="1">IFERROR(__xludf.DUMMYFUNCTION("""COMPUTED_VALUE"""),-0.028)</f>
        <v>-2.8000000000000001E-2</v>
      </c>
      <c r="M324" s="1">
        <f ca="1">IFERROR(__xludf.DUMMYFUNCTION("""COMPUTED_VALUE"""),244)</f>
        <v>244</v>
      </c>
      <c r="N324" s="1">
        <f ca="1">IFERROR(__xludf.DUMMYFUNCTION("""COMPUTED_VALUE"""),-4.77)</f>
        <v>-4.7699999999999996</v>
      </c>
      <c r="O324" s="1">
        <f ca="1">IFERROR(__xludf.DUMMYFUNCTION("""COMPUTED_VALUE"""),260)</f>
        <v>260</v>
      </c>
      <c r="P324" s="1">
        <f ca="1">IFERROR(__xludf.DUMMYFUNCTION("""COMPUTED_VALUE"""),102.8)</f>
        <v>102.8</v>
      </c>
      <c r="Q324" s="1">
        <f ca="1">IFERROR(__xludf.DUMMYFUNCTION("""COMPUTED_VALUE"""),266)</f>
        <v>266</v>
      </c>
      <c r="R324" s="1">
        <f ca="1">IFERROR(__xludf.DUMMYFUNCTION("""COMPUTED_VALUE"""),107.6)</f>
        <v>107.6</v>
      </c>
      <c r="S324" s="1">
        <f ca="1">IFERROR(__xludf.DUMMYFUNCTION("""COMPUTED_VALUE"""),264)</f>
        <v>264</v>
      </c>
      <c r="T324" s="1">
        <f ca="1">IFERROR(__xludf.DUMMYFUNCTION("""COMPUTED_VALUE"""),-9.47)</f>
        <v>-9.4700000000000006</v>
      </c>
      <c r="U324" s="1">
        <f ca="1">IFERROR(__xludf.DUMMYFUNCTION("""COMPUTED_VALUE"""),347)</f>
        <v>347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IFERROR(__xludf.DUMMYFUNCTION("""COMPUTED_VALUE"""),"Jacksonville St.")</f>
        <v>Jacksonville St.</v>
      </c>
      <c r="C325" s="1" t="str">
        <f ca="1">IFERROR(__xludf.DUMMYFUNCTION("""COMPUTED_VALUE"""),"OVC")</f>
        <v>OVC</v>
      </c>
      <c r="D325" s="2">
        <f ca="1">IFERROR(__xludf.DUMMYFUNCTION("""COMPUTED_VALUE"""),44855)</f>
        <v>44855</v>
      </c>
      <c r="E325" s="1">
        <f ca="1">IFERROR(__xludf.DUMMYFUNCTION("""COMPUTED_VALUE"""),-14.04)</f>
        <v>-14.04</v>
      </c>
      <c r="F325" s="1">
        <f ca="1">IFERROR(__xludf.DUMMYFUNCTION("""COMPUTED_VALUE"""),98.2)</f>
        <v>98.2</v>
      </c>
      <c r="G325" s="1">
        <f ca="1">IFERROR(__xludf.DUMMYFUNCTION("""COMPUTED_VALUE"""),289)</f>
        <v>289</v>
      </c>
      <c r="H325" s="1">
        <f ca="1">IFERROR(__xludf.DUMMYFUNCTION("""COMPUTED_VALUE"""),112.3)</f>
        <v>112.3</v>
      </c>
      <c r="I325" s="1">
        <f ca="1">IFERROR(__xludf.DUMMYFUNCTION("""COMPUTED_VALUE"""),303)</f>
        <v>303</v>
      </c>
      <c r="J325" s="1">
        <f ca="1">IFERROR(__xludf.DUMMYFUNCTION("""COMPUTED_VALUE"""),60.6)</f>
        <v>60.6</v>
      </c>
      <c r="K325" s="1">
        <f ca="1">IFERROR(__xludf.DUMMYFUNCTION("""COMPUTED_VALUE"""),334)</f>
        <v>334</v>
      </c>
      <c r="L325" s="1">
        <f ca="1">IFERROR(__xludf.DUMMYFUNCTION("""COMPUTED_VALUE"""),-0.015)</f>
        <v>-1.4999999999999999E-2</v>
      </c>
      <c r="M325" s="1">
        <f ca="1">IFERROR(__xludf.DUMMYFUNCTION("""COMPUTED_VALUE"""),217)</f>
        <v>217</v>
      </c>
      <c r="N325" s="1">
        <f ca="1">IFERROR(__xludf.DUMMYFUNCTION("""COMPUTED_VALUE"""),-4.94)</f>
        <v>-4.9400000000000004</v>
      </c>
      <c r="O325" s="1">
        <f ca="1">IFERROR(__xludf.DUMMYFUNCTION("""COMPUTED_VALUE"""),266)</f>
        <v>266</v>
      </c>
      <c r="P325" s="1">
        <f ca="1">IFERROR(__xludf.DUMMYFUNCTION("""COMPUTED_VALUE"""),103.8)</f>
        <v>103.8</v>
      </c>
      <c r="Q325" s="1">
        <f ca="1">IFERROR(__xludf.DUMMYFUNCTION("""COMPUTED_VALUE"""),205)</f>
        <v>205</v>
      </c>
      <c r="R325" s="1">
        <f ca="1">IFERROR(__xludf.DUMMYFUNCTION("""COMPUTED_VALUE"""),108.7)</f>
        <v>108.7</v>
      </c>
      <c r="S325" s="1">
        <f ca="1">IFERROR(__xludf.DUMMYFUNCTION("""COMPUTED_VALUE"""),296)</f>
        <v>296</v>
      </c>
      <c r="T325" s="1">
        <f ca="1">IFERROR(__xludf.DUMMYFUNCTION("""COMPUTED_VALUE"""),-4.39)</f>
        <v>-4.3899999999999997</v>
      </c>
      <c r="U325" s="1">
        <f ca="1">IFERROR(__xludf.DUMMYFUNCTION("""COMPUTED_VALUE"""),292)</f>
        <v>292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IFERROR(__xludf.DUMMYFUNCTION("""COMPUTED_VALUE"""),"McNeese St.")</f>
        <v>McNeese St.</v>
      </c>
      <c r="C326" s="1" t="str">
        <f ca="1">IFERROR(__xludf.DUMMYFUNCTION("""COMPUTED_VALUE"""),"Slnd")</f>
        <v>Slnd</v>
      </c>
      <c r="D326" s="2">
        <f ca="1">IFERROR(__xludf.DUMMYFUNCTION("""COMPUTED_VALUE"""),44885)</f>
        <v>44885</v>
      </c>
      <c r="E326" s="1">
        <f ca="1">IFERROR(__xludf.DUMMYFUNCTION("""COMPUTED_VALUE"""),-14.07)</f>
        <v>-14.07</v>
      </c>
      <c r="F326" s="1">
        <f ca="1">IFERROR(__xludf.DUMMYFUNCTION("""COMPUTED_VALUE"""),97.9)</f>
        <v>97.9</v>
      </c>
      <c r="G326" s="1">
        <f ca="1">IFERROR(__xludf.DUMMYFUNCTION("""COMPUTED_VALUE"""),296)</f>
        <v>296</v>
      </c>
      <c r="H326" s="1">
        <f ca="1">IFERROR(__xludf.DUMMYFUNCTION("""COMPUTED_VALUE"""),112)</f>
        <v>112</v>
      </c>
      <c r="I326" s="1">
        <f ca="1">IFERROR(__xludf.DUMMYFUNCTION("""COMPUTED_VALUE"""),297)</f>
        <v>297</v>
      </c>
      <c r="J326" s="1">
        <f ca="1">IFERROR(__xludf.DUMMYFUNCTION("""COMPUTED_VALUE"""),65.8)</f>
        <v>65.8</v>
      </c>
      <c r="K326" s="1">
        <f ca="1">IFERROR(__xludf.DUMMYFUNCTION("""COMPUTED_VALUE"""),116)</f>
        <v>116</v>
      </c>
      <c r="L326" s="1" t="str">
        <f ca="1">IFERROR(__xludf.DUMMYFUNCTION("""COMPUTED_VALUE"""),"+.041")</f>
        <v>+.041</v>
      </c>
      <c r="M326" s="1">
        <f ca="1">IFERROR(__xludf.DUMMYFUNCTION("""COMPUTED_VALUE"""),84)</f>
        <v>84</v>
      </c>
      <c r="N326" s="1">
        <f ca="1">IFERROR(__xludf.DUMMYFUNCTION("""COMPUTED_VALUE"""),-3.04)</f>
        <v>-3.04</v>
      </c>
      <c r="O326" s="1">
        <f ca="1">IFERROR(__xludf.DUMMYFUNCTION("""COMPUTED_VALUE"""),222)</f>
        <v>222</v>
      </c>
      <c r="P326" s="1">
        <f ca="1">IFERROR(__xludf.DUMMYFUNCTION("""COMPUTED_VALUE"""),103.7)</f>
        <v>103.7</v>
      </c>
      <c r="Q326" s="1">
        <f ca="1">IFERROR(__xludf.DUMMYFUNCTION("""COMPUTED_VALUE"""),207)</f>
        <v>207</v>
      </c>
      <c r="R326" s="1">
        <f ca="1">IFERROR(__xludf.DUMMYFUNCTION("""COMPUTED_VALUE"""),106.8)</f>
        <v>106.8</v>
      </c>
      <c r="S326" s="1">
        <f ca="1">IFERROR(__xludf.DUMMYFUNCTION("""COMPUTED_VALUE"""),233)</f>
        <v>233</v>
      </c>
      <c r="T326" s="1" t="str">
        <f ca="1">IFERROR(__xludf.DUMMYFUNCTION("""COMPUTED_VALUE"""),"+15.05")</f>
        <v>+15.05</v>
      </c>
      <c r="U326" s="1">
        <f ca="1">IFERROR(__xludf.DUMMYFUNCTION("""COMPUTED_VALUE"""),1)</f>
        <v>1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IFERROR(__xludf.DUMMYFUNCTION("""COMPUTED_VALUE"""),"Northern Kentucky")</f>
        <v>Northern Kentucky</v>
      </c>
      <c r="C327" s="1" t="str">
        <f ca="1">IFERROR(__xludf.DUMMYFUNCTION("""COMPUTED_VALUE"""),"ASun")</f>
        <v>ASun</v>
      </c>
      <c r="D327" s="2">
        <f ca="1">IFERROR(__xludf.DUMMYFUNCTION("""COMPUTED_VALUE"""),44825)</f>
        <v>44825</v>
      </c>
      <c r="E327" s="1">
        <f ca="1">IFERROR(__xludf.DUMMYFUNCTION("""COMPUTED_VALUE"""),-14.08)</f>
        <v>-14.08</v>
      </c>
      <c r="F327" s="1">
        <f ca="1">IFERROR(__xludf.DUMMYFUNCTION("""COMPUTED_VALUE"""),102.7)</f>
        <v>102.7</v>
      </c>
      <c r="G327" s="1">
        <f ca="1">IFERROR(__xludf.DUMMYFUNCTION("""COMPUTED_VALUE"""),220)</f>
        <v>220</v>
      </c>
      <c r="H327" s="1">
        <f ca="1">IFERROR(__xludf.DUMMYFUNCTION("""COMPUTED_VALUE"""),116.8)</f>
        <v>116.8</v>
      </c>
      <c r="I327" s="1">
        <f ca="1">IFERROR(__xludf.DUMMYFUNCTION("""COMPUTED_VALUE"""),340)</f>
        <v>340</v>
      </c>
      <c r="J327" s="1">
        <f ca="1">IFERROR(__xludf.DUMMYFUNCTION("""COMPUTED_VALUE"""),61.1)</f>
        <v>61.1</v>
      </c>
      <c r="K327" s="1">
        <f ca="1">IFERROR(__xludf.DUMMYFUNCTION("""COMPUTED_VALUE"""),325)</f>
        <v>325</v>
      </c>
      <c r="L327" s="1">
        <f ca="1">IFERROR(__xludf.DUMMYFUNCTION("""COMPUTED_VALUE"""),-0.044)</f>
        <v>-4.3999999999999997E-2</v>
      </c>
      <c r="M327" s="1">
        <f ca="1">IFERROR(__xludf.DUMMYFUNCTION("""COMPUTED_VALUE"""),277)</f>
        <v>277</v>
      </c>
      <c r="N327" s="1">
        <f ca="1">IFERROR(__xludf.DUMMYFUNCTION("""COMPUTED_VALUE"""),-6.64)</f>
        <v>-6.64</v>
      </c>
      <c r="O327" s="1">
        <f ca="1">IFERROR(__xludf.DUMMYFUNCTION("""COMPUTED_VALUE"""),299)</f>
        <v>299</v>
      </c>
      <c r="P327" s="1">
        <f ca="1">IFERROR(__xludf.DUMMYFUNCTION("""COMPUTED_VALUE"""),101.8)</f>
        <v>101.8</v>
      </c>
      <c r="Q327" s="1">
        <f ca="1">IFERROR(__xludf.DUMMYFUNCTION("""COMPUTED_VALUE"""),306)</f>
        <v>306</v>
      </c>
      <c r="R327" s="1">
        <f ca="1">IFERROR(__xludf.DUMMYFUNCTION("""COMPUTED_VALUE"""),108.4)</f>
        <v>108.4</v>
      </c>
      <c r="S327" s="1">
        <f ca="1">IFERROR(__xludf.DUMMYFUNCTION("""COMPUTED_VALUE"""),287)</f>
        <v>287</v>
      </c>
      <c r="T327" s="1">
        <f ca="1">IFERROR(__xludf.DUMMYFUNCTION("""COMPUTED_VALUE"""),-3.69)</f>
        <v>-3.69</v>
      </c>
      <c r="U327" s="1">
        <f ca="1">IFERROR(__xludf.DUMMYFUNCTION("""COMPUTED_VALUE"""),277)</f>
        <v>277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IFERROR(__xludf.DUMMYFUNCTION("""COMPUTED_VALUE"""),"Southeastern Louisiana")</f>
        <v>Southeastern Louisiana</v>
      </c>
      <c r="C328" s="1" t="str">
        <f ca="1">IFERROR(__xludf.DUMMYFUNCTION("""COMPUTED_VALUE"""),"Slnd")</f>
        <v>Slnd</v>
      </c>
      <c r="D328" s="2">
        <f ca="1">IFERROR(__xludf.DUMMYFUNCTION("""COMPUTED_VALUE"""),44913)</f>
        <v>44913</v>
      </c>
      <c r="E328" s="1">
        <f ca="1">IFERROR(__xludf.DUMMYFUNCTION("""COMPUTED_VALUE"""),-14.15)</f>
        <v>-14.15</v>
      </c>
      <c r="F328" s="1">
        <f ca="1">IFERROR(__xludf.DUMMYFUNCTION("""COMPUTED_VALUE"""),98.7)</f>
        <v>98.7</v>
      </c>
      <c r="G328" s="1">
        <f ca="1">IFERROR(__xludf.DUMMYFUNCTION("""COMPUTED_VALUE"""),280)</f>
        <v>280</v>
      </c>
      <c r="H328" s="1">
        <f ca="1">IFERROR(__xludf.DUMMYFUNCTION("""COMPUTED_VALUE"""),112.8)</f>
        <v>112.8</v>
      </c>
      <c r="I328" s="1">
        <f ca="1">IFERROR(__xludf.DUMMYFUNCTION("""COMPUTED_VALUE"""),317)</f>
        <v>317</v>
      </c>
      <c r="J328" s="1">
        <f ca="1">IFERROR(__xludf.DUMMYFUNCTION("""COMPUTED_VALUE"""),63.2)</f>
        <v>63.2</v>
      </c>
      <c r="K328" s="1">
        <f ca="1">IFERROR(__xludf.DUMMYFUNCTION("""COMPUTED_VALUE"""),255)</f>
        <v>255</v>
      </c>
      <c r="L328" s="1" t="str">
        <f ca="1">IFERROR(__xludf.DUMMYFUNCTION("""COMPUTED_VALUE"""),"+.003")</f>
        <v>+.003</v>
      </c>
      <c r="M328" s="1">
        <f ca="1">IFERROR(__xludf.DUMMYFUNCTION("""COMPUTED_VALUE"""),179)</f>
        <v>179</v>
      </c>
      <c r="N328" s="1">
        <f ca="1">IFERROR(__xludf.DUMMYFUNCTION("""COMPUTED_VALUE"""),-8.51)</f>
        <v>-8.51</v>
      </c>
      <c r="O328" s="1">
        <f ca="1">IFERROR(__xludf.DUMMYFUNCTION("""COMPUTED_VALUE"""),337)</f>
        <v>337</v>
      </c>
      <c r="P328" s="1">
        <f ca="1">IFERROR(__xludf.DUMMYFUNCTION("""COMPUTED_VALUE"""),101)</f>
        <v>101</v>
      </c>
      <c r="Q328" s="1">
        <f ca="1">IFERROR(__xludf.DUMMYFUNCTION("""COMPUTED_VALUE"""),325)</f>
        <v>325</v>
      </c>
      <c r="R328" s="1">
        <f ca="1">IFERROR(__xludf.DUMMYFUNCTION("""COMPUTED_VALUE"""),109.5)</f>
        <v>109.5</v>
      </c>
      <c r="S328" s="1">
        <f ca="1">IFERROR(__xludf.DUMMYFUNCTION("""COMPUTED_VALUE"""),325)</f>
        <v>325</v>
      </c>
      <c r="T328" s="1" t="str">
        <f ca="1">IFERROR(__xludf.DUMMYFUNCTION("""COMPUTED_VALUE"""),"+0.22")</f>
        <v>+0.22</v>
      </c>
      <c r="U328" s="1">
        <f ca="1">IFERROR(__xludf.DUMMYFUNCTION("""COMPUTED_VALUE"""),155)</f>
        <v>155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IFERROR(__xludf.DUMMYFUNCTION("""COMPUTED_VALUE"""),"UTSA")</f>
        <v>UTSA</v>
      </c>
      <c r="C329" s="1" t="str">
        <f ca="1">IFERROR(__xludf.DUMMYFUNCTION("""COMPUTED_VALUE"""),"CUSA")</f>
        <v>CUSA</v>
      </c>
      <c r="D329" s="2">
        <f ca="1">IFERROR(__xludf.DUMMYFUNCTION("""COMPUTED_VALUE"""),44795)</f>
        <v>44795</v>
      </c>
      <c r="E329" s="1">
        <f ca="1">IFERROR(__xludf.DUMMYFUNCTION("""COMPUTED_VALUE"""),-14.68)</f>
        <v>-14.68</v>
      </c>
      <c r="F329" s="1">
        <f ca="1">IFERROR(__xludf.DUMMYFUNCTION("""COMPUTED_VALUE"""),100.9)</f>
        <v>100.9</v>
      </c>
      <c r="G329" s="1">
        <f ca="1">IFERROR(__xludf.DUMMYFUNCTION("""COMPUTED_VALUE"""),248)</f>
        <v>248</v>
      </c>
      <c r="H329" s="1">
        <f ca="1">IFERROR(__xludf.DUMMYFUNCTION("""COMPUTED_VALUE"""),115.6)</f>
        <v>115.6</v>
      </c>
      <c r="I329" s="1">
        <f ca="1">IFERROR(__xludf.DUMMYFUNCTION("""COMPUTED_VALUE"""),331)</f>
        <v>331</v>
      </c>
      <c r="J329" s="1">
        <f ca="1">IFERROR(__xludf.DUMMYFUNCTION("""COMPUTED_VALUE"""),66.5)</f>
        <v>66.5</v>
      </c>
      <c r="K329" s="1">
        <f ca="1">IFERROR(__xludf.DUMMYFUNCTION("""COMPUTED_VALUE"""),86)</f>
        <v>86</v>
      </c>
      <c r="L329" s="1" t="str">
        <f ca="1">IFERROR(__xludf.DUMMYFUNCTION("""COMPUTED_VALUE"""),"+.000")</f>
        <v>+.000</v>
      </c>
      <c r="M329" s="1">
        <f ca="1">IFERROR(__xludf.DUMMYFUNCTION("""COMPUTED_VALUE"""),187)</f>
        <v>187</v>
      </c>
      <c r="N329" s="1">
        <f ca="1">IFERROR(__xludf.DUMMYFUNCTION("""COMPUTED_VALUE"""),-1.79)</f>
        <v>-1.79</v>
      </c>
      <c r="O329" s="1">
        <f ca="1">IFERROR(__xludf.DUMMYFUNCTION("""COMPUTED_VALUE"""),185)</f>
        <v>185</v>
      </c>
      <c r="P329" s="1">
        <f ca="1">IFERROR(__xludf.DUMMYFUNCTION("""COMPUTED_VALUE"""),103.2)</f>
        <v>103.2</v>
      </c>
      <c r="Q329" s="1">
        <f ca="1">IFERROR(__xludf.DUMMYFUNCTION("""COMPUTED_VALUE"""),240)</f>
        <v>240</v>
      </c>
      <c r="R329" s="1">
        <f ca="1">IFERROR(__xludf.DUMMYFUNCTION("""COMPUTED_VALUE"""),105)</f>
        <v>105</v>
      </c>
      <c r="S329" s="1">
        <f ca="1">IFERROR(__xludf.DUMMYFUNCTION("""COMPUTED_VALUE"""),159)</f>
        <v>159</v>
      </c>
      <c r="T329" s="1">
        <f ca="1">IFERROR(__xludf.DUMMYFUNCTION("""COMPUTED_VALUE"""),-3.21)</f>
        <v>-3.21</v>
      </c>
      <c r="U329" s="1">
        <f ca="1">IFERROR(__xludf.DUMMYFUNCTION("""COMPUTED_VALUE"""),260)</f>
        <v>260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IFERROR(__xludf.DUMMYFUNCTION("""COMPUTED_VALUE"""),"St. Francis PA")</f>
        <v>St. Francis PA</v>
      </c>
      <c r="C330" s="1" t="str">
        <f ca="1">IFERROR(__xludf.DUMMYFUNCTION("""COMPUTED_VALUE"""),"NEC")</f>
        <v>NEC</v>
      </c>
      <c r="D330" s="2">
        <f ca="1">IFERROR(__xludf.DUMMYFUNCTION("""COMPUTED_VALUE"""),44855)</f>
        <v>44855</v>
      </c>
      <c r="E330" s="1">
        <f ca="1">IFERROR(__xludf.DUMMYFUNCTION("""COMPUTED_VALUE"""),-14.76)</f>
        <v>-14.76</v>
      </c>
      <c r="F330" s="1">
        <f ca="1">IFERROR(__xludf.DUMMYFUNCTION("""COMPUTED_VALUE"""),96.4)</f>
        <v>96.4</v>
      </c>
      <c r="G330" s="1">
        <f ca="1">IFERROR(__xludf.DUMMYFUNCTION("""COMPUTED_VALUE"""),308)</f>
        <v>308</v>
      </c>
      <c r="H330" s="1">
        <f ca="1">IFERROR(__xludf.DUMMYFUNCTION("""COMPUTED_VALUE"""),111.1)</f>
        <v>111.1</v>
      </c>
      <c r="I330" s="1">
        <f ca="1">IFERROR(__xludf.DUMMYFUNCTION("""COMPUTED_VALUE"""),279)</f>
        <v>279</v>
      </c>
      <c r="J330" s="1">
        <f ca="1">IFERROR(__xludf.DUMMYFUNCTION("""COMPUTED_VALUE"""),61.1)</f>
        <v>61.1</v>
      </c>
      <c r="K330" s="1">
        <f ca="1">IFERROR(__xludf.DUMMYFUNCTION("""COMPUTED_VALUE"""),326)</f>
        <v>326</v>
      </c>
      <c r="L330" s="1" t="str">
        <f ca="1">IFERROR(__xludf.DUMMYFUNCTION("""COMPUTED_VALUE"""),"+.038")</f>
        <v>+.038</v>
      </c>
      <c r="M330" s="1">
        <f ca="1">IFERROR(__xludf.DUMMYFUNCTION("""COMPUTED_VALUE"""),90)</f>
        <v>90</v>
      </c>
      <c r="N330" s="1">
        <f ca="1">IFERROR(__xludf.DUMMYFUNCTION("""COMPUTED_VALUE"""),-4.54)</f>
        <v>-4.54</v>
      </c>
      <c r="O330" s="1">
        <f ca="1">IFERROR(__xludf.DUMMYFUNCTION("""COMPUTED_VALUE"""),252)</f>
        <v>252</v>
      </c>
      <c r="P330" s="1">
        <f ca="1">IFERROR(__xludf.DUMMYFUNCTION("""COMPUTED_VALUE"""),103.4)</f>
        <v>103.4</v>
      </c>
      <c r="Q330" s="1">
        <f ca="1">IFERROR(__xludf.DUMMYFUNCTION("""COMPUTED_VALUE"""),231)</f>
        <v>231</v>
      </c>
      <c r="R330" s="1">
        <f ca="1">IFERROR(__xludf.DUMMYFUNCTION("""COMPUTED_VALUE"""),107.9)</f>
        <v>107.9</v>
      </c>
      <c r="S330" s="1">
        <f ca="1">IFERROR(__xludf.DUMMYFUNCTION("""COMPUTED_VALUE"""),273)</f>
        <v>273</v>
      </c>
      <c r="T330" s="1">
        <f ca="1">IFERROR(__xludf.DUMMYFUNCTION("""COMPUTED_VALUE"""),-1.38)</f>
        <v>-1.38</v>
      </c>
      <c r="U330" s="1">
        <f ca="1">IFERROR(__xludf.DUMMYFUNCTION("""COMPUTED_VALUE"""),204)</f>
        <v>204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IFERROR(__xludf.DUMMYFUNCTION("""COMPUTED_VALUE"""),"UNC Greensboro")</f>
        <v>UNC Greensboro</v>
      </c>
      <c r="C331" s="1" t="str">
        <f ca="1">IFERROR(__xludf.DUMMYFUNCTION("""COMPUTED_VALUE"""),"SC")</f>
        <v>SC</v>
      </c>
      <c r="D331" s="1" t="str">
        <f ca="1">IFERROR(__xludf.DUMMYFUNCTION("""COMPUTED_VALUE"""),"14-18")</f>
        <v>14-18</v>
      </c>
      <c r="E331" s="1">
        <f ca="1">IFERROR(__xludf.DUMMYFUNCTION("""COMPUTED_VALUE"""),-15)</f>
        <v>-15</v>
      </c>
      <c r="F331" s="1">
        <f ca="1">IFERROR(__xludf.DUMMYFUNCTION("""COMPUTED_VALUE"""),93.9)</f>
        <v>93.9</v>
      </c>
      <c r="G331" s="1">
        <f ca="1">IFERROR(__xludf.DUMMYFUNCTION("""COMPUTED_VALUE"""),331)</f>
        <v>331</v>
      </c>
      <c r="H331" s="1">
        <f ca="1">IFERROR(__xludf.DUMMYFUNCTION("""COMPUTED_VALUE"""),108.9)</f>
        <v>108.9</v>
      </c>
      <c r="I331" s="1">
        <f ca="1">IFERROR(__xludf.DUMMYFUNCTION("""COMPUTED_VALUE"""),247)</f>
        <v>247</v>
      </c>
      <c r="J331" s="1">
        <f ca="1">IFERROR(__xludf.DUMMYFUNCTION("""COMPUTED_VALUE"""),68.8)</f>
        <v>68.8</v>
      </c>
      <c r="K331" s="1">
        <f ca="1">IFERROR(__xludf.DUMMYFUNCTION("""COMPUTED_VALUE"""),24)</f>
        <v>24</v>
      </c>
      <c r="L331" s="1" t="str">
        <f ca="1">IFERROR(__xludf.DUMMYFUNCTION("""COMPUTED_VALUE"""),"+.068")</f>
        <v>+.068</v>
      </c>
      <c r="M331" s="1">
        <f ca="1">IFERROR(__xludf.DUMMYFUNCTION("""COMPUTED_VALUE"""),36)</f>
        <v>36</v>
      </c>
      <c r="N331" s="1">
        <f ca="1">IFERROR(__xludf.DUMMYFUNCTION("""COMPUTED_VALUE"""),-7.5)</f>
        <v>-7.5</v>
      </c>
      <c r="O331" s="1">
        <f ca="1">IFERROR(__xludf.DUMMYFUNCTION("""COMPUTED_VALUE"""),316)</f>
        <v>316</v>
      </c>
      <c r="P331" s="1">
        <f ca="1">IFERROR(__xludf.DUMMYFUNCTION("""COMPUTED_VALUE"""),101.8)</f>
        <v>101.8</v>
      </c>
      <c r="Q331" s="1">
        <f ca="1">IFERROR(__xludf.DUMMYFUNCTION("""COMPUTED_VALUE"""),304)</f>
        <v>304</v>
      </c>
      <c r="R331" s="1">
        <f ca="1">IFERROR(__xludf.DUMMYFUNCTION("""COMPUTED_VALUE"""),109.3)</f>
        <v>109.3</v>
      </c>
      <c r="S331" s="1">
        <f ca="1">IFERROR(__xludf.DUMMYFUNCTION("""COMPUTED_VALUE"""),322)</f>
        <v>322</v>
      </c>
      <c r="T331" s="1">
        <f ca="1">IFERROR(__xludf.DUMMYFUNCTION("""COMPUTED_VALUE"""),-1.74)</f>
        <v>-1.74</v>
      </c>
      <c r="U331" s="1">
        <f ca="1">IFERROR(__xludf.DUMMYFUNCTION("""COMPUTED_VALUE"""),212)</f>
        <v>212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IFERROR(__xludf.DUMMYFUNCTION("""COMPUTED_VALUE"""),"UC Davis")</f>
        <v>UC Davis</v>
      </c>
      <c r="C332" s="1" t="str">
        <f ca="1">IFERROR(__xludf.DUMMYFUNCTION("""COMPUTED_VALUE"""),"BW")</f>
        <v>BW</v>
      </c>
      <c r="D332" s="2">
        <f ca="1">IFERROR(__xludf.DUMMYFUNCTION("""COMPUTED_VALUE"""),44826)</f>
        <v>44826</v>
      </c>
      <c r="E332" s="1">
        <f ca="1">IFERROR(__xludf.DUMMYFUNCTION("""COMPUTED_VALUE"""),-15.16)</f>
        <v>-15.16</v>
      </c>
      <c r="F332" s="1">
        <f ca="1">IFERROR(__xludf.DUMMYFUNCTION("""COMPUTED_VALUE"""),101.3)</f>
        <v>101.3</v>
      </c>
      <c r="G332" s="1">
        <f ca="1">IFERROR(__xludf.DUMMYFUNCTION("""COMPUTED_VALUE"""),241)</f>
        <v>241</v>
      </c>
      <c r="H332" s="1">
        <f ca="1">IFERROR(__xludf.DUMMYFUNCTION("""COMPUTED_VALUE"""),116.4)</f>
        <v>116.4</v>
      </c>
      <c r="I332" s="1">
        <f ca="1">IFERROR(__xludf.DUMMYFUNCTION("""COMPUTED_VALUE"""),337)</f>
        <v>337</v>
      </c>
      <c r="J332" s="1">
        <f ca="1">IFERROR(__xludf.DUMMYFUNCTION("""COMPUTED_VALUE"""),64.8)</f>
        <v>64.8</v>
      </c>
      <c r="K332" s="1">
        <f ca="1">IFERROR(__xludf.DUMMYFUNCTION("""COMPUTED_VALUE"""),166)</f>
        <v>166</v>
      </c>
      <c r="L332" s="1" t="str">
        <f ca="1">IFERROR(__xludf.DUMMYFUNCTION("""COMPUTED_VALUE"""),"+.035")</f>
        <v>+.035</v>
      </c>
      <c r="M332" s="1">
        <f ca="1">IFERROR(__xludf.DUMMYFUNCTION("""COMPUTED_VALUE"""),100)</f>
        <v>100</v>
      </c>
      <c r="N332" s="1">
        <f ca="1">IFERROR(__xludf.DUMMYFUNCTION("""COMPUTED_VALUE"""),-2.72)</f>
        <v>-2.72</v>
      </c>
      <c r="O332" s="1">
        <f ca="1">IFERROR(__xludf.DUMMYFUNCTION("""COMPUTED_VALUE"""),212)</f>
        <v>212</v>
      </c>
      <c r="P332" s="1">
        <f ca="1">IFERROR(__xludf.DUMMYFUNCTION("""COMPUTED_VALUE"""),103.9)</f>
        <v>103.9</v>
      </c>
      <c r="Q332" s="1">
        <f ca="1">IFERROR(__xludf.DUMMYFUNCTION("""COMPUTED_VALUE"""),199)</f>
        <v>199</v>
      </c>
      <c r="R332" s="1">
        <f ca="1">IFERROR(__xludf.DUMMYFUNCTION("""COMPUTED_VALUE"""),106.6)</f>
        <v>106.6</v>
      </c>
      <c r="S332" s="1">
        <f ca="1">IFERROR(__xludf.DUMMYFUNCTION("""COMPUTED_VALUE"""),223)</f>
        <v>223</v>
      </c>
      <c r="T332" s="1">
        <f ca="1">IFERROR(__xludf.DUMMYFUNCTION("""COMPUTED_VALUE"""),-4.98)</f>
        <v>-4.9800000000000004</v>
      </c>
      <c r="U332" s="1">
        <f ca="1">IFERROR(__xludf.DUMMYFUNCTION("""COMPUTED_VALUE"""),303)</f>
        <v>303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IFERROR(__xludf.DUMMYFUNCTION("""COMPUTED_VALUE"""),"New Orleans")</f>
        <v>New Orleans</v>
      </c>
      <c r="C333" s="1" t="str">
        <f ca="1">IFERROR(__xludf.DUMMYFUNCTION("""COMPUTED_VALUE"""),"Slnd")</f>
        <v>Slnd</v>
      </c>
      <c r="D333" s="2">
        <f ca="1">IFERROR(__xludf.DUMMYFUNCTION("""COMPUTED_VALUE"""),44880)</f>
        <v>44880</v>
      </c>
      <c r="E333" s="1">
        <f ca="1">IFERROR(__xludf.DUMMYFUNCTION("""COMPUTED_VALUE"""),-15.25)</f>
        <v>-15.25</v>
      </c>
      <c r="F333" s="1">
        <f ca="1">IFERROR(__xludf.DUMMYFUNCTION("""COMPUTED_VALUE"""),96.1)</f>
        <v>96.1</v>
      </c>
      <c r="G333" s="1">
        <f ca="1">IFERROR(__xludf.DUMMYFUNCTION("""COMPUTED_VALUE"""),311)</f>
        <v>311</v>
      </c>
      <c r="H333" s="1">
        <f ca="1">IFERROR(__xludf.DUMMYFUNCTION("""COMPUTED_VALUE"""),111.4)</f>
        <v>111.4</v>
      </c>
      <c r="I333" s="1">
        <f ca="1">IFERROR(__xludf.DUMMYFUNCTION("""COMPUTED_VALUE"""),284)</f>
        <v>284</v>
      </c>
      <c r="J333" s="1">
        <f ca="1">IFERROR(__xludf.DUMMYFUNCTION("""COMPUTED_VALUE"""),70.1)</f>
        <v>70.099999999999994</v>
      </c>
      <c r="K333" s="1">
        <f ca="1">IFERROR(__xludf.DUMMYFUNCTION("""COMPUTED_VALUE"""),13)</f>
        <v>13</v>
      </c>
      <c r="L333" s="1" t="str">
        <f ca="1">IFERROR(__xludf.DUMMYFUNCTION("""COMPUTED_VALUE"""),"+.065")</f>
        <v>+.065</v>
      </c>
      <c r="M333" s="1">
        <f ca="1">IFERROR(__xludf.DUMMYFUNCTION("""COMPUTED_VALUE"""),38)</f>
        <v>38</v>
      </c>
      <c r="N333" s="1">
        <f ca="1">IFERROR(__xludf.DUMMYFUNCTION("""COMPUTED_VALUE"""),-5.98)</f>
        <v>-5.98</v>
      </c>
      <c r="O333" s="1">
        <f ca="1">IFERROR(__xludf.DUMMYFUNCTION("""COMPUTED_VALUE"""),290)</f>
        <v>290</v>
      </c>
      <c r="P333" s="1">
        <f ca="1">IFERROR(__xludf.DUMMYFUNCTION("""COMPUTED_VALUE"""),102.9)</f>
        <v>102.9</v>
      </c>
      <c r="Q333" s="1">
        <f ca="1">IFERROR(__xludf.DUMMYFUNCTION("""COMPUTED_VALUE"""),260)</f>
        <v>260</v>
      </c>
      <c r="R333" s="1">
        <f ca="1">IFERROR(__xludf.DUMMYFUNCTION("""COMPUTED_VALUE"""),108.9)</f>
        <v>108.9</v>
      </c>
      <c r="S333" s="1">
        <f ca="1">IFERROR(__xludf.DUMMYFUNCTION("""COMPUTED_VALUE"""),311)</f>
        <v>311</v>
      </c>
      <c r="T333" s="1" t="str">
        <f ca="1">IFERROR(__xludf.DUMMYFUNCTION("""COMPUTED_VALUE"""),"+14.17")</f>
        <v>+14.17</v>
      </c>
      <c r="U333" s="1">
        <f ca="1">IFERROR(__xludf.DUMMYFUNCTION("""COMPUTED_VALUE"""),2)</f>
        <v>2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IFERROR(__xludf.DUMMYFUNCTION("""COMPUTED_VALUE"""),"Tennessee Martin")</f>
        <v>Tennessee Martin</v>
      </c>
      <c r="C334" s="1" t="str">
        <f ca="1">IFERROR(__xludf.DUMMYFUNCTION("""COMPUTED_VALUE"""),"OVC")</f>
        <v>OVC</v>
      </c>
      <c r="D334" s="2">
        <f ca="1">IFERROR(__xludf.DUMMYFUNCTION("""COMPUTED_VALUE"""),44796)</f>
        <v>44796</v>
      </c>
      <c r="E334" s="1">
        <f ca="1">IFERROR(__xludf.DUMMYFUNCTION("""COMPUTED_VALUE"""),-15.4)</f>
        <v>-15.4</v>
      </c>
      <c r="F334" s="1">
        <f ca="1">IFERROR(__xludf.DUMMYFUNCTION("""COMPUTED_VALUE"""),103.2)</f>
        <v>103.2</v>
      </c>
      <c r="G334" s="1">
        <f ca="1">IFERROR(__xludf.DUMMYFUNCTION("""COMPUTED_VALUE"""),211)</f>
        <v>211</v>
      </c>
      <c r="H334" s="1">
        <f ca="1">IFERROR(__xludf.DUMMYFUNCTION("""COMPUTED_VALUE"""),118.6)</f>
        <v>118.6</v>
      </c>
      <c r="I334" s="1">
        <f ca="1">IFERROR(__xludf.DUMMYFUNCTION("""COMPUTED_VALUE"""),346)</f>
        <v>346</v>
      </c>
      <c r="J334" s="1">
        <f ca="1">IFERROR(__xludf.DUMMYFUNCTION("""COMPUTED_VALUE"""),67.4)</f>
        <v>67.400000000000006</v>
      </c>
      <c r="K334" s="1">
        <f ca="1">IFERROR(__xludf.DUMMYFUNCTION("""COMPUTED_VALUE"""),56)</f>
        <v>56</v>
      </c>
      <c r="L334" s="1">
        <f ca="1">IFERROR(__xludf.DUMMYFUNCTION("""COMPUTED_VALUE"""),-0.065)</f>
        <v>-6.5000000000000002E-2</v>
      </c>
      <c r="M334" s="1">
        <f ca="1">IFERROR(__xludf.DUMMYFUNCTION("""COMPUTED_VALUE"""),318)</f>
        <v>318</v>
      </c>
      <c r="N334" s="1">
        <f ca="1">IFERROR(__xludf.DUMMYFUNCTION("""COMPUTED_VALUE"""),-5.8)</f>
        <v>-5.8</v>
      </c>
      <c r="O334" s="1">
        <f ca="1">IFERROR(__xludf.DUMMYFUNCTION("""COMPUTED_VALUE"""),282)</f>
        <v>282</v>
      </c>
      <c r="P334" s="1">
        <f ca="1">IFERROR(__xludf.DUMMYFUNCTION("""COMPUTED_VALUE"""),103.3)</f>
        <v>103.3</v>
      </c>
      <c r="Q334" s="1">
        <f ca="1">IFERROR(__xludf.DUMMYFUNCTION("""COMPUTED_VALUE"""),239)</f>
        <v>239</v>
      </c>
      <c r="R334" s="1">
        <f ca="1">IFERROR(__xludf.DUMMYFUNCTION("""COMPUTED_VALUE"""),109.1)</f>
        <v>109.1</v>
      </c>
      <c r="S334" s="1">
        <f ca="1">IFERROR(__xludf.DUMMYFUNCTION("""COMPUTED_VALUE"""),315)</f>
        <v>315</v>
      </c>
      <c r="T334" s="1">
        <f ca="1">IFERROR(__xludf.DUMMYFUNCTION("""COMPUTED_VALUE"""),-3.45)</f>
        <v>-3.45</v>
      </c>
      <c r="U334" s="1">
        <f ca="1">IFERROR(__xludf.DUMMYFUNCTION("""COMPUTED_VALUE"""),269)</f>
        <v>269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IFERROR(__xludf.DUMMYFUNCTION("""COMPUTED_VALUE"""),"LIU Brooklyn")</f>
        <v>LIU Brooklyn</v>
      </c>
      <c r="C335" s="1" t="str">
        <f ca="1">IFERROR(__xludf.DUMMYFUNCTION("""COMPUTED_VALUE"""),"NEC")</f>
        <v>NEC</v>
      </c>
      <c r="D335" s="2">
        <f ca="1">IFERROR(__xludf.DUMMYFUNCTION("""COMPUTED_VALUE"""),44824)</f>
        <v>44824</v>
      </c>
      <c r="E335" s="1">
        <f ca="1">IFERROR(__xludf.DUMMYFUNCTION("""COMPUTED_VALUE"""),-15.55)</f>
        <v>-15.55</v>
      </c>
      <c r="F335" s="1">
        <f ca="1">IFERROR(__xludf.DUMMYFUNCTION("""COMPUTED_VALUE"""),103)</f>
        <v>103</v>
      </c>
      <c r="G335" s="1">
        <f ca="1">IFERROR(__xludf.DUMMYFUNCTION("""COMPUTED_VALUE"""),213)</f>
        <v>213</v>
      </c>
      <c r="H335" s="1">
        <f ca="1">IFERROR(__xludf.DUMMYFUNCTION("""COMPUTED_VALUE"""),118.6)</f>
        <v>118.6</v>
      </c>
      <c r="I335" s="1">
        <f ca="1">IFERROR(__xludf.DUMMYFUNCTION("""COMPUTED_VALUE"""),347)</f>
        <v>347</v>
      </c>
      <c r="J335" s="1">
        <f ca="1">IFERROR(__xludf.DUMMYFUNCTION("""COMPUTED_VALUE"""),66.4)</f>
        <v>66.400000000000006</v>
      </c>
      <c r="K335" s="1">
        <f ca="1">IFERROR(__xludf.DUMMYFUNCTION("""COMPUTED_VALUE"""),92)</f>
        <v>92</v>
      </c>
      <c r="L335" s="1" t="str">
        <f ca="1">IFERROR(__xludf.DUMMYFUNCTION("""COMPUTED_VALUE"""),"+.077")</f>
        <v>+.077</v>
      </c>
      <c r="M335" s="1">
        <f ca="1">IFERROR(__xludf.DUMMYFUNCTION("""COMPUTED_VALUE"""),28)</f>
        <v>28</v>
      </c>
      <c r="N335" s="1">
        <f ca="1">IFERROR(__xludf.DUMMYFUNCTION("""COMPUTED_VALUE"""),-4.62)</f>
        <v>-4.62</v>
      </c>
      <c r="O335" s="1">
        <f ca="1">IFERROR(__xludf.DUMMYFUNCTION("""COMPUTED_VALUE"""),253)</f>
        <v>253</v>
      </c>
      <c r="P335" s="1">
        <f ca="1">IFERROR(__xludf.DUMMYFUNCTION("""COMPUTED_VALUE"""),102.1)</f>
        <v>102.1</v>
      </c>
      <c r="Q335" s="1">
        <f ca="1">IFERROR(__xludf.DUMMYFUNCTION("""COMPUTED_VALUE"""),296)</f>
        <v>296</v>
      </c>
      <c r="R335" s="1">
        <f ca="1">IFERROR(__xludf.DUMMYFUNCTION("""COMPUTED_VALUE"""),106.7)</f>
        <v>106.7</v>
      </c>
      <c r="S335" s="1">
        <f ca="1">IFERROR(__xludf.DUMMYFUNCTION("""COMPUTED_VALUE"""),227)</f>
        <v>227</v>
      </c>
      <c r="T335" s="1">
        <f ca="1">IFERROR(__xludf.DUMMYFUNCTION("""COMPUTED_VALUE"""),-1.58)</f>
        <v>-1.58</v>
      </c>
      <c r="U335" s="1">
        <f ca="1">IFERROR(__xludf.DUMMYFUNCTION("""COMPUTED_VALUE"""),209)</f>
        <v>209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IFERROR(__xludf.DUMMYFUNCTION("""COMPUTED_VALUE"""),"Delaware St.")</f>
        <v>Delaware St.</v>
      </c>
      <c r="C336" s="1" t="str">
        <f ca="1">IFERROR(__xludf.DUMMYFUNCTION("""COMPUTED_VALUE"""),"MEAC")</f>
        <v>MEAC</v>
      </c>
      <c r="D336" s="2">
        <f ca="1">IFERROR(__xludf.DUMMYFUNCTION("""COMPUTED_VALUE"""),44825)</f>
        <v>44825</v>
      </c>
      <c r="E336" s="1">
        <f ca="1">IFERROR(__xludf.DUMMYFUNCTION("""COMPUTED_VALUE"""),-15.63)</f>
        <v>-15.63</v>
      </c>
      <c r="F336" s="1">
        <f ca="1">IFERROR(__xludf.DUMMYFUNCTION("""COMPUTED_VALUE"""),97.1)</f>
        <v>97.1</v>
      </c>
      <c r="G336" s="1">
        <f ca="1">IFERROR(__xludf.DUMMYFUNCTION("""COMPUTED_VALUE"""),302)</f>
        <v>302</v>
      </c>
      <c r="H336" s="1">
        <f ca="1">IFERROR(__xludf.DUMMYFUNCTION("""COMPUTED_VALUE"""),112.7)</f>
        <v>112.7</v>
      </c>
      <c r="I336" s="1">
        <f ca="1">IFERROR(__xludf.DUMMYFUNCTION("""COMPUTED_VALUE"""),314)</f>
        <v>314</v>
      </c>
      <c r="J336" s="1">
        <f ca="1">IFERROR(__xludf.DUMMYFUNCTION("""COMPUTED_VALUE"""),58.3)</f>
        <v>58.3</v>
      </c>
      <c r="K336" s="1">
        <f ca="1">IFERROR(__xludf.DUMMYFUNCTION("""COMPUTED_VALUE"""),349)</f>
        <v>349</v>
      </c>
      <c r="L336" s="1">
        <f ca="1">IFERROR(__xludf.DUMMYFUNCTION("""COMPUTED_VALUE"""),-0.063)</f>
        <v>-6.3E-2</v>
      </c>
      <c r="M336" s="1">
        <f ca="1">IFERROR(__xludf.DUMMYFUNCTION("""COMPUTED_VALUE"""),315)</f>
        <v>315</v>
      </c>
      <c r="N336" s="1">
        <f ca="1">IFERROR(__xludf.DUMMYFUNCTION("""COMPUTED_VALUE"""),-7.65)</f>
        <v>-7.65</v>
      </c>
      <c r="O336" s="1">
        <f ca="1">IFERROR(__xludf.DUMMYFUNCTION("""COMPUTED_VALUE"""),321)</f>
        <v>321</v>
      </c>
      <c r="P336" s="1">
        <f ca="1">IFERROR(__xludf.DUMMYFUNCTION("""COMPUTED_VALUE"""),99.8)</f>
        <v>99.8</v>
      </c>
      <c r="Q336" s="1">
        <f ca="1">IFERROR(__xludf.DUMMYFUNCTION("""COMPUTED_VALUE"""),339)</f>
        <v>339</v>
      </c>
      <c r="R336" s="1">
        <f ca="1">IFERROR(__xludf.DUMMYFUNCTION("""COMPUTED_VALUE"""),107.4)</f>
        <v>107.4</v>
      </c>
      <c r="S336" s="1">
        <f ca="1">IFERROR(__xludf.DUMMYFUNCTION("""COMPUTED_VALUE"""),258)</f>
        <v>258</v>
      </c>
      <c r="T336" s="1" t="str">
        <f ca="1">IFERROR(__xludf.DUMMYFUNCTION("""COMPUTED_VALUE"""),"+4.94")</f>
        <v>+4.94</v>
      </c>
      <c r="U336" s="1">
        <f ca="1">IFERROR(__xludf.DUMMYFUNCTION("""COMPUTED_VALUE"""),51)</f>
        <v>51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IFERROR(__xludf.DUMMYFUNCTION("""COMPUTED_VALUE"""),"Samford")</f>
        <v>Samford</v>
      </c>
      <c r="C339" s="1" t="str">
        <f ca="1">IFERROR(__xludf.DUMMYFUNCTION("""COMPUTED_VALUE"""),"SC")</f>
        <v>SC</v>
      </c>
      <c r="D339" s="1" t="str">
        <f ca="1">IFERROR(__xludf.DUMMYFUNCTION("""COMPUTED_VALUE"""),"13-20")</f>
        <v>13-20</v>
      </c>
      <c r="E339" s="1">
        <f ca="1">IFERROR(__xludf.DUMMYFUNCTION("""COMPUTED_VALUE"""),-15.64)</f>
        <v>-15.64</v>
      </c>
      <c r="F339" s="1">
        <f ca="1">IFERROR(__xludf.DUMMYFUNCTION("""COMPUTED_VALUE"""),100.9)</f>
        <v>100.9</v>
      </c>
      <c r="G339" s="1">
        <f ca="1">IFERROR(__xludf.DUMMYFUNCTION("""COMPUTED_VALUE"""),247)</f>
        <v>247</v>
      </c>
      <c r="H339" s="1">
        <f ca="1">IFERROR(__xludf.DUMMYFUNCTION("""COMPUTED_VALUE"""),116.6)</f>
        <v>116.6</v>
      </c>
      <c r="I339" s="1">
        <f ca="1">IFERROR(__xludf.DUMMYFUNCTION("""COMPUTED_VALUE"""),338)</f>
        <v>338</v>
      </c>
      <c r="J339" s="1">
        <f ca="1">IFERROR(__xludf.DUMMYFUNCTION("""COMPUTED_VALUE"""),65.3)</f>
        <v>65.3</v>
      </c>
      <c r="K339" s="1">
        <f ca="1">IFERROR(__xludf.DUMMYFUNCTION("""COMPUTED_VALUE"""),145)</f>
        <v>145</v>
      </c>
      <c r="L339" s="1" t="str">
        <f ca="1">IFERROR(__xludf.DUMMYFUNCTION("""COMPUTED_VALUE"""),"+.011")</f>
        <v>+.011</v>
      </c>
      <c r="M339" s="1">
        <f ca="1">IFERROR(__xludf.DUMMYFUNCTION("""COMPUTED_VALUE"""),158)</f>
        <v>158</v>
      </c>
      <c r="N339" s="1">
        <f ca="1">IFERROR(__xludf.DUMMYFUNCTION("""COMPUTED_VALUE"""),-7.46)</f>
        <v>-7.46</v>
      </c>
      <c r="O339" s="1">
        <f ca="1">IFERROR(__xludf.DUMMYFUNCTION("""COMPUTED_VALUE"""),314)</f>
        <v>314</v>
      </c>
      <c r="P339" s="1">
        <f ca="1">IFERROR(__xludf.DUMMYFUNCTION("""COMPUTED_VALUE"""),101.4)</f>
        <v>101.4</v>
      </c>
      <c r="Q339" s="1">
        <f ca="1">IFERROR(__xludf.DUMMYFUNCTION("""COMPUTED_VALUE"""),315)</f>
        <v>315</v>
      </c>
      <c r="R339" s="1">
        <f ca="1">IFERROR(__xludf.DUMMYFUNCTION("""COMPUTED_VALUE"""),108.8)</f>
        <v>108.8</v>
      </c>
      <c r="S339" s="1">
        <f ca="1">IFERROR(__xludf.DUMMYFUNCTION("""COMPUTED_VALUE"""),306)</f>
        <v>306</v>
      </c>
      <c r="T339" s="1">
        <f ca="1">IFERROR(__xludf.DUMMYFUNCTION("""COMPUTED_VALUE"""),-1.7)</f>
        <v>-1.7</v>
      </c>
      <c r="U339" s="1">
        <f ca="1">IFERROR(__xludf.DUMMYFUNCTION("""COMPUTED_VALUE"""),211)</f>
        <v>211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IFERROR(__xludf.DUMMYFUNCTION("""COMPUTED_VALUE"""),"UMass Lowell")</f>
        <v>UMass Lowell</v>
      </c>
      <c r="C340" s="1" t="str">
        <f ca="1">IFERROR(__xludf.DUMMYFUNCTION("""COMPUTED_VALUE"""),"AE")</f>
        <v>AE</v>
      </c>
      <c r="D340" s="2">
        <f ca="1">IFERROR(__xludf.DUMMYFUNCTION("""COMPUTED_VALUE"""),44852)</f>
        <v>44852</v>
      </c>
      <c r="E340" s="1">
        <f ca="1">IFERROR(__xludf.DUMMYFUNCTION("""COMPUTED_VALUE"""),-16.04)</f>
        <v>-16.04</v>
      </c>
      <c r="F340" s="1">
        <f ca="1">IFERROR(__xludf.DUMMYFUNCTION("""COMPUTED_VALUE"""),95.3)</f>
        <v>95.3</v>
      </c>
      <c r="G340" s="1">
        <f ca="1">IFERROR(__xludf.DUMMYFUNCTION("""COMPUTED_VALUE"""),318)</f>
        <v>318</v>
      </c>
      <c r="H340" s="1">
        <f ca="1">IFERROR(__xludf.DUMMYFUNCTION("""COMPUTED_VALUE"""),111.4)</f>
        <v>111.4</v>
      </c>
      <c r="I340" s="1">
        <f ca="1">IFERROR(__xludf.DUMMYFUNCTION("""COMPUTED_VALUE"""),285)</f>
        <v>285</v>
      </c>
      <c r="J340" s="1">
        <f ca="1">IFERROR(__xludf.DUMMYFUNCTION("""COMPUTED_VALUE"""),62.7)</f>
        <v>62.7</v>
      </c>
      <c r="K340" s="1">
        <f ca="1">IFERROR(__xludf.DUMMYFUNCTION("""COMPUTED_VALUE"""),280)</f>
        <v>280</v>
      </c>
      <c r="L340" s="1" t="str">
        <f ca="1">IFERROR(__xludf.DUMMYFUNCTION("""COMPUTED_VALUE"""),"+.063")</f>
        <v>+.063</v>
      </c>
      <c r="M340" s="1">
        <f ca="1">IFERROR(__xludf.DUMMYFUNCTION("""COMPUTED_VALUE"""),43)</f>
        <v>43</v>
      </c>
      <c r="N340" s="1">
        <f ca="1">IFERROR(__xludf.DUMMYFUNCTION("""COMPUTED_VALUE"""),-4.17)</f>
        <v>-4.17</v>
      </c>
      <c r="O340" s="1">
        <f ca="1">IFERROR(__xludf.DUMMYFUNCTION("""COMPUTED_VALUE"""),244)</f>
        <v>244</v>
      </c>
      <c r="P340" s="1">
        <f ca="1">IFERROR(__xludf.DUMMYFUNCTION("""COMPUTED_VALUE"""),101.7)</f>
        <v>101.7</v>
      </c>
      <c r="Q340" s="1">
        <f ca="1">IFERROR(__xludf.DUMMYFUNCTION("""COMPUTED_VALUE"""),309)</f>
        <v>309</v>
      </c>
      <c r="R340" s="1">
        <f ca="1">IFERROR(__xludf.DUMMYFUNCTION("""COMPUTED_VALUE"""),105.9)</f>
        <v>105.9</v>
      </c>
      <c r="S340" s="1">
        <f ca="1">IFERROR(__xludf.DUMMYFUNCTION("""COMPUTED_VALUE"""),198)</f>
        <v>198</v>
      </c>
      <c r="T340" s="1" t="str">
        <f ca="1">IFERROR(__xludf.DUMMYFUNCTION("""COMPUTED_VALUE"""),"+4.91")</f>
        <v>+4.91</v>
      </c>
      <c r="U340" s="1">
        <f ca="1">IFERROR(__xludf.DUMMYFUNCTION("""COMPUTED_VALUE"""),52)</f>
        <v>52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IFERROR(__xludf.DUMMYFUNCTION("""COMPUTED_VALUE"""),"UMBC")</f>
        <v>UMBC</v>
      </c>
      <c r="C341" s="1" t="str">
        <f ca="1">IFERROR(__xludf.DUMMYFUNCTION("""COMPUTED_VALUE"""),"AE")</f>
        <v>AE</v>
      </c>
      <c r="D341" s="2">
        <f ca="1">IFERROR(__xludf.DUMMYFUNCTION("""COMPUTED_VALUE"""),44825)</f>
        <v>44825</v>
      </c>
      <c r="E341" s="1">
        <f ca="1">IFERROR(__xludf.DUMMYFUNCTION("""COMPUTED_VALUE"""),-16.07)</f>
        <v>-16.07</v>
      </c>
      <c r="F341" s="1">
        <f ca="1">IFERROR(__xludf.DUMMYFUNCTION("""COMPUTED_VALUE"""),92.6)</f>
        <v>92.6</v>
      </c>
      <c r="G341" s="1">
        <f ca="1">IFERROR(__xludf.DUMMYFUNCTION("""COMPUTED_VALUE"""),340)</f>
        <v>340</v>
      </c>
      <c r="H341" s="1">
        <f ca="1">IFERROR(__xludf.DUMMYFUNCTION("""COMPUTED_VALUE"""),108.7)</f>
        <v>108.7</v>
      </c>
      <c r="I341" s="1">
        <f ca="1">IFERROR(__xludf.DUMMYFUNCTION("""COMPUTED_VALUE"""),242)</f>
        <v>242</v>
      </c>
      <c r="J341" s="1">
        <f ca="1">IFERROR(__xludf.DUMMYFUNCTION("""COMPUTED_VALUE"""),66.6)</f>
        <v>66.599999999999994</v>
      </c>
      <c r="K341" s="1">
        <f ca="1">IFERROR(__xludf.DUMMYFUNCTION("""COMPUTED_VALUE"""),84)</f>
        <v>84</v>
      </c>
      <c r="L341" s="1">
        <f ca="1">IFERROR(__xludf.DUMMYFUNCTION("""COMPUTED_VALUE"""),-0.003)</f>
        <v>-3.0000000000000001E-3</v>
      </c>
      <c r="M341" s="1">
        <f ca="1">IFERROR(__xludf.DUMMYFUNCTION("""COMPUTED_VALUE"""),193)</f>
        <v>193</v>
      </c>
      <c r="N341" s="1">
        <f ca="1">IFERROR(__xludf.DUMMYFUNCTION("""COMPUTED_VALUE"""),-6.55)</f>
        <v>-6.55</v>
      </c>
      <c r="O341" s="1">
        <f ca="1">IFERROR(__xludf.DUMMYFUNCTION("""COMPUTED_VALUE"""),296)</f>
        <v>296</v>
      </c>
      <c r="P341" s="1">
        <f ca="1">IFERROR(__xludf.DUMMYFUNCTION("""COMPUTED_VALUE"""),100.7)</f>
        <v>100.7</v>
      </c>
      <c r="Q341" s="1">
        <f ca="1">IFERROR(__xludf.DUMMYFUNCTION("""COMPUTED_VALUE"""),328)</f>
        <v>328</v>
      </c>
      <c r="R341" s="1">
        <f ca="1">IFERROR(__xludf.DUMMYFUNCTION("""COMPUTED_VALUE"""),107.2)</f>
        <v>107.2</v>
      </c>
      <c r="S341" s="1">
        <f ca="1">IFERROR(__xludf.DUMMYFUNCTION("""COMPUTED_VALUE"""),255)</f>
        <v>255</v>
      </c>
      <c r="T341" s="1">
        <f ca="1">IFERROR(__xludf.DUMMYFUNCTION("""COMPUTED_VALUE"""),-2.57)</f>
        <v>-2.57</v>
      </c>
      <c r="U341" s="1">
        <f ca="1">IFERROR(__xludf.DUMMYFUNCTION("""COMPUTED_VALUE"""),231)</f>
        <v>231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IFERROR(__xludf.DUMMYFUNCTION("""COMPUTED_VALUE"""),"Alcorn St.")</f>
        <v>Alcorn St.</v>
      </c>
      <c r="C342" s="1" t="str">
        <f ca="1">IFERROR(__xludf.DUMMYFUNCTION("""COMPUTED_VALUE"""),"SWAC")</f>
        <v>SWAC</v>
      </c>
      <c r="D342" s="2">
        <f ca="1">IFERROR(__xludf.DUMMYFUNCTION("""COMPUTED_VALUE"""),44914)</f>
        <v>44914</v>
      </c>
      <c r="E342" s="1">
        <f ca="1">IFERROR(__xludf.DUMMYFUNCTION("""COMPUTED_VALUE"""),-16.47)</f>
        <v>-16.47</v>
      </c>
      <c r="F342" s="1">
        <f ca="1">IFERROR(__xludf.DUMMYFUNCTION("""COMPUTED_VALUE"""),93.4)</f>
        <v>93.4</v>
      </c>
      <c r="G342" s="1">
        <f ca="1">IFERROR(__xludf.DUMMYFUNCTION("""COMPUTED_VALUE"""),335)</f>
        <v>335</v>
      </c>
      <c r="H342" s="1">
        <f ca="1">IFERROR(__xludf.DUMMYFUNCTION("""COMPUTED_VALUE"""),109.8)</f>
        <v>109.8</v>
      </c>
      <c r="I342" s="1">
        <f ca="1">IFERROR(__xludf.DUMMYFUNCTION("""COMPUTED_VALUE"""),262)</f>
        <v>262</v>
      </c>
      <c r="J342" s="1">
        <f ca="1">IFERROR(__xludf.DUMMYFUNCTION("""COMPUTED_VALUE"""),62)</f>
        <v>62</v>
      </c>
      <c r="K342" s="1">
        <f ca="1">IFERROR(__xludf.DUMMYFUNCTION("""COMPUTED_VALUE"""),300)</f>
        <v>300</v>
      </c>
      <c r="L342" s="1">
        <f ca="1">IFERROR(__xludf.DUMMYFUNCTION("""COMPUTED_VALUE"""),-0.013)</f>
        <v>-1.2999999999999999E-2</v>
      </c>
      <c r="M342" s="1">
        <f ca="1">IFERROR(__xludf.DUMMYFUNCTION("""COMPUTED_VALUE"""),215)</f>
        <v>215</v>
      </c>
      <c r="N342" s="1">
        <f ca="1">IFERROR(__xludf.DUMMYFUNCTION("""COMPUTED_VALUE"""),-9.32)</f>
        <v>-9.32</v>
      </c>
      <c r="O342" s="1">
        <f ca="1">IFERROR(__xludf.DUMMYFUNCTION("""COMPUTED_VALUE"""),343)</f>
        <v>343</v>
      </c>
      <c r="P342" s="1">
        <f ca="1">IFERROR(__xludf.DUMMYFUNCTION("""COMPUTED_VALUE"""),99.5)</f>
        <v>99.5</v>
      </c>
      <c r="Q342" s="1">
        <f ca="1">IFERROR(__xludf.DUMMYFUNCTION("""COMPUTED_VALUE"""),342)</f>
        <v>342</v>
      </c>
      <c r="R342" s="1">
        <f ca="1">IFERROR(__xludf.DUMMYFUNCTION("""COMPUTED_VALUE"""),108.9)</f>
        <v>108.9</v>
      </c>
      <c r="S342" s="1">
        <f ca="1">IFERROR(__xludf.DUMMYFUNCTION("""COMPUTED_VALUE"""),308)</f>
        <v>308</v>
      </c>
      <c r="T342" s="1" t="str">
        <f ca="1">IFERROR(__xludf.DUMMYFUNCTION("""COMPUTED_VALUE"""),"+6.45")</f>
        <v>+6.45</v>
      </c>
      <c r="U342" s="1">
        <f ca="1">IFERROR(__xludf.DUMMYFUNCTION("""COMPUTED_VALUE"""),32)</f>
        <v>32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IFERROR(__xludf.DUMMYFUNCTION("""COMPUTED_VALUE"""),"Prairie View A&amp;M")</f>
        <v>Prairie View A&amp;M</v>
      </c>
      <c r="C343" s="1" t="str">
        <f ca="1">IFERROR(__xludf.DUMMYFUNCTION("""COMPUTED_VALUE"""),"SWAC")</f>
        <v>SWAC</v>
      </c>
      <c r="D343" s="2">
        <f ca="1">IFERROR(__xludf.DUMMYFUNCTION("""COMPUTED_VALUE"""),44888)</f>
        <v>44888</v>
      </c>
      <c r="E343" s="1">
        <f ca="1">IFERROR(__xludf.DUMMYFUNCTION("""COMPUTED_VALUE"""),-16.86)</f>
        <v>-16.86</v>
      </c>
      <c r="F343" s="1">
        <f ca="1">IFERROR(__xludf.DUMMYFUNCTION("""COMPUTED_VALUE"""),96.1)</f>
        <v>96.1</v>
      </c>
      <c r="G343" s="1">
        <f ca="1">IFERROR(__xludf.DUMMYFUNCTION("""COMPUTED_VALUE"""),312)</f>
        <v>312</v>
      </c>
      <c r="H343" s="1">
        <f ca="1">IFERROR(__xludf.DUMMYFUNCTION("""COMPUTED_VALUE"""),113)</f>
        <v>113</v>
      </c>
      <c r="I343" s="1">
        <f ca="1">IFERROR(__xludf.DUMMYFUNCTION("""COMPUTED_VALUE"""),318)</f>
        <v>318</v>
      </c>
      <c r="J343" s="1">
        <f ca="1">IFERROR(__xludf.DUMMYFUNCTION("""COMPUTED_VALUE"""),65.9)</f>
        <v>65.900000000000006</v>
      </c>
      <c r="K343" s="1">
        <f ca="1">IFERROR(__xludf.DUMMYFUNCTION("""COMPUTED_VALUE"""),113)</f>
        <v>113</v>
      </c>
      <c r="L343" s="1" t="str">
        <f ca="1">IFERROR(__xludf.DUMMYFUNCTION("""COMPUTED_VALUE"""),"+.005")</f>
        <v>+.005</v>
      </c>
      <c r="M343" s="1">
        <f ca="1">IFERROR(__xludf.DUMMYFUNCTION("""COMPUTED_VALUE"""),174)</f>
        <v>174</v>
      </c>
      <c r="N343" s="1">
        <f ca="1">IFERROR(__xludf.DUMMYFUNCTION("""COMPUTED_VALUE"""),-8.28)</f>
        <v>-8.2799999999999994</v>
      </c>
      <c r="O343" s="1">
        <f ca="1">IFERROR(__xludf.DUMMYFUNCTION("""COMPUTED_VALUE"""),334)</f>
        <v>334</v>
      </c>
      <c r="P343" s="1">
        <f ca="1">IFERROR(__xludf.DUMMYFUNCTION("""COMPUTED_VALUE"""),100)</f>
        <v>100</v>
      </c>
      <c r="Q343" s="1">
        <f ca="1">IFERROR(__xludf.DUMMYFUNCTION("""COMPUTED_VALUE"""),336)</f>
        <v>336</v>
      </c>
      <c r="R343" s="1">
        <f ca="1">IFERROR(__xludf.DUMMYFUNCTION("""COMPUTED_VALUE"""),108.3)</f>
        <v>108.3</v>
      </c>
      <c r="S343" s="1">
        <f ca="1">IFERROR(__xludf.DUMMYFUNCTION("""COMPUTED_VALUE"""),285)</f>
        <v>285</v>
      </c>
      <c r="T343" s="1" t="str">
        <f ca="1">IFERROR(__xludf.DUMMYFUNCTION("""COMPUTED_VALUE"""),"+8.77")</f>
        <v>+8.77</v>
      </c>
      <c r="U343" s="1">
        <f ca="1">IFERROR(__xludf.DUMMYFUNCTION("""COMPUTED_VALUE"""),14)</f>
        <v>14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IFERROR(__xludf.DUMMYFUNCTION("""COMPUTED_VALUE"""),"Arkansas Pine Bluff")</f>
        <v>Arkansas Pine Bluff</v>
      </c>
      <c r="C344" s="1" t="str">
        <f ca="1">IFERROR(__xludf.DUMMYFUNCTION("""COMPUTED_VALUE"""),"SWAC")</f>
        <v>SWAC</v>
      </c>
      <c r="D344" s="1" t="str">
        <f ca="1">IFERROR(__xludf.DUMMYFUNCTION("""COMPUTED_VALUE"""),"13-18")</f>
        <v>13-18</v>
      </c>
      <c r="E344" s="1">
        <f ca="1">IFERROR(__xludf.DUMMYFUNCTION("""COMPUTED_VALUE"""),-17.01)</f>
        <v>-17.010000000000002</v>
      </c>
      <c r="F344" s="1">
        <f ca="1">IFERROR(__xludf.DUMMYFUNCTION("""COMPUTED_VALUE"""),91.7)</f>
        <v>91.7</v>
      </c>
      <c r="G344" s="1">
        <f ca="1">IFERROR(__xludf.DUMMYFUNCTION("""COMPUTED_VALUE"""),344)</f>
        <v>344</v>
      </c>
      <c r="H344" s="1">
        <f ca="1">IFERROR(__xludf.DUMMYFUNCTION("""COMPUTED_VALUE"""),108.7)</f>
        <v>108.7</v>
      </c>
      <c r="I344" s="1">
        <f ca="1">IFERROR(__xludf.DUMMYFUNCTION("""COMPUTED_VALUE"""),244)</f>
        <v>244</v>
      </c>
      <c r="J344" s="1">
        <f ca="1">IFERROR(__xludf.DUMMYFUNCTION("""COMPUTED_VALUE"""),65)</f>
        <v>65</v>
      </c>
      <c r="K344" s="1">
        <f ca="1">IFERROR(__xludf.DUMMYFUNCTION("""COMPUTED_VALUE"""),159)</f>
        <v>159</v>
      </c>
      <c r="L344" s="1" t="str">
        <f ca="1">IFERROR(__xludf.DUMMYFUNCTION("""COMPUTED_VALUE"""),"+.089")</f>
        <v>+.089</v>
      </c>
      <c r="M344" s="1">
        <f ca="1">IFERROR(__xludf.DUMMYFUNCTION("""COMPUTED_VALUE"""),16)</f>
        <v>16</v>
      </c>
      <c r="N344" s="1">
        <f ca="1">IFERROR(__xludf.DUMMYFUNCTION("""COMPUTED_VALUE"""),-7.26)</f>
        <v>-7.26</v>
      </c>
      <c r="O344" s="1">
        <f ca="1">IFERROR(__xludf.DUMMYFUNCTION("""COMPUTED_VALUE"""),312)</f>
        <v>312</v>
      </c>
      <c r="P344" s="1">
        <f ca="1">IFERROR(__xludf.DUMMYFUNCTION("""COMPUTED_VALUE"""),100.4)</f>
        <v>100.4</v>
      </c>
      <c r="Q344" s="1">
        <f ca="1">IFERROR(__xludf.DUMMYFUNCTION("""COMPUTED_VALUE"""),331)</f>
        <v>331</v>
      </c>
      <c r="R344" s="1">
        <f ca="1">IFERROR(__xludf.DUMMYFUNCTION("""COMPUTED_VALUE"""),107.7)</f>
        <v>107.7</v>
      </c>
      <c r="S344" s="1">
        <f ca="1">IFERROR(__xludf.DUMMYFUNCTION("""COMPUTED_VALUE"""),267)</f>
        <v>267</v>
      </c>
      <c r="T344" s="1" t="str">
        <f ca="1">IFERROR(__xludf.DUMMYFUNCTION("""COMPUTED_VALUE"""),"+12.22")</f>
        <v>+12.22</v>
      </c>
      <c r="U344" s="1">
        <f ca="1">IFERROR(__xludf.DUMMYFUNCTION("""COMPUTED_VALUE"""),7)</f>
        <v>7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IFERROR(__xludf.DUMMYFUNCTION("""COMPUTED_VALUE"""),"Campbell")</f>
        <v>Campbell</v>
      </c>
      <c r="C345" s="1" t="str">
        <f ca="1">IFERROR(__xludf.DUMMYFUNCTION("""COMPUTED_VALUE"""),"BSth")</f>
        <v>BSth</v>
      </c>
      <c r="D345" s="2">
        <f ca="1">IFERROR(__xludf.DUMMYFUNCTION("""COMPUTED_VALUE"""),44915)</f>
        <v>44915</v>
      </c>
      <c r="E345" s="1">
        <f ca="1">IFERROR(__xludf.DUMMYFUNCTION("""COMPUTED_VALUE"""),-17.42)</f>
        <v>-17.420000000000002</v>
      </c>
      <c r="F345" s="1">
        <f ca="1">IFERROR(__xludf.DUMMYFUNCTION("""COMPUTED_VALUE"""),98.5)</f>
        <v>98.5</v>
      </c>
      <c r="G345" s="1">
        <f ca="1">IFERROR(__xludf.DUMMYFUNCTION("""COMPUTED_VALUE"""),285)</f>
        <v>285</v>
      </c>
      <c r="H345" s="1">
        <f ca="1">IFERROR(__xludf.DUMMYFUNCTION("""COMPUTED_VALUE"""),115.9)</f>
        <v>115.9</v>
      </c>
      <c r="I345" s="1">
        <f ca="1">IFERROR(__xludf.DUMMYFUNCTION("""COMPUTED_VALUE"""),334)</f>
        <v>334</v>
      </c>
      <c r="J345" s="1">
        <f ca="1">IFERROR(__xludf.DUMMYFUNCTION("""COMPUTED_VALUE"""),61.9)</f>
        <v>61.9</v>
      </c>
      <c r="K345" s="1">
        <f ca="1">IFERROR(__xludf.DUMMYFUNCTION("""COMPUTED_VALUE"""),303)</f>
        <v>303</v>
      </c>
      <c r="L345" s="1" t="str">
        <f ca="1">IFERROR(__xludf.DUMMYFUNCTION("""COMPUTED_VALUE"""),"+.059")</f>
        <v>+.059</v>
      </c>
      <c r="M345" s="1">
        <f ca="1">IFERROR(__xludf.DUMMYFUNCTION("""COMPUTED_VALUE"""),56)</f>
        <v>56</v>
      </c>
      <c r="N345" s="1">
        <f ca="1">IFERROR(__xludf.DUMMYFUNCTION("""COMPUTED_VALUE"""),-7.63)</f>
        <v>-7.63</v>
      </c>
      <c r="O345" s="1">
        <f ca="1">IFERROR(__xludf.DUMMYFUNCTION("""COMPUTED_VALUE"""),318)</f>
        <v>318</v>
      </c>
      <c r="P345" s="1">
        <f ca="1">IFERROR(__xludf.DUMMYFUNCTION("""COMPUTED_VALUE"""),102.6)</f>
        <v>102.6</v>
      </c>
      <c r="Q345" s="1">
        <f ca="1">IFERROR(__xludf.DUMMYFUNCTION("""COMPUTED_VALUE"""),277)</f>
        <v>277</v>
      </c>
      <c r="R345" s="1">
        <f ca="1">IFERROR(__xludf.DUMMYFUNCTION("""COMPUTED_VALUE"""),110.3)</f>
        <v>110.3</v>
      </c>
      <c r="S345" s="1">
        <f ca="1">IFERROR(__xludf.DUMMYFUNCTION("""COMPUTED_VALUE"""),344)</f>
        <v>344</v>
      </c>
      <c r="T345" s="1">
        <f ca="1">IFERROR(__xludf.DUMMYFUNCTION("""COMPUTED_VALUE"""),-3.55)</f>
        <v>-3.55</v>
      </c>
      <c r="U345" s="1">
        <f ca="1">IFERROR(__xludf.DUMMYFUNCTION("""COMPUTED_VALUE"""),273)</f>
        <v>273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IFERROR(__xludf.DUMMYFUNCTION("""COMPUTED_VALUE"""),"New Hampshire")</f>
        <v>New Hampshire</v>
      </c>
      <c r="C346" s="1" t="str">
        <f ca="1">IFERROR(__xludf.DUMMYFUNCTION("""COMPUTED_VALUE"""),"AE")</f>
        <v>AE</v>
      </c>
      <c r="D346" s="2">
        <f ca="1">IFERROR(__xludf.DUMMYFUNCTION("""COMPUTED_VALUE"""),44736)</f>
        <v>44736</v>
      </c>
      <c r="E346" s="1">
        <f ca="1">IFERROR(__xludf.DUMMYFUNCTION("""COMPUTED_VALUE"""),-17.67)</f>
        <v>-17.670000000000002</v>
      </c>
      <c r="F346" s="1">
        <f ca="1">IFERROR(__xludf.DUMMYFUNCTION("""COMPUTED_VALUE"""),88.7)</f>
        <v>88.7</v>
      </c>
      <c r="G346" s="1">
        <f ca="1">IFERROR(__xludf.DUMMYFUNCTION("""COMPUTED_VALUE"""),349)</f>
        <v>349</v>
      </c>
      <c r="H346" s="1">
        <f ca="1">IFERROR(__xludf.DUMMYFUNCTION("""COMPUTED_VALUE"""),106.4)</f>
        <v>106.4</v>
      </c>
      <c r="I346" s="1">
        <f ca="1">IFERROR(__xludf.DUMMYFUNCTION("""COMPUTED_VALUE"""),197)</f>
        <v>197</v>
      </c>
      <c r="J346" s="1">
        <f ca="1">IFERROR(__xludf.DUMMYFUNCTION("""COMPUTED_VALUE"""),61.2)</f>
        <v>61.2</v>
      </c>
      <c r="K346" s="1">
        <f ca="1">IFERROR(__xludf.DUMMYFUNCTION("""COMPUTED_VALUE"""),322)</f>
        <v>322</v>
      </c>
      <c r="L346" s="1">
        <f ca="1">IFERROR(__xludf.DUMMYFUNCTION("""COMPUTED_VALUE"""),-0.086)</f>
        <v>-8.5999999999999993E-2</v>
      </c>
      <c r="M346" s="1">
        <f ca="1">IFERROR(__xludf.DUMMYFUNCTION("""COMPUTED_VALUE"""),336)</f>
        <v>336</v>
      </c>
      <c r="N346" s="1">
        <f ca="1">IFERROR(__xludf.DUMMYFUNCTION("""COMPUTED_VALUE"""),-5.82)</f>
        <v>-5.82</v>
      </c>
      <c r="O346" s="1">
        <f ca="1">IFERROR(__xludf.DUMMYFUNCTION("""COMPUTED_VALUE"""),284)</f>
        <v>284</v>
      </c>
      <c r="P346" s="1">
        <f ca="1">IFERROR(__xludf.DUMMYFUNCTION("""COMPUTED_VALUE"""),101.3)</f>
        <v>101.3</v>
      </c>
      <c r="Q346" s="1">
        <f ca="1">IFERROR(__xludf.DUMMYFUNCTION("""COMPUTED_VALUE"""),319)</f>
        <v>319</v>
      </c>
      <c r="R346" s="1">
        <f ca="1">IFERROR(__xludf.DUMMYFUNCTION("""COMPUTED_VALUE"""),107.2)</f>
        <v>107.2</v>
      </c>
      <c r="S346" s="1">
        <f ca="1">IFERROR(__xludf.DUMMYFUNCTION("""COMPUTED_VALUE"""),254)</f>
        <v>254</v>
      </c>
      <c r="T346" s="1">
        <f ca="1">IFERROR(__xludf.DUMMYFUNCTION("""COMPUTED_VALUE"""),-1.75)</f>
        <v>-1.75</v>
      </c>
      <c r="U346" s="1">
        <f ca="1">IFERROR(__xludf.DUMMYFUNCTION("""COMPUTED_VALUE"""),214)</f>
        <v>214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IFERROR(__xludf.DUMMYFUNCTION("""COMPUTED_VALUE"""),"Central Arkansas")</f>
        <v>Central Arkansas</v>
      </c>
      <c r="C347" s="1" t="str">
        <f ca="1">IFERROR(__xludf.DUMMYFUNCTION("""COMPUTED_VALUE"""),"Slnd")</f>
        <v>Slnd</v>
      </c>
      <c r="D347" s="2">
        <f ca="1">IFERROR(__xludf.DUMMYFUNCTION("""COMPUTED_VALUE"""),44794)</f>
        <v>44794</v>
      </c>
      <c r="E347" s="1">
        <f ca="1">IFERROR(__xludf.DUMMYFUNCTION("""COMPUTED_VALUE"""),-17.82)</f>
        <v>-17.82</v>
      </c>
      <c r="F347" s="1">
        <f ca="1">IFERROR(__xludf.DUMMYFUNCTION("""COMPUTED_VALUE"""),95.3)</f>
        <v>95.3</v>
      </c>
      <c r="G347" s="1">
        <f ca="1">IFERROR(__xludf.DUMMYFUNCTION("""COMPUTED_VALUE"""),319)</f>
        <v>319</v>
      </c>
      <c r="H347" s="1">
        <f ca="1">IFERROR(__xludf.DUMMYFUNCTION("""COMPUTED_VALUE"""),113.1)</f>
        <v>113.1</v>
      </c>
      <c r="I347" s="1">
        <f ca="1">IFERROR(__xludf.DUMMYFUNCTION("""COMPUTED_VALUE"""),319)</f>
        <v>319</v>
      </c>
      <c r="J347" s="1">
        <f ca="1">IFERROR(__xludf.DUMMYFUNCTION("""COMPUTED_VALUE"""),70.7)</f>
        <v>70.7</v>
      </c>
      <c r="K347" s="1">
        <f ca="1">IFERROR(__xludf.DUMMYFUNCTION("""COMPUTED_VALUE"""),8)</f>
        <v>8</v>
      </c>
      <c r="L347" s="1">
        <f ca="1">IFERROR(__xludf.DUMMYFUNCTION("""COMPUTED_VALUE"""),-0.009)</f>
        <v>-8.9999999999999993E-3</v>
      </c>
      <c r="M347" s="1">
        <f ca="1">IFERROR(__xludf.DUMMYFUNCTION("""COMPUTED_VALUE"""),206)</f>
        <v>206</v>
      </c>
      <c r="N347" s="1">
        <f ca="1">IFERROR(__xludf.DUMMYFUNCTION("""COMPUTED_VALUE"""),-5.95)</f>
        <v>-5.95</v>
      </c>
      <c r="O347" s="1">
        <f ca="1">IFERROR(__xludf.DUMMYFUNCTION("""COMPUTED_VALUE"""),289)</f>
        <v>289</v>
      </c>
      <c r="P347" s="1">
        <f ca="1">IFERROR(__xludf.DUMMYFUNCTION("""COMPUTED_VALUE"""),102.8)</f>
        <v>102.8</v>
      </c>
      <c r="Q347" s="1">
        <f ca="1">IFERROR(__xludf.DUMMYFUNCTION("""COMPUTED_VALUE"""),268)</f>
        <v>268</v>
      </c>
      <c r="R347" s="1">
        <f ca="1">IFERROR(__xludf.DUMMYFUNCTION("""COMPUTED_VALUE"""),108.8)</f>
        <v>108.8</v>
      </c>
      <c r="S347" s="1">
        <f ca="1">IFERROR(__xludf.DUMMYFUNCTION("""COMPUTED_VALUE"""),297)</f>
        <v>297</v>
      </c>
      <c r="T347" s="1" t="str">
        <f ca="1">IFERROR(__xludf.DUMMYFUNCTION("""COMPUTED_VALUE"""),"+0.51")</f>
        <v>+0.51</v>
      </c>
      <c r="U347" s="1">
        <f ca="1">IFERROR(__xludf.DUMMYFUNCTION("""COMPUTED_VALUE"""),146)</f>
        <v>146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IFERROR(__xludf.DUMMYFUNCTION("""COMPUTED_VALUE"""),"IUPUI")</f>
        <v>IUPUI</v>
      </c>
      <c r="C348" s="1" t="str">
        <f ca="1">IFERROR(__xludf.DUMMYFUNCTION("""COMPUTED_VALUE"""),"Sum")</f>
        <v>Sum</v>
      </c>
      <c r="D348" s="2">
        <f ca="1">IFERROR(__xludf.DUMMYFUNCTION("""COMPUTED_VALUE"""),44738)</f>
        <v>44738</v>
      </c>
      <c r="E348" s="1">
        <f ca="1">IFERROR(__xludf.DUMMYFUNCTION("""COMPUTED_VALUE"""),-18.16)</f>
        <v>-18.16</v>
      </c>
      <c r="F348" s="1">
        <f ca="1">IFERROR(__xludf.DUMMYFUNCTION("""COMPUTED_VALUE"""),96.2)</f>
        <v>96.2</v>
      </c>
      <c r="G348" s="1">
        <f ca="1">IFERROR(__xludf.DUMMYFUNCTION("""COMPUTED_VALUE"""),310)</f>
        <v>310</v>
      </c>
      <c r="H348" s="1">
        <f ca="1">IFERROR(__xludf.DUMMYFUNCTION("""COMPUTED_VALUE"""),114.3)</f>
        <v>114.3</v>
      </c>
      <c r="I348" s="1">
        <f ca="1">IFERROR(__xludf.DUMMYFUNCTION("""COMPUTED_VALUE"""),328)</f>
        <v>328</v>
      </c>
      <c r="J348" s="1">
        <f ca="1">IFERROR(__xludf.DUMMYFUNCTION("""COMPUTED_VALUE"""),64.2)</f>
        <v>64.2</v>
      </c>
      <c r="K348" s="1">
        <f ca="1">IFERROR(__xludf.DUMMYFUNCTION("""COMPUTED_VALUE"""),210)</f>
        <v>210</v>
      </c>
      <c r="L348" s="1">
        <f ca="1">IFERROR(__xludf.DUMMYFUNCTION("""COMPUTED_VALUE"""),-0.037)</f>
        <v>-3.6999999999999998E-2</v>
      </c>
      <c r="M348" s="1">
        <f ca="1">IFERROR(__xludf.DUMMYFUNCTION("""COMPUTED_VALUE"""),261)</f>
        <v>261</v>
      </c>
      <c r="N348" s="1">
        <f ca="1">IFERROR(__xludf.DUMMYFUNCTION("""COMPUTED_VALUE"""),-0.74)</f>
        <v>-0.74</v>
      </c>
      <c r="O348" s="1">
        <f ca="1">IFERROR(__xludf.DUMMYFUNCTION("""COMPUTED_VALUE"""),165)</f>
        <v>165</v>
      </c>
      <c r="P348" s="1">
        <f ca="1">IFERROR(__xludf.DUMMYFUNCTION("""COMPUTED_VALUE"""),105.3)</f>
        <v>105.3</v>
      </c>
      <c r="Q348" s="1">
        <f ca="1">IFERROR(__xludf.DUMMYFUNCTION("""COMPUTED_VALUE"""),144)</f>
        <v>144</v>
      </c>
      <c r="R348" s="1">
        <f ca="1">IFERROR(__xludf.DUMMYFUNCTION("""COMPUTED_VALUE"""),106)</f>
        <v>106</v>
      </c>
      <c r="S348" s="1">
        <f ca="1">IFERROR(__xludf.DUMMYFUNCTION("""COMPUTED_VALUE"""),201)</f>
        <v>201</v>
      </c>
      <c r="T348" s="1">
        <f ca="1">IFERROR(__xludf.DUMMYFUNCTION("""COMPUTED_VALUE"""),-1.15)</f>
        <v>-1.1499999999999999</v>
      </c>
      <c r="U348" s="1">
        <f ca="1">IFERROR(__xludf.DUMMYFUNCTION("""COMPUTED_VALUE"""),196)</f>
        <v>196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IFERROR(__xludf.DUMMYFUNCTION("""COMPUTED_VALUE"""),"Appalachian St.")</f>
        <v>Appalachian St.</v>
      </c>
      <c r="C349" s="1" t="str">
        <f ca="1">IFERROR(__xludf.DUMMYFUNCTION("""COMPUTED_VALUE"""),"SC")</f>
        <v>SC</v>
      </c>
      <c r="D349" s="2">
        <f ca="1">IFERROR(__xludf.DUMMYFUNCTION("""COMPUTED_VALUE"""),44825)</f>
        <v>44825</v>
      </c>
      <c r="E349" s="1">
        <f ca="1">IFERROR(__xludf.DUMMYFUNCTION("""COMPUTED_VALUE"""),-18.63)</f>
        <v>-18.63</v>
      </c>
      <c r="F349" s="1">
        <f ca="1">IFERROR(__xludf.DUMMYFUNCTION("""COMPUTED_VALUE"""),92)</f>
        <v>92</v>
      </c>
      <c r="G349" s="1">
        <f ca="1">IFERROR(__xludf.DUMMYFUNCTION("""COMPUTED_VALUE"""),341)</f>
        <v>341</v>
      </c>
      <c r="H349" s="1">
        <f ca="1">IFERROR(__xludf.DUMMYFUNCTION("""COMPUTED_VALUE"""),110.7)</f>
        <v>110.7</v>
      </c>
      <c r="I349" s="1">
        <f ca="1">IFERROR(__xludf.DUMMYFUNCTION("""COMPUTED_VALUE"""),273)</f>
        <v>273</v>
      </c>
      <c r="J349" s="1">
        <f ca="1">IFERROR(__xludf.DUMMYFUNCTION("""COMPUTED_VALUE"""),64.7)</f>
        <v>64.7</v>
      </c>
      <c r="K349" s="1">
        <f ca="1">IFERROR(__xludf.DUMMYFUNCTION("""COMPUTED_VALUE"""),173)</f>
        <v>173</v>
      </c>
      <c r="L349" s="1">
        <f ca="1">IFERROR(__xludf.DUMMYFUNCTION("""COMPUTED_VALUE"""),-0.033)</f>
        <v>-3.3000000000000002E-2</v>
      </c>
      <c r="M349" s="1">
        <f ca="1">IFERROR(__xludf.DUMMYFUNCTION("""COMPUTED_VALUE"""),251)</f>
        <v>251</v>
      </c>
      <c r="N349" s="1">
        <f ca="1">IFERROR(__xludf.DUMMYFUNCTION("""COMPUTED_VALUE"""),-7.65)</f>
        <v>-7.65</v>
      </c>
      <c r="O349" s="1">
        <f ca="1">IFERROR(__xludf.DUMMYFUNCTION("""COMPUTED_VALUE"""),320)</f>
        <v>320</v>
      </c>
      <c r="P349" s="1">
        <f ca="1">IFERROR(__xludf.DUMMYFUNCTION("""COMPUTED_VALUE"""),102)</f>
        <v>102</v>
      </c>
      <c r="Q349" s="1">
        <f ca="1">IFERROR(__xludf.DUMMYFUNCTION("""COMPUTED_VALUE"""),299)</f>
        <v>299</v>
      </c>
      <c r="R349" s="1">
        <f ca="1">IFERROR(__xludf.DUMMYFUNCTION("""COMPUTED_VALUE"""),109.7)</f>
        <v>109.7</v>
      </c>
      <c r="S349" s="1">
        <f ca="1">IFERROR(__xludf.DUMMYFUNCTION("""COMPUTED_VALUE"""),329)</f>
        <v>329</v>
      </c>
      <c r="T349" s="1" t="str">
        <f ca="1">IFERROR(__xludf.DUMMYFUNCTION("""COMPUTED_VALUE"""),"+3.40")</f>
        <v>+3.40</v>
      </c>
      <c r="U349" s="1">
        <f ca="1">IFERROR(__xludf.DUMMYFUNCTION("""COMPUTED_VALUE"""),66)</f>
        <v>66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IFERROR(__xludf.DUMMYFUNCTION("""COMPUTED_VALUE"""),"Howard")</f>
        <v>Howard</v>
      </c>
      <c r="C350" s="1" t="str">
        <f ca="1">IFERROR(__xludf.DUMMYFUNCTION("""COMPUTED_VALUE"""),"MEAC")</f>
        <v>MEAC</v>
      </c>
      <c r="D350" s="2">
        <f ca="1">IFERROR(__xludf.DUMMYFUNCTION("""COMPUTED_VALUE"""),44798)</f>
        <v>44798</v>
      </c>
      <c r="E350" s="1">
        <f ca="1">IFERROR(__xludf.DUMMYFUNCTION("""COMPUTED_VALUE"""),-18.88)</f>
        <v>-18.88</v>
      </c>
      <c r="F350" s="1">
        <f ca="1">IFERROR(__xludf.DUMMYFUNCTION("""COMPUTED_VALUE"""),87.7)</f>
        <v>87.7</v>
      </c>
      <c r="G350" s="1">
        <f ca="1">IFERROR(__xludf.DUMMYFUNCTION("""COMPUTED_VALUE"""),350)</f>
        <v>350</v>
      </c>
      <c r="H350" s="1">
        <f ca="1">IFERROR(__xludf.DUMMYFUNCTION("""COMPUTED_VALUE"""),106.6)</f>
        <v>106.6</v>
      </c>
      <c r="I350" s="1">
        <f ca="1">IFERROR(__xludf.DUMMYFUNCTION("""COMPUTED_VALUE"""),201)</f>
        <v>201</v>
      </c>
      <c r="J350" s="1">
        <f ca="1">IFERROR(__xludf.DUMMYFUNCTION("""COMPUTED_VALUE"""),65.9)</f>
        <v>65.900000000000006</v>
      </c>
      <c r="K350" s="1">
        <f ca="1">IFERROR(__xludf.DUMMYFUNCTION("""COMPUTED_VALUE"""),110)</f>
        <v>110</v>
      </c>
      <c r="L350" s="1">
        <f ca="1">IFERROR(__xludf.DUMMYFUNCTION("""COMPUTED_VALUE"""),-0.027)</f>
        <v>-2.7E-2</v>
      </c>
      <c r="M350" s="1">
        <f ca="1">IFERROR(__xludf.DUMMYFUNCTION("""COMPUTED_VALUE"""),241)</f>
        <v>241</v>
      </c>
      <c r="N350" s="1">
        <f ca="1">IFERROR(__xludf.DUMMYFUNCTION("""COMPUTED_VALUE"""),-4.05)</f>
        <v>-4.05</v>
      </c>
      <c r="O350" s="1">
        <f ca="1">IFERROR(__xludf.DUMMYFUNCTION("""COMPUTED_VALUE"""),241)</f>
        <v>241</v>
      </c>
      <c r="P350" s="1">
        <f ca="1">IFERROR(__xludf.DUMMYFUNCTION("""COMPUTED_VALUE"""),102.8)</f>
        <v>102.8</v>
      </c>
      <c r="Q350" s="1">
        <f ca="1">IFERROR(__xludf.DUMMYFUNCTION("""COMPUTED_VALUE"""),270)</f>
        <v>270</v>
      </c>
      <c r="R350" s="1">
        <f ca="1">IFERROR(__xludf.DUMMYFUNCTION("""COMPUTED_VALUE"""),106.8)</f>
        <v>106.8</v>
      </c>
      <c r="S350" s="1">
        <f ca="1">IFERROR(__xludf.DUMMYFUNCTION("""COMPUTED_VALUE"""),235)</f>
        <v>235</v>
      </c>
      <c r="T350" s="1" t="str">
        <f ca="1">IFERROR(__xludf.DUMMYFUNCTION("""COMPUTED_VALUE"""),"+5.44")</f>
        <v>+5.44</v>
      </c>
      <c r="U350" s="1">
        <f ca="1">IFERROR(__xludf.DUMMYFUNCTION("""COMPUTED_VALUE"""),41)</f>
        <v>41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IFERROR(__xludf.DUMMYFUNCTION("""COMPUTED_VALUE"""),"Binghamton")</f>
        <v>Binghamton</v>
      </c>
      <c r="C351" s="1" t="str">
        <f ca="1">IFERROR(__xludf.DUMMYFUNCTION("""COMPUTED_VALUE"""),"AE")</f>
        <v>AE</v>
      </c>
      <c r="D351" s="2">
        <f ca="1">IFERROR(__xludf.DUMMYFUNCTION("""COMPUTED_VALUE"""),44765)</f>
        <v>44765</v>
      </c>
      <c r="E351" s="1">
        <f ca="1">IFERROR(__xludf.DUMMYFUNCTION("""COMPUTED_VALUE"""),-19.39)</f>
        <v>-19.39</v>
      </c>
      <c r="F351" s="1">
        <f ca="1">IFERROR(__xludf.DUMMYFUNCTION("""COMPUTED_VALUE"""),91.7)</f>
        <v>91.7</v>
      </c>
      <c r="G351" s="1">
        <f ca="1">IFERROR(__xludf.DUMMYFUNCTION("""COMPUTED_VALUE"""),346)</f>
        <v>346</v>
      </c>
      <c r="H351" s="1">
        <f ca="1">IFERROR(__xludf.DUMMYFUNCTION("""COMPUTED_VALUE"""),111.1)</f>
        <v>111.1</v>
      </c>
      <c r="I351" s="1">
        <f ca="1">IFERROR(__xludf.DUMMYFUNCTION("""COMPUTED_VALUE"""),278)</f>
        <v>278</v>
      </c>
      <c r="J351" s="1">
        <f ca="1">IFERROR(__xludf.DUMMYFUNCTION("""COMPUTED_VALUE"""),64.2)</f>
        <v>64.2</v>
      </c>
      <c r="K351" s="1">
        <f ca="1">IFERROR(__xludf.DUMMYFUNCTION("""COMPUTED_VALUE"""),208)</f>
        <v>208</v>
      </c>
      <c r="L351" s="1">
        <f ca="1">IFERROR(__xludf.DUMMYFUNCTION("""COMPUTED_VALUE"""),-0.018)</f>
        <v>-1.7999999999999999E-2</v>
      </c>
      <c r="M351" s="1">
        <f ca="1">IFERROR(__xludf.DUMMYFUNCTION("""COMPUTED_VALUE"""),222)</f>
        <v>222</v>
      </c>
      <c r="N351" s="1">
        <f ca="1">IFERROR(__xludf.DUMMYFUNCTION("""COMPUTED_VALUE"""),-6.61)</f>
        <v>-6.61</v>
      </c>
      <c r="O351" s="1">
        <f ca="1">IFERROR(__xludf.DUMMYFUNCTION("""COMPUTED_VALUE"""),298)</f>
        <v>298</v>
      </c>
      <c r="P351" s="1">
        <f ca="1">IFERROR(__xludf.DUMMYFUNCTION("""COMPUTED_VALUE"""),100.9)</f>
        <v>100.9</v>
      </c>
      <c r="Q351" s="1">
        <f ca="1">IFERROR(__xludf.DUMMYFUNCTION("""COMPUTED_VALUE"""),327)</f>
        <v>327</v>
      </c>
      <c r="R351" s="1">
        <f ca="1">IFERROR(__xludf.DUMMYFUNCTION("""COMPUTED_VALUE"""),107.5)</f>
        <v>107.5</v>
      </c>
      <c r="S351" s="1">
        <f ca="1">IFERROR(__xludf.DUMMYFUNCTION("""COMPUTED_VALUE"""),260)</f>
        <v>260</v>
      </c>
      <c r="T351" s="1">
        <f ca="1">IFERROR(__xludf.DUMMYFUNCTION("""COMPUTED_VALUE"""),-2.77)</f>
        <v>-2.77</v>
      </c>
      <c r="U351" s="1">
        <f ca="1">IFERROR(__xludf.DUMMYFUNCTION("""COMPUTED_VALUE"""),238)</f>
        <v>238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IFERROR(__xludf.DUMMYFUNCTION("""COMPUTED_VALUE"""),"North Carolina A&amp;T")</f>
        <v>North Carolina A&amp;T</v>
      </c>
      <c r="C352" s="1" t="str">
        <f ca="1">IFERROR(__xludf.DUMMYFUNCTION("""COMPUTED_VALUE"""),"MEAC")</f>
        <v>MEAC</v>
      </c>
      <c r="D352" s="2">
        <f ca="1">IFERROR(__xludf.DUMMYFUNCTION("""COMPUTED_VALUE"""),44827)</f>
        <v>44827</v>
      </c>
      <c r="E352" s="1">
        <f ca="1">IFERROR(__xludf.DUMMYFUNCTION("""COMPUTED_VALUE"""),-19.56)</f>
        <v>-19.559999999999999</v>
      </c>
      <c r="F352" s="1">
        <f ca="1">IFERROR(__xludf.DUMMYFUNCTION("""COMPUTED_VALUE"""),93.7)</f>
        <v>93.7</v>
      </c>
      <c r="G352" s="1">
        <f ca="1">IFERROR(__xludf.DUMMYFUNCTION("""COMPUTED_VALUE"""),332)</f>
        <v>332</v>
      </c>
      <c r="H352" s="1">
        <f ca="1">IFERROR(__xludf.DUMMYFUNCTION("""COMPUTED_VALUE"""),113.3)</f>
        <v>113.3</v>
      </c>
      <c r="I352" s="1">
        <f ca="1">IFERROR(__xludf.DUMMYFUNCTION("""COMPUTED_VALUE"""),321)</f>
        <v>321</v>
      </c>
      <c r="J352" s="1">
        <f ca="1">IFERROR(__xludf.DUMMYFUNCTION("""COMPUTED_VALUE"""),65.3)</f>
        <v>65.3</v>
      </c>
      <c r="K352" s="1">
        <f ca="1">IFERROR(__xludf.DUMMYFUNCTION("""COMPUTED_VALUE"""),142)</f>
        <v>142</v>
      </c>
      <c r="L352" s="1" t="str">
        <f ca="1">IFERROR(__xludf.DUMMYFUNCTION("""COMPUTED_VALUE"""),"+.036")</f>
        <v>+.036</v>
      </c>
      <c r="M352" s="1">
        <f ca="1">IFERROR(__xludf.DUMMYFUNCTION("""COMPUTED_VALUE"""),98)</f>
        <v>98</v>
      </c>
      <c r="N352" s="1">
        <f ca="1">IFERROR(__xludf.DUMMYFUNCTION("""COMPUTED_VALUE"""),-7.64)</f>
        <v>-7.64</v>
      </c>
      <c r="O352" s="1">
        <f ca="1">IFERROR(__xludf.DUMMYFUNCTION("""COMPUTED_VALUE"""),319)</f>
        <v>319</v>
      </c>
      <c r="P352" s="1">
        <f ca="1">IFERROR(__xludf.DUMMYFUNCTION("""COMPUTED_VALUE"""),99.4)</f>
        <v>99.4</v>
      </c>
      <c r="Q352" s="1">
        <f ca="1">IFERROR(__xludf.DUMMYFUNCTION("""COMPUTED_VALUE"""),344)</f>
        <v>344</v>
      </c>
      <c r="R352" s="1">
        <f ca="1">IFERROR(__xludf.DUMMYFUNCTION("""COMPUTED_VALUE"""),107.1)</f>
        <v>107.1</v>
      </c>
      <c r="S352" s="1">
        <f ca="1">IFERROR(__xludf.DUMMYFUNCTION("""COMPUTED_VALUE"""),243)</f>
        <v>243</v>
      </c>
      <c r="T352" s="1" t="str">
        <f ca="1">IFERROR(__xludf.DUMMYFUNCTION("""COMPUTED_VALUE"""),"+0.24")</f>
        <v>+0.24</v>
      </c>
      <c r="U352" s="1">
        <f ca="1">IFERROR(__xludf.DUMMYFUNCTION("""COMPUTED_VALUE"""),152)</f>
        <v>152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IFERROR(__xludf.DUMMYFUNCTION("""COMPUTED_VALUE"""),"Stetson")</f>
        <v>Stetson</v>
      </c>
      <c r="C353" s="1" t="str">
        <f ca="1">IFERROR(__xludf.DUMMYFUNCTION("""COMPUTED_VALUE"""),"ASun")</f>
        <v>ASun</v>
      </c>
      <c r="D353" s="2">
        <f ca="1">IFERROR(__xludf.DUMMYFUNCTION("""COMPUTED_VALUE"""),44766)</f>
        <v>44766</v>
      </c>
      <c r="E353" s="1">
        <f ca="1">IFERROR(__xludf.DUMMYFUNCTION("""COMPUTED_VALUE"""),-20.02)</f>
        <v>-20.02</v>
      </c>
      <c r="F353" s="1">
        <f ca="1">IFERROR(__xludf.DUMMYFUNCTION("""COMPUTED_VALUE"""),94.5)</f>
        <v>94.5</v>
      </c>
      <c r="G353" s="1">
        <f ca="1">IFERROR(__xludf.DUMMYFUNCTION("""COMPUTED_VALUE"""),326)</f>
        <v>326</v>
      </c>
      <c r="H353" s="1">
        <f ca="1">IFERROR(__xludf.DUMMYFUNCTION("""COMPUTED_VALUE"""),114.5)</f>
        <v>114.5</v>
      </c>
      <c r="I353" s="1">
        <f ca="1">IFERROR(__xludf.DUMMYFUNCTION("""COMPUTED_VALUE"""),329)</f>
        <v>329</v>
      </c>
      <c r="J353" s="1">
        <f ca="1">IFERROR(__xludf.DUMMYFUNCTION("""COMPUTED_VALUE"""),61.3)</f>
        <v>61.3</v>
      </c>
      <c r="K353" s="1">
        <f ca="1">IFERROR(__xludf.DUMMYFUNCTION("""COMPUTED_VALUE"""),320)</f>
        <v>320</v>
      </c>
      <c r="L353" s="1" t="str">
        <f ca="1">IFERROR(__xludf.DUMMYFUNCTION("""COMPUTED_VALUE"""),"+.032")</f>
        <v>+.032</v>
      </c>
      <c r="M353" s="1">
        <f ca="1">IFERROR(__xludf.DUMMYFUNCTION("""COMPUTED_VALUE"""),107)</f>
        <v>107</v>
      </c>
      <c r="N353" s="1">
        <f ca="1">IFERROR(__xludf.DUMMYFUNCTION("""COMPUTED_VALUE"""),-5.38)</f>
        <v>-5.38</v>
      </c>
      <c r="O353" s="1">
        <f ca="1">IFERROR(__xludf.DUMMYFUNCTION("""COMPUTED_VALUE"""),272)</f>
        <v>272</v>
      </c>
      <c r="P353" s="1">
        <f ca="1">IFERROR(__xludf.DUMMYFUNCTION("""COMPUTED_VALUE"""),102.7)</f>
        <v>102.7</v>
      </c>
      <c r="Q353" s="1">
        <f ca="1">IFERROR(__xludf.DUMMYFUNCTION("""COMPUTED_VALUE"""),274)</f>
        <v>274</v>
      </c>
      <c r="R353" s="1">
        <f ca="1">IFERROR(__xludf.DUMMYFUNCTION("""COMPUTED_VALUE"""),108)</f>
        <v>108</v>
      </c>
      <c r="S353" s="1">
        <f ca="1">IFERROR(__xludf.DUMMYFUNCTION("""COMPUTED_VALUE"""),278)</f>
        <v>278</v>
      </c>
      <c r="T353" s="1">
        <f ca="1">IFERROR(__xludf.DUMMYFUNCTION("""COMPUTED_VALUE"""),-2.4)</f>
        <v>-2.4</v>
      </c>
      <c r="U353" s="1">
        <f ca="1">IFERROR(__xludf.DUMMYFUNCTION("""COMPUTED_VALUE"""),228)</f>
        <v>228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IFERROR(__xludf.DUMMYFUNCTION("""COMPUTED_VALUE"""),"Maryland Eastern Shore")</f>
        <v>Maryland Eastern Shore</v>
      </c>
      <c r="C354" s="1" t="str">
        <f ca="1">IFERROR(__xludf.DUMMYFUNCTION("""COMPUTED_VALUE"""),"MEAC")</f>
        <v>MEAC</v>
      </c>
      <c r="D354" s="2">
        <f ca="1">IFERROR(__xludf.DUMMYFUNCTION("""COMPUTED_VALUE"""),44736)</f>
        <v>44736</v>
      </c>
      <c r="E354" s="1">
        <f ca="1">IFERROR(__xludf.DUMMYFUNCTION("""COMPUTED_VALUE"""),-20.22)</f>
        <v>-20.22</v>
      </c>
      <c r="F354" s="1">
        <f ca="1">IFERROR(__xludf.DUMMYFUNCTION("""COMPUTED_VALUE"""),99.1)</f>
        <v>99.1</v>
      </c>
      <c r="G354" s="1">
        <f ca="1">IFERROR(__xludf.DUMMYFUNCTION("""COMPUTED_VALUE"""),275)</f>
        <v>275</v>
      </c>
      <c r="H354" s="1">
        <f ca="1">IFERROR(__xludf.DUMMYFUNCTION("""COMPUTED_VALUE"""),119.3)</f>
        <v>119.3</v>
      </c>
      <c r="I354" s="1">
        <f ca="1">IFERROR(__xludf.DUMMYFUNCTION("""COMPUTED_VALUE"""),348)</f>
        <v>348</v>
      </c>
      <c r="J354" s="1">
        <f ca="1">IFERROR(__xludf.DUMMYFUNCTION("""COMPUTED_VALUE"""),65.1)</f>
        <v>65.099999999999994</v>
      </c>
      <c r="K354" s="1">
        <f ca="1">IFERROR(__xludf.DUMMYFUNCTION("""COMPUTED_VALUE"""),152)</f>
        <v>152</v>
      </c>
      <c r="L354" s="1">
        <f ca="1">IFERROR(__xludf.DUMMYFUNCTION("""COMPUTED_VALUE"""),-0.036)</f>
        <v>-3.5999999999999997E-2</v>
      </c>
      <c r="M354" s="1">
        <f ca="1">IFERROR(__xludf.DUMMYFUNCTION("""COMPUTED_VALUE"""),258)</f>
        <v>258</v>
      </c>
      <c r="N354" s="1">
        <f ca="1">IFERROR(__xludf.DUMMYFUNCTION("""COMPUTED_VALUE"""),-7.27)</f>
        <v>-7.27</v>
      </c>
      <c r="O354" s="1">
        <f ca="1">IFERROR(__xludf.DUMMYFUNCTION("""COMPUTED_VALUE"""),313)</f>
        <v>313</v>
      </c>
      <c r="P354" s="1">
        <f ca="1">IFERROR(__xludf.DUMMYFUNCTION("""COMPUTED_VALUE"""),99.8)</f>
        <v>99.8</v>
      </c>
      <c r="Q354" s="1">
        <f ca="1">IFERROR(__xludf.DUMMYFUNCTION("""COMPUTED_VALUE"""),337)</f>
        <v>337</v>
      </c>
      <c r="R354" s="1">
        <f ca="1">IFERROR(__xludf.DUMMYFUNCTION("""COMPUTED_VALUE"""),107.1)</f>
        <v>107.1</v>
      </c>
      <c r="S354" s="1">
        <f ca="1">IFERROR(__xludf.DUMMYFUNCTION("""COMPUTED_VALUE"""),250)</f>
        <v>250</v>
      </c>
      <c r="T354" s="1" t="str">
        <f ca="1">IFERROR(__xludf.DUMMYFUNCTION("""COMPUTED_VALUE"""),"+0.93")</f>
        <v>+0.93</v>
      </c>
      <c r="U354" s="1">
        <f ca="1">IFERROR(__xludf.DUMMYFUNCTION("""COMPUTED_VALUE"""),132)</f>
        <v>132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IFERROR(__xludf.DUMMYFUNCTION("""COMPUTED_VALUE"""),"Bethune Cookman")</f>
        <v>Bethune Cookman</v>
      </c>
      <c r="C355" s="1" t="str">
        <f ca="1">IFERROR(__xludf.DUMMYFUNCTION("""COMPUTED_VALUE"""),"MEAC")</f>
        <v>MEAC</v>
      </c>
      <c r="D355" s="2">
        <f ca="1">IFERROR(__xludf.DUMMYFUNCTION("""COMPUTED_VALUE"""),44767)</f>
        <v>44767</v>
      </c>
      <c r="E355" s="1">
        <f ca="1">IFERROR(__xludf.DUMMYFUNCTION("""COMPUTED_VALUE"""),-20.31)</f>
        <v>-20.309999999999999</v>
      </c>
      <c r="F355" s="1">
        <f ca="1">IFERROR(__xludf.DUMMYFUNCTION("""COMPUTED_VALUE"""),96.5)</f>
        <v>96.5</v>
      </c>
      <c r="G355" s="1">
        <f ca="1">IFERROR(__xludf.DUMMYFUNCTION("""COMPUTED_VALUE"""),306)</f>
        <v>306</v>
      </c>
      <c r="H355" s="1">
        <f ca="1">IFERROR(__xludf.DUMMYFUNCTION("""COMPUTED_VALUE"""),116.8)</f>
        <v>116.8</v>
      </c>
      <c r="I355" s="1">
        <f ca="1">IFERROR(__xludf.DUMMYFUNCTION("""COMPUTED_VALUE"""),341)</f>
        <v>341</v>
      </c>
      <c r="J355" s="1">
        <f ca="1">IFERROR(__xludf.DUMMYFUNCTION("""COMPUTED_VALUE"""),60.7)</f>
        <v>60.7</v>
      </c>
      <c r="K355" s="1">
        <f ca="1">IFERROR(__xludf.DUMMYFUNCTION("""COMPUTED_VALUE"""),332)</f>
        <v>332</v>
      </c>
      <c r="L355" s="1">
        <f ca="1">IFERROR(__xludf.DUMMYFUNCTION("""COMPUTED_VALUE"""),-0.061)</f>
        <v>-6.0999999999999999E-2</v>
      </c>
      <c r="M355" s="1">
        <f ca="1">IFERROR(__xludf.DUMMYFUNCTION("""COMPUTED_VALUE"""),313)</f>
        <v>313</v>
      </c>
      <c r="N355" s="1">
        <f ca="1">IFERROR(__xludf.DUMMYFUNCTION("""COMPUTED_VALUE"""),-6.73)</f>
        <v>-6.73</v>
      </c>
      <c r="O355" s="1">
        <f ca="1">IFERROR(__xludf.DUMMYFUNCTION("""COMPUTED_VALUE"""),301)</f>
        <v>301</v>
      </c>
      <c r="P355" s="1">
        <f ca="1">IFERROR(__xludf.DUMMYFUNCTION("""COMPUTED_VALUE"""),100.4)</f>
        <v>100.4</v>
      </c>
      <c r="Q355" s="1">
        <f ca="1">IFERROR(__xludf.DUMMYFUNCTION("""COMPUTED_VALUE"""),332)</f>
        <v>332</v>
      </c>
      <c r="R355" s="1">
        <f ca="1">IFERROR(__xludf.DUMMYFUNCTION("""COMPUTED_VALUE"""),107.1)</f>
        <v>107.1</v>
      </c>
      <c r="S355" s="1">
        <f ca="1">IFERROR(__xludf.DUMMYFUNCTION("""COMPUTED_VALUE"""),249)</f>
        <v>249</v>
      </c>
      <c r="T355" s="1" t="str">
        <f ca="1">IFERROR(__xludf.DUMMYFUNCTION("""COMPUTED_VALUE"""),"+0.62")</f>
        <v>+0.62</v>
      </c>
      <c r="U355" s="1">
        <f ca="1">IFERROR(__xludf.DUMMYFUNCTION("""COMPUTED_VALUE"""),143)</f>
        <v>143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IFERROR(__xludf.DUMMYFUNCTION("""COMPUTED_VALUE"""),"Kennesaw St.")</f>
        <v>Kennesaw St.</v>
      </c>
      <c r="C356" s="1" t="str">
        <f ca="1">IFERROR(__xludf.DUMMYFUNCTION("""COMPUTED_VALUE"""),"ASun")</f>
        <v>ASun</v>
      </c>
      <c r="D356" s="2">
        <f ca="1">IFERROR(__xludf.DUMMYFUNCTION("""COMPUTED_VALUE"""),44737)</f>
        <v>44737</v>
      </c>
      <c r="E356" s="1">
        <f ca="1">IFERROR(__xludf.DUMMYFUNCTION("""COMPUTED_VALUE"""),-20.32)</f>
        <v>-20.32</v>
      </c>
      <c r="F356" s="1">
        <f ca="1">IFERROR(__xludf.DUMMYFUNCTION("""COMPUTED_VALUE"""),92)</f>
        <v>92</v>
      </c>
      <c r="G356" s="1">
        <f ca="1">IFERROR(__xludf.DUMMYFUNCTION("""COMPUTED_VALUE"""),342)</f>
        <v>342</v>
      </c>
      <c r="H356" s="1">
        <f ca="1">IFERROR(__xludf.DUMMYFUNCTION("""COMPUTED_VALUE"""),112.3)</f>
        <v>112.3</v>
      </c>
      <c r="I356" s="1">
        <f ca="1">IFERROR(__xludf.DUMMYFUNCTION("""COMPUTED_VALUE"""),304)</f>
        <v>304</v>
      </c>
      <c r="J356" s="1">
        <f ca="1">IFERROR(__xludf.DUMMYFUNCTION("""COMPUTED_VALUE"""),66)</f>
        <v>66</v>
      </c>
      <c r="K356" s="1">
        <f ca="1">IFERROR(__xludf.DUMMYFUNCTION("""COMPUTED_VALUE"""),106)</f>
        <v>106</v>
      </c>
      <c r="L356" s="1" t="str">
        <f ca="1">IFERROR(__xludf.DUMMYFUNCTION("""COMPUTED_VALUE"""),"+.003")</f>
        <v>+.003</v>
      </c>
      <c r="M356" s="1">
        <f ca="1">IFERROR(__xludf.DUMMYFUNCTION("""COMPUTED_VALUE"""),177)</f>
        <v>177</v>
      </c>
      <c r="N356" s="1">
        <f ca="1">IFERROR(__xludf.DUMMYFUNCTION("""COMPUTED_VALUE"""),-4.51)</f>
        <v>-4.51</v>
      </c>
      <c r="O356" s="1">
        <f ca="1">IFERROR(__xludf.DUMMYFUNCTION("""COMPUTED_VALUE"""),251)</f>
        <v>251</v>
      </c>
      <c r="P356" s="1">
        <f ca="1">IFERROR(__xludf.DUMMYFUNCTION("""COMPUTED_VALUE"""),103.5)</f>
        <v>103.5</v>
      </c>
      <c r="Q356" s="1">
        <f ca="1">IFERROR(__xludf.DUMMYFUNCTION("""COMPUTED_VALUE"""),220)</f>
        <v>220</v>
      </c>
      <c r="R356" s="1">
        <f ca="1">IFERROR(__xludf.DUMMYFUNCTION("""COMPUTED_VALUE"""),108.1)</f>
        <v>108.1</v>
      </c>
      <c r="S356" s="1">
        <f ca="1">IFERROR(__xludf.DUMMYFUNCTION("""COMPUTED_VALUE"""),280)</f>
        <v>280</v>
      </c>
      <c r="T356" s="1" t="str">
        <f ca="1">IFERROR(__xludf.DUMMYFUNCTION("""COMPUTED_VALUE"""),"+0.88")</f>
        <v>+0.88</v>
      </c>
      <c r="U356" s="1">
        <f ca="1">IFERROR(__xludf.DUMMYFUNCTION("""COMPUTED_VALUE"""),138)</f>
        <v>138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IFERROR(__xludf.DUMMYFUNCTION("""COMPUTED_VALUE"""),"Maine")</f>
        <v>Maine</v>
      </c>
      <c r="C357" s="1" t="str">
        <f ca="1">IFERROR(__xludf.DUMMYFUNCTION("""COMPUTED_VALUE"""),"AE")</f>
        <v>AE</v>
      </c>
      <c r="D357" s="2">
        <f ca="1">IFERROR(__xludf.DUMMYFUNCTION("""COMPUTED_VALUE"""),44735)</f>
        <v>44735</v>
      </c>
      <c r="E357" s="1">
        <f ca="1">IFERROR(__xludf.DUMMYFUNCTION("""COMPUTED_VALUE"""),-20.55)</f>
        <v>-20.55</v>
      </c>
      <c r="F357" s="1">
        <f ca="1">IFERROR(__xludf.DUMMYFUNCTION("""COMPUTED_VALUE"""),95.5)</f>
        <v>95.5</v>
      </c>
      <c r="G357" s="1">
        <f ca="1">IFERROR(__xludf.DUMMYFUNCTION("""COMPUTED_VALUE"""),317)</f>
        <v>317</v>
      </c>
      <c r="H357" s="1">
        <f ca="1">IFERROR(__xludf.DUMMYFUNCTION("""COMPUTED_VALUE"""),116)</f>
        <v>116</v>
      </c>
      <c r="I357" s="1">
        <f ca="1">IFERROR(__xludf.DUMMYFUNCTION("""COMPUTED_VALUE"""),336)</f>
        <v>336</v>
      </c>
      <c r="J357" s="1">
        <f ca="1">IFERROR(__xludf.DUMMYFUNCTION("""COMPUTED_VALUE"""),73)</f>
        <v>73</v>
      </c>
      <c r="K357" s="1">
        <f ca="1">IFERROR(__xludf.DUMMYFUNCTION("""COMPUTED_VALUE"""),3)</f>
        <v>3</v>
      </c>
      <c r="L357" s="1" t="str">
        <f ca="1">IFERROR(__xludf.DUMMYFUNCTION("""COMPUTED_VALUE"""),"+.010")</f>
        <v>+.010</v>
      </c>
      <c r="M357" s="1">
        <f ca="1">IFERROR(__xludf.DUMMYFUNCTION("""COMPUTED_VALUE"""),160)</f>
        <v>160</v>
      </c>
      <c r="N357" s="1">
        <f ca="1">IFERROR(__xludf.DUMMYFUNCTION("""COMPUTED_VALUE"""),-5.16)</f>
        <v>-5.16</v>
      </c>
      <c r="O357" s="1">
        <f ca="1">IFERROR(__xludf.DUMMYFUNCTION("""COMPUTED_VALUE"""),271)</f>
        <v>271</v>
      </c>
      <c r="P357" s="1">
        <f ca="1">IFERROR(__xludf.DUMMYFUNCTION("""COMPUTED_VALUE"""),101.1)</f>
        <v>101.1</v>
      </c>
      <c r="Q357" s="1">
        <f ca="1">IFERROR(__xludf.DUMMYFUNCTION("""COMPUTED_VALUE"""),324)</f>
        <v>324</v>
      </c>
      <c r="R357" s="1">
        <f ca="1">IFERROR(__xludf.DUMMYFUNCTION("""COMPUTED_VALUE"""),106.2)</f>
        <v>106.2</v>
      </c>
      <c r="S357" s="1">
        <f ca="1">IFERROR(__xludf.DUMMYFUNCTION("""COMPUTED_VALUE"""),214)</f>
        <v>214</v>
      </c>
      <c r="T357" s="1" t="str">
        <f ca="1">IFERROR(__xludf.DUMMYFUNCTION("""COMPUTED_VALUE"""),"+1.03")</f>
        <v>+1.03</v>
      </c>
      <c r="U357" s="1">
        <f ca="1">IFERROR(__xludf.DUMMYFUNCTION("""COMPUTED_VALUE"""),127)</f>
        <v>127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IFERROR(__xludf.DUMMYFUNCTION("""COMPUTED_VALUE"""),"Cornell")</f>
        <v>Cornell</v>
      </c>
      <c r="C358" s="1" t="str">
        <f ca="1">IFERROR(__xludf.DUMMYFUNCTION("""COMPUTED_VALUE"""),"Ivy")</f>
        <v>Ivy</v>
      </c>
      <c r="D358" s="2">
        <f ca="1">IFERROR(__xludf.DUMMYFUNCTION("""COMPUTED_VALUE"""),44618)</f>
        <v>44618</v>
      </c>
      <c r="E358" s="1">
        <f ca="1">IFERROR(__xludf.DUMMYFUNCTION("""COMPUTED_VALUE"""),-20.58)</f>
        <v>-20.58</v>
      </c>
      <c r="F358" s="1">
        <f ca="1">IFERROR(__xludf.DUMMYFUNCTION("""COMPUTED_VALUE"""),100.4)</f>
        <v>100.4</v>
      </c>
      <c r="G358" s="1">
        <f ca="1">IFERROR(__xludf.DUMMYFUNCTION("""COMPUTED_VALUE"""),260)</f>
        <v>260</v>
      </c>
      <c r="H358" s="1">
        <f ca="1">IFERROR(__xludf.DUMMYFUNCTION("""COMPUTED_VALUE"""),120.9)</f>
        <v>120.9</v>
      </c>
      <c r="I358" s="1">
        <f ca="1">IFERROR(__xludf.DUMMYFUNCTION("""COMPUTED_VALUE"""),350)</f>
        <v>350</v>
      </c>
      <c r="J358" s="1">
        <f ca="1">IFERROR(__xludf.DUMMYFUNCTION("""COMPUTED_VALUE"""),63.6)</f>
        <v>63.6</v>
      </c>
      <c r="K358" s="1">
        <f ca="1">IFERROR(__xludf.DUMMYFUNCTION("""COMPUTED_VALUE"""),234)</f>
        <v>234</v>
      </c>
      <c r="L358" s="1">
        <f ca="1">IFERROR(__xludf.DUMMYFUNCTION("""COMPUTED_VALUE"""),-0.048)</f>
        <v>-4.8000000000000001E-2</v>
      </c>
      <c r="M358" s="1">
        <f ca="1">IFERROR(__xludf.DUMMYFUNCTION("""COMPUTED_VALUE"""),288)</f>
        <v>288</v>
      </c>
      <c r="N358" s="1" t="str">
        <f ca="1">IFERROR(__xludf.DUMMYFUNCTION("""COMPUTED_VALUE"""),"+1.40")</f>
        <v>+1.40</v>
      </c>
      <c r="O358" s="1">
        <f ca="1">IFERROR(__xludf.DUMMYFUNCTION("""COMPUTED_VALUE"""),120)</f>
        <v>120</v>
      </c>
      <c r="P358" s="1">
        <f ca="1">IFERROR(__xludf.DUMMYFUNCTION("""COMPUTED_VALUE"""),104.9)</f>
        <v>104.9</v>
      </c>
      <c r="Q358" s="1">
        <f ca="1">IFERROR(__xludf.DUMMYFUNCTION("""COMPUTED_VALUE"""),152)</f>
        <v>152</v>
      </c>
      <c r="R358" s="1">
        <f ca="1">IFERROR(__xludf.DUMMYFUNCTION("""COMPUTED_VALUE"""),103.5)</f>
        <v>103.5</v>
      </c>
      <c r="S358" s="1">
        <f ca="1">IFERROR(__xludf.DUMMYFUNCTION("""COMPUTED_VALUE"""),103)</f>
        <v>103</v>
      </c>
      <c r="T358" s="1" t="str">
        <f ca="1">IFERROR(__xludf.DUMMYFUNCTION("""COMPUTED_VALUE"""),"+1.19")</f>
        <v>+1.19</v>
      </c>
      <c r="U358" s="1">
        <f ca="1">IFERROR(__xludf.DUMMYFUNCTION("""COMPUTED_VALUE"""),124)</f>
        <v>124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IFERROR(__xludf.DUMMYFUNCTION("""COMPUTED_VALUE"""),"Houston Baptist")</f>
        <v>Houston Baptist</v>
      </c>
      <c r="C359" s="1" t="str">
        <f ca="1">IFERROR(__xludf.DUMMYFUNCTION("""COMPUTED_VALUE"""),"Slnd")</f>
        <v>Slnd</v>
      </c>
      <c r="D359" s="2">
        <f ca="1">IFERROR(__xludf.DUMMYFUNCTION("""COMPUTED_VALUE"""),44737)</f>
        <v>44737</v>
      </c>
      <c r="E359" s="1">
        <f ca="1">IFERROR(__xludf.DUMMYFUNCTION("""COMPUTED_VALUE"""),-20.66)</f>
        <v>-20.66</v>
      </c>
      <c r="F359" s="1">
        <f ca="1">IFERROR(__xludf.DUMMYFUNCTION("""COMPUTED_VALUE"""),91.5)</f>
        <v>91.5</v>
      </c>
      <c r="G359" s="1">
        <f ca="1">IFERROR(__xludf.DUMMYFUNCTION("""COMPUTED_VALUE"""),347)</f>
        <v>347</v>
      </c>
      <c r="H359" s="1">
        <f ca="1">IFERROR(__xludf.DUMMYFUNCTION("""COMPUTED_VALUE"""),112.2)</f>
        <v>112.2</v>
      </c>
      <c r="I359" s="1">
        <f ca="1">IFERROR(__xludf.DUMMYFUNCTION("""COMPUTED_VALUE"""),301)</f>
        <v>301</v>
      </c>
      <c r="J359" s="1">
        <f ca="1">IFERROR(__xludf.DUMMYFUNCTION("""COMPUTED_VALUE"""),67.6)</f>
        <v>67.599999999999994</v>
      </c>
      <c r="K359" s="1">
        <f ca="1">IFERROR(__xludf.DUMMYFUNCTION("""COMPUTED_VALUE"""),48)</f>
        <v>48</v>
      </c>
      <c r="L359" s="1">
        <f ca="1">IFERROR(__xludf.DUMMYFUNCTION("""COMPUTED_VALUE"""),-0.038)</f>
        <v>-3.7999999999999999E-2</v>
      </c>
      <c r="M359" s="1">
        <f ca="1">IFERROR(__xludf.DUMMYFUNCTION("""COMPUTED_VALUE"""),265)</f>
        <v>265</v>
      </c>
      <c r="N359" s="1">
        <f ca="1">IFERROR(__xludf.DUMMYFUNCTION("""COMPUTED_VALUE"""),-5.56)</f>
        <v>-5.56</v>
      </c>
      <c r="O359" s="1">
        <f ca="1">IFERROR(__xludf.DUMMYFUNCTION("""COMPUTED_VALUE"""),277)</f>
        <v>277</v>
      </c>
      <c r="P359" s="1">
        <f ca="1">IFERROR(__xludf.DUMMYFUNCTION("""COMPUTED_VALUE"""),103.2)</f>
        <v>103.2</v>
      </c>
      <c r="Q359" s="1">
        <f ca="1">IFERROR(__xludf.DUMMYFUNCTION("""COMPUTED_VALUE"""),244)</f>
        <v>244</v>
      </c>
      <c r="R359" s="1">
        <f ca="1">IFERROR(__xludf.DUMMYFUNCTION("""COMPUTED_VALUE"""),108.8)</f>
        <v>108.8</v>
      </c>
      <c r="S359" s="1">
        <f ca="1">IFERROR(__xludf.DUMMYFUNCTION("""COMPUTED_VALUE"""),299)</f>
        <v>299</v>
      </c>
      <c r="T359" s="1" t="str">
        <f ca="1">IFERROR(__xludf.DUMMYFUNCTION("""COMPUTED_VALUE"""),"+4.52")</f>
        <v>+4.52</v>
      </c>
      <c r="U359" s="1">
        <f ca="1">IFERROR(__xludf.DUMMYFUNCTION("""COMPUTED_VALUE"""),58)</f>
        <v>58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IFERROR(__xludf.DUMMYFUNCTION("""COMPUTED_VALUE"""),"Furman")</f>
        <v>Furman</v>
      </c>
      <c r="C360" s="1" t="str">
        <f ca="1">IFERROR(__xludf.DUMMYFUNCTION("""COMPUTED_VALUE"""),"SC")</f>
        <v>SC</v>
      </c>
      <c r="D360" s="2">
        <f ca="1">IFERROR(__xludf.DUMMYFUNCTION("""COMPUTED_VALUE"""),44825)</f>
        <v>44825</v>
      </c>
      <c r="E360" s="1">
        <f ca="1">IFERROR(__xludf.DUMMYFUNCTION("""COMPUTED_VALUE"""),-20.69)</f>
        <v>-20.69</v>
      </c>
      <c r="F360" s="1">
        <f ca="1">IFERROR(__xludf.DUMMYFUNCTION("""COMPUTED_VALUE"""),94.9)</f>
        <v>94.9</v>
      </c>
      <c r="G360" s="1">
        <f ca="1">IFERROR(__xludf.DUMMYFUNCTION("""COMPUTED_VALUE"""),323)</f>
        <v>323</v>
      </c>
      <c r="H360" s="1">
        <f ca="1">IFERROR(__xludf.DUMMYFUNCTION("""COMPUTED_VALUE"""),115.6)</f>
        <v>115.6</v>
      </c>
      <c r="I360" s="1">
        <f ca="1">IFERROR(__xludf.DUMMYFUNCTION("""COMPUTED_VALUE"""),332)</f>
        <v>332</v>
      </c>
      <c r="J360" s="1">
        <f ca="1">IFERROR(__xludf.DUMMYFUNCTION("""COMPUTED_VALUE"""),63.7)</f>
        <v>63.7</v>
      </c>
      <c r="K360" s="1">
        <f ca="1">IFERROR(__xludf.DUMMYFUNCTION("""COMPUTED_VALUE"""),229)</f>
        <v>229</v>
      </c>
      <c r="L360" s="1">
        <f ca="1">IFERROR(__xludf.DUMMYFUNCTION("""COMPUTED_VALUE"""),-0.002)</f>
        <v>-2E-3</v>
      </c>
      <c r="M360" s="1">
        <f ca="1">IFERROR(__xludf.DUMMYFUNCTION("""COMPUTED_VALUE"""),190)</f>
        <v>190</v>
      </c>
      <c r="N360" s="1">
        <f ca="1">IFERROR(__xludf.DUMMYFUNCTION("""COMPUTED_VALUE"""),-8.06)</f>
        <v>-8.06</v>
      </c>
      <c r="O360" s="1">
        <f ca="1">IFERROR(__xludf.DUMMYFUNCTION("""COMPUTED_VALUE"""),330)</f>
        <v>330</v>
      </c>
      <c r="P360" s="1">
        <f ca="1">IFERROR(__xludf.DUMMYFUNCTION("""COMPUTED_VALUE"""),101.1)</f>
        <v>101.1</v>
      </c>
      <c r="Q360" s="1">
        <f ca="1">IFERROR(__xludf.DUMMYFUNCTION("""COMPUTED_VALUE"""),323)</f>
        <v>323</v>
      </c>
      <c r="R360" s="1">
        <f ca="1">IFERROR(__xludf.DUMMYFUNCTION("""COMPUTED_VALUE"""),109.2)</f>
        <v>109.2</v>
      </c>
      <c r="S360" s="1">
        <f ca="1">IFERROR(__xludf.DUMMYFUNCTION("""COMPUTED_VALUE"""),317)</f>
        <v>317</v>
      </c>
      <c r="T360" s="1">
        <f ca="1">IFERROR(__xludf.DUMMYFUNCTION("""COMPUTED_VALUE"""),-2.87)</f>
        <v>-2.87</v>
      </c>
      <c r="U360" s="1">
        <f ca="1">IFERROR(__xludf.DUMMYFUNCTION("""COMPUTED_VALUE"""),245)</f>
        <v>245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IFERROR(__xludf.DUMMYFUNCTION("""COMPUTED_VALUE"""),"Lamar")</f>
        <v>Lamar</v>
      </c>
      <c r="C361" s="1" t="str">
        <f ca="1">IFERROR(__xludf.DUMMYFUNCTION("""COMPUTED_VALUE"""),"Slnd")</f>
        <v>Slnd</v>
      </c>
      <c r="D361" s="2">
        <f ca="1">IFERROR(__xludf.DUMMYFUNCTION("""COMPUTED_VALUE"""),44677)</f>
        <v>44677</v>
      </c>
      <c r="E361" s="1">
        <f ca="1">IFERROR(__xludf.DUMMYFUNCTION("""COMPUTED_VALUE"""),-20.71)</f>
        <v>-20.71</v>
      </c>
      <c r="F361" s="1">
        <f ca="1">IFERROR(__xludf.DUMMYFUNCTION("""COMPUTED_VALUE"""),93.1)</f>
        <v>93.1</v>
      </c>
      <c r="G361" s="1">
        <f ca="1">IFERROR(__xludf.DUMMYFUNCTION("""COMPUTED_VALUE"""),336)</f>
        <v>336</v>
      </c>
      <c r="H361" s="1">
        <f ca="1">IFERROR(__xludf.DUMMYFUNCTION("""COMPUTED_VALUE"""),113.8)</f>
        <v>113.8</v>
      </c>
      <c r="I361" s="1">
        <f ca="1">IFERROR(__xludf.DUMMYFUNCTION("""COMPUTED_VALUE"""),324)</f>
        <v>324</v>
      </c>
      <c r="J361" s="1">
        <f ca="1">IFERROR(__xludf.DUMMYFUNCTION("""COMPUTED_VALUE"""),66.5)</f>
        <v>66.5</v>
      </c>
      <c r="K361" s="1">
        <f ca="1">IFERROR(__xludf.DUMMYFUNCTION("""COMPUTED_VALUE"""),90)</f>
        <v>90</v>
      </c>
      <c r="L361" s="1">
        <f ca="1">IFERROR(__xludf.DUMMYFUNCTION("""COMPUTED_VALUE"""),-0.034)</f>
        <v>-3.4000000000000002E-2</v>
      </c>
      <c r="M361" s="1">
        <f ca="1">IFERROR(__xludf.DUMMYFUNCTION("""COMPUTED_VALUE"""),254)</f>
        <v>254</v>
      </c>
      <c r="N361" s="1">
        <f ca="1">IFERROR(__xludf.DUMMYFUNCTION("""COMPUTED_VALUE"""),-6.51)</f>
        <v>-6.51</v>
      </c>
      <c r="O361" s="1">
        <f ca="1">IFERROR(__xludf.DUMMYFUNCTION("""COMPUTED_VALUE"""),295)</f>
        <v>295</v>
      </c>
      <c r="P361" s="1">
        <f ca="1">IFERROR(__xludf.DUMMYFUNCTION("""COMPUTED_VALUE"""),102.4)</f>
        <v>102.4</v>
      </c>
      <c r="Q361" s="1">
        <f ca="1">IFERROR(__xludf.DUMMYFUNCTION("""COMPUTED_VALUE"""),283)</f>
        <v>283</v>
      </c>
      <c r="R361" s="1">
        <f ca="1">IFERROR(__xludf.DUMMYFUNCTION("""COMPUTED_VALUE"""),108.9)</f>
        <v>108.9</v>
      </c>
      <c r="S361" s="1">
        <f ca="1">IFERROR(__xludf.DUMMYFUNCTION("""COMPUTED_VALUE"""),310)</f>
        <v>310</v>
      </c>
      <c r="T361" s="1">
        <f ca="1">IFERROR(__xludf.DUMMYFUNCTION("""COMPUTED_VALUE"""),-1.96)</f>
        <v>-1.96</v>
      </c>
      <c r="U361" s="1">
        <f ca="1">IFERROR(__xludf.DUMMYFUNCTION("""COMPUTED_VALUE"""),218)</f>
        <v>218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IFERROR(__xludf.DUMMYFUNCTION("""COMPUTED_VALUE"""),"South Carolina St.")</f>
        <v>South Carolina St.</v>
      </c>
      <c r="C362" s="1" t="str">
        <f ca="1">IFERROR(__xludf.DUMMYFUNCTION("""COMPUTED_VALUE"""),"MEAC")</f>
        <v>MEAC</v>
      </c>
      <c r="D362" s="2">
        <f ca="1">IFERROR(__xludf.DUMMYFUNCTION("""COMPUTED_VALUE"""),44825)</f>
        <v>44825</v>
      </c>
      <c r="E362" s="1">
        <f ca="1">IFERROR(__xludf.DUMMYFUNCTION("""COMPUTED_VALUE"""),-21.14)</f>
        <v>-21.14</v>
      </c>
      <c r="F362" s="1">
        <f ca="1">IFERROR(__xludf.DUMMYFUNCTION("""COMPUTED_VALUE"""),91.5)</f>
        <v>91.5</v>
      </c>
      <c r="G362" s="1">
        <f ca="1">IFERROR(__xludf.DUMMYFUNCTION("""COMPUTED_VALUE"""),348)</f>
        <v>348</v>
      </c>
      <c r="H362" s="1">
        <f ca="1">IFERROR(__xludf.DUMMYFUNCTION("""COMPUTED_VALUE"""),112.7)</f>
        <v>112.7</v>
      </c>
      <c r="I362" s="1">
        <f ca="1">IFERROR(__xludf.DUMMYFUNCTION("""COMPUTED_VALUE"""),312)</f>
        <v>312</v>
      </c>
      <c r="J362" s="1">
        <f ca="1">IFERROR(__xludf.DUMMYFUNCTION("""COMPUTED_VALUE"""),64.6)</f>
        <v>64.599999999999994</v>
      </c>
      <c r="K362" s="1">
        <f ca="1">IFERROR(__xludf.DUMMYFUNCTION("""COMPUTED_VALUE"""),180)</f>
        <v>180</v>
      </c>
      <c r="L362" s="1" t="str">
        <f ca="1">IFERROR(__xludf.DUMMYFUNCTION("""COMPUTED_VALUE"""),"+.042")</f>
        <v>+.042</v>
      </c>
      <c r="M362" s="1">
        <f ca="1">IFERROR(__xludf.DUMMYFUNCTION("""COMPUTED_VALUE"""),83)</f>
        <v>83</v>
      </c>
      <c r="N362" s="1">
        <f ca="1">IFERROR(__xludf.DUMMYFUNCTION("""COMPUTED_VALUE"""),-6.65)</f>
        <v>-6.65</v>
      </c>
      <c r="O362" s="1">
        <f ca="1">IFERROR(__xludf.DUMMYFUNCTION("""COMPUTED_VALUE"""),300)</f>
        <v>300</v>
      </c>
      <c r="P362" s="1">
        <f ca="1">IFERROR(__xludf.DUMMYFUNCTION("""COMPUTED_VALUE"""),100.2)</f>
        <v>100.2</v>
      </c>
      <c r="Q362" s="1">
        <f ca="1">IFERROR(__xludf.DUMMYFUNCTION("""COMPUTED_VALUE"""),334)</f>
        <v>334</v>
      </c>
      <c r="R362" s="1">
        <f ca="1">IFERROR(__xludf.DUMMYFUNCTION("""COMPUTED_VALUE"""),106.9)</f>
        <v>106.9</v>
      </c>
      <c r="S362" s="1">
        <f ca="1">IFERROR(__xludf.DUMMYFUNCTION("""COMPUTED_VALUE"""),238)</f>
        <v>238</v>
      </c>
      <c r="T362" s="1" t="str">
        <f ca="1">IFERROR(__xludf.DUMMYFUNCTION("""COMPUTED_VALUE"""),"+2.17")</f>
        <v>+2.17</v>
      </c>
      <c r="U362" s="1">
        <f ca="1">IFERROR(__xludf.DUMMYFUNCTION("""COMPUTED_VALUE"""),101)</f>
        <v>101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IFERROR(__xludf.DUMMYFUNCTION("""COMPUTED_VALUE"""),"The Citadel")</f>
        <v>The Citadel</v>
      </c>
      <c r="C363" s="1" t="str">
        <f ca="1">IFERROR(__xludf.DUMMYFUNCTION("""COMPUTED_VALUE"""),"SC")</f>
        <v>SC</v>
      </c>
      <c r="D363" s="2">
        <f ca="1">IFERROR(__xludf.DUMMYFUNCTION("""COMPUTED_VALUE"""),44768)</f>
        <v>44768</v>
      </c>
      <c r="E363" s="1">
        <f ca="1">IFERROR(__xludf.DUMMYFUNCTION("""COMPUTED_VALUE"""),-22.24)</f>
        <v>-22.24</v>
      </c>
      <c r="F363" s="1">
        <f ca="1">IFERROR(__xludf.DUMMYFUNCTION("""COMPUTED_VALUE"""),96.3)</f>
        <v>96.3</v>
      </c>
      <c r="G363" s="1">
        <f ca="1">IFERROR(__xludf.DUMMYFUNCTION("""COMPUTED_VALUE"""),309)</f>
        <v>309</v>
      </c>
      <c r="H363" s="1">
        <f ca="1">IFERROR(__xludf.DUMMYFUNCTION("""COMPUTED_VALUE"""),118.5)</f>
        <v>118.5</v>
      </c>
      <c r="I363" s="1">
        <f ca="1">IFERROR(__xludf.DUMMYFUNCTION("""COMPUTED_VALUE"""),345)</f>
        <v>345</v>
      </c>
      <c r="J363" s="1">
        <f ca="1">IFERROR(__xludf.DUMMYFUNCTION("""COMPUTED_VALUE"""),63.5)</f>
        <v>63.5</v>
      </c>
      <c r="K363" s="1">
        <f ca="1">IFERROR(__xludf.DUMMYFUNCTION("""COMPUTED_VALUE"""),240)</f>
        <v>240</v>
      </c>
      <c r="L363" s="1">
        <f ca="1">IFERROR(__xludf.DUMMYFUNCTION("""COMPUTED_VALUE"""),-0.046)</f>
        <v>-4.5999999999999999E-2</v>
      </c>
      <c r="M363" s="1">
        <f ca="1">IFERROR(__xludf.DUMMYFUNCTION("""COMPUTED_VALUE"""),283)</f>
        <v>283</v>
      </c>
      <c r="N363" s="1">
        <f ca="1">IFERROR(__xludf.DUMMYFUNCTION("""COMPUTED_VALUE"""),-6.98)</f>
        <v>-6.98</v>
      </c>
      <c r="O363" s="1">
        <f ca="1">IFERROR(__xludf.DUMMYFUNCTION("""COMPUTED_VALUE"""),307)</f>
        <v>307</v>
      </c>
      <c r="P363" s="1">
        <f ca="1">IFERROR(__xludf.DUMMYFUNCTION("""COMPUTED_VALUE"""),101.5)</f>
        <v>101.5</v>
      </c>
      <c r="Q363" s="1">
        <f ca="1">IFERROR(__xludf.DUMMYFUNCTION("""COMPUTED_VALUE"""),314)</f>
        <v>314</v>
      </c>
      <c r="R363" s="1">
        <f ca="1">IFERROR(__xludf.DUMMYFUNCTION("""COMPUTED_VALUE"""),108.5)</f>
        <v>108.5</v>
      </c>
      <c r="S363" s="1">
        <f ca="1">IFERROR(__xludf.DUMMYFUNCTION("""COMPUTED_VALUE"""),288)</f>
        <v>288</v>
      </c>
      <c r="T363" s="1">
        <f ca="1">IFERROR(__xludf.DUMMYFUNCTION("""COMPUTED_VALUE"""),-0.59)</f>
        <v>-0.59</v>
      </c>
      <c r="U363" s="1">
        <f ca="1">IFERROR(__xludf.DUMMYFUNCTION("""COMPUTED_VALUE"""),180)</f>
        <v>180</v>
      </c>
    </row>
    <row r="364" spans="1:21" ht="13" x14ac:dyDescent="0.15">
      <c r="A364" s="1">
        <f ca="1">IFERROR(__xludf.DUMMYFUNCTION("""COMPUTED_VALUE"""),346)</f>
        <v>346</v>
      </c>
      <c r="B364" s="1" t="str">
        <f ca="1">IFERROR(__xludf.DUMMYFUNCTION("""COMPUTED_VALUE"""),"Longwood")</f>
        <v>Longwood</v>
      </c>
      <c r="C364" s="1" t="str">
        <f ca="1">IFERROR(__xludf.DUMMYFUNCTION("""COMPUTED_VALUE"""),"BSth")</f>
        <v>BSth</v>
      </c>
      <c r="D364" s="2">
        <f ca="1">IFERROR(__xludf.DUMMYFUNCTION("""COMPUTED_VALUE"""),44797)</f>
        <v>44797</v>
      </c>
      <c r="E364" s="1">
        <f ca="1">IFERROR(__xludf.DUMMYFUNCTION("""COMPUTED_VALUE"""),-22.88)</f>
        <v>-22.88</v>
      </c>
      <c r="F364" s="1">
        <f ca="1">IFERROR(__xludf.DUMMYFUNCTION("""COMPUTED_VALUE"""),95.6)</f>
        <v>95.6</v>
      </c>
      <c r="G364" s="1">
        <f ca="1">IFERROR(__xludf.DUMMYFUNCTION("""COMPUTED_VALUE"""),314)</f>
        <v>314</v>
      </c>
      <c r="H364" s="1">
        <f ca="1">IFERROR(__xludf.DUMMYFUNCTION("""COMPUTED_VALUE"""),118.5)</f>
        <v>118.5</v>
      </c>
      <c r="I364" s="1">
        <f ca="1">IFERROR(__xludf.DUMMYFUNCTION("""COMPUTED_VALUE"""),344)</f>
        <v>344</v>
      </c>
      <c r="J364" s="1">
        <f ca="1">IFERROR(__xludf.DUMMYFUNCTION("""COMPUTED_VALUE"""),66.6)</f>
        <v>66.599999999999994</v>
      </c>
      <c r="K364" s="1">
        <f ca="1">IFERROR(__xludf.DUMMYFUNCTION("""COMPUTED_VALUE"""),80)</f>
        <v>80</v>
      </c>
      <c r="L364" s="1">
        <f ca="1">IFERROR(__xludf.DUMMYFUNCTION("""COMPUTED_VALUE"""),-0.043)</f>
        <v>-4.2999999999999997E-2</v>
      </c>
      <c r="M364" s="1">
        <f ca="1">IFERROR(__xludf.DUMMYFUNCTION("""COMPUTED_VALUE"""),270)</f>
        <v>270</v>
      </c>
      <c r="N364" s="1">
        <f ca="1">IFERROR(__xludf.DUMMYFUNCTION("""COMPUTED_VALUE"""),-5.57)</f>
        <v>-5.57</v>
      </c>
      <c r="O364" s="1">
        <f ca="1">IFERROR(__xludf.DUMMYFUNCTION("""COMPUTED_VALUE"""),279)</f>
        <v>279</v>
      </c>
      <c r="P364" s="1">
        <f ca="1">IFERROR(__xludf.DUMMYFUNCTION("""COMPUTED_VALUE"""),103.4)</f>
        <v>103.4</v>
      </c>
      <c r="Q364" s="1">
        <f ca="1">IFERROR(__xludf.DUMMYFUNCTION("""COMPUTED_VALUE"""),232)</f>
        <v>232</v>
      </c>
      <c r="R364" s="1">
        <f ca="1">IFERROR(__xludf.DUMMYFUNCTION("""COMPUTED_VALUE"""),108.9)</f>
        <v>108.9</v>
      </c>
      <c r="S364" s="1">
        <f ca="1">IFERROR(__xludf.DUMMYFUNCTION("""COMPUTED_VALUE"""),312)</f>
        <v>312</v>
      </c>
      <c r="T364" s="1" t="str">
        <f ca="1">IFERROR(__xludf.DUMMYFUNCTION("""COMPUTED_VALUE"""),"+2.38")</f>
        <v>+2.38</v>
      </c>
      <c r="U364" s="1">
        <f ca="1">IFERROR(__xludf.DUMMYFUNCTION("""COMPUTED_VALUE"""),95)</f>
        <v>95</v>
      </c>
    </row>
    <row r="365" spans="1:21" ht="13" x14ac:dyDescent="0.15">
      <c r="A365" s="1">
        <f ca="1">IFERROR(__xludf.DUMMYFUNCTION("""COMPUTED_VALUE"""),347)</f>
        <v>347</v>
      </c>
      <c r="B365" s="1" t="str">
        <f ca="1">IFERROR(__xludf.DUMMYFUNCTION("""COMPUTED_VALUE"""),"Mississippi Valley St.")</f>
        <v>Mississippi Valley St.</v>
      </c>
      <c r="C365" s="1" t="str">
        <f ca="1">IFERROR(__xludf.DUMMYFUNCTION("""COMPUTED_VALUE"""),"SWAC")</f>
        <v>SWAC</v>
      </c>
      <c r="D365" s="2">
        <f ca="1">IFERROR(__xludf.DUMMYFUNCTION("""COMPUTED_VALUE"""),44827)</f>
        <v>44827</v>
      </c>
      <c r="E365" s="1">
        <f ca="1">IFERROR(__xludf.DUMMYFUNCTION("""COMPUTED_VALUE"""),-22.93)</f>
        <v>-22.93</v>
      </c>
      <c r="F365" s="1">
        <f ca="1">IFERROR(__xludf.DUMMYFUNCTION("""COMPUTED_VALUE"""),93)</f>
        <v>93</v>
      </c>
      <c r="G365" s="1">
        <f ca="1">IFERROR(__xludf.DUMMYFUNCTION("""COMPUTED_VALUE"""),338)</f>
        <v>338</v>
      </c>
      <c r="H365" s="1">
        <f ca="1">IFERROR(__xludf.DUMMYFUNCTION("""COMPUTED_VALUE"""),115.9)</f>
        <v>115.9</v>
      </c>
      <c r="I365" s="1">
        <f ca="1">IFERROR(__xludf.DUMMYFUNCTION("""COMPUTED_VALUE"""),335)</f>
        <v>335</v>
      </c>
      <c r="J365" s="1">
        <f ca="1">IFERROR(__xludf.DUMMYFUNCTION("""COMPUTED_VALUE"""),70.9)</f>
        <v>70.900000000000006</v>
      </c>
      <c r="K365" s="1">
        <f ca="1">IFERROR(__xludf.DUMMYFUNCTION("""COMPUTED_VALUE"""),5)</f>
        <v>5</v>
      </c>
      <c r="L365" s="1" t="str">
        <f ca="1">IFERROR(__xludf.DUMMYFUNCTION("""COMPUTED_VALUE"""),"+.012")</f>
        <v>+.012</v>
      </c>
      <c r="M365" s="1">
        <f ca="1">IFERROR(__xludf.DUMMYFUNCTION("""COMPUTED_VALUE"""),156)</f>
        <v>156</v>
      </c>
      <c r="N365" s="1">
        <f ca="1">IFERROR(__xludf.DUMMYFUNCTION("""COMPUTED_VALUE"""),-8.65)</f>
        <v>-8.65</v>
      </c>
      <c r="O365" s="1">
        <f ca="1">IFERROR(__xludf.DUMMYFUNCTION("""COMPUTED_VALUE"""),338)</f>
        <v>338</v>
      </c>
      <c r="P365" s="1">
        <f ca="1">IFERROR(__xludf.DUMMYFUNCTION("""COMPUTED_VALUE"""),98.8)</f>
        <v>98.8</v>
      </c>
      <c r="Q365" s="1">
        <f ca="1">IFERROR(__xludf.DUMMYFUNCTION("""COMPUTED_VALUE"""),346)</f>
        <v>346</v>
      </c>
      <c r="R365" s="1">
        <f ca="1">IFERROR(__xludf.DUMMYFUNCTION("""COMPUTED_VALUE"""),107.4)</f>
        <v>107.4</v>
      </c>
      <c r="S365" s="1">
        <f ca="1">IFERROR(__xludf.DUMMYFUNCTION("""COMPUTED_VALUE"""),257)</f>
        <v>257</v>
      </c>
      <c r="T365" s="1" t="str">
        <f ca="1">IFERROR(__xludf.DUMMYFUNCTION("""COMPUTED_VALUE"""),"+6.21")</f>
        <v>+6.21</v>
      </c>
      <c r="U365" s="1">
        <f ca="1">IFERROR(__xludf.DUMMYFUNCTION("""COMPUTED_VALUE"""),35)</f>
        <v>35</v>
      </c>
    </row>
    <row r="366" spans="1:21" ht="13" x14ac:dyDescent="0.15">
      <c r="A366" s="1">
        <f ca="1">IFERROR(__xludf.DUMMYFUNCTION("""COMPUTED_VALUE"""),348)</f>
        <v>348</v>
      </c>
      <c r="B366" s="1" t="str">
        <f ca="1">IFERROR(__xludf.DUMMYFUNCTION("""COMPUTED_VALUE"""),"Abilene Christian")</f>
        <v>Abilene Christian</v>
      </c>
      <c r="C366" s="1" t="str">
        <f ca="1">IFERROR(__xludf.DUMMYFUNCTION("""COMPUTED_VALUE"""),"Slnd")</f>
        <v>Slnd</v>
      </c>
      <c r="D366" s="2">
        <f ca="1">IFERROR(__xludf.DUMMYFUNCTION("""COMPUTED_VALUE"""),44885)</f>
        <v>44885</v>
      </c>
      <c r="E366" s="1">
        <f ca="1">IFERROR(__xludf.DUMMYFUNCTION("""COMPUTED_VALUE"""),-23.35)</f>
        <v>-23.35</v>
      </c>
      <c r="F366" s="1">
        <f ca="1">IFERROR(__xludf.DUMMYFUNCTION("""COMPUTED_VALUE"""),94)</f>
        <v>94</v>
      </c>
      <c r="G366" s="1">
        <f ca="1">IFERROR(__xludf.DUMMYFUNCTION("""COMPUTED_VALUE"""),330)</f>
        <v>330</v>
      </c>
      <c r="H366" s="1">
        <f ca="1">IFERROR(__xludf.DUMMYFUNCTION("""COMPUTED_VALUE"""),117.3)</f>
        <v>117.3</v>
      </c>
      <c r="I366" s="1">
        <f ca="1">IFERROR(__xludf.DUMMYFUNCTION("""COMPUTED_VALUE"""),342)</f>
        <v>342</v>
      </c>
      <c r="J366" s="1">
        <f ca="1">IFERROR(__xludf.DUMMYFUNCTION("""COMPUTED_VALUE"""),63.2)</f>
        <v>63.2</v>
      </c>
      <c r="K366" s="1">
        <f ca="1">IFERROR(__xludf.DUMMYFUNCTION("""COMPUTED_VALUE"""),251)</f>
        <v>251</v>
      </c>
      <c r="L366" s="1">
        <f ca="1">IFERROR(__xludf.DUMMYFUNCTION("""COMPUTED_VALUE"""),-0.045)</f>
        <v>-4.4999999999999998E-2</v>
      </c>
      <c r="M366" s="1">
        <f ca="1">IFERROR(__xludf.DUMMYFUNCTION("""COMPUTED_VALUE"""),279)</f>
        <v>279</v>
      </c>
      <c r="N366" s="1">
        <f ca="1">IFERROR(__xludf.DUMMYFUNCTION("""COMPUTED_VALUE"""),-2.67)</f>
        <v>-2.67</v>
      </c>
      <c r="O366" s="1">
        <f ca="1">IFERROR(__xludf.DUMMYFUNCTION("""COMPUTED_VALUE"""),211)</f>
        <v>211</v>
      </c>
      <c r="P366" s="1">
        <f ca="1">IFERROR(__xludf.DUMMYFUNCTION("""COMPUTED_VALUE"""),104.7)</f>
        <v>104.7</v>
      </c>
      <c r="Q366" s="1">
        <f ca="1">IFERROR(__xludf.DUMMYFUNCTION("""COMPUTED_VALUE"""),159)</f>
        <v>159</v>
      </c>
      <c r="R366" s="1">
        <f ca="1">IFERROR(__xludf.DUMMYFUNCTION("""COMPUTED_VALUE"""),107.4)</f>
        <v>107.4</v>
      </c>
      <c r="S366" s="1">
        <f ca="1">IFERROR(__xludf.DUMMYFUNCTION("""COMPUTED_VALUE"""),256)</f>
        <v>256</v>
      </c>
      <c r="T366" s="1" t="str">
        <f ca="1">IFERROR(__xludf.DUMMYFUNCTION("""COMPUTED_VALUE"""),"+13.38")</f>
        <v>+13.38</v>
      </c>
      <c r="U366" s="1">
        <f ca="1">IFERROR(__xludf.DUMMYFUNCTION("""COMPUTED_VALUE"""),4)</f>
        <v>4</v>
      </c>
    </row>
    <row r="367" spans="1:21" ht="13" x14ac:dyDescent="0.15">
      <c r="A367" s="1">
        <f ca="1">IFERROR(__xludf.DUMMYFUNCTION("""COMPUTED_VALUE"""),349)</f>
        <v>349</v>
      </c>
      <c r="B367" s="1" t="str">
        <f ca="1">IFERROR(__xludf.DUMMYFUNCTION("""COMPUTED_VALUE"""),"Presbyterian")</f>
        <v>Presbyterian</v>
      </c>
      <c r="C367" s="1" t="str">
        <f ca="1">IFERROR(__xludf.DUMMYFUNCTION("""COMPUTED_VALUE"""),"BSth")</f>
        <v>BSth</v>
      </c>
      <c r="D367" s="2">
        <f ca="1">IFERROR(__xludf.DUMMYFUNCTION("""COMPUTED_VALUE"""),44738)</f>
        <v>44738</v>
      </c>
      <c r="E367" s="1">
        <f ca="1">IFERROR(__xludf.DUMMYFUNCTION("""COMPUTED_VALUE"""),-25.87)</f>
        <v>-25.87</v>
      </c>
      <c r="F367" s="1">
        <f ca="1">IFERROR(__xludf.DUMMYFUNCTION("""COMPUTED_VALUE"""),94.2)</f>
        <v>94.2</v>
      </c>
      <c r="G367" s="1">
        <f ca="1">IFERROR(__xludf.DUMMYFUNCTION("""COMPUTED_VALUE"""),328)</f>
        <v>328</v>
      </c>
      <c r="H367" s="1">
        <f ca="1">IFERROR(__xludf.DUMMYFUNCTION("""COMPUTED_VALUE"""),120)</f>
        <v>120</v>
      </c>
      <c r="I367" s="1">
        <f ca="1">IFERROR(__xludf.DUMMYFUNCTION("""COMPUTED_VALUE"""),349)</f>
        <v>349</v>
      </c>
      <c r="J367" s="1">
        <f ca="1">IFERROR(__xludf.DUMMYFUNCTION("""COMPUTED_VALUE"""),63.5)</f>
        <v>63.5</v>
      </c>
      <c r="K367" s="1">
        <f ca="1">IFERROR(__xludf.DUMMYFUNCTION("""COMPUTED_VALUE"""),239)</f>
        <v>239</v>
      </c>
      <c r="L367" s="1">
        <f ca="1">IFERROR(__xludf.DUMMYFUNCTION("""COMPUTED_VALUE"""),-0.017)</f>
        <v>-1.7000000000000001E-2</v>
      </c>
      <c r="M367" s="1">
        <f ca="1">IFERROR(__xludf.DUMMYFUNCTION("""COMPUTED_VALUE"""),221)</f>
        <v>221</v>
      </c>
      <c r="N367" s="1">
        <f ca="1">IFERROR(__xludf.DUMMYFUNCTION("""COMPUTED_VALUE"""),-7.84)</f>
        <v>-7.84</v>
      </c>
      <c r="O367" s="1">
        <f ca="1">IFERROR(__xludf.DUMMYFUNCTION("""COMPUTED_VALUE"""),324)</f>
        <v>324</v>
      </c>
      <c r="P367" s="1">
        <f ca="1">IFERROR(__xludf.DUMMYFUNCTION("""COMPUTED_VALUE"""),101.7)</f>
        <v>101.7</v>
      </c>
      <c r="Q367" s="1">
        <f ca="1">IFERROR(__xludf.DUMMYFUNCTION("""COMPUTED_VALUE"""),307)</f>
        <v>307</v>
      </c>
      <c r="R367" s="1">
        <f ca="1">IFERROR(__xludf.DUMMYFUNCTION("""COMPUTED_VALUE"""),109.6)</f>
        <v>109.6</v>
      </c>
      <c r="S367" s="1">
        <f ca="1">IFERROR(__xludf.DUMMYFUNCTION("""COMPUTED_VALUE"""),326)</f>
        <v>326</v>
      </c>
      <c r="T367" s="1">
        <f ca="1">IFERROR(__xludf.DUMMYFUNCTION("""COMPUTED_VALUE"""),-7.05)</f>
        <v>-7.05</v>
      </c>
      <c r="U367" s="1">
        <f ca="1">IFERROR(__xludf.DUMMYFUNCTION("""COMPUTED_VALUE"""),328)</f>
        <v>328</v>
      </c>
    </row>
    <row r="368" spans="1:21" ht="13" x14ac:dyDescent="0.15">
      <c r="A368" s="1">
        <f ca="1">IFERROR(__xludf.DUMMYFUNCTION("""COMPUTED_VALUE"""),350)</f>
        <v>350</v>
      </c>
      <c r="B368" s="1" t="str">
        <f ca="1">IFERROR(__xludf.DUMMYFUNCTION("""COMPUTED_VALUE"""),"Grambling St.")</f>
        <v>Grambling St.</v>
      </c>
      <c r="C368" s="1" t="str">
        <f ca="1">IFERROR(__xludf.DUMMYFUNCTION("""COMPUTED_VALUE"""),"SWAC")</f>
        <v>SWAC</v>
      </c>
      <c r="D368" s="2">
        <f ca="1">IFERROR(__xludf.DUMMYFUNCTION("""COMPUTED_VALUE"""),44705)</f>
        <v>44705</v>
      </c>
      <c r="E368" s="1">
        <f ca="1">IFERROR(__xludf.DUMMYFUNCTION("""COMPUTED_VALUE"""),-26.6)</f>
        <v>-26.6</v>
      </c>
      <c r="F368" s="1">
        <f ca="1">IFERROR(__xludf.DUMMYFUNCTION("""COMPUTED_VALUE"""),95.5)</f>
        <v>95.5</v>
      </c>
      <c r="G368" s="1">
        <f ca="1">IFERROR(__xludf.DUMMYFUNCTION("""COMPUTED_VALUE"""),316)</f>
        <v>316</v>
      </c>
      <c r="H368" s="1">
        <f ca="1">IFERROR(__xludf.DUMMYFUNCTION("""COMPUTED_VALUE"""),122.1)</f>
        <v>122.1</v>
      </c>
      <c r="I368" s="1">
        <f ca="1">IFERROR(__xludf.DUMMYFUNCTION("""COMPUTED_VALUE"""),351)</f>
        <v>351</v>
      </c>
      <c r="J368" s="1">
        <f ca="1">IFERROR(__xludf.DUMMYFUNCTION("""COMPUTED_VALUE"""),66)</f>
        <v>66</v>
      </c>
      <c r="K368" s="1">
        <f ca="1">IFERROR(__xludf.DUMMYFUNCTION("""COMPUTED_VALUE"""),107)</f>
        <v>107</v>
      </c>
      <c r="L368" s="1">
        <f ca="1">IFERROR(__xludf.DUMMYFUNCTION("""COMPUTED_VALUE"""),-0.017)</f>
        <v>-1.7000000000000001E-2</v>
      </c>
      <c r="M368" s="1">
        <f ca="1">IFERROR(__xludf.DUMMYFUNCTION("""COMPUTED_VALUE"""),220)</f>
        <v>220</v>
      </c>
      <c r="N368" s="1">
        <f ca="1">IFERROR(__xludf.DUMMYFUNCTION("""COMPUTED_VALUE"""),-9.05)</f>
        <v>-9.0500000000000007</v>
      </c>
      <c r="O368" s="1">
        <f ca="1">IFERROR(__xludf.DUMMYFUNCTION("""COMPUTED_VALUE"""),342)</f>
        <v>342</v>
      </c>
      <c r="P368" s="1">
        <f ca="1">IFERROR(__xludf.DUMMYFUNCTION("""COMPUTED_VALUE"""),98.7)</f>
        <v>98.7</v>
      </c>
      <c r="Q368" s="1">
        <f ca="1">IFERROR(__xludf.DUMMYFUNCTION("""COMPUTED_VALUE"""),348)</f>
        <v>348</v>
      </c>
      <c r="R368" s="1">
        <f ca="1">IFERROR(__xludf.DUMMYFUNCTION("""COMPUTED_VALUE"""),107.8)</f>
        <v>107.8</v>
      </c>
      <c r="S368" s="1">
        <f ca="1">IFERROR(__xludf.DUMMYFUNCTION("""COMPUTED_VALUE"""),269)</f>
        <v>269</v>
      </c>
      <c r="T368" s="1" t="str">
        <f ca="1">IFERROR(__xludf.DUMMYFUNCTION("""COMPUTED_VALUE"""),"+6.51")</f>
        <v>+6.51</v>
      </c>
      <c r="U368" s="1">
        <f ca="1">IFERROR(__xludf.DUMMYFUNCTION("""COMPUTED_VALUE"""),31)</f>
        <v>31</v>
      </c>
    </row>
    <row r="369" spans="1:21" ht="13" x14ac:dyDescent="0.15">
      <c r="A369" s="1">
        <f ca="1">IFERROR(__xludf.DUMMYFUNCTION("""COMPUTED_VALUE"""),351)</f>
        <v>351</v>
      </c>
      <c r="B369" s="1" t="str">
        <f ca="1">IFERROR(__xludf.DUMMYFUNCTION("""COMPUTED_VALUE"""),"Southern Utah")</f>
        <v>Southern Utah</v>
      </c>
      <c r="C369" s="1" t="str">
        <f ca="1">IFERROR(__xludf.DUMMYFUNCTION("""COMPUTED_VALUE"""),"BSky")</f>
        <v>BSky</v>
      </c>
      <c r="D369" s="2">
        <f ca="1">IFERROR(__xludf.DUMMYFUNCTION("""COMPUTED_VALUE"""),44619)</f>
        <v>44619</v>
      </c>
      <c r="E369" s="1">
        <f ca="1">IFERROR(__xludf.DUMMYFUNCTION("""COMPUTED_VALUE"""),-27.14)</f>
        <v>-27.14</v>
      </c>
      <c r="F369" s="1">
        <f ca="1">IFERROR(__xludf.DUMMYFUNCTION("""COMPUTED_VALUE"""),87.4)</f>
        <v>87.4</v>
      </c>
      <c r="G369" s="1">
        <f ca="1">IFERROR(__xludf.DUMMYFUNCTION("""COMPUTED_VALUE"""),351)</f>
        <v>351</v>
      </c>
      <c r="H369" s="1">
        <f ca="1">IFERROR(__xludf.DUMMYFUNCTION("""COMPUTED_VALUE"""),114.6)</f>
        <v>114.6</v>
      </c>
      <c r="I369" s="1">
        <f ca="1">IFERROR(__xludf.DUMMYFUNCTION("""COMPUTED_VALUE"""),330)</f>
        <v>330</v>
      </c>
      <c r="J369" s="1">
        <f ca="1">IFERROR(__xludf.DUMMYFUNCTION("""COMPUTED_VALUE"""),64.2)</f>
        <v>64.2</v>
      </c>
      <c r="K369" s="1">
        <f ca="1">IFERROR(__xludf.DUMMYFUNCTION("""COMPUTED_VALUE"""),209)</f>
        <v>209</v>
      </c>
      <c r="L369" s="1">
        <f ca="1">IFERROR(__xludf.DUMMYFUNCTION("""COMPUTED_VALUE"""),-0.049)</f>
        <v>-4.9000000000000002E-2</v>
      </c>
      <c r="M369" s="1">
        <f ca="1">IFERROR(__xludf.DUMMYFUNCTION("""COMPUTED_VALUE"""),292)</f>
        <v>292</v>
      </c>
      <c r="N369" s="1">
        <f ca="1">IFERROR(__xludf.DUMMYFUNCTION("""COMPUTED_VALUE"""),-4.02)</f>
        <v>-4.0199999999999996</v>
      </c>
      <c r="O369" s="1">
        <f ca="1">IFERROR(__xludf.DUMMYFUNCTION("""COMPUTED_VALUE"""),240)</f>
        <v>240</v>
      </c>
      <c r="P369" s="1">
        <f ca="1">IFERROR(__xludf.DUMMYFUNCTION("""COMPUTED_VALUE"""),104.7)</f>
        <v>104.7</v>
      </c>
      <c r="Q369" s="1">
        <f ca="1">IFERROR(__xludf.DUMMYFUNCTION("""COMPUTED_VALUE"""),163)</f>
        <v>163</v>
      </c>
      <c r="R369" s="1">
        <f ca="1">IFERROR(__xludf.DUMMYFUNCTION("""COMPUTED_VALUE"""),108.7)</f>
        <v>108.7</v>
      </c>
      <c r="S369" s="1">
        <f ca="1">IFERROR(__xludf.DUMMYFUNCTION("""COMPUTED_VALUE"""),291)</f>
        <v>291</v>
      </c>
      <c r="T369" s="1" t="str">
        <f ca="1">IFERROR(__xludf.DUMMYFUNCTION("""COMPUTED_VALUE"""),"+7.40")</f>
        <v>+7.40</v>
      </c>
      <c r="U369" s="1">
        <f ca="1">IFERROR(__xludf.DUMMYFUNCTION("""COMPUTED_VALUE"""),24)</f>
        <v>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U369"/>
  <sheetViews>
    <sheetView topLeftCell="F1" workbookViewId="0">
      <selection activeCell="F2" sqref="A2:XFD2"/>
    </sheetView>
  </sheetViews>
  <sheetFormatPr baseColWidth="10" defaultColWidth="12.6640625" defaultRowHeight="15.75" customHeight="1" x14ac:dyDescent="0.15"/>
  <sheetData>
    <row r="1" spans="1:21" ht="13" x14ac:dyDescent="0.15">
      <c r="A1" s="3" t="str">
        <f ca="1">IFERROR(__xludf.DUMMYFUNCTION("IMPORThtML(""https://kenpom.com/index.php?y=2015"",""table"",1)"),"")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2</v>
      </c>
      <c r="H2" s="1" t="str">
        <f ca="1">IFERROR(__xludf.DUMMYFUNCTION("""COMPUTED_VALUE"""),"AdjD")</f>
        <v>AdjD</v>
      </c>
      <c r="I2" s="1" t="s">
        <v>3</v>
      </c>
      <c r="J2" s="1" t="str">
        <f ca="1">IFERROR(__xludf.DUMMYFUNCTION("""COMPUTED_VALUE"""),"AdjT")</f>
        <v>AdjT</v>
      </c>
      <c r="K2" s="1" t="s">
        <v>4</v>
      </c>
      <c r="L2" s="1" t="str">
        <f ca="1">IFERROR(__xludf.DUMMYFUNCTION("""COMPUTED_VALUE"""),"Luck")</f>
        <v>Luck</v>
      </c>
      <c r="M2" s="1" t="s">
        <v>5</v>
      </c>
      <c r="N2" s="1" t="s">
        <v>0</v>
      </c>
      <c r="O2" s="1" t="s">
        <v>6</v>
      </c>
      <c r="P2" s="1" t="str">
        <f ca="1">IFERROR(__xludf.DUMMYFUNCTION("""COMPUTED_VALUE"""),"OppO")</f>
        <v>OppO</v>
      </c>
      <c r="Q2" s="1" t="s">
        <v>7</v>
      </c>
      <c r="R2" s="1" t="str">
        <f ca="1">IFERROR(__xludf.DUMMYFUNCTION("""COMPUTED_VALUE"""),"OppD")</f>
        <v>OppD</v>
      </c>
      <c r="S2" s="1" t="s">
        <v>8</v>
      </c>
      <c r="T2" s="1" t="s">
        <v>1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IFERROR(__xludf.DUMMYFUNCTION("""COMPUTED_VALUE"""),"Kentucky1")</f>
        <v>Kentucky1</v>
      </c>
      <c r="C3" s="1" t="str">
        <f ca="1">IFERROR(__xludf.DUMMYFUNCTION("""COMPUTED_VALUE"""),"SEC")</f>
        <v>SEC</v>
      </c>
      <c r="D3" s="1" t="str">
        <f ca="1">IFERROR(__xludf.DUMMYFUNCTION("""COMPUTED_VALUE"""),"38-1")</f>
        <v>38-1</v>
      </c>
      <c r="E3" s="1" t="str">
        <f ca="1">IFERROR(__xludf.DUMMYFUNCTION("""COMPUTED_VALUE"""),"+36.91")</f>
        <v>+36.91</v>
      </c>
      <c r="F3" s="1">
        <f ca="1">IFERROR(__xludf.DUMMYFUNCTION("""COMPUTED_VALUE"""),121.3)</f>
        <v>121.3</v>
      </c>
      <c r="G3" s="1">
        <f ca="1">IFERROR(__xludf.DUMMYFUNCTION("""COMPUTED_VALUE"""),6)</f>
        <v>6</v>
      </c>
      <c r="H3" s="1">
        <f ca="1">IFERROR(__xludf.DUMMYFUNCTION("""COMPUTED_VALUE"""),84.4)</f>
        <v>84.4</v>
      </c>
      <c r="I3" s="1">
        <f ca="1">IFERROR(__xludf.DUMMYFUNCTION("""COMPUTED_VALUE"""),1)</f>
        <v>1</v>
      </c>
      <c r="J3" s="1">
        <f ca="1">IFERROR(__xludf.DUMMYFUNCTION("""COMPUTED_VALUE"""),62.4)</f>
        <v>62.4</v>
      </c>
      <c r="K3" s="1">
        <f ca="1">IFERROR(__xludf.DUMMYFUNCTION("""COMPUTED_VALUE"""),274)</f>
        <v>274</v>
      </c>
      <c r="L3" s="1" t="str">
        <f ca="1">IFERROR(__xludf.DUMMYFUNCTION("""COMPUTED_VALUE"""),"+.048")</f>
        <v>+.048</v>
      </c>
      <c r="M3" s="1">
        <f ca="1">IFERROR(__xludf.DUMMYFUNCTION("""COMPUTED_VALUE"""),68)</f>
        <v>68</v>
      </c>
      <c r="N3" s="1" t="str">
        <f ca="1">IFERROR(__xludf.DUMMYFUNCTION("""COMPUTED_VALUE"""),"+8.58")</f>
        <v>+8.58</v>
      </c>
      <c r="O3" s="1">
        <f ca="1">IFERROR(__xludf.DUMMYFUNCTION("""COMPUTED_VALUE"""),26)</f>
        <v>26</v>
      </c>
      <c r="P3" s="1">
        <f ca="1">IFERROR(__xludf.DUMMYFUNCTION("""COMPUTED_VALUE"""),108.7)</f>
        <v>108.7</v>
      </c>
      <c r="Q3" s="1">
        <f ca="1">IFERROR(__xludf.DUMMYFUNCTION("""COMPUTED_VALUE"""),27)</f>
        <v>27</v>
      </c>
      <c r="R3" s="1">
        <f ca="1">IFERROR(__xludf.DUMMYFUNCTION("""COMPUTED_VALUE"""),100.1)</f>
        <v>100.1</v>
      </c>
      <c r="S3" s="1">
        <f ca="1">IFERROR(__xludf.DUMMYFUNCTION("""COMPUTED_VALUE"""),27)</f>
        <v>27</v>
      </c>
      <c r="T3" s="1" t="str">
        <f ca="1">IFERROR(__xludf.DUMMYFUNCTION("""COMPUTED_VALUE"""),"+3.13")</f>
        <v>+3.13</v>
      </c>
      <c r="U3" s="1">
        <f ca="1">IFERROR(__xludf.DUMMYFUNCTION("""COMPUTED_VALUE"""),64)</f>
        <v>64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IFERROR(__xludf.DUMMYFUNCTION("""COMPUTED_VALUE"""),"Wisconsin1")</f>
        <v>Wisconsin1</v>
      </c>
      <c r="C4" s="1" t="str">
        <f ca="1">IFERROR(__xludf.DUMMYFUNCTION("""COMPUTED_VALUE"""),"B10")</f>
        <v>B10</v>
      </c>
      <c r="D4" s="1" t="str">
        <f ca="1">IFERROR(__xludf.DUMMYFUNCTION("""COMPUTED_VALUE"""),"36-4")</f>
        <v>36-4</v>
      </c>
      <c r="E4" s="1" t="str">
        <f ca="1">IFERROR(__xludf.DUMMYFUNCTION("""COMPUTED_VALUE"""),"+33.72")</f>
        <v>+33.72</v>
      </c>
      <c r="F4" s="1">
        <f ca="1">IFERROR(__xludf.DUMMYFUNCTION("""COMPUTED_VALUE"""),129)</f>
        <v>129</v>
      </c>
      <c r="G4" s="1">
        <f ca="1">IFERROR(__xludf.DUMMYFUNCTION("""COMPUTED_VALUE"""),1)</f>
        <v>1</v>
      </c>
      <c r="H4" s="1">
        <f ca="1">IFERROR(__xludf.DUMMYFUNCTION("""COMPUTED_VALUE"""),95.2)</f>
        <v>95.2</v>
      </c>
      <c r="I4" s="1">
        <f ca="1">IFERROR(__xludf.DUMMYFUNCTION("""COMPUTED_VALUE"""),35)</f>
        <v>35</v>
      </c>
      <c r="J4" s="1">
        <f ca="1">IFERROR(__xludf.DUMMYFUNCTION("""COMPUTED_VALUE"""),58.7)</f>
        <v>58.7</v>
      </c>
      <c r="K4" s="1">
        <f ca="1">IFERROR(__xludf.DUMMYFUNCTION("""COMPUTED_VALUE"""),345)</f>
        <v>345</v>
      </c>
      <c r="L4" s="1" t="str">
        <f ca="1">IFERROR(__xludf.DUMMYFUNCTION("""COMPUTED_VALUE"""),"+.015")</f>
        <v>+.015</v>
      </c>
      <c r="M4" s="1">
        <f ca="1">IFERROR(__xludf.DUMMYFUNCTION("""COMPUTED_VALUE"""),146)</f>
        <v>146</v>
      </c>
      <c r="N4" s="1" t="str">
        <f ca="1">IFERROR(__xludf.DUMMYFUNCTION("""COMPUTED_VALUE"""),"+11.03")</f>
        <v>+11.03</v>
      </c>
      <c r="O4" s="1">
        <f ca="1">IFERROR(__xludf.DUMMYFUNCTION("""COMPUTED_VALUE"""),4)</f>
        <v>4</v>
      </c>
      <c r="P4" s="1">
        <f ca="1">IFERROR(__xludf.DUMMYFUNCTION("""COMPUTED_VALUE"""),109.8)</f>
        <v>109.8</v>
      </c>
      <c r="Q4" s="1">
        <f ca="1">IFERROR(__xludf.DUMMYFUNCTION("""COMPUTED_VALUE"""),9)</f>
        <v>9</v>
      </c>
      <c r="R4" s="1">
        <f ca="1">IFERROR(__xludf.DUMMYFUNCTION("""COMPUTED_VALUE"""),98.8)</f>
        <v>98.8</v>
      </c>
      <c r="S4" s="1">
        <f ca="1">IFERROR(__xludf.DUMMYFUNCTION("""COMPUTED_VALUE"""),7)</f>
        <v>7</v>
      </c>
      <c r="T4" s="1" t="str">
        <f ca="1">IFERROR(__xludf.DUMMYFUNCTION("""COMPUTED_VALUE"""),"+5.30")</f>
        <v>+5.30</v>
      </c>
      <c r="U4" s="1">
        <f ca="1">IFERROR(__xludf.DUMMYFUNCTION("""COMPUTED_VALUE"""),29)</f>
        <v>29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IFERROR(__xludf.DUMMYFUNCTION("""COMPUTED_VALUE"""),"Duke1")</f>
        <v>Duke1</v>
      </c>
      <c r="C5" s="1" t="str">
        <f ca="1">IFERROR(__xludf.DUMMYFUNCTION("""COMPUTED_VALUE"""),"ACC")</f>
        <v>ACC</v>
      </c>
      <c r="D5" s="1" t="str">
        <f ca="1">IFERROR(__xludf.DUMMYFUNCTION("""COMPUTED_VALUE"""),"35-4")</f>
        <v>35-4</v>
      </c>
      <c r="E5" s="1" t="str">
        <f ca="1">IFERROR(__xludf.DUMMYFUNCTION("""COMPUTED_VALUE"""),"+32.48")</f>
        <v>+32.48</v>
      </c>
      <c r="F5" s="1">
        <f ca="1">IFERROR(__xludf.DUMMYFUNCTION("""COMPUTED_VALUE"""),124.5)</f>
        <v>124.5</v>
      </c>
      <c r="G5" s="1">
        <f ca="1">IFERROR(__xludf.DUMMYFUNCTION("""COMPUTED_VALUE"""),3)</f>
        <v>3</v>
      </c>
      <c r="H5" s="1">
        <f ca="1">IFERROR(__xludf.DUMMYFUNCTION("""COMPUTED_VALUE"""),92)</f>
        <v>92</v>
      </c>
      <c r="I5" s="1">
        <f ca="1">IFERROR(__xludf.DUMMYFUNCTION("""COMPUTED_VALUE"""),11)</f>
        <v>11</v>
      </c>
      <c r="J5" s="1">
        <f ca="1">IFERROR(__xludf.DUMMYFUNCTION("""COMPUTED_VALUE"""),65.8)</f>
        <v>65.8</v>
      </c>
      <c r="K5" s="1">
        <f ca="1">IFERROR(__xludf.DUMMYFUNCTION("""COMPUTED_VALUE"""),104)</f>
        <v>104</v>
      </c>
      <c r="L5" s="1" t="str">
        <f ca="1">IFERROR(__xludf.DUMMYFUNCTION("""COMPUTED_VALUE"""),"+.067")</f>
        <v>+.067</v>
      </c>
      <c r="M5" s="1">
        <f ca="1">IFERROR(__xludf.DUMMYFUNCTION("""COMPUTED_VALUE"""),38)</f>
        <v>38</v>
      </c>
      <c r="N5" s="1" t="str">
        <f ca="1">IFERROR(__xludf.DUMMYFUNCTION("""COMPUTED_VALUE"""),"+11.17")</f>
        <v>+11.17</v>
      </c>
      <c r="O5" s="1">
        <f ca="1">IFERROR(__xludf.DUMMYFUNCTION("""COMPUTED_VALUE"""),3)</f>
        <v>3</v>
      </c>
      <c r="P5" s="1">
        <f ca="1">IFERROR(__xludf.DUMMYFUNCTION("""COMPUTED_VALUE"""),110.7)</f>
        <v>110.7</v>
      </c>
      <c r="Q5" s="1">
        <f ca="1">IFERROR(__xludf.DUMMYFUNCTION("""COMPUTED_VALUE"""),2)</f>
        <v>2</v>
      </c>
      <c r="R5" s="1">
        <f ca="1">IFERROR(__xludf.DUMMYFUNCTION("""COMPUTED_VALUE"""),99.5)</f>
        <v>99.5</v>
      </c>
      <c r="S5" s="1">
        <f ca="1">IFERROR(__xludf.DUMMYFUNCTION("""COMPUTED_VALUE"""),17)</f>
        <v>17</v>
      </c>
      <c r="T5" s="1" t="str">
        <f ca="1">IFERROR(__xludf.DUMMYFUNCTION("""COMPUTED_VALUE"""),"+1.31")</f>
        <v>+1.31</v>
      </c>
      <c r="U5" s="1">
        <f ca="1">IFERROR(__xludf.DUMMYFUNCTION("""COMPUTED_VALUE"""),117)</f>
        <v>117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IFERROR(__xludf.DUMMYFUNCTION("""COMPUTED_VALUE"""),"Arizona2")</f>
        <v>Arizona2</v>
      </c>
      <c r="C6" s="1" t="str">
        <f ca="1">IFERROR(__xludf.DUMMYFUNCTION("""COMPUTED_VALUE"""),"P12")</f>
        <v>P12</v>
      </c>
      <c r="D6" s="1" t="str">
        <f ca="1">IFERROR(__xludf.DUMMYFUNCTION("""COMPUTED_VALUE"""),"34-4")</f>
        <v>34-4</v>
      </c>
      <c r="E6" s="1" t="str">
        <f ca="1">IFERROR(__xludf.DUMMYFUNCTION("""COMPUTED_VALUE"""),"+32.36")</f>
        <v>+32.36</v>
      </c>
      <c r="F6" s="1">
        <f ca="1">IFERROR(__xludf.DUMMYFUNCTION("""COMPUTED_VALUE"""),119.9)</f>
        <v>119.9</v>
      </c>
      <c r="G6" s="1">
        <f ca="1">IFERROR(__xludf.DUMMYFUNCTION("""COMPUTED_VALUE"""),7)</f>
        <v>7</v>
      </c>
      <c r="H6" s="1">
        <f ca="1">IFERROR(__xludf.DUMMYFUNCTION("""COMPUTED_VALUE"""),87.5)</f>
        <v>87.5</v>
      </c>
      <c r="I6" s="1">
        <f ca="1">IFERROR(__xludf.DUMMYFUNCTION("""COMPUTED_VALUE"""),3)</f>
        <v>3</v>
      </c>
      <c r="J6" s="1">
        <f ca="1">IFERROR(__xludf.DUMMYFUNCTION("""COMPUTED_VALUE"""),65.8)</f>
        <v>65.8</v>
      </c>
      <c r="K6" s="1">
        <f ca="1">IFERROR(__xludf.DUMMYFUNCTION("""COMPUTED_VALUE"""),102)</f>
        <v>102</v>
      </c>
      <c r="L6" s="1">
        <f ca="1">IFERROR(__xludf.DUMMYFUNCTION("""COMPUTED_VALUE"""),-0.033)</f>
        <v>-3.3000000000000002E-2</v>
      </c>
      <c r="M6" s="1">
        <f ca="1">IFERROR(__xludf.DUMMYFUNCTION("""COMPUTED_VALUE"""),258)</f>
        <v>258</v>
      </c>
      <c r="N6" s="1" t="str">
        <f ca="1">IFERROR(__xludf.DUMMYFUNCTION("""COMPUTED_VALUE"""),"+7.37")</f>
        <v>+7.37</v>
      </c>
      <c r="O6" s="1">
        <f ca="1">IFERROR(__xludf.DUMMYFUNCTION("""COMPUTED_VALUE"""),45)</f>
        <v>45</v>
      </c>
      <c r="P6" s="1">
        <f ca="1">IFERROR(__xludf.DUMMYFUNCTION("""COMPUTED_VALUE"""),108.3)</f>
        <v>108.3</v>
      </c>
      <c r="Q6" s="1">
        <f ca="1">IFERROR(__xludf.DUMMYFUNCTION("""COMPUTED_VALUE"""),38)</f>
        <v>38</v>
      </c>
      <c r="R6" s="1">
        <f ca="1">IFERROR(__xludf.DUMMYFUNCTION("""COMPUTED_VALUE"""),100.9)</f>
        <v>100.9</v>
      </c>
      <c r="S6" s="1">
        <f ca="1">IFERROR(__xludf.DUMMYFUNCTION("""COMPUTED_VALUE"""),49)</f>
        <v>49</v>
      </c>
      <c r="T6" s="1" t="str">
        <f ca="1">IFERROR(__xludf.DUMMYFUNCTION("""COMPUTED_VALUE"""),"+0.09")</f>
        <v>+0.09</v>
      </c>
      <c r="U6" s="1">
        <f ca="1">IFERROR(__xludf.DUMMYFUNCTION("""COMPUTED_VALUE"""),157)</f>
        <v>157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IFERROR(__xludf.DUMMYFUNCTION("""COMPUTED_VALUE"""),"Villanova1")</f>
        <v>Villanova1</v>
      </c>
      <c r="C7" s="1" t="str">
        <f ca="1">IFERROR(__xludf.DUMMYFUNCTION("""COMPUTED_VALUE"""),"BE")</f>
        <v>BE</v>
      </c>
      <c r="D7" s="1" t="str">
        <f ca="1">IFERROR(__xludf.DUMMYFUNCTION("""COMPUTED_VALUE"""),"33-3")</f>
        <v>33-3</v>
      </c>
      <c r="E7" s="1" t="str">
        <f ca="1">IFERROR(__xludf.DUMMYFUNCTION("""COMPUTED_VALUE"""),"+30.65")</f>
        <v>+30.65</v>
      </c>
      <c r="F7" s="1">
        <f ca="1">IFERROR(__xludf.DUMMYFUNCTION("""COMPUTED_VALUE"""),122.7)</f>
        <v>122.7</v>
      </c>
      <c r="G7" s="1">
        <f ca="1">IFERROR(__xludf.DUMMYFUNCTION("""COMPUTED_VALUE"""),4)</f>
        <v>4</v>
      </c>
      <c r="H7" s="1">
        <f ca="1">IFERROR(__xludf.DUMMYFUNCTION("""COMPUTED_VALUE"""),92)</f>
        <v>92</v>
      </c>
      <c r="I7" s="1">
        <f ca="1">IFERROR(__xludf.DUMMYFUNCTION("""COMPUTED_VALUE"""),12)</f>
        <v>12</v>
      </c>
      <c r="J7" s="1">
        <f ca="1">IFERROR(__xludf.DUMMYFUNCTION("""COMPUTED_VALUE"""),64.2)</f>
        <v>64.2</v>
      </c>
      <c r="K7" s="1">
        <f ca="1">IFERROR(__xludf.DUMMYFUNCTION("""COMPUTED_VALUE"""),183)</f>
        <v>183</v>
      </c>
      <c r="L7" s="1" t="str">
        <f ca="1">IFERROR(__xludf.DUMMYFUNCTION("""COMPUTED_VALUE"""),"+.031")</f>
        <v>+.031</v>
      </c>
      <c r="M7" s="1">
        <f ca="1">IFERROR(__xludf.DUMMYFUNCTION("""COMPUTED_VALUE"""),104)</f>
        <v>104</v>
      </c>
      <c r="N7" s="1" t="str">
        <f ca="1">IFERROR(__xludf.DUMMYFUNCTION("""COMPUTED_VALUE"""),"+7.67")</f>
        <v>+7.67</v>
      </c>
      <c r="O7" s="1">
        <f ca="1">IFERROR(__xludf.DUMMYFUNCTION("""COMPUTED_VALUE"""),41)</f>
        <v>41</v>
      </c>
      <c r="P7" s="1">
        <f ca="1">IFERROR(__xludf.DUMMYFUNCTION("""COMPUTED_VALUE"""),108.2)</f>
        <v>108.2</v>
      </c>
      <c r="Q7" s="1">
        <f ca="1">IFERROR(__xludf.DUMMYFUNCTION("""COMPUTED_VALUE"""),42)</f>
        <v>42</v>
      </c>
      <c r="R7" s="1">
        <f ca="1">IFERROR(__xludf.DUMMYFUNCTION("""COMPUTED_VALUE"""),100.6)</f>
        <v>100.6</v>
      </c>
      <c r="S7" s="1">
        <f ca="1">IFERROR(__xludf.DUMMYFUNCTION("""COMPUTED_VALUE"""),43)</f>
        <v>43</v>
      </c>
      <c r="T7" s="1" t="str">
        <f ca="1">IFERROR(__xludf.DUMMYFUNCTION("""COMPUTED_VALUE"""),"+0.23")</f>
        <v>+0.23</v>
      </c>
      <c r="U7" s="1">
        <f ca="1">IFERROR(__xludf.DUMMYFUNCTION("""COMPUTED_VALUE"""),152)</f>
        <v>152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IFERROR(__xludf.DUMMYFUNCTION("""COMPUTED_VALUE"""),"Virginia2")</f>
        <v>Virginia2</v>
      </c>
      <c r="C8" s="1" t="str">
        <f ca="1">IFERROR(__xludf.DUMMYFUNCTION("""COMPUTED_VALUE"""),"ACC")</f>
        <v>ACC</v>
      </c>
      <c r="D8" s="1" t="str">
        <f ca="1">IFERROR(__xludf.DUMMYFUNCTION("""COMPUTED_VALUE"""),"30-4")</f>
        <v>30-4</v>
      </c>
      <c r="E8" s="1" t="str">
        <f ca="1">IFERROR(__xludf.DUMMYFUNCTION("""COMPUTED_VALUE"""),"+30.06")</f>
        <v>+30.06</v>
      </c>
      <c r="F8" s="1">
        <f ca="1">IFERROR(__xludf.DUMMYFUNCTION("""COMPUTED_VALUE"""),115.6)</f>
        <v>115.6</v>
      </c>
      <c r="G8" s="1">
        <f ca="1">IFERROR(__xludf.DUMMYFUNCTION("""COMPUTED_VALUE"""),21)</f>
        <v>21</v>
      </c>
      <c r="H8" s="1">
        <f ca="1">IFERROR(__xludf.DUMMYFUNCTION("""COMPUTED_VALUE"""),85.5)</f>
        <v>85.5</v>
      </c>
      <c r="I8" s="1">
        <f ca="1">IFERROR(__xludf.DUMMYFUNCTION("""COMPUTED_VALUE"""),2)</f>
        <v>2</v>
      </c>
      <c r="J8" s="1">
        <f ca="1">IFERROR(__xludf.DUMMYFUNCTION("""COMPUTED_VALUE"""),58)</f>
        <v>58</v>
      </c>
      <c r="K8" s="1">
        <f ca="1">IFERROR(__xludf.DUMMYFUNCTION("""COMPUTED_VALUE"""),349)</f>
        <v>349</v>
      </c>
      <c r="L8" s="1" t="str">
        <f ca="1">IFERROR(__xludf.DUMMYFUNCTION("""COMPUTED_VALUE"""),"+.023")</f>
        <v>+.023</v>
      </c>
      <c r="M8" s="1">
        <f ca="1">IFERROR(__xludf.DUMMYFUNCTION("""COMPUTED_VALUE"""),128)</f>
        <v>128</v>
      </c>
      <c r="N8" s="1" t="str">
        <f ca="1">IFERROR(__xludf.DUMMYFUNCTION("""COMPUTED_VALUE"""),"+8.21")</f>
        <v>+8.21</v>
      </c>
      <c r="O8" s="1">
        <f ca="1">IFERROR(__xludf.DUMMYFUNCTION("""COMPUTED_VALUE"""),32)</f>
        <v>32</v>
      </c>
      <c r="P8" s="1">
        <f ca="1">IFERROR(__xludf.DUMMYFUNCTION("""COMPUTED_VALUE"""),108.5)</f>
        <v>108.5</v>
      </c>
      <c r="Q8" s="1">
        <f ca="1">IFERROR(__xludf.DUMMYFUNCTION("""COMPUTED_VALUE"""),31)</f>
        <v>31</v>
      </c>
      <c r="R8" s="1">
        <f ca="1">IFERROR(__xludf.DUMMYFUNCTION("""COMPUTED_VALUE"""),100.3)</f>
        <v>100.3</v>
      </c>
      <c r="S8" s="1">
        <f ca="1">IFERROR(__xludf.DUMMYFUNCTION("""COMPUTED_VALUE"""),37)</f>
        <v>37</v>
      </c>
      <c r="T8" s="1" t="str">
        <f ca="1">IFERROR(__xludf.DUMMYFUNCTION("""COMPUTED_VALUE"""),"+0.46")</f>
        <v>+0.46</v>
      </c>
      <c r="U8" s="1">
        <f ca="1">IFERROR(__xludf.DUMMYFUNCTION("""COMPUTED_VALUE"""),142)</f>
        <v>142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IFERROR(__xludf.DUMMYFUNCTION("""COMPUTED_VALUE"""),"Gonzaga2")</f>
        <v>Gonzaga2</v>
      </c>
      <c r="C9" s="1" t="str">
        <f ca="1">IFERROR(__xludf.DUMMYFUNCTION("""COMPUTED_VALUE"""),"WCC")</f>
        <v>WCC</v>
      </c>
      <c r="D9" s="1" t="str">
        <f ca="1">IFERROR(__xludf.DUMMYFUNCTION("""COMPUTED_VALUE"""),"35-3")</f>
        <v>35-3</v>
      </c>
      <c r="E9" s="1" t="str">
        <f ca="1">IFERROR(__xludf.DUMMYFUNCTION("""COMPUTED_VALUE"""),"+27.78")</f>
        <v>+27.78</v>
      </c>
      <c r="F9" s="1">
        <f ca="1">IFERROR(__xludf.DUMMYFUNCTION("""COMPUTED_VALUE"""),121.7)</f>
        <v>121.7</v>
      </c>
      <c r="G9" s="1">
        <f ca="1">IFERROR(__xludf.DUMMYFUNCTION("""COMPUTED_VALUE"""),5)</f>
        <v>5</v>
      </c>
      <c r="H9" s="1">
        <f ca="1">IFERROR(__xludf.DUMMYFUNCTION("""COMPUTED_VALUE"""),93.9)</f>
        <v>93.9</v>
      </c>
      <c r="I9" s="1">
        <f ca="1">IFERROR(__xludf.DUMMYFUNCTION("""COMPUTED_VALUE"""),16)</f>
        <v>16</v>
      </c>
      <c r="J9" s="1">
        <f ca="1">IFERROR(__xludf.DUMMYFUNCTION("""COMPUTED_VALUE"""),64.7)</f>
        <v>64.7</v>
      </c>
      <c r="K9" s="1">
        <f ca="1">IFERROR(__xludf.DUMMYFUNCTION("""COMPUTED_VALUE"""),154)</f>
        <v>154</v>
      </c>
      <c r="L9" s="1" t="str">
        <f ca="1">IFERROR(__xludf.DUMMYFUNCTION("""COMPUTED_VALUE"""),"+.018")</f>
        <v>+.018</v>
      </c>
      <c r="M9" s="1">
        <f ca="1">IFERROR(__xludf.DUMMYFUNCTION("""COMPUTED_VALUE"""),138)</f>
        <v>138</v>
      </c>
      <c r="N9" s="1" t="str">
        <f ca="1">IFERROR(__xludf.DUMMYFUNCTION("""COMPUTED_VALUE"""),"+4.37")</f>
        <v>+4.37</v>
      </c>
      <c r="O9" s="1">
        <f ca="1">IFERROR(__xludf.DUMMYFUNCTION("""COMPUTED_VALUE"""),80)</f>
        <v>80</v>
      </c>
      <c r="P9" s="1">
        <f ca="1">IFERROR(__xludf.DUMMYFUNCTION("""COMPUTED_VALUE"""),107.3)</f>
        <v>107.3</v>
      </c>
      <c r="Q9" s="1">
        <f ca="1">IFERROR(__xludf.DUMMYFUNCTION("""COMPUTED_VALUE"""),67)</f>
        <v>67</v>
      </c>
      <c r="R9" s="1">
        <f ca="1">IFERROR(__xludf.DUMMYFUNCTION("""COMPUTED_VALUE"""),102.9)</f>
        <v>102.9</v>
      </c>
      <c r="S9" s="1">
        <f ca="1">IFERROR(__xludf.DUMMYFUNCTION("""COMPUTED_VALUE"""),103)</f>
        <v>103</v>
      </c>
      <c r="T9" s="1" t="str">
        <f ca="1">IFERROR(__xludf.DUMMYFUNCTION("""COMPUTED_VALUE"""),"+3.00")</f>
        <v>+3.00</v>
      </c>
      <c r="U9" s="1">
        <f ca="1">IFERROR(__xludf.DUMMYFUNCTION("""COMPUTED_VALUE"""),66)</f>
        <v>66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IFERROR(__xludf.DUMMYFUNCTION("""COMPUTED_VALUE"""),"Utah5")</f>
        <v>Utah5</v>
      </c>
      <c r="C10" s="1" t="str">
        <f ca="1">IFERROR(__xludf.DUMMYFUNCTION("""COMPUTED_VALUE"""),"P12")</f>
        <v>P12</v>
      </c>
      <c r="D10" s="1" t="str">
        <f ca="1">IFERROR(__xludf.DUMMYFUNCTION("""COMPUTED_VALUE"""),"26-9")</f>
        <v>26-9</v>
      </c>
      <c r="E10" s="1" t="str">
        <f ca="1">IFERROR(__xludf.DUMMYFUNCTION("""COMPUTED_VALUE"""),"+27.24")</f>
        <v>+27.24</v>
      </c>
      <c r="F10" s="1">
        <f ca="1">IFERROR(__xludf.DUMMYFUNCTION("""COMPUTED_VALUE"""),116.4)</f>
        <v>116.4</v>
      </c>
      <c r="G10" s="1">
        <f ca="1">IFERROR(__xludf.DUMMYFUNCTION("""COMPUTED_VALUE"""),17)</f>
        <v>17</v>
      </c>
      <c r="H10" s="1">
        <f ca="1">IFERROR(__xludf.DUMMYFUNCTION("""COMPUTED_VALUE"""),89.2)</f>
        <v>89.2</v>
      </c>
      <c r="I10" s="1">
        <f ca="1">IFERROR(__xludf.DUMMYFUNCTION("""COMPUTED_VALUE"""),6)</f>
        <v>6</v>
      </c>
      <c r="J10" s="1">
        <f ca="1">IFERROR(__xludf.DUMMYFUNCTION("""COMPUTED_VALUE"""),60.5)</f>
        <v>60.5</v>
      </c>
      <c r="K10" s="1">
        <f ca="1">IFERROR(__xludf.DUMMYFUNCTION("""COMPUTED_VALUE"""),328)</f>
        <v>328</v>
      </c>
      <c r="L10" s="1">
        <f ca="1">IFERROR(__xludf.DUMMYFUNCTION("""COMPUTED_VALUE"""),-0.054)</f>
        <v>-5.3999999999999999E-2</v>
      </c>
      <c r="M10" s="1">
        <f ca="1">IFERROR(__xludf.DUMMYFUNCTION("""COMPUTED_VALUE"""),301)</f>
        <v>301</v>
      </c>
      <c r="N10" s="1" t="str">
        <f ca="1">IFERROR(__xludf.DUMMYFUNCTION("""COMPUTED_VALUE"""),"+8.19")</f>
        <v>+8.19</v>
      </c>
      <c r="O10" s="1">
        <f ca="1">IFERROR(__xludf.DUMMYFUNCTION("""COMPUTED_VALUE"""),33)</f>
        <v>33</v>
      </c>
      <c r="P10" s="1">
        <f ca="1">IFERROR(__xludf.DUMMYFUNCTION("""COMPUTED_VALUE"""),108.8)</f>
        <v>108.8</v>
      </c>
      <c r="Q10" s="1">
        <f ca="1">IFERROR(__xludf.DUMMYFUNCTION("""COMPUTED_VALUE"""),26)</f>
        <v>26</v>
      </c>
      <c r="R10" s="1">
        <f ca="1">IFERROR(__xludf.DUMMYFUNCTION("""COMPUTED_VALUE"""),100.6)</f>
        <v>100.6</v>
      </c>
      <c r="S10" s="1">
        <f ca="1">IFERROR(__xludf.DUMMYFUNCTION("""COMPUTED_VALUE"""),44)</f>
        <v>44</v>
      </c>
      <c r="T10" s="1" t="str">
        <f ca="1">IFERROR(__xludf.DUMMYFUNCTION("""COMPUTED_VALUE"""),"+0.60")</f>
        <v>+0.60</v>
      </c>
      <c r="U10" s="1">
        <f ca="1">IFERROR(__xludf.DUMMYFUNCTION("""COMPUTED_VALUE"""),138)</f>
        <v>138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IFERROR(__xludf.DUMMYFUNCTION("""COMPUTED_VALUE"""),"Notre Dame3")</f>
        <v>Notre Dame3</v>
      </c>
      <c r="C11" s="1" t="str">
        <f ca="1">IFERROR(__xludf.DUMMYFUNCTION("""COMPUTED_VALUE"""),"ACC")</f>
        <v>ACC</v>
      </c>
      <c r="D11" s="1" t="str">
        <f ca="1">IFERROR(__xludf.DUMMYFUNCTION("""COMPUTED_VALUE"""),"32-6")</f>
        <v>32-6</v>
      </c>
      <c r="E11" s="1" t="str">
        <f ca="1">IFERROR(__xludf.DUMMYFUNCTION("""COMPUTED_VALUE"""),"+24.96")</f>
        <v>+24.96</v>
      </c>
      <c r="F11" s="1">
        <f ca="1">IFERROR(__xludf.DUMMYFUNCTION("""COMPUTED_VALUE"""),125.4)</f>
        <v>125.4</v>
      </c>
      <c r="G11" s="1">
        <f ca="1">IFERROR(__xludf.DUMMYFUNCTION("""COMPUTED_VALUE"""),2)</f>
        <v>2</v>
      </c>
      <c r="H11" s="1">
        <f ca="1">IFERROR(__xludf.DUMMYFUNCTION("""COMPUTED_VALUE"""),100.4)</f>
        <v>100.4</v>
      </c>
      <c r="I11" s="1">
        <f ca="1">IFERROR(__xludf.DUMMYFUNCTION("""COMPUTED_VALUE"""),99)</f>
        <v>99</v>
      </c>
      <c r="J11" s="1">
        <f ca="1">IFERROR(__xludf.DUMMYFUNCTION("""COMPUTED_VALUE"""),63.4)</f>
        <v>63.4</v>
      </c>
      <c r="K11" s="1">
        <f ca="1">IFERROR(__xludf.DUMMYFUNCTION("""COMPUTED_VALUE"""),226)</f>
        <v>226</v>
      </c>
      <c r="L11" s="1" t="str">
        <f ca="1">IFERROR(__xludf.DUMMYFUNCTION("""COMPUTED_VALUE"""),"+.062")</f>
        <v>+.062</v>
      </c>
      <c r="M11" s="1">
        <f ca="1">IFERROR(__xludf.DUMMYFUNCTION("""COMPUTED_VALUE"""),47)</f>
        <v>47</v>
      </c>
      <c r="N11" s="1" t="str">
        <f ca="1">IFERROR(__xludf.DUMMYFUNCTION("""COMPUTED_VALUE"""),"+7.59")</f>
        <v>+7.59</v>
      </c>
      <c r="O11" s="1">
        <f ca="1">IFERROR(__xludf.DUMMYFUNCTION("""COMPUTED_VALUE"""),42)</f>
        <v>42</v>
      </c>
      <c r="P11" s="1">
        <f ca="1">IFERROR(__xludf.DUMMYFUNCTION("""COMPUTED_VALUE"""),107.7)</f>
        <v>107.7</v>
      </c>
      <c r="Q11" s="1">
        <f ca="1">IFERROR(__xludf.DUMMYFUNCTION("""COMPUTED_VALUE"""),57)</f>
        <v>57</v>
      </c>
      <c r="R11" s="1">
        <f ca="1">IFERROR(__xludf.DUMMYFUNCTION("""COMPUTED_VALUE"""),100.1)</f>
        <v>100.1</v>
      </c>
      <c r="S11" s="1">
        <f ca="1">IFERROR(__xludf.DUMMYFUNCTION("""COMPUTED_VALUE"""),26)</f>
        <v>26</v>
      </c>
      <c r="T11" s="1">
        <f ca="1">IFERROR(__xludf.DUMMYFUNCTION("""COMPUTED_VALUE"""),-11.62)</f>
        <v>-11.62</v>
      </c>
      <c r="U11" s="1">
        <f ca="1">IFERROR(__xludf.DUMMYFUNCTION("""COMPUTED_VALUE"""),347)</f>
        <v>347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IFERROR(__xludf.DUMMYFUNCTION("""COMPUTED_VALUE"""),"North Carolina4")</f>
        <v>North Carolina4</v>
      </c>
      <c r="C12" s="1" t="str">
        <f ca="1">IFERROR(__xludf.DUMMYFUNCTION("""COMPUTED_VALUE"""),"ACC")</f>
        <v>ACC</v>
      </c>
      <c r="D12" s="1" t="str">
        <f ca="1">IFERROR(__xludf.DUMMYFUNCTION("""COMPUTED_VALUE"""),"26-12")</f>
        <v>26-12</v>
      </c>
      <c r="E12" s="1" t="str">
        <f ca="1">IFERROR(__xludf.DUMMYFUNCTION("""COMPUTED_VALUE"""),"+23.85")</f>
        <v>+23.85</v>
      </c>
      <c r="F12" s="1">
        <f ca="1">IFERROR(__xludf.DUMMYFUNCTION("""COMPUTED_VALUE"""),119.1)</f>
        <v>119.1</v>
      </c>
      <c r="G12" s="1">
        <f ca="1">IFERROR(__xludf.DUMMYFUNCTION("""COMPUTED_VALUE"""),11)</f>
        <v>11</v>
      </c>
      <c r="H12" s="1">
        <f ca="1">IFERROR(__xludf.DUMMYFUNCTION("""COMPUTED_VALUE"""),95.3)</f>
        <v>95.3</v>
      </c>
      <c r="I12" s="1">
        <f ca="1">IFERROR(__xludf.DUMMYFUNCTION("""COMPUTED_VALUE"""),37)</f>
        <v>37</v>
      </c>
      <c r="J12" s="1">
        <f ca="1">IFERROR(__xludf.DUMMYFUNCTION("""COMPUTED_VALUE"""),69.2)</f>
        <v>69.2</v>
      </c>
      <c r="K12" s="1">
        <f ca="1">IFERROR(__xludf.DUMMYFUNCTION("""COMPUTED_VALUE"""),16)</f>
        <v>16</v>
      </c>
      <c r="L12" s="1">
        <f ca="1">IFERROR(__xludf.DUMMYFUNCTION("""COMPUTED_VALUE"""),-0.026)</f>
        <v>-2.5999999999999999E-2</v>
      </c>
      <c r="M12" s="1">
        <f ca="1">IFERROR(__xludf.DUMMYFUNCTION("""COMPUTED_VALUE"""),244)</f>
        <v>244</v>
      </c>
      <c r="N12" s="1" t="str">
        <f ca="1">IFERROR(__xludf.DUMMYFUNCTION("""COMPUTED_VALUE"""),"+12.76")</f>
        <v>+12.76</v>
      </c>
      <c r="O12" s="1">
        <f ca="1">IFERROR(__xludf.DUMMYFUNCTION("""COMPUTED_VALUE"""),2)</f>
        <v>2</v>
      </c>
      <c r="P12" s="1">
        <f ca="1">IFERROR(__xludf.DUMMYFUNCTION("""COMPUTED_VALUE"""),111.1)</f>
        <v>111.1</v>
      </c>
      <c r="Q12" s="1">
        <f ca="1">IFERROR(__xludf.DUMMYFUNCTION("""COMPUTED_VALUE"""),1)</f>
        <v>1</v>
      </c>
      <c r="R12" s="1">
        <f ca="1">IFERROR(__xludf.DUMMYFUNCTION("""COMPUTED_VALUE"""),98.3)</f>
        <v>98.3</v>
      </c>
      <c r="S12" s="1">
        <f ca="1">IFERROR(__xludf.DUMMYFUNCTION("""COMPUTED_VALUE"""),3)</f>
        <v>3</v>
      </c>
      <c r="T12" s="1" t="str">
        <f ca="1">IFERROR(__xludf.DUMMYFUNCTION("""COMPUTED_VALUE"""),"+7.64")</f>
        <v>+7.64</v>
      </c>
      <c r="U12" s="1">
        <f ca="1">IFERROR(__xludf.DUMMYFUNCTION("""COMPUTED_VALUE"""),15)</f>
        <v>15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IFERROR(__xludf.DUMMYFUNCTION("""COMPUTED_VALUE"""),"Oklahoma3")</f>
        <v>Oklahoma3</v>
      </c>
      <c r="C13" s="1" t="str">
        <f ca="1">IFERROR(__xludf.DUMMYFUNCTION("""COMPUTED_VALUE"""),"B12")</f>
        <v>B12</v>
      </c>
      <c r="D13" s="1" t="str">
        <f ca="1">IFERROR(__xludf.DUMMYFUNCTION("""COMPUTED_VALUE"""),"24-11")</f>
        <v>24-11</v>
      </c>
      <c r="E13" s="1" t="str">
        <f ca="1">IFERROR(__xludf.DUMMYFUNCTION("""COMPUTED_VALUE"""),"+22.80")</f>
        <v>+22.80</v>
      </c>
      <c r="F13" s="1">
        <f ca="1">IFERROR(__xludf.DUMMYFUNCTION("""COMPUTED_VALUE"""),112.5)</f>
        <v>112.5</v>
      </c>
      <c r="G13" s="1">
        <f ca="1">IFERROR(__xludf.DUMMYFUNCTION("""COMPUTED_VALUE"""),46)</f>
        <v>46</v>
      </c>
      <c r="H13" s="1">
        <f ca="1">IFERROR(__xludf.DUMMYFUNCTION("""COMPUTED_VALUE"""),89.7)</f>
        <v>89.7</v>
      </c>
      <c r="I13" s="1">
        <f ca="1">IFERROR(__xludf.DUMMYFUNCTION("""COMPUTED_VALUE"""),7)</f>
        <v>7</v>
      </c>
      <c r="J13" s="1">
        <f ca="1">IFERROR(__xludf.DUMMYFUNCTION("""COMPUTED_VALUE"""),66.7)</f>
        <v>66.7</v>
      </c>
      <c r="K13" s="1">
        <f ca="1">IFERROR(__xludf.DUMMYFUNCTION("""COMPUTED_VALUE"""),63)</f>
        <v>63</v>
      </c>
      <c r="L13" s="1">
        <f ca="1">IFERROR(__xludf.DUMMYFUNCTION("""COMPUTED_VALUE"""),-0.045)</f>
        <v>-4.4999999999999998E-2</v>
      </c>
      <c r="M13" s="1">
        <f ca="1">IFERROR(__xludf.DUMMYFUNCTION("""COMPUTED_VALUE"""),285)</f>
        <v>285</v>
      </c>
      <c r="N13" s="1" t="str">
        <f ca="1">IFERROR(__xludf.DUMMYFUNCTION("""COMPUTED_VALUE"""),"+11.00")</f>
        <v>+11.00</v>
      </c>
      <c r="O13" s="1">
        <f ca="1">IFERROR(__xludf.DUMMYFUNCTION("""COMPUTED_VALUE"""),5)</f>
        <v>5</v>
      </c>
      <c r="P13" s="1">
        <f ca="1">IFERROR(__xludf.DUMMYFUNCTION("""COMPUTED_VALUE"""),110.2)</f>
        <v>110.2</v>
      </c>
      <c r="Q13" s="1">
        <f ca="1">IFERROR(__xludf.DUMMYFUNCTION("""COMPUTED_VALUE"""),8)</f>
        <v>8</v>
      </c>
      <c r="R13" s="1">
        <f ca="1">IFERROR(__xludf.DUMMYFUNCTION("""COMPUTED_VALUE"""),99.2)</f>
        <v>99.2</v>
      </c>
      <c r="S13" s="1">
        <f ca="1">IFERROR(__xludf.DUMMYFUNCTION("""COMPUTED_VALUE"""),9)</f>
        <v>9</v>
      </c>
      <c r="T13" s="1" t="str">
        <f ca="1">IFERROR(__xludf.DUMMYFUNCTION("""COMPUTED_VALUE"""),"+1.05")</f>
        <v>+1.05</v>
      </c>
      <c r="U13" s="1">
        <f ca="1">IFERROR(__xludf.DUMMYFUNCTION("""COMPUTED_VALUE"""),123)</f>
        <v>123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IFERROR(__xludf.DUMMYFUNCTION("""COMPUTED_VALUE"""),"Kansas2")</f>
        <v>Kansas2</v>
      </c>
      <c r="C14" s="1" t="str">
        <f ca="1">IFERROR(__xludf.DUMMYFUNCTION("""COMPUTED_VALUE"""),"B12")</f>
        <v>B12</v>
      </c>
      <c r="D14" s="1" t="str">
        <f ca="1">IFERROR(__xludf.DUMMYFUNCTION("""COMPUTED_VALUE"""),"27-9")</f>
        <v>27-9</v>
      </c>
      <c r="E14" s="1" t="str">
        <f ca="1">IFERROR(__xludf.DUMMYFUNCTION("""COMPUTED_VALUE"""),"+22.72")</f>
        <v>+22.72</v>
      </c>
      <c r="F14" s="1">
        <f ca="1">IFERROR(__xludf.DUMMYFUNCTION("""COMPUTED_VALUE"""),114.5)</f>
        <v>114.5</v>
      </c>
      <c r="G14" s="1">
        <f ca="1">IFERROR(__xludf.DUMMYFUNCTION("""COMPUTED_VALUE"""),27)</f>
        <v>27</v>
      </c>
      <c r="H14" s="1">
        <f ca="1">IFERROR(__xludf.DUMMYFUNCTION("""COMPUTED_VALUE"""),91.8)</f>
        <v>91.8</v>
      </c>
      <c r="I14" s="1">
        <f ca="1">IFERROR(__xludf.DUMMYFUNCTION("""COMPUTED_VALUE"""),9)</f>
        <v>9</v>
      </c>
      <c r="J14" s="1">
        <f ca="1">IFERROR(__xludf.DUMMYFUNCTION("""COMPUTED_VALUE"""),67)</f>
        <v>67</v>
      </c>
      <c r="K14" s="1">
        <f ca="1">IFERROR(__xludf.DUMMYFUNCTION("""COMPUTED_VALUE"""),56)</f>
        <v>56</v>
      </c>
      <c r="L14" s="1" t="str">
        <f ca="1">IFERROR(__xludf.DUMMYFUNCTION("""COMPUTED_VALUE"""),"+.070")</f>
        <v>+.070</v>
      </c>
      <c r="M14" s="1">
        <f ca="1">IFERROR(__xludf.DUMMYFUNCTION("""COMPUTED_VALUE"""),33)</f>
        <v>33</v>
      </c>
      <c r="N14" s="1" t="str">
        <f ca="1">IFERROR(__xludf.DUMMYFUNCTION("""COMPUTED_VALUE"""),"+13.17")</f>
        <v>+13.17</v>
      </c>
      <c r="O14" s="1">
        <f ca="1">IFERROR(__xludf.DUMMYFUNCTION("""COMPUTED_VALUE"""),1)</f>
        <v>1</v>
      </c>
      <c r="P14" s="1">
        <f ca="1">IFERROR(__xludf.DUMMYFUNCTION("""COMPUTED_VALUE"""),110.6)</f>
        <v>110.6</v>
      </c>
      <c r="Q14" s="1">
        <f ca="1">IFERROR(__xludf.DUMMYFUNCTION("""COMPUTED_VALUE"""),3)</f>
        <v>3</v>
      </c>
      <c r="R14" s="1">
        <f ca="1">IFERROR(__xludf.DUMMYFUNCTION("""COMPUTED_VALUE"""),97.4)</f>
        <v>97.4</v>
      </c>
      <c r="S14" s="1">
        <f ca="1">IFERROR(__xludf.DUMMYFUNCTION("""COMPUTED_VALUE"""),1)</f>
        <v>1</v>
      </c>
      <c r="T14" s="1" t="str">
        <f ca="1">IFERROR(__xludf.DUMMYFUNCTION("""COMPUTED_VALUE"""),"+9.57")</f>
        <v>+9.57</v>
      </c>
      <c r="U14" s="1">
        <f ca="1">IFERROR(__xludf.DUMMYFUNCTION("""COMPUTED_VALUE"""),8)</f>
        <v>8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IFERROR(__xludf.DUMMYFUNCTION("""COMPUTED_VALUE"""),"Wichita St.7")</f>
        <v>Wichita St.7</v>
      </c>
      <c r="C15" s="1" t="str">
        <f ca="1">IFERROR(__xludf.DUMMYFUNCTION("""COMPUTED_VALUE"""),"MVC")</f>
        <v>MVC</v>
      </c>
      <c r="D15" s="1" t="str">
        <f ca="1">IFERROR(__xludf.DUMMYFUNCTION("""COMPUTED_VALUE"""),"30-5")</f>
        <v>30-5</v>
      </c>
      <c r="E15" s="1" t="str">
        <f ca="1">IFERROR(__xludf.DUMMYFUNCTION("""COMPUTED_VALUE"""),"+22.21")</f>
        <v>+22.21</v>
      </c>
      <c r="F15" s="1">
        <f ca="1">IFERROR(__xludf.DUMMYFUNCTION("""COMPUTED_VALUE"""),115.8)</f>
        <v>115.8</v>
      </c>
      <c r="G15" s="1">
        <f ca="1">IFERROR(__xludf.DUMMYFUNCTION("""COMPUTED_VALUE"""),19)</f>
        <v>19</v>
      </c>
      <c r="H15" s="1">
        <f ca="1">IFERROR(__xludf.DUMMYFUNCTION("""COMPUTED_VALUE"""),93.6)</f>
        <v>93.6</v>
      </c>
      <c r="I15" s="1">
        <f ca="1">IFERROR(__xludf.DUMMYFUNCTION("""COMPUTED_VALUE"""),15)</f>
        <v>15</v>
      </c>
      <c r="J15" s="1">
        <f ca="1">IFERROR(__xludf.DUMMYFUNCTION("""COMPUTED_VALUE"""),62.3)</f>
        <v>62.3</v>
      </c>
      <c r="K15" s="1">
        <f ca="1">IFERROR(__xludf.DUMMYFUNCTION("""COMPUTED_VALUE"""),279)</f>
        <v>279</v>
      </c>
      <c r="L15" s="1" t="str">
        <f ca="1">IFERROR(__xludf.DUMMYFUNCTION("""COMPUTED_VALUE"""),"+.022")</f>
        <v>+.022</v>
      </c>
      <c r="M15" s="1">
        <f ca="1">IFERROR(__xludf.DUMMYFUNCTION("""COMPUTED_VALUE"""),131)</f>
        <v>131</v>
      </c>
      <c r="N15" s="1" t="str">
        <f ca="1">IFERROR(__xludf.DUMMYFUNCTION("""COMPUTED_VALUE"""),"+3.24")</f>
        <v>+3.24</v>
      </c>
      <c r="O15" s="1">
        <f ca="1">IFERROR(__xludf.DUMMYFUNCTION("""COMPUTED_VALUE"""),91)</f>
        <v>91</v>
      </c>
      <c r="P15" s="1">
        <f ca="1">IFERROR(__xludf.DUMMYFUNCTION("""COMPUTED_VALUE"""),105.5)</f>
        <v>105.5</v>
      </c>
      <c r="Q15" s="1">
        <f ca="1">IFERROR(__xludf.DUMMYFUNCTION("""COMPUTED_VALUE"""),103)</f>
        <v>103</v>
      </c>
      <c r="R15" s="1">
        <f ca="1">IFERROR(__xludf.DUMMYFUNCTION("""COMPUTED_VALUE"""),102.3)</f>
        <v>102.3</v>
      </c>
      <c r="S15" s="1">
        <f ca="1">IFERROR(__xludf.DUMMYFUNCTION("""COMPUTED_VALUE"""),90)</f>
        <v>90</v>
      </c>
      <c r="T15" s="1" t="str">
        <f ca="1">IFERROR(__xludf.DUMMYFUNCTION("""COMPUTED_VALUE"""),"+3.44")</f>
        <v>+3.44</v>
      </c>
      <c r="U15" s="1">
        <f ca="1">IFERROR(__xludf.DUMMYFUNCTION("""COMPUTED_VALUE"""),58)</f>
        <v>58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IFERROR(__xludf.DUMMYFUNCTION("""COMPUTED_VALUE"""),"Baylor3")</f>
        <v>Baylor3</v>
      </c>
      <c r="C16" s="1" t="str">
        <f ca="1">IFERROR(__xludf.DUMMYFUNCTION("""COMPUTED_VALUE"""),"B12")</f>
        <v>B12</v>
      </c>
      <c r="D16" s="1" t="str">
        <f ca="1">IFERROR(__xludf.DUMMYFUNCTION("""COMPUTED_VALUE"""),"24-10")</f>
        <v>24-10</v>
      </c>
      <c r="E16" s="1" t="str">
        <f ca="1">IFERROR(__xludf.DUMMYFUNCTION("""COMPUTED_VALUE"""),"+22.14")</f>
        <v>+22.14</v>
      </c>
      <c r="F16" s="1">
        <f ca="1">IFERROR(__xludf.DUMMYFUNCTION("""COMPUTED_VALUE"""),116.6)</f>
        <v>116.6</v>
      </c>
      <c r="G16" s="1">
        <f ca="1">IFERROR(__xludf.DUMMYFUNCTION("""COMPUTED_VALUE"""),13)</f>
        <v>13</v>
      </c>
      <c r="H16" s="1">
        <f ca="1">IFERROR(__xludf.DUMMYFUNCTION("""COMPUTED_VALUE"""),94.5)</f>
        <v>94.5</v>
      </c>
      <c r="I16" s="1">
        <f ca="1">IFERROR(__xludf.DUMMYFUNCTION("""COMPUTED_VALUE"""),23)</f>
        <v>23</v>
      </c>
      <c r="J16" s="1">
        <f ca="1">IFERROR(__xludf.DUMMYFUNCTION("""COMPUTED_VALUE"""),61.5)</f>
        <v>61.5</v>
      </c>
      <c r="K16" s="1">
        <f ca="1">IFERROR(__xludf.DUMMYFUNCTION("""COMPUTED_VALUE"""),307)</f>
        <v>307</v>
      </c>
      <c r="L16" s="1">
        <f ca="1">IFERROR(__xludf.DUMMYFUNCTION("""COMPUTED_VALUE"""),-0.035)</f>
        <v>-3.5000000000000003E-2</v>
      </c>
      <c r="M16" s="1">
        <f ca="1">IFERROR(__xludf.DUMMYFUNCTION("""COMPUTED_VALUE"""),268)</f>
        <v>268</v>
      </c>
      <c r="N16" s="1" t="str">
        <f ca="1">IFERROR(__xludf.DUMMYFUNCTION("""COMPUTED_VALUE"""),"+10.22")</f>
        <v>+10.22</v>
      </c>
      <c r="O16" s="1">
        <f ca="1">IFERROR(__xludf.DUMMYFUNCTION("""COMPUTED_VALUE"""),13)</f>
        <v>13</v>
      </c>
      <c r="P16" s="1">
        <f ca="1">IFERROR(__xludf.DUMMYFUNCTION("""COMPUTED_VALUE"""),108.9)</f>
        <v>108.9</v>
      </c>
      <c r="Q16" s="1">
        <f ca="1">IFERROR(__xludf.DUMMYFUNCTION("""COMPUTED_VALUE"""),22)</f>
        <v>22</v>
      </c>
      <c r="R16" s="1">
        <f ca="1">IFERROR(__xludf.DUMMYFUNCTION("""COMPUTED_VALUE"""),98.7)</f>
        <v>98.7</v>
      </c>
      <c r="S16" s="1">
        <f ca="1">IFERROR(__xludf.DUMMYFUNCTION("""COMPUTED_VALUE"""),6)</f>
        <v>6</v>
      </c>
      <c r="T16" s="1">
        <f ca="1">IFERROR(__xludf.DUMMYFUNCTION("""COMPUTED_VALUE"""),-0.51)</f>
        <v>-0.51</v>
      </c>
      <c r="U16" s="1">
        <f ca="1">IFERROR(__xludf.DUMMYFUNCTION("""COMPUTED_VALUE"""),172)</f>
        <v>172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IFERROR(__xludf.DUMMYFUNCTION("""COMPUTED_VALUE"""),"Michigan St.7")</f>
        <v>Michigan St.7</v>
      </c>
      <c r="C17" s="1" t="str">
        <f ca="1">IFERROR(__xludf.DUMMYFUNCTION("""COMPUTED_VALUE"""),"B10")</f>
        <v>B10</v>
      </c>
      <c r="D17" s="1" t="str">
        <f ca="1">IFERROR(__xludf.DUMMYFUNCTION("""COMPUTED_VALUE"""),"27-12")</f>
        <v>27-12</v>
      </c>
      <c r="E17" s="1" t="str">
        <f ca="1">IFERROR(__xludf.DUMMYFUNCTION("""COMPUTED_VALUE"""),"+21.72")</f>
        <v>+21.72</v>
      </c>
      <c r="F17" s="1">
        <f ca="1">IFERROR(__xludf.DUMMYFUNCTION("""COMPUTED_VALUE"""),116.6)</f>
        <v>116.6</v>
      </c>
      <c r="G17" s="1">
        <f ca="1">IFERROR(__xludf.DUMMYFUNCTION("""COMPUTED_VALUE"""),14)</f>
        <v>14</v>
      </c>
      <c r="H17" s="1">
        <f ca="1">IFERROR(__xludf.DUMMYFUNCTION("""COMPUTED_VALUE"""),94.9)</f>
        <v>94.9</v>
      </c>
      <c r="I17" s="1">
        <f ca="1">IFERROR(__xludf.DUMMYFUNCTION("""COMPUTED_VALUE"""),27)</f>
        <v>27</v>
      </c>
      <c r="J17" s="1">
        <f ca="1">IFERROR(__xludf.DUMMYFUNCTION("""COMPUTED_VALUE"""),63.1)</f>
        <v>63.1</v>
      </c>
      <c r="K17" s="1">
        <f ca="1">IFERROR(__xludf.DUMMYFUNCTION("""COMPUTED_VALUE"""),248)</f>
        <v>248</v>
      </c>
      <c r="L17" s="1">
        <f ca="1">IFERROR(__xludf.DUMMYFUNCTION("""COMPUTED_VALUE"""),-0.017)</f>
        <v>-1.7000000000000001E-2</v>
      </c>
      <c r="M17" s="1">
        <f ca="1">IFERROR(__xludf.DUMMYFUNCTION("""COMPUTED_VALUE"""),222)</f>
        <v>222</v>
      </c>
      <c r="N17" s="1" t="str">
        <f ca="1">IFERROR(__xludf.DUMMYFUNCTION("""COMPUTED_VALUE"""),"+10.49")</f>
        <v>+10.49</v>
      </c>
      <c r="O17" s="1">
        <f ca="1">IFERROR(__xludf.DUMMYFUNCTION("""COMPUTED_VALUE"""),7)</f>
        <v>7</v>
      </c>
      <c r="P17" s="1">
        <f ca="1">IFERROR(__xludf.DUMMYFUNCTION("""COMPUTED_VALUE"""),110.3)</f>
        <v>110.3</v>
      </c>
      <c r="Q17" s="1">
        <f ca="1">IFERROR(__xludf.DUMMYFUNCTION("""COMPUTED_VALUE"""),7)</f>
        <v>7</v>
      </c>
      <c r="R17" s="1">
        <f ca="1">IFERROR(__xludf.DUMMYFUNCTION("""COMPUTED_VALUE"""),99.8)</f>
        <v>99.8</v>
      </c>
      <c r="S17" s="1">
        <f ca="1">IFERROR(__xludf.DUMMYFUNCTION("""COMPUTED_VALUE"""),20)</f>
        <v>20</v>
      </c>
      <c r="T17" s="1">
        <f ca="1">IFERROR(__xludf.DUMMYFUNCTION("""COMPUTED_VALUE"""),-0.88)</f>
        <v>-0.88</v>
      </c>
      <c r="U17" s="1">
        <f ca="1">IFERROR(__xludf.DUMMYFUNCTION("""COMPUTED_VALUE"""),184)</f>
        <v>184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IFERROR(__xludf.DUMMYFUNCTION("""COMPUTED_VALUE"""),"Iowa St.3")</f>
        <v>Iowa St.3</v>
      </c>
      <c r="C18" s="1" t="str">
        <f ca="1">IFERROR(__xludf.DUMMYFUNCTION("""COMPUTED_VALUE"""),"B12")</f>
        <v>B12</v>
      </c>
      <c r="D18" s="1" t="str">
        <f ca="1">IFERROR(__xludf.DUMMYFUNCTION("""COMPUTED_VALUE"""),"25-9")</f>
        <v>25-9</v>
      </c>
      <c r="E18" s="1" t="str">
        <f ca="1">IFERROR(__xludf.DUMMYFUNCTION("""COMPUTED_VALUE"""),"+21.49")</f>
        <v>+21.49</v>
      </c>
      <c r="F18" s="1">
        <f ca="1">IFERROR(__xludf.DUMMYFUNCTION("""COMPUTED_VALUE"""),119)</f>
        <v>119</v>
      </c>
      <c r="G18" s="1">
        <f ca="1">IFERROR(__xludf.DUMMYFUNCTION("""COMPUTED_VALUE"""),12)</f>
        <v>12</v>
      </c>
      <c r="H18" s="1">
        <f ca="1">IFERROR(__xludf.DUMMYFUNCTION("""COMPUTED_VALUE"""),97.5)</f>
        <v>97.5</v>
      </c>
      <c r="I18" s="1">
        <f ca="1">IFERROR(__xludf.DUMMYFUNCTION("""COMPUTED_VALUE"""),59)</f>
        <v>59</v>
      </c>
      <c r="J18" s="1">
        <f ca="1">IFERROR(__xludf.DUMMYFUNCTION("""COMPUTED_VALUE"""),69.6)</f>
        <v>69.599999999999994</v>
      </c>
      <c r="K18" s="1">
        <f ca="1">IFERROR(__xludf.DUMMYFUNCTION("""COMPUTED_VALUE"""),10)</f>
        <v>10</v>
      </c>
      <c r="L18" s="1" t="str">
        <f ca="1">IFERROR(__xludf.DUMMYFUNCTION("""COMPUTED_VALUE"""),"+.005")</f>
        <v>+.005</v>
      </c>
      <c r="M18" s="1">
        <f ca="1">IFERROR(__xludf.DUMMYFUNCTION("""COMPUTED_VALUE"""),173)</f>
        <v>173</v>
      </c>
      <c r="N18" s="1" t="str">
        <f ca="1">IFERROR(__xludf.DUMMYFUNCTION("""COMPUTED_VALUE"""),"+10.59")</f>
        <v>+10.59</v>
      </c>
      <c r="O18" s="1">
        <f ca="1">IFERROR(__xludf.DUMMYFUNCTION("""COMPUTED_VALUE"""),6)</f>
        <v>6</v>
      </c>
      <c r="P18" s="1">
        <f ca="1">IFERROR(__xludf.DUMMYFUNCTION("""COMPUTED_VALUE"""),109)</f>
        <v>109</v>
      </c>
      <c r="Q18" s="1">
        <f ca="1">IFERROR(__xludf.DUMMYFUNCTION("""COMPUTED_VALUE"""),18)</f>
        <v>18</v>
      </c>
      <c r="R18" s="1">
        <f ca="1">IFERROR(__xludf.DUMMYFUNCTION("""COMPUTED_VALUE"""),98.5)</f>
        <v>98.5</v>
      </c>
      <c r="S18" s="1">
        <f ca="1">IFERROR(__xludf.DUMMYFUNCTION("""COMPUTED_VALUE"""),4)</f>
        <v>4</v>
      </c>
      <c r="T18" s="1">
        <f ca="1">IFERROR(__xludf.DUMMYFUNCTION("""COMPUTED_VALUE"""),-1.18)</f>
        <v>-1.18</v>
      </c>
      <c r="U18" s="1">
        <f ca="1">IFERROR(__xludf.DUMMYFUNCTION("""COMPUTED_VALUE"""),192)</f>
        <v>192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IFERROR(__xludf.DUMMYFUNCTION("""COMPUTED_VALUE"""),"Louisville4")</f>
        <v>Louisville4</v>
      </c>
      <c r="C19" s="1" t="str">
        <f ca="1">IFERROR(__xludf.DUMMYFUNCTION("""COMPUTED_VALUE"""),"ACC")</f>
        <v>ACC</v>
      </c>
      <c r="D19" s="1" t="str">
        <f ca="1">IFERROR(__xludf.DUMMYFUNCTION("""COMPUTED_VALUE"""),"27-9")</f>
        <v>27-9</v>
      </c>
      <c r="E19" s="1" t="str">
        <f ca="1">IFERROR(__xludf.DUMMYFUNCTION("""COMPUTED_VALUE"""),"+21.21")</f>
        <v>+21.21</v>
      </c>
      <c r="F19" s="1">
        <f ca="1">IFERROR(__xludf.DUMMYFUNCTION("""COMPUTED_VALUE"""),110.2)</f>
        <v>110.2</v>
      </c>
      <c r="G19" s="1">
        <f ca="1">IFERROR(__xludf.DUMMYFUNCTION("""COMPUTED_VALUE"""),66)</f>
        <v>66</v>
      </c>
      <c r="H19" s="1">
        <f ca="1">IFERROR(__xludf.DUMMYFUNCTION("""COMPUTED_VALUE"""),88.9)</f>
        <v>88.9</v>
      </c>
      <c r="I19" s="1">
        <f ca="1">IFERROR(__xludf.DUMMYFUNCTION("""COMPUTED_VALUE"""),4)</f>
        <v>4</v>
      </c>
      <c r="J19" s="1">
        <f ca="1">IFERROR(__xludf.DUMMYFUNCTION("""COMPUTED_VALUE"""),64.6)</f>
        <v>64.599999999999994</v>
      </c>
      <c r="K19" s="1">
        <f ca="1">IFERROR(__xludf.DUMMYFUNCTION("""COMPUTED_VALUE"""),155)</f>
        <v>155</v>
      </c>
      <c r="L19" s="1" t="str">
        <f ca="1">IFERROR(__xludf.DUMMYFUNCTION("""COMPUTED_VALUE"""),"+.027")</f>
        <v>+.027</v>
      </c>
      <c r="M19" s="1">
        <f ca="1">IFERROR(__xludf.DUMMYFUNCTION("""COMPUTED_VALUE"""),115)</f>
        <v>115</v>
      </c>
      <c r="N19" s="1" t="str">
        <f ca="1">IFERROR(__xludf.DUMMYFUNCTION("""COMPUTED_VALUE"""),"+9.69")</f>
        <v>+9.69</v>
      </c>
      <c r="O19" s="1">
        <f ca="1">IFERROR(__xludf.DUMMYFUNCTION("""COMPUTED_VALUE"""),18)</f>
        <v>18</v>
      </c>
      <c r="P19" s="1">
        <f ca="1">IFERROR(__xludf.DUMMYFUNCTION("""COMPUTED_VALUE"""),109.5)</f>
        <v>109.5</v>
      </c>
      <c r="Q19" s="1">
        <f ca="1">IFERROR(__xludf.DUMMYFUNCTION("""COMPUTED_VALUE"""),11)</f>
        <v>11</v>
      </c>
      <c r="R19" s="1">
        <f ca="1">IFERROR(__xludf.DUMMYFUNCTION("""COMPUTED_VALUE"""),99.8)</f>
        <v>99.8</v>
      </c>
      <c r="S19" s="1">
        <f ca="1">IFERROR(__xludf.DUMMYFUNCTION("""COMPUTED_VALUE"""),19)</f>
        <v>19</v>
      </c>
      <c r="T19" s="1">
        <f ca="1">IFERROR(__xludf.DUMMYFUNCTION("""COMPUTED_VALUE"""),-2.36)</f>
        <v>-2.36</v>
      </c>
      <c r="U19" s="1">
        <f ca="1">IFERROR(__xludf.DUMMYFUNCTION("""COMPUTED_VALUE"""),228)</f>
        <v>228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IFERROR(__xludf.DUMMYFUNCTION("""COMPUTED_VALUE"""),"Northern Iowa5")</f>
        <v>Northern Iowa5</v>
      </c>
      <c r="C20" s="1" t="str">
        <f ca="1">IFERROR(__xludf.DUMMYFUNCTION("""COMPUTED_VALUE"""),"MVC")</f>
        <v>MVC</v>
      </c>
      <c r="D20" s="1" t="str">
        <f ca="1">IFERROR(__xludf.DUMMYFUNCTION("""COMPUTED_VALUE"""),"31-4")</f>
        <v>31-4</v>
      </c>
      <c r="E20" s="1" t="str">
        <f ca="1">IFERROR(__xludf.DUMMYFUNCTION("""COMPUTED_VALUE"""),"+20.98")</f>
        <v>+20.98</v>
      </c>
      <c r="F20" s="1">
        <f ca="1">IFERROR(__xludf.DUMMYFUNCTION("""COMPUTED_VALUE"""),116.3)</f>
        <v>116.3</v>
      </c>
      <c r="G20" s="1">
        <f ca="1">IFERROR(__xludf.DUMMYFUNCTION("""COMPUTED_VALUE"""),18)</f>
        <v>18</v>
      </c>
      <c r="H20" s="1">
        <f ca="1">IFERROR(__xludf.DUMMYFUNCTION("""COMPUTED_VALUE"""),95.3)</f>
        <v>95.3</v>
      </c>
      <c r="I20" s="1">
        <f ca="1">IFERROR(__xludf.DUMMYFUNCTION("""COMPUTED_VALUE"""),36)</f>
        <v>36</v>
      </c>
      <c r="J20" s="1">
        <f ca="1">IFERROR(__xludf.DUMMYFUNCTION("""COMPUTED_VALUE"""),58.2)</f>
        <v>58.2</v>
      </c>
      <c r="K20" s="1">
        <f ca="1">IFERROR(__xludf.DUMMYFUNCTION("""COMPUTED_VALUE"""),348)</f>
        <v>348</v>
      </c>
      <c r="L20" s="1" t="str">
        <f ca="1">IFERROR(__xludf.DUMMYFUNCTION("""COMPUTED_VALUE"""),"+.018")</f>
        <v>+.018</v>
      </c>
      <c r="M20" s="1">
        <f ca="1">IFERROR(__xludf.DUMMYFUNCTION("""COMPUTED_VALUE"""),140)</f>
        <v>140</v>
      </c>
      <c r="N20" s="1" t="str">
        <f ca="1">IFERROR(__xludf.DUMMYFUNCTION("""COMPUTED_VALUE"""),"+1.42")</f>
        <v>+1.42</v>
      </c>
      <c r="O20" s="1">
        <f ca="1">IFERROR(__xludf.DUMMYFUNCTION("""COMPUTED_VALUE"""),116)</f>
        <v>116</v>
      </c>
      <c r="P20" s="1">
        <f ca="1">IFERROR(__xludf.DUMMYFUNCTION("""COMPUTED_VALUE"""),104.4)</f>
        <v>104.4</v>
      </c>
      <c r="Q20" s="1">
        <f ca="1">IFERROR(__xludf.DUMMYFUNCTION("""COMPUTED_VALUE"""),137)</f>
        <v>137</v>
      </c>
      <c r="R20" s="1">
        <f ca="1">IFERROR(__xludf.DUMMYFUNCTION("""COMPUTED_VALUE"""),103)</f>
        <v>103</v>
      </c>
      <c r="S20" s="1">
        <f ca="1">IFERROR(__xludf.DUMMYFUNCTION("""COMPUTED_VALUE"""),104)</f>
        <v>104</v>
      </c>
      <c r="T20" s="1" t="str">
        <f ca="1">IFERROR(__xludf.DUMMYFUNCTION("""COMPUTED_VALUE"""),"+0.61")</f>
        <v>+0.61</v>
      </c>
      <c r="U20" s="1">
        <f ca="1">IFERROR(__xludf.DUMMYFUNCTION("""COMPUTED_VALUE"""),137)</f>
        <v>137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IFERROR(__xludf.DUMMYFUNCTION("""COMPUTED_VALUE"""),"Ohio St.10")</f>
        <v>Ohio St.10</v>
      </c>
      <c r="C21" s="1" t="str">
        <f ca="1">IFERROR(__xludf.DUMMYFUNCTION("""COMPUTED_VALUE"""),"B10")</f>
        <v>B10</v>
      </c>
      <c r="D21" s="1" t="str">
        <f ca="1">IFERROR(__xludf.DUMMYFUNCTION("""COMPUTED_VALUE"""),"24-11")</f>
        <v>24-11</v>
      </c>
      <c r="E21" s="1" t="str">
        <f ca="1">IFERROR(__xludf.DUMMYFUNCTION("""COMPUTED_VALUE"""),"+20.75")</f>
        <v>+20.75</v>
      </c>
      <c r="F21" s="1">
        <f ca="1">IFERROR(__xludf.DUMMYFUNCTION("""COMPUTED_VALUE"""),115.6)</f>
        <v>115.6</v>
      </c>
      <c r="G21" s="1">
        <f ca="1">IFERROR(__xludf.DUMMYFUNCTION("""COMPUTED_VALUE"""),22)</f>
        <v>22</v>
      </c>
      <c r="H21" s="1">
        <f ca="1">IFERROR(__xludf.DUMMYFUNCTION("""COMPUTED_VALUE"""),94.8)</f>
        <v>94.8</v>
      </c>
      <c r="I21" s="1">
        <f ca="1">IFERROR(__xludf.DUMMYFUNCTION("""COMPUTED_VALUE"""),25)</f>
        <v>25</v>
      </c>
      <c r="J21" s="1">
        <f ca="1">IFERROR(__xludf.DUMMYFUNCTION("""COMPUTED_VALUE"""),65.2)</f>
        <v>65.2</v>
      </c>
      <c r="K21" s="1">
        <f ca="1">IFERROR(__xludf.DUMMYFUNCTION("""COMPUTED_VALUE"""),132)</f>
        <v>132</v>
      </c>
      <c r="L21" s="1">
        <f ca="1">IFERROR(__xludf.DUMMYFUNCTION("""COMPUTED_VALUE"""),-0.043)</f>
        <v>-4.2999999999999997E-2</v>
      </c>
      <c r="M21" s="1">
        <f ca="1">IFERROR(__xludf.DUMMYFUNCTION("""COMPUTED_VALUE"""),280)</f>
        <v>280</v>
      </c>
      <c r="N21" s="1" t="str">
        <f ca="1">IFERROR(__xludf.DUMMYFUNCTION("""COMPUTED_VALUE"""),"+6.76")</f>
        <v>+6.76</v>
      </c>
      <c r="O21" s="1">
        <f ca="1">IFERROR(__xludf.DUMMYFUNCTION("""COMPUTED_VALUE"""),55)</f>
        <v>55</v>
      </c>
      <c r="P21" s="1">
        <f ca="1">IFERROR(__xludf.DUMMYFUNCTION("""COMPUTED_VALUE"""),108.1)</f>
        <v>108.1</v>
      </c>
      <c r="Q21" s="1">
        <f ca="1">IFERROR(__xludf.DUMMYFUNCTION("""COMPUTED_VALUE"""),45)</f>
        <v>45</v>
      </c>
      <c r="R21" s="1">
        <f ca="1">IFERROR(__xludf.DUMMYFUNCTION("""COMPUTED_VALUE"""),101.4)</f>
        <v>101.4</v>
      </c>
      <c r="S21" s="1">
        <f ca="1">IFERROR(__xludf.DUMMYFUNCTION("""COMPUTED_VALUE"""),64)</f>
        <v>64</v>
      </c>
      <c r="T21" s="1">
        <f ca="1">IFERROR(__xludf.DUMMYFUNCTION("""COMPUTED_VALUE"""),-7.41)</f>
        <v>-7.41</v>
      </c>
      <c r="U21" s="1">
        <f ca="1">IFERROR(__xludf.DUMMYFUNCTION("""COMPUTED_VALUE"""),334)</f>
        <v>334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IFERROR(__xludf.DUMMYFUNCTION("""COMPUTED_VALUE"""),"Butler6")</f>
        <v>Butler6</v>
      </c>
      <c r="C22" s="1" t="str">
        <f ca="1">IFERROR(__xludf.DUMMYFUNCTION("""COMPUTED_VALUE"""),"BE")</f>
        <v>BE</v>
      </c>
      <c r="D22" s="1" t="str">
        <f ca="1">IFERROR(__xludf.DUMMYFUNCTION("""COMPUTED_VALUE"""),"23-11")</f>
        <v>23-11</v>
      </c>
      <c r="E22" s="1" t="str">
        <f ca="1">IFERROR(__xludf.DUMMYFUNCTION("""COMPUTED_VALUE"""),"+20.09")</f>
        <v>+20.09</v>
      </c>
      <c r="F22" s="1">
        <f ca="1">IFERROR(__xludf.DUMMYFUNCTION("""COMPUTED_VALUE"""),110.2)</f>
        <v>110.2</v>
      </c>
      <c r="G22" s="1">
        <f ca="1">IFERROR(__xludf.DUMMYFUNCTION("""COMPUTED_VALUE"""),64)</f>
        <v>64</v>
      </c>
      <c r="H22" s="1">
        <f ca="1">IFERROR(__xludf.DUMMYFUNCTION("""COMPUTED_VALUE"""),90.1)</f>
        <v>90.1</v>
      </c>
      <c r="I22" s="1">
        <f ca="1">IFERROR(__xludf.DUMMYFUNCTION("""COMPUTED_VALUE"""),8)</f>
        <v>8</v>
      </c>
      <c r="J22" s="1">
        <f ca="1">IFERROR(__xludf.DUMMYFUNCTION("""COMPUTED_VALUE"""),63.2)</f>
        <v>63.2</v>
      </c>
      <c r="K22" s="1">
        <f ca="1">IFERROR(__xludf.DUMMYFUNCTION("""COMPUTED_VALUE"""),243)</f>
        <v>243</v>
      </c>
      <c r="L22" s="1">
        <f ca="1">IFERROR(__xludf.DUMMYFUNCTION("""COMPUTED_VALUE"""),-0.023)</f>
        <v>-2.3E-2</v>
      </c>
      <c r="M22" s="1">
        <f ca="1">IFERROR(__xludf.DUMMYFUNCTION("""COMPUTED_VALUE"""),233)</f>
        <v>233</v>
      </c>
      <c r="N22" s="1" t="str">
        <f ca="1">IFERROR(__xludf.DUMMYFUNCTION("""COMPUTED_VALUE"""),"+9.72")</f>
        <v>+9.72</v>
      </c>
      <c r="O22" s="1">
        <f ca="1">IFERROR(__xludf.DUMMYFUNCTION("""COMPUTED_VALUE"""),17)</f>
        <v>17</v>
      </c>
      <c r="P22" s="1">
        <f ca="1">IFERROR(__xludf.DUMMYFUNCTION("""COMPUTED_VALUE"""),110.6)</f>
        <v>110.6</v>
      </c>
      <c r="Q22" s="1">
        <f ca="1">IFERROR(__xludf.DUMMYFUNCTION("""COMPUTED_VALUE"""),4)</f>
        <v>4</v>
      </c>
      <c r="R22" s="1">
        <f ca="1">IFERROR(__xludf.DUMMYFUNCTION("""COMPUTED_VALUE"""),100.9)</f>
        <v>100.9</v>
      </c>
      <c r="S22" s="1">
        <f ca="1">IFERROR(__xludf.DUMMYFUNCTION("""COMPUTED_VALUE"""),48)</f>
        <v>48</v>
      </c>
      <c r="T22" s="1" t="str">
        <f ca="1">IFERROR(__xludf.DUMMYFUNCTION("""COMPUTED_VALUE"""),"+0.69")</f>
        <v>+0.69</v>
      </c>
      <c r="U22" s="1">
        <f ca="1">IFERROR(__xludf.DUMMYFUNCTION("""COMPUTED_VALUE"""),133)</f>
        <v>133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IFERROR(__xludf.DUMMYFUNCTION("""COMPUTED_VALUE"""),"Xavier6")</f>
        <v>Xavier6</v>
      </c>
      <c r="C23" s="1" t="str">
        <f ca="1">IFERROR(__xludf.DUMMYFUNCTION("""COMPUTED_VALUE"""),"BE")</f>
        <v>BE</v>
      </c>
      <c r="D23" s="1" t="str">
        <f ca="1">IFERROR(__xludf.DUMMYFUNCTION("""COMPUTED_VALUE"""),"23-14")</f>
        <v>23-14</v>
      </c>
      <c r="E23" s="1" t="str">
        <f ca="1">IFERROR(__xludf.DUMMYFUNCTION("""COMPUTED_VALUE"""),"+19.49")</f>
        <v>+19.49</v>
      </c>
      <c r="F23" s="1">
        <f ca="1">IFERROR(__xludf.DUMMYFUNCTION("""COMPUTED_VALUE"""),116.6)</f>
        <v>116.6</v>
      </c>
      <c r="G23" s="1">
        <f ca="1">IFERROR(__xludf.DUMMYFUNCTION("""COMPUTED_VALUE"""),15)</f>
        <v>15</v>
      </c>
      <c r="H23" s="1">
        <f ca="1">IFERROR(__xludf.DUMMYFUNCTION("""COMPUTED_VALUE"""),97.1)</f>
        <v>97.1</v>
      </c>
      <c r="I23" s="1">
        <f ca="1">IFERROR(__xludf.DUMMYFUNCTION("""COMPUTED_VALUE"""),56)</f>
        <v>56</v>
      </c>
      <c r="J23" s="1">
        <f ca="1">IFERROR(__xludf.DUMMYFUNCTION("""COMPUTED_VALUE"""),65)</f>
        <v>65</v>
      </c>
      <c r="K23" s="1">
        <f ca="1">IFERROR(__xludf.DUMMYFUNCTION("""COMPUTED_VALUE"""),137)</f>
        <v>137</v>
      </c>
      <c r="L23" s="1">
        <f ca="1">IFERROR(__xludf.DUMMYFUNCTION("""COMPUTED_VALUE"""),-0.062)</f>
        <v>-6.2E-2</v>
      </c>
      <c r="M23" s="1">
        <f ca="1">IFERROR(__xludf.DUMMYFUNCTION("""COMPUTED_VALUE"""),317)</f>
        <v>317</v>
      </c>
      <c r="N23" s="1" t="str">
        <f ca="1">IFERROR(__xludf.DUMMYFUNCTION("""COMPUTED_VALUE"""),"+10.29")</f>
        <v>+10.29</v>
      </c>
      <c r="O23" s="1">
        <f ca="1">IFERROR(__xludf.DUMMYFUNCTION("""COMPUTED_VALUE"""),10)</f>
        <v>10</v>
      </c>
      <c r="P23" s="1">
        <f ca="1">IFERROR(__xludf.DUMMYFUNCTION("""COMPUTED_VALUE"""),109.5)</f>
        <v>109.5</v>
      </c>
      <c r="Q23" s="1">
        <f ca="1">IFERROR(__xludf.DUMMYFUNCTION("""COMPUTED_VALUE"""),12)</f>
        <v>12</v>
      </c>
      <c r="R23" s="1">
        <f ca="1">IFERROR(__xludf.DUMMYFUNCTION("""COMPUTED_VALUE"""),99.2)</f>
        <v>99.2</v>
      </c>
      <c r="S23" s="1">
        <f ca="1">IFERROR(__xludf.DUMMYFUNCTION("""COMPUTED_VALUE"""),10)</f>
        <v>10</v>
      </c>
      <c r="T23" s="1" t="str">
        <f ca="1">IFERROR(__xludf.DUMMYFUNCTION("""COMPUTED_VALUE"""),"+2.07")</f>
        <v>+2.07</v>
      </c>
      <c r="U23" s="1">
        <f ca="1">IFERROR(__xludf.DUMMYFUNCTION("""COMPUTED_VALUE"""),94)</f>
        <v>94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IFERROR(__xludf.DUMMYFUNCTION("""COMPUTED_VALUE"""),"Georgetown4")</f>
        <v>Georgetown4</v>
      </c>
      <c r="C24" s="1" t="str">
        <f ca="1">IFERROR(__xludf.DUMMYFUNCTION("""COMPUTED_VALUE"""),"BE")</f>
        <v>BE</v>
      </c>
      <c r="D24" s="1" t="str">
        <f ca="1">IFERROR(__xludf.DUMMYFUNCTION("""COMPUTED_VALUE"""),"22-11")</f>
        <v>22-11</v>
      </c>
      <c r="E24" s="1" t="str">
        <f ca="1">IFERROR(__xludf.DUMMYFUNCTION("""COMPUTED_VALUE"""),"+19.13")</f>
        <v>+19.13</v>
      </c>
      <c r="F24" s="1">
        <f ca="1">IFERROR(__xludf.DUMMYFUNCTION("""COMPUTED_VALUE"""),114.3)</f>
        <v>114.3</v>
      </c>
      <c r="G24" s="1">
        <f ca="1">IFERROR(__xludf.DUMMYFUNCTION("""COMPUTED_VALUE"""),29)</f>
        <v>29</v>
      </c>
      <c r="H24" s="1">
        <f ca="1">IFERROR(__xludf.DUMMYFUNCTION("""COMPUTED_VALUE"""),95.1)</f>
        <v>95.1</v>
      </c>
      <c r="I24" s="1">
        <f ca="1">IFERROR(__xludf.DUMMYFUNCTION("""COMPUTED_VALUE"""),33)</f>
        <v>33</v>
      </c>
      <c r="J24" s="1">
        <f ca="1">IFERROR(__xludf.DUMMYFUNCTION("""COMPUTED_VALUE"""),64)</f>
        <v>64</v>
      </c>
      <c r="K24" s="1">
        <f ca="1">IFERROR(__xludf.DUMMYFUNCTION("""COMPUTED_VALUE"""),192)</f>
        <v>192</v>
      </c>
      <c r="L24" s="1">
        <f ca="1">IFERROR(__xludf.DUMMYFUNCTION("""COMPUTED_VALUE"""),0)</f>
        <v>0</v>
      </c>
      <c r="M24" s="1">
        <f ca="1">IFERROR(__xludf.DUMMYFUNCTION("""COMPUTED_VALUE"""),183)</f>
        <v>183</v>
      </c>
      <c r="N24" s="1" t="str">
        <f ca="1">IFERROR(__xludf.DUMMYFUNCTION("""COMPUTED_VALUE"""),"+10.23")</f>
        <v>+10.23</v>
      </c>
      <c r="O24" s="1">
        <f ca="1">IFERROR(__xludf.DUMMYFUNCTION("""COMPUTED_VALUE"""),12)</f>
        <v>12</v>
      </c>
      <c r="P24" s="1">
        <f ca="1">IFERROR(__xludf.DUMMYFUNCTION("""COMPUTED_VALUE"""),110.5)</f>
        <v>110.5</v>
      </c>
      <c r="Q24" s="1">
        <f ca="1">IFERROR(__xludf.DUMMYFUNCTION("""COMPUTED_VALUE"""),5)</f>
        <v>5</v>
      </c>
      <c r="R24" s="1">
        <f ca="1">IFERROR(__xludf.DUMMYFUNCTION("""COMPUTED_VALUE"""),100.3)</f>
        <v>100.3</v>
      </c>
      <c r="S24" s="1">
        <f ca="1">IFERROR(__xludf.DUMMYFUNCTION("""COMPUTED_VALUE"""),33)</f>
        <v>33</v>
      </c>
      <c r="T24" s="1" t="str">
        <f ca="1">IFERROR(__xludf.DUMMYFUNCTION("""COMPUTED_VALUE"""),"+3.24")</f>
        <v>+3.24</v>
      </c>
      <c r="U24" s="1">
        <f ca="1">IFERROR(__xludf.DUMMYFUNCTION("""COMPUTED_VALUE"""),63)</f>
        <v>63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IFERROR(__xludf.DUMMYFUNCTION("""COMPUTED_VALUE"""),"Iowa7")</f>
        <v>Iowa7</v>
      </c>
      <c r="C25" s="1" t="str">
        <f ca="1">IFERROR(__xludf.DUMMYFUNCTION("""COMPUTED_VALUE"""),"B10")</f>
        <v>B10</v>
      </c>
      <c r="D25" s="1" t="str">
        <f ca="1">IFERROR(__xludf.DUMMYFUNCTION("""COMPUTED_VALUE"""),"22-12")</f>
        <v>22-12</v>
      </c>
      <c r="E25" s="1" t="str">
        <f ca="1">IFERROR(__xludf.DUMMYFUNCTION("""COMPUTED_VALUE"""),"+19.02")</f>
        <v>+19.02</v>
      </c>
      <c r="F25" s="1">
        <f ca="1">IFERROR(__xludf.DUMMYFUNCTION("""COMPUTED_VALUE"""),114.2)</f>
        <v>114.2</v>
      </c>
      <c r="G25" s="1">
        <f ca="1">IFERROR(__xludf.DUMMYFUNCTION("""COMPUTED_VALUE"""),30)</f>
        <v>30</v>
      </c>
      <c r="H25" s="1">
        <f ca="1">IFERROR(__xludf.DUMMYFUNCTION("""COMPUTED_VALUE"""),95.1)</f>
        <v>95.1</v>
      </c>
      <c r="I25" s="1">
        <f ca="1">IFERROR(__xludf.DUMMYFUNCTION("""COMPUTED_VALUE"""),34)</f>
        <v>34</v>
      </c>
      <c r="J25" s="1">
        <f ca="1">IFERROR(__xludf.DUMMYFUNCTION("""COMPUTED_VALUE"""),63.7)</f>
        <v>63.7</v>
      </c>
      <c r="K25" s="1">
        <f ca="1">IFERROR(__xludf.DUMMYFUNCTION("""COMPUTED_VALUE"""),209)</f>
        <v>209</v>
      </c>
      <c r="L25" s="1">
        <f ca="1">IFERROR(__xludf.DUMMYFUNCTION("""COMPUTED_VALUE"""),-0.007)</f>
        <v>-7.0000000000000001E-3</v>
      </c>
      <c r="M25" s="1">
        <f ca="1">IFERROR(__xludf.DUMMYFUNCTION("""COMPUTED_VALUE"""),203)</f>
        <v>203</v>
      </c>
      <c r="N25" s="1" t="str">
        <f ca="1">IFERROR(__xludf.DUMMYFUNCTION("""COMPUTED_VALUE"""),"+8.58")</f>
        <v>+8.58</v>
      </c>
      <c r="O25" s="1">
        <f ca="1">IFERROR(__xludf.DUMMYFUNCTION("""COMPUTED_VALUE"""),25)</f>
        <v>25</v>
      </c>
      <c r="P25" s="1">
        <f ca="1">IFERROR(__xludf.DUMMYFUNCTION("""COMPUTED_VALUE"""),108.9)</f>
        <v>108.9</v>
      </c>
      <c r="Q25" s="1">
        <f ca="1">IFERROR(__xludf.DUMMYFUNCTION("""COMPUTED_VALUE"""),21)</f>
        <v>21</v>
      </c>
      <c r="R25" s="1">
        <f ca="1">IFERROR(__xludf.DUMMYFUNCTION("""COMPUTED_VALUE"""),100.4)</f>
        <v>100.4</v>
      </c>
      <c r="S25" s="1">
        <f ca="1">IFERROR(__xludf.DUMMYFUNCTION("""COMPUTED_VALUE"""),38)</f>
        <v>38</v>
      </c>
      <c r="T25" s="1">
        <f ca="1">IFERROR(__xludf.DUMMYFUNCTION("""COMPUTED_VALUE"""),-1.58)</f>
        <v>-1.58</v>
      </c>
      <c r="U25" s="1">
        <f ca="1">IFERROR(__xludf.DUMMYFUNCTION("""COMPUTED_VALUE"""),205)</f>
        <v>205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IFERROR(__xludf.DUMMYFUNCTION("""COMPUTED_VALUE"""),"Texas11")</f>
        <v>Texas11</v>
      </c>
      <c r="C26" s="1" t="str">
        <f ca="1">IFERROR(__xludf.DUMMYFUNCTION("""COMPUTED_VALUE"""),"B12")</f>
        <v>B12</v>
      </c>
      <c r="D26" s="1" t="str">
        <f ca="1">IFERROR(__xludf.DUMMYFUNCTION("""COMPUTED_VALUE"""),"20-14")</f>
        <v>20-14</v>
      </c>
      <c r="E26" s="1" t="str">
        <f ca="1">IFERROR(__xludf.DUMMYFUNCTION("""COMPUTED_VALUE"""),"+18.94")</f>
        <v>+18.94</v>
      </c>
      <c r="F26" s="1">
        <f ca="1">IFERROR(__xludf.DUMMYFUNCTION("""COMPUTED_VALUE"""),112.4)</f>
        <v>112.4</v>
      </c>
      <c r="G26" s="1">
        <f ca="1">IFERROR(__xludf.DUMMYFUNCTION("""COMPUTED_VALUE"""),47)</f>
        <v>47</v>
      </c>
      <c r="H26" s="1">
        <f ca="1">IFERROR(__xludf.DUMMYFUNCTION("""COMPUTED_VALUE"""),93.4)</f>
        <v>93.4</v>
      </c>
      <c r="I26" s="1">
        <f ca="1">IFERROR(__xludf.DUMMYFUNCTION("""COMPUTED_VALUE"""),14)</f>
        <v>14</v>
      </c>
      <c r="J26" s="1">
        <f ca="1">IFERROR(__xludf.DUMMYFUNCTION("""COMPUTED_VALUE"""),62)</f>
        <v>62</v>
      </c>
      <c r="K26" s="1">
        <f ca="1">IFERROR(__xludf.DUMMYFUNCTION("""COMPUTED_VALUE"""),290)</f>
        <v>290</v>
      </c>
      <c r="L26" s="1">
        <f ca="1">IFERROR(__xludf.DUMMYFUNCTION("""COMPUTED_VALUE"""),-0.079)</f>
        <v>-7.9000000000000001E-2</v>
      </c>
      <c r="M26" s="1">
        <f ca="1">IFERROR(__xludf.DUMMYFUNCTION("""COMPUTED_VALUE"""),329)</f>
        <v>329</v>
      </c>
      <c r="N26" s="1" t="str">
        <f ca="1">IFERROR(__xludf.DUMMYFUNCTION("""COMPUTED_VALUE"""),"+9.52")</f>
        <v>+9.52</v>
      </c>
      <c r="O26" s="1">
        <f ca="1">IFERROR(__xludf.DUMMYFUNCTION("""COMPUTED_VALUE"""),20)</f>
        <v>20</v>
      </c>
      <c r="P26" s="1">
        <f ca="1">IFERROR(__xludf.DUMMYFUNCTION("""COMPUTED_VALUE"""),108.3)</f>
        <v>108.3</v>
      </c>
      <c r="Q26" s="1">
        <f ca="1">IFERROR(__xludf.DUMMYFUNCTION("""COMPUTED_VALUE"""),33)</f>
        <v>33</v>
      </c>
      <c r="R26" s="1">
        <f ca="1">IFERROR(__xludf.DUMMYFUNCTION("""COMPUTED_VALUE"""),98.8)</f>
        <v>98.8</v>
      </c>
      <c r="S26" s="1">
        <f ca="1">IFERROR(__xludf.DUMMYFUNCTION("""COMPUTED_VALUE"""),8)</f>
        <v>8</v>
      </c>
      <c r="T26" s="1">
        <f ca="1">IFERROR(__xludf.DUMMYFUNCTION("""COMPUTED_VALUE"""),-2.47)</f>
        <v>-2.4700000000000002</v>
      </c>
      <c r="U26" s="1">
        <f ca="1">IFERROR(__xludf.DUMMYFUNCTION("""COMPUTED_VALUE"""),234)</f>
        <v>234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IFERROR(__xludf.DUMMYFUNCTION("""COMPUTED_VALUE"""),"West Virginia5")</f>
        <v>West Virginia5</v>
      </c>
      <c r="C27" s="1" t="str">
        <f ca="1">IFERROR(__xludf.DUMMYFUNCTION("""COMPUTED_VALUE"""),"B12")</f>
        <v>B12</v>
      </c>
      <c r="D27" s="1" t="str">
        <f ca="1">IFERROR(__xludf.DUMMYFUNCTION("""COMPUTED_VALUE"""),"25-10")</f>
        <v>25-10</v>
      </c>
      <c r="E27" s="1" t="str">
        <f ca="1">IFERROR(__xludf.DUMMYFUNCTION("""COMPUTED_VALUE"""),"+17.64")</f>
        <v>+17.64</v>
      </c>
      <c r="F27" s="1">
        <f ca="1">IFERROR(__xludf.DUMMYFUNCTION("""COMPUTED_VALUE"""),112.6)</f>
        <v>112.6</v>
      </c>
      <c r="G27" s="1">
        <f ca="1">IFERROR(__xludf.DUMMYFUNCTION("""COMPUTED_VALUE"""),43)</f>
        <v>43</v>
      </c>
      <c r="H27" s="1">
        <f ca="1">IFERROR(__xludf.DUMMYFUNCTION("""COMPUTED_VALUE"""),94.9)</f>
        <v>94.9</v>
      </c>
      <c r="I27" s="1">
        <f ca="1">IFERROR(__xludf.DUMMYFUNCTION("""COMPUTED_VALUE"""),29)</f>
        <v>29</v>
      </c>
      <c r="J27" s="1">
        <f ca="1">IFERROR(__xludf.DUMMYFUNCTION("""COMPUTED_VALUE"""),67.9)</f>
        <v>67.900000000000006</v>
      </c>
      <c r="K27" s="1">
        <f ca="1">IFERROR(__xludf.DUMMYFUNCTION("""COMPUTED_VALUE"""),28)</f>
        <v>28</v>
      </c>
      <c r="L27" s="1" t="str">
        <f ca="1">IFERROR(__xludf.DUMMYFUNCTION("""COMPUTED_VALUE"""),"+.087")</f>
        <v>+.087</v>
      </c>
      <c r="M27" s="1">
        <f ca="1">IFERROR(__xludf.DUMMYFUNCTION("""COMPUTED_VALUE"""),15)</f>
        <v>15</v>
      </c>
      <c r="N27" s="1" t="str">
        <f ca="1">IFERROR(__xludf.DUMMYFUNCTION("""COMPUTED_VALUE"""),"+9.56")</f>
        <v>+9.56</v>
      </c>
      <c r="O27" s="1">
        <f ca="1">IFERROR(__xludf.DUMMYFUNCTION("""COMPUTED_VALUE"""),19)</f>
        <v>19</v>
      </c>
      <c r="P27" s="1">
        <f ca="1">IFERROR(__xludf.DUMMYFUNCTION("""COMPUTED_VALUE"""),108.9)</f>
        <v>108.9</v>
      </c>
      <c r="Q27" s="1">
        <f ca="1">IFERROR(__xludf.DUMMYFUNCTION("""COMPUTED_VALUE"""),24)</f>
        <v>24</v>
      </c>
      <c r="R27" s="1">
        <f ca="1">IFERROR(__xludf.DUMMYFUNCTION("""COMPUTED_VALUE"""),99.3)</f>
        <v>99.3</v>
      </c>
      <c r="S27" s="1">
        <f ca="1">IFERROR(__xludf.DUMMYFUNCTION("""COMPUTED_VALUE"""),13)</f>
        <v>13</v>
      </c>
      <c r="T27" s="1">
        <f ca="1">IFERROR(__xludf.DUMMYFUNCTION("""COMPUTED_VALUE"""),-2.65)</f>
        <v>-2.65</v>
      </c>
      <c r="U27" s="1">
        <f ca="1">IFERROR(__xludf.DUMMYFUNCTION("""COMPUTED_VALUE"""),243)</f>
        <v>243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IFERROR(__xludf.DUMMYFUNCTION("""COMPUTED_VALUE"""),"SMU6")</f>
        <v>SMU6</v>
      </c>
      <c r="C28" s="1" t="str">
        <f ca="1">IFERROR(__xludf.DUMMYFUNCTION("""COMPUTED_VALUE"""),"Amer")</f>
        <v>Amer</v>
      </c>
      <c r="D28" s="1" t="str">
        <f ca="1">IFERROR(__xludf.DUMMYFUNCTION("""COMPUTED_VALUE"""),"27-7")</f>
        <v>27-7</v>
      </c>
      <c r="E28" s="1" t="str">
        <f ca="1">IFERROR(__xludf.DUMMYFUNCTION("""COMPUTED_VALUE"""),"+17.51")</f>
        <v>+17.51</v>
      </c>
      <c r="F28" s="1">
        <f ca="1">IFERROR(__xludf.DUMMYFUNCTION("""COMPUTED_VALUE"""),113.1)</f>
        <v>113.1</v>
      </c>
      <c r="G28" s="1">
        <f ca="1">IFERROR(__xludf.DUMMYFUNCTION("""COMPUTED_VALUE"""),37)</f>
        <v>37</v>
      </c>
      <c r="H28" s="1">
        <f ca="1">IFERROR(__xludf.DUMMYFUNCTION("""COMPUTED_VALUE"""),95.6)</f>
        <v>95.6</v>
      </c>
      <c r="I28" s="1">
        <f ca="1">IFERROR(__xludf.DUMMYFUNCTION("""COMPUTED_VALUE"""),40)</f>
        <v>40</v>
      </c>
      <c r="J28" s="1">
        <f ca="1">IFERROR(__xludf.DUMMYFUNCTION("""COMPUTED_VALUE"""),63.1)</f>
        <v>63.1</v>
      </c>
      <c r="K28" s="1">
        <f ca="1">IFERROR(__xludf.DUMMYFUNCTION("""COMPUTED_VALUE"""),250)</f>
        <v>250</v>
      </c>
      <c r="L28" s="1">
        <f ca="1">IFERROR(__xludf.DUMMYFUNCTION("""COMPUTED_VALUE"""),-0.004)</f>
        <v>-4.0000000000000001E-3</v>
      </c>
      <c r="M28" s="1">
        <f ca="1">IFERROR(__xludf.DUMMYFUNCTION("""COMPUTED_VALUE"""),193)</f>
        <v>193</v>
      </c>
      <c r="N28" s="1" t="str">
        <f ca="1">IFERROR(__xludf.DUMMYFUNCTION("""COMPUTED_VALUE"""),"+2.52")</f>
        <v>+2.52</v>
      </c>
      <c r="O28" s="1">
        <f ca="1">IFERROR(__xludf.DUMMYFUNCTION("""COMPUTED_VALUE"""),99)</f>
        <v>99</v>
      </c>
      <c r="P28" s="1">
        <f ca="1">IFERROR(__xludf.DUMMYFUNCTION("""COMPUTED_VALUE"""),105.3)</f>
        <v>105.3</v>
      </c>
      <c r="Q28" s="1">
        <f ca="1">IFERROR(__xludf.DUMMYFUNCTION("""COMPUTED_VALUE"""),109)</f>
        <v>109</v>
      </c>
      <c r="R28" s="1">
        <f ca="1">IFERROR(__xludf.DUMMYFUNCTION("""COMPUTED_VALUE"""),102.8)</f>
        <v>102.8</v>
      </c>
      <c r="S28" s="1">
        <f ca="1">IFERROR(__xludf.DUMMYFUNCTION("""COMPUTED_VALUE"""),100)</f>
        <v>100</v>
      </c>
      <c r="T28" s="1" t="str">
        <f ca="1">IFERROR(__xludf.DUMMYFUNCTION("""COMPUTED_VALUE"""),"+0.99")</f>
        <v>+0.99</v>
      </c>
      <c r="U28" s="1">
        <f ca="1">IFERROR(__xludf.DUMMYFUNCTION("""COMPUTED_VALUE"""),127)</f>
        <v>127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IFERROR(__xludf.DUMMYFUNCTION("""COMPUTED_VALUE"""),"Providence6")</f>
        <v>Providence6</v>
      </c>
      <c r="C29" s="1" t="str">
        <f ca="1">IFERROR(__xludf.DUMMYFUNCTION("""COMPUTED_VALUE"""),"BE")</f>
        <v>BE</v>
      </c>
      <c r="D29" s="1" t="str">
        <f ca="1">IFERROR(__xludf.DUMMYFUNCTION("""COMPUTED_VALUE"""),"22-12")</f>
        <v>22-12</v>
      </c>
      <c r="E29" s="1" t="str">
        <f ca="1">IFERROR(__xludf.DUMMYFUNCTION("""COMPUTED_VALUE"""),"+16.72")</f>
        <v>+16.72</v>
      </c>
      <c r="F29" s="1">
        <f ca="1">IFERROR(__xludf.DUMMYFUNCTION("""COMPUTED_VALUE"""),112.6)</f>
        <v>112.6</v>
      </c>
      <c r="G29" s="1">
        <f ca="1">IFERROR(__xludf.DUMMYFUNCTION("""COMPUTED_VALUE"""),42)</f>
        <v>42</v>
      </c>
      <c r="H29" s="1">
        <f ca="1">IFERROR(__xludf.DUMMYFUNCTION("""COMPUTED_VALUE"""),95.9)</f>
        <v>95.9</v>
      </c>
      <c r="I29" s="1">
        <f ca="1">IFERROR(__xludf.DUMMYFUNCTION("""COMPUTED_VALUE"""),42)</f>
        <v>42</v>
      </c>
      <c r="J29" s="1">
        <f ca="1">IFERROR(__xludf.DUMMYFUNCTION("""COMPUTED_VALUE"""),65.2)</f>
        <v>65.2</v>
      </c>
      <c r="K29" s="1">
        <f ca="1">IFERROR(__xludf.DUMMYFUNCTION("""COMPUTED_VALUE"""),129)</f>
        <v>129</v>
      </c>
      <c r="L29" s="1" t="str">
        <f ca="1">IFERROR(__xludf.DUMMYFUNCTION("""COMPUTED_VALUE"""),"+.038")</f>
        <v>+.038</v>
      </c>
      <c r="M29" s="1">
        <f ca="1">IFERROR(__xludf.DUMMYFUNCTION("""COMPUTED_VALUE"""),85)</f>
        <v>85</v>
      </c>
      <c r="N29" s="1" t="str">
        <f ca="1">IFERROR(__xludf.DUMMYFUNCTION("""COMPUTED_VALUE"""),"+10.26")</f>
        <v>+10.26</v>
      </c>
      <c r="O29" s="1">
        <f ca="1">IFERROR(__xludf.DUMMYFUNCTION("""COMPUTED_VALUE"""),11)</f>
        <v>11</v>
      </c>
      <c r="P29" s="1">
        <f ca="1">IFERROR(__xludf.DUMMYFUNCTION("""COMPUTED_VALUE"""),109.7)</f>
        <v>109.7</v>
      </c>
      <c r="Q29" s="1">
        <f ca="1">IFERROR(__xludf.DUMMYFUNCTION("""COMPUTED_VALUE"""),10)</f>
        <v>10</v>
      </c>
      <c r="R29" s="1">
        <f ca="1">IFERROR(__xludf.DUMMYFUNCTION("""COMPUTED_VALUE"""),99.4)</f>
        <v>99.4</v>
      </c>
      <c r="S29" s="1">
        <f ca="1">IFERROR(__xludf.DUMMYFUNCTION("""COMPUTED_VALUE"""),15)</f>
        <v>15</v>
      </c>
      <c r="T29" s="1" t="str">
        <f ca="1">IFERROR(__xludf.DUMMYFUNCTION("""COMPUTED_VALUE"""),"+2.18")</f>
        <v>+2.18</v>
      </c>
      <c r="U29" s="1">
        <f ca="1">IFERROR(__xludf.DUMMYFUNCTION("""COMPUTED_VALUE"""),93)</f>
        <v>93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IFERROR(__xludf.DUMMYFUNCTION("""COMPUTED_VALUE"""),"BYU11")</f>
        <v>BYU11</v>
      </c>
      <c r="C30" s="1" t="str">
        <f ca="1">IFERROR(__xludf.DUMMYFUNCTION("""COMPUTED_VALUE"""),"WCC")</f>
        <v>WCC</v>
      </c>
      <c r="D30" s="1" t="str">
        <f ca="1">IFERROR(__xludf.DUMMYFUNCTION("""COMPUTED_VALUE"""),"25-10")</f>
        <v>25-10</v>
      </c>
      <c r="E30" s="1" t="str">
        <f ca="1">IFERROR(__xludf.DUMMYFUNCTION("""COMPUTED_VALUE"""),"+16.69")</f>
        <v>+16.69</v>
      </c>
      <c r="F30" s="1">
        <f ca="1">IFERROR(__xludf.DUMMYFUNCTION("""COMPUTED_VALUE"""),119.4)</f>
        <v>119.4</v>
      </c>
      <c r="G30" s="1">
        <f ca="1">IFERROR(__xludf.DUMMYFUNCTION("""COMPUTED_VALUE"""),10)</f>
        <v>10</v>
      </c>
      <c r="H30" s="1">
        <f ca="1">IFERROR(__xludf.DUMMYFUNCTION("""COMPUTED_VALUE"""),102.7)</f>
        <v>102.7</v>
      </c>
      <c r="I30" s="1">
        <f ca="1">IFERROR(__xludf.DUMMYFUNCTION("""COMPUTED_VALUE"""),139)</f>
        <v>139</v>
      </c>
      <c r="J30" s="1">
        <f ca="1">IFERROR(__xludf.DUMMYFUNCTION("""COMPUTED_VALUE"""),70.4)</f>
        <v>70.400000000000006</v>
      </c>
      <c r="K30" s="1">
        <f ca="1">IFERROR(__xludf.DUMMYFUNCTION("""COMPUTED_VALUE"""),5)</f>
        <v>5</v>
      </c>
      <c r="L30" s="1">
        <f ca="1">IFERROR(__xludf.DUMMYFUNCTION("""COMPUTED_VALUE"""),-0.055)</f>
        <v>-5.5E-2</v>
      </c>
      <c r="M30" s="1">
        <f ca="1">IFERROR(__xludf.DUMMYFUNCTION("""COMPUTED_VALUE"""),307)</f>
        <v>307</v>
      </c>
      <c r="N30" s="1" t="str">
        <f ca="1">IFERROR(__xludf.DUMMYFUNCTION("""COMPUTED_VALUE"""),"+3.96")</f>
        <v>+3.96</v>
      </c>
      <c r="O30" s="1">
        <f ca="1">IFERROR(__xludf.DUMMYFUNCTION("""COMPUTED_VALUE"""),83)</f>
        <v>83</v>
      </c>
      <c r="P30" s="1">
        <f ca="1">IFERROR(__xludf.DUMMYFUNCTION("""COMPUTED_VALUE"""),107)</f>
        <v>107</v>
      </c>
      <c r="Q30" s="1">
        <f ca="1">IFERROR(__xludf.DUMMYFUNCTION("""COMPUTED_VALUE"""),74)</f>
        <v>74</v>
      </c>
      <c r="R30" s="1">
        <f ca="1">IFERROR(__xludf.DUMMYFUNCTION("""COMPUTED_VALUE"""),103)</f>
        <v>103</v>
      </c>
      <c r="S30" s="1">
        <f ca="1">IFERROR(__xludf.DUMMYFUNCTION("""COMPUTED_VALUE"""),105)</f>
        <v>105</v>
      </c>
      <c r="T30" s="1" t="str">
        <f ca="1">IFERROR(__xludf.DUMMYFUNCTION("""COMPUTED_VALUE"""),"+3.78")</f>
        <v>+3.78</v>
      </c>
      <c r="U30" s="1">
        <f ca="1">IFERROR(__xludf.DUMMYFUNCTION("""COMPUTED_VALUE"""),51)</f>
        <v>51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IFERROR(__xludf.DUMMYFUNCTION("""COMPUTED_VALUE"""),"Arkansas5")</f>
        <v>Arkansas5</v>
      </c>
      <c r="C31" s="1" t="str">
        <f ca="1">IFERROR(__xludf.DUMMYFUNCTION("""COMPUTED_VALUE"""),"SEC")</f>
        <v>SEC</v>
      </c>
      <c r="D31" s="1" t="str">
        <f ca="1">IFERROR(__xludf.DUMMYFUNCTION("""COMPUTED_VALUE"""),"27-9")</f>
        <v>27-9</v>
      </c>
      <c r="E31" s="1" t="str">
        <f ca="1">IFERROR(__xludf.DUMMYFUNCTION("""COMPUTED_VALUE"""),"+16.44")</f>
        <v>+16.44</v>
      </c>
      <c r="F31" s="1">
        <f ca="1">IFERROR(__xludf.DUMMYFUNCTION("""COMPUTED_VALUE"""),114.7)</f>
        <v>114.7</v>
      </c>
      <c r="G31" s="1">
        <f ca="1">IFERROR(__xludf.DUMMYFUNCTION("""COMPUTED_VALUE"""),26)</f>
        <v>26</v>
      </c>
      <c r="H31" s="1">
        <f ca="1">IFERROR(__xludf.DUMMYFUNCTION("""COMPUTED_VALUE"""),98.3)</f>
        <v>98.3</v>
      </c>
      <c r="I31" s="1">
        <f ca="1">IFERROR(__xludf.DUMMYFUNCTION("""COMPUTED_VALUE"""),67)</f>
        <v>67</v>
      </c>
      <c r="J31" s="1">
        <f ca="1">IFERROR(__xludf.DUMMYFUNCTION("""COMPUTED_VALUE"""),69.3)</f>
        <v>69.3</v>
      </c>
      <c r="K31" s="1">
        <f ca="1">IFERROR(__xludf.DUMMYFUNCTION("""COMPUTED_VALUE"""),13)</f>
        <v>13</v>
      </c>
      <c r="L31" s="1" t="str">
        <f ca="1">IFERROR(__xludf.DUMMYFUNCTION("""COMPUTED_VALUE"""),"+.045")</f>
        <v>+.045</v>
      </c>
      <c r="M31" s="1">
        <f ca="1">IFERROR(__xludf.DUMMYFUNCTION("""COMPUTED_VALUE"""),72)</f>
        <v>72</v>
      </c>
      <c r="N31" s="1" t="str">
        <f ca="1">IFERROR(__xludf.DUMMYFUNCTION("""COMPUTED_VALUE"""),"+6.09")</f>
        <v>+6.09</v>
      </c>
      <c r="O31" s="1">
        <f ca="1">IFERROR(__xludf.DUMMYFUNCTION("""COMPUTED_VALUE"""),64)</f>
        <v>64</v>
      </c>
      <c r="P31" s="1">
        <f ca="1">IFERROR(__xludf.DUMMYFUNCTION("""COMPUTED_VALUE"""),107.2)</f>
        <v>107.2</v>
      </c>
      <c r="Q31" s="1">
        <f ca="1">IFERROR(__xludf.DUMMYFUNCTION("""COMPUTED_VALUE"""),71)</f>
        <v>71</v>
      </c>
      <c r="R31" s="1">
        <f ca="1">IFERROR(__xludf.DUMMYFUNCTION("""COMPUTED_VALUE"""),101.1)</f>
        <v>101.1</v>
      </c>
      <c r="S31" s="1">
        <f ca="1">IFERROR(__xludf.DUMMYFUNCTION("""COMPUTED_VALUE"""),59)</f>
        <v>59</v>
      </c>
      <c r="T31" s="1">
        <f ca="1">IFERROR(__xludf.DUMMYFUNCTION("""COMPUTED_VALUE"""),-3.44)</f>
        <v>-3.44</v>
      </c>
      <c r="U31" s="1">
        <f ca="1">IFERROR(__xludf.DUMMYFUNCTION("""COMPUTED_VALUE"""),263)</f>
        <v>263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IFERROR(__xludf.DUMMYFUNCTION("""COMPUTED_VALUE"""),"VCU7")</f>
        <v>VCU7</v>
      </c>
      <c r="C32" s="1" t="str">
        <f ca="1">IFERROR(__xludf.DUMMYFUNCTION("""COMPUTED_VALUE"""),"A10")</f>
        <v>A10</v>
      </c>
      <c r="D32" s="1" t="str">
        <f ca="1">IFERROR(__xludf.DUMMYFUNCTION("""COMPUTED_VALUE"""),"26-10")</f>
        <v>26-10</v>
      </c>
      <c r="E32" s="1" t="str">
        <f ca="1">IFERROR(__xludf.DUMMYFUNCTION("""COMPUTED_VALUE"""),"+16.27")</f>
        <v>+16.27</v>
      </c>
      <c r="F32" s="1">
        <f ca="1">IFERROR(__xludf.DUMMYFUNCTION("""COMPUTED_VALUE"""),111.1)</f>
        <v>111.1</v>
      </c>
      <c r="G32" s="1">
        <f ca="1">IFERROR(__xludf.DUMMYFUNCTION("""COMPUTED_VALUE"""),58)</f>
        <v>58</v>
      </c>
      <c r="H32" s="1">
        <f ca="1">IFERROR(__xludf.DUMMYFUNCTION("""COMPUTED_VALUE"""),94.9)</f>
        <v>94.9</v>
      </c>
      <c r="I32" s="1">
        <f ca="1">IFERROR(__xludf.DUMMYFUNCTION("""COMPUTED_VALUE"""),26)</f>
        <v>26</v>
      </c>
      <c r="J32" s="1">
        <f ca="1">IFERROR(__xludf.DUMMYFUNCTION("""COMPUTED_VALUE"""),66.5)</f>
        <v>66.5</v>
      </c>
      <c r="K32" s="1">
        <f ca="1">IFERROR(__xludf.DUMMYFUNCTION("""COMPUTED_VALUE"""),70)</f>
        <v>70</v>
      </c>
      <c r="L32" s="1" t="str">
        <f ca="1">IFERROR(__xludf.DUMMYFUNCTION("""COMPUTED_VALUE"""),"+.043")</f>
        <v>+.043</v>
      </c>
      <c r="M32" s="1">
        <f ca="1">IFERROR(__xludf.DUMMYFUNCTION("""COMPUTED_VALUE"""),75)</f>
        <v>75</v>
      </c>
      <c r="N32" s="1" t="str">
        <f ca="1">IFERROR(__xludf.DUMMYFUNCTION("""COMPUTED_VALUE"""),"+6.65")</f>
        <v>+6.65</v>
      </c>
      <c r="O32" s="1">
        <f ca="1">IFERROR(__xludf.DUMMYFUNCTION("""COMPUTED_VALUE"""),57)</f>
        <v>57</v>
      </c>
      <c r="P32" s="1">
        <f ca="1">IFERROR(__xludf.DUMMYFUNCTION("""COMPUTED_VALUE"""),107.9)</f>
        <v>107.9</v>
      </c>
      <c r="Q32" s="1">
        <f ca="1">IFERROR(__xludf.DUMMYFUNCTION("""COMPUTED_VALUE"""),50)</f>
        <v>50</v>
      </c>
      <c r="R32" s="1">
        <f ca="1">IFERROR(__xludf.DUMMYFUNCTION("""COMPUTED_VALUE"""),101.2)</f>
        <v>101.2</v>
      </c>
      <c r="S32" s="1">
        <f ca="1">IFERROR(__xludf.DUMMYFUNCTION("""COMPUTED_VALUE"""),63)</f>
        <v>63</v>
      </c>
      <c r="T32" s="1" t="str">
        <f ca="1">IFERROR(__xludf.DUMMYFUNCTION("""COMPUTED_VALUE"""),"+8.77")</f>
        <v>+8.77</v>
      </c>
      <c r="U32" s="1">
        <f ca="1">IFERROR(__xludf.DUMMYFUNCTION("""COMPUTED_VALUE"""),12)</f>
        <v>12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IFERROR(__xludf.DUMMYFUNCTION("""COMPUTED_VALUE"""),"San Diego St.8")</f>
        <v>San Diego St.8</v>
      </c>
      <c r="C33" s="1" t="str">
        <f ca="1">IFERROR(__xludf.DUMMYFUNCTION("""COMPUTED_VALUE"""),"MWC")</f>
        <v>MWC</v>
      </c>
      <c r="D33" s="1" t="str">
        <f ca="1">IFERROR(__xludf.DUMMYFUNCTION("""COMPUTED_VALUE"""),"27-9")</f>
        <v>27-9</v>
      </c>
      <c r="E33" s="1" t="str">
        <f ca="1">IFERROR(__xludf.DUMMYFUNCTION("""COMPUTED_VALUE"""),"+15.95")</f>
        <v>+15.95</v>
      </c>
      <c r="F33" s="1">
        <f ca="1">IFERROR(__xludf.DUMMYFUNCTION("""COMPUTED_VALUE"""),104.9)</f>
        <v>104.9</v>
      </c>
      <c r="G33" s="1">
        <f ca="1">IFERROR(__xludf.DUMMYFUNCTION("""COMPUTED_VALUE"""),162)</f>
        <v>162</v>
      </c>
      <c r="H33" s="1">
        <f ca="1">IFERROR(__xludf.DUMMYFUNCTION("""COMPUTED_VALUE"""),89)</f>
        <v>89</v>
      </c>
      <c r="I33" s="1">
        <f ca="1">IFERROR(__xludf.DUMMYFUNCTION("""COMPUTED_VALUE"""),5)</f>
        <v>5</v>
      </c>
      <c r="J33" s="1">
        <f ca="1">IFERROR(__xludf.DUMMYFUNCTION("""COMPUTED_VALUE"""),60.4)</f>
        <v>60.4</v>
      </c>
      <c r="K33" s="1">
        <f ca="1">IFERROR(__xludf.DUMMYFUNCTION("""COMPUTED_VALUE"""),333)</f>
        <v>333</v>
      </c>
      <c r="L33" s="1" t="str">
        <f ca="1">IFERROR(__xludf.DUMMYFUNCTION("""COMPUTED_VALUE"""),"+.026")</f>
        <v>+.026</v>
      </c>
      <c r="M33" s="1">
        <f ca="1">IFERROR(__xludf.DUMMYFUNCTION("""COMPUTED_VALUE"""),118)</f>
        <v>118</v>
      </c>
      <c r="N33" s="1" t="str">
        <f ca="1">IFERROR(__xludf.DUMMYFUNCTION("""COMPUTED_VALUE"""),"+3.63")</f>
        <v>+3.63</v>
      </c>
      <c r="O33" s="1">
        <f ca="1">IFERROR(__xludf.DUMMYFUNCTION("""COMPUTED_VALUE"""),85)</f>
        <v>85</v>
      </c>
      <c r="P33" s="1">
        <f ca="1">IFERROR(__xludf.DUMMYFUNCTION("""COMPUTED_VALUE"""),106.1)</f>
        <v>106.1</v>
      </c>
      <c r="Q33" s="1">
        <f ca="1">IFERROR(__xludf.DUMMYFUNCTION("""COMPUTED_VALUE"""),86)</f>
        <v>86</v>
      </c>
      <c r="R33" s="1">
        <f ca="1">IFERROR(__xludf.DUMMYFUNCTION("""COMPUTED_VALUE"""),102.5)</f>
        <v>102.5</v>
      </c>
      <c r="S33" s="1">
        <f ca="1">IFERROR(__xludf.DUMMYFUNCTION("""COMPUTED_VALUE"""),96)</f>
        <v>96</v>
      </c>
      <c r="T33" s="1" t="str">
        <f ca="1">IFERROR(__xludf.DUMMYFUNCTION("""COMPUTED_VALUE"""),"+3.50")</f>
        <v>+3.50</v>
      </c>
      <c r="U33" s="1">
        <f ca="1">IFERROR(__xludf.DUMMYFUNCTION("""COMPUTED_VALUE"""),57)</f>
        <v>57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IFERROR(__xludf.DUMMYFUNCTION("""COMPUTED_VALUE"""),"N.C. State8")</f>
        <v>N.C. State8</v>
      </c>
      <c r="C34" s="1" t="str">
        <f ca="1">IFERROR(__xludf.DUMMYFUNCTION("""COMPUTED_VALUE"""),"ACC")</f>
        <v>ACC</v>
      </c>
      <c r="D34" s="1" t="str">
        <f ca="1">IFERROR(__xludf.DUMMYFUNCTION("""COMPUTED_VALUE"""),"22-14")</f>
        <v>22-14</v>
      </c>
      <c r="E34" s="1" t="str">
        <f ca="1">IFERROR(__xludf.DUMMYFUNCTION("""COMPUTED_VALUE"""),"+15.93")</f>
        <v>+15.93</v>
      </c>
      <c r="F34" s="1">
        <f ca="1">IFERROR(__xludf.DUMMYFUNCTION("""COMPUTED_VALUE"""),114.9)</f>
        <v>114.9</v>
      </c>
      <c r="G34" s="1">
        <f ca="1">IFERROR(__xludf.DUMMYFUNCTION("""COMPUTED_VALUE"""),25)</f>
        <v>25</v>
      </c>
      <c r="H34" s="1">
        <f ca="1">IFERROR(__xludf.DUMMYFUNCTION("""COMPUTED_VALUE"""),98.9)</f>
        <v>98.9</v>
      </c>
      <c r="I34" s="1">
        <f ca="1">IFERROR(__xludf.DUMMYFUNCTION("""COMPUTED_VALUE"""),76)</f>
        <v>76</v>
      </c>
      <c r="J34" s="1">
        <f ca="1">IFERROR(__xludf.DUMMYFUNCTION("""COMPUTED_VALUE"""),64.1)</f>
        <v>64.099999999999994</v>
      </c>
      <c r="K34" s="1">
        <f ca="1">IFERROR(__xludf.DUMMYFUNCTION("""COMPUTED_VALUE"""),188)</f>
        <v>188</v>
      </c>
      <c r="L34" s="1">
        <f ca="1">IFERROR(__xludf.DUMMYFUNCTION("""COMPUTED_VALUE"""),-0.003)</f>
        <v>-3.0000000000000001E-3</v>
      </c>
      <c r="M34" s="1">
        <f ca="1">IFERROR(__xludf.DUMMYFUNCTION("""COMPUTED_VALUE"""),191)</f>
        <v>191</v>
      </c>
      <c r="N34" s="1" t="str">
        <f ca="1">IFERROR(__xludf.DUMMYFUNCTION("""COMPUTED_VALUE"""),"+9.84")</f>
        <v>+9.84</v>
      </c>
      <c r="O34" s="1">
        <f ca="1">IFERROR(__xludf.DUMMYFUNCTION("""COMPUTED_VALUE"""),16)</f>
        <v>16</v>
      </c>
      <c r="P34" s="1">
        <f ca="1">IFERROR(__xludf.DUMMYFUNCTION("""COMPUTED_VALUE"""),109.3)</f>
        <v>109.3</v>
      </c>
      <c r="Q34" s="1">
        <f ca="1">IFERROR(__xludf.DUMMYFUNCTION("""COMPUTED_VALUE"""),15)</f>
        <v>15</v>
      </c>
      <c r="R34" s="1">
        <f ca="1">IFERROR(__xludf.DUMMYFUNCTION("""COMPUTED_VALUE"""),99.5)</f>
        <v>99.5</v>
      </c>
      <c r="S34" s="1">
        <f ca="1">IFERROR(__xludf.DUMMYFUNCTION("""COMPUTED_VALUE"""),16)</f>
        <v>16</v>
      </c>
      <c r="T34" s="1">
        <f ca="1">IFERROR(__xludf.DUMMYFUNCTION("""COMPUTED_VALUE"""),-0.65)</f>
        <v>-0.65</v>
      </c>
      <c r="U34" s="1">
        <f ca="1">IFERROR(__xludf.DUMMYFUNCTION("""COMPUTED_VALUE"""),179)</f>
        <v>179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IFERROR(__xludf.DUMMYFUNCTION("""COMPUTED_VALUE"""),"Maryland4")</f>
        <v>Maryland4</v>
      </c>
      <c r="C35" s="1" t="str">
        <f ca="1">IFERROR(__xludf.DUMMYFUNCTION("""COMPUTED_VALUE"""),"B10")</f>
        <v>B10</v>
      </c>
      <c r="D35" s="1" t="str">
        <f ca="1">IFERROR(__xludf.DUMMYFUNCTION("""COMPUTED_VALUE"""),"28-7")</f>
        <v>28-7</v>
      </c>
      <c r="E35" s="1" t="str">
        <f ca="1">IFERROR(__xludf.DUMMYFUNCTION("""COMPUTED_VALUE"""),"+15.68")</f>
        <v>+15.68</v>
      </c>
      <c r="F35" s="1">
        <f ca="1">IFERROR(__xludf.DUMMYFUNCTION("""COMPUTED_VALUE"""),111.3)</f>
        <v>111.3</v>
      </c>
      <c r="G35" s="1">
        <f ca="1">IFERROR(__xludf.DUMMYFUNCTION("""COMPUTED_VALUE"""),56)</f>
        <v>56</v>
      </c>
      <c r="H35" s="1">
        <f ca="1">IFERROR(__xludf.DUMMYFUNCTION("""COMPUTED_VALUE"""),95.7)</f>
        <v>95.7</v>
      </c>
      <c r="I35" s="1">
        <f ca="1">IFERROR(__xludf.DUMMYFUNCTION("""COMPUTED_VALUE"""),41)</f>
        <v>41</v>
      </c>
      <c r="J35" s="1">
        <f ca="1">IFERROR(__xludf.DUMMYFUNCTION("""COMPUTED_VALUE"""),63.9)</f>
        <v>63.9</v>
      </c>
      <c r="K35" s="1">
        <f ca="1">IFERROR(__xludf.DUMMYFUNCTION("""COMPUTED_VALUE"""),199)</f>
        <v>199</v>
      </c>
      <c r="L35" s="1" t="str">
        <f ca="1">IFERROR(__xludf.DUMMYFUNCTION("""COMPUTED_VALUE"""),"+.127")</f>
        <v>+.127</v>
      </c>
      <c r="M35" s="1">
        <f ca="1">IFERROR(__xludf.DUMMYFUNCTION("""COMPUTED_VALUE"""),2)</f>
        <v>2</v>
      </c>
      <c r="N35" s="1" t="str">
        <f ca="1">IFERROR(__xludf.DUMMYFUNCTION("""COMPUTED_VALUE"""),"+7.15")</f>
        <v>+7.15</v>
      </c>
      <c r="O35" s="1">
        <f ca="1">IFERROR(__xludf.DUMMYFUNCTION("""COMPUTED_VALUE"""),48)</f>
        <v>48</v>
      </c>
      <c r="P35" s="1">
        <f ca="1">IFERROR(__xludf.DUMMYFUNCTION("""COMPUTED_VALUE"""),108.3)</f>
        <v>108.3</v>
      </c>
      <c r="Q35" s="1">
        <f ca="1">IFERROR(__xludf.DUMMYFUNCTION("""COMPUTED_VALUE"""),37)</f>
        <v>37</v>
      </c>
      <c r="R35" s="1">
        <f ca="1">IFERROR(__xludf.DUMMYFUNCTION("""COMPUTED_VALUE"""),101.1)</f>
        <v>101.1</v>
      </c>
      <c r="S35" s="1">
        <f ca="1">IFERROR(__xludf.DUMMYFUNCTION("""COMPUTED_VALUE"""),57)</f>
        <v>57</v>
      </c>
      <c r="T35" s="1">
        <f ca="1">IFERROR(__xludf.DUMMYFUNCTION("""COMPUTED_VALUE"""),-3.33)</f>
        <v>-3.33</v>
      </c>
      <c r="U35" s="1">
        <f ca="1">IFERROR(__xludf.DUMMYFUNCTION("""COMPUTED_VALUE"""),258)</f>
        <v>258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IFERROR(__xludf.DUMMYFUNCTION("""COMPUTED_VALUE"""),"Florida")</f>
        <v>Florida</v>
      </c>
      <c r="C36" s="1" t="str">
        <f ca="1">IFERROR(__xludf.DUMMYFUNCTION("""COMPUTED_VALUE"""),"SEC")</f>
        <v>SEC</v>
      </c>
      <c r="D36" s="1" t="str">
        <f ca="1">IFERROR(__xludf.DUMMYFUNCTION("""COMPUTED_VALUE"""),"16-17")</f>
        <v>16-17</v>
      </c>
      <c r="E36" s="1" t="str">
        <f ca="1">IFERROR(__xludf.DUMMYFUNCTION("""COMPUTED_VALUE"""),"+15.39")</f>
        <v>+15.39</v>
      </c>
      <c r="F36" s="1">
        <f ca="1">IFERROR(__xludf.DUMMYFUNCTION("""COMPUTED_VALUE"""),107.3)</f>
        <v>107.3</v>
      </c>
      <c r="G36" s="1">
        <f ca="1">IFERROR(__xludf.DUMMYFUNCTION("""COMPUTED_VALUE"""),115)</f>
        <v>115</v>
      </c>
      <c r="H36" s="1">
        <f ca="1">IFERROR(__xludf.DUMMYFUNCTION("""COMPUTED_VALUE"""),91.9)</f>
        <v>91.9</v>
      </c>
      <c r="I36" s="1">
        <f ca="1">IFERROR(__xludf.DUMMYFUNCTION("""COMPUTED_VALUE"""),10)</f>
        <v>10</v>
      </c>
      <c r="J36" s="1">
        <f ca="1">IFERROR(__xludf.DUMMYFUNCTION("""COMPUTED_VALUE"""),62.7)</f>
        <v>62.7</v>
      </c>
      <c r="K36" s="1">
        <f ca="1">IFERROR(__xludf.DUMMYFUNCTION("""COMPUTED_VALUE"""),266)</f>
        <v>266</v>
      </c>
      <c r="L36" s="1">
        <f ca="1">IFERROR(__xludf.DUMMYFUNCTION("""COMPUTED_VALUE"""),-0.117)</f>
        <v>-0.11700000000000001</v>
      </c>
      <c r="M36" s="1">
        <f ca="1">IFERROR(__xludf.DUMMYFUNCTION("""COMPUTED_VALUE"""),347)</f>
        <v>347</v>
      </c>
      <c r="N36" s="1" t="str">
        <f ca="1">IFERROR(__xludf.DUMMYFUNCTION("""COMPUTED_VALUE"""),"+10.08")</f>
        <v>+10.08</v>
      </c>
      <c r="O36" s="1">
        <f ca="1">IFERROR(__xludf.DUMMYFUNCTION("""COMPUTED_VALUE"""),14)</f>
        <v>14</v>
      </c>
      <c r="P36" s="1">
        <f ca="1">IFERROR(__xludf.DUMMYFUNCTION("""COMPUTED_VALUE"""),109.5)</f>
        <v>109.5</v>
      </c>
      <c r="Q36" s="1">
        <f ca="1">IFERROR(__xludf.DUMMYFUNCTION("""COMPUTED_VALUE"""),13)</f>
        <v>13</v>
      </c>
      <c r="R36" s="1">
        <f ca="1">IFERROR(__xludf.DUMMYFUNCTION("""COMPUTED_VALUE"""),99.4)</f>
        <v>99.4</v>
      </c>
      <c r="S36" s="1">
        <f ca="1">IFERROR(__xludf.DUMMYFUNCTION("""COMPUTED_VALUE"""),14)</f>
        <v>14</v>
      </c>
      <c r="T36" s="1" t="str">
        <f ca="1">IFERROR(__xludf.DUMMYFUNCTION("""COMPUTED_VALUE"""),"+4.19")</f>
        <v>+4.19</v>
      </c>
      <c r="U36" s="1">
        <f ca="1">IFERROR(__xludf.DUMMYFUNCTION("""COMPUTED_VALUE"""),43)</f>
        <v>43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IFERROR(__xludf.DUMMYFUNCTION("""COMPUTED_VALUE"""),"Georgia10")</f>
        <v>Georgia10</v>
      </c>
      <c r="C37" s="1" t="str">
        <f ca="1">IFERROR(__xludf.DUMMYFUNCTION("""COMPUTED_VALUE"""),"SEC")</f>
        <v>SEC</v>
      </c>
      <c r="D37" s="1" t="str">
        <f ca="1">IFERROR(__xludf.DUMMYFUNCTION("""COMPUTED_VALUE"""),"21-12")</f>
        <v>21-12</v>
      </c>
      <c r="E37" s="1" t="str">
        <f ca="1">IFERROR(__xludf.DUMMYFUNCTION("""COMPUTED_VALUE"""),"+15.09")</f>
        <v>+15.09</v>
      </c>
      <c r="F37" s="1">
        <f ca="1">IFERROR(__xludf.DUMMYFUNCTION("""COMPUTED_VALUE"""),109.6)</f>
        <v>109.6</v>
      </c>
      <c r="G37" s="1">
        <f ca="1">IFERROR(__xludf.DUMMYFUNCTION("""COMPUTED_VALUE"""),70)</f>
        <v>70</v>
      </c>
      <c r="H37" s="1">
        <f ca="1">IFERROR(__xludf.DUMMYFUNCTION("""COMPUTED_VALUE"""),94.5)</f>
        <v>94.5</v>
      </c>
      <c r="I37" s="1">
        <f ca="1">IFERROR(__xludf.DUMMYFUNCTION("""COMPUTED_VALUE"""),22)</f>
        <v>22</v>
      </c>
      <c r="J37" s="1">
        <f ca="1">IFERROR(__xludf.DUMMYFUNCTION("""COMPUTED_VALUE"""),64.1)</f>
        <v>64.099999999999994</v>
      </c>
      <c r="K37" s="1">
        <f ca="1">IFERROR(__xludf.DUMMYFUNCTION("""COMPUTED_VALUE"""),184)</f>
        <v>184</v>
      </c>
      <c r="L37" s="1" t="str">
        <f ca="1">IFERROR(__xludf.DUMMYFUNCTION("""COMPUTED_VALUE"""),"+.001")</f>
        <v>+.001</v>
      </c>
      <c r="M37" s="1">
        <f ca="1">IFERROR(__xludf.DUMMYFUNCTION("""COMPUTED_VALUE"""),181)</f>
        <v>181</v>
      </c>
      <c r="N37" s="1" t="str">
        <f ca="1">IFERROR(__xludf.DUMMYFUNCTION("""COMPUTED_VALUE"""),"+8.73")</f>
        <v>+8.73</v>
      </c>
      <c r="O37" s="1">
        <f ca="1">IFERROR(__xludf.DUMMYFUNCTION("""COMPUTED_VALUE"""),23)</f>
        <v>23</v>
      </c>
      <c r="P37" s="1">
        <f ca="1">IFERROR(__xludf.DUMMYFUNCTION("""COMPUTED_VALUE"""),108.6)</f>
        <v>108.6</v>
      </c>
      <c r="Q37" s="1">
        <f ca="1">IFERROR(__xludf.DUMMYFUNCTION("""COMPUTED_VALUE"""),30)</f>
        <v>30</v>
      </c>
      <c r="R37" s="1">
        <f ca="1">IFERROR(__xludf.DUMMYFUNCTION("""COMPUTED_VALUE"""),99.9)</f>
        <v>99.9</v>
      </c>
      <c r="S37" s="1">
        <f ca="1">IFERROR(__xludf.DUMMYFUNCTION("""COMPUTED_VALUE"""),22)</f>
        <v>22</v>
      </c>
      <c r="T37" s="1" t="str">
        <f ca="1">IFERROR(__xludf.DUMMYFUNCTION("""COMPUTED_VALUE"""),"+1.41")</f>
        <v>+1.41</v>
      </c>
      <c r="U37" s="1">
        <f ca="1">IFERROR(__xludf.DUMMYFUNCTION("""COMPUTED_VALUE"""),116)</f>
        <v>116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IFERROR(__xludf.DUMMYFUNCTION("""COMPUTED_VALUE"""),"Davidson10")</f>
        <v>Davidson10</v>
      </c>
      <c r="C38" s="1" t="str">
        <f ca="1">IFERROR(__xludf.DUMMYFUNCTION("""COMPUTED_VALUE"""),"A10")</f>
        <v>A10</v>
      </c>
      <c r="D38" s="1" t="str">
        <f ca="1">IFERROR(__xludf.DUMMYFUNCTION("""COMPUTED_VALUE"""),"24-8")</f>
        <v>24-8</v>
      </c>
      <c r="E38" s="1" t="str">
        <f ca="1">IFERROR(__xludf.DUMMYFUNCTION("""COMPUTED_VALUE"""),"+15.00")</f>
        <v>+15.00</v>
      </c>
      <c r="F38" s="1">
        <f ca="1">IFERROR(__xludf.DUMMYFUNCTION("""COMPUTED_VALUE"""),119.7)</f>
        <v>119.7</v>
      </c>
      <c r="G38" s="1">
        <f ca="1">IFERROR(__xludf.DUMMYFUNCTION("""COMPUTED_VALUE"""),9)</f>
        <v>9</v>
      </c>
      <c r="H38" s="1">
        <f ca="1">IFERROR(__xludf.DUMMYFUNCTION("""COMPUTED_VALUE"""),104.7)</f>
        <v>104.7</v>
      </c>
      <c r="I38" s="1">
        <f ca="1">IFERROR(__xludf.DUMMYFUNCTION("""COMPUTED_VALUE"""),176)</f>
        <v>176</v>
      </c>
      <c r="J38" s="1">
        <f ca="1">IFERROR(__xludf.DUMMYFUNCTION("""COMPUTED_VALUE"""),66.7)</f>
        <v>66.7</v>
      </c>
      <c r="K38" s="1">
        <f ca="1">IFERROR(__xludf.DUMMYFUNCTION("""COMPUTED_VALUE"""),62)</f>
        <v>62</v>
      </c>
      <c r="L38" s="1" t="str">
        <f ca="1">IFERROR(__xludf.DUMMYFUNCTION("""COMPUTED_VALUE"""),"+.056")</f>
        <v>+.056</v>
      </c>
      <c r="M38" s="1">
        <f ca="1">IFERROR(__xludf.DUMMYFUNCTION("""COMPUTED_VALUE"""),53)</f>
        <v>53</v>
      </c>
      <c r="N38" s="1" t="str">
        <f ca="1">IFERROR(__xludf.DUMMYFUNCTION("""COMPUTED_VALUE"""),"+3.16")</f>
        <v>+3.16</v>
      </c>
      <c r="O38" s="1">
        <f ca="1">IFERROR(__xludf.DUMMYFUNCTION("""COMPUTED_VALUE"""),93)</f>
        <v>93</v>
      </c>
      <c r="P38" s="1">
        <f ca="1">IFERROR(__xludf.DUMMYFUNCTION("""COMPUTED_VALUE"""),105.3)</f>
        <v>105.3</v>
      </c>
      <c r="Q38" s="1">
        <f ca="1">IFERROR(__xludf.DUMMYFUNCTION("""COMPUTED_VALUE"""),108)</f>
        <v>108</v>
      </c>
      <c r="R38" s="1">
        <f ca="1">IFERROR(__xludf.DUMMYFUNCTION("""COMPUTED_VALUE"""),102.2)</f>
        <v>102.2</v>
      </c>
      <c r="S38" s="1">
        <f ca="1">IFERROR(__xludf.DUMMYFUNCTION("""COMPUTED_VALUE"""),87)</f>
        <v>87</v>
      </c>
      <c r="T38" s="1">
        <f ca="1">IFERROR(__xludf.DUMMYFUNCTION("""COMPUTED_VALUE"""),-3.78)</f>
        <v>-3.78</v>
      </c>
      <c r="U38" s="1">
        <f ca="1">IFERROR(__xludf.DUMMYFUNCTION("""COMPUTED_VALUE"""),274)</f>
        <v>274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IFERROR(__xludf.DUMMYFUNCTION("""COMPUTED_VALUE"""),"Vanderbilt5")</f>
        <v>Vanderbilt5</v>
      </c>
      <c r="C39" s="1" t="str">
        <f ca="1">IFERROR(__xludf.DUMMYFUNCTION("""COMPUTED_VALUE"""),"SEC")</f>
        <v>SEC</v>
      </c>
      <c r="D39" s="1" t="str">
        <f ca="1">IFERROR(__xludf.DUMMYFUNCTION("""COMPUTED_VALUE"""),"21-14")</f>
        <v>21-14</v>
      </c>
      <c r="E39" s="1" t="str">
        <f ca="1">IFERROR(__xludf.DUMMYFUNCTION("""COMPUTED_VALUE"""),"+14.99")</f>
        <v>+14.99</v>
      </c>
      <c r="F39" s="1">
        <f ca="1">IFERROR(__xludf.DUMMYFUNCTION("""COMPUTED_VALUE"""),115.6)</f>
        <v>115.6</v>
      </c>
      <c r="G39" s="1">
        <f ca="1">IFERROR(__xludf.DUMMYFUNCTION("""COMPUTED_VALUE"""),20)</f>
        <v>20</v>
      </c>
      <c r="H39" s="1">
        <f ca="1">IFERROR(__xludf.DUMMYFUNCTION("""COMPUTED_VALUE"""),100.6)</f>
        <v>100.6</v>
      </c>
      <c r="I39" s="1">
        <f ca="1">IFERROR(__xludf.DUMMYFUNCTION("""COMPUTED_VALUE"""),103)</f>
        <v>103</v>
      </c>
      <c r="J39" s="1">
        <f ca="1">IFERROR(__xludf.DUMMYFUNCTION("""COMPUTED_VALUE"""),63.4)</f>
        <v>63.4</v>
      </c>
      <c r="K39" s="1">
        <f ca="1">IFERROR(__xludf.DUMMYFUNCTION("""COMPUTED_VALUE"""),233)</f>
        <v>233</v>
      </c>
      <c r="L39" s="1">
        <f ca="1">IFERROR(__xludf.DUMMYFUNCTION("""COMPUTED_VALUE"""),-0.11)</f>
        <v>-0.11</v>
      </c>
      <c r="M39" s="1">
        <f ca="1">IFERROR(__xludf.DUMMYFUNCTION("""COMPUTED_VALUE"""),345)</f>
        <v>345</v>
      </c>
      <c r="N39" s="1" t="str">
        <f ca="1">IFERROR(__xludf.DUMMYFUNCTION("""COMPUTED_VALUE"""),"+5.49")</f>
        <v>+5.49</v>
      </c>
      <c r="O39" s="1">
        <f ca="1">IFERROR(__xludf.DUMMYFUNCTION("""COMPUTED_VALUE"""),71)</f>
        <v>71</v>
      </c>
      <c r="P39" s="1">
        <f ca="1">IFERROR(__xludf.DUMMYFUNCTION("""COMPUTED_VALUE"""),106.1)</f>
        <v>106.1</v>
      </c>
      <c r="Q39" s="1">
        <f ca="1">IFERROR(__xludf.DUMMYFUNCTION("""COMPUTED_VALUE"""),87)</f>
        <v>87</v>
      </c>
      <c r="R39" s="1">
        <f ca="1">IFERROR(__xludf.DUMMYFUNCTION("""COMPUTED_VALUE"""),100.6)</f>
        <v>100.6</v>
      </c>
      <c r="S39" s="1">
        <f ca="1">IFERROR(__xludf.DUMMYFUNCTION("""COMPUTED_VALUE"""),45)</f>
        <v>45</v>
      </c>
      <c r="T39" s="1">
        <f ca="1">IFERROR(__xludf.DUMMYFUNCTION("""COMPUTED_VALUE"""),-3.96)</f>
        <v>-3.96</v>
      </c>
      <c r="U39" s="1">
        <f ca="1">IFERROR(__xludf.DUMMYFUNCTION("""COMPUTED_VALUE"""),281)</f>
        <v>281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IFERROR(__xludf.DUMMYFUNCTION("""COMPUTED_VALUE"""),"Oklahoma St.9")</f>
        <v>Oklahoma St.9</v>
      </c>
      <c r="C40" s="1" t="str">
        <f ca="1">IFERROR(__xludf.DUMMYFUNCTION("""COMPUTED_VALUE"""),"B12")</f>
        <v>B12</v>
      </c>
      <c r="D40" s="1" t="str">
        <f ca="1">IFERROR(__xludf.DUMMYFUNCTION("""COMPUTED_VALUE"""),"18-14")</f>
        <v>18-14</v>
      </c>
      <c r="E40" s="1" t="str">
        <f ca="1">IFERROR(__xludf.DUMMYFUNCTION("""COMPUTED_VALUE"""),"+14.92")</f>
        <v>+14.92</v>
      </c>
      <c r="F40" s="1">
        <f ca="1">IFERROR(__xludf.DUMMYFUNCTION("""COMPUTED_VALUE"""),111.8)</f>
        <v>111.8</v>
      </c>
      <c r="G40" s="1">
        <f ca="1">IFERROR(__xludf.DUMMYFUNCTION("""COMPUTED_VALUE"""),51)</f>
        <v>51</v>
      </c>
      <c r="H40" s="1">
        <f ca="1">IFERROR(__xludf.DUMMYFUNCTION("""COMPUTED_VALUE"""),96.8)</f>
        <v>96.8</v>
      </c>
      <c r="I40" s="1">
        <f ca="1">IFERROR(__xludf.DUMMYFUNCTION("""COMPUTED_VALUE"""),53)</f>
        <v>53</v>
      </c>
      <c r="J40" s="1">
        <f ca="1">IFERROR(__xludf.DUMMYFUNCTION("""COMPUTED_VALUE"""),63.3)</f>
        <v>63.3</v>
      </c>
      <c r="K40" s="1">
        <f ca="1">IFERROR(__xludf.DUMMYFUNCTION("""COMPUTED_VALUE"""),238)</f>
        <v>238</v>
      </c>
      <c r="L40" s="1">
        <f ca="1">IFERROR(__xludf.DUMMYFUNCTION("""COMPUTED_VALUE"""),-0.045)</f>
        <v>-4.4999999999999998E-2</v>
      </c>
      <c r="M40" s="1">
        <f ca="1">IFERROR(__xludf.DUMMYFUNCTION("""COMPUTED_VALUE"""),287)</f>
        <v>287</v>
      </c>
      <c r="N40" s="1" t="str">
        <f ca="1">IFERROR(__xludf.DUMMYFUNCTION("""COMPUTED_VALUE"""),"+10.42")</f>
        <v>+10.42</v>
      </c>
      <c r="O40" s="1">
        <f ca="1">IFERROR(__xludf.DUMMYFUNCTION("""COMPUTED_VALUE"""),8)</f>
        <v>8</v>
      </c>
      <c r="P40" s="1">
        <f ca="1">IFERROR(__xludf.DUMMYFUNCTION("""COMPUTED_VALUE"""),108.2)</f>
        <v>108.2</v>
      </c>
      <c r="Q40" s="1">
        <f ca="1">IFERROR(__xludf.DUMMYFUNCTION("""COMPUTED_VALUE"""),41)</f>
        <v>41</v>
      </c>
      <c r="R40" s="1">
        <f ca="1">IFERROR(__xludf.DUMMYFUNCTION("""COMPUTED_VALUE"""),97.8)</f>
        <v>97.8</v>
      </c>
      <c r="S40" s="1">
        <f ca="1">IFERROR(__xludf.DUMMYFUNCTION("""COMPUTED_VALUE"""),2)</f>
        <v>2</v>
      </c>
      <c r="T40" s="1">
        <f ca="1">IFERROR(__xludf.DUMMYFUNCTION("""COMPUTED_VALUE"""),-1.65)</f>
        <v>-1.65</v>
      </c>
      <c r="U40" s="1">
        <f ca="1">IFERROR(__xludf.DUMMYFUNCTION("""COMPUTED_VALUE"""),208)</f>
        <v>208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IFERROR(__xludf.DUMMYFUNCTION("""COMPUTED_VALUE"""),"Stanford2")</f>
        <v>Stanford2</v>
      </c>
      <c r="C41" s="1" t="str">
        <f ca="1">IFERROR(__xludf.DUMMYFUNCTION("""COMPUTED_VALUE"""),"P12")</f>
        <v>P12</v>
      </c>
      <c r="D41" s="1" t="str">
        <f ca="1">IFERROR(__xludf.DUMMYFUNCTION("""COMPUTED_VALUE"""),"24-13")</f>
        <v>24-13</v>
      </c>
      <c r="E41" s="1" t="str">
        <f ca="1">IFERROR(__xludf.DUMMYFUNCTION("""COMPUTED_VALUE"""),"+14.72")</f>
        <v>+14.72</v>
      </c>
      <c r="F41" s="1">
        <f ca="1">IFERROR(__xludf.DUMMYFUNCTION("""COMPUTED_VALUE"""),113.6)</f>
        <v>113.6</v>
      </c>
      <c r="G41" s="1">
        <f ca="1">IFERROR(__xludf.DUMMYFUNCTION("""COMPUTED_VALUE"""),33)</f>
        <v>33</v>
      </c>
      <c r="H41" s="1">
        <f ca="1">IFERROR(__xludf.DUMMYFUNCTION("""COMPUTED_VALUE"""),98.9)</f>
        <v>98.9</v>
      </c>
      <c r="I41" s="1">
        <f ca="1">IFERROR(__xludf.DUMMYFUNCTION("""COMPUTED_VALUE"""),75)</f>
        <v>75</v>
      </c>
      <c r="J41" s="1">
        <f ca="1">IFERROR(__xludf.DUMMYFUNCTION("""COMPUTED_VALUE"""),65.2)</f>
        <v>65.2</v>
      </c>
      <c r="K41" s="1">
        <f ca="1">IFERROR(__xludf.DUMMYFUNCTION("""COMPUTED_VALUE"""),131)</f>
        <v>131</v>
      </c>
      <c r="L41" s="1" t="str">
        <f ca="1">IFERROR(__xludf.DUMMYFUNCTION("""COMPUTED_VALUE"""),"+.006")</f>
        <v>+.006</v>
      </c>
      <c r="M41" s="1">
        <f ca="1">IFERROR(__xludf.DUMMYFUNCTION("""COMPUTED_VALUE"""),172)</f>
        <v>172</v>
      </c>
      <c r="N41" s="1" t="str">
        <f ca="1">IFERROR(__xludf.DUMMYFUNCTION("""COMPUTED_VALUE"""),"+6.86")</f>
        <v>+6.86</v>
      </c>
      <c r="O41" s="1">
        <f ca="1">IFERROR(__xludf.DUMMYFUNCTION("""COMPUTED_VALUE"""),53)</f>
        <v>53</v>
      </c>
      <c r="P41" s="1">
        <f ca="1">IFERROR(__xludf.DUMMYFUNCTION("""COMPUTED_VALUE"""),108.2)</f>
        <v>108.2</v>
      </c>
      <c r="Q41" s="1">
        <f ca="1">IFERROR(__xludf.DUMMYFUNCTION("""COMPUTED_VALUE"""),43)</f>
        <v>43</v>
      </c>
      <c r="R41" s="1">
        <f ca="1">IFERROR(__xludf.DUMMYFUNCTION("""COMPUTED_VALUE"""),101.4)</f>
        <v>101.4</v>
      </c>
      <c r="S41" s="1">
        <f ca="1">IFERROR(__xludf.DUMMYFUNCTION("""COMPUTED_VALUE"""),66)</f>
        <v>66</v>
      </c>
      <c r="T41" s="1" t="str">
        <f ca="1">IFERROR(__xludf.DUMMYFUNCTION("""COMPUTED_VALUE"""),"+0.79")</f>
        <v>+0.79</v>
      </c>
      <c r="U41" s="1">
        <f ca="1">IFERROR(__xludf.DUMMYFUNCTION("""COMPUTED_VALUE"""),131)</f>
        <v>131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IFERROR(__xludf.DUMMYFUNCTION("""COMPUTED_VALUE"""),"UCLA11")</f>
        <v>UCLA11</v>
      </c>
      <c r="C42" s="1" t="str">
        <f ca="1">IFERROR(__xludf.DUMMYFUNCTION("""COMPUTED_VALUE"""),"P12")</f>
        <v>P12</v>
      </c>
      <c r="D42" s="1" t="str">
        <f ca="1">IFERROR(__xludf.DUMMYFUNCTION("""COMPUTED_VALUE"""),"22-14")</f>
        <v>22-14</v>
      </c>
      <c r="E42" s="1" t="str">
        <f ca="1">IFERROR(__xludf.DUMMYFUNCTION("""COMPUTED_VALUE"""),"+14.65")</f>
        <v>+14.65</v>
      </c>
      <c r="F42" s="1">
        <f ca="1">IFERROR(__xludf.DUMMYFUNCTION("""COMPUTED_VALUE"""),112.9)</f>
        <v>112.9</v>
      </c>
      <c r="G42" s="1">
        <f ca="1">IFERROR(__xludf.DUMMYFUNCTION("""COMPUTED_VALUE"""),40)</f>
        <v>40</v>
      </c>
      <c r="H42" s="1">
        <f ca="1">IFERROR(__xludf.DUMMYFUNCTION("""COMPUTED_VALUE"""),98.2)</f>
        <v>98.2</v>
      </c>
      <c r="I42" s="1">
        <f ca="1">IFERROR(__xludf.DUMMYFUNCTION("""COMPUTED_VALUE"""),66)</f>
        <v>66</v>
      </c>
      <c r="J42" s="1">
        <f ca="1">IFERROR(__xludf.DUMMYFUNCTION("""COMPUTED_VALUE"""),65.8)</f>
        <v>65.8</v>
      </c>
      <c r="K42" s="1">
        <f ca="1">IFERROR(__xludf.DUMMYFUNCTION("""COMPUTED_VALUE"""),101)</f>
        <v>101</v>
      </c>
      <c r="L42" s="1" t="str">
        <f ca="1">IFERROR(__xludf.DUMMYFUNCTION("""COMPUTED_VALUE"""),"+.032")</f>
        <v>+.032</v>
      </c>
      <c r="M42" s="1">
        <f ca="1">IFERROR(__xludf.DUMMYFUNCTION("""COMPUTED_VALUE"""),100)</f>
        <v>100</v>
      </c>
      <c r="N42" s="1" t="str">
        <f ca="1">IFERROR(__xludf.DUMMYFUNCTION("""COMPUTED_VALUE"""),"+8.40")</f>
        <v>+8.40</v>
      </c>
      <c r="O42" s="1">
        <f ca="1">IFERROR(__xludf.DUMMYFUNCTION("""COMPUTED_VALUE"""),27)</f>
        <v>27</v>
      </c>
      <c r="P42" s="1">
        <f ca="1">IFERROR(__xludf.DUMMYFUNCTION("""COMPUTED_VALUE"""),107.9)</f>
        <v>107.9</v>
      </c>
      <c r="Q42" s="1">
        <f ca="1">IFERROR(__xludf.DUMMYFUNCTION("""COMPUTED_VALUE"""),49)</f>
        <v>49</v>
      </c>
      <c r="R42" s="1">
        <f ca="1">IFERROR(__xludf.DUMMYFUNCTION("""COMPUTED_VALUE"""),99.5)</f>
        <v>99.5</v>
      </c>
      <c r="S42" s="1">
        <f ca="1">IFERROR(__xludf.DUMMYFUNCTION("""COMPUTED_VALUE"""),18)</f>
        <v>18</v>
      </c>
      <c r="T42" s="1" t="str">
        <f ca="1">IFERROR(__xludf.DUMMYFUNCTION("""COMPUTED_VALUE"""),"+2.63")</f>
        <v>+2.63</v>
      </c>
      <c r="U42" s="1">
        <f ca="1">IFERROR(__xludf.DUMMYFUNCTION("""COMPUTED_VALUE"""),82)</f>
        <v>82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IFERROR(__xludf.DUMMYFUNCTION("""COMPUTED_VALUE"""),"Miami FL2")</f>
        <v>Miami FL2</v>
      </c>
      <c r="C45" s="1" t="str">
        <f ca="1">IFERROR(__xludf.DUMMYFUNCTION("""COMPUTED_VALUE"""),"ACC")</f>
        <v>ACC</v>
      </c>
      <c r="D45" s="1" t="str">
        <f ca="1">IFERROR(__xludf.DUMMYFUNCTION("""COMPUTED_VALUE"""),"25-13")</f>
        <v>25-13</v>
      </c>
      <c r="E45" s="1" t="str">
        <f ca="1">IFERROR(__xludf.DUMMYFUNCTION("""COMPUTED_VALUE"""),"+14.49")</f>
        <v>+14.49</v>
      </c>
      <c r="F45" s="1">
        <f ca="1">IFERROR(__xludf.DUMMYFUNCTION("""COMPUTED_VALUE"""),112.5)</f>
        <v>112.5</v>
      </c>
      <c r="G45" s="1">
        <f ca="1">IFERROR(__xludf.DUMMYFUNCTION("""COMPUTED_VALUE"""),44)</f>
        <v>44</v>
      </c>
      <c r="H45" s="1">
        <f ca="1">IFERROR(__xludf.DUMMYFUNCTION("""COMPUTED_VALUE"""),98.1)</f>
        <v>98.1</v>
      </c>
      <c r="I45" s="1">
        <f ca="1">IFERROR(__xludf.DUMMYFUNCTION("""COMPUTED_VALUE"""),64)</f>
        <v>64</v>
      </c>
      <c r="J45" s="1">
        <f ca="1">IFERROR(__xludf.DUMMYFUNCTION("""COMPUTED_VALUE"""),62.5)</f>
        <v>62.5</v>
      </c>
      <c r="K45" s="1">
        <f ca="1">IFERROR(__xludf.DUMMYFUNCTION("""COMPUTED_VALUE"""),272)</f>
        <v>272</v>
      </c>
      <c r="L45" s="1" t="str">
        <f ca="1">IFERROR(__xludf.DUMMYFUNCTION("""COMPUTED_VALUE"""),"+.022")</f>
        <v>+.022</v>
      </c>
      <c r="M45" s="1">
        <f ca="1">IFERROR(__xludf.DUMMYFUNCTION("""COMPUTED_VALUE"""),129)</f>
        <v>129</v>
      </c>
      <c r="N45" s="1" t="str">
        <f ca="1">IFERROR(__xludf.DUMMYFUNCTION("""COMPUTED_VALUE"""),"+7.00")</f>
        <v>+7.00</v>
      </c>
      <c r="O45" s="1">
        <f ca="1">IFERROR(__xludf.DUMMYFUNCTION("""COMPUTED_VALUE"""),50)</f>
        <v>50</v>
      </c>
      <c r="P45" s="1">
        <f ca="1">IFERROR(__xludf.DUMMYFUNCTION("""COMPUTED_VALUE"""),107.5)</f>
        <v>107.5</v>
      </c>
      <c r="Q45" s="1">
        <f ca="1">IFERROR(__xludf.DUMMYFUNCTION("""COMPUTED_VALUE"""),61)</f>
        <v>61</v>
      </c>
      <c r="R45" s="1">
        <f ca="1">IFERROR(__xludf.DUMMYFUNCTION("""COMPUTED_VALUE"""),100.5)</f>
        <v>100.5</v>
      </c>
      <c r="S45" s="1">
        <f ca="1">IFERROR(__xludf.DUMMYFUNCTION("""COMPUTED_VALUE"""),41)</f>
        <v>41</v>
      </c>
      <c r="T45" s="1">
        <f ca="1">IFERROR(__xludf.DUMMYFUNCTION("""COMPUTED_VALUE"""),-1.99)</f>
        <v>-1.99</v>
      </c>
      <c r="U45" s="1">
        <f ca="1">IFERROR(__xludf.DUMMYFUNCTION("""COMPUTED_VALUE"""),221)</f>
        <v>221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IFERROR(__xludf.DUMMYFUNCTION("""COMPUTED_VALUE"""),"Dayton11")</f>
        <v>Dayton11</v>
      </c>
      <c r="C46" s="1" t="str">
        <f ca="1">IFERROR(__xludf.DUMMYFUNCTION("""COMPUTED_VALUE"""),"A10")</f>
        <v>A10</v>
      </c>
      <c r="D46" s="1" t="str">
        <f ca="1">IFERROR(__xludf.DUMMYFUNCTION("""COMPUTED_VALUE"""),"27-9")</f>
        <v>27-9</v>
      </c>
      <c r="E46" s="1" t="str">
        <f ca="1">IFERROR(__xludf.DUMMYFUNCTION("""COMPUTED_VALUE"""),"+14.24")</f>
        <v>+14.24</v>
      </c>
      <c r="F46" s="1">
        <f ca="1">IFERROR(__xludf.DUMMYFUNCTION("""COMPUTED_VALUE"""),109.2)</f>
        <v>109.2</v>
      </c>
      <c r="G46" s="1">
        <f ca="1">IFERROR(__xludf.DUMMYFUNCTION("""COMPUTED_VALUE"""),75)</f>
        <v>75</v>
      </c>
      <c r="H46" s="1">
        <f ca="1">IFERROR(__xludf.DUMMYFUNCTION("""COMPUTED_VALUE"""),95)</f>
        <v>95</v>
      </c>
      <c r="I46" s="1">
        <f ca="1">IFERROR(__xludf.DUMMYFUNCTION("""COMPUTED_VALUE"""),30)</f>
        <v>30</v>
      </c>
      <c r="J46" s="1">
        <f ca="1">IFERROR(__xludf.DUMMYFUNCTION("""COMPUTED_VALUE"""),63.4)</f>
        <v>63.4</v>
      </c>
      <c r="K46" s="1">
        <f ca="1">IFERROR(__xludf.DUMMYFUNCTION("""COMPUTED_VALUE"""),229)</f>
        <v>229</v>
      </c>
      <c r="L46" s="1" t="str">
        <f ca="1">IFERROR(__xludf.DUMMYFUNCTION("""COMPUTED_VALUE"""),"+.022")</f>
        <v>+.022</v>
      </c>
      <c r="M46" s="1">
        <f ca="1">IFERROR(__xludf.DUMMYFUNCTION("""COMPUTED_VALUE"""),132)</f>
        <v>132</v>
      </c>
      <c r="N46" s="1" t="str">
        <f ca="1">IFERROR(__xludf.DUMMYFUNCTION("""COMPUTED_VALUE"""),"+3.39")</f>
        <v>+3.39</v>
      </c>
      <c r="O46" s="1">
        <f ca="1">IFERROR(__xludf.DUMMYFUNCTION("""COMPUTED_VALUE"""),88)</f>
        <v>88</v>
      </c>
      <c r="P46" s="1">
        <f ca="1">IFERROR(__xludf.DUMMYFUNCTION("""COMPUTED_VALUE"""),105.4)</f>
        <v>105.4</v>
      </c>
      <c r="Q46" s="1">
        <f ca="1">IFERROR(__xludf.DUMMYFUNCTION("""COMPUTED_VALUE"""),107)</f>
        <v>107</v>
      </c>
      <c r="R46" s="1">
        <f ca="1">IFERROR(__xludf.DUMMYFUNCTION("""COMPUTED_VALUE"""),102)</f>
        <v>102</v>
      </c>
      <c r="S46" s="1">
        <f ca="1">IFERROR(__xludf.DUMMYFUNCTION("""COMPUTED_VALUE"""),81)</f>
        <v>81</v>
      </c>
      <c r="T46" s="1" t="str">
        <f ca="1">IFERROR(__xludf.DUMMYFUNCTION("""COMPUTED_VALUE"""),"+0.07")</f>
        <v>+0.07</v>
      </c>
      <c r="U46" s="1">
        <f ca="1">IFERROR(__xludf.DUMMYFUNCTION("""COMPUTED_VALUE"""),158)</f>
        <v>158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IFERROR(__xludf.DUMMYFUNCTION("""COMPUTED_VALUE"""),"Cincinnati8")</f>
        <v>Cincinnati8</v>
      </c>
      <c r="C47" s="1" t="str">
        <f ca="1">IFERROR(__xludf.DUMMYFUNCTION("""COMPUTED_VALUE"""),"Amer")</f>
        <v>Amer</v>
      </c>
      <c r="D47" s="1" t="str">
        <f ca="1">IFERROR(__xludf.DUMMYFUNCTION("""COMPUTED_VALUE"""),"23-11")</f>
        <v>23-11</v>
      </c>
      <c r="E47" s="1" t="str">
        <f ca="1">IFERROR(__xludf.DUMMYFUNCTION("""COMPUTED_VALUE"""),"+14.15")</f>
        <v>+14.15</v>
      </c>
      <c r="F47" s="1">
        <f ca="1">IFERROR(__xludf.DUMMYFUNCTION("""COMPUTED_VALUE"""),108.2)</f>
        <v>108.2</v>
      </c>
      <c r="G47" s="1">
        <f ca="1">IFERROR(__xludf.DUMMYFUNCTION("""COMPUTED_VALUE"""),94)</f>
        <v>94</v>
      </c>
      <c r="H47" s="1">
        <f ca="1">IFERROR(__xludf.DUMMYFUNCTION("""COMPUTED_VALUE"""),94)</f>
        <v>94</v>
      </c>
      <c r="I47" s="1">
        <f ca="1">IFERROR(__xludf.DUMMYFUNCTION("""COMPUTED_VALUE"""),17)</f>
        <v>17</v>
      </c>
      <c r="J47" s="1">
        <f ca="1">IFERROR(__xludf.DUMMYFUNCTION("""COMPUTED_VALUE"""),59.8)</f>
        <v>59.8</v>
      </c>
      <c r="K47" s="1">
        <f ca="1">IFERROR(__xludf.DUMMYFUNCTION("""COMPUTED_VALUE"""),339)</f>
        <v>339</v>
      </c>
      <c r="L47" s="1">
        <f ca="1">IFERROR(__xludf.DUMMYFUNCTION("""COMPUTED_VALUE"""),-0.016)</f>
        <v>-1.6E-2</v>
      </c>
      <c r="M47" s="1">
        <f ca="1">IFERROR(__xludf.DUMMYFUNCTION("""COMPUTED_VALUE"""),220)</f>
        <v>220</v>
      </c>
      <c r="N47" s="1" t="str">
        <f ca="1">IFERROR(__xludf.DUMMYFUNCTION("""COMPUTED_VALUE"""),"+3.39")</f>
        <v>+3.39</v>
      </c>
      <c r="O47" s="1">
        <f ca="1">IFERROR(__xludf.DUMMYFUNCTION("""COMPUTED_VALUE"""),87)</f>
        <v>87</v>
      </c>
      <c r="P47" s="1">
        <f ca="1">IFERROR(__xludf.DUMMYFUNCTION("""COMPUTED_VALUE"""),104.9)</f>
        <v>104.9</v>
      </c>
      <c r="Q47" s="1">
        <f ca="1">IFERROR(__xludf.DUMMYFUNCTION("""COMPUTED_VALUE"""),114)</f>
        <v>114</v>
      </c>
      <c r="R47" s="1">
        <f ca="1">IFERROR(__xludf.DUMMYFUNCTION("""COMPUTED_VALUE"""),101.5)</f>
        <v>101.5</v>
      </c>
      <c r="S47" s="1">
        <f ca="1">IFERROR(__xludf.DUMMYFUNCTION("""COMPUTED_VALUE"""),68)</f>
        <v>68</v>
      </c>
      <c r="T47" s="1" t="str">
        <f ca="1">IFERROR(__xludf.DUMMYFUNCTION("""COMPUTED_VALUE"""),"+1.69")</f>
        <v>+1.69</v>
      </c>
      <c r="U47" s="1">
        <f ca="1">IFERROR(__xludf.DUMMYFUNCTION("""COMPUTED_VALUE"""),108)</f>
        <v>108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IFERROR(__xludf.DUMMYFUNCTION("""COMPUTED_VALUE"""),"Purdue9")</f>
        <v>Purdue9</v>
      </c>
      <c r="C48" s="1" t="str">
        <f ca="1">IFERROR(__xludf.DUMMYFUNCTION("""COMPUTED_VALUE"""),"B10")</f>
        <v>B10</v>
      </c>
      <c r="D48" s="1" t="str">
        <f ca="1">IFERROR(__xludf.DUMMYFUNCTION("""COMPUTED_VALUE"""),"21-13")</f>
        <v>21-13</v>
      </c>
      <c r="E48" s="1" t="str">
        <f ca="1">IFERROR(__xludf.DUMMYFUNCTION("""COMPUTED_VALUE"""),"+13.96")</f>
        <v>+13.96</v>
      </c>
      <c r="F48" s="1">
        <f ca="1">IFERROR(__xludf.DUMMYFUNCTION("""COMPUTED_VALUE"""),110.9)</f>
        <v>110.9</v>
      </c>
      <c r="G48" s="1">
        <f ca="1">IFERROR(__xludf.DUMMYFUNCTION("""COMPUTED_VALUE"""),61)</f>
        <v>61</v>
      </c>
      <c r="H48" s="1">
        <f ca="1">IFERROR(__xludf.DUMMYFUNCTION("""COMPUTED_VALUE"""),97)</f>
        <v>97</v>
      </c>
      <c r="I48" s="1">
        <f ca="1">IFERROR(__xludf.DUMMYFUNCTION("""COMPUTED_VALUE"""),54)</f>
        <v>54</v>
      </c>
      <c r="J48" s="1">
        <f ca="1">IFERROR(__xludf.DUMMYFUNCTION("""COMPUTED_VALUE"""),64.3)</f>
        <v>64.3</v>
      </c>
      <c r="K48" s="1">
        <f ca="1">IFERROR(__xludf.DUMMYFUNCTION("""COMPUTED_VALUE"""),173)</f>
        <v>173</v>
      </c>
      <c r="L48" s="1">
        <f ca="1">IFERROR(__xludf.DUMMYFUNCTION("""COMPUTED_VALUE"""),-0.006)</f>
        <v>-6.0000000000000001E-3</v>
      </c>
      <c r="M48" s="1">
        <f ca="1">IFERROR(__xludf.DUMMYFUNCTION("""COMPUTED_VALUE"""),201)</f>
        <v>201</v>
      </c>
      <c r="N48" s="1" t="str">
        <f ca="1">IFERROR(__xludf.DUMMYFUNCTION("""COMPUTED_VALUE"""),"+7.45")</f>
        <v>+7.45</v>
      </c>
      <c r="O48" s="1">
        <f ca="1">IFERROR(__xludf.DUMMYFUNCTION("""COMPUTED_VALUE"""),44)</f>
        <v>44</v>
      </c>
      <c r="P48" s="1">
        <f ca="1">IFERROR(__xludf.DUMMYFUNCTION("""COMPUTED_VALUE"""),109)</f>
        <v>109</v>
      </c>
      <c r="Q48" s="1">
        <f ca="1">IFERROR(__xludf.DUMMYFUNCTION("""COMPUTED_VALUE"""),17)</f>
        <v>17</v>
      </c>
      <c r="R48" s="1">
        <f ca="1">IFERROR(__xludf.DUMMYFUNCTION("""COMPUTED_VALUE"""),101.6)</f>
        <v>101.6</v>
      </c>
      <c r="S48" s="1">
        <f ca="1">IFERROR(__xludf.DUMMYFUNCTION("""COMPUTED_VALUE"""),75)</f>
        <v>75</v>
      </c>
      <c r="T48" s="1">
        <f ca="1">IFERROR(__xludf.DUMMYFUNCTION("""COMPUTED_VALUE"""),-2.75)</f>
        <v>-2.75</v>
      </c>
      <c r="U48" s="1">
        <f ca="1">IFERROR(__xludf.DUMMYFUNCTION("""COMPUTED_VALUE"""),245)</f>
        <v>245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IFERROR(__xludf.DUMMYFUNCTION("""COMPUTED_VALUE"""),"Oregon8")</f>
        <v>Oregon8</v>
      </c>
      <c r="C49" s="1" t="str">
        <f ca="1">IFERROR(__xludf.DUMMYFUNCTION("""COMPUTED_VALUE"""),"P12")</f>
        <v>P12</v>
      </c>
      <c r="D49" s="1" t="str">
        <f ca="1">IFERROR(__xludf.DUMMYFUNCTION("""COMPUTED_VALUE"""),"26-10")</f>
        <v>26-10</v>
      </c>
      <c r="E49" s="1" t="str">
        <f ca="1">IFERROR(__xludf.DUMMYFUNCTION("""COMPUTED_VALUE"""),"+13.88")</f>
        <v>+13.88</v>
      </c>
      <c r="F49" s="1">
        <f ca="1">IFERROR(__xludf.DUMMYFUNCTION("""COMPUTED_VALUE"""),115.2)</f>
        <v>115.2</v>
      </c>
      <c r="G49" s="1">
        <f ca="1">IFERROR(__xludf.DUMMYFUNCTION("""COMPUTED_VALUE"""),23)</f>
        <v>23</v>
      </c>
      <c r="H49" s="1">
        <f ca="1">IFERROR(__xludf.DUMMYFUNCTION("""COMPUTED_VALUE"""),101.3)</f>
        <v>101.3</v>
      </c>
      <c r="I49" s="1">
        <f ca="1">IFERROR(__xludf.DUMMYFUNCTION("""COMPUTED_VALUE"""),114)</f>
        <v>114</v>
      </c>
      <c r="J49" s="1">
        <f ca="1">IFERROR(__xludf.DUMMYFUNCTION("""COMPUTED_VALUE"""),66.6)</f>
        <v>66.599999999999994</v>
      </c>
      <c r="K49" s="1">
        <f ca="1">IFERROR(__xludf.DUMMYFUNCTION("""COMPUTED_VALUE"""),68)</f>
        <v>68</v>
      </c>
      <c r="L49" s="1" t="str">
        <f ca="1">IFERROR(__xludf.DUMMYFUNCTION("""COMPUTED_VALUE"""),"+.119")</f>
        <v>+.119</v>
      </c>
      <c r="M49" s="1">
        <f ca="1">IFERROR(__xludf.DUMMYFUNCTION("""COMPUTED_VALUE"""),5)</f>
        <v>5</v>
      </c>
      <c r="N49" s="1" t="str">
        <f ca="1">IFERROR(__xludf.DUMMYFUNCTION("""COMPUTED_VALUE"""),"+7.28")</f>
        <v>+7.28</v>
      </c>
      <c r="O49" s="1">
        <f ca="1">IFERROR(__xludf.DUMMYFUNCTION("""COMPUTED_VALUE"""),46)</f>
        <v>46</v>
      </c>
      <c r="P49" s="1">
        <f ca="1">IFERROR(__xludf.DUMMYFUNCTION("""COMPUTED_VALUE"""),108.4)</f>
        <v>108.4</v>
      </c>
      <c r="Q49" s="1">
        <f ca="1">IFERROR(__xludf.DUMMYFUNCTION("""COMPUTED_VALUE"""),32)</f>
        <v>32</v>
      </c>
      <c r="R49" s="1">
        <f ca="1">IFERROR(__xludf.DUMMYFUNCTION("""COMPUTED_VALUE"""),101.1)</f>
        <v>101.1</v>
      </c>
      <c r="S49" s="1">
        <f ca="1">IFERROR(__xludf.DUMMYFUNCTION("""COMPUTED_VALUE"""),53)</f>
        <v>53</v>
      </c>
      <c r="T49" s="1">
        <f ca="1">IFERROR(__xludf.DUMMYFUNCTION("""COMPUTED_VALUE"""),-2.34)</f>
        <v>-2.34</v>
      </c>
      <c r="U49" s="1">
        <f ca="1">IFERROR(__xludf.DUMMYFUNCTION("""COMPUTED_VALUE"""),227)</f>
        <v>227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IFERROR(__xludf.DUMMYFUNCTION("""COMPUTED_VALUE"""),"Mississippi11")</f>
        <v>Mississippi11</v>
      </c>
      <c r="C50" s="1" t="str">
        <f ca="1">IFERROR(__xludf.DUMMYFUNCTION("""COMPUTED_VALUE"""),"SEC")</f>
        <v>SEC</v>
      </c>
      <c r="D50" s="1" t="str">
        <f ca="1">IFERROR(__xludf.DUMMYFUNCTION("""COMPUTED_VALUE"""),"21-13")</f>
        <v>21-13</v>
      </c>
      <c r="E50" s="1" t="str">
        <f ca="1">IFERROR(__xludf.DUMMYFUNCTION("""COMPUTED_VALUE"""),"+13.88")</f>
        <v>+13.88</v>
      </c>
      <c r="F50" s="1">
        <f ca="1">IFERROR(__xludf.DUMMYFUNCTION("""COMPUTED_VALUE"""),114.5)</f>
        <v>114.5</v>
      </c>
      <c r="G50" s="1">
        <f ca="1">IFERROR(__xludf.DUMMYFUNCTION("""COMPUTED_VALUE"""),28)</f>
        <v>28</v>
      </c>
      <c r="H50" s="1">
        <f ca="1">IFERROR(__xludf.DUMMYFUNCTION("""COMPUTED_VALUE"""),100.6)</f>
        <v>100.6</v>
      </c>
      <c r="I50" s="1">
        <f ca="1">IFERROR(__xludf.DUMMYFUNCTION("""COMPUTED_VALUE"""),104)</f>
        <v>104</v>
      </c>
      <c r="J50" s="1">
        <f ca="1">IFERROR(__xludf.DUMMYFUNCTION("""COMPUTED_VALUE"""),66.2)</f>
        <v>66.2</v>
      </c>
      <c r="K50" s="1">
        <f ca="1">IFERROR(__xludf.DUMMYFUNCTION("""COMPUTED_VALUE"""),78)</f>
        <v>78</v>
      </c>
      <c r="L50" s="1">
        <f ca="1">IFERROR(__xludf.DUMMYFUNCTION("""COMPUTED_VALUE"""),-0.033)</f>
        <v>-3.3000000000000002E-2</v>
      </c>
      <c r="M50" s="1">
        <f ca="1">IFERROR(__xludf.DUMMYFUNCTION("""COMPUTED_VALUE"""),259)</f>
        <v>259</v>
      </c>
      <c r="N50" s="1" t="str">
        <f ca="1">IFERROR(__xludf.DUMMYFUNCTION("""COMPUTED_VALUE"""),"+7.10")</f>
        <v>+7.10</v>
      </c>
      <c r="O50" s="1">
        <f ca="1">IFERROR(__xludf.DUMMYFUNCTION("""COMPUTED_VALUE"""),49)</f>
        <v>49</v>
      </c>
      <c r="P50" s="1">
        <f ca="1">IFERROR(__xludf.DUMMYFUNCTION("""COMPUTED_VALUE"""),107.3)</f>
        <v>107.3</v>
      </c>
      <c r="Q50" s="1">
        <f ca="1">IFERROR(__xludf.DUMMYFUNCTION("""COMPUTED_VALUE"""),68)</f>
        <v>68</v>
      </c>
      <c r="R50" s="1">
        <f ca="1">IFERROR(__xludf.DUMMYFUNCTION("""COMPUTED_VALUE"""),100.2)</f>
        <v>100.2</v>
      </c>
      <c r="S50" s="1">
        <f ca="1">IFERROR(__xludf.DUMMYFUNCTION("""COMPUTED_VALUE"""),31)</f>
        <v>31</v>
      </c>
      <c r="T50" s="1">
        <f ca="1">IFERROR(__xludf.DUMMYFUNCTION("""COMPUTED_VALUE"""),-1.19)</f>
        <v>-1.19</v>
      </c>
      <c r="U50" s="1">
        <f ca="1">IFERROR(__xludf.DUMMYFUNCTION("""COMPUTED_VALUE"""),193)</f>
        <v>193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IFERROR(__xludf.DUMMYFUNCTION("""COMPUTED_VALUE"""),"Boise St.11")</f>
        <v>Boise St.11</v>
      </c>
      <c r="C51" s="1" t="str">
        <f ca="1">IFERROR(__xludf.DUMMYFUNCTION("""COMPUTED_VALUE"""),"MWC")</f>
        <v>MWC</v>
      </c>
      <c r="D51" s="1" t="str">
        <f ca="1">IFERROR(__xludf.DUMMYFUNCTION("""COMPUTED_VALUE"""),"25-9")</f>
        <v>25-9</v>
      </c>
      <c r="E51" s="1" t="str">
        <f ca="1">IFERROR(__xludf.DUMMYFUNCTION("""COMPUTED_VALUE"""),"+13.85")</f>
        <v>+13.85</v>
      </c>
      <c r="F51" s="1">
        <f ca="1">IFERROR(__xludf.DUMMYFUNCTION("""COMPUTED_VALUE"""),111.9)</f>
        <v>111.9</v>
      </c>
      <c r="G51" s="1">
        <f ca="1">IFERROR(__xludf.DUMMYFUNCTION("""COMPUTED_VALUE"""),50)</f>
        <v>50</v>
      </c>
      <c r="H51" s="1">
        <f ca="1">IFERROR(__xludf.DUMMYFUNCTION("""COMPUTED_VALUE"""),98.1)</f>
        <v>98.1</v>
      </c>
      <c r="I51" s="1">
        <f ca="1">IFERROR(__xludf.DUMMYFUNCTION("""COMPUTED_VALUE"""),63)</f>
        <v>63</v>
      </c>
      <c r="J51" s="1">
        <f ca="1">IFERROR(__xludf.DUMMYFUNCTION("""COMPUTED_VALUE"""),62.8)</f>
        <v>62.8</v>
      </c>
      <c r="K51" s="1">
        <f ca="1">IFERROR(__xludf.DUMMYFUNCTION("""COMPUTED_VALUE"""),259)</f>
        <v>259</v>
      </c>
      <c r="L51" s="1" t="str">
        <f ca="1">IFERROR(__xludf.DUMMYFUNCTION("""COMPUTED_VALUE"""),"+.009")</f>
        <v>+.009</v>
      </c>
      <c r="M51" s="1">
        <f ca="1">IFERROR(__xludf.DUMMYFUNCTION("""COMPUTED_VALUE"""),165)</f>
        <v>165</v>
      </c>
      <c r="N51" s="1" t="str">
        <f ca="1">IFERROR(__xludf.DUMMYFUNCTION("""COMPUTED_VALUE"""),"+0.94")</f>
        <v>+0.94</v>
      </c>
      <c r="O51" s="1">
        <f ca="1">IFERROR(__xludf.DUMMYFUNCTION("""COMPUTED_VALUE"""),121)</f>
        <v>121</v>
      </c>
      <c r="P51" s="1">
        <f ca="1">IFERROR(__xludf.DUMMYFUNCTION("""COMPUTED_VALUE"""),104.8)</f>
        <v>104.8</v>
      </c>
      <c r="Q51" s="1">
        <f ca="1">IFERROR(__xludf.DUMMYFUNCTION("""COMPUTED_VALUE"""),116)</f>
        <v>116</v>
      </c>
      <c r="R51" s="1">
        <f ca="1">IFERROR(__xludf.DUMMYFUNCTION("""COMPUTED_VALUE"""),103.9)</f>
        <v>103.9</v>
      </c>
      <c r="S51" s="1">
        <f ca="1">IFERROR(__xludf.DUMMYFUNCTION("""COMPUTED_VALUE"""),133)</f>
        <v>133</v>
      </c>
      <c r="T51" s="1">
        <f ca="1">IFERROR(__xludf.DUMMYFUNCTION("""COMPUTED_VALUE"""),-0.31)</f>
        <v>-0.31</v>
      </c>
      <c r="U51" s="1">
        <f ca="1">IFERROR(__xludf.DUMMYFUNCTION("""COMPUTED_VALUE"""),166)</f>
        <v>166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IFERROR(__xludf.DUMMYFUNCTION("""COMPUTED_VALUE"""),"Indiana10")</f>
        <v>Indiana10</v>
      </c>
      <c r="C52" s="1" t="str">
        <f ca="1">IFERROR(__xludf.DUMMYFUNCTION("""COMPUTED_VALUE"""),"B10")</f>
        <v>B10</v>
      </c>
      <c r="D52" s="1" t="str">
        <f ca="1">IFERROR(__xludf.DUMMYFUNCTION("""COMPUTED_VALUE"""),"20-14")</f>
        <v>20-14</v>
      </c>
      <c r="E52" s="1" t="str">
        <f ca="1">IFERROR(__xludf.DUMMYFUNCTION("""COMPUTED_VALUE"""),"+13.83")</f>
        <v>+13.83</v>
      </c>
      <c r="F52" s="1">
        <f ca="1">IFERROR(__xludf.DUMMYFUNCTION("""COMPUTED_VALUE"""),119.8)</f>
        <v>119.8</v>
      </c>
      <c r="G52" s="1">
        <f ca="1">IFERROR(__xludf.DUMMYFUNCTION("""COMPUTED_VALUE"""),8)</f>
        <v>8</v>
      </c>
      <c r="H52" s="1">
        <f ca="1">IFERROR(__xludf.DUMMYFUNCTION("""COMPUTED_VALUE"""),106)</f>
        <v>106</v>
      </c>
      <c r="I52" s="1">
        <f ca="1">IFERROR(__xludf.DUMMYFUNCTION("""COMPUTED_VALUE"""),200)</f>
        <v>200</v>
      </c>
      <c r="J52" s="1">
        <f ca="1">IFERROR(__xludf.DUMMYFUNCTION("""COMPUTED_VALUE"""),66.6)</f>
        <v>66.599999999999994</v>
      </c>
      <c r="K52" s="1">
        <f ca="1">IFERROR(__xludf.DUMMYFUNCTION("""COMPUTED_VALUE"""),69)</f>
        <v>69</v>
      </c>
      <c r="L52" s="1">
        <f ca="1">IFERROR(__xludf.DUMMYFUNCTION("""COMPUTED_VALUE"""),-0.044)</f>
        <v>-4.3999999999999997E-2</v>
      </c>
      <c r="M52" s="1">
        <f ca="1">IFERROR(__xludf.DUMMYFUNCTION("""COMPUTED_VALUE"""),284)</f>
        <v>284</v>
      </c>
      <c r="N52" s="1" t="str">
        <f ca="1">IFERROR(__xludf.DUMMYFUNCTION("""COMPUTED_VALUE"""),"+6.92")</f>
        <v>+6.92</v>
      </c>
      <c r="O52" s="1">
        <f ca="1">IFERROR(__xludf.DUMMYFUNCTION("""COMPUTED_VALUE"""),51)</f>
        <v>51</v>
      </c>
      <c r="P52" s="1">
        <f ca="1">IFERROR(__xludf.DUMMYFUNCTION("""COMPUTED_VALUE"""),107.8)</f>
        <v>107.8</v>
      </c>
      <c r="Q52" s="1">
        <f ca="1">IFERROR(__xludf.DUMMYFUNCTION("""COMPUTED_VALUE"""),52)</f>
        <v>52</v>
      </c>
      <c r="R52" s="1">
        <f ca="1">IFERROR(__xludf.DUMMYFUNCTION("""COMPUTED_VALUE"""),100.9)</f>
        <v>100.9</v>
      </c>
      <c r="S52" s="1">
        <f ca="1">IFERROR(__xludf.DUMMYFUNCTION("""COMPUTED_VALUE"""),50)</f>
        <v>50</v>
      </c>
      <c r="T52" s="1">
        <f ca="1">IFERROR(__xludf.DUMMYFUNCTION("""COMPUTED_VALUE"""),-5.96)</f>
        <v>-5.96</v>
      </c>
      <c r="U52" s="1">
        <f ca="1">IFERROR(__xludf.DUMMYFUNCTION("""COMPUTED_VALUE"""),322)</f>
        <v>322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IFERROR(__xludf.DUMMYFUNCTION("""COMPUTED_VALUE"""),"LSU9")</f>
        <v>LSU9</v>
      </c>
      <c r="C53" s="1" t="str">
        <f ca="1">IFERROR(__xludf.DUMMYFUNCTION("""COMPUTED_VALUE"""),"SEC")</f>
        <v>SEC</v>
      </c>
      <c r="D53" s="1" t="str">
        <f ca="1">IFERROR(__xludf.DUMMYFUNCTION("""COMPUTED_VALUE"""),"22-11")</f>
        <v>22-11</v>
      </c>
      <c r="E53" s="1" t="str">
        <f ca="1">IFERROR(__xludf.DUMMYFUNCTION("""COMPUTED_VALUE"""),"+13.76")</f>
        <v>+13.76</v>
      </c>
      <c r="F53" s="1">
        <f ca="1">IFERROR(__xludf.DUMMYFUNCTION("""COMPUTED_VALUE"""),108.9)</f>
        <v>108.9</v>
      </c>
      <c r="G53" s="1">
        <f ca="1">IFERROR(__xludf.DUMMYFUNCTION("""COMPUTED_VALUE"""),81)</f>
        <v>81</v>
      </c>
      <c r="H53" s="1">
        <f ca="1">IFERROR(__xludf.DUMMYFUNCTION("""COMPUTED_VALUE"""),95.1)</f>
        <v>95.1</v>
      </c>
      <c r="I53" s="1">
        <f ca="1">IFERROR(__xludf.DUMMYFUNCTION("""COMPUTED_VALUE"""),32)</f>
        <v>32</v>
      </c>
      <c r="J53" s="1">
        <f ca="1">IFERROR(__xludf.DUMMYFUNCTION("""COMPUTED_VALUE"""),69.3)</f>
        <v>69.3</v>
      </c>
      <c r="K53" s="1">
        <f ca="1">IFERROR(__xludf.DUMMYFUNCTION("""COMPUTED_VALUE"""),12)</f>
        <v>12</v>
      </c>
      <c r="L53" s="1">
        <f ca="1">IFERROR(__xludf.DUMMYFUNCTION("""COMPUTED_VALUE"""),-0.043)</f>
        <v>-4.2999999999999997E-2</v>
      </c>
      <c r="M53" s="1">
        <f ca="1">IFERROR(__xludf.DUMMYFUNCTION("""COMPUTED_VALUE"""),283)</f>
        <v>283</v>
      </c>
      <c r="N53" s="1" t="str">
        <f ca="1">IFERROR(__xludf.DUMMYFUNCTION("""COMPUTED_VALUE"""),"+5.09")</f>
        <v>+5.09</v>
      </c>
      <c r="O53" s="1">
        <f ca="1">IFERROR(__xludf.DUMMYFUNCTION("""COMPUTED_VALUE"""),74)</f>
        <v>74</v>
      </c>
      <c r="P53" s="1">
        <f ca="1">IFERROR(__xludf.DUMMYFUNCTION("""COMPUTED_VALUE"""),106.2)</f>
        <v>106.2</v>
      </c>
      <c r="Q53" s="1">
        <f ca="1">IFERROR(__xludf.DUMMYFUNCTION("""COMPUTED_VALUE"""),83)</f>
        <v>83</v>
      </c>
      <c r="R53" s="1">
        <f ca="1">IFERROR(__xludf.DUMMYFUNCTION("""COMPUTED_VALUE"""),101.2)</f>
        <v>101.2</v>
      </c>
      <c r="S53" s="1">
        <f ca="1">IFERROR(__xludf.DUMMYFUNCTION("""COMPUTED_VALUE"""),60)</f>
        <v>60</v>
      </c>
      <c r="T53" s="1">
        <f ca="1">IFERROR(__xludf.DUMMYFUNCTION("""COMPUTED_VALUE"""),-4.77)</f>
        <v>-4.7699999999999996</v>
      </c>
      <c r="U53" s="1">
        <f ca="1">IFERROR(__xludf.DUMMYFUNCTION("""COMPUTED_VALUE"""),301)</f>
        <v>301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IFERROR(__xludf.DUMMYFUNCTION("""COMPUTED_VALUE"""),"St. John's9")</f>
        <v>St. John's9</v>
      </c>
      <c r="C54" s="1" t="str">
        <f ca="1">IFERROR(__xludf.DUMMYFUNCTION("""COMPUTED_VALUE"""),"BE")</f>
        <v>BE</v>
      </c>
      <c r="D54" s="1" t="str">
        <f ca="1">IFERROR(__xludf.DUMMYFUNCTION("""COMPUTED_VALUE"""),"21-12")</f>
        <v>21-12</v>
      </c>
      <c r="E54" s="1" t="str">
        <f ca="1">IFERROR(__xludf.DUMMYFUNCTION("""COMPUTED_VALUE"""),"+13.70")</f>
        <v>+13.70</v>
      </c>
      <c r="F54" s="1">
        <f ca="1">IFERROR(__xludf.DUMMYFUNCTION("""COMPUTED_VALUE"""),110.7)</f>
        <v>110.7</v>
      </c>
      <c r="G54" s="1">
        <f ca="1">IFERROR(__xludf.DUMMYFUNCTION("""COMPUTED_VALUE"""),62)</f>
        <v>62</v>
      </c>
      <c r="H54" s="1">
        <f ca="1">IFERROR(__xludf.DUMMYFUNCTION("""COMPUTED_VALUE"""),97)</f>
        <v>97</v>
      </c>
      <c r="I54" s="1">
        <f ca="1">IFERROR(__xludf.DUMMYFUNCTION("""COMPUTED_VALUE"""),55)</f>
        <v>55</v>
      </c>
      <c r="J54" s="1">
        <f ca="1">IFERROR(__xludf.DUMMYFUNCTION("""COMPUTED_VALUE"""),66.7)</f>
        <v>66.7</v>
      </c>
      <c r="K54" s="1">
        <f ca="1">IFERROR(__xludf.DUMMYFUNCTION("""COMPUTED_VALUE"""),61)</f>
        <v>61</v>
      </c>
      <c r="L54" s="1" t="str">
        <f ca="1">IFERROR(__xludf.DUMMYFUNCTION("""COMPUTED_VALUE"""),"+.050")</f>
        <v>+.050</v>
      </c>
      <c r="M54" s="1">
        <f ca="1">IFERROR(__xludf.DUMMYFUNCTION("""COMPUTED_VALUE"""),65)</f>
        <v>65</v>
      </c>
      <c r="N54" s="1" t="str">
        <f ca="1">IFERROR(__xludf.DUMMYFUNCTION("""COMPUTED_VALUE"""),"+8.72")</f>
        <v>+8.72</v>
      </c>
      <c r="O54" s="1">
        <f ca="1">IFERROR(__xludf.DUMMYFUNCTION("""COMPUTED_VALUE"""),24)</f>
        <v>24</v>
      </c>
      <c r="P54" s="1">
        <f ca="1">IFERROR(__xludf.DUMMYFUNCTION("""COMPUTED_VALUE"""),109)</f>
        <v>109</v>
      </c>
      <c r="Q54" s="1">
        <f ca="1">IFERROR(__xludf.DUMMYFUNCTION("""COMPUTED_VALUE"""),20)</f>
        <v>20</v>
      </c>
      <c r="R54" s="1">
        <f ca="1">IFERROR(__xludf.DUMMYFUNCTION("""COMPUTED_VALUE"""),100.3)</f>
        <v>100.3</v>
      </c>
      <c r="S54" s="1">
        <f ca="1">IFERROR(__xludf.DUMMYFUNCTION("""COMPUTED_VALUE"""),36)</f>
        <v>36</v>
      </c>
      <c r="T54" s="1">
        <f ca="1">IFERROR(__xludf.DUMMYFUNCTION("""COMPUTED_VALUE"""),-1.5)</f>
        <v>-1.5</v>
      </c>
      <c r="U54" s="1">
        <f ca="1">IFERROR(__xludf.DUMMYFUNCTION("""COMPUTED_VALUE"""),204)</f>
        <v>204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IFERROR(__xludf.DUMMYFUNCTION("""COMPUTED_VALUE"""),"Stephen F. Austin12")</f>
        <v>Stephen F. Austin12</v>
      </c>
      <c r="C55" s="1" t="str">
        <f ca="1">IFERROR(__xludf.DUMMYFUNCTION("""COMPUTED_VALUE"""),"Slnd")</f>
        <v>Slnd</v>
      </c>
      <c r="D55" s="1" t="str">
        <f ca="1">IFERROR(__xludf.DUMMYFUNCTION("""COMPUTED_VALUE"""),"29-5")</f>
        <v>29-5</v>
      </c>
      <c r="E55" s="1" t="str">
        <f ca="1">IFERROR(__xludf.DUMMYFUNCTION("""COMPUTED_VALUE"""),"+13.64")</f>
        <v>+13.64</v>
      </c>
      <c r="F55" s="1">
        <f ca="1">IFERROR(__xludf.DUMMYFUNCTION("""COMPUTED_VALUE"""),113.9)</f>
        <v>113.9</v>
      </c>
      <c r="G55" s="1">
        <f ca="1">IFERROR(__xludf.DUMMYFUNCTION("""COMPUTED_VALUE"""),32)</f>
        <v>32</v>
      </c>
      <c r="H55" s="1">
        <f ca="1">IFERROR(__xludf.DUMMYFUNCTION("""COMPUTED_VALUE"""),100.3)</f>
        <v>100.3</v>
      </c>
      <c r="I55" s="1">
        <f ca="1">IFERROR(__xludf.DUMMYFUNCTION("""COMPUTED_VALUE"""),98)</f>
        <v>98</v>
      </c>
      <c r="J55" s="1">
        <f ca="1">IFERROR(__xludf.DUMMYFUNCTION("""COMPUTED_VALUE"""),65.4)</f>
        <v>65.400000000000006</v>
      </c>
      <c r="K55" s="1">
        <f ca="1">IFERROR(__xludf.DUMMYFUNCTION("""COMPUTED_VALUE"""),114)</f>
        <v>114</v>
      </c>
      <c r="L55" s="1" t="str">
        <f ca="1">IFERROR(__xludf.DUMMYFUNCTION("""COMPUTED_VALUE"""),"+.020")</f>
        <v>+.020</v>
      </c>
      <c r="M55" s="1">
        <f ca="1">IFERROR(__xludf.DUMMYFUNCTION("""COMPUTED_VALUE"""),134)</f>
        <v>134</v>
      </c>
      <c r="N55" s="1">
        <f ca="1">IFERROR(__xludf.DUMMYFUNCTION("""COMPUTED_VALUE"""),-5.56)</f>
        <v>-5.56</v>
      </c>
      <c r="O55" s="1">
        <f ca="1">IFERROR(__xludf.DUMMYFUNCTION("""COMPUTED_VALUE"""),299)</f>
        <v>299</v>
      </c>
      <c r="P55" s="1">
        <f ca="1">IFERROR(__xludf.DUMMYFUNCTION("""COMPUTED_VALUE"""),102.2)</f>
        <v>102.2</v>
      </c>
      <c r="Q55" s="1">
        <f ca="1">IFERROR(__xludf.DUMMYFUNCTION("""COMPUTED_VALUE"""),260)</f>
        <v>260</v>
      </c>
      <c r="R55" s="1">
        <f ca="1">IFERROR(__xludf.DUMMYFUNCTION("""COMPUTED_VALUE"""),107.7)</f>
        <v>107.7</v>
      </c>
      <c r="S55" s="1">
        <f ca="1">IFERROR(__xludf.DUMMYFUNCTION("""COMPUTED_VALUE"""),306)</f>
        <v>306</v>
      </c>
      <c r="T55" s="1" t="str">
        <f ca="1">IFERROR(__xludf.DUMMYFUNCTION("""COMPUTED_VALUE"""),"+0.63")</f>
        <v>+0.63</v>
      </c>
      <c r="U55" s="1">
        <f ca="1">IFERROR(__xludf.DUMMYFUNCTION("""COMPUTED_VALUE"""),135)</f>
        <v>135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IFERROR(__xludf.DUMMYFUNCTION("""COMPUTED_VALUE"""),"Minnesota")</f>
        <v>Minnesota</v>
      </c>
      <c r="C56" s="1" t="str">
        <f ca="1">IFERROR(__xludf.DUMMYFUNCTION("""COMPUTED_VALUE"""),"B10")</f>
        <v>B10</v>
      </c>
      <c r="D56" s="1" t="str">
        <f ca="1">IFERROR(__xludf.DUMMYFUNCTION("""COMPUTED_VALUE"""),"18-15")</f>
        <v>18-15</v>
      </c>
      <c r="E56" s="1" t="str">
        <f ca="1">IFERROR(__xludf.DUMMYFUNCTION("""COMPUTED_VALUE"""),"+13.06")</f>
        <v>+13.06</v>
      </c>
      <c r="F56" s="1">
        <f ca="1">IFERROR(__xludf.DUMMYFUNCTION("""COMPUTED_VALUE"""),112.7)</f>
        <v>112.7</v>
      </c>
      <c r="G56" s="1">
        <f ca="1">IFERROR(__xludf.DUMMYFUNCTION("""COMPUTED_VALUE"""),41)</f>
        <v>41</v>
      </c>
      <c r="H56" s="1">
        <f ca="1">IFERROR(__xludf.DUMMYFUNCTION("""COMPUTED_VALUE"""),99.7)</f>
        <v>99.7</v>
      </c>
      <c r="I56" s="1">
        <f ca="1">IFERROR(__xludf.DUMMYFUNCTION("""COMPUTED_VALUE"""),90)</f>
        <v>90</v>
      </c>
      <c r="J56" s="1">
        <f ca="1">IFERROR(__xludf.DUMMYFUNCTION("""COMPUTED_VALUE"""),67.3)</f>
        <v>67.3</v>
      </c>
      <c r="K56" s="1">
        <f ca="1">IFERROR(__xludf.DUMMYFUNCTION("""COMPUTED_VALUE"""),47)</f>
        <v>47</v>
      </c>
      <c r="L56" s="1">
        <f ca="1">IFERROR(__xludf.DUMMYFUNCTION("""COMPUTED_VALUE"""),-0.099)</f>
        <v>-9.9000000000000005E-2</v>
      </c>
      <c r="M56" s="1">
        <f ca="1">IFERROR(__xludf.DUMMYFUNCTION("""COMPUTED_VALUE"""),343)</f>
        <v>343</v>
      </c>
      <c r="N56" s="1" t="str">
        <f ca="1">IFERROR(__xludf.DUMMYFUNCTION("""COMPUTED_VALUE"""),"+6.80")</f>
        <v>+6.80</v>
      </c>
      <c r="O56" s="1">
        <f ca="1">IFERROR(__xludf.DUMMYFUNCTION("""COMPUTED_VALUE"""),54)</f>
        <v>54</v>
      </c>
      <c r="P56" s="1">
        <f ca="1">IFERROR(__xludf.DUMMYFUNCTION("""COMPUTED_VALUE"""),107)</f>
        <v>107</v>
      </c>
      <c r="Q56" s="1">
        <f ca="1">IFERROR(__xludf.DUMMYFUNCTION("""COMPUTED_VALUE"""),73)</f>
        <v>73</v>
      </c>
      <c r="R56" s="1">
        <f ca="1">IFERROR(__xludf.DUMMYFUNCTION("""COMPUTED_VALUE"""),100.2)</f>
        <v>100.2</v>
      </c>
      <c r="S56" s="1">
        <f ca="1">IFERROR(__xludf.DUMMYFUNCTION("""COMPUTED_VALUE"""),32)</f>
        <v>32</v>
      </c>
      <c r="T56" s="1">
        <f ca="1">IFERROR(__xludf.DUMMYFUNCTION("""COMPUTED_VALUE"""),-5.45)</f>
        <v>-5.45</v>
      </c>
      <c r="U56" s="1">
        <f ca="1">IFERROR(__xludf.DUMMYFUNCTION("""COMPUTED_VALUE"""),312)</f>
        <v>312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IFERROR(__xludf.DUMMYFUNCTION("""COMPUTED_VALUE"""),"Syracuse")</f>
        <v>Syracuse</v>
      </c>
      <c r="C57" s="1" t="str">
        <f ca="1">IFERROR(__xludf.DUMMYFUNCTION("""COMPUTED_VALUE"""),"ACC")</f>
        <v>ACC</v>
      </c>
      <c r="D57" s="1" t="str">
        <f ca="1">IFERROR(__xludf.DUMMYFUNCTION("""COMPUTED_VALUE"""),"18-13")</f>
        <v>18-13</v>
      </c>
      <c r="E57" s="1" t="str">
        <f ca="1">IFERROR(__xludf.DUMMYFUNCTION("""COMPUTED_VALUE"""),"+12.78")</f>
        <v>+12.78</v>
      </c>
      <c r="F57" s="1">
        <f ca="1">IFERROR(__xludf.DUMMYFUNCTION("""COMPUTED_VALUE"""),107)</f>
        <v>107</v>
      </c>
      <c r="G57" s="1">
        <f ca="1">IFERROR(__xludf.DUMMYFUNCTION("""COMPUTED_VALUE"""),117)</f>
        <v>117</v>
      </c>
      <c r="H57" s="1">
        <f ca="1">IFERROR(__xludf.DUMMYFUNCTION("""COMPUTED_VALUE"""),94.2)</f>
        <v>94.2</v>
      </c>
      <c r="I57" s="1">
        <f ca="1">IFERROR(__xludf.DUMMYFUNCTION("""COMPUTED_VALUE"""),20)</f>
        <v>20</v>
      </c>
      <c r="J57" s="1">
        <f ca="1">IFERROR(__xludf.DUMMYFUNCTION("""COMPUTED_VALUE"""),65.8)</f>
        <v>65.8</v>
      </c>
      <c r="K57" s="1">
        <f ca="1">IFERROR(__xludf.DUMMYFUNCTION("""COMPUTED_VALUE"""),100)</f>
        <v>100</v>
      </c>
      <c r="L57" s="1">
        <f ca="1">IFERROR(__xludf.DUMMYFUNCTION("""COMPUTED_VALUE"""),-0.025)</f>
        <v>-2.5000000000000001E-2</v>
      </c>
      <c r="M57" s="1">
        <f ca="1">IFERROR(__xludf.DUMMYFUNCTION("""COMPUTED_VALUE"""),239)</f>
        <v>239</v>
      </c>
      <c r="N57" s="1" t="str">
        <f ca="1">IFERROR(__xludf.DUMMYFUNCTION("""COMPUTED_VALUE"""),"+7.16")</f>
        <v>+7.16</v>
      </c>
      <c r="O57" s="1">
        <f ca="1">IFERROR(__xludf.DUMMYFUNCTION("""COMPUTED_VALUE"""),47)</f>
        <v>47</v>
      </c>
      <c r="P57" s="1">
        <f ca="1">IFERROR(__xludf.DUMMYFUNCTION("""COMPUTED_VALUE"""),108.3)</f>
        <v>108.3</v>
      </c>
      <c r="Q57" s="1">
        <f ca="1">IFERROR(__xludf.DUMMYFUNCTION("""COMPUTED_VALUE"""),36)</f>
        <v>36</v>
      </c>
      <c r="R57" s="1">
        <f ca="1">IFERROR(__xludf.DUMMYFUNCTION("""COMPUTED_VALUE"""),101.1)</f>
        <v>101.1</v>
      </c>
      <c r="S57" s="1">
        <f ca="1">IFERROR(__xludf.DUMMYFUNCTION("""COMPUTED_VALUE"""),56)</f>
        <v>56</v>
      </c>
      <c r="T57" s="1">
        <f ca="1">IFERROR(__xludf.DUMMYFUNCTION("""COMPUTED_VALUE"""),-1.73)</f>
        <v>-1.73</v>
      </c>
      <c r="U57" s="1">
        <f ca="1">IFERROR(__xludf.DUMMYFUNCTION("""COMPUTED_VALUE"""),210)</f>
        <v>210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IFERROR(__xludf.DUMMYFUNCTION("""COMPUTED_VALUE"""),"Texas A&amp;M2")</f>
        <v>Texas A&amp;M2</v>
      </c>
      <c r="C58" s="1" t="str">
        <f ca="1">IFERROR(__xludf.DUMMYFUNCTION("""COMPUTED_VALUE"""),"SEC")</f>
        <v>SEC</v>
      </c>
      <c r="D58" s="1" t="str">
        <f ca="1">IFERROR(__xludf.DUMMYFUNCTION("""COMPUTED_VALUE"""),"21-12")</f>
        <v>21-12</v>
      </c>
      <c r="E58" s="1" t="str">
        <f ca="1">IFERROR(__xludf.DUMMYFUNCTION("""COMPUTED_VALUE"""),"+12.31")</f>
        <v>+12.31</v>
      </c>
      <c r="F58" s="1">
        <f ca="1">IFERROR(__xludf.DUMMYFUNCTION("""COMPUTED_VALUE"""),109.4)</f>
        <v>109.4</v>
      </c>
      <c r="G58" s="1">
        <f ca="1">IFERROR(__xludf.DUMMYFUNCTION("""COMPUTED_VALUE"""),72)</f>
        <v>72</v>
      </c>
      <c r="H58" s="1">
        <f ca="1">IFERROR(__xludf.DUMMYFUNCTION("""COMPUTED_VALUE"""),97.1)</f>
        <v>97.1</v>
      </c>
      <c r="I58" s="1">
        <f ca="1">IFERROR(__xludf.DUMMYFUNCTION("""COMPUTED_VALUE"""),57)</f>
        <v>57</v>
      </c>
      <c r="J58" s="1">
        <f ca="1">IFERROR(__xludf.DUMMYFUNCTION("""COMPUTED_VALUE"""),63.7)</f>
        <v>63.7</v>
      </c>
      <c r="K58" s="1">
        <f ca="1">IFERROR(__xludf.DUMMYFUNCTION("""COMPUTED_VALUE"""),207)</f>
        <v>207</v>
      </c>
      <c r="L58" s="1">
        <f ca="1">IFERROR(__xludf.DUMMYFUNCTION("""COMPUTED_VALUE"""),-0.01)</f>
        <v>-0.01</v>
      </c>
      <c r="M58" s="1">
        <f ca="1">IFERROR(__xludf.DUMMYFUNCTION("""COMPUTED_VALUE"""),211)</f>
        <v>211</v>
      </c>
      <c r="N58" s="1" t="str">
        <f ca="1">IFERROR(__xludf.DUMMYFUNCTION("""COMPUTED_VALUE"""),"+4.90")</f>
        <v>+4.90</v>
      </c>
      <c r="O58" s="1">
        <f ca="1">IFERROR(__xludf.DUMMYFUNCTION("""COMPUTED_VALUE"""),76)</f>
        <v>76</v>
      </c>
      <c r="P58" s="1">
        <f ca="1">IFERROR(__xludf.DUMMYFUNCTION("""COMPUTED_VALUE"""),106.5)</f>
        <v>106.5</v>
      </c>
      <c r="Q58" s="1">
        <f ca="1">IFERROR(__xludf.DUMMYFUNCTION("""COMPUTED_VALUE"""),82)</f>
        <v>82</v>
      </c>
      <c r="R58" s="1">
        <f ca="1">IFERROR(__xludf.DUMMYFUNCTION("""COMPUTED_VALUE"""),101.6)</f>
        <v>101.6</v>
      </c>
      <c r="S58" s="1">
        <f ca="1">IFERROR(__xludf.DUMMYFUNCTION("""COMPUTED_VALUE"""),73)</f>
        <v>73</v>
      </c>
      <c r="T58" s="1">
        <f ca="1">IFERROR(__xludf.DUMMYFUNCTION("""COMPUTED_VALUE"""),-2.77)</f>
        <v>-2.77</v>
      </c>
      <c r="U58" s="1">
        <f ca="1">IFERROR(__xludf.DUMMYFUNCTION("""COMPUTED_VALUE"""),246)</f>
        <v>246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IFERROR(__xludf.DUMMYFUNCTION("""COMPUTED_VALUE"""),"Alabama6")</f>
        <v>Alabama6</v>
      </c>
      <c r="C59" s="1" t="str">
        <f ca="1">IFERROR(__xludf.DUMMYFUNCTION("""COMPUTED_VALUE"""),"SEC")</f>
        <v>SEC</v>
      </c>
      <c r="D59" s="1" t="str">
        <f ca="1">IFERROR(__xludf.DUMMYFUNCTION("""COMPUTED_VALUE"""),"19-15")</f>
        <v>19-15</v>
      </c>
      <c r="E59" s="1" t="str">
        <f ca="1">IFERROR(__xludf.DUMMYFUNCTION("""COMPUTED_VALUE"""),"+12.28")</f>
        <v>+12.28</v>
      </c>
      <c r="F59" s="1">
        <f ca="1">IFERROR(__xludf.DUMMYFUNCTION("""COMPUTED_VALUE"""),111.6)</f>
        <v>111.6</v>
      </c>
      <c r="G59" s="1">
        <f ca="1">IFERROR(__xludf.DUMMYFUNCTION("""COMPUTED_VALUE"""),53)</f>
        <v>53</v>
      </c>
      <c r="H59" s="1">
        <f ca="1">IFERROR(__xludf.DUMMYFUNCTION("""COMPUTED_VALUE"""),99.3)</f>
        <v>99.3</v>
      </c>
      <c r="I59" s="1">
        <f ca="1">IFERROR(__xludf.DUMMYFUNCTION("""COMPUTED_VALUE"""),84)</f>
        <v>84</v>
      </c>
      <c r="J59" s="1">
        <f ca="1">IFERROR(__xludf.DUMMYFUNCTION("""COMPUTED_VALUE"""),62.2)</f>
        <v>62.2</v>
      </c>
      <c r="K59" s="1">
        <f ca="1">IFERROR(__xludf.DUMMYFUNCTION("""COMPUTED_VALUE"""),283)</f>
        <v>283</v>
      </c>
      <c r="L59" s="1">
        <f ca="1">IFERROR(__xludf.DUMMYFUNCTION("""COMPUTED_VALUE"""),-0.032)</f>
        <v>-3.2000000000000001E-2</v>
      </c>
      <c r="M59" s="1">
        <f ca="1">IFERROR(__xludf.DUMMYFUNCTION("""COMPUTED_VALUE"""),255)</f>
        <v>255</v>
      </c>
      <c r="N59" s="1" t="str">
        <f ca="1">IFERROR(__xludf.DUMMYFUNCTION("""COMPUTED_VALUE"""),"+7.98")</f>
        <v>+7.98</v>
      </c>
      <c r="O59" s="1">
        <f ca="1">IFERROR(__xludf.DUMMYFUNCTION("""COMPUTED_VALUE"""),36)</f>
        <v>36</v>
      </c>
      <c r="P59" s="1">
        <f ca="1">IFERROR(__xludf.DUMMYFUNCTION("""COMPUTED_VALUE"""),108.2)</f>
        <v>108.2</v>
      </c>
      <c r="Q59" s="1">
        <f ca="1">IFERROR(__xludf.DUMMYFUNCTION("""COMPUTED_VALUE"""),44)</f>
        <v>44</v>
      </c>
      <c r="R59" s="1">
        <f ca="1">IFERROR(__xludf.DUMMYFUNCTION("""COMPUTED_VALUE"""),100.3)</f>
        <v>100.3</v>
      </c>
      <c r="S59" s="1">
        <f ca="1">IFERROR(__xludf.DUMMYFUNCTION("""COMPUTED_VALUE"""),34)</f>
        <v>34</v>
      </c>
      <c r="T59" s="1">
        <f ca="1">IFERROR(__xludf.DUMMYFUNCTION("""COMPUTED_VALUE"""),-1.61)</f>
        <v>-1.61</v>
      </c>
      <c r="U59" s="1">
        <f ca="1">IFERROR(__xludf.DUMMYFUNCTION("""COMPUTED_VALUE"""),206)</f>
        <v>206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IFERROR(__xludf.DUMMYFUNCTION("""COMPUTED_VALUE"""),"TCU")</f>
        <v>TCU</v>
      </c>
      <c r="C60" s="1" t="str">
        <f ca="1">IFERROR(__xludf.DUMMYFUNCTION("""COMPUTED_VALUE"""),"B12")</f>
        <v>B12</v>
      </c>
      <c r="D60" s="1" t="str">
        <f ca="1">IFERROR(__xludf.DUMMYFUNCTION("""COMPUTED_VALUE"""),"18-15")</f>
        <v>18-15</v>
      </c>
      <c r="E60" s="1" t="str">
        <f ca="1">IFERROR(__xludf.DUMMYFUNCTION("""COMPUTED_VALUE"""),"+12.25")</f>
        <v>+12.25</v>
      </c>
      <c r="F60" s="1">
        <f ca="1">IFERROR(__xludf.DUMMYFUNCTION("""COMPUTED_VALUE"""),108.8)</f>
        <v>108.8</v>
      </c>
      <c r="G60" s="1">
        <f ca="1">IFERROR(__xludf.DUMMYFUNCTION("""COMPUTED_VALUE"""),83)</f>
        <v>83</v>
      </c>
      <c r="H60" s="1">
        <f ca="1">IFERROR(__xludf.DUMMYFUNCTION("""COMPUTED_VALUE"""),96.6)</f>
        <v>96.6</v>
      </c>
      <c r="I60" s="1">
        <f ca="1">IFERROR(__xludf.DUMMYFUNCTION("""COMPUTED_VALUE"""),49)</f>
        <v>49</v>
      </c>
      <c r="J60" s="1">
        <f ca="1">IFERROR(__xludf.DUMMYFUNCTION("""COMPUTED_VALUE"""),63.6)</f>
        <v>63.6</v>
      </c>
      <c r="K60" s="1">
        <f ca="1">IFERROR(__xludf.DUMMYFUNCTION("""COMPUTED_VALUE"""),215)</f>
        <v>215</v>
      </c>
      <c r="L60" s="1">
        <f ca="1">IFERROR(__xludf.DUMMYFUNCTION("""COMPUTED_VALUE"""),-0.081)</f>
        <v>-8.1000000000000003E-2</v>
      </c>
      <c r="M60" s="1">
        <f ca="1">IFERROR(__xludf.DUMMYFUNCTION("""COMPUTED_VALUE"""),330)</f>
        <v>330</v>
      </c>
      <c r="N60" s="1" t="str">
        <f ca="1">IFERROR(__xludf.DUMMYFUNCTION("""COMPUTED_VALUE"""),"+5.46")</f>
        <v>+5.46</v>
      </c>
      <c r="O60" s="1">
        <f ca="1">IFERROR(__xludf.DUMMYFUNCTION("""COMPUTED_VALUE"""),72)</f>
        <v>72</v>
      </c>
      <c r="P60" s="1">
        <f ca="1">IFERROR(__xludf.DUMMYFUNCTION("""COMPUTED_VALUE"""),106.5)</f>
        <v>106.5</v>
      </c>
      <c r="Q60" s="1">
        <f ca="1">IFERROR(__xludf.DUMMYFUNCTION("""COMPUTED_VALUE"""),81)</f>
        <v>81</v>
      </c>
      <c r="R60" s="1">
        <f ca="1">IFERROR(__xludf.DUMMYFUNCTION("""COMPUTED_VALUE"""),101)</f>
        <v>101</v>
      </c>
      <c r="S60" s="1">
        <f ca="1">IFERROR(__xludf.DUMMYFUNCTION("""COMPUTED_VALUE"""),52)</f>
        <v>52</v>
      </c>
      <c r="T60" s="1">
        <f ca="1">IFERROR(__xludf.DUMMYFUNCTION("""COMPUTED_VALUE"""),-15.2)</f>
        <v>-15.2</v>
      </c>
      <c r="U60" s="1">
        <f ca="1">IFERROR(__xludf.DUMMYFUNCTION("""COMPUTED_VALUE"""),351)</f>
        <v>351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IFERROR(__xludf.DUMMYFUNCTION("""COMPUTED_VALUE"""),"Murray St.3")</f>
        <v>Murray St.3</v>
      </c>
      <c r="C61" s="1" t="str">
        <f ca="1">IFERROR(__xludf.DUMMYFUNCTION("""COMPUTED_VALUE"""),"OVC")</f>
        <v>OVC</v>
      </c>
      <c r="D61" s="1" t="str">
        <f ca="1">IFERROR(__xludf.DUMMYFUNCTION("""COMPUTED_VALUE"""),"29-6")</f>
        <v>29-6</v>
      </c>
      <c r="E61" s="1" t="str">
        <f ca="1">IFERROR(__xludf.DUMMYFUNCTION("""COMPUTED_VALUE"""),"+12.04")</f>
        <v>+12.04</v>
      </c>
      <c r="F61" s="1">
        <f ca="1">IFERROR(__xludf.DUMMYFUNCTION("""COMPUTED_VALUE"""),116.5)</f>
        <v>116.5</v>
      </c>
      <c r="G61" s="1">
        <f ca="1">IFERROR(__xludf.DUMMYFUNCTION("""COMPUTED_VALUE"""),16)</f>
        <v>16</v>
      </c>
      <c r="H61" s="1">
        <f ca="1">IFERROR(__xludf.DUMMYFUNCTION("""COMPUTED_VALUE"""),104.5)</f>
        <v>104.5</v>
      </c>
      <c r="I61" s="1">
        <f ca="1">IFERROR(__xludf.DUMMYFUNCTION("""COMPUTED_VALUE"""),173)</f>
        <v>173</v>
      </c>
      <c r="J61" s="1">
        <f ca="1">IFERROR(__xludf.DUMMYFUNCTION("""COMPUTED_VALUE"""),66.8)</f>
        <v>66.8</v>
      </c>
      <c r="K61" s="1">
        <f ca="1">IFERROR(__xludf.DUMMYFUNCTION("""COMPUTED_VALUE"""),58)</f>
        <v>58</v>
      </c>
      <c r="L61" s="1" t="str">
        <f ca="1">IFERROR(__xludf.DUMMYFUNCTION("""COMPUTED_VALUE"""),"+.076")</f>
        <v>+.076</v>
      </c>
      <c r="M61" s="1">
        <f ca="1">IFERROR(__xludf.DUMMYFUNCTION("""COMPUTED_VALUE"""),28)</f>
        <v>28</v>
      </c>
      <c r="N61" s="1">
        <f ca="1">IFERROR(__xludf.DUMMYFUNCTION("""COMPUTED_VALUE"""),-2.61)</f>
        <v>-2.61</v>
      </c>
      <c r="O61" s="1">
        <f ca="1">IFERROR(__xludf.DUMMYFUNCTION("""COMPUTED_VALUE"""),202)</f>
        <v>202</v>
      </c>
      <c r="P61" s="1">
        <f ca="1">IFERROR(__xludf.DUMMYFUNCTION("""COMPUTED_VALUE"""),102.8)</f>
        <v>102.8</v>
      </c>
      <c r="Q61" s="1">
        <f ca="1">IFERROR(__xludf.DUMMYFUNCTION("""COMPUTED_VALUE"""),225)</f>
        <v>225</v>
      </c>
      <c r="R61" s="1">
        <f ca="1">IFERROR(__xludf.DUMMYFUNCTION("""COMPUTED_VALUE"""),105.4)</f>
        <v>105.4</v>
      </c>
      <c r="S61" s="1">
        <f ca="1">IFERROR(__xludf.DUMMYFUNCTION("""COMPUTED_VALUE"""),200)</f>
        <v>200</v>
      </c>
      <c r="T61" s="1">
        <f ca="1">IFERROR(__xludf.DUMMYFUNCTION("""COMPUTED_VALUE"""),-1.08)</f>
        <v>-1.08</v>
      </c>
      <c r="U61" s="1">
        <f ca="1">IFERROR(__xludf.DUMMYFUNCTION("""COMPUTED_VALUE"""),189)</f>
        <v>189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IFERROR(__xludf.DUMMYFUNCTION("""COMPUTED_VALUE"""),"Buffalo12")</f>
        <v>Buffalo12</v>
      </c>
      <c r="C62" s="1" t="str">
        <f ca="1">IFERROR(__xludf.DUMMYFUNCTION("""COMPUTED_VALUE"""),"MAC")</f>
        <v>MAC</v>
      </c>
      <c r="D62" s="1" t="str">
        <f ca="1">IFERROR(__xludf.DUMMYFUNCTION("""COMPUTED_VALUE"""),"23-10")</f>
        <v>23-10</v>
      </c>
      <c r="E62" s="1" t="str">
        <f ca="1">IFERROR(__xludf.DUMMYFUNCTION("""COMPUTED_VALUE"""),"+11.87")</f>
        <v>+11.87</v>
      </c>
      <c r="F62" s="1">
        <f ca="1">IFERROR(__xludf.DUMMYFUNCTION("""COMPUTED_VALUE"""),111.3)</f>
        <v>111.3</v>
      </c>
      <c r="G62" s="1">
        <f ca="1">IFERROR(__xludf.DUMMYFUNCTION("""COMPUTED_VALUE"""),57)</f>
        <v>57</v>
      </c>
      <c r="H62" s="1">
        <f ca="1">IFERROR(__xludf.DUMMYFUNCTION("""COMPUTED_VALUE"""),99.4)</f>
        <v>99.4</v>
      </c>
      <c r="I62" s="1">
        <f ca="1">IFERROR(__xludf.DUMMYFUNCTION("""COMPUTED_VALUE"""),87)</f>
        <v>87</v>
      </c>
      <c r="J62" s="1">
        <f ca="1">IFERROR(__xludf.DUMMYFUNCTION("""COMPUTED_VALUE"""),68.3)</f>
        <v>68.3</v>
      </c>
      <c r="K62" s="1">
        <f ca="1">IFERROR(__xludf.DUMMYFUNCTION("""COMPUTED_VALUE"""),23)</f>
        <v>23</v>
      </c>
      <c r="L62" s="1" t="str">
        <f ca="1">IFERROR(__xludf.DUMMYFUNCTION("""COMPUTED_VALUE"""),"+.001")</f>
        <v>+.001</v>
      </c>
      <c r="M62" s="1">
        <f ca="1">IFERROR(__xludf.DUMMYFUNCTION("""COMPUTED_VALUE"""),182)</f>
        <v>182</v>
      </c>
      <c r="N62" s="1" t="str">
        <f ca="1">IFERROR(__xludf.DUMMYFUNCTION("""COMPUTED_VALUE"""),"+1.83")</f>
        <v>+1.83</v>
      </c>
      <c r="O62" s="1">
        <f ca="1">IFERROR(__xludf.DUMMYFUNCTION("""COMPUTED_VALUE"""),110)</f>
        <v>110</v>
      </c>
      <c r="P62" s="1">
        <f ca="1">IFERROR(__xludf.DUMMYFUNCTION("""COMPUTED_VALUE"""),106)</f>
        <v>106</v>
      </c>
      <c r="Q62" s="1">
        <f ca="1">IFERROR(__xludf.DUMMYFUNCTION("""COMPUTED_VALUE"""),90)</f>
        <v>90</v>
      </c>
      <c r="R62" s="1">
        <f ca="1">IFERROR(__xludf.DUMMYFUNCTION("""COMPUTED_VALUE"""),104.2)</f>
        <v>104.2</v>
      </c>
      <c r="S62" s="1">
        <f ca="1">IFERROR(__xludf.DUMMYFUNCTION("""COMPUTED_VALUE"""),149)</f>
        <v>149</v>
      </c>
      <c r="T62" s="1" t="str">
        <f ca="1">IFERROR(__xludf.DUMMYFUNCTION("""COMPUTED_VALUE"""),"+0.81")</f>
        <v>+0.81</v>
      </c>
      <c r="U62" s="1">
        <f ca="1">IFERROR(__xludf.DUMMYFUNCTION("""COMPUTED_VALUE"""),130)</f>
        <v>130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IFERROR(__xludf.DUMMYFUNCTION("""COMPUTED_VALUE"""),"Richmond1")</f>
        <v>Richmond1</v>
      </c>
      <c r="C63" s="1" t="str">
        <f ca="1">IFERROR(__xludf.DUMMYFUNCTION("""COMPUTED_VALUE"""),"A10")</f>
        <v>A10</v>
      </c>
      <c r="D63" s="1" t="str">
        <f ca="1">IFERROR(__xludf.DUMMYFUNCTION("""COMPUTED_VALUE"""),"21-14")</f>
        <v>21-14</v>
      </c>
      <c r="E63" s="1" t="str">
        <f ca="1">IFERROR(__xludf.DUMMYFUNCTION("""COMPUTED_VALUE"""),"+11.76")</f>
        <v>+11.76</v>
      </c>
      <c r="F63" s="1">
        <f ca="1">IFERROR(__xludf.DUMMYFUNCTION("""COMPUTED_VALUE"""),108.6)</f>
        <v>108.6</v>
      </c>
      <c r="G63" s="1">
        <f ca="1">IFERROR(__xludf.DUMMYFUNCTION("""COMPUTED_VALUE"""),87)</f>
        <v>87</v>
      </c>
      <c r="H63" s="1">
        <f ca="1">IFERROR(__xludf.DUMMYFUNCTION("""COMPUTED_VALUE"""),96.8)</f>
        <v>96.8</v>
      </c>
      <c r="I63" s="1">
        <f ca="1">IFERROR(__xludf.DUMMYFUNCTION("""COMPUTED_VALUE"""),52)</f>
        <v>52</v>
      </c>
      <c r="J63" s="1">
        <f ca="1">IFERROR(__xludf.DUMMYFUNCTION("""COMPUTED_VALUE"""),61.8)</f>
        <v>61.8</v>
      </c>
      <c r="K63" s="1">
        <f ca="1">IFERROR(__xludf.DUMMYFUNCTION("""COMPUTED_VALUE"""),301)</f>
        <v>301</v>
      </c>
      <c r="L63" s="1">
        <f ca="1">IFERROR(__xludf.DUMMYFUNCTION("""COMPUTED_VALUE"""),-0.078)</f>
        <v>-7.8E-2</v>
      </c>
      <c r="M63" s="1">
        <f ca="1">IFERROR(__xludf.DUMMYFUNCTION("""COMPUTED_VALUE"""),328)</f>
        <v>328</v>
      </c>
      <c r="N63" s="1" t="str">
        <f ca="1">IFERROR(__xludf.DUMMYFUNCTION("""COMPUTED_VALUE"""),"+3.33")</f>
        <v>+3.33</v>
      </c>
      <c r="O63" s="1">
        <f ca="1">IFERROR(__xludf.DUMMYFUNCTION("""COMPUTED_VALUE"""),90)</f>
        <v>90</v>
      </c>
      <c r="P63" s="1">
        <f ca="1">IFERROR(__xludf.DUMMYFUNCTION("""COMPUTED_VALUE"""),105.8)</f>
        <v>105.8</v>
      </c>
      <c r="Q63" s="1">
        <f ca="1">IFERROR(__xludf.DUMMYFUNCTION("""COMPUTED_VALUE"""),94)</f>
        <v>94</v>
      </c>
      <c r="R63" s="1">
        <f ca="1">IFERROR(__xludf.DUMMYFUNCTION("""COMPUTED_VALUE"""),102.5)</f>
        <v>102.5</v>
      </c>
      <c r="S63" s="1">
        <f ca="1">IFERROR(__xludf.DUMMYFUNCTION("""COMPUTED_VALUE"""),94)</f>
        <v>94</v>
      </c>
      <c r="T63" s="1">
        <f ca="1">IFERROR(__xludf.DUMMYFUNCTION("""COMPUTED_VALUE"""),-0.58)</f>
        <v>-0.57999999999999996</v>
      </c>
      <c r="U63" s="1">
        <f ca="1">IFERROR(__xludf.DUMMYFUNCTION("""COMPUTED_VALUE"""),177)</f>
        <v>177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IFERROR(__xludf.DUMMYFUNCTION("""COMPUTED_VALUE"""),"Rhode Island3")</f>
        <v>Rhode Island3</v>
      </c>
      <c r="C64" s="1" t="str">
        <f ca="1">IFERROR(__xludf.DUMMYFUNCTION("""COMPUTED_VALUE"""),"A10")</f>
        <v>A10</v>
      </c>
      <c r="D64" s="1" t="str">
        <f ca="1">IFERROR(__xludf.DUMMYFUNCTION("""COMPUTED_VALUE"""),"23-10")</f>
        <v>23-10</v>
      </c>
      <c r="E64" s="1" t="str">
        <f ca="1">IFERROR(__xludf.DUMMYFUNCTION("""COMPUTED_VALUE"""),"+11.74")</f>
        <v>+11.74</v>
      </c>
      <c r="F64" s="1">
        <f ca="1">IFERROR(__xludf.DUMMYFUNCTION("""COMPUTED_VALUE"""),103.9)</f>
        <v>103.9</v>
      </c>
      <c r="G64" s="1">
        <f ca="1">IFERROR(__xludf.DUMMYFUNCTION("""COMPUTED_VALUE"""),180)</f>
        <v>180</v>
      </c>
      <c r="H64" s="1">
        <f ca="1">IFERROR(__xludf.DUMMYFUNCTION("""COMPUTED_VALUE"""),92.2)</f>
        <v>92.2</v>
      </c>
      <c r="I64" s="1">
        <f ca="1">IFERROR(__xludf.DUMMYFUNCTION("""COMPUTED_VALUE"""),13)</f>
        <v>13</v>
      </c>
      <c r="J64" s="1">
        <f ca="1">IFERROR(__xludf.DUMMYFUNCTION("""COMPUTED_VALUE"""),66)</f>
        <v>66</v>
      </c>
      <c r="K64" s="1">
        <f ca="1">IFERROR(__xludf.DUMMYFUNCTION("""COMPUTED_VALUE"""),89)</f>
        <v>89</v>
      </c>
      <c r="L64" s="1">
        <f ca="1">IFERROR(__xludf.DUMMYFUNCTION("""COMPUTED_VALUE"""),-0.006)</f>
        <v>-6.0000000000000001E-3</v>
      </c>
      <c r="M64" s="1">
        <f ca="1">IFERROR(__xludf.DUMMYFUNCTION("""COMPUTED_VALUE"""),200)</f>
        <v>200</v>
      </c>
      <c r="N64" s="1" t="str">
        <f ca="1">IFERROR(__xludf.DUMMYFUNCTION("""COMPUTED_VALUE"""),"+2.15")</f>
        <v>+2.15</v>
      </c>
      <c r="O64" s="1">
        <f ca="1">IFERROR(__xludf.DUMMYFUNCTION("""COMPUTED_VALUE"""),104)</f>
        <v>104</v>
      </c>
      <c r="P64" s="1">
        <f ca="1">IFERROR(__xludf.DUMMYFUNCTION("""COMPUTED_VALUE"""),104.5)</f>
        <v>104.5</v>
      </c>
      <c r="Q64" s="1">
        <f ca="1">IFERROR(__xludf.DUMMYFUNCTION("""COMPUTED_VALUE"""),128)</f>
        <v>128</v>
      </c>
      <c r="R64" s="1">
        <f ca="1">IFERROR(__xludf.DUMMYFUNCTION("""COMPUTED_VALUE"""),102.4)</f>
        <v>102.4</v>
      </c>
      <c r="S64" s="1">
        <f ca="1">IFERROR(__xludf.DUMMYFUNCTION("""COMPUTED_VALUE"""),93)</f>
        <v>93</v>
      </c>
      <c r="T64" s="1">
        <f ca="1">IFERROR(__xludf.DUMMYFUNCTION("""COMPUTED_VALUE"""),-2.87)</f>
        <v>-2.87</v>
      </c>
      <c r="U64" s="1">
        <f ca="1">IFERROR(__xludf.DUMMYFUNCTION("""COMPUTED_VALUE"""),247)</f>
        <v>247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IFERROR(__xludf.DUMMYFUNCTION("""COMPUTED_VALUE"""),"Illinois3")</f>
        <v>Illinois3</v>
      </c>
      <c r="C65" s="1" t="str">
        <f ca="1">IFERROR(__xludf.DUMMYFUNCTION("""COMPUTED_VALUE"""),"B10")</f>
        <v>B10</v>
      </c>
      <c r="D65" s="1" t="str">
        <f ca="1">IFERROR(__xludf.DUMMYFUNCTION("""COMPUTED_VALUE"""),"19-14")</f>
        <v>19-14</v>
      </c>
      <c r="E65" s="1" t="str">
        <f ca="1">IFERROR(__xludf.DUMMYFUNCTION("""COMPUTED_VALUE"""),"+11.68")</f>
        <v>+11.68</v>
      </c>
      <c r="F65" s="1">
        <f ca="1">IFERROR(__xludf.DUMMYFUNCTION("""COMPUTED_VALUE"""),108.3)</f>
        <v>108.3</v>
      </c>
      <c r="G65" s="1">
        <f ca="1">IFERROR(__xludf.DUMMYFUNCTION("""COMPUTED_VALUE"""),91)</f>
        <v>91</v>
      </c>
      <c r="H65" s="1">
        <f ca="1">IFERROR(__xludf.DUMMYFUNCTION("""COMPUTED_VALUE"""),96.7)</f>
        <v>96.7</v>
      </c>
      <c r="I65" s="1">
        <f ca="1">IFERROR(__xludf.DUMMYFUNCTION("""COMPUTED_VALUE"""),50)</f>
        <v>50</v>
      </c>
      <c r="J65" s="1">
        <f ca="1">IFERROR(__xludf.DUMMYFUNCTION("""COMPUTED_VALUE"""),64.8)</f>
        <v>64.8</v>
      </c>
      <c r="K65" s="1">
        <f ca="1">IFERROR(__xludf.DUMMYFUNCTION("""COMPUTED_VALUE"""),146)</f>
        <v>146</v>
      </c>
      <c r="L65" s="1">
        <f ca="1">IFERROR(__xludf.DUMMYFUNCTION("""COMPUTED_VALUE"""),-0.026)</f>
        <v>-2.5999999999999999E-2</v>
      </c>
      <c r="M65" s="1">
        <f ca="1">IFERROR(__xludf.DUMMYFUNCTION("""COMPUTED_VALUE"""),243)</f>
        <v>243</v>
      </c>
      <c r="N65" s="1" t="str">
        <f ca="1">IFERROR(__xludf.DUMMYFUNCTION("""COMPUTED_VALUE"""),"+6.59")</f>
        <v>+6.59</v>
      </c>
      <c r="O65" s="1">
        <f ca="1">IFERROR(__xludf.DUMMYFUNCTION("""COMPUTED_VALUE"""),58)</f>
        <v>58</v>
      </c>
      <c r="P65" s="1">
        <f ca="1">IFERROR(__xludf.DUMMYFUNCTION("""COMPUTED_VALUE"""),107.8)</f>
        <v>107.8</v>
      </c>
      <c r="Q65" s="1">
        <f ca="1">IFERROR(__xludf.DUMMYFUNCTION("""COMPUTED_VALUE"""),54)</f>
        <v>54</v>
      </c>
      <c r="R65" s="1">
        <f ca="1">IFERROR(__xludf.DUMMYFUNCTION("""COMPUTED_VALUE"""),101.2)</f>
        <v>101.2</v>
      </c>
      <c r="S65" s="1">
        <f ca="1">IFERROR(__xludf.DUMMYFUNCTION("""COMPUTED_VALUE"""),62)</f>
        <v>62</v>
      </c>
      <c r="T65" s="1">
        <f ca="1">IFERROR(__xludf.DUMMYFUNCTION("""COMPUTED_VALUE"""),-4.22)</f>
        <v>-4.22</v>
      </c>
      <c r="U65" s="1">
        <f ca="1">IFERROR(__xludf.DUMMYFUNCTION("""COMPUTED_VALUE"""),287)</f>
        <v>287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IFERROR(__xludf.DUMMYFUNCTION("""COMPUTED_VALUE"""),"Illinois St.4")</f>
        <v>Illinois St.4</v>
      </c>
      <c r="C66" s="1" t="str">
        <f ca="1">IFERROR(__xludf.DUMMYFUNCTION("""COMPUTED_VALUE"""),"MVC")</f>
        <v>MVC</v>
      </c>
      <c r="D66" s="1" t="str">
        <f ca="1">IFERROR(__xludf.DUMMYFUNCTION("""COMPUTED_VALUE"""),"22-13")</f>
        <v>22-13</v>
      </c>
      <c r="E66" s="1" t="str">
        <f ca="1">IFERROR(__xludf.DUMMYFUNCTION("""COMPUTED_VALUE"""),"+11.67")</f>
        <v>+11.67</v>
      </c>
      <c r="F66" s="1">
        <f ca="1">IFERROR(__xludf.DUMMYFUNCTION("""COMPUTED_VALUE"""),107.7)</f>
        <v>107.7</v>
      </c>
      <c r="G66" s="1">
        <f ca="1">IFERROR(__xludf.DUMMYFUNCTION("""COMPUTED_VALUE"""),101)</f>
        <v>101</v>
      </c>
      <c r="H66" s="1">
        <f ca="1">IFERROR(__xludf.DUMMYFUNCTION("""COMPUTED_VALUE"""),96.1)</f>
        <v>96.1</v>
      </c>
      <c r="I66" s="1">
        <f ca="1">IFERROR(__xludf.DUMMYFUNCTION("""COMPUTED_VALUE"""),44)</f>
        <v>44</v>
      </c>
      <c r="J66" s="1">
        <f ca="1">IFERROR(__xludf.DUMMYFUNCTION("""COMPUTED_VALUE"""),64.7)</f>
        <v>64.7</v>
      </c>
      <c r="K66" s="1">
        <f ca="1">IFERROR(__xludf.DUMMYFUNCTION("""COMPUTED_VALUE"""),148)</f>
        <v>148</v>
      </c>
      <c r="L66" s="1">
        <f ca="1">IFERROR(__xludf.DUMMYFUNCTION("""COMPUTED_VALUE"""),-0.05)</f>
        <v>-0.05</v>
      </c>
      <c r="M66" s="1">
        <f ca="1">IFERROR(__xludf.DUMMYFUNCTION("""COMPUTED_VALUE"""),295)</f>
        <v>295</v>
      </c>
      <c r="N66" s="1" t="str">
        <f ca="1">IFERROR(__xludf.DUMMYFUNCTION("""COMPUTED_VALUE"""),"+3.20")</f>
        <v>+3.20</v>
      </c>
      <c r="O66" s="1">
        <f ca="1">IFERROR(__xludf.DUMMYFUNCTION("""COMPUTED_VALUE"""),92)</f>
        <v>92</v>
      </c>
      <c r="P66" s="1">
        <f ca="1">IFERROR(__xludf.DUMMYFUNCTION("""COMPUTED_VALUE"""),106.1)</f>
        <v>106.1</v>
      </c>
      <c r="Q66" s="1">
        <f ca="1">IFERROR(__xludf.DUMMYFUNCTION("""COMPUTED_VALUE"""),88)</f>
        <v>88</v>
      </c>
      <c r="R66" s="1">
        <f ca="1">IFERROR(__xludf.DUMMYFUNCTION("""COMPUTED_VALUE"""),102.9)</f>
        <v>102.9</v>
      </c>
      <c r="S66" s="1">
        <f ca="1">IFERROR(__xludf.DUMMYFUNCTION("""COMPUTED_VALUE"""),101)</f>
        <v>101</v>
      </c>
      <c r="T66" s="1" t="str">
        <f ca="1">IFERROR(__xludf.DUMMYFUNCTION("""COMPUTED_VALUE"""),"+1.90")</f>
        <v>+1.90</v>
      </c>
      <c r="U66" s="1">
        <f ca="1">IFERROR(__xludf.DUMMYFUNCTION("""COMPUTED_VALUE"""),102)</f>
        <v>102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IFERROR(__xludf.DUMMYFUNCTION("""COMPUTED_VALUE"""),"South Carolina")</f>
        <v>South Carolina</v>
      </c>
      <c r="C67" s="1" t="str">
        <f ca="1">IFERROR(__xludf.DUMMYFUNCTION("""COMPUTED_VALUE"""),"SEC")</f>
        <v>SEC</v>
      </c>
      <c r="D67" s="1" t="str">
        <f ca="1">IFERROR(__xludf.DUMMYFUNCTION("""COMPUTED_VALUE"""),"17-16")</f>
        <v>17-16</v>
      </c>
      <c r="E67" s="1" t="str">
        <f ca="1">IFERROR(__xludf.DUMMYFUNCTION("""COMPUTED_VALUE"""),"+11.32")</f>
        <v>+11.32</v>
      </c>
      <c r="F67" s="1">
        <f ca="1">IFERROR(__xludf.DUMMYFUNCTION("""COMPUTED_VALUE"""),105.6)</f>
        <v>105.6</v>
      </c>
      <c r="G67" s="1">
        <f ca="1">IFERROR(__xludf.DUMMYFUNCTION("""COMPUTED_VALUE"""),145)</f>
        <v>145</v>
      </c>
      <c r="H67" s="1">
        <f ca="1">IFERROR(__xludf.DUMMYFUNCTION("""COMPUTED_VALUE"""),94.3)</f>
        <v>94.3</v>
      </c>
      <c r="I67" s="1">
        <f ca="1">IFERROR(__xludf.DUMMYFUNCTION("""COMPUTED_VALUE"""),21)</f>
        <v>21</v>
      </c>
      <c r="J67" s="1">
        <f ca="1">IFERROR(__xludf.DUMMYFUNCTION("""COMPUTED_VALUE"""),64.1)</f>
        <v>64.099999999999994</v>
      </c>
      <c r="K67" s="1">
        <f ca="1">IFERROR(__xludf.DUMMYFUNCTION("""COMPUTED_VALUE"""),187)</f>
        <v>187</v>
      </c>
      <c r="L67" s="1">
        <f ca="1">IFERROR(__xludf.DUMMYFUNCTION("""COMPUTED_VALUE"""),-0.048)</f>
        <v>-4.8000000000000001E-2</v>
      </c>
      <c r="M67" s="1">
        <f ca="1">IFERROR(__xludf.DUMMYFUNCTION("""COMPUTED_VALUE"""),290)</f>
        <v>290</v>
      </c>
      <c r="N67" s="1" t="str">
        <f ca="1">IFERROR(__xludf.DUMMYFUNCTION("""COMPUTED_VALUE"""),"+8.15")</f>
        <v>+8.15</v>
      </c>
      <c r="O67" s="1">
        <f ca="1">IFERROR(__xludf.DUMMYFUNCTION("""COMPUTED_VALUE"""),34)</f>
        <v>34</v>
      </c>
      <c r="P67" s="1">
        <f ca="1">IFERROR(__xludf.DUMMYFUNCTION("""COMPUTED_VALUE"""),108.3)</f>
        <v>108.3</v>
      </c>
      <c r="Q67" s="1">
        <f ca="1">IFERROR(__xludf.DUMMYFUNCTION("""COMPUTED_VALUE"""),40)</f>
        <v>40</v>
      </c>
      <c r="R67" s="1">
        <f ca="1">IFERROR(__xludf.DUMMYFUNCTION("""COMPUTED_VALUE"""),100.1)</f>
        <v>100.1</v>
      </c>
      <c r="S67" s="1">
        <f ca="1">IFERROR(__xludf.DUMMYFUNCTION("""COMPUTED_VALUE"""),29)</f>
        <v>29</v>
      </c>
      <c r="T67" s="1" t="str">
        <f ca="1">IFERROR(__xludf.DUMMYFUNCTION("""COMPUTED_VALUE"""),"+0.34")</f>
        <v>+0.34</v>
      </c>
      <c r="U67" s="1">
        <f ca="1">IFERROR(__xludf.DUMMYFUNCTION("""COMPUTED_VALUE"""),147)</f>
        <v>147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IFERROR(__xludf.DUMMYFUNCTION("""COMPUTED_VALUE"""),"Valparaiso13")</f>
        <v>Valparaiso13</v>
      </c>
      <c r="C68" s="1" t="str">
        <f ca="1">IFERROR(__xludf.DUMMYFUNCTION("""COMPUTED_VALUE"""),"Horz")</f>
        <v>Horz</v>
      </c>
      <c r="D68" s="1" t="str">
        <f ca="1">IFERROR(__xludf.DUMMYFUNCTION("""COMPUTED_VALUE"""),"28-6")</f>
        <v>28-6</v>
      </c>
      <c r="E68" s="1" t="str">
        <f ca="1">IFERROR(__xludf.DUMMYFUNCTION("""COMPUTED_VALUE"""),"+11.13")</f>
        <v>+11.13</v>
      </c>
      <c r="F68" s="1">
        <f ca="1">IFERROR(__xludf.DUMMYFUNCTION("""COMPUTED_VALUE"""),107.4)</f>
        <v>107.4</v>
      </c>
      <c r="G68" s="1">
        <f ca="1">IFERROR(__xludf.DUMMYFUNCTION("""COMPUTED_VALUE"""),112)</f>
        <v>112</v>
      </c>
      <c r="H68" s="1">
        <f ca="1">IFERROR(__xludf.DUMMYFUNCTION("""COMPUTED_VALUE"""),96.3)</f>
        <v>96.3</v>
      </c>
      <c r="I68" s="1">
        <f ca="1">IFERROR(__xludf.DUMMYFUNCTION("""COMPUTED_VALUE"""),45)</f>
        <v>45</v>
      </c>
      <c r="J68" s="1">
        <f ca="1">IFERROR(__xludf.DUMMYFUNCTION("""COMPUTED_VALUE"""),62.3)</f>
        <v>62.3</v>
      </c>
      <c r="K68" s="1">
        <f ca="1">IFERROR(__xludf.DUMMYFUNCTION("""COMPUTED_VALUE"""),278)</f>
        <v>278</v>
      </c>
      <c r="L68" s="1" t="str">
        <f ca="1">IFERROR(__xludf.DUMMYFUNCTION("""COMPUTED_VALUE"""),"+.053")</f>
        <v>+.053</v>
      </c>
      <c r="M68" s="1">
        <f ca="1">IFERROR(__xludf.DUMMYFUNCTION("""COMPUTED_VALUE"""),60)</f>
        <v>60</v>
      </c>
      <c r="N68" s="1">
        <f ca="1">IFERROR(__xludf.DUMMYFUNCTION("""COMPUTED_VALUE"""),-2.06)</f>
        <v>-2.06</v>
      </c>
      <c r="O68" s="1">
        <f ca="1">IFERROR(__xludf.DUMMYFUNCTION("""COMPUTED_VALUE"""),191)</f>
        <v>191</v>
      </c>
      <c r="P68" s="1">
        <f ca="1">IFERROR(__xludf.DUMMYFUNCTION("""COMPUTED_VALUE"""),104.2)</f>
        <v>104.2</v>
      </c>
      <c r="Q68" s="1">
        <f ca="1">IFERROR(__xludf.DUMMYFUNCTION("""COMPUTED_VALUE"""),153)</f>
        <v>153</v>
      </c>
      <c r="R68" s="1">
        <f ca="1">IFERROR(__xludf.DUMMYFUNCTION("""COMPUTED_VALUE"""),106.3)</f>
        <v>106.3</v>
      </c>
      <c r="S68" s="1">
        <f ca="1">IFERROR(__xludf.DUMMYFUNCTION("""COMPUTED_VALUE"""),242)</f>
        <v>242</v>
      </c>
      <c r="T68" s="1">
        <f ca="1">IFERROR(__xludf.DUMMYFUNCTION("""COMPUTED_VALUE"""),-3.69)</f>
        <v>-3.69</v>
      </c>
      <c r="U68" s="1">
        <f ca="1">IFERROR(__xludf.DUMMYFUNCTION("""COMPUTED_VALUE"""),271)</f>
        <v>271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IFERROR(__xludf.DUMMYFUNCTION("""COMPUTED_VALUE"""),"Arizona St.5")</f>
        <v>Arizona St.5</v>
      </c>
      <c r="C69" s="1" t="str">
        <f ca="1">IFERROR(__xludf.DUMMYFUNCTION("""COMPUTED_VALUE"""),"P12")</f>
        <v>P12</v>
      </c>
      <c r="D69" s="1" t="str">
        <f ca="1">IFERROR(__xludf.DUMMYFUNCTION("""COMPUTED_VALUE"""),"18-16")</f>
        <v>18-16</v>
      </c>
      <c r="E69" s="1" t="str">
        <f ca="1">IFERROR(__xludf.DUMMYFUNCTION("""COMPUTED_VALUE"""),"+11.13")</f>
        <v>+11.13</v>
      </c>
      <c r="F69" s="1">
        <f ca="1">IFERROR(__xludf.DUMMYFUNCTION("""COMPUTED_VALUE"""),109.8)</f>
        <v>109.8</v>
      </c>
      <c r="G69" s="1">
        <f ca="1">IFERROR(__xludf.DUMMYFUNCTION("""COMPUTED_VALUE"""),69)</f>
        <v>69</v>
      </c>
      <c r="H69" s="1">
        <f ca="1">IFERROR(__xludf.DUMMYFUNCTION("""COMPUTED_VALUE"""),98.7)</f>
        <v>98.7</v>
      </c>
      <c r="I69" s="1">
        <f ca="1">IFERROR(__xludf.DUMMYFUNCTION("""COMPUTED_VALUE"""),73)</f>
        <v>73</v>
      </c>
      <c r="J69" s="1">
        <f ca="1">IFERROR(__xludf.DUMMYFUNCTION("""COMPUTED_VALUE"""),65.8)</f>
        <v>65.8</v>
      </c>
      <c r="K69" s="1">
        <f ca="1">IFERROR(__xludf.DUMMYFUNCTION("""COMPUTED_VALUE"""),98)</f>
        <v>98</v>
      </c>
      <c r="L69" s="1">
        <f ca="1">IFERROR(__xludf.DUMMYFUNCTION("""COMPUTED_VALUE"""),-0.035)</f>
        <v>-3.5000000000000003E-2</v>
      </c>
      <c r="M69" s="1">
        <f ca="1">IFERROR(__xludf.DUMMYFUNCTION("""COMPUTED_VALUE"""),267)</f>
        <v>267</v>
      </c>
      <c r="N69" s="1" t="str">
        <f ca="1">IFERROR(__xludf.DUMMYFUNCTION("""COMPUTED_VALUE"""),"+6.57")</f>
        <v>+6.57</v>
      </c>
      <c r="O69" s="1">
        <f ca="1">IFERROR(__xludf.DUMMYFUNCTION("""COMPUTED_VALUE"""),59)</f>
        <v>59</v>
      </c>
      <c r="P69" s="1">
        <f ca="1">IFERROR(__xludf.DUMMYFUNCTION("""COMPUTED_VALUE"""),106.7)</f>
        <v>106.7</v>
      </c>
      <c r="Q69" s="1">
        <f ca="1">IFERROR(__xludf.DUMMYFUNCTION("""COMPUTED_VALUE"""),76)</f>
        <v>76</v>
      </c>
      <c r="R69" s="1">
        <f ca="1">IFERROR(__xludf.DUMMYFUNCTION("""COMPUTED_VALUE"""),100.2)</f>
        <v>100.2</v>
      </c>
      <c r="S69" s="1">
        <f ca="1">IFERROR(__xludf.DUMMYFUNCTION("""COMPUTED_VALUE"""),30)</f>
        <v>30</v>
      </c>
      <c r="T69" s="1">
        <f ca="1">IFERROR(__xludf.DUMMYFUNCTION("""COMPUTED_VALUE"""),-2.47)</f>
        <v>-2.4700000000000002</v>
      </c>
      <c r="U69" s="1">
        <f ca="1">IFERROR(__xludf.DUMMYFUNCTION("""COMPUTED_VALUE"""),233)</f>
        <v>233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IFERROR(__xludf.DUMMYFUNCTION("""COMPUTED_VALUE"""),"Temple1")</f>
        <v>Temple1</v>
      </c>
      <c r="C70" s="1" t="str">
        <f ca="1">IFERROR(__xludf.DUMMYFUNCTION("""COMPUTED_VALUE"""),"Amer")</f>
        <v>Amer</v>
      </c>
      <c r="D70" s="1" t="str">
        <f ca="1">IFERROR(__xludf.DUMMYFUNCTION("""COMPUTED_VALUE"""),"26-11")</f>
        <v>26-11</v>
      </c>
      <c r="E70" s="1" t="str">
        <f ca="1">IFERROR(__xludf.DUMMYFUNCTION("""COMPUTED_VALUE"""),"+11.10")</f>
        <v>+11.10</v>
      </c>
      <c r="F70" s="1">
        <f ca="1">IFERROR(__xludf.DUMMYFUNCTION("""COMPUTED_VALUE"""),105.3)</f>
        <v>105.3</v>
      </c>
      <c r="G70" s="1">
        <f ca="1">IFERROR(__xludf.DUMMYFUNCTION("""COMPUTED_VALUE"""),155)</f>
        <v>155</v>
      </c>
      <c r="H70" s="1">
        <f ca="1">IFERROR(__xludf.DUMMYFUNCTION("""COMPUTED_VALUE"""),94.2)</f>
        <v>94.2</v>
      </c>
      <c r="I70" s="1">
        <f ca="1">IFERROR(__xludf.DUMMYFUNCTION("""COMPUTED_VALUE"""),19)</f>
        <v>19</v>
      </c>
      <c r="J70" s="1">
        <f ca="1">IFERROR(__xludf.DUMMYFUNCTION("""COMPUTED_VALUE"""),65.4)</f>
        <v>65.400000000000006</v>
      </c>
      <c r="K70" s="1">
        <f ca="1">IFERROR(__xludf.DUMMYFUNCTION("""COMPUTED_VALUE"""),116)</f>
        <v>116</v>
      </c>
      <c r="L70" s="1" t="str">
        <f ca="1">IFERROR(__xludf.DUMMYFUNCTION("""COMPUTED_VALUE"""),"+.065")</f>
        <v>+.065</v>
      </c>
      <c r="M70" s="1">
        <f ca="1">IFERROR(__xludf.DUMMYFUNCTION("""COMPUTED_VALUE"""),42)</f>
        <v>42</v>
      </c>
      <c r="N70" s="1" t="str">
        <f ca="1">IFERROR(__xludf.DUMMYFUNCTION("""COMPUTED_VALUE"""),"+2.21")</f>
        <v>+2.21</v>
      </c>
      <c r="O70" s="1">
        <f ca="1">IFERROR(__xludf.DUMMYFUNCTION("""COMPUTED_VALUE"""),102)</f>
        <v>102</v>
      </c>
      <c r="P70" s="1">
        <f ca="1">IFERROR(__xludf.DUMMYFUNCTION("""COMPUTED_VALUE"""),104.8)</f>
        <v>104.8</v>
      </c>
      <c r="Q70" s="1">
        <f ca="1">IFERROR(__xludf.DUMMYFUNCTION("""COMPUTED_VALUE"""),115)</f>
        <v>115</v>
      </c>
      <c r="R70" s="1">
        <f ca="1">IFERROR(__xludf.DUMMYFUNCTION("""COMPUTED_VALUE"""),102.6)</f>
        <v>102.6</v>
      </c>
      <c r="S70" s="1">
        <f ca="1">IFERROR(__xludf.DUMMYFUNCTION("""COMPUTED_VALUE"""),97)</f>
        <v>97</v>
      </c>
      <c r="T70" s="1" t="str">
        <f ca="1">IFERROR(__xludf.DUMMYFUNCTION("""COMPUTED_VALUE"""),"+0.89")</f>
        <v>+0.89</v>
      </c>
      <c r="U70" s="1">
        <f ca="1">IFERROR(__xludf.DUMMYFUNCTION("""COMPUTED_VALUE"""),128)</f>
        <v>128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IFERROR(__xludf.DUMMYFUNCTION("""COMPUTED_VALUE"""),"Saint Mary's4")</f>
        <v>Saint Mary's4</v>
      </c>
      <c r="C71" s="1" t="str">
        <f ca="1">IFERROR(__xludf.DUMMYFUNCTION("""COMPUTED_VALUE"""),"WCC")</f>
        <v>WCC</v>
      </c>
      <c r="D71" s="1" t="str">
        <f ca="1">IFERROR(__xludf.DUMMYFUNCTION("""COMPUTED_VALUE"""),"21-10")</f>
        <v>21-10</v>
      </c>
      <c r="E71" s="1" t="str">
        <f ca="1">IFERROR(__xludf.DUMMYFUNCTION("""COMPUTED_VALUE"""),"+10.36")</f>
        <v>+10.36</v>
      </c>
      <c r="F71" s="1">
        <f ca="1">IFERROR(__xludf.DUMMYFUNCTION("""COMPUTED_VALUE"""),110.9)</f>
        <v>110.9</v>
      </c>
      <c r="G71" s="1">
        <f ca="1">IFERROR(__xludf.DUMMYFUNCTION("""COMPUTED_VALUE"""),60)</f>
        <v>60</v>
      </c>
      <c r="H71" s="1">
        <f ca="1">IFERROR(__xludf.DUMMYFUNCTION("""COMPUTED_VALUE"""),100.6)</f>
        <v>100.6</v>
      </c>
      <c r="I71" s="1">
        <f ca="1">IFERROR(__xludf.DUMMYFUNCTION("""COMPUTED_VALUE"""),102)</f>
        <v>102</v>
      </c>
      <c r="J71" s="1">
        <f ca="1">IFERROR(__xludf.DUMMYFUNCTION("""COMPUTED_VALUE"""),62.6)</f>
        <v>62.6</v>
      </c>
      <c r="K71" s="1">
        <f ca="1">IFERROR(__xludf.DUMMYFUNCTION("""COMPUTED_VALUE"""),271)</f>
        <v>271</v>
      </c>
      <c r="L71" s="1" t="str">
        <f ca="1">IFERROR(__xludf.DUMMYFUNCTION("""COMPUTED_VALUE"""),"+.027")</f>
        <v>+.027</v>
      </c>
      <c r="M71" s="1">
        <f ca="1">IFERROR(__xludf.DUMMYFUNCTION("""COMPUTED_VALUE"""),117)</f>
        <v>117</v>
      </c>
      <c r="N71" s="1" t="str">
        <f ca="1">IFERROR(__xludf.DUMMYFUNCTION("""COMPUTED_VALUE"""),"+2.32")</f>
        <v>+2.32</v>
      </c>
      <c r="O71" s="1">
        <f ca="1">IFERROR(__xludf.DUMMYFUNCTION("""COMPUTED_VALUE"""),100)</f>
        <v>100</v>
      </c>
      <c r="P71" s="1">
        <f ca="1">IFERROR(__xludf.DUMMYFUNCTION("""COMPUTED_VALUE"""),106.7)</f>
        <v>106.7</v>
      </c>
      <c r="Q71" s="1">
        <f ca="1">IFERROR(__xludf.DUMMYFUNCTION("""COMPUTED_VALUE"""),78)</f>
        <v>78</v>
      </c>
      <c r="R71" s="1">
        <f ca="1">IFERROR(__xludf.DUMMYFUNCTION("""COMPUTED_VALUE"""),104.3)</f>
        <v>104.3</v>
      </c>
      <c r="S71" s="1">
        <f ca="1">IFERROR(__xludf.DUMMYFUNCTION("""COMPUTED_VALUE"""),152)</f>
        <v>152</v>
      </c>
      <c r="T71" s="1">
        <f ca="1">IFERROR(__xludf.DUMMYFUNCTION("""COMPUTED_VALUE"""),-1.13)</f>
        <v>-1.1299999999999999</v>
      </c>
      <c r="U71" s="1">
        <f ca="1">IFERROR(__xludf.DUMMYFUNCTION("""COMPUTED_VALUE"""),190)</f>
        <v>190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IFERROR(__xludf.DUMMYFUNCTION("""COMPUTED_VALUE"""),"Georgia St.14")</f>
        <v>Georgia St.14</v>
      </c>
      <c r="C72" s="1" t="str">
        <f ca="1">IFERROR(__xludf.DUMMYFUNCTION("""COMPUTED_VALUE"""),"SB")</f>
        <v>SB</v>
      </c>
      <c r="D72" s="1" t="str">
        <f ca="1">IFERROR(__xludf.DUMMYFUNCTION("""COMPUTED_VALUE"""),"25-10")</f>
        <v>25-10</v>
      </c>
      <c r="E72" s="1" t="str">
        <f ca="1">IFERROR(__xludf.DUMMYFUNCTION("""COMPUTED_VALUE"""),"+10.32")</f>
        <v>+10.32</v>
      </c>
      <c r="F72" s="1">
        <f ca="1">IFERROR(__xludf.DUMMYFUNCTION("""COMPUTED_VALUE"""),111.6)</f>
        <v>111.6</v>
      </c>
      <c r="G72" s="1">
        <f ca="1">IFERROR(__xludf.DUMMYFUNCTION("""COMPUTED_VALUE"""),52)</f>
        <v>52</v>
      </c>
      <c r="H72" s="1">
        <f ca="1">IFERROR(__xludf.DUMMYFUNCTION("""COMPUTED_VALUE"""),101.3)</f>
        <v>101.3</v>
      </c>
      <c r="I72" s="1">
        <f ca="1">IFERROR(__xludf.DUMMYFUNCTION("""COMPUTED_VALUE"""),112)</f>
        <v>112</v>
      </c>
      <c r="J72" s="1">
        <f ca="1">IFERROR(__xludf.DUMMYFUNCTION("""COMPUTED_VALUE"""),62.4)</f>
        <v>62.4</v>
      </c>
      <c r="K72" s="1">
        <f ca="1">IFERROR(__xludf.DUMMYFUNCTION("""COMPUTED_VALUE"""),275)</f>
        <v>275</v>
      </c>
      <c r="L72" s="1">
        <f ca="1">IFERROR(__xludf.DUMMYFUNCTION("""COMPUTED_VALUE"""),-0.003)</f>
        <v>-3.0000000000000001E-3</v>
      </c>
      <c r="M72" s="1">
        <f ca="1">IFERROR(__xludf.DUMMYFUNCTION("""COMPUTED_VALUE"""),192)</f>
        <v>192</v>
      </c>
      <c r="N72" s="1">
        <f ca="1">IFERROR(__xludf.DUMMYFUNCTION("""COMPUTED_VALUE"""),-1.47)</f>
        <v>-1.47</v>
      </c>
      <c r="O72" s="1">
        <f ca="1">IFERROR(__xludf.DUMMYFUNCTION("""COMPUTED_VALUE"""),174)</f>
        <v>174</v>
      </c>
      <c r="P72" s="1">
        <f ca="1">IFERROR(__xludf.DUMMYFUNCTION("""COMPUTED_VALUE"""),102.4)</f>
        <v>102.4</v>
      </c>
      <c r="Q72" s="1">
        <f ca="1">IFERROR(__xludf.DUMMYFUNCTION("""COMPUTED_VALUE"""),249)</f>
        <v>249</v>
      </c>
      <c r="R72" s="1">
        <f ca="1">IFERROR(__xludf.DUMMYFUNCTION("""COMPUTED_VALUE"""),103.9)</f>
        <v>103.9</v>
      </c>
      <c r="S72" s="1">
        <f ca="1">IFERROR(__xludf.DUMMYFUNCTION("""COMPUTED_VALUE"""),132)</f>
        <v>132</v>
      </c>
      <c r="T72" s="1" t="str">
        <f ca="1">IFERROR(__xludf.DUMMYFUNCTION("""COMPUTED_VALUE"""),"+3.63")</f>
        <v>+3.63</v>
      </c>
      <c r="U72" s="1">
        <f ca="1">IFERROR(__xludf.DUMMYFUNCTION("""COMPUTED_VALUE"""),54)</f>
        <v>54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IFERROR(__xludf.DUMMYFUNCTION("""COMPUTED_VALUE"""),"George Washington5")</f>
        <v>George Washington5</v>
      </c>
      <c r="C73" s="1" t="str">
        <f ca="1">IFERROR(__xludf.DUMMYFUNCTION("""COMPUTED_VALUE"""),"A10")</f>
        <v>A10</v>
      </c>
      <c r="D73" s="1" t="str">
        <f ca="1">IFERROR(__xludf.DUMMYFUNCTION("""COMPUTED_VALUE"""),"22-13")</f>
        <v>22-13</v>
      </c>
      <c r="E73" s="1" t="str">
        <f ca="1">IFERROR(__xludf.DUMMYFUNCTION("""COMPUTED_VALUE"""),"+10.19")</f>
        <v>+10.19</v>
      </c>
      <c r="F73" s="1">
        <f ca="1">IFERROR(__xludf.DUMMYFUNCTION("""COMPUTED_VALUE"""),108.4)</f>
        <v>108.4</v>
      </c>
      <c r="G73" s="1">
        <f ca="1">IFERROR(__xludf.DUMMYFUNCTION("""COMPUTED_VALUE"""),90)</f>
        <v>90</v>
      </c>
      <c r="H73" s="1">
        <f ca="1">IFERROR(__xludf.DUMMYFUNCTION("""COMPUTED_VALUE"""),98.2)</f>
        <v>98.2</v>
      </c>
      <c r="I73" s="1">
        <f ca="1">IFERROR(__xludf.DUMMYFUNCTION("""COMPUTED_VALUE"""),65)</f>
        <v>65</v>
      </c>
      <c r="J73" s="1">
        <f ca="1">IFERROR(__xludf.DUMMYFUNCTION("""COMPUTED_VALUE"""),61.9)</f>
        <v>61.9</v>
      </c>
      <c r="K73" s="1">
        <f ca="1">IFERROR(__xludf.DUMMYFUNCTION("""COMPUTED_VALUE"""),299)</f>
        <v>299</v>
      </c>
      <c r="L73" s="1" t="str">
        <f ca="1">IFERROR(__xludf.DUMMYFUNCTION("""COMPUTED_VALUE"""),"+.009")</f>
        <v>+.009</v>
      </c>
      <c r="M73" s="1">
        <f ca="1">IFERROR(__xludf.DUMMYFUNCTION("""COMPUTED_VALUE"""),164)</f>
        <v>164</v>
      </c>
      <c r="N73" s="1" t="str">
        <f ca="1">IFERROR(__xludf.DUMMYFUNCTION("""COMPUTED_VALUE"""),"+3.34")</f>
        <v>+3.34</v>
      </c>
      <c r="O73" s="1">
        <f ca="1">IFERROR(__xludf.DUMMYFUNCTION("""COMPUTED_VALUE"""),89)</f>
        <v>89</v>
      </c>
      <c r="P73" s="1">
        <f ca="1">IFERROR(__xludf.DUMMYFUNCTION("""COMPUTED_VALUE"""),105.7)</f>
        <v>105.7</v>
      </c>
      <c r="Q73" s="1">
        <f ca="1">IFERROR(__xludf.DUMMYFUNCTION("""COMPUTED_VALUE"""),97)</f>
        <v>97</v>
      </c>
      <c r="R73" s="1">
        <f ca="1">IFERROR(__xludf.DUMMYFUNCTION("""COMPUTED_VALUE"""),102.4)</f>
        <v>102.4</v>
      </c>
      <c r="S73" s="1">
        <f ca="1">IFERROR(__xludf.DUMMYFUNCTION("""COMPUTED_VALUE"""),92)</f>
        <v>92</v>
      </c>
      <c r="T73" s="1">
        <f ca="1">IFERROR(__xludf.DUMMYFUNCTION("""COMPUTED_VALUE"""),-1.96)</f>
        <v>-1.96</v>
      </c>
      <c r="U73" s="1">
        <f ca="1">IFERROR(__xludf.DUMMYFUNCTION("""COMPUTED_VALUE"""),220)</f>
        <v>220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IFERROR(__xludf.DUMMYFUNCTION("""COMPUTED_VALUE"""),"Old Dominion1")</f>
        <v>Old Dominion1</v>
      </c>
      <c r="C74" s="1" t="str">
        <f ca="1">IFERROR(__xludf.DUMMYFUNCTION("""COMPUTED_VALUE"""),"CUSA")</f>
        <v>CUSA</v>
      </c>
      <c r="D74" s="1" t="str">
        <f ca="1">IFERROR(__xludf.DUMMYFUNCTION("""COMPUTED_VALUE"""),"27-8")</f>
        <v>27-8</v>
      </c>
      <c r="E74" s="1" t="str">
        <f ca="1">IFERROR(__xludf.DUMMYFUNCTION("""COMPUTED_VALUE"""),"+10.19")</f>
        <v>+10.19</v>
      </c>
      <c r="F74" s="1">
        <f ca="1">IFERROR(__xludf.DUMMYFUNCTION("""COMPUTED_VALUE"""),106.5)</f>
        <v>106.5</v>
      </c>
      <c r="G74" s="1">
        <f ca="1">IFERROR(__xludf.DUMMYFUNCTION("""COMPUTED_VALUE"""),124)</f>
        <v>124</v>
      </c>
      <c r="H74" s="1">
        <f ca="1">IFERROR(__xludf.DUMMYFUNCTION("""COMPUTED_VALUE"""),96.3)</f>
        <v>96.3</v>
      </c>
      <c r="I74" s="1">
        <f ca="1">IFERROR(__xludf.DUMMYFUNCTION("""COMPUTED_VALUE"""),46)</f>
        <v>46</v>
      </c>
      <c r="J74" s="1">
        <f ca="1">IFERROR(__xludf.DUMMYFUNCTION("""COMPUTED_VALUE"""),59.9)</f>
        <v>59.9</v>
      </c>
      <c r="K74" s="1">
        <f ca="1">IFERROR(__xludf.DUMMYFUNCTION("""COMPUTED_VALUE"""),338)</f>
        <v>338</v>
      </c>
      <c r="L74" s="1" t="str">
        <f ca="1">IFERROR(__xludf.DUMMYFUNCTION("""COMPUTED_VALUE"""),"+.047")</f>
        <v>+.047</v>
      </c>
      <c r="M74" s="1">
        <f ca="1">IFERROR(__xludf.DUMMYFUNCTION("""COMPUTED_VALUE"""),70)</f>
        <v>70</v>
      </c>
      <c r="N74" s="1">
        <f ca="1">IFERROR(__xludf.DUMMYFUNCTION("""COMPUTED_VALUE"""),-1.58)</f>
        <v>-1.58</v>
      </c>
      <c r="O74" s="1">
        <f ca="1">IFERROR(__xludf.DUMMYFUNCTION("""COMPUTED_VALUE"""),181)</f>
        <v>181</v>
      </c>
      <c r="P74" s="1">
        <f ca="1">IFERROR(__xludf.DUMMYFUNCTION("""COMPUTED_VALUE"""),103.6)</f>
        <v>103.6</v>
      </c>
      <c r="Q74" s="1">
        <f ca="1">IFERROR(__xludf.DUMMYFUNCTION("""COMPUTED_VALUE"""),187)</f>
        <v>187</v>
      </c>
      <c r="R74" s="1">
        <f ca="1">IFERROR(__xludf.DUMMYFUNCTION("""COMPUTED_VALUE"""),105.1)</f>
        <v>105.1</v>
      </c>
      <c r="S74" s="1">
        <f ca="1">IFERROR(__xludf.DUMMYFUNCTION("""COMPUTED_VALUE"""),187)</f>
        <v>187</v>
      </c>
      <c r="T74" s="1">
        <f ca="1">IFERROR(__xludf.DUMMYFUNCTION("""COMPUTED_VALUE"""),-1.21)</f>
        <v>-1.21</v>
      </c>
      <c r="U74" s="1">
        <f ca="1">IFERROR(__xludf.DUMMYFUNCTION("""COMPUTED_VALUE"""),194)</f>
        <v>194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IFERROR(__xludf.DUMMYFUNCTION("""COMPUTED_VALUE"""),"Green Bay5")</f>
        <v>Green Bay5</v>
      </c>
      <c r="C75" s="1" t="str">
        <f ca="1">IFERROR(__xludf.DUMMYFUNCTION("""COMPUTED_VALUE"""),"Horz")</f>
        <v>Horz</v>
      </c>
      <c r="D75" s="1" t="str">
        <f ca="1">IFERROR(__xludf.DUMMYFUNCTION("""COMPUTED_VALUE"""),"24-9")</f>
        <v>24-9</v>
      </c>
      <c r="E75" s="1" t="str">
        <f ca="1">IFERROR(__xludf.DUMMYFUNCTION("""COMPUTED_VALUE"""),"+10.11")</f>
        <v>+10.11</v>
      </c>
      <c r="F75" s="1">
        <f ca="1">IFERROR(__xludf.DUMMYFUNCTION("""COMPUTED_VALUE"""),104.7)</f>
        <v>104.7</v>
      </c>
      <c r="G75" s="1">
        <f ca="1">IFERROR(__xludf.DUMMYFUNCTION("""COMPUTED_VALUE"""),167)</f>
        <v>167</v>
      </c>
      <c r="H75" s="1">
        <f ca="1">IFERROR(__xludf.DUMMYFUNCTION("""COMPUTED_VALUE"""),94.6)</f>
        <v>94.6</v>
      </c>
      <c r="I75" s="1">
        <f ca="1">IFERROR(__xludf.DUMMYFUNCTION("""COMPUTED_VALUE"""),24)</f>
        <v>24</v>
      </c>
      <c r="J75" s="1">
        <f ca="1">IFERROR(__xludf.DUMMYFUNCTION("""COMPUTED_VALUE"""),64.9)</f>
        <v>64.900000000000006</v>
      </c>
      <c r="K75" s="1">
        <f ca="1">IFERROR(__xludf.DUMMYFUNCTION("""COMPUTED_VALUE"""),141)</f>
        <v>141</v>
      </c>
      <c r="L75" s="1" t="str">
        <f ca="1">IFERROR(__xludf.DUMMYFUNCTION("""COMPUTED_VALUE"""),"+.031")</f>
        <v>+.031</v>
      </c>
      <c r="M75" s="1">
        <f ca="1">IFERROR(__xludf.DUMMYFUNCTION("""COMPUTED_VALUE"""),103)</f>
        <v>103</v>
      </c>
      <c r="N75" s="1" t="str">
        <f ca="1">IFERROR(__xludf.DUMMYFUNCTION("""COMPUTED_VALUE"""),"+0.01")</f>
        <v>+0.01</v>
      </c>
      <c r="O75" s="1">
        <f ca="1">IFERROR(__xludf.DUMMYFUNCTION("""COMPUTED_VALUE"""),143)</f>
        <v>143</v>
      </c>
      <c r="P75" s="1">
        <f ca="1">IFERROR(__xludf.DUMMYFUNCTION("""COMPUTED_VALUE"""),105.4)</f>
        <v>105.4</v>
      </c>
      <c r="Q75" s="1">
        <f ca="1">IFERROR(__xludf.DUMMYFUNCTION("""COMPUTED_VALUE"""),105)</f>
        <v>105</v>
      </c>
      <c r="R75" s="1">
        <f ca="1">IFERROR(__xludf.DUMMYFUNCTION("""COMPUTED_VALUE"""),105.4)</f>
        <v>105.4</v>
      </c>
      <c r="S75" s="1">
        <f ca="1">IFERROR(__xludf.DUMMYFUNCTION("""COMPUTED_VALUE"""),202)</f>
        <v>202</v>
      </c>
      <c r="T75" s="1" t="str">
        <f ca="1">IFERROR(__xludf.DUMMYFUNCTION("""COMPUTED_VALUE"""),"+1.78")</f>
        <v>+1.78</v>
      </c>
      <c r="U75" s="1">
        <f ca="1">IFERROR(__xludf.DUMMYFUNCTION("""COMPUTED_VALUE"""),107)</f>
        <v>107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IFERROR(__xludf.DUMMYFUNCTION("""COMPUTED_VALUE"""),"Colorado St.1")</f>
        <v>Colorado St.1</v>
      </c>
      <c r="C76" s="1" t="str">
        <f ca="1">IFERROR(__xludf.DUMMYFUNCTION("""COMPUTED_VALUE"""),"MWC")</f>
        <v>MWC</v>
      </c>
      <c r="D76" s="1" t="str">
        <f ca="1">IFERROR(__xludf.DUMMYFUNCTION("""COMPUTED_VALUE"""),"27-7")</f>
        <v>27-7</v>
      </c>
      <c r="E76" s="1" t="str">
        <f ca="1">IFERROR(__xludf.DUMMYFUNCTION("""COMPUTED_VALUE"""),"+10.01")</f>
        <v>+10.01</v>
      </c>
      <c r="F76" s="1">
        <f ca="1">IFERROR(__xludf.DUMMYFUNCTION("""COMPUTED_VALUE"""),111.6)</f>
        <v>111.6</v>
      </c>
      <c r="G76" s="1">
        <f ca="1">IFERROR(__xludf.DUMMYFUNCTION("""COMPUTED_VALUE"""),54)</f>
        <v>54</v>
      </c>
      <c r="H76" s="1">
        <f ca="1">IFERROR(__xludf.DUMMYFUNCTION("""COMPUTED_VALUE"""),101.6)</f>
        <v>101.6</v>
      </c>
      <c r="I76" s="1">
        <f ca="1">IFERROR(__xludf.DUMMYFUNCTION("""COMPUTED_VALUE"""),118)</f>
        <v>118</v>
      </c>
      <c r="J76" s="1">
        <f ca="1">IFERROR(__xludf.DUMMYFUNCTION("""COMPUTED_VALUE"""),66.6)</f>
        <v>66.599999999999994</v>
      </c>
      <c r="K76" s="1">
        <f ca="1">IFERROR(__xludf.DUMMYFUNCTION("""COMPUTED_VALUE"""),64)</f>
        <v>64</v>
      </c>
      <c r="L76" s="1" t="str">
        <f ca="1">IFERROR(__xludf.DUMMYFUNCTION("""COMPUTED_VALUE"""),"+.087")</f>
        <v>+.087</v>
      </c>
      <c r="M76" s="1">
        <f ca="1">IFERROR(__xludf.DUMMYFUNCTION("""COMPUTED_VALUE"""),16)</f>
        <v>16</v>
      </c>
      <c r="N76" s="1">
        <f ca="1">IFERROR(__xludf.DUMMYFUNCTION("""COMPUTED_VALUE"""),-0.22)</f>
        <v>-0.22</v>
      </c>
      <c r="O76" s="1">
        <f ca="1">IFERROR(__xludf.DUMMYFUNCTION("""COMPUTED_VALUE"""),146)</f>
        <v>146</v>
      </c>
      <c r="P76" s="1">
        <f ca="1">IFERROR(__xludf.DUMMYFUNCTION("""COMPUTED_VALUE"""),103.9)</f>
        <v>103.9</v>
      </c>
      <c r="Q76" s="1">
        <f ca="1">IFERROR(__xludf.DUMMYFUNCTION("""COMPUTED_VALUE"""),165)</f>
        <v>165</v>
      </c>
      <c r="R76" s="1">
        <f ca="1">IFERROR(__xludf.DUMMYFUNCTION("""COMPUTED_VALUE"""),104.1)</f>
        <v>104.1</v>
      </c>
      <c r="S76" s="1">
        <f ca="1">IFERROR(__xludf.DUMMYFUNCTION("""COMPUTED_VALUE"""),142)</f>
        <v>142</v>
      </c>
      <c r="T76" s="1">
        <f ca="1">IFERROR(__xludf.DUMMYFUNCTION("""COMPUTED_VALUE"""),-1.63)</f>
        <v>-1.63</v>
      </c>
      <c r="U76" s="1">
        <f ca="1">IFERROR(__xludf.DUMMYFUNCTION("""COMPUTED_VALUE"""),207)</f>
        <v>207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IFERROR(__xludf.DUMMYFUNCTION("""COMPUTED_VALUE"""),"Connecticut4")</f>
        <v>Connecticut4</v>
      </c>
      <c r="C77" s="1" t="str">
        <f ca="1">IFERROR(__xludf.DUMMYFUNCTION("""COMPUTED_VALUE"""),"Amer")</f>
        <v>Amer</v>
      </c>
      <c r="D77" s="1" t="str">
        <f ca="1">IFERROR(__xludf.DUMMYFUNCTION("""COMPUTED_VALUE"""),"20-15")</f>
        <v>20-15</v>
      </c>
      <c r="E77" s="1" t="str">
        <f ca="1">IFERROR(__xludf.DUMMYFUNCTION("""COMPUTED_VALUE"""),"+9.98")</f>
        <v>+9.98</v>
      </c>
      <c r="F77" s="1">
        <f ca="1">IFERROR(__xludf.DUMMYFUNCTION("""COMPUTED_VALUE"""),107.7)</f>
        <v>107.7</v>
      </c>
      <c r="G77" s="1">
        <f ca="1">IFERROR(__xludf.DUMMYFUNCTION("""COMPUTED_VALUE"""),102)</f>
        <v>102</v>
      </c>
      <c r="H77" s="1">
        <f ca="1">IFERROR(__xludf.DUMMYFUNCTION("""COMPUTED_VALUE"""),97.7)</f>
        <v>97.7</v>
      </c>
      <c r="I77" s="1">
        <f ca="1">IFERROR(__xludf.DUMMYFUNCTION("""COMPUTED_VALUE"""),60)</f>
        <v>60</v>
      </c>
      <c r="J77" s="1">
        <f ca="1">IFERROR(__xludf.DUMMYFUNCTION("""COMPUTED_VALUE"""),62.1)</f>
        <v>62.1</v>
      </c>
      <c r="K77" s="1">
        <f ca="1">IFERROR(__xludf.DUMMYFUNCTION("""COMPUTED_VALUE"""),287)</f>
        <v>287</v>
      </c>
      <c r="L77" s="1">
        <f ca="1">IFERROR(__xludf.DUMMYFUNCTION("""COMPUTED_VALUE"""),-0.065)</f>
        <v>-6.5000000000000002E-2</v>
      </c>
      <c r="M77" s="1">
        <f ca="1">IFERROR(__xludf.DUMMYFUNCTION("""COMPUTED_VALUE"""),319)</f>
        <v>319</v>
      </c>
      <c r="N77" s="1" t="str">
        <f ca="1">IFERROR(__xludf.DUMMYFUNCTION("""COMPUTED_VALUE"""),"+3.07")</f>
        <v>+3.07</v>
      </c>
      <c r="O77" s="1">
        <f ca="1">IFERROR(__xludf.DUMMYFUNCTION("""COMPUTED_VALUE"""),94)</f>
        <v>94</v>
      </c>
      <c r="P77" s="1">
        <f ca="1">IFERROR(__xludf.DUMMYFUNCTION("""COMPUTED_VALUE"""),104.8)</f>
        <v>104.8</v>
      </c>
      <c r="Q77" s="1">
        <f ca="1">IFERROR(__xludf.DUMMYFUNCTION("""COMPUTED_VALUE"""),118)</f>
        <v>118</v>
      </c>
      <c r="R77" s="1">
        <f ca="1">IFERROR(__xludf.DUMMYFUNCTION("""COMPUTED_VALUE"""),101.7)</f>
        <v>101.7</v>
      </c>
      <c r="S77" s="1">
        <f ca="1">IFERROR(__xludf.DUMMYFUNCTION("""COMPUTED_VALUE"""),77)</f>
        <v>77</v>
      </c>
      <c r="T77" s="1" t="str">
        <f ca="1">IFERROR(__xludf.DUMMYFUNCTION("""COMPUTED_VALUE"""),"+4.02")</f>
        <v>+4.02</v>
      </c>
      <c r="U77" s="1">
        <f ca="1">IFERROR(__xludf.DUMMYFUNCTION("""COMPUTED_VALUE"""),46)</f>
        <v>46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IFERROR(__xludf.DUMMYFUNCTION("""COMPUTED_VALUE"""),"Michigan")</f>
        <v>Michigan</v>
      </c>
      <c r="C78" s="1" t="str">
        <f ca="1">IFERROR(__xludf.DUMMYFUNCTION("""COMPUTED_VALUE"""),"B10")</f>
        <v>B10</v>
      </c>
      <c r="D78" s="1" t="str">
        <f ca="1">IFERROR(__xludf.DUMMYFUNCTION("""COMPUTED_VALUE"""),"16-16")</f>
        <v>16-16</v>
      </c>
      <c r="E78" s="1" t="str">
        <f ca="1">IFERROR(__xludf.DUMMYFUNCTION("""COMPUTED_VALUE"""),"+9.55")</f>
        <v>+9.55</v>
      </c>
      <c r="F78" s="1">
        <f ca="1">IFERROR(__xludf.DUMMYFUNCTION("""COMPUTED_VALUE"""),110)</f>
        <v>110</v>
      </c>
      <c r="G78" s="1">
        <f ca="1">IFERROR(__xludf.DUMMYFUNCTION("""COMPUTED_VALUE"""),67)</f>
        <v>67</v>
      </c>
      <c r="H78" s="1">
        <f ca="1">IFERROR(__xludf.DUMMYFUNCTION("""COMPUTED_VALUE"""),100.5)</f>
        <v>100.5</v>
      </c>
      <c r="I78" s="1">
        <f ca="1">IFERROR(__xludf.DUMMYFUNCTION("""COMPUTED_VALUE"""),100)</f>
        <v>100</v>
      </c>
      <c r="J78" s="1">
        <f ca="1">IFERROR(__xludf.DUMMYFUNCTION("""COMPUTED_VALUE"""),59.7)</f>
        <v>59.7</v>
      </c>
      <c r="K78" s="1">
        <f ca="1">IFERROR(__xludf.DUMMYFUNCTION("""COMPUTED_VALUE"""),340)</f>
        <v>340</v>
      </c>
      <c r="L78" s="1">
        <f ca="1">IFERROR(__xludf.DUMMYFUNCTION("""COMPUTED_VALUE"""),-0.008)</f>
        <v>-8.0000000000000002E-3</v>
      </c>
      <c r="M78" s="1">
        <f ca="1">IFERROR(__xludf.DUMMYFUNCTION("""COMPUTED_VALUE"""),206)</f>
        <v>206</v>
      </c>
      <c r="N78" s="1" t="str">
        <f ca="1">IFERROR(__xludf.DUMMYFUNCTION("""COMPUTED_VALUE"""),"+9.39")</f>
        <v>+9.39</v>
      </c>
      <c r="O78" s="1">
        <f ca="1">IFERROR(__xludf.DUMMYFUNCTION("""COMPUTED_VALUE"""),21)</f>
        <v>21</v>
      </c>
      <c r="P78" s="1">
        <f ca="1">IFERROR(__xludf.DUMMYFUNCTION("""COMPUTED_VALUE"""),109.4)</f>
        <v>109.4</v>
      </c>
      <c r="Q78" s="1">
        <f ca="1">IFERROR(__xludf.DUMMYFUNCTION("""COMPUTED_VALUE"""),14)</f>
        <v>14</v>
      </c>
      <c r="R78" s="1">
        <f ca="1">IFERROR(__xludf.DUMMYFUNCTION("""COMPUTED_VALUE"""),100)</f>
        <v>100</v>
      </c>
      <c r="S78" s="1">
        <f ca="1">IFERROR(__xludf.DUMMYFUNCTION("""COMPUTED_VALUE"""),24)</f>
        <v>24</v>
      </c>
      <c r="T78" s="1" t="str">
        <f ca="1">IFERROR(__xludf.DUMMYFUNCTION("""COMPUTED_VALUE"""),"+0.28")</f>
        <v>+0.28</v>
      </c>
      <c r="U78" s="1">
        <f ca="1">IFERROR(__xludf.DUMMYFUNCTION("""COMPUTED_VALUE"""),150)</f>
        <v>150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IFERROR(__xludf.DUMMYFUNCTION("""COMPUTED_VALUE"""),"Harvard13")</f>
        <v>Harvard13</v>
      </c>
      <c r="C79" s="1" t="str">
        <f ca="1">IFERROR(__xludf.DUMMYFUNCTION("""COMPUTED_VALUE"""),"Ivy")</f>
        <v>Ivy</v>
      </c>
      <c r="D79" s="1" t="str">
        <f ca="1">IFERROR(__xludf.DUMMYFUNCTION("""COMPUTED_VALUE"""),"22-8")</f>
        <v>22-8</v>
      </c>
      <c r="E79" s="1" t="str">
        <f ca="1">IFERROR(__xludf.DUMMYFUNCTION("""COMPUTED_VALUE"""),"+9.23")</f>
        <v>+9.23</v>
      </c>
      <c r="F79" s="1">
        <f ca="1">IFERROR(__xludf.DUMMYFUNCTION("""COMPUTED_VALUE"""),104.8)</f>
        <v>104.8</v>
      </c>
      <c r="G79" s="1">
        <f ca="1">IFERROR(__xludf.DUMMYFUNCTION("""COMPUTED_VALUE"""),165)</f>
        <v>165</v>
      </c>
      <c r="H79" s="1">
        <f ca="1">IFERROR(__xludf.DUMMYFUNCTION("""COMPUTED_VALUE"""),95.6)</f>
        <v>95.6</v>
      </c>
      <c r="I79" s="1">
        <f ca="1">IFERROR(__xludf.DUMMYFUNCTION("""COMPUTED_VALUE"""),39)</f>
        <v>39</v>
      </c>
      <c r="J79" s="1">
        <f ca="1">IFERROR(__xludf.DUMMYFUNCTION("""COMPUTED_VALUE"""),61.1)</f>
        <v>61.1</v>
      </c>
      <c r="K79" s="1">
        <f ca="1">IFERROR(__xludf.DUMMYFUNCTION("""COMPUTED_VALUE"""),317)</f>
        <v>317</v>
      </c>
      <c r="L79" s="1" t="str">
        <f ca="1">IFERROR(__xludf.DUMMYFUNCTION("""COMPUTED_VALUE"""),"+.091")</f>
        <v>+.091</v>
      </c>
      <c r="M79" s="1">
        <f ca="1">IFERROR(__xludf.DUMMYFUNCTION("""COMPUTED_VALUE"""),13)</f>
        <v>13</v>
      </c>
      <c r="N79" s="1">
        <f ca="1">IFERROR(__xludf.DUMMYFUNCTION("""COMPUTED_VALUE"""),-0.18)</f>
        <v>-0.18</v>
      </c>
      <c r="O79" s="1">
        <f ca="1">IFERROR(__xludf.DUMMYFUNCTION("""COMPUTED_VALUE"""),145)</f>
        <v>145</v>
      </c>
      <c r="P79" s="1">
        <f ca="1">IFERROR(__xludf.DUMMYFUNCTION("""COMPUTED_VALUE"""),104.3)</f>
        <v>104.3</v>
      </c>
      <c r="Q79" s="1">
        <f ca="1">IFERROR(__xludf.DUMMYFUNCTION("""COMPUTED_VALUE"""),146)</f>
        <v>146</v>
      </c>
      <c r="R79" s="1">
        <f ca="1">IFERROR(__xludf.DUMMYFUNCTION("""COMPUTED_VALUE"""),104.5)</f>
        <v>104.5</v>
      </c>
      <c r="S79" s="1">
        <f ca="1">IFERROR(__xludf.DUMMYFUNCTION("""COMPUTED_VALUE"""),158)</f>
        <v>158</v>
      </c>
      <c r="T79" s="1" t="str">
        <f ca="1">IFERROR(__xludf.DUMMYFUNCTION("""COMPUTED_VALUE"""),"+0.36")</f>
        <v>+0.36</v>
      </c>
      <c r="U79" s="1">
        <f ca="1">IFERROR(__xludf.DUMMYFUNCTION("""COMPUTED_VALUE"""),145)</f>
        <v>145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IFERROR(__xludf.DUMMYFUNCTION("""COMPUTED_VALUE"""),"Louisiana Tech3")</f>
        <v>Louisiana Tech3</v>
      </c>
      <c r="C80" s="1" t="str">
        <f ca="1">IFERROR(__xludf.DUMMYFUNCTION("""COMPUTED_VALUE"""),"CUSA")</f>
        <v>CUSA</v>
      </c>
      <c r="D80" s="1" t="str">
        <f ca="1">IFERROR(__xludf.DUMMYFUNCTION("""COMPUTED_VALUE"""),"27-9")</f>
        <v>27-9</v>
      </c>
      <c r="E80" s="1" t="str">
        <f ca="1">IFERROR(__xludf.DUMMYFUNCTION("""COMPUTED_VALUE"""),"+9.18")</f>
        <v>+9.18</v>
      </c>
      <c r="F80" s="1">
        <f ca="1">IFERROR(__xludf.DUMMYFUNCTION("""COMPUTED_VALUE"""),109)</f>
        <v>109</v>
      </c>
      <c r="G80" s="1">
        <f ca="1">IFERROR(__xludf.DUMMYFUNCTION("""COMPUTED_VALUE"""),80)</f>
        <v>80</v>
      </c>
      <c r="H80" s="1">
        <f ca="1">IFERROR(__xludf.DUMMYFUNCTION("""COMPUTED_VALUE"""),99.8)</f>
        <v>99.8</v>
      </c>
      <c r="I80" s="1">
        <f ca="1">IFERROR(__xludf.DUMMYFUNCTION("""COMPUTED_VALUE"""),93)</f>
        <v>93</v>
      </c>
      <c r="J80" s="1">
        <f ca="1">IFERROR(__xludf.DUMMYFUNCTION("""COMPUTED_VALUE"""),67.4)</f>
        <v>67.400000000000006</v>
      </c>
      <c r="K80" s="1">
        <f ca="1">IFERROR(__xludf.DUMMYFUNCTION("""COMPUTED_VALUE"""),44)</f>
        <v>44</v>
      </c>
      <c r="L80" s="1" t="str">
        <f ca="1">IFERROR(__xludf.DUMMYFUNCTION("""COMPUTED_VALUE"""),"+.033")</f>
        <v>+.033</v>
      </c>
      <c r="M80" s="1">
        <f ca="1">IFERROR(__xludf.DUMMYFUNCTION("""COMPUTED_VALUE"""),93)</f>
        <v>93</v>
      </c>
      <c r="N80" s="1">
        <f ca="1">IFERROR(__xludf.DUMMYFUNCTION("""COMPUTED_VALUE"""),-1.56)</f>
        <v>-1.56</v>
      </c>
      <c r="O80" s="1">
        <f ca="1">IFERROR(__xludf.DUMMYFUNCTION("""COMPUTED_VALUE"""),179)</f>
        <v>179</v>
      </c>
      <c r="P80" s="1">
        <f ca="1">IFERROR(__xludf.DUMMYFUNCTION("""COMPUTED_VALUE"""),103)</f>
        <v>103</v>
      </c>
      <c r="Q80" s="1">
        <f ca="1">IFERROR(__xludf.DUMMYFUNCTION("""COMPUTED_VALUE"""),216)</f>
        <v>216</v>
      </c>
      <c r="R80" s="1">
        <f ca="1">IFERROR(__xludf.DUMMYFUNCTION("""COMPUTED_VALUE"""),104.6)</f>
        <v>104.6</v>
      </c>
      <c r="S80" s="1">
        <f ca="1">IFERROR(__xludf.DUMMYFUNCTION("""COMPUTED_VALUE"""),161)</f>
        <v>161</v>
      </c>
      <c r="T80" s="1">
        <f ca="1">IFERROR(__xludf.DUMMYFUNCTION("""COMPUTED_VALUE"""),-3.75)</f>
        <v>-3.75</v>
      </c>
      <c r="U80" s="1">
        <f ca="1">IFERROR(__xludf.DUMMYFUNCTION("""COMPUTED_VALUE"""),272)</f>
        <v>272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IFERROR(__xludf.DUMMYFUNCTION("""COMPUTED_VALUE"""),"Yale")</f>
        <v>Yale</v>
      </c>
      <c r="C81" s="1" t="str">
        <f ca="1">IFERROR(__xludf.DUMMYFUNCTION("""COMPUTED_VALUE"""),"Ivy")</f>
        <v>Ivy</v>
      </c>
      <c r="D81" s="1" t="str">
        <f ca="1">IFERROR(__xludf.DUMMYFUNCTION("""COMPUTED_VALUE"""),"22-10")</f>
        <v>22-10</v>
      </c>
      <c r="E81" s="1" t="str">
        <f ca="1">IFERROR(__xludf.DUMMYFUNCTION("""COMPUTED_VALUE"""),"+8.78")</f>
        <v>+8.78</v>
      </c>
      <c r="F81" s="1">
        <f ca="1">IFERROR(__xludf.DUMMYFUNCTION("""COMPUTED_VALUE"""),107.3)</f>
        <v>107.3</v>
      </c>
      <c r="G81" s="1">
        <f ca="1">IFERROR(__xludf.DUMMYFUNCTION("""COMPUTED_VALUE"""),114)</f>
        <v>114</v>
      </c>
      <c r="H81" s="1">
        <f ca="1">IFERROR(__xludf.DUMMYFUNCTION("""COMPUTED_VALUE"""),98.6)</f>
        <v>98.6</v>
      </c>
      <c r="I81" s="1">
        <f ca="1">IFERROR(__xludf.DUMMYFUNCTION("""COMPUTED_VALUE"""),71)</f>
        <v>71</v>
      </c>
      <c r="J81" s="1">
        <f ca="1">IFERROR(__xludf.DUMMYFUNCTION("""COMPUTED_VALUE"""),61.9)</f>
        <v>61.9</v>
      </c>
      <c r="K81" s="1">
        <f ca="1">IFERROR(__xludf.DUMMYFUNCTION("""COMPUTED_VALUE"""),298)</f>
        <v>298</v>
      </c>
      <c r="L81" s="1" t="str">
        <f ca="1">IFERROR(__xludf.DUMMYFUNCTION("""COMPUTED_VALUE"""),"+.029")</f>
        <v>+.029</v>
      </c>
      <c r="M81" s="1">
        <f ca="1">IFERROR(__xludf.DUMMYFUNCTION("""COMPUTED_VALUE"""),113)</f>
        <v>113</v>
      </c>
      <c r="N81" s="1" t="str">
        <f ca="1">IFERROR(__xludf.DUMMYFUNCTION("""COMPUTED_VALUE"""),"+0.89")</f>
        <v>+0.89</v>
      </c>
      <c r="O81" s="1">
        <f ca="1">IFERROR(__xludf.DUMMYFUNCTION("""COMPUTED_VALUE"""),128)</f>
        <v>128</v>
      </c>
      <c r="P81" s="1">
        <f ca="1">IFERROR(__xludf.DUMMYFUNCTION("""COMPUTED_VALUE"""),104.4)</f>
        <v>104.4</v>
      </c>
      <c r="Q81" s="1">
        <f ca="1">IFERROR(__xludf.DUMMYFUNCTION("""COMPUTED_VALUE"""),133)</f>
        <v>133</v>
      </c>
      <c r="R81" s="1">
        <f ca="1">IFERROR(__xludf.DUMMYFUNCTION("""COMPUTED_VALUE"""),103.5)</f>
        <v>103.5</v>
      </c>
      <c r="S81" s="1">
        <f ca="1">IFERROR(__xludf.DUMMYFUNCTION("""COMPUTED_VALUE"""),117)</f>
        <v>117</v>
      </c>
      <c r="T81" s="1" t="str">
        <f ca="1">IFERROR(__xludf.DUMMYFUNCTION("""COMPUTED_VALUE"""),"+3.94")</f>
        <v>+3.94</v>
      </c>
      <c r="U81" s="1">
        <f ca="1">IFERROR(__xludf.DUMMYFUNCTION("""COMPUTED_VALUE"""),49)</f>
        <v>49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IFERROR(__xludf.DUMMYFUNCTION("""COMPUTED_VALUE"""),"Pittsburgh4")</f>
        <v>Pittsburgh4</v>
      </c>
      <c r="C82" s="1" t="str">
        <f ca="1">IFERROR(__xludf.DUMMYFUNCTION("""COMPUTED_VALUE"""),"ACC")</f>
        <v>ACC</v>
      </c>
      <c r="D82" s="1" t="str">
        <f ca="1">IFERROR(__xludf.DUMMYFUNCTION("""COMPUTED_VALUE"""),"19-15")</f>
        <v>19-15</v>
      </c>
      <c r="E82" s="1" t="str">
        <f ca="1">IFERROR(__xludf.DUMMYFUNCTION("""COMPUTED_VALUE"""),"+8.65")</f>
        <v>+8.65</v>
      </c>
      <c r="F82" s="1">
        <f ca="1">IFERROR(__xludf.DUMMYFUNCTION("""COMPUTED_VALUE"""),113.5)</f>
        <v>113.5</v>
      </c>
      <c r="G82" s="1">
        <f ca="1">IFERROR(__xludf.DUMMYFUNCTION("""COMPUTED_VALUE"""),35)</f>
        <v>35</v>
      </c>
      <c r="H82" s="1">
        <f ca="1">IFERROR(__xludf.DUMMYFUNCTION("""COMPUTED_VALUE"""),104.8)</f>
        <v>104.8</v>
      </c>
      <c r="I82" s="1">
        <f ca="1">IFERROR(__xludf.DUMMYFUNCTION("""COMPUTED_VALUE"""),180)</f>
        <v>180</v>
      </c>
      <c r="J82" s="1">
        <f ca="1">IFERROR(__xludf.DUMMYFUNCTION("""COMPUTED_VALUE"""),60.6)</f>
        <v>60.6</v>
      </c>
      <c r="K82" s="1">
        <f ca="1">IFERROR(__xludf.DUMMYFUNCTION("""COMPUTED_VALUE"""),327)</f>
        <v>327</v>
      </c>
      <c r="L82" s="1" t="str">
        <f ca="1">IFERROR(__xludf.DUMMYFUNCTION("""COMPUTED_VALUE"""),"+.012")</f>
        <v>+.012</v>
      </c>
      <c r="M82" s="1">
        <f ca="1">IFERROR(__xludf.DUMMYFUNCTION("""COMPUTED_VALUE"""),155)</f>
        <v>155</v>
      </c>
      <c r="N82" s="1" t="str">
        <f ca="1">IFERROR(__xludf.DUMMYFUNCTION("""COMPUTED_VALUE"""),"+6.35")</f>
        <v>+6.35</v>
      </c>
      <c r="O82" s="1">
        <f ca="1">IFERROR(__xludf.DUMMYFUNCTION("""COMPUTED_VALUE"""),63)</f>
        <v>63</v>
      </c>
      <c r="P82" s="1">
        <f ca="1">IFERROR(__xludf.DUMMYFUNCTION("""COMPUTED_VALUE"""),107.7)</f>
        <v>107.7</v>
      </c>
      <c r="Q82" s="1">
        <f ca="1">IFERROR(__xludf.DUMMYFUNCTION("""COMPUTED_VALUE"""),55)</f>
        <v>55</v>
      </c>
      <c r="R82" s="1">
        <f ca="1">IFERROR(__xludf.DUMMYFUNCTION("""COMPUTED_VALUE"""),101.4)</f>
        <v>101.4</v>
      </c>
      <c r="S82" s="1">
        <f ca="1">IFERROR(__xludf.DUMMYFUNCTION("""COMPUTED_VALUE"""),65)</f>
        <v>65</v>
      </c>
      <c r="T82" s="1">
        <f ca="1">IFERROR(__xludf.DUMMYFUNCTION("""COMPUTED_VALUE"""),-3.79)</f>
        <v>-3.79</v>
      </c>
      <c r="U82" s="1">
        <f ca="1">IFERROR(__xludf.DUMMYFUNCTION("""COMPUTED_VALUE"""),275)</f>
        <v>275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IFERROR(__xludf.DUMMYFUNCTION("""COMPUTED_VALUE"""),"Creighton")</f>
        <v>Creighton</v>
      </c>
      <c r="C83" s="1" t="str">
        <f ca="1">IFERROR(__xludf.DUMMYFUNCTION("""COMPUTED_VALUE"""),"BE")</f>
        <v>BE</v>
      </c>
      <c r="D83" s="1" t="str">
        <f ca="1">IFERROR(__xludf.DUMMYFUNCTION("""COMPUTED_VALUE"""),"14-19")</f>
        <v>14-19</v>
      </c>
      <c r="E83" s="1" t="str">
        <f ca="1">IFERROR(__xludf.DUMMYFUNCTION("""COMPUTED_VALUE"""),"+8.36")</f>
        <v>+8.36</v>
      </c>
      <c r="F83" s="1">
        <f ca="1">IFERROR(__xludf.DUMMYFUNCTION("""COMPUTED_VALUE"""),111)</f>
        <v>111</v>
      </c>
      <c r="G83" s="1">
        <f ca="1">IFERROR(__xludf.DUMMYFUNCTION("""COMPUTED_VALUE"""),59)</f>
        <v>59</v>
      </c>
      <c r="H83" s="1">
        <f ca="1">IFERROR(__xludf.DUMMYFUNCTION("""COMPUTED_VALUE"""),102.6)</f>
        <v>102.6</v>
      </c>
      <c r="I83" s="1">
        <f ca="1">IFERROR(__xludf.DUMMYFUNCTION("""COMPUTED_VALUE"""),138)</f>
        <v>138</v>
      </c>
      <c r="J83" s="1">
        <f ca="1">IFERROR(__xludf.DUMMYFUNCTION("""COMPUTED_VALUE"""),62.1)</f>
        <v>62.1</v>
      </c>
      <c r="K83" s="1">
        <f ca="1">IFERROR(__xludf.DUMMYFUNCTION("""COMPUTED_VALUE"""),286)</f>
        <v>286</v>
      </c>
      <c r="L83" s="1">
        <f ca="1">IFERROR(__xludf.DUMMYFUNCTION("""COMPUTED_VALUE"""),-0.083)</f>
        <v>-8.3000000000000004E-2</v>
      </c>
      <c r="M83" s="1">
        <f ca="1">IFERROR(__xludf.DUMMYFUNCTION("""COMPUTED_VALUE"""),332)</f>
        <v>332</v>
      </c>
      <c r="N83" s="1" t="str">
        <f ca="1">IFERROR(__xludf.DUMMYFUNCTION("""COMPUTED_VALUE"""),"+7.79")</f>
        <v>+7.79</v>
      </c>
      <c r="O83" s="1">
        <f ca="1">IFERROR(__xludf.DUMMYFUNCTION("""COMPUTED_VALUE"""),39)</f>
        <v>39</v>
      </c>
      <c r="P83" s="1">
        <f ca="1">IFERROR(__xludf.DUMMYFUNCTION("""COMPUTED_VALUE"""),107.9)</f>
        <v>107.9</v>
      </c>
      <c r="Q83" s="1">
        <f ca="1">IFERROR(__xludf.DUMMYFUNCTION("""COMPUTED_VALUE"""),51)</f>
        <v>51</v>
      </c>
      <c r="R83" s="1">
        <f ca="1">IFERROR(__xludf.DUMMYFUNCTION("""COMPUTED_VALUE"""),100.1)</f>
        <v>100.1</v>
      </c>
      <c r="S83" s="1">
        <f ca="1">IFERROR(__xludf.DUMMYFUNCTION("""COMPUTED_VALUE"""),25)</f>
        <v>25</v>
      </c>
      <c r="T83" s="1">
        <f ca="1">IFERROR(__xludf.DUMMYFUNCTION("""COMPUTED_VALUE"""),-3.41)</f>
        <v>-3.41</v>
      </c>
      <c r="U83" s="1">
        <f ca="1">IFERROR(__xludf.DUMMYFUNCTION("""COMPUTED_VALUE"""),260)</f>
        <v>260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IFERROR(__xludf.DUMMYFUNCTION("""COMPUTED_VALUE"""),"Central Michigan6")</f>
        <v>Central Michigan6</v>
      </c>
      <c r="C84" s="1" t="str">
        <f ca="1">IFERROR(__xludf.DUMMYFUNCTION("""COMPUTED_VALUE"""),"MAC")</f>
        <v>MAC</v>
      </c>
      <c r="D84" s="1" t="str">
        <f ca="1">IFERROR(__xludf.DUMMYFUNCTION("""COMPUTED_VALUE"""),"23-9")</f>
        <v>23-9</v>
      </c>
      <c r="E84" s="1" t="str">
        <f ca="1">IFERROR(__xludf.DUMMYFUNCTION("""COMPUTED_VALUE"""),"+8.23")</f>
        <v>+8.23</v>
      </c>
      <c r="F84" s="1">
        <f ca="1">IFERROR(__xludf.DUMMYFUNCTION("""COMPUTED_VALUE"""),114.9)</f>
        <v>114.9</v>
      </c>
      <c r="G84" s="1">
        <f ca="1">IFERROR(__xludf.DUMMYFUNCTION("""COMPUTED_VALUE"""),24)</f>
        <v>24</v>
      </c>
      <c r="H84" s="1">
        <f ca="1">IFERROR(__xludf.DUMMYFUNCTION("""COMPUTED_VALUE"""),106.6)</f>
        <v>106.6</v>
      </c>
      <c r="I84" s="1">
        <f ca="1">IFERROR(__xludf.DUMMYFUNCTION("""COMPUTED_VALUE"""),217)</f>
        <v>217</v>
      </c>
      <c r="J84" s="1">
        <f ca="1">IFERROR(__xludf.DUMMYFUNCTION("""COMPUTED_VALUE"""),64.4)</f>
        <v>64.400000000000006</v>
      </c>
      <c r="K84" s="1">
        <f ca="1">IFERROR(__xludf.DUMMYFUNCTION("""COMPUTED_VALUE"""),171)</f>
        <v>171</v>
      </c>
      <c r="L84" s="1" t="str">
        <f ca="1">IFERROR(__xludf.DUMMYFUNCTION("""COMPUTED_VALUE"""),"+.015")</f>
        <v>+.015</v>
      </c>
      <c r="M84" s="1">
        <f ca="1">IFERROR(__xludf.DUMMYFUNCTION("""COMPUTED_VALUE"""),144)</f>
        <v>144</v>
      </c>
      <c r="N84" s="1">
        <f ca="1">IFERROR(__xludf.DUMMYFUNCTION("""COMPUTED_VALUE"""),-1.27)</f>
        <v>-1.27</v>
      </c>
      <c r="O84" s="1">
        <f ca="1">IFERROR(__xludf.DUMMYFUNCTION("""COMPUTED_VALUE"""),167)</f>
        <v>167</v>
      </c>
      <c r="P84" s="1">
        <f ca="1">IFERROR(__xludf.DUMMYFUNCTION("""COMPUTED_VALUE"""),104.4)</f>
        <v>104.4</v>
      </c>
      <c r="Q84" s="1">
        <f ca="1">IFERROR(__xludf.DUMMYFUNCTION("""COMPUTED_VALUE"""),135)</f>
        <v>135</v>
      </c>
      <c r="R84" s="1">
        <f ca="1">IFERROR(__xludf.DUMMYFUNCTION("""COMPUTED_VALUE"""),105.7)</f>
        <v>105.7</v>
      </c>
      <c r="S84" s="1">
        <f ca="1">IFERROR(__xludf.DUMMYFUNCTION("""COMPUTED_VALUE"""),221)</f>
        <v>221</v>
      </c>
      <c r="T84" s="1">
        <f ca="1">IFERROR(__xludf.DUMMYFUNCTION("""COMPUTED_VALUE"""),-12.27)</f>
        <v>-12.27</v>
      </c>
      <c r="U84" s="1">
        <f ca="1">IFERROR(__xludf.DUMMYFUNCTION("""COMPUTED_VALUE"""),349)</f>
        <v>349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IFERROR(__xludf.DUMMYFUNCTION("""COMPUTED_VALUE"""),"Kansas St.")</f>
        <v>Kansas St.</v>
      </c>
      <c r="C87" s="1" t="str">
        <f ca="1">IFERROR(__xludf.DUMMYFUNCTION("""COMPUTED_VALUE"""),"B12")</f>
        <v>B12</v>
      </c>
      <c r="D87" s="1" t="str">
        <f ca="1">IFERROR(__xludf.DUMMYFUNCTION("""COMPUTED_VALUE"""),"15-17")</f>
        <v>15-17</v>
      </c>
      <c r="E87" s="1" t="str">
        <f ca="1">IFERROR(__xludf.DUMMYFUNCTION("""COMPUTED_VALUE"""),"+8.18")</f>
        <v>+8.18</v>
      </c>
      <c r="F87" s="1">
        <f ca="1">IFERROR(__xludf.DUMMYFUNCTION("""COMPUTED_VALUE"""),106.6)</f>
        <v>106.6</v>
      </c>
      <c r="G87" s="1">
        <f ca="1">IFERROR(__xludf.DUMMYFUNCTION("""COMPUTED_VALUE"""),120)</f>
        <v>120</v>
      </c>
      <c r="H87" s="1">
        <f ca="1">IFERROR(__xludf.DUMMYFUNCTION("""COMPUTED_VALUE"""),98.4)</f>
        <v>98.4</v>
      </c>
      <c r="I87" s="1">
        <f ca="1">IFERROR(__xludf.DUMMYFUNCTION("""COMPUTED_VALUE"""),68)</f>
        <v>68</v>
      </c>
      <c r="J87" s="1">
        <f ca="1">IFERROR(__xludf.DUMMYFUNCTION("""COMPUTED_VALUE"""),62.1)</f>
        <v>62.1</v>
      </c>
      <c r="K87" s="1">
        <f ca="1">IFERROR(__xludf.DUMMYFUNCTION("""COMPUTED_VALUE"""),285)</f>
        <v>285</v>
      </c>
      <c r="L87" s="1" t="str">
        <f ca="1">IFERROR(__xludf.DUMMYFUNCTION("""COMPUTED_VALUE"""),"+.010")</f>
        <v>+.010</v>
      </c>
      <c r="M87" s="1">
        <f ca="1">IFERROR(__xludf.DUMMYFUNCTION("""COMPUTED_VALUE"""),158)</f>
        <v>158</v>
      </c>
      <c r="N87" s="1" t="str">
        <f ca="1">IFERROR(__xludf.DUMMYFUNCTION("""COMPUTED_VALUE"""),"+10.32")</f>
        <v>+10.32</v>
      </c>
      <c r="O87" s="1">
        <f ca="1">IFERROR(__xludf.DUMMYFUNCTION("""COMPUTED_VALUE"""),9)</f>
        <v>9</v>
      </c>
      <c r="P87" s="1">
        <f ca="1">IFERROR(__xludf.DUMMYFUNCTION("""COMPUTED_VALUE"""),108.9)</f>
        <v>108.9</v>
      </c>
      <c r="Q87" s="1">
        <f ca="1">IFERROR(__xludf.DUMMYFUNCTION("""COMPUTED_VALUE"""),23)</f>
        <v>23</v>
      </c>
      <c r="R87" s="1">
        <f ca="1">IFERROR(__xludf.DUMMYFUNCTION("""COMPUTED_VALUE"""),98.6)</f>
        <v>98.6</v>
      </c>
      <c r="S87" s="1">
        <f ca="1">IFERROR(__xludf.DUMMYFUNCTION("""COMPUTED_VALUE"""),5)</f>
        <v>5</v>
      </c>
      <c r="T87" s="1">
        <f ca="1">IFERROR(__xludf.DUMMYFUNCTION("""COMPUTED_VALUE"""),-1.28)</f>
        <v>-1.28</v>
      </c>
      <c r="U87" s="1">
        <f ca="1">IFERROR(__xludf.DUMMYFUNCTION("""COMPUTED_VALUE"""),197)</f>
        <v>197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IFERROR(__xludf.DUMMYFUNCTION("""COMPUTED_VALUE"""),"Penn St.")</f>
        <v>Penn St.</v>
      </c>
      <c r="C88" s="1" t="str">
        <f ca="1">IFERROR(__xludf.DUMMYFUNCTION("""COMPUTED_VALUE"""),"B10")</f>
        <v>B10</v>
      </c>
      <c r="D88" s="1" t="str">
        <f ca="1">IFERROR(__xludf.DUMMYFUNCTION("""COMPUTED_VALUE"""),"18-16")</f>
        <v>18-16</v>
      </c>
      <c r="E88" s="1" t="str">
        <f ca="1">IFERROR(__xludf.DUMMYFUNCTION("""COMPUTED_VALUE"""),"+8.08")</f>
        <v>+8.08</v>
      </c>
      <c r="F88" s="1">
        <f ca="1">IFERROR(__xludf.DUMMYFUNCTION("""COMPUTED_VALUE"""),105.3)</f>
        <v>105.3</v>
      </c>
      <c r="G88" s="1">
        <f ca="1">IFERROR(__xludf.DUMMYFUNCTION("""COMPUTED_VALUE"""),156)</f>
        <v>156</v>
      </c>
      <c r="H88" s="1">
        <f ca="1">IFERROR(__xludf.DUMMYFUNCTION("""COMPUTED_VALUE"""),97.2)</f>
        <v>97.2</v>
      </c>
      <c r="I88" s="1">
        <f ca="1">IFERROR(__xludf.DUMMYFUNCTION("""COMPUTED_VALUE"""),58)</f>
        <v>58</v>
      </c>
      <c r="J88" s="1">
        <f ca="1">IFERROR(__xludf.DUMMYFUNCTION("""COMPUTED_VALUE"""),65.4)</f>
        <v>65.400000000000006</v>
      </c>
      <c r="K88" s="1">
        <f ca="1">IFERROR(__xludf.DUMMYFUNCTION("""COMPUTED_VALUE"""),119)</f>
        <v>119</v>
      </c>
      <c r="L88" s="1" t="str">
        <f ca="1">IFERROR(__xludf.DUMMYFUNCTION("""COMPUTED_VALUE"""),"+.004")</f>
        <v>+.004</v>
      </c>
      <c r="M88" s="1">
        <f ca="1">IFERROR(__xludf.DUMMYFUNCTION("""COMPUTED_VALUE"""),176)</f>
        <v>176</v>
      </c>
      <c r="N88" s="1" t="str">
        <f ca="1">IFERROR(__xludf.DUMMYFUNCTION("""COMPUTED_VALUE"""),"+5.97")</f>
        <v>+5.97</v>
      </c>
      <c r="O88" s="1">
        <f ca="1">IFERROR(__xludf.DUMMYFUNCTION("""COMPUTED_VALUE"""),65)</f>
        <v>65</v>
      </c>
      <c r="P88" s="1">
        <f ca="1">IFERROR(__xludf.DUMMYFUNCTION("""COMPUTED_VALUE"""),107.5)</f>
        <v>107.5</v>
      </c>
      <c r="Q88" s="1">
        <f ca="1">IFERROR(__xludf.DUMMYFUNCTION("""COMPUTED_VALUE"""),63)</f>
        <v>63</v>
      </c>
      <c r="R88" s="1">
        <f ca="1">IFERROR(__xludf.DUMMYFUNCTION("""COMPUTED_VALUE"""),101.5)</f>
        <v>101.5</v>
      </c>
      <c r="S88" s="1">
        <f ca="1">IFERROR(__xludf.DUMMYFUNCTION("""COMPUTED_VALUE"""),69)</f>
        <v>69</v>
      </c>
      <c r="T88" s="1">
        <f ca="1">IFERROR(__xludf.DUMMYFUNCTION("""COMPUTED_VALUE"""),-5.04)</f>
        <v>-5.04</v>
      </c>
      <c r="U88" s="1">
        <f ca="1">IFERROR(__xludf.DUMMYFUNCTION("""COMPUTED_VALUE"""),304)</f>
        <v>304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IFERROR(__xludf.DUMMYFUNCTION("""COMPUTED_VALUE"""),"Seton Hall")</f>
        <v>Seton Hall</v>
      </c>
      <c r="C89" s="1" t="str">
        <f ca="1">IFERROR(__xludf.DUMMYFUNCTION("""COMPUTED_VALUE"""),"BE")</f>
        <v>BE</v>
      </c>
      <c r="D89" s="1" t="str">
        <f ca="1">IFERROR(__xludf.DUMMYFUNCTION("""COMPUTED_VALUE"""),"16-15")</f>
        <v>16-15</v>
      </c>
      <c r="E89" s="1" t="str">
        <f ca="1">IFERROR(__xludf.DUMMYFUNCTION("""COMPUTED_VALUE"""),"+7.98")</f>
        <v>+7.98</v>
      </c>
      <c r="F89" s="1">
        <f ca="1">IFERROR(__xludf.DUMMYFUNCTION("""COMPUTED_VALUE"""),109.3)</f>
        <v>109.3</v>
      </c>
      <c r="G89" s="1">
        <f ca="1">IFERROR(__xludf.DUMMYFUNCTION("""COMPUTED_VALUE"""),73)</f>
        <v>73</v>
      </c>
      <c r="H89" s="1">
        <f ca="1">IFERROR(__xludf.DUMMYFUNCTION("""COMPUTED_VALUE"""),101.3)</f>
        <v>101.3</v>
      </c>
      <c r="I89" s="1">
        <f ca="1">IFERROR(__xludf.DUMMYFUNCTION("""COMPUTED_VALUE"""),113)</f>
        <v>113</v>
      </c>
      <c r="J89" s="1">
        <f ca="1">IFERROR(__xludf.DUMMYFUNCTION("""COMPUTED_VALUE"""),65.7)</f>
        <v>65.7</v>
      </c>
      <c r="K89" s="1">
        <f ca="1">IFERROR(__xludf.DUMMYFUNCTION("""COMPUTED_VALUE"""),105)</f>
        <v>105</v>
      </c>
      <c r="L89" s="1" t="str">
        <f ca="1">IFERROR(__xludf.DUMMYFUNCTION("""COMPUTED_VALUE"""),"+.012")</f>
        <v>+.012</v>
      </c>
      <c r="M89" s="1">
        <f ca="1">IFERROR(__xludf.DUMMYFUNCTION("""COMPUTED_VALUE"""),156)</f>
        <v>156</v>
      </c>
      <c r="N89" s="1" t="str">
        <f ca="1">IFERROR(__xludf.DUMMYFUNCTION("""COMPUTED_VALUE"""),"+8.21")</f>
        <v>+8.21</v>
      </c>
      <c r="O89" s="1">
        <f ca="1">IFERROR(__xludf.DUMMYFUNCTION("""COMPUTED_VALUE"""),31)</f>
        <v>31</v>
      </c>
      <c r="P89" s="1">
        <f ca="1">IFERROR(__xludf.DUMMYFUNCTION("""COMPUTED_VALUE"""),108.3)</f>
        <v>108.3</v>
      </c>
      <c r="Q89" s="1">
        <f ca="1">IFERROR(__xludf.DUMMYFUNCTION("""COMPUTED_VALUE"""),35)</f>
        <v>35</v>
      </c>
      <c r="R89" s="1">
        <f ca="1">IFERROR(__xludf.DUMMYFUNCTION("""COMPUTED_VALUE"""),100.1)</f>
        <v>100.1</v>
      </c>
      <c r="S89" s="1">
        <f ca="1">IFERROR(__xludf.DUMMYFUNCTION("""COMPUTED_VALUE"""),28)</f>
        <v>28</v>
      </c>
      <c r="T89" s="1">
        <f ca="1">IFERROR(__xludf.DUMMYFUNCTION("""COMPUTED_VALUE"""),-2.53)</f>
        <v>-2.5299999999999998</v>
      </c>
      <c r="U89" s="1">
        <f ca="1">IFERROR(__xludf.DUMMYFUNCTION("""COMPUTED_VALUE"""),239)</f>
        <v>239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IFERROR(__xludf.DUMMYFUNCTION("""COMPUTED_VALUE"""),"Clemson")</f>
        <v>Clemson</v>
      </c>
      <c r="C90" s="1" t="str">
        <f ca="1">IFERROR(__xludf.DUMMYFUNCTION("""COMPUTED_VALUE"""),"ACC")</f>
        <v>ACC</v>
      </c>
      <c r="D90" s="1" t="str">
        <f ca="1">IFERROR(__xludf.DUMMYFUNCTION("""COMPUTED_VALUE"""),"16-15")</f>
        <v>16-15</v>
      </c>
      <c r="E90" s="1" t="str">
        <f ca="1">IFERROR(__xludf.DUMMYFUNCTION("""COMPUTED_VALUE"""),"+7.82")</f>
        <v>+7.82</v>
      </c>
      <c r="F90" s="1">
        <f ca="1">IFERROR(__xludf.DUMMYFUNCTION("""COMPUTED_VALUE"""),104.5)</f>
        <v>104.5</v>
      </c>
      <c r="G90" s="1">
        <f ca="1">IFERROR(__xludf.DUMMYFUNCTION("""COMPUTED_VALUE"""),169)</f>
        <v>169</v>
      </c>
      <c r="H90" s="1">
        <f ca="1">IFERROR(__xludf.DUMMYFUNCTION("""COMPUTED_VALUE"""),96.7)</f>
        <v>96.7</v>
      </c>
      <c r="I90" s="1">
        <f ca="1">IFERROR(__xludf.DUMMYFUNCTION("""COMPUTED_VALUE"""),51)</f>
        <v>51</v>
      </c>
      <c r="J90" s="1">
        <f ca="1">IFERROR(__xludf.DUMMYFUNCTION("""COMPUTED_VALUE"""),61.6)</f>
        <v>61.6</v>
      </c>
      <c r="K90" s="1">
        <f ca="1">IFERROR(__xludf.DUMMYFUNCTION("""COMPUTED_VALUE"""),305)</f>
        <v>305</v>
      </c>
      <c r="L90" s="1" t="str">
        <f ca="1">IFERROR(__xludf.DUMMYFUNCTION("""COMPUTED_VALUE"""),"+.009")</f>
        <v>+.009</v>
      </c>
      <c r="M90" s="1">
        <f ca="1">IFERROR(__xludf.DUMMYFUNCTION("""COMPUTED_VALUE"""),162)</f>
        <v>162</v>
      </c>
      <c r="N90" s="1" t="str">
        <f ca="1">IFERROR(__xludf.DUMMYFUNCTION("""COMPUTED_VALUE"""),"+6.49")</f>
        <v>+6.49</v>
      </c>
      <c r="O90" s="1">
        <f ca="1">IFERROR(__xludf.DUMMYFUNCTION("""COMPUTED_VALUE"""),61)</f>
        <v>61</v>
      </c>
      <c r="P90" s="1">
        <f ca="1">IFERROR(__xludf.DUMMYFUNCTION("""COMPUTED_VALUE"""),108.1)</f>
        <v>108.1</v>
      </c>
      <c r="Q90" s="1">
        <f ca="1">IFERROR(__xludf.DUMMYFUNCTION("""COMPUTED_VALUE"""),47)</f>
        <v>47</v>
      </c>
      <c r="R90" s="1">
        <f ca="1">IFERROR(__xludf.DUMMYFUNCTION("""COMPUTED_VALUE"""),101.6)</f>
        <v>101.6</v>
      </c>
      <c r="S90" s="1">
        <f ca="1">IFERROR(__xludf.DUMMYFUNCTION("""COMPUTED_VALUE"""),74)</f>
        <v>74</v>
      </c>
      <c r="T90" s="1">
        <f ca="1">IFERROR(__xludf.DUMMYFUNCTION("""COMPUTED_VALUE"""),-3.83)</f>
        <v>-3.83</v>
      </c>
      <c r="U90" s="1">
        <f ca="1">IFERROR(__xludf.DUMMYFUNCTION("""COMPUTED_VALUE"""),277)</f>
        <v>277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IFERROR(__xludf.DUMMYFUNCTION("""COMPUTED_VALUE"""),"Tulsa2")</f>
        <v>Tulsa2</v>
      </c>
      <c r="C91" s="1" t="str">
        <f ca="1">IFERROR(__xludf.DUMMYFUNCTION("""COMPUTED_VALUE"""),"Amer")</f>
        <v>Amer</v>
      </c>
      <c r="D91" s="1" t="str">
        <f ca="1">IFERROR(__xludf.DUMMYFUNCTION("""COMPUTED_VALUE"""),"23-11")</f>
        <v>23-11</v>
      </c>
      <c r="E91" s="1" t="str">
        <f ca="1">IFERROR(__xludf.DUMMYFUNCTION("""COMPUTED_VALUE"""),"+7.75")</f>
        <v>+7.75</v>
      </c>
      <c r="F91" s="1">
        <f ca="1">IFERROR(__xludf.DUMMYFUNCTION("""COMPUTED_VALUE"""),102.6)</f>
        <v>102.6</v>
      </c>
      <c r="G91" s="1">
        <f ca="1">IFERROR(__xludf.DUMMYFUNCTION("""COMPUTED_VALUE"""),211)</f>
        <v>211</v>
      </c>
      <c r="H91" s="1">
        <f ca="1">IFERROR(__xludf.DUMMYFUNCTION("""COMPUTED_VALUE"""),94.9)</f>
        <v>94.9</v>
      </c>
      <c r="I91" s="1">
        <f ca="1">IFERROR(__xludf.DUMMYFUNCTION("""COMPUTED_VALUE"""),28)</f>
        <v>28</v>
      </c>
      <c r="J91" s="1">
        <f ca="1">IFERROR(__xludf.DUMMYFUNCTION("""COMPUTED_VALUE"""),63.9)</f>
        <v>63.9</v>
      </c>
      <c r="K91" s="1">
        <f ca="1">IFERROR(__xludf.DUMMYFUNCTION("""COMPUTED_VALUE"""),197)</f>
        <v>197</v>
      </c>
      <c r="L91" s="1" t="str">
        <f ca="1">IFERROR(__xludf.DUMMYFUNCTION("""COMPUTED_VALUE"""),"+.096")</f>
        <v>+.096</v>
      </c>
      <c r="M91" s="1">
        <f ca="1">IFERROR(__xludf.DUMMYFUNCTION("""COMPUTED_VALUE"""),12)</f>
        <v>12</v>
      </c>
      <c r="N91" s="1" t="str">
        <f ca="1">IFERROR(__xludf.DUMMYFUNCTION("""COMPUTED_VALUE"""),"+1.82")</f>
        <v>+1.82</v>
      </c>
      <c r="O91" s="1">
        <f ca="1">IFERROR(__xludf.DUMMYFUNCTION("""COMPUTED_VALUE"""),111)</f>
        <v>111</v>
      </c>
      <c r="P91" s="1">
        <f ca="1">IFERROR(__xludf.DUMMYFUNCTION("""COMPUTED_VALUE"""),105.3)</f>
        <v>105.3</v>
      </c>
      <c r="Q91" s="1">
        <f ca="1">IFERROR(__xludf.DUMMYFUNCTION("""COMPUTED_VALUE"""),110)</f>
        <v>110</v>
      </c>
      <c r="R91" s="1">
        <f ca="1">IFERROR(__xludf.DUMMYFUNCTION("""COMPUTED_VALUE"""),103.5)</f>
        <v>103.5</v>
      </c>
      <c r="S91" s="1">
        <f ca="1">IFERROR(__xludf.DUMMYFUNCTION("""COMPUTED_VALUE"""),114)</f>
        <v>114</v>
      </c>
      <c r="T91" s="1" t="str">
        <f ca="1">IFERROR(__xludf.DUMMYFUNCTION("""COMPUTED_VALUE"""),"+0.61")</f>
        <v>+0.61</v>
      </c>
      <c r="U91" s="1">
        <f ca="1">IFERROR(__xludf.DUMMYFUNCTION("""COMPUTED_VALUE"""),136)</f>
        <v>136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IFERROR(__xludf.DUMMYFUNCTION("""COMPUTED_VALUE"""),"Georgia Tech")</f>
        <v>Georgia Tech</v>
      </c>
      <c r="C92" s="1" t="str">
        <f ca="1">IFERROR(__xludf.DUMMYFUNCTION("""COMPUTED_VALUE"""),"ACC")</f>
        <v>ACC</v>
      </c>
      <c r="D92" s="2">
        <f ca="1">IFERROR(__xludf.DUMMYFUNCTION("""COMPUTED_VALUE"""),44914)</f>
        <v>44914</v>
      </c>
      <c r="E92" s="1" t="str">
        <f ca="1">IFERROR(__xludf.DUMMYFUNCTION("""COMPUTED_VALUE"""),"+7.67")</f>
        <v>+7.67</v>
      </c>
      <c r="F92" s="1">
        <f ca="1">IFERROR(__xludf.DUMMYFUNCTION("""COMPUTED_VALUE"""),103.7)</f>
        <v>103.7</v>
      </c>
      <c r="G92" s="1">
        <f ca="1">IFERROR(__xludf.DUMMYFUNCTION("""COMPUTED_VALUE"""),182)</f>
        <v>182</v>
      </c>
      <c r="H92" s="1">
        <f ca="1">IFERROR(__xludf.DUMMYFUNCTION("""COMPUTED_VALUE"""),96)</f>
        <v>96</v>
      </c>
      <c r="I92" s="1">
        <f ca="1">IFERROR(__xludf.DUMMYFUNCTION("""COMPUTED_VALUE"""),43)</f>
        <v>43</v>
      </c>
      <c r="J92" s="1">
        <f ca="1">IFERROR(__xludf.DUMMYFUNCTION("""COMPUTED_VALUE"""),63.7)</f>
        <v>63.7</v>
      </c>
      <c r="K92" s="1">
        <f ca="1">IFERROR(__xludf.DUMMYFUNCTION("""COMPUTED_VALUE"""),210)</f>
        <v>210</v>
      </c>
      <c r="L92" s="1">
        <f ca="1">IFERROR(__xludf.DUMMYFUNCTION("""COMPUTED_VALUE"""),-0.07)</f>
        <v>-7.0000000000000007E-2</v>
      </c>
      <c r="M92" s="1">
        <f ca="1">IFERROR(__xludf.DUMMYFUNCTION("""COMPUTED_VALUE"""),323)</f>
        <v>323</v>
      </c>
      <c r="N92" s="1" t="str">
        <f ca="1">IFERROR(__xludf.DUMMYFUNCTION("""COMPUTED_VALUE"""),"+8.38")</f>
        <v>+8.38</v>
      </c>
      <c r="O92" s="1">
        <f ca="1">IFERROR(__xludf.DUMMYFUNCTION("""COMPUTED_VALUE"""),29)</f>
        <v>29</v>
      </c>
      <c r="P92" s="1">
        <f ca="1">IFERROR(__xludf.DUMMYFUNCTION("""COMPUTED_VALUE"""),109)</f>
        <v>109</v>
      </c>
      <c r="Q92" s="1">
        <f ca="1">IFERROR(__xludf.DUMMYFUNCTION("""COMPUTED_VALUE"""),19)</f>
        <v>19</v>
      </c>
      <c r="R92" s="1">
        <f ca="1">IFERROR(__xludf.DUMMYFUNCTION("""COMPUTED_VALUE"""),100.6)</f>
        <v>100.6</v>
      </c>
      <c r="S92" s="1">
        <f ca="1">IFERROR(__xludf.DUMMYFUNCTION("""COMPUTED_VALUE"""),46)</f>
        <v>46</v>
      </c>
      <c r="T92" s="1" t="str">
        <f ca="1">IFERROR(__xludf.DUMMYFUNCTION("""COMPUTED_VALUE"""),"+0.43")</f>
        <v>+0.43</v>
      </c>
      <c r="U92" s="1">
        <f ca="1">IFERROR(__xludf.DUMMYFUNCTION("""COMPUTED_VALUE"""),144)</f>
        <v>144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IFERROR(__xludf.DUMMYFUNCTION("""COMPUTED_VALUE"""),"Memphis")</f>
        <v>Memphis</v>
      </c>
      <c r="C93" s="1" t="str">
        <f ca="1">IFERROR(__xludf.DUMMYFUNCTION("""COMPUTED_VALUE"""),"Amer")</f>
        <v>Amer</v>
      </c>
      <c r="D93" s="1" t="str">
        <f ca="1">IFERROR(__xludf.DUMMYFUNCTION("""COMPUTED_VALUE"""),"18-14")</f>
        <v>18-14</v>
      </c>
      <c r="E93" s="1" t="str">
        <f ca="1">IFERROR(__xludf.DUMMYFUNCTION("""COMPUTED_VALUE"""),"+7.51")</f>
        <v>+7.51</v>
      </c>
      <c r="F93" s="1">
        <f ca="1">IFERROR(__xludf.DUMMYFUNCTION("""COMPUTED_VALUE"""),105.5)</f>
        <v>105.5</v>
      </c>
      <c r="G93" s="1">
        <f ca="1">IFERROR(__xludf.DUMMYFUNCTION("""COMPUTED_VALUE"""),149)</f>
        <v>149</v>
      </c>
      <c r="H93" s="1">
        <f ca="1">IFERROR(__xludf.DUMMYFUNCTION("""COMPUTED_VALUE"""),98)</f>
        <v>98</v>
      </c>
      <c r="I93" s="1">
        <f ca="1">IFERROR(__xludf.DUMMYFUNCTION("""COMPUTED_VALUE"""),61)</f>
        <v>61</v>
      </c>
      <c r="J93" s="1">
        <f ca="1">IFERROR(__xludf.DUMMYFUNCTION("""COMPUTED_VALUE"""),66.2)</f>
        <v>66.2</v>
      </c>
      <c r="K93" s="1">
        <f ca="1">IFERROR(__xludf.DUMMYFUNCTION("""COMPUTED_VALUE"""),80)</f>
        <v>80</v>
      </c>
      <c r="L93" s="1">
        <f ca="1">IFERROR(__xludf.DUMMYFUNCTION("""COMPUTED_VALUE"""),-0.033)</f>
        <v>-3.3000000000000002E-2</v>
      </c>
      <c r="M93" s="1">
        <f ca="1">IFERROR(__xludf.DUMMYFUNCTION("""COMPUTED_VALUE"""),262)</f>
        <v>262</v>
      </c>
      <c r="N93" s="1" t="str">
        <f ca="1">IFERROR(__xludf.DUMMYFUNCTION("""COMPUTED_VALUE"""),"+1.21")</f>
        <v>+1.21</v>
      </c>
      <c r="O93" s="1">
        <f ca="1">IFERROR(__xludf.DUMMYFUNCTION("""COMPUTED_VALUE"""),119)</f>
        <v>119</v>
      </c>
      <c r="P93" s="1">
        <f ca="1">IFERROR(__xludf.DUMMYFUNCTION("""COMPUTED_VALUE"""),104)</f>
        <v>104</v>
      </c>
      <c r="Q93" s="1">
        <f ca="1">IFERROR(__xludf.DUMMYFUNCTION("""COMPUTED_VALUE"""),161)</f>
        <v>161</v>
      </c>
      <c r="R93" s="1">
        <f ca="1">IFERROR(__xludf.DUMMYFUNCTION("""COMPUTED_VALUE"""),102.7)</f>
        <v>102.7</v>
      </c>
      <c r="S93" s="1">
        <f ca="1">IFERROR(__xludf.DUMMYFUNCTION("""COMPUTED_VALUE"""),99)</f>
        <v>99</v>
      </c>
      <c r="T93" s="1">
        <f ca="1">IFERROR(__xludf.DUMMYFUNCTION("""COMPUTED_VALUE"""),-1.46)</f>
        <v>-1.46</v>
      </c>
      <c r="U93" s="1">
        <f ca="1">IFERROR(__xludf.DUMMYFUNCTION("""COMPUTED_VALUE"""),202)</f>
        <v>202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IFERROR(__xludf.DUMMYFUNCTION("""COMPUTED_VALUE"""),"Toledo")</f>
        <v>Toledo</v>
      </c>
      <c r="C94" s="1" t="str">
        <f ca="1">IFERROR(__xludf.DUMMYFUNCTION("""COMPUTED_VALUE"""),"MAC")</f>
        <v>MAC</v>
      </c>
      <c r="D94" s="1" t="str">
        <f ca="1">IFERROR(__xludf.DUMMYFUNCTION("""COMPUTED_VALUE"""),"20-13")</f>
        <v>20-13</v>
      </c>
      <c r="E94" s="1" t="str">
        <f ca="1">IFERROR(__xludf.DUMMYFUNCTION("""COMPUTED_VALUE"""),"+7.46")</f>
        <v>+7.46</v>
      </c>
      <c r="F94" s="1">
        <f ca="1">IFERROR(__xludf.DUMMYFUNCTION("""COMPUTED_VALUE"""),113.3)</f>
        <v>113.3</v>
      </c>
      <c r="G94" s="1">
        <f ca="1">IFERROR(__xludf.DUMMYFUNCTION("""COMPUTED_VALUE"""),36)</f>
        <v>36</v>
      </c>
      <c r="H94" s="1">
        <f ca="1">IFERROR(__xludf.DUMMYFUNCTION("""COMPUTED_VALUE"""),105.8)</f>
        <v>105.8</v>
      </c>
      <c r="I94" s="1">
        <f ca="1">IFERROR(__xludf.DUMMYFUNCTION("""COMPUTED_VALUE"""),196)</f>
        <v>196</v>
      </c>
      <c r="J94" s="1">
        <f ca="1">IFERROR(__xludf.DUMMYFUNCTION("""COMPUTED_VALUE"""),66.4)</f>
        <v>66.400000000000006</v>
      </c>
      <c r="K94" s="1">
        <f ca="1">IFERROR(__xludf.DUMMYFUNCTION("""COMPUTED_VALUE"""),72)</f>
        <v>72</v>
      </c>
      <c r="L94" s="1">
        <f ca="1">IFERROR(__xludf.DUMMYFUNCTION("""COMPUTED_VALUE"""),-0.03)</f>
        <v>-0.03</v>
      </c>
      <c r="M94" s="1">
        <f ca="1">IFERROR(__xludf.DUMMYFUNCTION("""COMPUTED_VALUE"""),251)</f>
        <v>251</v>
      </c>
      <c r="N94" s="1" t="str">
        <f ca="1">IFERROR(__xludf.DUMMYFUNCTION("""COMPUTED_VALUE"""),"+0.92")</f>
        <v>+0.92</v>
      </c>
      <c r="O94" s="1">
        <f ca="1">IFERROR(__xludf.DUMMYFUNCTION("""COMPUTED_VALUE"""),125)</f>
        <v>125</v>
      </c>
      <c r="P94" s="1">
        <f ca="1">IFERROR(__xludf.DUMMYFUNCTION("""COMPUTED_VALUE"""),105.5)</f>
        <v>105.5</v>
      </c>
      <c r="Q94" s="1">
        <f ca="1">IFERROR(__xludf.DUMMYFUNCTION("""COMPUTED_VALUE"""),102)</f>
        <v>102</v>
      </c>
      <c r="R94" s="1">
        <f ca="1">IFERROR(__xludf.DUMMYFUNCTION("""COMPUTED_VALUE"""),104.6)</f>
        <v>104.6</v>
      </c>
      <c r="S94" s="1">
        <f ca="1">IFERROR(__xludf.DUMMYFUNCTION("""COMPUTED_VALUE"""),165)</f>
        <v>165</v>
      </c>
      <c r="T94" s="1">
        <f ca="1">IFERROR(__xludf.DUMMYFUNCTION("""COMPUTED_VALUE"""),-0.32)</f>
        <v>-0.32</v>
      </c>
      <c r="U94" s="1">
        <f ca="1">IFERROR(__xludf.DUMMYFUNCTION("""COMPUTED_VALUE"""),167)</f>
        <v>167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IFERROR(__xludf.DUMMYFUNCTION("""COMPUTED_VALUE"""),"Cleveland St.")</f>
        <v>Cleveland St.</v>
      </c>
      <c r="C95" s="1" t="str">
        <f ca="1">IFERROR(__xludf.DUMMYFUNCTION("""COMPUTED_VALUE"""),"Horz")</f>
        <v>Horz</v>
      </c>
      <c r="D95" s="1" t="str">
        <f ca="1">IFERROR(__xludf.DUMMYFUNCTION("""COMPUTED_VALUE"""),"19-15")</f>
        <v>19-15</v>
      </c>
      <c r="E95" s="1" t="str">
        <f ca="1">IFERROR(__xludf.DUMMYFUNCTION("""COMPUTED_VALUE"""),"+7.42")</f>
        <v>+7.42</v>
      </c>
      <c r="F95" s="1">
        <f ca="1">IFERROR(__xludf.DUMMYFUNCTION("""COMPUTED_VALUE"""),108.3)</f>
        <v>108.3</v>
      </c>
      <c r="G95" s="1">
        <f ca="1">IFERROR(__xludf.DUMMYFUNCTION("""COMPUTED_VALUE"""),92)</f>
        <v>92</v>
      </c>
      <c r="H95" s="1">
        <f ca="1">IFERROR(__xludf.DUMMYFUNCTION("""COMPUTED_VALUE"""),100.9)</f>
        <v>100.9</v>
      </c>
      <c r="I95" s="1">
        <f ca="1">IFERROR(__xludf.DUMMYFUNCTION("""COMPUTED_VALUE"""),107)</f>
        <v>107</v>
      </c>
      <c r="J95" s="1">
        <f ca="1">IFERROR(__xludf.DUMMYFUNCTION("""COMPUTED_VALUE"""),61.1)</f>
        <v>61.1</v>
      </c>
      <c r="K95" s="1">
        <f ca="1">IFERROR(__xludf.DUMMYFUNCTION("""COMPUTED_VALUE"""),318)</f>
        <v>318</v>
      </c>
      <c r="L95" s="1">
        <f ca="1">IFERROR(__xludf.DUMMYFUNCTION("""COMPUTED_VALUE"""),-0.098)</f>
        <v>-9.8000000000000004E-2</v>
      </c>
      <c r="M95" s="1">
        <f ca="1">IFERROR(__xludf.DUMMYFUNCTION("""COMPUTED_VALUE"""),341)</f>
        <v>341</v>
      </c>
      <c r="N95" s="1" t="str">
        <f ca="1">IFERROR(__xludf.DUMMYFUNCTION("""COMPUTED_VALUE"""),"+0.26")</f>
        <v>+0.26</v>
      </c>
      <c r="O95" s="1">
        <f ca="1">IFERROR(__xludf.DUMMYFUNCTION("""COMPUTED_VALUE"""),137)</f>
        <v>137</v>
      </c>
      <c r="P95" s="1">
        <f ca="1">IFERROR(__xludf.DUMMYFUNCTION("""COMPUTED_VALUE"""),104.4)</f>
        <v>104.4</v>
      </c>
      <c r="Q95" s="1">
        <f ca="1">IFERROR(__xludf.DUMMYFUNCTION("""COMPUTED_VALUE"""),140)</f>
        <v>140</v>
      </c>
      <c r="R95" s="1">
        <f ca="1">IFERROR(__xludf.DUMMYFUNCTION("""COMPUTED_VALUE"""),104.1)</f>
        <v>104.1</v>
      </c>
      <c r="S95" s="1">
        <f ca="1">IFERROR(__xludf.DUMMYFUNCTION("""COMPUTED_VALUE"""),144)</f>
        <v>144</v>
      </c>
      <c r="T95" s="1" t="str">
        <f ca="1">IFERROR(__xludf.DUMMYFUNCTION("""COMPUTED_VALUE"""),"+1.57")</f>
        <v>+1.57</v>
      </c>
      <c r="U95" s="1">
        <f ca="1">IFERROR(__xludf.DUMMYFUNCTION("""COMPUTED_VALUE"""),111)</f>
        <v>111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IFERROR(__xludf.DUMMYFUNCTION("""COMPUTED_VALUE"""),"Tennessee")</f>
        <v>Tennessee</v>
      </c>
      <c r="C96" s="1" t="str">
        <f ca="1">IFERROR(__xludf.DUMMYFUNCTION("""COMPUTED_VALUE"""),"SEC")</f>
        <v>SEC</v>
      </c>
      <c r="D96" s="1" t="str">
        <f ca="1">IFERROR(__xludf.DUMMYFUNCTION("""COMPUTED_VALUE"""),"16-16")</f>
        <v>16-16</v>
      </c>
      <c r="E96" s="1" t="str">
        <f ca="1">IFERROR(__xludf.DUMMYFUNCTION("""COMPUTED_VALUE"""),"+7.24")</f>
        <v>+7.24</v>
      </c>
      <c r="F96" s="1">
        <f ca="1">IFERROR(__xludf.DUMMYFUNCTION("""COMPUTED_VALUE"""),109.5)</f>
        <v>109.5</v>
      </c>
      <c r="G96" s="1">
        <f ca="1">IFERROR(__xludf.DUMMYFUNCTION("""COMPUTED_VALUE"""),71)</f>
        <v>71</v>
      </c>
      <c r="H96" s="1">
        <f ca="1">IFERROR(__xludf.DUMMYFUNCTION("""COMPUTED_VALUE"""),102.3)</f>
        <v>102.3</v>
      </c>
      <c r="I96" s="1">
        <f ca="1">IFERROR(__xludf.DUMMYFUNCTION("""COMPUTED_VALUE"""),130)</f>
        <v>130</v>
      </c>
      <c r="J96" s="1">
        <f ca="1">IFERROR(__xludf.DUMMYFUNCTION("""COMPUTED_VALUE"""),60.4)</f>
        <v>60.4</v>
      </c>
      <c r="K96" s="1">
        <f ca="1">IFERROR(__xludf.DUMMYFUNCTION("""COMPUTED_VALUE"""),332)</f>
        <v>332</v>
      </c>
      <c r="L96" s="1" t="str">
        <f ca="1">IFERROR(__xludf.DUMMYFUNCTION("""COMPUTED_VALUE"""),"+.030")</f>
        <v>+.030</v>
      </c>
      <c r="M96" s="1">
        <f ca="1">IFERROR(__xludf.DUMMYFUNCTION("""COMPUTED_VALUE"""),107)</f>
        <v>107</v>
      </c>
      <c r="N96" s="1" t="str">
        <f ca="1">IFERROR(__xludf.DUMMYFUNCTION("""COMPUTED_VALUE"""),"+8.26")</f>
        <v>+8.26</v>
      </c>
      <c r="O96" s="1">
        <f ca="1">IFERROR(__xludf.DUMMYFUNCTION("""COMPUTED_VALUE"""),30)</f>
        <v>30</v>
      </c>
      <c r="P96" s="1">
        <f ca="1">IFERROR(__xludf.DUMMYFUNCTION("""COMPUTED_VALUE"""),108.1)</f>
        <v>108.1</v>
      </c>
      <c r="Q96" s="1">
        <f ca="1">IFERROR(__xludf.DUMMYFUNCTION("""COMPUTED_VALUE"""),46)</f>
        <v>46</v>
      </c>
      <c r="R96" s="1">
        <f ca="1">IFERROR(__xludf.DUMMYFUNCTION("""COMPUTED_VALUE"""),99.9)</f>
        <v>99.9</v>
      </c>
      <c r="S96" s="1">
        <f ca="1">IFERROR(__xludf.DUMMYFUNCTION("""COMPUTED_VALUE"""),21)</f>
        <v>21</v>
      </c>
      <c r="T96" s="1" t="str">
        <f ca="1">IFERROR(__xludf.DUMMYFUNCTION("""COMPUTED_VALUE"""),"+0.49")</f>
        <v>+0.49</v>
      </c>
      <c r="U96" s="1">
        <f ca="1">IFERROR(__xludf.DUMMYFUNCTION("""COMPUTED_VALUE"""),140)</f>
        <v>140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IFERROR(__xludf.DUMMYFUNCTION("""COMPUTED_VALUE"""),"UC Irvine13")</f>
        <v>UC Irvine13</v>
      </c>
      <c r="C97" s="1" t="str">
        <f ca="1">IFERROR(__xludf.DUMMYFUNCTION("""COMPUTED_VALUE"""),"BW")</f>
        <v>BW</v>
      </c>
      <c r="D97" s="1" t="str">
        <f ca="1">IFERROR(__xludf.DUMMYFUNCTION("""COMPUTED_VALUE"""),"21-13")</f>
        <v>21-13</v>
      </c>
      <c r="E97" s="1" t="str">
        <f ca="1">IFERROR(__xludf.DUMMYFUNCTION("""COMPUTED_VALUE"""),"+7.09")</f>
        <v>+7.09</v>
      </c>
      <c r="F97" s="1">
        <f ca="1">IFERROR(__xludf.DUMMYFUNCTION("""COMPUTED_VALUE"""),106.3)</f>
        <v>106.3</v>
      </c>
      <c r="G97" s="1">
        <f ca="1">IFERROR(__xludf.DUMMYFUNCTION("""COMPUTED_VALUE"""),129)</f>
        <v>129</v>
      </c>
      <c r="H97" s="1">
        <f ca="1">IFERROR(__xludf.DUMMYFUNCTION("""COMPUTED_VALUE"""),99.2)</f>
        <v>99.2</v>
      </c>
      <c r="I97" s="1">
        <f ca="1">IFERROR(__xludf.DUMMYFUNCTION("""COMPUTED_VALUE"""),82)</f>
        <v>82</v>
      </c>
      <c r="J97" s="1">
        <f ca="1">IFERROR(__xludf.DUMMYFUNCTION("""COMPUTED_VALUE"""),63.4)</f>
        <v>63.4</v>
      </c>
      <c r="K97" s="1">
        <f ca="1">IFERROR(__xludf.DUMMYFUNCTION("""COMPUTED_VALUE"""),227)</f>
        <v>227</v>
      </c>
      <c r="L97" s="1">
        <f ca="1">IFERROR(__xludf.DUMMYFUNCTION("""COMPUTED_VALUE"""),-0.022)</f>
        <v>-2.1999999999999999E-2</v>
      </c>
      <c r="M97" s="1">
        <f ca="1">IFERROR(__xludf.DUMMYFUNCTION("""COMPUTED_VALUE"""),231)</f>
        <v>231</v>
      </c>
      <c r="N97" s="1" t="str">
        <f ca="1">IFERROR(__xludf.DUMMYFUNCTION("""COMPUTED_VALUE"""),"+0.90")</f>
        <v>+0.90</v>
      </c>
      <c r="O97" s="1">
        <f ca="1">IFERROR(__xludf.DUMMYFUNCTION("""COMPUTED_VALUE"""),127)</f>
        <v>127</v>
      </c>
      <c r="P97" s="1">
        <f ca="1">IFERROR(__xludf.DUMMYFUNCTION("""COMPUTED_VALUE"""),104.7)</f>
        <v>104.7</v>
      </c>
      <c r="Q97" s="1">
        <f ca="1">IFERROR(__xludf.DUMMYFUNCTION("""COMPUTED_VALUE"""),123)</f>
        <v>123</v>
      </c>
      <c r="R97" s="1">
        <f ca="1">IFERROR(__xludf.DUMMYFUNCTION("""COMPUTED_VALUE"""),103.8)</f>
        <v>103.8</v>
      </c>
      <c r="S97" s="1">
        <f ca="1">IFERROR(__xludf.DUMMYFUNCTION("""COMPUTED_VALUE"""),128)</f>
        <v>128</v>
      </c>
      <c r="T97" s="1" t="str">
        <f ca="1">IFERROR(__xludf.DUMMYFUNCTION("""COMPUTED_VALUE"""),"+2.29")</f>
        <v>+2.29</v>
      </c>
      <c r="U97" s="1">
        <f ca="1">IFERROR(__xludf.DUMMYFUNCTION("""COMPUTED_VALUE"""),90)</f>
        <v>90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IFERROR(__xludf.DUMMYFUNCTION("""COMPUTED_VALUE"""),"Colorado")</f>
        <v>Colorado</v>
      </c>
      <c r="C98" s="1" t="str">
        <f ca="1">IFERROR(__xludf.DUMMYFUNCTION("""COMPUTED_VALUE"""),"P12")</f>
        <v>P12</v>
      </c>
      <c r="D98" s="1" t="str">
        <f ca="1">IFERROR(__xludf.DUMMYFUNCTION("""COMPUTED_VALUE"""),"16-18")</f>
        <v>16-18</v>
      </c>
      <c r="E98" s="1" t="str">
        <f ca="1">IFERROR(__xludf.DUMMYFUNCTION("""COMPUTED_VALUE"""),"+7.09")</f>
        <v>+7.09</v>
      </c>
      <c r="F98" s="1">
        <f ca="1">IFERROR(__xludf.DUMMYFUNCTION("""COMPUTED_VALUE"""),107.5)</f>
        <v>107.5</v>
      </c>
      <c r="G98" s="1">
        <f ca="1">IFERROR(__xludf.DUMMYFUNCTION("""COMPUTED_VALUE"""),106)</f>
        <v>106</v>
      </c>
      <c r="H98" s="1">
        <f ca="1">IFERROR(__xludf.DUMMYFUNCTION("""COMPUTED_VALUE"""),100.5)</f>
        <v>100.5</v>
      </c>
      <c r="I98" s="1">
        <f ca="1">IFERROR(__xludf.DUMMYFUNCTION("""COMPUTED_VALUE"""),101)</f>
        <v>101</v>
      </c>
      <c r="J98" s="1">
        <f ca="1">IFERROR(__xludf.DUMMYFUNCTION("""COMPUTED_VALUE"""),65)</f>
        <v>65</v>
      </c>
      <c r="K98" s="1">
        <f ca="1">IFERROR(__xludf.DUMMYFUNCTION("""COMPUTED_VALUE"""),138)</f>
        <v>138</v>
      </c>
      <c r="L98" s="1">
        <f ca="1">IFERROR(__xludf.DUMMYFUNCTION("""COMPUTED_VALUE"""),-0.041)</f>
        <v>-4.1000000000000002E-2</v>
      </c>
      <c r="M98" s="1">
        <f ca="1">IFERROR(__xludf.DUMMYFUNCTION("""COMPUTED_VALUE"""),274)</f>
        <v>274</v>
      </c>
      <c r="N98" s="1" t="str">
        <f ca="1">IFERROR(__xludf.DUMMYFUNCTION("""COMPUTED_VALUE"""),"+5.63")</f>
        <v>+5.63</v>
      </c>
      <c r="O98" s="1">
        <f ca="1">IFERROR(__xludf.DUMMYFUNCTION("""COMPUTED_VALUE"""),68)</f>
        <v>68</v>
      </c>
      <c r="P98" s="1">
        <f ca="1">IFERROR(__xludf.DUMMYFUNCTION("""COMPUTED_VALUE"""),107.7)</f>
        <v>107.7</v>
      </c>
      <c r="Q98" s="1">
        <f ca="1">IFERROR(__xludf.DUMMYFUNCTION("""COMPUTED_VALUE"""),56)</f>
        <v>56</v>
      </c>
      <c r="R98" s="1">
        <f ca="1">IFERROR(__xludf.DUMMYFUNCTION("""COMPUTED_VALUE"""),102.1)</f>
        <v>102.1</v>
      </c>
      <c r="S98" s="1">
        <f ca="1">IFERROR(__xludf.DUMMYFUNCTION("""COMPUTED_VALUE"""),83)</f>
        <v>83</v>
      </c>
      <c r="T98" s="1">
        <f ca="1">IFERROR(__xludf.DUMMYFUNCTION("""COMPUTED_VALUE"""),-0.94)</f>
        <v>-0.94</v>
      </c>
      <c r="U98" s="1">
        <f ca="1">IFERROR(__xludf.DUMMYFUNCTION("""COMPUTED_VALUE"""),186)</f>
        <v>186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IFERROR(__xludf.DUMMYFUNCTION("""COMPUTED_VALUE"""),"Marquette")</f>
        <v>Marquette</v>
      </c>
      <c r="C99" s="1" t="str">
        <f ca="1">IFERROR(__xludf.DUMMYFUNCTION("""COMPUTED_VALUE"""),"BE")</f>
        <v>BE</v>
      </c>
      <c r="D99" s="1" t="str">
        <f ca="1">IFERROR(__xludf.DUMMYFUNCTION("""COMPUTED_VALUE"""),"13-19")</f>
        <v>13-19</v>
      </c>
      <c r="E99" s="1" t="str">
        <f ca="1">IFERROR(__xludf.DUMMYFUNCTION("""COMPUTED_VALUE"""),"+6.88")</f>
        <v>+6.88</v>
      </c>
      <c r="F99" s="1">
        <f ca="1">IFERROR(__xludf.DUMMYFUNCTION("""COMPUTED_VALUE"""),105.3)</f>
        <v>105.3</v>
      </c>
      <c r="G99" s="1">
        <f ca="1">IFERROR(__xludf.DUMMYFUNCTION("""COMPUTED_VALUE"""),154)</f>
        <v>154</v>
      </c>
      <c r="H99" s="1">
        <f ca="1">IFERROR(__xludf.DUMMYFUNCTION("""COMPUTED_VALUE"""),98.5)</f>
        <v>98.5</v>
      </c>
      <c r="I99" s="1">
        <f ca="1">IFERROR(__xludf.DUMMYFUNCTION("""COMPUTED_VALUE"""),69)</f>
        <v>69</v>
      </c>
      <c r="J99" s="1">
        <f ca="1">IFERROR(__xludf.DUMMYFUNCTION("""COMPUTED_VALUE"""),63.7)</f>
        <v>63.7</v>
      </c>
      <c r="K99" s="1">
        <f ca="1">IFERROR(__xludf.DUMMYFUNCTION("""COMPUTED_VALUE"""),205)</f>
        <v>205</v>
      </c>
      <c r="L99" s="1">
        <f ca="1">IFERROR(__xludf.DUMMYFUNCTION("""COMPUTED_VALUE"""),-0.043)</f>
        <v>-4.2999999999999997E-2</v>
      </c>
      <c r="M99" s="1">
        <f ca="1">IFERROR(__xludf.DUMMYFUNCTION("""COMPUTED_VALUE"""),279)</f>
        <v>279</v>
      </c>
      <c r="N99" s="1" t="str">
        <f ca="1">IFERROR(__xludf.DUMMYFUNCTION("""COMPUTED_VALUE"""),"+9.97")</f>
        <v>+9.97</v>
      </c>
      <c r="O99" s="1">
        <f ca="1">IFERROR(__xludf.DUMMYFUNCTION("""COMPUTED_VALUE"""),15)</f>
        <v>15</v>
      </c>
      <c r="P99" s="1">
        <f ca="1">IFERROR(__xludf.DUMMYFUNCTION("""COMPUTED_VALUE"""),110.5)</f>
        <v>110.5</v>
      </c>
      <c r="Q99" s="1">
        <f ca="1">IFERROR(__xludf.DUMMYFUNCTION("""COMPUTED_VALUE"""),6)</f>
        <v>6</v>
      </c>
      <c r="R99" s="1">
        <f ca="1">IFERROR(__xludf.DUMMYFUNCTION("""COMPUTED_VALUE"""),100.5)</f>
        <v>100.5</v>
      </c>
      <c r="S99" s="1">
        <f ca="1">IFERROR(__xludf.DUMMYFUNCTION("""COMPUTED_VALUE"""),40)</f>
        <v>40</v>
      </c>
      <c r="T99" s="1">
        <f ca="1">IFERROR(__xludf.DUMMYFUNCTION("""COMPUTED_VALUE"""),-1.17)</f>
        <v>-1.17</v>
      </c>
      <c r="U99" s="1">
        <f ca="1">IFERROR(__xludf.DUMMYFUNCTION("""COMPUTED_VALUE"""),191)</f>
        <v>191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IFERROR(__xludf.DUMMYFUNCTION("""COMPUTED_VALUE"""),"South Dakota St.8")</f>
        <v>South Dakota St.8</v>
      </c>
      <c r="C100" s="1" t="str">
        <f ca="1">IFERROR(__xludf.DUMMYFUNCTION("""COMPUTED_VALUE"""),"Sum")</f>
        <v>Sum</v>
      </c>
      <c r="D100" s="1" t="str">
        <f ca="1">IFERROR(__xludf.DUMMYFUNCTION("""COMPUTED_VALUE"""),"24-11")</f>
        <v>24-11</v>
      </c>
      <c r="E100" s="1" t="str">
        <f ca="1">IFERROR(__xludf.DUMMYFUNCTION("""COMPUTED_VALUE"""),"+6.85")</f>
        <v>+6.85</v>
      </c>
      <c r="F100" s="1">
        <f ca="1">IFERROR(__xludf.DUMMYFUNCTION("""COMPUTED_VALUE"""),108.8)</f>
        <v>108.8</v>
      </c>
      <c r="G100" s="1">
        <f ca="1">IFERROR(__xludf.DUMMYFUNCTION("""COMPUTED_VALUE"""),84)</f>
        <v>84</v>
      </c>
      <c r="H100" s="1">
        <f ca="1">IFERROR(__xludf.DUMMYFUNCTION("""COMPUTED_VALUE"""),102)</f>
        <v>102</v>
      </c>
      <c r="I100" s="1">
        <f ca="1">IFERROR(__xludf.DUMMYFUNCTION("""COMPUTED_VALUE"""),128)</f>
        <v>128</v>
      </c>
      <c r="J100" s="1">
        <f ca="1">IFERROR(__xludf.DUMMYFUNCTION("""COMPUTED_VALUE"""),66.1)</f>
        <v>66.099999999999994</v>
      </c>
      <c r="K100" s="1">
        <f ca="1">IFERROR(__xludf.DUMMYFUNCTION("""COMPUTED_VALUE"""),87)</f>
        <v>87</v>
      </c>
      <c r="L100" s="1">
        <f ca="1">IFERROR(__xludf.DUMMYFUNCTION("""COMPUTED_VALUE"""),-0.006)</f>
        <v>-6.0000000000000001E-3</v>
      </c>
      <c r="M100" s="1">
        <f ca="1">IFERROR(__xludf.DUMMYFUNCTION("""COMPUTED_VALUE"""),202)</f>
        <v>202</v>
      </c>
      <c r="N100" s="1">
        <f ca="1">IFERROR(__xludf.DUMMYFUNCTION("""COMPUTED_VALUE"""),-3.73)</f>
        <v>-3.73</v>
      </c>
      <c r="O100" s="1">
        <f ca="1">IFERROR(__xludf.DUMMYFUNCTION("""COMPUTED_VALUE"""),240)</f>
        <v>240</v>
      </c>
      <c r="P100" s="1">
        <f ca="1">IFERROR(__xludf.DUMMYFUNCTION("""COMPUTED_VALUE"""),103)</f>
        <v>103</v>
      </c>
      <c r="Q100" s="1">
        <f ca="1">IFERROR(__xludf.DUMMYFUNCTION("""COMPUTED_VALUE"""),217)</f>
        <v>217</v>
      </c>
      <c r="R100" s="1">
        <f ca="1">IFERROR(__xludf.DUMMYFUNCTION("""COMPUTED_VALUE"""),106.7)</f>
        <v>106.7</v>
      </c>
      <c r="S100" s="1">
        <f ca="1">IFERROR(__xludf.DUMMYFUNCTION("""COMPUTED_VALUE"""),261)</f>
        <v>261</v>
      </c>
      <c r="T100" s="1">
        <f ca="1">IFERROR(__xludf.DUMMYFUNCTION("""COMPUTED_VALUE"""),-1.28)</f>
        <v>-1.28</v>
      </c>
      <c r="U100" s="1">
        <f ca="1">IFERROR(__xludf.DUMMYFUNCTION("""COMPUTED_VALUE"""),198)</f>
        <v>198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IFERROR(__xludf.DUMMYFUNCTION("""COMPUTED_VALUE"""),"Sam Houston St.")</f>
        <v>Sam Houston St.</v>
      </c>
      <c r="C101" s="1" t="str">
        <f ca="1">IFERROR(__xludf.DUMMYFUNCTION("""COMPUTED_VALUE"""),"Slnd")</f>
        <v>Slnd</v>
      </c>
      <c r="D101" s="1" t="str">
        <f ca="1">IFERROR(__xludf.DUMMYFUNCTION("""COMPUTED_VALUE"""),"26-9")</f>
        <v>26-9</v>
      </c>
      <c r="E101" s="1" t="str">
        <f ca="1">IFERROR(__xludf.DUMMYFUNCTION("""COMPUTED_VALUE"""),"+6.84")</f>
        <v>+6.84</v>
      </c>
      <c r="F101" s="1">
        <f ca="1">IFERROR(__xludf.DUMMYFUNCTION("""COMPUTED_VALUE"""),103.4)</f>
        <v>103.4</v>
      </c>
      <c r="G101" s="1">
        <f ca="1">IFERROR(__xludf.DUMMYFUNCTION("""COMPUTED_VALUE"""),190)</f>
        <v>190</v>
      </c>
      <c r="H101" s="1">
        <f ca="1">IFERROR(__xludf.DUMMYFUNCTION("""COMPUTED_VALUE"""),96.5)</f>
        <v>96.5</v>
      </c>
      <c r="I101" s="1">
        <f ca="1">IFERROR(__xludf.DUMMYFUNCTION("""COMPUTED_VALUE"""),48)</f>
        <v>48</v>
      </c>
      <c r="J101" s="1">
        <f ca="1">IFERROR(__xludf.DUMMYFUNCTION("""COMPUTED_VALUE"""),64.9)</f>
        <v>64.900000000000006</v>
      </c>
      <c r="K101" s="1">
        <f ca="1">IFERROR(__xludf.DUMMYFUNCTION("""COMPUTED_VALUE"""),142)</f>
        <v>142</v>
      </c>
      <c r="L101" s="1">
        <f ca="1">IFERROR(__xludf.DUMMYFUNCTION("""COMPUTED_VALUE"""),-0.055)</f>
        <v>-5.5E-2</v>
      </c>
      <c r="M101" s="1">
        <f ca="1">IFERROR(__xludf.DUMMYFUNCTION("""COMPUTED_VALUE"""),306)</f>
        <v>306</v>
      </c>
      <c r="N101" s="1">
        <f ca="1">IFERROR(__xludf.DUMMYFUNCTION("""COMPUTED_VALUE"""),-7.28)</f>
        <v>-7.28</v>
      </c>
      <c r="O101" s="1">
        <f ca="1">IFERROR(__xludf.DUMMYFUNCTION("""COMPUTED_VALUE"""),332)</f>
        <v>332</v>
      </c>
      <c r="P101" s="1">
        <f ca="1">IFERROR(__xludf.DUMMYFUNCTION("""COMPUTED_VALUE"""),101.4)</f>
        <v>101.4</v>
      </c>
      <c r="Q101" s="1">
        <f ca="1">IFERROR(__xludf.DUMMYFUNCTION("""COMPUTED_VALUE"""),305)</f>
        <v>305</v>
      </c>
      <c r="R101" s="1">
        <f ca="1">IFERROR(__xludf.DUMMYFUNCTION("""COMPUTED_VALUE"""),108.6)</f>
        <v>108.6</v>
      </c>
      <c r="S101" s="1">
        <f ca="1">IFERROR(__xludf.DUMMYFUNCTION("""COMPUTED_VALUE"""),339)</f>
        <v>339</v>
      </c>
      <c r="T101" s="1">
        <f ca="1">IFERROR(__xludf.DUMMYFUNCTION("""COMPUTED_VALUE"""),-0.16)</f>
        <v>-0.16</v>
      </c>
      <c r="U101" s="1">
        <f ca="1">IFERROR(__xludf.DUMMYFUNCTION("""COMPUTED_VALUE"""),162)</f>
        <v>162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IFERROR(__xludf.DUMMYFUNCTION("""COMPUTED_VALUE"""),"Wofford12")</f>
        <v>Wofford12</v>
      </c>
      <c r="C102" s="1" t="str">
        <f ca="1">IFERROR(__xludf.DUMMYFUNCTION("""COMPUTED_VALUE"""),"SC")</f>
        <v>SC</v>
      </c>
      <c r="D102" s="1" t="str">
        <f ca="1">IFERROR(__xludf.DUMMYFUNCTION("""COMPUTED_VALUE"""),"28-7")</f>
        <v>28-7</v>
      </c>
      <c r="E102" s="1" t="str">
        <f ca="1">IFERROR(__xludf.DUMMYFUNCTION("""COMPUTED_VALUE"""),"+6.72")</f>
        <v>+6.72</v>
      </c>
      <c r="F102" s="1">
        <f ca="1">IFERROR(__xludf.DUMMYFUNCTION("""COMPUTED_VALUE"""),105.2)</f>
        <v>105.2</v>
      </c>
      <c r="G102" s="1">
        <f ca="1">IFERROR(__xludf.DUMMYFUNCTION("""COMPUTED_VALUE"""),158)</f>
        <v>158</v>
      </c>
      <c r="H102" s="1">
        <f ca="1">IFERROR(__xludf.DUMMYFUNCTION("""COMPUTED_VALUE"""),98.5)</f>
        <v>98.5</v>
      </c>
      <c r="I102" s="1">
        <f ca="1">IFERROR(__xludf.DUMMYFUNCTION("""COMPUTED_VALUE"""),70)</f>
        <v>70</v>
      </c>
      <c r="J102" s="1">
        <f ca="1">IFERROR(__xludf.DUMMYFUNCTION("""COMPUTED_VALUE"""),60.5)</f>
        <v>60.5</v>
      </c>
      <c r="K102" s="1">
        <f ca="1">IFERROR(__xludf.DUMMYFUNCTION("""COMPUTED_VALUE"""),331)</f>
        <v>331</v>
      </c>
      <c r="L102" s="1" t="str">
        <f ca="1">IFERROR(__xludf.DUMMYFUNCTION("""COMPUTED_VALUE"""),"+.122")</f>
        <v>+.122</v>
      </c>
      <c r="M102" s="1">
        <f ca="1">IFERROR(__xludf.DUMMYFUNCTION("""COMPUTED_VALUE"""),3)</f>
        <v>3</v>
      </c>
      <c r="N102" s="1">
        <f ca="1">IFERROR(__xludf.DUMMYFUNCTION("""COMPUTED_VALUE"""),-3.98)</f>
        <v>-3.98</v>
      </c>
      <c r="O102" s="1">
        <f ca="1">IFERROR(__xludf.DUMMYFUNCTION("""COMPUTED_VALUE"""),245)</f>
        <v>245</v>
      </c>
      <c r="P102" s="1">
        <f ca="1">IFERROR(__xludf.DUMMYFUNCTION("""COMPUTED_VALUE"""),104)</f>
        <v>104</v>
      </c>
      <c r="Q102" s="1">
        <f ca="1">IFERROR(__xludf.DUMMYFUNCTION("""COMPUTED_VALUE"""),158)</f>
        <v>158</v>
      </c>
      <c r="R102" s="1">
        <f ca="1">IFERROR(__xludf.DUMMYFUNCTION("""COMPUTED_VALUE"""),108)</f>
        <v>108</v>
      </c>
      <c r="S102" s="1">
        <f ca="1">IFERROR(__xludf.DUMMYFUNCTION("""COMPUTED_VALUE"""),318)</f>
        <v>318</v>
      </c>
      <c r="T102" s="1" t="str">
        <f ca="1">IFERROR(__xludf.DUMMYFUNCTION("""COMPUTED_VALUE"""),"+6.79")</f>
        <v>+6.79</v>
      </c>
      <c r="U102" s="1">
        <f ca="1">IFERROR(__xludf.DUMMYFUNCTION("""COMPUTED_VALUE"""),18)</f>
        <v>18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IFERROR(__xludf.DUMMYFUNCTION("""COMPUTED_VALUE"""),"UTEP6")</f>
        <v>UTEP6</v>
      </c>
      <c r="C103" s="1" t="str">
        <f ca="1">IFERROR(__xludf.DUMMYFUNCTION("""COMPUTED_VALUE"""),"CUSA")</f>
        <v>CUSA</v>
      </c>
      <c r="D103" s="1" t="str">
        <f ca="1">IFERROR(__xludf.DUMMYFUNCTION("""COMPUTED_VALUE"""),"22-11")</f>
        <v>22-11</v>
      </c>
      <c r="E103" s="1" t="str">
        <f ca="1">IFERROR(__xludf.DUMMYFUNCTION("""COMPUTED_VALUE"""),"+6.64")</f>
        <v>+6.64</v>
      </c>
      <c r="F103" s="1">
        <f ca="1">IFERROR(__xludf.DUMMYFUNCTION("""COMPUTED_VALUE"""),106.2)</f>
        <v>106.2</v>
      </c>
      <c r="G103" s="1">
        <f ca="1">IFERROR(__xludf.DUMMYFUNCTION("""COMPUTED_VALUE"""),131)</f>
        <v>131</v>
      </c>
      <c r="H103" s="1">
        <f ca="1">IFERROR(__xludf.DUMMYFUNCTION("""COMPUTED_VALUE"""),99.6)</f>
        <v>99.6</v>
      </c>
      <c r="I103" s="1">
        <f ca="1">IFERROR(__xludf.DUMMYFUNCTION("""COMPUTED_VALUE"""),89)</f>
        <v>89</v>
      </c>
      <c r="J103" s="1">
        <f ca="1">IFERROR(__xludf.DUMMYFUNCTION("""COMPUTED_VALUE"""),64.7)</f>
        <v>64.7</v>
      </c>
      <c r="K103" s="1">
        <f ca="1">IFERROR(__xludf.DUMMYFUNCTION("""COMPUTED_VALUE"""),150)</f>
        <v>150</v>
      </c>
      <c r="L103" s="1">
        <f ca="1">IFERROR(__xludf.DUMMYFUNCTION("""COMPUTED_VALUE"""),-0.004)</f>
        <v>-4.0000000000000001E-3</v>
      </c>
      <c r="M103" s="1">
        <f ca="1">IFERROR(__xludf.DUMMYFUNCTION("""COMPUTED_VALUE"""),195)</f>
        <v>195</v>
      </c>
      <c r="N103" s="1">
        <f ca="1">IFERROR(__xludf.DUMMYFUNCTION("""COMPUTED_VALUE"""),-1.56)</f>
        <v>-1.56</v>
      </c>
      <c r="O103" s="1">
        <f ca="1">IFERROR(__xludf.DUMMYFUNCTION("""COMPUTED_VALUE"""),178)</f>
        <v>178</v>
      </c>
      <c r="P103" s="1">
        <f ca="1">IFERROR(__xludf.DUMMYFUNCTION("""COMPUTED_VALUE"""),103.9)</f>
        <v>103.9</v>
      </c>
      <c r="Q103" s="1">
        <f ca="1">IFERROR(__xludf.DUMMYFUNCTION("""COMPUTED_VALUE"""),162)</f>
        <v>162</v>
      </c>
      <c r="R103" s="1">
        <f ca="1">IFERROR(__xludf.DUMMYFUNCTION("""COMPUTED_VALUE"""),105.5)</f>
        <v>105.5</v>
      </c>
      <c r="S103" s="1">
        <f ca="1">IFERROR(__xludf.DUMMYFUNCTION("""COMPUTED_VALUE"""),205)</f>
        <v>205</v>
      </c>
      <c r="T103" s="1" t="str">
        <f ca="1">IFERROR(__xludf.DUMMYFUNCTION("""COMPUTED_VALUE"""),"+0.66")</f>
        <v>+0.66</v>
      </c>
      <c r="U103" s="1">
        <f ca="1">IFERROR(__xludf.DUMMYFUNCTION("""COMPUTED_VALUE"""),134)</f>
        <v>134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IFERROR(__xludf.DUMMYFUNCTION("""COMPUTED_VALUE"""),"New Mexico St.15")</f>
        <v>New Mexico St.15</v>
      </c>
      <c r="C104" s="1" t="str">
        <f ca="1">IFERROR(__xludf.DUMMYFUNCTION("""COMPUTED_VALUE"""),"WAC")</f>
        <v>WAC</v>
      </c>
      <c r="D104" s="1" t="str">
        <f ca="1">IFERROR(__xludf.DUMMYFUNCTION("""COMPUTED_VALUE"""),"23-11")</f>
        <v>23-11</v>
      </c>
      <c r="E104" s="1" t="str">
        <f ca="1">IFERROR(__xludf.DUMMYFUNCTION("""COMPUTED_VALUE"""),"+6.63")</f>
        <v>+6.63</v>
      </c>
      <c r="F104" s="1">
        <f ca="1">IFERROR(__xludf.DUMMYFUNCTION("""COMPUTED_VALUE"""),107.4)</f>
        <v>107.4</v>
      </c>
      <c r="G104" s="1">
        <f ca="1">IFERROR(__xludf.DUMMYFUNCTION("""COMPUTED_VALUE"""),111)</f>
        <v>111</v>
      </c>
      <c r="H104" s="1">
        <f ca="1">IFERROR(__xludf.DUMMYFUNCTION("""COMPUTED_VALUE"""),100.8)</f>
        <v>100.8</v>
      </c>
      <c r="I104" s="1">
        <f ca="1">IFERROR(__xludf.DUMMYFUNCTION("""COMPUTED_VALUE"""),106)</f>
        <v>106</v>
      </c>
      <c r="J104" s="1">
        <f ca="1">IFERROR(__xludf.DUMMYFUNCTION("""COMPUTED_VALUE"""),63)</f>
        <v>63</v>
      </c>
      <c r="K104" s="1">
        <f ca="1">IFERROR(__xludf.DUMMYFUNCTION("""COMPUTED_VALUE"""),254)</f>
        <v>254</v>
      </c>
      <c r="L104" s="1">
        <f ca="1">IFERROR(__xludf.DUMMYFUNCTION("""COMPUTED_VALUE"""),-0.042)</f>
        <v>-4.2000000000000003E-2</v>
      </c>
      <c r="M104" s="1">
        <f ca="1">IFERROR(__xludf.DUMMYFUNCTION("""COMPUTED_VALUE"""),277)</f>
        <v>277</v>
      </c>
      <c r="N104" s="1">
        <f ca="1">IFERROR(__xludf.DUMMYFUNCTION("""COMPUTED_VALUE"""),-5.37)</f>
        <v>-5.37</v>
      </c>
      <c r="O104" s="1">
        <f ca="1">IFERROR(__xludf.DUMMYFUNCTION("""COMPUTED_VALUE"""),290)</f>
        <v>290</v>
      </c>
      <c r="P104" s="1">
        <f ca="1">IFERROR(__xludf.DUMMYFUNCTION("""COMPUTED_VALUE"""),101.1)</f>
        <v>101.1</v>
      </c>
      <c r="Q104" s="1">
        <f ca="1">IFERROR(__xludf.DUMMYFUNCTION("""COMPUTED_VALUE"""),310)</f>
        <v>310</v>
      </c>
      <c r="R104" s="1">
        <f ca="1">IFERROR(__xludf.DUMMYFUNCTION("""COMPUTED_VALUE"""),106.5)</f>
        <v>106.5</v>
      </c>
      <c r="S104" s="1">
        <f ca="1">IFERROR(__xludf.DUMMYFUNCTION("""COMPUTED_VALUE"""),254)</f>
        <v>254</v>
      </c>
      <c r="T104" s="1" t="str">
        <f ca="1">IFERROR(__xludf.DUMMYFUNCTION("""COMPUTED_VALUE"""),"+1.78")</f>
        <v>+1.78</v>
      </c>
      <c r="U104" s="1">
        <f ca="1">IFERROR(__xludf.DUMMYFUNCTION("""COMPUTED_VALUE"""),105)</f>
        <v>105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IFERROR(__xludf.DUMMYFUNCTION("""COMPUTED_VALUE"""),"Florida St.")</f>
        <v>Florida St.</v>
      </c>
      <c r="C105" s="1" t="str">
        <f ca="1">IFERROR(__xludf.DUMMYFUNCTION("""COMPUTED_VALUE"""),"ACC")</f>
        <v>ACC</v>
      </c>
      <c r="D105" s="1" t="str">
        <f ca="1">IFERROR(__xludf.DUMMYFUNCTION("""COMPUTED_VALUE"""),"17-16")</f>
        <v>17-16</v>
      </c>
      <c r="E105" s="1" t="str">
        <f ca="1">IFERROR(__xludf.DUMMYFUNCTION("""COMPUTED_VALUE"""),"+6.37")</f>
        <v>+6.37</v>
      </c>
      <c r="F105" s="1">
        <f ca="1">IFERROR(__xludf.DUMMYFUNCTION("""COMPUTED_VALUE"""),105.6)</f>
        <v>105.6</v>
      </c>
      <c r="G105" s="1">
        <f ca="1">IFERROR(__xludf.DUMMYFUNCTION("""COMPUTED_VALUE"""),144)</f>
        <v>144</v>
      </c>
      <c r="H105" s="1">
        <f ca="1">IFERROR(__xludf.DUMMYFUNCTION("""COMPUTED_VALUE"""),99.3)</f>
        <v>99.3</v>
      </c>
      <c r="I105" s="1">
        <f ca="1">IFERROR(__xludf.DUMMYFUNCTION("""COMPUTED_VALUE"""),83)</f>
        <v>83</v>
      </c>
      <c r="J105" s="1">
        <f ca="1">IFERROR(__xludf.DUMMYFUNCTION("""COMPUTED_VALUE"""),65.9)</f>
        <v>65.900000000000006</v>
      </c>
      <c r="K105" s="1">
        <f ca="1">IFERROR(__xludf.DUMMYFUNCTION("""COMPUTED_VALUE"""),93)</f>
        <v>93</v>
      </c>
      <c r="L105" s="1" t="str">
        <f ca="1">IFERROR(__xludf.DUMMYFUNCTION("""COMPUTED_VALUE"""),"+.038")</f>
        <v>+.038</v>
      </c>
      <c r="M105" s="1">
        <f ca="1">IFERROR(__xludf.DUMMYFUNCTION("""COMPUTED_VALUE"""),87)</f>
        <v>87</v>
      </c>
      <c r="N105" s="1" t="str">
        <f ca="1">IFERROR(__xludf.DUMMYFUNCTION("""COMPUTED_VALUE"""),"+5.95")</f>
        <v>+5.95</v>
      </c>
      <c r="O105" s="1">
        <f ca="1">IFERROR(__xludf.DUMMYFUNCTION("""COMPUTED_VALUE"""),66)</f>
        <v>66</v>
      </c>
      <c r="P105" s="1">
        <f ca="1">IFERROR(__xludf.DUMMYFUNCTION("""COMPUTED_VALUE"""),107.6)</f>
        <v>107.6</v>
      </c>
      <c r="Q105" s="1">
        <f ca="1">IFERROR(__xludf.DUMMYFUNCTION("""COMPUTED_VALUE"""),59)</f>
        <v>59</v>
      </c>
      <c r="R105" s="1">
        <f ca="1">IFERROR(__xludf.DUMMYFUNCTION("""COMPUTED_VALUE"""),101.6)</f>
        <v>101.6</v>
      </c>
      <c r="S105" s="1">
        <f ca="1">IFERROR(__xludf.DUMMYFUNCTION("""COMPUTED_VALUE"""),76)</f>
        <v>76</v>
      </c>
      <c r="T105" s="1">
        <f ca="1">IFERROR(__xludf.DUMMYFUNCTION("""COMPUTED_VALUE"""),-4.74)</f>
        <v>-4.74</v>
      </c>
      <c r="U105" s="1">
        <f ca="1">IFERROR(__xludf.DUMMYFUNCTION("""COMPUTED_VALUE"""),299)</f>
        <v>299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IFERROR(__xludf.DUMMYFUNCTION("""COMPUTED_VALUE"""),"Iona6")</f>
        <v>Iona6</v>
      </c>
      <c r="C106" s="1" t="str">
        <f ca="1">IFERROR(__xludf.DUMMYFUNCTION("""COMPUTED_VALUE"""),"MAAC")</f>
        <v>MAAC</v>
      </c>
      <c r="D106" s="1" t="str">
        <f ca="1">IFERROR(__xludf.DUMMYFUNCTION("""COMPUTED_VALUE"""),"26-9")</f>
        <v>26-9</v>
      </c>
      <c r="E106" s="1" t="str">
        <f ca="1">IFERROR(__xludf.DUMMYFUNCTION("""COMPUTED_VALUE"""),"+6.18")</f>
        <v>+6.18</v>
      </c>
      <c r="F106" s="1">
        <f ca="1">IFERROR(__xludf.DUMMYFUNCTION("""COMPUTED_VALUE"""),113.6)</f>
        <v>113.6</v>
      </c>
      <c r="G106" s="1">
        <f ca="1">IFERROR(__xludf.DUMMYFUNCTION("""COMPUTED_VALUE"""),34)</f>
        <v>34</v>
      </c>
      <c r="H106" s="1">
        <f ca="1">IFERROR(__xludf.DUMMYFUNCTION("""COMPUTED_VALUE"""),107.4)</f>
        <v>107.4</v>
      </c>
      <c r="I106" s="1">
        <f ca="1">IFERROR(__xludf.DUMMYFUNCTION("""COMPUTED_VALUE"""),230)</f>
        <v>230</v>
      </c>
      <c r="J106" s="1">
        <f ca="1">IFERROR(__xludf.DUMMYFUNCTION("""COMPUTED_VALUE"""),69.7)</f>
        <v>69.7</v>
      </c>
      <c r="K106" s="1">
        <f ca="1">IFERROR(__xludf.DUMMYFUNCTION("""COMPUTED_VALUE"""),9)</f>
        <v>9</v>
      </c>
      <c r="L106" s="1" t="str">
        <f ca="1">IFERROR(__xludf.DUMMYFUNCTION("""COMPUTED_VALUE"""),"+.048")</f>
        <v>+.048</v>
      </c>
      <c r="M106" s="1">
        <f ca="1">IFERROR(__xludf.DUMMYFUNCTION("""COMPUTED_VALUE"""),69)</f>
        <v>69</v>
      </c>
      <c r="N106" s="1">
        <f ca="1">IFERROR(__xludf.DUMMYFUNCTION("""COMPUTED_VALUE"""),-2.25)</f>
        <v>-2.25</v>
      </c>
      <c r="O106" s="1">
        <f ca="1">IFERROR(__xludf.DUMMYFUNCTION("""COMPUTED_VALUE"""),195)</f>
        <v>195</v>
      </c>
      <c r="P106" s="1">
        <f ca="1">IFERROR(__xludf.DUMMYFUNCTION("""COMPUTED_VALUE"""),102.1)</f>
        <v>102.1</v>
      </c>
      <c r="Q106" s="1">
        <f ca="1">IFERROR(__xludf.DUMMYFUNCTION("""COMPUTED_VALUE"""),266)</f>
        <v>266</v>
      </c>
      <c r="R106" s="1">
        <f ca="1">IFERROR(__xludf.DUMMYFUNCTION("""COMPUTED_VALUE"""),104.4)</f>
        <v>104.4</v>
      </c>
      <c r="S106" s="1">
        <f ca="1">IFERROR(__xludf.DUMMYFUNCTION("""COMPUTED_VALUE"""),153)</f>
        <v>153</v>
      </c>
      <c r="T106" s="1" t="str">
        <f ca="1">IFERROR(__xludf.DUMMYFUNCTION("""COMPUTED_VALUE"""),"+1.64")</f>
        <v>+1.64</v>
      </c>
      <c r="U106" s="1">
        <f ca="1">IFERROR(__xludf.DUMMYFUNCTION("""COMPUTED_VALUE"""),110)</f>
        <v>110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IFERROR(__xludf.DUMMYFUNCTION("""COMPUTED_VALUE"""),"UC Davis7")</f>
        <v>UC Davis7</v>
      </c>
      <c r="C107" s="1" t="str">
        <f ca="1">IFERROR(__xludf.DUMMYFUNCTION("""COMPUTED_VALUE"""),"BW")</f>
        <v>BW</v>
      </c>
      <c r="D107" s="1" t="str">
        <f ca="1">IFERROR(__xludf.DUMMYFUNCTION("""COMPUTED_VALUE"""),"25-7")</f>
        <v>25-7</v>
      </c>
      <c r="E107" s="1" t="str">
        <f ca="1">IFERROR(__xludf.DUMMYFUNCTION("""COMPUTED_VALUE"""),"+6.14")</f>
        <v>+6.14</v>
      </c>
      <c r="F107" s="1">
        <f ca="1">IFERROR(__xludf.DUMMYFUNCTION("""COMPUTED_VALUE"""),112.3)</f>
        <v>112.3</v>
      </c>
      <c r="G107" s="1">
        <f ca="1">IFERROR(__xludf.DUMMYFUNCTION("""COMPUTED_VALUE"""),48)</f>
        <v>48</v>
      </c>
      <c r="H107" s="1">
        <f ca="1">IFERROR(__xludf.DUMMYFUNCTION("""COMPUTED_VALUE"""),106.2)</f>
        <v>106.2</v>
      </c>
      <c r="I107" s="1">
        <f ca="1">IFERROR(__xludf.DUMMYFUNCTION("""COMPUTED_VALUE"""),205)</f>
        <v>205</v>
      </c>
      <c r="J107" s="1">
        <f ca="1">IFERROR(__xludf.DUMMYFUNCTION("""COMPUTED_VALUE"""),62.9)</f>
        <v>62.9</v>
      </c>
      <c r="K107" s="1">
        <f ca="1">IFERROR(__xludf.DUMMYFUNCTION("""COMPUTED_VALUE"""),258)</f>
        <v>258</v>
      </c>
      <c r="L107" s="1" t="str">
        <f ca="1">IFERROR(__xludf.DUMMYFUNCTION("""COMPUTED_VALUE"""),"+.067")</f>
        <v>+.067</v>
      </c>
      <c r="M107" s="1">
        <f ca="1">IFERROR(__xludf.DUMMYFUNCTION("""COMPUTED_VALUE"""),39)</f>
        <v>39</v>
      </c>
      <c r="N107" s="1">
        <f ca="1">IFERROR(__xludf.DUMMYFUNCTION("""COMPUTED_VALUE"""),-2.3)</f>
        <v>-2.2999999999999998</v>
      </c>
      <c r="O107" s="1">
        <f ca="1">IFERROR(__xludf.DUMMYFUNCTION("""COMPUTED_VALUE"""),197)</f>
        <v>197</v>
      </c>
      <c r="P107" s="1">
        <f ca="1">IFERROR(__xludf.DUMMYFUNCTION("""COMPUTED_VALUE"""),103.3)</f>
        <v>103.3</v>
      </c>
      <c r="Q107" s="1">
        <f ca="1">IFERROR(__xludf.DUMMYFUNCTION("""COMPUTED_VALUE"""),199)</f>
        <v>199</v>
      </c>
      <c r="R107" s="1">
        <f ca="1">IFERROR(__xludf.DUMMYFUNCTION("""COMPUTED_VALUE"""),105.6)</f>
        <v>105.6</v>
      </c>
      <c r="S107" s="1">
        <f ca="1">IFERROR(__xludf.DUMMYFUNCTION("""COMPUTED_VALUE"""),210)</f>
        <v>210</v>
      </c>
      <c r="T107" s="1">
        <f ca="1">IFERROR(__xludf.DUMMYFUNCTION("""COMPUTED_VALUE"""),-5.95)</f>
        <v>-5.95</v>
      </c>
      <c r="U107" s="1">
        <f ca="1">IFERROR(__xludf.DUMMYFUNCTION("""COMPUTED_VALUE"""),321)</f>
        <v>321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IFERROR(__xludf.DUMMYFUNCTION("""COMPUTED_VALUE"""),"UNLV")</f>
        <v>UNLV</v>
      </c>
      <c r="C108" s="1" t="str">
        <f ca="1">IFERROR(__xludf.DUMMYFUNCTION("""COMPUTED_VALUE"""),"MWC")</f>
        <v>MWC</v>
      </c>
      <c r="D108" s="1" t="str">
        <f ca="1">IFERROR(__xludf.DUMMYFUNCTION("""COMPUTED_VALUE"""),"18-15")</f>
        <v>18-15</v>
      </c>
      <c r="E108" s="1" t="str">
        <f ca="1">IFERROR(__xludf.DUMMYFUNCTION("""COMPUTED_VALUE"""),"+6.13")</f>
        <v>+6.13</v>
      </c>
      <c r="F108" s="1">
        <f ca="1">IFERROR(__xludf.DUMMYFUNCTION("""COMPUTED_VALUE"""),107.9)</f>
        <v>107.9</v>
      </c>
      <c r="G108" s="1">
        <f ca="1">IFERROR(__xludf.DUMMYFUNCTION("""COMPUTED_VALUE"""),99)</f>
        <v>99</v>
      </c>
      <c r="H108" s="1">
        <f ca="1">IFERROR(__xludf.DUMMYFUNCTION("""COMPUTED_VALUE"""),101.7)</f>
        <v>101.7</v>
      </c>
      <c r="I108" s="1">
        <f ca="1">IFERROR(__xludf.DUMMYFUNCTION("""COMPUTED_VALUE"""),122)</f>
        <v>122</v>
      </c>
      <c r="J108" s="1">
        <f ca="1">IFERROR(__xludf.DUMMYFUNCTION("""COMPUTED_VALUE"""),65.1)</f>
        <v>65.099999999999994</v>
      </c>
      <c r="K108" s="1">
        <f ca="1">IFERROR(__xludf.DUMMYFUNCTION("""COMPUTED_VALUE"""),133)</f>
        <v>133</v>
      </c>
      <c r="L108" s="1">
        <f ca="1">IFERROR(__xludf.DUMMYFUNCTION("""COMPUTED_VALUE"""),-0.029)</f>
        <v>-2.9000000000000001E-2</v>
      </c>
      <c r="M108" s="1">
        <f ca="1">IFERROR(__xludf.DUMMYFUNCTION("""COMPUTED_VALUE"""),249)</f>
        <v>249</v>
      </c>
      <c r="N108" s="1" t="str">
        <f ca="1">IFERROR(__xludf.DUMMYFUNCTION("""COMPUTED_VALUE"""),"+2.73")</f>
        <v>+2.73</v>
      </c>
      <c r="O108" s="1">
        <f ca="1">IFERROR(__xludf.DUMMYFUNCTION("""COMPUTED_VALUE"""),96)</f>
        <v>96</v>
      </c>
      <c r="P108" s="1">
        <f ca="1">IFERROR(__xludf.DUMMYFUNCTION("""COMPUTED_VALUE"""),104.5)</f>
        <v>104.5</v>
      </c>
      <c r="Q108" s="1">
        <f ca="1">IFERROR(__xludf.DUMMYFUNCTION("""COMPUTED_VALUE"""),130)</f>
        <v>130</v>
      </c>
      <c r="R108" s="1">
        <f ca="1">IFERROR(__xludf.DUMMYFUNCTION("""COMPUTED_VALUE"""),101.8)</f>
        <v>101.8</v>
      </c>
      <c r="S108" s="1">
        <f ca="1">IFERROR(__xludf.DUMMYFUNCTION("""COMPUTED_VALUE"""),78)</f>
        <v>78</v>
      </c>
      <c r="T108" s="1" t="str">
        <f ca="1">IFERROR(__xludf.DUMMYFUNCTION("""COMPUTED_VALUE"""),"+6.77")</f>
        <v>+6.77</v>
      </c>
      <c r="U108" s="1">
        <f ca="1">IFERROR(__xludf.DUMMYFUNCTION("""COMPUTED_VALUE"""),20)</f>
        <v>20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IFERROR(__xludf.DUMMYFUNCTION("""COMPUTED_VALUE"""),"La Salle")</f>
        <v>La Salle</v>
      </c>
      <c r="C109" s="1" t="str">
        <f ca="1">IFERROR(__xludf.DUMMYFUNCTION("""COMPUTED_VALUE"""),"A10")</f>
        <v>A10</v>
      </c>
      <c r="D109" s="1" t="str">
        <f ca="1">IFERROR(__xludf.DUMMYFUNCTION("""COMPUTED_VALUE"""),"17-16")</f>
        <v>17-16</v>
      </c>
      <c r="E109" s="1" t="str">
        <f ca="1">IFERROR(__xludf.DUMMYFUNCTION("""COMPUTED_VALUE"""),"+6.02")</f>
        <v>+6.02</v>
      </c>
      <c r="F109" s="1">
        <f ca="1">IFERROR(__xludf.DUMMYFUNCTION("""COMPUTED_VALUE"""),101.3)</f>
        <v>101.3</v>
      </c>
      <c r="G109" s="1">
        <f ca="1">IFERROR(__xludf.DUMMYFUNCTION("""COMPUTED_VALUE"""),233)</f>
        <v>233</v>
      </c>
      <c r="H109" s="1">
        <f ca="1">IFERROR(__xludf.DUMMYFUNCTION("""COMPUTED_VALUE"""),95.3)</f>
        <v>95.3</v>
      </c>
      <c r="I109" s="1">
        <f ca="1">IFERROR(__xludf.DUMMYFUNCTION("""COMPUTED_VALUE"""),38)</f>
        <v>38</v>
      </c>
      <c r="J109" s="1">
        <f ca="1">IFERROR(__xludf.DUMMYFUNCTION("""COMPUTED_VALUE"""),64.1)</f>
        <v>64.099999999999994</v>
      </c>
      <c r="K109" s="1">
        <f ca="1">IFERROR(__xludf.DUMMYFUNCTION("""COMPUTED_VALUE"""),185)</f>
        <v>185</v>
      </c>
      <c r="L109" s="1">
        <f ca="1">IFERROR(__xludf.DUMMYFUNCTION("""COMPUTED_VALUE"""),-0.017)</f>
        <v>-1.7000000000000001E-2</v>
      </c>
      <c r="M109" s="1">
        <f ca="1">IFERROR(__xludf.DUMMYFUNCTION("""COMPUTED_VALUE"""),224)</f>
        <v>224</v>
      </c>
      <c r="N109" s="1" t="str">
        <f ca="1">IFERROR(__xludf.DUMMYFUNCTION("""COMPUTED_VALUE"""),"+4.11")</f>
        <v>+4.11</v>
      </c>
      <c r="O109" s="1">
        <f ca="1">IFERROR(__xludf.DUMMYFUNCTION("""COMPUTED_VALUE"""),82)</f>
        <v>82</v>
      </c>
      <c r="P109" s="1">
        <f ca="1">IFERROR(__xludf.DUMMYFUNCTION("""COMPUTED_VALUE"""),106.1)</f>
        <v>106.1</v>
      </c>
      <c r="Q109" s="1">
        <f ca="1">IFERROR(__xludf.DUMMYFUNCTION("""COMPUTED_VALUE"""),89)</f>
        <v>89</v>
      </c>
      <c r="R109" s="1">
        <f ca="1">IFERROR(__xludf.DUMMYFUNCTION("""COMPUTED_VALUE"""),101.9)</f>
        <v>101.9</v>
      </c>
      <c r="S109" s="1">
        <f ca="1">IFERROR(__xludf.DUMMYFUNCTION("""COMPUTED_VALUE"""),80)</f>
        <v>80</v>
      </c>
      <c r="T109" s="1" t="str">
        <f ca="1">IFERROR(__xludf.DUMMYFUNCTION("""COMPUTED_VALUE"""),"+2.55")</f>
        <v>+2.55</v>
      </c>
      <c r="U109" s="1">
        <f ca="1">IFERROR(__xludf.DUMMYFUNCTION("""COMPUTED_VALUE"""),84)</f>
        <v>84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IFERROR(__xludf.DUMMYFUNCTION("""COMPUTED_VALUE"""),"North Carolina Central7")</f>
        <v>North Carolina Central7</v>
      </c>
      <c r="C110" s="1" t="str">
        <f ca="1">IFERROR(__xludf.DUMMYFUNCTION("""COMPUTED_VALUE"""),"MEAC")</f>
        <v>MEAC</v>
      </c>
      <c r="D110" s="1" t="str">
        <f ca="1">IFERROR(__xludf.DUMMYFUNCTION("""COMPUTED_VALUE"""),"25-8")</f>
        <v>25-8</v>
      </c>
      <c r="E110" s="1" t="str">
        <f ca="1">IFERROR(__xludf.DUMMYFUNCTION("""COMPUTED_VALUE"""),"+6.00")</f>
        <v>+6.00</v>
      </c>
      <c r="F110" s="1">
        <f ca="1">IFERROR(__xludf.DUMMYFUNCTION("""COMPUTED_VALUE"""),105.4)</f>
        <v>105.4</v>
      </c>
      <c r="G110" s="1">
        <f ca="1">IFERROR(__xludf.DUMMYFUNCTION("""COMPUTED_VALUE"""),153)</f>
        <v>153</v>
      </c>
      <c r="H110" s="1">
        <f ca="1">IFERROR(__xludf.DUMMYFUNCTION("""COMPUTED_VALUE"""),99.4)</f>
        <v>99.4</v>
      </c>
      <c r="I110" s="1">
        <f ca="1">IFERROR(__xludf.DUMMYFUNCTION("""COMPUTED_VALUE"""),86)</f>
        <v>86</v>
      </c>
      <c r="J110" s="1">
        <f ca="1">IFERROR(__xludf.DUMMYFUNCTION("""COMPUTED_VALUE"""),59.4)</f>
        <v>59.4</v>
      </c>
      <c r="K110" s="1">
        <f ca="1">IFERROR(__xludf.DUMMYFUNCTION("""COMPUTED_VALUE"""),342)</f>
        <v>342</v>
      </c>
      <c r="L110" s="1" t="str">
        <f ca="1">IFERROR(__xludf.DUMMYFUNCTION("""COMPUTED_VALUE"""),"+.027")</f>
        <v>+.027</v>
      </c>
      <c r="M110" s="1">
        <f ca="1">IFERROR(__xludf.DUMMYFUNCTION("""COMPUTED_VALUE"""),116)</f>
        <v>116</v>
      </c>
      <c r="N110" s="1">
        <f ca="1">IFERROR(__xludf.DUMMYFUNCTION("""COMPUTED_VALUE"""),-9.2)</f>
        <v>-9.1999999999999993</v>
      </c>
      <c r="O110" s="1">
        <f ca="1">IFERROR(__xludf.DUMMYFUNCTION("""COMPUTED_VALUE"""),344)</f>
        <v>344</v>
      </c>
      <c r="P110" s="1">
        <f ca="1">IFERROR(__xludf.DUMMYFUNCTION("""COMPUTED_VALUE"""),98.3)</f>
        <v>98.3</v>
      </c>
      <c r="Q110" s="1">
        <f ca="1">IFERROR(__xludf.DUMMYFUNCTION("""COMPUTED_VALUE"""),348)</f>
        <v>348</v>
      </c>
      <c r="R110" s="1">
        <f ca="1">IFERROR(__xludf.DUMMYFUNCTION("""COMPUTED_VALUE"""),107.4)</f>
        <v>107.4</v>
      </c>
      <c r="S110" s="1">
        <f ca="1">IFERROR(__xludf.DUMMYFUNCTION("""COMPUTED_VALUE"""),295)</f>
        <v>295</v>
      </c>
      <c r="T110" s="1" t="str">
        <f ca="1">IFERROR(__xludf.DUMMYFUNCTION("""COMPUTED_VALUE"""),"+3.98")</f>
        <v>+3.98</v>
      </c>
      <c r="U110" s="1">
        <f ca="1">IFERROR(__xludf.DUMMYFUNCTION("""COMPUTED_VALUE"""),47)</f>
        <v>47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IFERROR(__xludf.DUMMYFUNCTION("""COMPUTED_VALUE"""),"UC Santa Barbara")</f>
        <v>UC Santa Barbara</v>
      </c>
      <c r="C111" s="1" t="str">
        <f ca="1">IFERROR(__xludf.DUMMYFUNCTION("""COMPUTED_VALUE"""),"BW")</f>
        <v>BW</v>
      </c>
      <c r="D111" s="1" t="str">
        <f ca="1">IFERROR(__xludf.DUMMYFUNCTION("""COMPUTED_VALUE"""),"19-14")</f>
        <v>19-14</v>
      </c>
      <c r="E111" s="1" t="str">
        <f ca="1">IFERROR(__xludf.DUMMYFUNCTION("""COMPUTED_VALUE"""),"+6.00")</f>
        <v>+6.00</v>
      </c>
      <c r="F111" s="1">
        <f ca="1">IFERROR(__xludf.DUMMYFUNCTION("""COMPUTED_VALUE"""),109.3)</f>
        <v>109.3</v>
      </c>
      <c r="G111" s="1">
        <f ca="1">IFERROR(__xludf.DUMMYFUNCTION("""COMPUTED_VALUE"""),74)</f>
        <v>74</v>
      </c>
      <c r="H111" s="1">
        <f ca="1">IFERROR(__xludf.DUMMYFUNCTION("""COMPUTED_VALUE"""),103.3)</f>
        <v>103.3</v>
      </c>
      <c r="I111" s="1">
        <f ca="1">IFERROR(__xludf.DUMMYFUNCTION("""COMPUTED_VALUE"""),152)</f>
        <v>152</v>
      </c>
      <c r="J111" s="1">
        <f ca="1">IFERROR(__xludf.DUMMYFUNCTION("""COMPUTED_VALUE"""),62.6)</f>
        <v>62.6</v>
      </c>
      <c r="K111" s="1">
        <f ca="1">IFERROR(__xludf.DUMMYFUNCTION("""COMPUTED_VALUE"""),270)</f>
        <v>270</v>
      </c>
      <c r="L111" s="1">
        <f ca="1">IFERROR(__xludf.DUMMYFUNCTION("""COMPUTED_VALUE"""),-0.034)</f>
        <v>-3.4000000000000002E-2</v>
      </c>
      <c r="M111" s="1">
        <f ca="1">IFERROR(__xludf.DUMMYFUNCTION("""COMPUTED_VALUE"""),264)</f>
        <v>264</v>
      </c>
      <c r="N111" s="1" t="str">
        <f ca="1">IFERROR(__xludf.DUMMYFUNCTION("""COMPUTED_VALUE"""),"+1.58")</f>
        <v>+1.58</v>
      </c>
      <c r="O111" s="1">
        <f ca="1">IFERROR(__xludf.DUMMYFUNCTION("""COMPUTED_VALUE"""),112)</f>
        <v>112</v>
      </c>
      <c r="P111" s="1">
        <f ca="1">IFERROR(__xludf.DUMMYFUNCTION("""COMPUTED_VALUE"""),104.6)</f>
        <v>104.6</v>
      </c>
      <c r="Q111" s="1">
        <f ca="1">IFERROR(__xludf.DUMMYFUNCTION("""COMPUTED_VALUE"""),124)</f>
        <v>124</v>
      </c>
      <c r="R111" s="1">
        <f ca="1">IFERROR(__xludf.DUMMYFUNCTION("""COMPUTED_VALUE"""),103.1)</f>
        <v>103.1</v>
      </c>
      <c r="S111" s="1">
        <f ca="1">IFERROR(__xludf.DUMMYFUNCTION("""COMPUTED_VALUE"""),106)</f>
        <v>106</v>
      </c>
      <c r="T111" s="1" t="str">
        <f ca="1">IFERROR(__xludf.DUMMYFUNCTION("""COMPUTED_VALUE"""),"+5.00")</f>
        <v>+5.00</v>
      </c>
      <c r="U111" s="1">
        <f ca="1">IFERROR(__xludf.DUMMYFUNCTION("""COMPUTED_VALUE"""),34)</f>
        <v>34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IFERROR(__xludf.DUMMYFUNCTION("""COMPUTED_VALUE"""),"San Diego")</f>
        <v>San Diego</v>
      </c>
      <c r="C112" s="1" t="str">
        <f ca="1">IFERROR(__xludf.DUMMYFUNCTION("""COMPUTED_VALUE"""),"WCC")</f>
        <v>WCC</v>
      </c>
      <c r="D112" s="1" t="str">
        <f ca="1">IFERROR(__xludf.DUMMYFUNCTION("""COMPUTED_VALUE"""),"15-16")</f>
        <v>15-16</v>
      </c>
      <c r="E112" s="1" t="str">
        <f ca="1">IFERROR(__xludf.DUMMYFUNCTION("""COMPUTED_VALUE"""),"+5.95")</f>
        <v>+5.95</v>
      </c>
      <c r="F112" s="1">
        <f ca="1">IFERROR(__xludf.DUMMYFUNCTION("""COMPUTED_VALUE"""),104)</f>
        <v>104</v>
      </c>
      <c r="G112" s="1">
        <f ca="1">IFERROR(__xludf.DUMMYFUNCTION("""COMPUTED_VALUE"""),178)</f>
        <v>178</v>
      </c>
      <c r="H112" s="1">
        <f ca="1">IFERROR(__xludf.DUMMYFUNCTION("""COMPUTED_VALUE"""),98)</f>
        <v>98</v>
      </c>
      <c r="I112" s="1">
        <f ca="1">IFERROR(__xludf.DUMMYFUNCTION("""COMPUTED_VALUE"""),62)</f>
        <v>62</v>
      </c>
      <c r="J112" s="1">
        <f ca="1">IFERROR(__xludf.DUMMYFUNCTION("""COMPUTED_VALUE"""),62.9)</f>
        <v>62.9</v>
      </c>
      <c r="K112" s="1">
        <f ca="1">IFERROR(__xludf.DUMMYFUNCTION("""COMPUTED_VALUE"""),257)</f>
        <v>257</v>
      </c>
      <c r="L112" s="1">
        <f ca="1">IFERROR(__xludf.DUMMYFUNCTION("""COMPUTED_VALUE"""),-0.076)</f>
        <v>-7.5999999999999998E-2</v>
      </c>
      <c r="M112" s="1">
        <f ca="1">IFERROR(__xludf.DUMMYFUNCTION("""COMPUTED_VALUE"""),326)</f>
        <v>326</v>
      </c>
      <c r="N112" s="1" t="str">
        <f ca="1">IFERROR(__xludf.DUMMYFUNCTION("""COMPUTED_VALUE"""),"+3.73")</f>
        <v>+3.73</v>
      </c>
      <c r="O112" s="1">
        <f ca="1">IFERROR(__xludf.DUMMYFUNCTION("""COMPUTED_VALUE"""),84)</f>
        <v>84</v>
      </c>
      <c r="P112" s="1">
        <f ca="1">IFERROR(__xludf.DUMMYFUNCTION("""COMPUTED_VALUE"""),107.4)</f>
        <v>107.4</v>
      </c>
      <c r="Q112" s="1">
        <f ca="1">IFERROR(__xludf.DUMMYFUNCTION("""COMPUTED_VALUE"""),64)</f>
        <v>64</v>
      </c>
      <c r="R112" s="1">
        <f ca="1">IFERROR(__xludf.DUMMYFUNCTION("""COMPUTED_VALUE"""),103.7)</f>
        <v>103.7</v>
      </c>
      <c r="S112" s="1">
        <f ca="1">IFERROR(__xludf.DUMMYFUNCTION("""COMPUTED_VALUE"""),124)</f>
        <v>124</v>
      </c>
      <c r="T112" s="1" t="str">
        <f ca="1">IFERROR(__xludf.DUMMYFUNCTION("""COMPUTED_VALUE"""),"+2.66")</f>
        <v>+2.66</v>
      </c>
      <c r="U112" s="1">
        <f ca="1">IFERROR(__xludf.DUMMYFUNCTION("""COMPUTED_VALUE"""),81)</f>
        <v>81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IFERROR(__xludf.DUMMYFUNCTION("""COMPUTED_VALUE"""),"Oregon St.")</f>
        <v>Oregon St.</v>
      </c>
      <c r="C113" s="1" t="str">
        <f ca="1">IFERROR(__xludf.DUMMYFUNCTION("""COMPUTED_VALUE"""),"P12")</f>
        <v>P12</v>
      </c>
      <c r="D113" s="1" t="str">
        <f ca="1">IFERROR(__xludf.DUMMYFUNCTION("""COMPUTED_VALUE"""),"17-14")</f>
        <v>17-14</v>
      </c>
      <c r="E113" s="1" t="str">
        <f ca="1">IFERROR(__xludf.DUMMYFUNCTION("""COMPUTED_VALUE"""),"+5.90")</f>
        <v>+5.90</v>
      </c>
      <c r="F113" s="1">
        <f ca="1">IFERROR(__xludf.DUMMYFUNCTION("""COMPUTED_VALUE"""),100)</f>
        <v>100</v>
      </c>
      <c r="G113" s="1">
        <f ca="1">IFERROR(__xludf.DUMMYFUNCTION("""COMPUTED_VALUE"""),255)</f>
        <v>255</v>
      </c>
      <c r="H113" s="1">
        <f ca="1">IFERROR(__xludf.DUMMYFUNCTION("""COMPUTED_VALUE"""),94.1)</f>
        <v>94.1</v>
      </c>
      <c r="I113" s="1">
        <f ca="1">IFERROR(__xludf.DUMMYFUNCTION("""COMPUTED_VALUE"""),18)</f>
        <v>18</v>
      </c>
      <c r="J113" s="1">
        <f ca="1">IFERROR(__xludf.DUMMYFUNCTION("""COMPUTED_VALUE"""),60.5)</f>
        <v>60.5</v>
      </c>
      <c r="K113" s="1">
        <f ca="1">IFERROR(__xludf.DUMMYFUNCTION("""COMPUTED_VALUE"""),329)</f>
        <v>329</v>
      </c>
      <c r="L113" s="1" t="str">
        <f ca="1">IFERROR(__xludf.DUMMYFUNCTION("""COMPUTED_VALUE"""),"+.013")</f>
        <v>+.013</v>
      </c>
      <c r="M113" s="1">
        <f ca="1">IFERROR(__xludf.DUMMYFUNCTION("""COMPUTED_VALUE"""),149)</f>
        <v>149</v>
      </c>
      <c r="N113" s="1" t="str">
        <f ca="1">IFERROR(__xludf.DUMMYFUNCTION("""COMPUTED_VALUE"""),"+4.76")</f>
        <v>+4.76</v>
      </c>
      <c r="O113" s="1">
        <f ca="1">IFERROR(__xludf.DUMMYFUNCTION("""COMPUTED_VALUE"""),78)</f>
        <v>78</v>
      </c>
      <c r="P113" s="1">
        <f ca="1">IFERROR(__xludf.DUMMYFUNCTION("""COMPUTED_VALUE"""),107.3)</f>
        <v>107.3</v>
      </c>
      <c r="Q113" s="1">
        <f ca="1">IFERROR(__xludf.DUMMYFUNCTION("""COMPUTED_VALUE"""),69)</f>
        <v>69</v>
      </c>
      <c r="R113" s="1">
        <f ca="1">IFERROR(__xludf.DUMMYFUNCTION("""COMPUTED_VALUE"""),102.5)</f>
        <v>102.5</v>
      </c>
      <c r="S113" s="1">
        <f ca="1">IFERROR(__xludf.DUMMYFUNCTION("""COMPUTED_VALUE"""),95)</f>
        <v>95</v>
      </c>
      <c r="T113" s="1">
        <f ca="1">IFERROR(__xludf.DUMMYFUNCTION("""COMPUTED_VALUE"""),-5.8)</f>
        <v>-5.8</v>
      </c>
      <c r="U113" s="1">
        <f ca="1">IFERROR(__xludf.DUMMYFUNCTION("""COMPUTED_VALUE"""),320)</f>
        <v>320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IFERROR(__xludf.DUMMYFUNCTION("""COMPUTED_VALUE"""),"Akron")</f>
        <v>Akron</v>
      </c>
      <c r="C114" s="1" t="str">
        <f ca="1">IFERROR(__xludf.DUMMYFUNCTION("""COMPUTED_VALUE"""),"MAC")</f>
        <v>MAC</v>
      </c>
      <c r="D114" s="1" t="str">
        <f ca="1">IFERROR(__xludf.DUMMYFUNCTION("""COMPUTED_VALUE"""),"21-14")</f>
        <v>21-14</v>
      </c>
      <c r="E114" s="1" t="str">
        <f ca="1">IFERROR(__xludf.DUMMYFUNCTION("""COMPUTED_VALUE"""),"+5.77")</f>
        <v>+5.77</v>
      </c>
      <c r="F114" s="1">
        <f ca="1">IFERROR(__xludf.DUMMYFUNCTION("""COMPUTED_VALUE"""),105.1)</f>
        <v>105.1</v>
      </c>
      <c r="G114" s="1">
        <f ca="1">IFERROR(__xludf.DUMMYFUNCTION("""COMPUTED_VALUE"""),159)</f>
        <v>159</v>
      </c>
      <c r="H114" s="1">
        <f ca="1">IFERROR(__xludf.DUMMYFUNCTION("""COMPUTED_VALUE"""),99.4)</f>
        <v>99.4</v>
      </c>
      <c r="I114" s="1">
        <f ca="1">IFERROR(__xludf.DUMMYFUNCTION("""COMPUTED_VALUE"""),85)</f>
        <v>85</v>
      </c>
      <c r="J114" s="1">
        <f ca="1">IFERROR(__xludf.DUMMYFUNCTION("""COMPUTED_VALUE"""),63.6)</f>
        <v>63.6</v>
      </c>
      <c r="K114" s="1">
        <f ca="1">IFERROR(__xludf.DUMMYFUNCTION("""COMPUTED_VALUE"""),214)</f>
        <v>214</v>
      </c>
      <c r="L114" s="1">
        <f ca="1">IFERROR(__xludf.DUMMYFUNCTION("""COMPUTED_VALUE"""),-0.042)</f>
        <v>-4.2000000000000003E-2</v>
      </c>
      <c r="M114" s="1">
        <f ca="1">IFERROR(__xludf.DUMMYFUNCTION("""COMPUTED_VALUE"""),275)</f>
        <v>275</v>
      </c>
      <c r="N114" s="1">
        <f ca="1">IFERROR(__xludf.DUMMYFUNCTION("""COMPUTED_VALUE"""),-0.98)</f>
        <v>-0.98</v>
      </c>
      <c r="O114" s="1">
        <f ca="1">IFERROR(__xludf.DUMMYFUNCTION("""COMPUTED_VALUE"""),159)</f>
        <v>159</v>
      </c>
      <c r="P114" s="1">
        <f ca="1">IFERROR(__xludf.DUMMYFUNCTION("""COMPUTED_VALUE"""),104)</f>
        <v>104</v>
      </c>
      <c r="Q114" s="1">
        <f ca="1">IFERROR(__xludf.DUMMYFUNCTION("""COMPUTED_VALUE"""),159)</f>
        <v>159</v>
      </c>
      <c r="R114" s="1">
        <f ca="1">IFERROR(__xludf.DUMMYFUNCTION("""COMPUTED_VALUE"""),105)</f>
        <v>105</v>
      </c>
      <c r="S114" s="1">
        <f ca="1">IFERROR(__xludf.DUMMYFUNCTION("""COMPUTED_VALUE"""),179)</f>
        <v>179</v>
      </c>
      <c r="T114" s="1">
        <f ca="1">IFERROR(__xludf.DUMMYFUNCTION("""COMPUTED_VALUE"""),-7.63)</f>
        <v>-7.63</v>
      </c>
      <c r="U114" s="1">
        <f ca="1">IFERROR(__xludf.DUMMYFUNCTION("""COMPUTED_VALUE"""),335)</f>
        <v>335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IFERROR(__xludf.DUMMYFUNCTION("""COMPUTED_VALUE"""),"Wyoming12")</f>
        <v>Wyoming12</v>
      </c>
      <c r="C115" s="1" t="str">
        <f ca="1">IFERROR(__xludf.DUMMYFUNCTION("""COMPUTED_VALUE"""),"MWC")</f>
        <v>MWC</v>
      </c>
      <c r="D115" s="1" t="str">
        <f ca="1">IFERROR(__xludf.DUMMYFUNCTION("""COMPUTED_VALUE"""),"25-10")</f>
        <v>25-10</v>
      </c>
      <c r="E115" s="1" t="str">
        <f ca="1">IFERROR(__xludf.DUMMYFUNCTION("""COMPUTED_VALUE"""),"+5.67")</f>
        <v>+5.67</v>
      </c>
      <c r="F115" s="1">
        <f ca="1">IFERROR(__xludf.DUMMYFUNCTION("""COMPUTED_VALUE"""),104.8)</f>
        <v>104.8</v>
      </c>
      <c r="G115" s="1">
        <f ca="1">IFERROR(__xludf.DUMMYFUNCTION("""COMPUTED_VALUE"""),164)</f>
        <v>164</v>
      </c>
      <c r="H115" s="1">
        <f ca="1">IFERROR(__xludf.DUMMYFUNCTION("""COMPUTED_VALUE"""),99.1)</f>
        <v>99.1</v>
      </c>
      <c r="I115" s="1">
        <f ca="1">IFERROR(__xludf.DUMMYFUNCTION("""COMPUTED_VALUE"""),80)</f>
        <v>80</v>
      </c>
      <c r="J115" s="1">
        <f ca="1">IFERROR(__xludf.DUMMYFUNCTION("""COMPUTED_VALUE"""),59.1)</f>
        <v>59.1</v>
      </c>
      <c r="K115" s="1">
        <f ca="1">IFERROR(__xludf.DUMMYFUNCTION("""COMPUTED_VALUE"""),343)</f>
        <v>343</v>
      </c>
      <c r="L115" s="1" t="str">
        <f ca="1">IFERROR(__xludf.DUMMYFUNCTION("""COMPUTED_VALUE"""),"+.083")</f>
        <v>+.083</v>
      </c>
      <c r="M115" s="1">
        <f ca="1">IFERROR(__xludf.DUMMYFUNCTION("""COMPUTED_VALUE"""),21)</f>
        <v>21</v>
      </c>
      <c r="N115" s="1">
        <f ca="1">IFERROR(__xludf.DUMMYFUNCTION("""COMPUTED_VALUE"""),-1.04)</f>
        <v>-1.04</v>
      </c>
      <c r="O115" s="1">
        <f ca="1">IFERROR(__xludf.DUMMYFUNCTION("""COMPUTED_VALUE"""),161)</f>
        <v>161</v>
      </c>
      <c r="P115" s="1">
        <f ca="1">IFERROR(__xludf.DUMMYFUNCTION("""COMPUTED_VALUE"""),103)</f>
        <v>103</v>
      </c>
      <c r="Q115" s="1">
        <f ca="1">IFERROR(__xludf.DUMMYFUNCTION("""COMPUTED_VALUE"""),210)</f>
        <v>210</v>
      </c>
      <c r="R115" s="1">
        <f ca="1">IFERROR(__xludf.DUMMYFUNCTION("""COMPUTED_VALUE"""),104.1)</f>
        <v>104.1</v>
      </c>
      <c r="S115" s="1">
        <f ca="1">IFERROR(__xludf.DUMMYFUNCTION("""COMPUTED_VALUE"""),141)</f>
        <v>141</v>
      </c>
      <c r="T115" s="1">
        <f ca="1">IFERROR(__xludf.DUMMYFUNCTION("""COMPUTED_VALUE"""),-10.31)</f>
        <v>-10.31</v>
      </c>
      <c r="U115" s="1">
        <f ca="1">IFERROR(__xludf.DUMMYFUNCTION("""COMPUTED_VALUE"""),343)</f>
        <v>343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IFERROR(__xludf.DUMMYFUNCTION("""COMPUTED_VALUE"""),"Boston College")</f>
        <v>Boston College</v>
      </c>
      <c r="C116" s="1" t="str">
        <f ca="1">IFERROR(__xludf.DUMMYFUNCTION("""COMPUTED_VALUE"""),"ACC")</f>
        <v>ACC</v>
      </c>
      <c r="D116" s="1" t="str">
        <f ca="1">IFERROR(__xludf.DUMMYFUNCTION("""COMPUTED_VALUE"""),"13-19")</f>
        <v>13-19</v>
      </c>
      <c r="E116" s="1" t="str">
        <f ca="1">IFERROR(__xludf.DUMMYFUNCTION("""COMPUTED_VALUE"""),"+5.61")</f>
        <v>+5.61</v>
      </c>
      <c r="F116" s="1">
        <f ca="1">IFERROR(__xludf.DUMMYFUNCTION("""COMPUTED_VALUE"""),107.9)</f>
        <v>107.9</v>
      </c>
      <c r="G116" s="1">
        <f ca="1">IFERROR(__xludf.DUMMYFUNCTION("""COMPUTED_VALUE"""),98)</f>
        <v>98</v>
      </c>
      <c r="H116" s="1">
        <f ca="1">IFERROR(__xludf.DUMMYFUNCTION("""COMPUTED_VALUE"""),102.3)</f>
        <v>102.3</v>
      </c>
      <c r="I116" s="1">
        <f ca="1">IFERROR(__xludf.DUMMYFUNCTION("""COMPUTED_VALUE"""),132)</f>
        <v>132</v>
      </c>
      <c r="J116" s="1">
        <f ca="1">IFERROR(__xludf.DUMMYFUNCTION("""COMPUTED_VALUE"""),63.4)</f>
        <v>63.4</v>
      </c>
      <c r="K116" s="1">
        <f ca="1">IFERROR(__xludf.DUMMYFUNCTION("""COMPUTED_VALUE"""),231)</f>
        <v>231</v>
      </c>
      <c r="L116" s="1">
        <f ca="1">IFERROR(__xludf.DUMMYFUNCTION("""COMPUTED_VALUE"""),-0.035)</f>
        <v>-3.5000000000000003E-2</v>
      </c>
      <c r="M116" s="1">
        <f ca="1">IFERROR(__xludf.DUMMYFUNCTION("""COMPUTED_VALUE"""),266)</f>
        <v>266</v>
      </c>
      <c r="N116" s="1" t="str">
        <f ca="1">IFERROR(__xludf.DUMMYFUNCTION("""COMPUTED_VALUE"""),"+8.01")</f>
        <v>+8.01</v>
      </c>
      <c r="O116" s="1">
        <f ca="1">IFERROR(__xludf.DUMMYFUNCTION("""COMPUTED_VALUE"""),35)</f>
        <v>35</v>
      </c>
      <c r="P116" s="1">
        <f ca="1">IFERROR(__xludf.DUMMYFUNCTION("""COMPUTED_VALUE"""),108)</f>
        <v>108</v>
      </c>
      <c r="Q116" s="1">
        <f ca="1">IFERROR(__xludf.DUMMYFUNCTION("""COMPUTED_VALUE"""),48)</f>
        <v>48</v>
      </c>
      <c r="R116" s="1">
        <f ca="1">IFERROR(__xludf.DUMMYFUNCTION("""COMPUTED_VALUE"""),100)</f>
        <v>100</v>
      </c>
      <c r="S116" s="1">
        <f ca="1">IFERROR(__xludf.DUMMYFUNCTION("""COMPUTED_VALUE"""),23)</f>
        <v>23</v>
      </c>
      <c r="T116" s="1">
        <f ca="1">IFERROR(__xludf.DUMMYFUNCTION("""COMPUTED_VALUE"""),-4.64)</f>
        <v>-4.6399999999999997</v>
      </c>
      <c r="U116" s="1">
        <f ca="1">IFERROR(__xludf.DUMMYFUNCTION("""COMPUTED_VALUE"""),297)</f>
        <v>297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IFERROR(__xludf.DUMMYFUNCTION("""COMPUTED_VALUE"""),"Hofstra")</f>
        <v>Hofstra</v>
      </c>
      <c r="C117" s="1" t="str">
        <f ca="1">IFERROR(__xludf.DUMMYFUNCTION("""COMPUTED_VALUE"""),"CAA")</f>
        <v>CAA</v>
      </c>
      <c r="D117" s="1" t="str">
        <f ca="1">IFERROR(__xludf.DUMMYFUNCTION("""COMPUTED_VALUE"""),"20-14")</f>
        <v>20-14</v>
      </c>
      <c r="E117" s="1" t="str">
        <f ca="1">IFERROR(__xludf.DUMMYFUNCTION("""COMPUTED_VALUE"""),"+5.43")</f>
        <v>+5.43</v>
      </c>
      <c r="F117" s="1">
        <f ca="1">IFERROR(__xludf.DUMMYFUNCTION("""COMPUTED_VALUE"""),112)</f>
        <v>112</v>
      </c>
      <c r="G117" s="1">
        <f ca="1">IFERROR(__xludf.DUMMYFUNCTION("""COMPUTED_VALUE"""),49)</f>
        <v>49</v>
      </c>
      <c r="H117" s="1">
        <f ca="1">IFERROR(__xludf.DUMMYFUNCTION("""COMPUTED_VALUE"""),106.6)</f>
        <v>106.6</v>
      </c>
      <c r="I117" s="1">
        <f ca="1">IFERROR(__xludf.DUMMYFUNCTION("""COMPUTED_VALUE"""),216)</f>
        <v>216</v>
      </c>
      <c r="J117" s="1">
        <f ca="1">IFERROR(__xludf.DUMMYFUNCTION("""COMPUTED_VALUE"""),68.7)</f>
        <v>68.7</v>
      </c>
      <c r="K117" s="1">
        <f ca="1">IFERROR(__xludf.DUMMYFUNCTION("""COMPUTED_VALUE"""),19)</f>
        <v>19</v>
      </c>
      <c r="L117" s="1">
        <f ca="1">IFERROR(__xludf.DUMMYFUNCTION("""COMPUTED_VALUE"""),-0.111)</f>
        <v>-0.111</v>
      </c>
      <c r="M117" s="1">
        <f ca="1">IFERROR(__xludf.DUMMYFUNCTION("""COMPUTED_VALUE"""),346)</f>
        <v>346</v>
      </c>
      <c r="N117" s="1">
        <f ca="1">IFERROR(__xludf.DUMMYFUNCTION("""COMPUTED_VALUE"""),-5.12)</f>
        <v>-5.12</v>
      </c>
      <c r="O117" s="1">
        <f ca="1">IFERROR(__xludf.DUMMYFUNCTION("""COMPUTED_VALUE"""),285)</f>
        <v>285</v>
      </c>
      <c r="P117" s="1">
        <f ca="1">IFERROR(__xludf.DUMMYFUNCTION("""COMPUTED_VALUE"""),102)</f>
        <v>102</v>
      </c>
      <c r="Q117" s="1">
        <f ca="1">IFERROR(__xludf.DUMMYFUNCTION("""COMPUTED_VALUE"""),273)</f>
        <v>273</v>
      </c>
      <c r="R117" s="1">
        <f ca="1">IFERROR(__xludf.DUMMYFUNCTION("""COMPUTED_VALUE"""),107.2)</f>
        <v>107.2</v>
      </c>
      <c r="S117" s="1">
        <f ca="1">IFERROR(__xludf.DUMMYFUNCTION("""COMPUTED_VALUE"""),279)</f>
        <v>279</v>
      </c>
      <c r="T117" s="1">
        <f ca="1">IFERROR(__xludf.DUMMYFUNCTION("""COMPUTED_VALUE"""),-7.32)</f>
        <v>-7.32</v>
      </c>
      <c r="U117" s="1">
        <f ca="1">IFERROR(__xludf.DUMMYFUNCTION("""COMPUTED_VALUE"""),332)</f>
        <v>332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IFERROR(__xludf.DUMMYFUNCTION("""COMPUTED_VALUE"""),"St. Bonaventure")</f>
        <v>St. Bonaventure</v>
      </c>
      <c r="C118" s="1" t="str">
        <f ca="1">IFERROR(__xludf.DUMMYFUNCTION("""COMPUTED_VALUE"""),"A10")</f>
        <v>A10</v>
      </c>
      <c r="D118" s="1" t="str">
        <f ca="1">IFERROR(__xludf.DUMMYFUNCTION("""COMPUTED_VALUE"""),"18-13")</f>
        <v>18-13</v>
      </c>
      <c r="E118" s="1" t="str">
        <f ca="1">IFERROR(__xludf.DUMMYFUNCTION("""COMPUTED_VALUE"""),"+5.31")</f>
        <v>+5.31</v>
      </c>
      <c r="F118" s="1">
        <f ca="1">IFERROR(__xludf.DUMMYFUNCTION("""COMPUTED_VALUE"""),105.4)</f>
        <v>105.4</v>
      </c>
      <c r="G118" s="1">
        <f ca="1">IFERROR(__xludf.DUMMYFUNCTION("""COMPUTED_VALUE"""),152)</f>
        <v>152</v>
      </c>
      <c r="H118" s="1">
        <f ca="1">IFERROR(__xludf.DUMMYFUNCTION("""COMPUTED_VALUE"""),100.1)</f>
        <v>100.1</v>
      </c>
      <c r="I118" s="1">
        <f ca="1">IFERROR(__xludf.DUMMYFUNCTION("""COMPUTED_VALUE"""),96)</f>
        <v>96</v>
      </c>
      <c r="J118" s="1">
        <f ca="1">IFERROR(__xludf.DUMMYFUNCTION("""COMPUTED_VALUE"""),64.4)</f>
        <v>64.400000000000006</v>
      </c>
      <c r="K118" s="1">
        <f ca="1">IFERROR(__xludf.DUMMYFUNCTION("""COMPUTED_VALUE"""),167)</f>
        <v>167</v>
      </c>
      <c r="L118" s="1" t="str">
        <f ca="1">IFERROR(__xludf.DUMMYFUNCTION("""COMPUTED_VALUE"""),"+.009")</f>
        <v>+.009</v>
      </c>
      <c r="M118" s="1">
        <f ca="1">IFERROR(__xludf.DUMMYFUNCTION("""COMPUTED_VALUE"""),160)</f>
        <v>160</v>
      </c>
      <c r="N118" s="1" t="str">
        <f ca="1">IFERROR(__xludf.DUMMYFUNCTION("""COMPUTED_VALUE"""),"+0.94")</f>
        <v>+0.94</v>
      </c>
      <c r="O118" s="1">
        <f ca="1">IFERROR(__xludf.DUMMYFUNCTION("""COMPUTED_VALUE"""),122)</f>
        <v>122</v>
      </c>
      <c r="P118" s="1">
        <f ca="1">IFERROR(__xludf.DUMMYFUNCTION("""COMPUTED_VALUE"""),104.4)</f>
        <v>104.4</v>
      </c>
      <c r="Q118" s="1">
        <f ca="1">IFERROR(__xludf.DUMMYFUNCTION("""COMPUTED_VALUE"""),136)</f>
        <v>136</v>
      </c>
      <c r="R118" s="1">
        <f ca="1">IFERROR(__xludf.DUMMYFUNCTION("""COMPUTED_VALUE"""),103.5)</f>
        <v>103.5</v>
      </c>
      <c r="S118" s="1">
        <f ca="1">IFERROR(__xludf.DUMMYFUNCTION("""COMPUTED_VALUE"""),115)</f>
        <v>115</v>
      </c>
      <c r="T118" s="1">
        <f ca="1">IFERROR(__xludf.DUMMYFUNCTION("""COMPUTED_VALUE"""),-6.08)</f>
        <v>-6.08</v>
      </c>
      <c r="U118" s="1">
        <f ca="1">IFERROR(__xludf.DUMMYFUNCTION("""COMPUTED_VALUE"""),324)</f>
        <v>324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IFERROR(__xludf.DUMMYFUNCTION("""COMPUTED_VALUE"""),"California")</f>
        <v>California</v>
      </c>
      <c r="C119" s="1" t="str">
        <f ca="1">IFERROR(__xludf.DUMMYFUNCTION("""COMPUTED_VALUE"""),"P12")</f>
        <v>P12</v>
      </c>
      <c r="D119" s="1" t="str">
        <f ca="1">IFERROR(__xludf.DUMMYFUNCTION("""COMPUTED_VALUE"""),"18-15")</f>
        <v>18-15</v>
      </c>
      <c r="E119" s="1" t="str">
        <f ca="1">IFERROR(__xludf.DUMMYFUNCTION("""COMPUTED_VALUE"""),"+5.25")</f>
        <v>+5.25</v>
      </c>
      <c r="F119" s="1">
        <f ca="1">IFERROR(__xludf.DUMMYFUNCTION("""COMPUTED_VALUE"""),104.2)</f>
        <v>104.2</v>
      </c>
      <c r="G119" s="1">
        <f ca="1">IFERROR(__xludf.DUMMYFUNCTION("""COMPUTED_VALUE"""),172)</f>
        <v>172</v>
      </c>
      <c r="H119" s="1">
        <f ca="1">IFERROR(__xludf.DUMMYFUNCTION("""COMPUTED_VALUE"""),99)</f>
        <v>99</v>
      </c>
      <c r="I119" s="1">
        <f ca="1">IFERROR(__xludf.DUMMYFUNCTION("""COMPUTED_VALUE"""),79)</f>
        <v>79</v>
      </c>
      <c r="J119" s="1">
        <f ca="1">IFERROR(__xludf.DUMMYFUNCTION("""COMPUTED_VALUE"""),65.3)</f>
        <v>65.3</v>
      </c>
      <c r="K119" s="1">
        <f ca="1">IFERROR(__xludf.DUMMYFUNCTION("""COMPUTED_VALUE"""),123)</f>
        <v>123</v>
      </c>
      <c r="L119" s="1" t="str">
        <f ca="1">IFERROR(__xludf.DUMMYFUNCTION("""COMPUTED_VALUE"""),"+.062")</f>
        <v>+.062</v>
      </c>
      <c r="M119" s="1">
        <f ca="1">IFERROR(__xludf.DUMMYFUNCTION("""COMPUTED_VALUE"""),48)</f>
        <v>48</v>
      </c>
      <c r="N119" s="1" t="str">
        <f ca="1">IFERROR(__xludf.DUMMYFUNCTION("""COMPUTED_VALUE"""),"+5.58")</f>
        <v>+5.58</v>
      </c>
      <c r="O119" s="1">
        <f ca="1">IFERROR(__xludf.DUMMYFUNCTION("""COMPUTED_VALUE"""),69)</f>
        <v>69</v>
      </c>
      <c r="P119" s="1">
        <f ca="1">IFERROR(__xludf.DUMMYFUNCTION("""COMPUTED_VALUE"""),107.8)</f>
        <v>107.8</v>
      </c>
      <c r="Q119" s="1">
        <f ca="1">IFERROR(__xludf.DUMMYFUNCTION("""COMPUTED_VALUE"""),53)</f>
        <v>53</v>
      </c>
      <c r="R119" s="1">
        <f ca="1">IFERROR(__xludf.DUMMYFUNCTION("""COMPUTED_VALUE"""),102.2)</f>
        <v>102.2</v>
      </c>
      <c r="S119" s="1">
        <f ca="1">IFERROR(__xludf.DUMMYFUNCTION("""COMPUTED_VALUE"""),89)</f>
        <v>89</v>
      </c>
      <c r="T119" s="1">
        <f ca="1">IFERROR(__xludf.DUMMYFUNCTION("""COMPUTED_VALUE"""),-3.07)</f>
        <v>-3.07</v>
      </c>
      <c r="U119" s="1">
        <f ca="1">IFERROR(__xludf.DUMMYFUNCTION("""COMPUTED_VALUE"""),253)</f>
        <v>253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IFERROR(__xludf.DUMMYFUNCTION("""COMPUTED_VALUE"""),"Evansville")</f>
        <v>Evansville</v>
      </c>
      <c r="C120" s="1" t="str">
        <f ca="1">IFERROR(__xludf.DUMMYFUNCTION("""COMPUTED_VALUE"""),"MVC")</f>
        <v>MVC</v>
      </c>
      <c r="D120" s="1" t="str">
        <f ca="1">IFERROR(__xludf.DUMMYFUNCTION("""COMPUTED_VALUE"""),"24-12")</f>
        <v>24-12</v>
      </c>
      <c r="E120" s="1" t="str">
        <f ca="1">IFERROR(__xludf.DUMMYFUNCTION("""COMPUTED_VALUE"""),"+5.25")</f>
        <v>+5.25</v>
      </c>
      <c r="F120" s="1">
        <f ca="1">IFERROR(__xludf.DUMMYFUNCTION("""COMPUTED_VALUE"""),106.6)</f>
        <v>106.6</v>
      </c>
      <c r="G120" s="1">
        <f ca="1">IFERROR(__xludf.DUMMYFUNCTION("""COMPUTED_VALUE"""),122)</f>
        <v>122</v>
      </c>
      <c r="H120" s="1">
        <f ca="1">IFERROR(__xludf.DUMMYFUNCTION("""COMPUTED_VALUE"""),101.3)</f>
        <v>101.3</v>
      </c>
      <c r="I120" s="1">
        <f ca="1">IFERROR(__xludf.DUMMYFUNCTION("""COMPUTED_VALUE"""),115)</f>
        <v>115</v>
      </c>
      <c r="J120" s="1">
        <f ca="1">IFERROR(__xludf.DUMMYFUNCTION("""COMPUTED_VALUE"""),66.2)</f>
        <v>66.2</v>
      </c>
      <c r="K120" s="1">
        <f ca="1">IFERROR(__xludf.DUMMYFUNCTION("""COMPUTED_VALUE"""),83)</f>
        <v>83</v>
      </c>
      <c r="L120" s="1" t="str">
        <f ca="1">IFERROR(__xludf.DUMMYFUNCTION("""COMPUTED_VALUE"""),"+.039")</f>
        <v>+.039</v>
      </c>
      <c r="M120" s="1">
        <f ca="1">IFERROR(__xludf.DUMMYFUNCTION("""COMPUTED_VALUE"""),84)</f>
        <v>84</v>
      </c>
      <c r="N120" s="1">
        <f ca="1">IFERROR(__xludf.DUMMYFUNCTION("""COMPUTED_VALUE"""),-0.75)</f>
        <v>-0.75</v>
      </c>
      <c r="O120" s="1">
        <f ca="1">IFERROR(__xludf.DUMMYFUNCTION("""COMPUTED_VALUE"""),156)</f>
        <v>156</v>
      </c>
      <c r="P120" s="1">
        <f ca="1">IFERROR(__xludf.DUMMYFUNCTION("""COMPUTED_VALUE"""),103.7)</f>
        <v>103.7</v>
      </c>
      <c r="Q120" s="1">
        <f ca="1">IFERROR(__xludf.DUMMYFUNCTION("""COMPUTED_VALUE"""),182)</f>
        <v>182</v>
      </c>
      <c r="R120" s="1">
        <f ca="1">IFERROR(__xludf.DUMMYFUNCTION("""COMPUTED_VALUE"""),104.4)</f>
        <v>104.4</v>
      </c>
      <c r="S120" s="1">
        <f ca="1">IFERROR(__xludf.DUMMYFUNCTION("""COMPUTED_VALUE"""),157)</f>
        <v>157</v>
      </c>
      <c r="T120" s="1">
        <f ca="1">IFERROR(__xludf.DUMMYFUNCTION("""COMPUTED_VALUE"""),-5.22)</f>
        <v>-5.22</v>
      </c>
      <c r="U120" s="1">
        <f ca="1">IFERROR(__xludf.DUMMYFUNCTION("""COMPUTED_VALUE"""),307)</f>
        <v>307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IFERROR(__xludf.DUMMYFUNCTION("""COMPUTED_VALUE"""),"Bowling Green")</f>
        <v>Bowling Green</v>
      </c>
      <c r="C121" s="1" t="str">
        <f ca="1">IFERROR(__xludf.DUMMYFUNCTION("""COMPUTED_VALUE"""),"MAC")</f>
        <v>MAC</v>
      </c>
      <c r="D121" s="1" t="str">
        <f ca="1">IFERROR(__xludf.DUMMYFUNCTION("""COMPUTED_VALUE"""),"21-12")</f>
        <v>21-12</v>
      </c>
      <c r="E121" s="1" t="str">
        <f ca="1">IFERROR(__xludf.DUMMYFUNCTION("""COMPUTED_VALUE"""),"+5.20")</f>
        <v>+5.20</v>
      </c>
      <c r="F121" s="1">
        <f ca="1">IFERROR(__xludf.DUMMYFUNCTION("""COMPUTED_VALUE"""),105.9)</f>
        <v>105.9</v>
      </c>
      <c r="G121" s="1">
        <f ca="1">IFERROR(__xludf.DUMMYFUNCTION("""COMPUTED_VALUE"""),137)</f>
        <v>137</v>
      </c>
      <c r="H121" s="1">
        <f ca="1">IFERROR(__xludf.DUMMYFUNCTION("""COMPUTED_VALUE"""),100.7)</f>
        <v>100.7</v>
      </c>
      <c r="I121" s="1">
        <f ca="1">IFERROR(__xludf.DUMMYFUNCTION("""COMPUTED_VALUE"""),105)</f>
        <v>105</v>
      </c>
      <c r="J121" s="1">
        <f ca="1">IFERROR(__xludf.DUMMYFUNCTION("""COMPUTED_VALUE"""),63.7)</f>
        <v>63.7</v>
      </c>
      <c r="K121" s="1">
        <f ca="1">IFERROR(__xludf.DUMMYFUNCTION("""COMPUTED_VALUE"""),208)</f>
        <v>208</v>
      </c>
      <c r="L121" s="1" t="str">
        <f ca="1">IFERROR(__xludf.DUMMYFUNCTION("""COMPUTED_VALUE"""),"+.006")</f>
        <v>+.006</v>
      </c>
      <c r="M121" s="1">
        <f ca="1">IFERROR(__xludf.DUMMYFUNCTION("""COMPUTED_VALUE"""),168)</f>
        <v>168</v>
      </c>
      <c r="N121" s="1">
        <f ca="1">IFERROR(__xludf.DUMMYFUNCTION("""COMPUTED_VALUE"""),-1.56)</f>
        <v>-1.56</v>
      </c>
      <c r="O121" s="1">
        <f ca="1">IFERROR(__xludf.DUMMYFUNCTION("""COMPUTED_VALUE"""),180)</f>
        <v>180</v>
      </c>
      <c r="P121" s="1">
        <f ca="1">IFERROR(__xludf.DUMMYFUNCTION("""COMPUTED_VALUE"""),103.6)</f>
        <v>103.6</v>
      </c>
      <c r="Q121" s="1">
        <f ca="1">IFERROR(__xludf.DUMMYFUNCTION("""COMPUTED_VALUE"""),184)</f>
        <v>184</v>
      </c>
      <c r="R121" s="1">
        <f ca="1">IFERROR(__xludf.DUMMYFUNCTION("""COMPUTED_VALUE"""),105.2)</f>
        <v>105.2</v>
      </c>
      <c r="S121" s="1">
        <f ca="1">IFERROR(__xludf.DUMMYFUNCTION("""COMPUTED_VALUE"""),192)</f>
        <v>192</v>
      </c>
      <c r="T121" s="1">
        <f ca="1">IFERROR(__xludf.DUMMYFUNCTION("""COMPUTED_VALUE"""),-5.19)</f>
        <v>-5.19</v>
      </c>
      <c r="U121" s="1">
        <f ca="1">IFERROR(__xludf.DUMMYFUNCTION("""COMPUTED_VALUE"""),305)</f>
        <v>305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IFERROR(__xludf.DUMMYFUNCTION("""COMPUTED_VALUE"""),"William &amp; Mary7")</f>
        <v>William &amp; Mary7</v>
      </c>
      <c r="C122" s="1" t="str">
        <f ca="1">IFERROR(__xludf.DUMMYFUNCTION("""COMPUTED_VALUE"""),"CAA")</f>
        <v>CAA</v>
      </c>
      <c r="D122" s="1" t="str">
        <f ca="1">IFERROR(__xludf.DUMMYFUNCTION("""COMPUTED_VALUE"""),"20-13")</f>
        <v>20-13</v>
      </c>
      <c r="E122" s="1" t="str">
        <f ca="1">IFERROR(__xludf.DUMMYFUNCTION("""COMPUTED_VALUE"""),"+5.17")</f>
        <v>+5.17</v>
      </c>
      <c r="F122" s="1">
        <f ca="1">IFERROR(__xludf.DUMMYFUNCTION("""COMPUTED_VALUE"""),113.9)</f>
        <v>113.9</v>
      </c>
      <c r="G122" s="1">
        <f ca="1">IFERROR(__xludf.DUMMYFUNCTION("""COMPUTED_VALUE"""),31)</f>
        <v>31</v>
      </c>
      <c r="H122" s="1">
        <f ca="1">IFERROR(__xludf.DUMMYFUNCTION("""COMPUTED_VALUE"""),108.8)</f>
        <v>108.8</v>
      </c>
      <c r="I122" s="1">
        <f ca="1">IFERROR(__xludf.DUMMYFUNCTION("""COMPUTED_VALUE"""),262)</f>
        <v>262</v>
      </c>
      <c r="J122" s="1">
        <f ca="1">IFERROR(__xludf.DUMMYFUNCTION("""COMPUTED_VALUE"""),63.9)</f>
        <v>63.9</v>
      </c>
      <c r="K122" s="1">
        <f ca="1">IFERROR(__xludf.DUMMYFUNCTION("""COMPUTED_VALUE"""),198)</f>
        <v>198</v>
      </c>
      <c r="L122" s="1">
        <f ca="1">IFERROR(__xludf.DUMMYFUNCTION("""COMPUTED_VALUE"""),-0.024)</f>
        <v>-2.4E-2</v>
      </c>
      <c r="M122" s="1">
        <f ca="1">IFERROR(__xludf.DUMMYFUNCTION("""COMPUTED_VALUE"""),238)</f>
        <v>238</v>
      </c>
      <c r="N122" s="1">
        <f ca="1">IFERROR(__xludf.DUMMYFUNCTION("""COMPUTED_VALUE"""),-0.65)</f>
        <v>-0.65</v>
      </c>
      <c r="O122" s="1">
        <f ca="1">IFERROR(__xludf.DUMMYFUNCTION("""COMPUTED_VALUE"""),154)</f>
        <v>154</v>
      </c>
      <c r="P122" s="1">
        <f ca="1">IFERROR(__xludf.DUMMYFUNCTION("""COMPUTED_VALUE"""),103.6)</f>
        <v>103.6</v>
      </c>
      <c r="Q122" s="1">
        <f ca="1">IFERROR(__xludf.DUMMYFUNCTION("""COMPUTED_VALUE"""),186)</f>
        <v>186</v>
      </c>
      <c r="R122" s="1">
        <f ca="1">IFERROR(__xludf.DUMMYFUNCTION("""COMPUTED_VALUE"""),104.2)</f>
        <v>104.2</v>
      </c>
      <c r="S122" s="1">
        <f ca="1">IFERROR(__xludf.DUMMYFUNCTION("""COMPUTED_VALUE"""),150)</f>
        <v>150</v>
      </c>
      <c r="T122" s="1" t="str">
        <f ca="1">IFERROR(__xludf.DUMMYFUNCTION("""COMPUTED_VALUE"""),"+6.78")</f>
        <v>+6.78</v>
      </c>
      <c r="U122" s="1">
        <f ca="1">IFERROR(__xludf.DUMMYFUNCTION("""COMPUTED_VALUE"""),19)</f>
        <v>19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IFERROR(__xludf.DUMMYFUNCTION("""COMPUTED_VALUE"""),"Northeastern14")</f>
        <v>Northeastern14</v>
      </c>
      <c r="C123" s="1" t="str">
        <f ca="1">IFERROR(__xludf.DUMMYFUNCTION("""COMPUTED_VALUE"""),"CAA")</f>
        <v>CAA</v>
      </c>
      <c r="D123" s="1" t="str">
        <f ca="1">IFERROR(__xludf.DUMMYFUNCTION("""COMPUTED_VALUE"""),"23-12")</f>
        <v>23-12</v>
      </c>
      <c r="E123" s="1" t="str">
        <f ca="1">IFERROR(__xludf.DUMMYFUNCTION("""COMPUTED_VALUE"""),"+5.12")</f>
        <v>+5.12</v>
      </c>
      <c r="F123" s="1">
        <f ca="1">IFERROR(__xludf.DUMMYFUNCTION("""COMPUTED_VALUE"""),108.3)</f>
        <v>108.3</v>
      </c>
      <c r="G123" s="1">
        <f ca="1">IFERROR(__xludf.DUMMYFUNCTION("""COMPUTED_VALUE"""),93)</f>
        <v>93</v>
      </c>
      <c r="H123" s="1">
        <f ca="1">IFERROR(__xludf.DUMMYFUNCTION("""COMPUTED_VALUE"""),103.1)</f>
        <v>103.1</v>
      </c>
      <c r="I123" s="1">
        <f ca="1">IFERROR(__xludf.DUMMYFUNCTION("""COMPUTED_VALUE"""),148)</f>
        <v>148</v>
      </c>
      <c r="J123" s="1">
        <f ca="1">IFERROR(__xludf.DUMMYFUNCTION("""COMPUTED_VALUE"""),63.3)</f>
        <v>63.3</v>
      </c>
      <c r="K123" s="1">
        <f ca="1">IFERROR(__xludf.DUMMYFUNCTION("""COMPUTED_VALUE"""),237)</f>
        <v>237</v>
      </c>
      <c r="L123" s="1" t="str">
        <f ca="1">IFERROR(__xludf.DUMMYFUNCTION("""COMPUTED_VALUE"""),"+.025")</f>
        <v>+.025</v>
      </c>
      <c r="M123" s="1">
        <f ca="1">IFERROR(__xludf.DUMMYFUNCTION("""COMPUTED_VALUE"""),122)</f>
        <v>122</v>
      </c>
      <c r="N123" s="1">
        <f ca="1">IFERROR(__xludf.DUMMYFUNCTION("""COMPUTED_VALUE"""),-1.29)</f>
        <v>-1.29</v>
      </c>
      <c r="O123" s="1">
        <f ca="1">IFERROR(__xludf.DUMMYFUNCTION("""COMPUTED_VALUE"""),168)</f>
        <v>168</v>
      </c>
      <c r="P123" s="1">
        <f ca="1">IFERROR(__xludf.DUMMYFUNCTION("""COMPUTED_VALUE"""),104.5)</f>
        <v>104.5</v>
      </c>
      <c r="Q123" s="1">
        <f ca="1">IFERROR(__xludf.DUMMYFUNCTION("""COMPUTED_VALUE"""),132)</f>
        <v>132</v>
      </c>
      <c r="R123" s="1">
        <f ca="1">IFERROR(__xludf.DUMMYFUNCTION("""COMPUTED_VALUE"""),105.7)</f>
        <v>105.7</v>
      </c>
      <c r="S123" s="1">
        <f ca="1">IFERROR(__xludf.DUMMYFUNCTION("""COMPUTED_VALUE"""),226)</f>
        <v>226</v>
      </c>
      <c r="T123" s="1" t="str">
        <f ca="1">IFERROR(__xludf.DUMMYFUNCTION("""COMPUTED_VALUE"""),"+1.80")</f>
        <v>+1.80</v>
      </c>
      <c r="U123" s="1">
        <f ca="1">IFERROR(__xludf.DUMMYFUNCTION("""COMPUTED_VALUE"""),104)</f>
        <v>104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IFERROR(__xludf.DUMMYFUNCTION("""COMPUTED_VALUE"""),"Kent St.")</f>
        <v>Kent St.</v>
      </c>
      <c r="C124" s="1" t="str">
        <f ca="1">IFERROR(__xludf.DUMMYFUNCTION("""COMPUTED_VALUE"""),"MAC")</f>
        <v>MAC</v>
      </c>
      <c r="D124" s="1" t="str">
        <f ca="1">IFERROR(__xludf.DUMMYFUNCTION("""COMPUTED_VALUE"""),"23-12")</f>
        <v>23-12</v>
      </c>
      <c r="E124" s="1" t="str">
        <f ca="1">IFERROR(__xludf.DUMMYFUNCTION("""COMPUTED_VALUE"""),"+5.04")</f>
        <v>+5.04</v>
      </c>
      <c r="F124" s="1">
        <f ca="1">IFERROR(__xludf.DUMMYFUNCTION("""COMPUTED_VALUE"""),107.4)</f>
        <v>107.4</v>
      </c>
      <c r="G124" s="1">
        <f ca="1">IFERROR(__xludf.DUMMYFUNCTION("""COMPUTED_VALUE"""),113)</f>
        <v>113</v>
      </c>
      <c r="H124" s="1">
        <f ca="1">IFERROR(__xludf.DUMMYFUNCTION("""COMPUTED_VALUE"""),102.3)</f>
        <v>102.3</v>
      </c>
      <c r="I124" s="1">
        <f ca="1">IFERROR(__xludf.DUMMYFUNCTION("""COMPUTED_VALUE"""),133)</f>
        <v>133</v>
      </c>
      <c r="J124" s="1">
        <f ca="1">IFERROR(__xludf.DUMMYFUNCTION("""COMPUTED_VALUE"""),61.5)</f>
        <v>61.5</v>
      </c>
      <c r="K124" s="1">
        <f ca="1">IFERROR(__xludf.DUMMYFUNCTION("""COMPUTED_VALUE"""),308)</f>
        <v>308</v>
      </c>
      <c r="L124" s="1" t="str">
        <f ca="1">IFERROR(__xludf.DUMMYFUNCTION("""COMPUTED_VALUE"""),"+.029")</f>
        <v>+.029</v>
      </c>
      <c r="M124" s="1">
        <f ca="1">IFERROR(__xludf.DUMMYFUNCTION("""COMPUTED_VALUE"""),111)</f>
        <v>111</v>
      </c>
      <c r="N124" s="1">
        <f ca="1">IFERROR(__xludf.DUMMYFUNCTION("""COMPUTED_VALUE"""),-0.47)</f>
        <v>-0.47</v>
      </c>
      <c r="O124" s="1">
        <f ca="1">IFERROR(__xludf.DUMMYFUNCTION("""COMPUTED_VALUE"""),151)</f>
        <v>151</v>
      </c>
      <c r="P124" s="1">
        <f ca="1">IFERROR(__xludf.DUMMYFUNCTION("""COMPUTED_VALUE"""),104.4)</f>
        <v>104.4</v>
      </c>
      <c r="Q124" s="1">
        <f ca="1">IFERROR(__xludf.DUMMYFUNCTION("""COMPUTED_VALUE"""),139)</f>
        <v>139</v>
      </c>
      <c r="R124" s="1">
        <f ca="1">IFERROR(__xludf.DUMMYFUNCTION("""COMPUTED_VALUE"""),104.8)</f>
        <v>104.8</v>
      </c>
      <c r="S124" s="1">
        <f ca="1">IFERROR(__xludf.DUMMYFUNCTION("""COMPUTED_VALUE"""),174)</f>
        <v>174</v>
      </c>
      <c r="T124" s="1">
        <f ca="1">IFERROR(__xludf.DUMMYFUNCTION("""COMPUTED_VALUE"""),-5.72)</f>
        <v>-5.72</v>
      </c>
      <c r="U124" s="1">
        <f ca="1">IFERROR(__xludf.DUMMYFUNCTION("""COMPUTED_VALUE"""),318)</f>
        <v>318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IFERROR(__xludf.DUMMYFUNCTION("""COMPUTED_VALUE"""),"Washington")</f>
        <v>Washington</v>
      </c>
      <c r="C125" s="1" t="str">
        <f ca="1">IFERROR(__xludf.DUMMYFUNCTION("""COMPUTED_VALUE"""),"P12")</f>
        <v>P12</v>
      </c>
      <c r="D125" s="1" t="str">
        <f ca="1">IFERROR(__xludf.DUMMYFUNCTION("""COMPUTED_VALUE"""),"16-15")</f>
        <v>16-15</v>
      </c>
      <c r="E125" s="1" t="str">
        <f ca="1">IFERROR(__xludf.DUMMYFUNCTION("""COMPUTED_VALUE"""),"+5.04")</f>
        <v>+5.04</v>
      </c>
      <c r="F125" s="1">
        <f ca="1">IFERROR(__xludf.DUMMYFUNCTION("""COMPUTED_VALUE"""),108.8)</f>
        <v>108.8</v>
      </c>
      <c r="G125" s="1">
        <f ca="1">IFERROR(__xludf.DUMMYFUNCTION("""COMPUTED_VALUE"""),82)</f>
        <v>82</v>
      </c>
      <c r="H125" s="1">
        <f ca="1">IFERROR(__xludf.DUMMYFUNCTION("""COMPUTED_VALUE"""),103.8)</f>
        <v>103.8</v>
      </c>
      <c r="I125" s="1">
        <f ca="1">IFERROR(__xludf.DUMMYFUNCTION("""COMPUTED_VALUE"""),161)</f>
        <v>161</v>
      </c>
      <c r="J125" s="1">
        <f ca="1">IFERROR(__xludf.DUMMYFUNCTION("""COMPUTED_VALUE"""),65.2)</f>
        <v>65.2</v>
      </c>
      <c r="K125" s="1">
        <f ca="1">IFERROR(__xludf.DUMMYFUNCTION("""COMPUTED_VALUE"""),127)</f>
        <v>127</v>
      </c>
      <c r="L125" s="1">
        <f ca="1">IFERROR(__xludf.DUMMYFUNCTION("""COMPUTED_VALUE"""),-0.002)</f>
        <v>-2E-3</v>
      </c>
      <c r="M125" s="1">
        <f ca="1">IFERROR(__xludf.DUMMYFUNCTION("""COMPUTED_VALUE"""),188)</f>
        <v>188</v>
      </c>
      <c r="N125" s="1" t="str">
        <f ca="1">IFERROR(__xludf.DUMMYFUNCTION("""COMPUTED_VALUE"""),"+4.84")</f>
        <v>+4.84</v>
      </c>
      <c r="O125" s="1">
        <f ca="1">IFERROR(__xludf.DUMMYFUNCTION("""COMPUTED_VALUE"""),77)</f>
        <v>77</v>
      </c>
      <c r="P125" s="1">
        <f ca="1">IFERROR(__xludf.DUMMYFUNCTION("""COMPUTED_VALUE"""),105.8)</f>
        <v>105.8</v>
      </c>
      <c r="Q125" s="1">
        <f ca="1">IFERROR(__xludf.DUMMYFUNCTION("""COMPUTED_VALUE"""),95)</f>
        <v>95</v>
      </c>
      <c r="R125" s="1">
        <f ca="1">IFERROR(__xludf.DUMMYFUNCTION("""COMPUTED_VALUE"""),101)</f>
        <v>101</v>
      </c>
      <c r="S125" s="1">
        <f ca="1">IFERROR(__xludf.DUMMYFUNCTION("""COMPUTED_VALUE"""),51)</f>
        <v>51</v>
      </c>
      <c r="T125" s="1">
        <f ca="1">IFERROR(__xludf.DUMMYFUNCTION("""COMPUTED_VALUE"""),-6.27)</f>
        <v>-6.27</v>
      </c>
      <c r="U125" s="1">
        <f ca="1">IFERROR(__xludf.DUMMYFUNCTION("""COMPUTED_VALUE"""),328)</f>
        <v>328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IFERROR(__xludf.DUMMYFUNCTION("""COMPUTED_VALUE"""),"Wake Forest")</f>
        <v>Wake Forest</v>
      </c>
      <c r="C126" s="1" t="str">
        <f ca="1">IFERROR(__xludf.DUMMYFUNCTION("""COMPUTED_VALUE"""),"ACC")</f>
        <v>ACC</v>
      </c>
      <c r="D126" s="1" t="str">
        <f ca="1">IFERROR(__xludf.DUMMYFUNCTION("""COMPUTED_VALUE"""),"13-19")</f>
        <v>13-19</v>
      </c>
      <c r="E126" s="1" t="str">
        <f ca="1">IFERROR(__xludf.DUMMYFUNCTION("""COMPUTED_VALUE"""),"+4.76")</f>
        <v>+4.76</v>
      </c>
      <c r="F126" s="1">
        <f ca="1">IFERROR(__xludf.DUMMYFUNCTION("""COMPUTED_VALUE"""),106.6)</f>
        <v>106.6</v>
      </c>
      <c r="G126" s="1">
        <f ca="1">IFERROR(__xludf.DUMMYFUNCTION("""COMPUTED_VALUE"""),121)</f>
        <v>121</v>
      </c>
      <c r="H126" s="1">
        <f ca="1">IFERROR(__xludf.DUMMYFUNCTION("""COMPUTED_VALUE"""),101.8)</f>
        <v>101.8</v>
      </c>
      <c r="I126" s="1">
        <f ca="1">IFERROR(__xludf.DUMMYFUNCTION("""COMPUTED_VALUE"""),125)</f>
        <v>125</v>
      </c>
      <c r="J126" s="1">
        <f ca="1">IFERROR(__xludf.DUMMYFUNCTION("""COMPUTED_VALUE"""),68)</f>
        <v>68</v>
      </c>
      <c r="K126" s="1">
        <f ca="1">IFERROR(__xludf.DUMMYFUNCTION("""COMPUTED_VALUE"""),26)</f>
        <v>26</v>
      </c>
      <c r="L126" s="1">
        <f ca="1">IFERROR(__xludf.DUMMYFUNCTION("""COMPUTED_VALUE"""),-0.025)</f>
        <v>-2.5000000000000001E-2</v>
      </c>
      <c r="M126" s="1">
        <f ca="1">IFERROR(__xludf.DUMMYFUNCTION("""COMPUTED_VALUE"""),240)</f>
        <v>240</v>
      </c>
      <c r="N126" s="1" t="str">
        <f ca="1">IFERROR(__xludf.DUMMYFUNCTION("""COMPUTED_VALUE"""),"+7.89")</f>
        <v>+7.89</v>
      </c>
      <c r="O126" s="1">
        <f ca="1">IFERROR(__xludf.DUMMYFUNCTION("""COMPUTED_VALUE"""),38)</f>
        <v>38</v>
      </c>
      <c r="P126" s="1">
        <f ca="1">IFERROR(__xludf.DUMMYFUNCTION("""COMPUTED_VALUE"""),108.7)</f>
        <v>108.7</v>
      </c>
      <c r="Q126" s="1">
        <f ca="1">IFERROR(__xludf.DUMMYFUNCTION("""COMPUTED_VALUE"""),28)</f>
        <v>28</v>
      </c>
      <c r="R126" s="1">
        <f ca="1">IFERROR(__xludf.DUMMYFUNCTION("""COMPUTED_VALUE"""),100.8)</f>
        <v>100.8</v>
      </c>
      <c r="S126" s="1">
        <f ca="1">IFERROR(__xludf.DUMMYFUNCTION("""COMPUTED_VALUE"""),47)</f>
        <v>47</v>
      </c>
      <c r="T126" s="1">
        <f ca="1">IFERROR(__xludf.DUMMYFUNCTION("""COMPUTED_VALUE"""),-2.99)</f>
        <v>-2.99</v>
      </c>
      <c r="U126" s="1">
        <f ca="1">IFERROR(__xludf.DUMMYFUNCTION("""COMPUTED_VALUE"""),251)</f>
        <v>251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IFERROR(__xludf.DUMMYFUNCTION("""COMPUTED_VALUE"""),"Nebraska")</f>
        <v>Nebraska</v>
      </c>
      <c r="C129" s="1" t="str">
        <f ca="1">IFERROR(__xludf.DUMMYFUNCTION("""COMPUTED_VALUE"""),"B10")</f>
        <v>B10</v>
      </c>
      <c r="D129" s="1" t="str">
        <f ca="1">IFERROR(__xludf.DUMMYFUNCTION("""COMPUTED_VALUE"""),"13-18")</f>
        <v>13-18</v>
      </c>
      <c r="E129" s="1" t="str">
        <f ca="1">IFERROR(__xludf.DUMMYFUNCTION("""COMPUTED_VALUE"""),"+4.62")</f>
        <v>+4.62</v>
      </c>
      <c r="F129" s="1">
        <f ca="1">IFERROR(__xludf.DUMMYFUNCTION("""COMPUTED_VALUE"""),99.6)</f>
        <v>99.6</v>
      </c>
      <c r="G129" s="1">
        <f ca="1">IFERROR(__xludf.DUMMYFUNCTION("""COMPUTED_VALUE"""),264)</f>
        <v>264</v>
      </c>
      <c r="H129" s="1">
        <f ca="1">IFERROR(__xludf.DUMMYFUNCTION("""COMPUTED_VALUE"""),95)</f>
        <v>95</v>
      </c>
      <c r="I129" s="1">
        <f ca="1">IFERROR(__xludf.DUMMYFUNCTION("""COMPUTED_VALUE"""),31)</f>
        <v>31</v>
      </c>
      <c r="J129" s="1">
        <f ca="1">IFERROR(__xludf.DUMMYFUNCTION("""COMPUTED_VALUE"""),63.3)</f>
        <v>63.3</v>
      </c>
      <c r="K129" s="1">
        <f ca="1">IFERROR(__xludf.DUMMYFUNCTION("""COMPUTED_VALUE"""),235)</f>
        <v>235</v>
      </c>
      <c r="L129" s="1">
        <f ca="1">IFERROR(__xludf.DUMMYFUNCTION("""COMPUTED_VALUE"""),-0.017)</f>
        <v>-1.7000000000000001E-2</v>
      </c>
      <c r="M129" s="1">
        <f ca="1">IFERROR(__xludf.DUMMYFUNCTION("""COMPUTED_VALUE"""),223)</f>
        <v>223</v>
      </c>
      <c r="N129" s="1" t="str">
        <f ca="1">IFERROR(__xludf.DUMMYFUNCTION("""COMPUTED_VALUE"""),"+7.59")</f>
        <v>+7.59</v>
      </c>
      <c r="O129" s="1">
        <f ca="1">IFERROR(__xludf.DUMMYFUNCTION("""COMPUTED_VALUE"""),43)</f>
        <v>43</v>
      </c>
      <c r="P129" s="1">
        <f ca="1">IFERROR(__xludf.DUMMYFUNCTION("""COMPUTED_VALUE"""),109.1)</f>
        <v>109.1</v>
      </c>
      <c r="Q129" s="1">
        <f ca="1">IFERROR(__xludf.DUMMYFUNCTION("""COMPUTED_VALUE"""),16)</f>
        <v>16</v>
      </c>
      <c r="R129" s="1">
        <f ca="1">IFERROR(__xludf.DUMMYFUNCTION("""COMPUTED_VALUE"""),101.5)</f>
        <v>101.5</v>
      </c>
      <c r="S129" s="1">
        <f ca="1">IFERROR(__xludf.DUMMYFUNCTION("""COMPUTED_VALUE"""),70)</f>
        <v>70</v>
      </c>
      <c r="T129" s="1">
        <f ca="1">IFERROR(__xludf.DUMMYFUNCTION("""COMPUTED_VALUE"""),-3.77)</f>
        <v>-3.77</v>
      </c>
      <c r="U129" s="1">
        <f ca="1">IFERROR(__xludf.DUMMYFUNCTION("""COMPUTED_VALUE"""),273)</f>
        <v>273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IFERROR(__xludf.DUMMYFUNCTION("""COMPUTED_VALUE"""),"Northwestern")</f>
        <v>Northwestern</v>
      </c>
      <c r="C130" s="1" t="str">
        <f ca="1">IFERROR(__xludf.DUMMYFUNCTION("""COMPUTED_VALUE"""),"B10")</f>
        <v>B10</v>
      </c>
      <c r="D130" s="1" t="str">
        <f ca="1">IFERROR(__xludf.DUMMYFUNCTION("""COMPUTED_VALUE"""),"15-17")</f>
        <v>15-17</v>
      </c>
      <c r="E130" s="1" t="str">
        <f ca="1">IFERROR(__xludf.DUMMYFUNCTION("""COMPUTED_VALUE"""),"+4.59")</f>
        <v>+4.59</v>
      </c>
      <c r="F130" s="1">
        <f ca="1">IFERROR(__xludf.DUMMYFUNCTION("""COMPUTED_VALUE"""),107.8)</f>
        <v>107.8</v>
      </c>
      <c r="G130" s="1">
        <f ca="1">IFERROR(__xludf.DUMMYFUNCTION("""COMPUTED_VALUE"""),100)</f>
        <v>100</v>
      </c>
      <c r="H130" s="1">
        <f ca="1">IFERROR(__xludf.DUMMYFUNCTION("""COMPUTED_VALUE"""),103.2)</f>
        <v>103.2</v>
      </c>
      <c r="I130" s="1">
        <f ca="1">IFERROR(__xludf.DUMMYFUNCTION("""COMPUTED_VALUE"""),151)</f>
        <v>151</v>
      </c>
      <c r="J130" s="1">
        <f ca="1">IFERROR(__xludf.DUMMYFUNCTION("""COMPUTED_VALUE"""),59.7)</f>
        <v>59.7</v>
      </c>
      <c r="K130" s="1">
        <f ca="1">IFERROR(__xludf.DUMMYFUNCTION("""COMPUTED_VALUE"""),341)</f>
        <v>341</v>
      </c>
      <c r="L130" s="1" t="str">
        <f ca="1">IFERROR(__xludf.DUMMYFUNCTION("""COMPUTED_VALUE"""),"+.009")</f>
        <v>+.009</v>
      </c>
      <c r="M130" s="1">
        <f ca="1">IFERROR(__xludf.DUMMYFUNCTION("""COMPUTED_VALUE"""),161)</f>
        <v>161</v>
      </c>
      <c r="N130" s="1" t="str">
        <f ca="1">IFERROR(__xludf.DUMMYFUNCTION("""COMPUTED_VALUE"""),"+6.74")</f>
        <v>+6.74</v>
      </c>
      <c r="O130" s="1">
        <f ca="1">IFERROR(__xludf.DUMMYFUNCTION("""COMPUTED_VALUE"""),56)</f>
        <v>56</v>
      </c>
      <c r="P130" s="1">
        <f ca="1">IFERROR(__xludf.DUMMYFUNCTION("""COMPUTED_VALUE"""),108.8)</f>
        <v>108.8</v>
      </c>
      <c r="Q130" s="1">
        <f ca="1">IFERROR(__xludf.DUMMYFUNCTION("""COMPUTED_VALUE"""),25)</f>
        <v>25</v>
      </c>
      <c r="R130" s="1">
        <f ca="1">IFERROR(__xludf.DUMMYFUNCTION("""COMPUTED_VALUE"""),102.1)</f>
        <v>102.1</v>
      </c>
      <c r="S130" s="1">
        <f ca="1">IFERROR(__xludf.DUMMYFUNCTION("""COMPUTED_VALUE"""),84)</f>
        <v>84</v>
      </c>
      <c r="T130" s="1">
        <f ca="1">IFERROR(__xludf.DUMMYFUNCTION("""COMPUTED_VALUE"""),-6.17)</f>
        <v>-6.17</v>
      </c>
      <c r="U130" s="1">
        <f ca="1">IFERROR(__xludf.DUMMYFUNCTION("""COMPUTED_VALUE"""),326)</f>
        <v>326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IFERROR(__xludf.DUMMYFUNCTION("""COMPUTED_VALUE"""),"Vermont")</f>
        <v>Vermont</v>
      </c>
      <c r="C131" s="1" t="str">
        <f ca="1">IFERROR(__xludf.DUMMYFUNCTION("""COMPUTED_VALUE"""),"AE")</f>
        <v>AE</v>
      </c>
      <c r="D131" s="1" t="str">
        <f ca="1">IFERROR(__xludf.DUMMYFUNCTION("""COMPUTED_VALUE"""),"20-14")</f>
        <v>20-14</v>
      </c>
      <c r="E131" s="1" t="str">
        <f ca="1">IFERROR(__xludf.DUMMYFUNCTION("""COMPUTED_VALUE"""),"+4.38")</f>
        <v>+4.38</v>
      </c>
      <c r="F131" s="1">
        <f ca="1">IFERROR(__xludf.DUMMYFUNCTION("""COMPUTED_VALUE"""),103.3)</f>
        <v>103.3</v>
      </c>
      <c r="G131" s="1">
        <f ca="1">IFERROR(__xludf.DUMMYFUNCTION("""COMPUTED_VALUE"""),191)</f>
        <v>191</v>
      </c>
      <c r="H131" s="1">
        <f ca="1">IFERROR(__xludf.DUMMYFUNCTION("""COMPUTED_VALUE"""),99)</f>
        <v>99</v>
      </c>
      <c r="I131" s="1">
        <f ca="1">IFERROR(__xludf.DUMMYFUNCTION("""COMPUTED_VALUE"""),78)</f>
        <v>78</v>
      </c>
      <c r="J131" s="1">
        <f ca="1">IFERROR(__xludf.DUMMYFUNCTION("""COMPUTED_VALUE"""),64.4)</f>
        <v>64.400000000000006</v>
      </c>
      <c r="K131" s="1">
        <f ca="1">IFERROR(__xludf.DUMMYFUNCTION("""COMPUTED_VALUE"""),170)</f>
        <v>170</v>
      </c>
      <c r="L131" s="1">
        <f ca="1">IFERROR(__xludf.DUMMYFUNCTION("""COMPUTED_VALUE"""),-0.118)</f>
        <v>-0.11799999999999999</v>
      </c>
      <c r="M131" s="1">
        <f ca="1">IFERROR(__xludf.DUMMYFUNCTION("""COMPUTED_VALUE"""),348)</f>
        <v>348</v>
      </c>
      <c r="N131" s="1">
        <f ca="1">IFERROR(__xludf.DUMMYFUNCTION("""COMPUTED_VALUE"""),-5.7)</f>
        <v>-5.7</v>
      </c>
      <c r="O131" s="1">
        <f ca="1">IFERROR(__xludf.DUMMYFUNCTION("""COMPUTED_VALUE"""),302)</f>
        <v>302</v>
      </c>
      <c r="P131" s="1">
        <f ca="1">IFERROR(__xludf.DUMMYFUNCTION("""COMPUTED_VALUE"""),100)</f>
        <v>100</v>
      </c>
      <c r="Q131" s="1">
        <f ca="1">IFERROR(__xludf.DUMMYFUNCTION("""COMPUTED_VALUE"""),332)</f>
        <v>332</v>
      </c>
      <c r="R131" s="1">
        <f ca="1">IFERROR(__xludf.DUMMYFUNCTION("""COMPUTED_VALUE"""),105.7)</f>
        <v>105.7</v>
      </c>
      <c r="S131" s="1">
        <f ca="1">IFERROR(__xludf.DUMMYFUNCTION("""COMPUTED_VALUE"""),224)</f>
        <v>224</v>
      </c>
      <c r="T131" s="1">
        <f ca="1">IFERROR(__xludf.DUMMYFUNCTION("""COMPUTED_VALUE"""),-0.54)</f>
        <v>-0.54</v>
      </c>
      <c r="U131" s="1">
        <f ca="1">IFERROR(__xludf.DUMMYFUNCTION("""COMPUTED_VALUE"""),175)</f>
        <v>175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IFERROR(__xludf.DUMMYFUNCTION("""COMPUTED_VALUE"""),"Utah St.")</f>
        <v>Utah St.</v>
      </c>
      <c r="C132" s="1" t="str">
        <f ca="1">IFERROR(__xludf.DUMMYFUNCTION("""COMPUTED_VALUE"""),"MWC")</f>
        <v>MWC</v>
      </c>
      <c r="D132" s="1" t="str">
        <f ca="1">IFERROR(__xludf.DUMMYFUNCTION("""COMPUTED_VALUE"""),"18-13")</f>
        <v>18-13</v>
      </c>
      <c r="E132" s="1" t="str">
        <f ca="1">IFERROR(__xludf.DUMMYFUNCTION("""COMPUTED_VALUE"""),"+4.27")</f>
        <v>+4.27</v>
      </c>
      <c r="F132" s="1">
        <f ca="1">IFERROR(__xludf.DUMMYFUNCTION("""COMPUTED_VALUE"""),107.5)</f>
        <v>107.5</v>
      </c>
      <c r="G132" s="1">
        <f ca="1">IFERROR(__xludf.DUMMYFUNCTION("""COMPUTED_VALUE"""),109)</f>
        <v>109</v>
      </c>
      <c r="H132" s="1">
        <f ca="1">IFERROR(__xludf.DUMMYFUNCTION("""COMPUTED_VALUE"""),103.2)</f>
        <v>103.2</v>
      </c>
      <c r="I132" s="1">
        <f ca="1">IFERROR(__xludf.DUMMYFUNCTION("""COMPUTED_VALUE"""),150)</f>
        <v>150</v>
      </c>
      <c r="J132" s="1">
        <f ca="1">IFERROR(__xludf.DUMMYFUNCTION("""COMPUTED_VALUE"""),63.5)</f>
        <v>63.5</v>
      </c>
      <c r="K132" s="1">
        <f ca="1">IFERROR(__xludf.DUMMYFUNCTION("""COMPUTED_VALUE"""),224)</f>
        <v>224</v>
      </c>
      <c r="L132" s="1">
        <f ca="1">IFERROR(__xludf.DUMMYFUNCTION("""COMPUTED_VALUE"""),-0.022)</f>
        <v>-2.1999999999999999E-2</v>
      </c>
      <c r="M132" s="1">
        <f ca="1">IFERROR(__xludf.DUMMYFUNCTION("""COMPUTED_VALUE"""),232)</f>
        <v>232</v>
      </c>
      <c r="N132" s="1">
        <f ca="1">IFERROR(__xludf.DUMMYFUNCTION("""COMPUTED_VALUE"""),-0.36)</f>
        <v>-0.36</v>
      </c>
      <c r="O132" s="1">
        <f ca="1">IFERROR(__xludf.DUMMYFUNCTION("""COMPUTED_VALUE"""),150)</f>
        <v>150</v>
      </c>
      <c r="P132" s="1">
        <f ca="1">IFERROR(__xludf.DUMMYFUNCTION("""COMPUTED_VALUE"""),103.5)</f>
        <v>103.5</v>
      </c>
      <c r="Q132" s="1">
        <f ca="1">IFERROR(__xludf.DUMMYFUNCTION("""COMPUTED_VALUE"""),192)</f>
        <v>192</v>
      </c>
      <c r="R132" s="1">
        <f ca="1">IFERROR(__xludf.DUMMYFUNCTION("""COMPUTED_VALUE"""),103.8)</f>
        <v>103.8</v>
      </c>
      <c r="S132" s="1">
        <f ca="1">IFERROR(__xludf.DUMMYFUNCTION("""COMPUTED_VALUE"""),130)</f>
        <v>130</v>
      </c>
      <c r="T132" s="1">
        <f ca="1">IFERROR(__xludf.DUMMYFUNCTION("""COMPUTED_VALUE"""),-1.26)</f>
        <v>-1.26</v>
      </c>
      <c r="U132" s="1">
        <f ca="1">IFERROR(__xludf.DUMMYFUNCTION("""COMPUTED_VALUE"""),196)</f>
        <v>196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IFERROR(__xludf.DUMMYFUNCTION("""COMPUTED_VALUE"""),"Massachusetts")</f>
        <v>Massachusetts</v>
      </c>
      <c r="C133" s="1" t="str">
        <f ca="1">IFERROR(__xludf.DUMMYFUNCTION("""COMPUTED_VALUE"""),"A10")</f>
        <v>A10</v>
      </c>
      <c r="D133" s="1" t="str">
        <f ca="1">IFERROR(__xludf.DUMMYFUNCTION("""COMPUTED_VALUE"""),"17-15")</f>
        <v>17-15</v>
      </c>
      <c r="E133" s="1" t="str">
        <f ca="1">IFERROR(__xludf.DUMMYFUNCTION("""COMPUTED_VALUE"""),"+4.16")</f>
        <v>+4.16</v>
      </c>
      <c r="F133" s="1">
        <f ca="1">IFERROR(__xludf.DUMMYFUNCTION("""COMPUTED_VALUE"""),106.5)</f>
        <v>106.5</v>
      </c>
      <c r="G133" s="1">
        <f ca="1">IFERROR(__xludf.DUMMYFUNCTION("""COMPUTED_VALUE"""),125)</f>
        <v>125</v>
      </c>
      <c r="H133" s="1">
        <f ca="1">IFERROR(__xludf.DUMMYFUNCTION("""COMPUTED_VALUE"""),102.3)</f>
        <v>102.3</v>
      </c>
      <c r="I133" s="1">
        <f ca="1">IFERROR(__xludf.DUMMYFUNCTION("""COMPUTED_VALUE"""),131)</f>
        <v>131</v>
      </c>
      <c r="J133" s="1">
        <f ca="1">IFERROR(__xludf.DUMMYFUNCTION("""COMPUTED_VALUE"""),67)</f>
        <v>67</v>
      </c>
      <c r="K133" s="1">
        <f ca="1">IFERROR(__xludf.DUMMYFUNCTION("""COMPUTED_VALUE"""),53)</f>
        <v>53</v>
      </c>
      <c r="L133" s="1" t="str">
        <f ca="1">IFERROR(__xludf.DUMMYFUNCTION("""COMPUTED_VALUE"""),"+.069")</f>
        <v>+.069</v>
      </c>
      <c r="M133" s="1">
        <f ca="1">IFERROR(__xludf.DUMMYFUNCTION("""COMPUTED_VALUE"""),35)</f>
        <v>35</v>
      </c>
      <c r="N133" s="1" t="str">
        <f ca="1">IFERROR(__xludf.DUMMYFUNCTION("""COMPUTED_VALUE"""),"+5.03")</f>
        <v>+5.03</v>
      </c>
      <c r="O133" s="1">
        <f ca="1">IFERROR(__xludf.DUMMYFUNCTION("""COMPUTED_VALUE"""),75)</f>
        <v>75</v>
      </c>
      <c r="P133" s="1">
        <f ca="1">IFERROR(__xludf.DUMMYFUNCTION("""COMPUTED_VALUE"""),106.2)</f>
        <v>106.2</v>
      </c>
      <c r="Q133" s="1">
        <f ca="1">IFERROR(__xludf.DUMMYFUNCTION("""COMPUTED_VALUE"""),85)</f>
        <v>85</v>
      </c>
      <c r="R133" s="1">
        <f ca="1">IFERROR(__xludf.DUMMYFUNCTION("""COMPUTED_VALUE"""),101.2)</f>
        <v>101.2</v>
      </c>
      <c r="S133" s="1">
        <f ca="1">IFERROR(__xludf.DUMMYFUNCTION("""COMPUTED_VALUE"""),61)</f>
        <v>61</v>
      </c>
      <c r="T133" s="1" t="str">
        <f ca="1">IFERROR(__xludf.DUMMYFUNCTION("""COMPUTED_VALUE"""),"+6.20")</f>
        <v>+6.20</v>
      </c>
      <c r="U133" s="1">
        <f ca="1">IFERROR(__xludf.DUMMYFUNCTION("""COMPUTED_VALUE"""),24)</f>
        <v>24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IFERROR(__xludf.DUMMYFUNCTION("""COMPUTED_VALUE"""),"Pepperdine")</f>
        <v>Pepperdine</v>
      </c>
      <c r="C134" s="1" t="str">
        <f ca="1">IFERROR(__xludf.DUMMYFUNCTION("""COMPUTED_VALUE"""),"WCC")</f>
        <v>WCC</v>
      </c>
      <c r="D134" s="1" t="str">
        <f ca="1">IFERROR(__xludf.DUMMYFUNCTION("""COMPUTED_VALUE"""),"18-14")</f>
        <v>18-14</v>
      </c>
      <c r="E134" s="1" t="str">
        <f ca="1">IFERROR(__xludf.DUMMYFUNCTION("""COMPUTED_VALUE"""),"+4.10")</f>
        <v>+4.10</v>
      </c>
      <c r="F134" s="1">
        <f ca="1">IFERROR(__xludf.DUMMYFUNCTION("""COMPUTED_VALUE"""),100.5)</f>
        <v>100.5</v>
      </c>
      <c r="G134" s="1">
        <f ca="1">IFERROR(__xludf.DUMMYFUNCTION("""COMPUTED_VALUE"""),247)</f>
        <v>247</v>
      </c>
      <c r="H134" s="1">
        <f ca="1">IFERROR(__xludf.DUMMYFUNCTION("""COMPUTED_VALUE"""),96.4)</f>
        <v>96.4</v>
      </c>
      <c r="I134" s="1">
        <f ca="1">IFERROR(__xludf.DUMMYFUNCTION("""COMPUTED_VALUE"""),47)</f>
        <v>47</v>
      </c>
      <c r="J134" s="1">
        <f ca="1">IFERROR(__xludf.DUMMYFUNCTION("""COMPUTED_VALUE"""),63.5)</f>
        <v>63.5</v>
      </c>
      <c r="K134" s="1">
        <f ca="1">IFERROR(__xludf.DUMMYFUNCTION("""COMPUTED_VALUE"""),222)</f>
        <v>222</v>
      </c>
      <c r="L134" s="1" t="str">
        <f ca="1">IFERROR(__xludf.DUMMYFUNCTION("""COMPUTED_VALUE"""),"+.014")</f>
        <v>+.014</v>
      </c>
      <c r="M134" s="1">
        <f ca="1">IFERROR(__xludf.DUMMYFUNCTION("""COMPUTED_VALUE"""),148)</f>
        <v>148</v>
      </c>
      <c r="N134" s="1" t="str">
        <f ca="1">IFERROR(__xludf.DUMMYFUNCTION("""COMPUTED_VALUE"""),"+1.91")</f>
        <v>+1.91</v>
      </c>
      <c r="O134" s="1">
        <f ca="1">IFERROR(__xludf.DUMMYFUNCTION("""COMPUTED_VALUE"""),108)</f>
        <v>108</v>
      </c>
      <c r="P134" s="1">
        <f ca="1">IFERROR(__xludf.DUMMYFUNCTION("""COMPUTED_VALUE"""),106)</f>
        <v>106</v>
      </c>
      <c r="Q134" s="1">
        <f ca="1">IFERROR(__xludf.DUMMYFUNCTION("""COMPUTED_VALUE"""),91)</f>
        <v>91</v>
      </c>
      <c r="R134" s="1">
        <f ca="1">IFERROR(__xludf.DUMMYFUNCTION("""COMPUTED_VALUE"""),104.1)</f>
        <v>104.1</v>
      </c>
      <c r="S134" s="1">
        <f ca="1">IFERROR(__xludf.DUMMYFUNCTION("""COMPUTED_VALUE"""),143)</f>
        <v>143</v>
      </c>
      <c r="T134" s="1">
        <f ca="1">IFERROR(__xludf.DUMMYFUNCTION("""COMPUTED_VALUE"""),-6.18)</f>
        <v>-6.18</v>
      </c>
      <c r="U134" s="1">
        <f ca="1">IFERROR(__xludf.DUMMYFUNCTION("""COMPUTED_VALUE"""),327)</f>
        <v>327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IFERROR(__xludf.DUMMYFUNCTION("""COMPUTED_VALUE"""),"Hawaii")</f>
        <v>Hawaii</v>
      </c>
      <c r="C135" s="1" t="str">
        <f ca="1">IFERROR(__xludf.DUMMYFUNCTION("""COMPUTED_VALUE"""),"BW")</f>
        <v>BW</v>
      </c>
      <c r="D135" s="1" t="str">
        <f ca="1">IFERROR(__xludf.DUMMYFUNCTION("""COMPUTED_VALUE"""),"22-13")</f>
        <v>22-13</v>
      </c>
      <c r="E135" s="1" t="str">
        <f ca="1">IFERROR(__xludf.DUMMYFUNCTION("""COMPUTED_VALUE"""),"+3.73")</f>
        <v>+3.73</v>
      </c>
      <c r="F135" s="1">
        <f ca="1">IFERROR(__xludf.DUMMYFUNCTION("""COMPUTED_VALUE"""),105.1)</f>
        <v>105.1</v>
      </c>
      <c r="G135" s="1">
        <f ca="1">IFERROR(__xludf.DUMMYFUNCTION("""COMPUTED_VALUE"""),160)</f>
        <v>160</v>
      </c>
      <c r="H135" s="1">
        <f ca="1">IFERROR(__xludf.DUMMYFUNCTION("""COMPUTED_VALUE"""),101.4)</f>
        <v>101.4</v>
      </c>
      <c r="I135" s="1">
        <f ca="1">IFERROR(__xludf.DUMMYFUNCTION("""COMPUTED_VALUE"""),117)</f>
        <v>117</v>
      </c>
      <c r="J135" s="1">
        <f ca="1">IFERROR(__xludf.DUMMYFUNCTION("""COMPUTED_VALUE"""),68.9)</f>
        <v>68.900000000000006</v>
      </c>
      <c r="K135" s="1">
        <f ca="1">IFERROR(__xludf.DUMMYFUNCTION("""COMPUTED_VALUE"""),18)</f>
        <v>18</v>
      </c>
      <c r="L135" s="1">
        <f ca="1">IFERROR(__xludf.DUMMYFUNCTION("""COMPUTED_VALUE"""),-0.009)</f>
        <v>-8.9999999999999993E-3</v>
      </c>
      <c r="M135" s="1">
        <f ca="1">IFERROR(__xludf.DUMMYFUNCTION("""COMPUTED_VALUE"""),208)</f>
        <v>208</v>
      </c>
      <c r="N135" s="1">
        <f ca="1">IFERROR(__xludf.DUMMYFUNCTION("""COMPUTED_VALUE"""),-1.97)</f>
        <v>-1.97</v>
      </c>
      <c r="O135" s="1">
        <f ca="1">IFERROR(__xludf.DUMMYFUNCTION("""COMPUTED_VALUE"""),189)</f>
        <v>189</v>
      </c>
      <c r="P135" s="1">
        <f ca="1">IFERROR(__xludf.DUMMYFUNCTION("""COMPUTED_VALUE"""),103.3)</f>
        <v>103.3</v>
      </c>
      <c r="Q135" s="1">
        <f ca="1">IFERROR(__xludf.DUMMYFUNCTION("""COMPUTED_VALUE"""),198)</f>
        <v>198</v>
      </c>
      <c r="R135" s="1">
        <f ca="1">IFERROR(__xludf.DUMMYFUNCTION("""COMPUTED_VALUE"""),105.2)</f>
        <v>105.2</v>
      </c>
      <c r="S135" s="1">
        <f ca="1">IFERROR(__xludf.DUMMYFUNCTION("""COMPUTED_VALUE"""),196)</f>
        <v>196</v>
      </c>
      <c r="T135" s="1">
        <f ca="1">IFERROR(__xludf.DUMMYFUNCTION("""COMPUTED_VALUE"""),-5.29)</f>
        <v>-5.29</v>
      </c>
      <c r="U135" s="1">
        <f ca="1">IFERROR(__xludf.DUMMYFUNCTION("""COMPUTED_VALUE"""),308)</f>
        <v>308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IFERROR(__xludf.DUMMYFUNCTION("""COMPUTED_VALUE"""),"Louisiana Lafayette")</f>
        <v>Louisiana Lafayette</v>
      </c>
      <c r="C136" s="1" t="str">
        <f ca="1">IFERROR(__xludf.DUMMYFUNCTION("""COMPUTED_VALUE"""),"SB")</f>
        <v>SB</v>
      </c>
      <c r="D136" s="1" t="str">
        <f ca="1">IFERROR(__xludf.DUMMYFUNCTION("""COMPUTED_VALUE"""),"22-14")</f>
        <v>22-14</v>
      </c>
      <c r="E136" s="1" t="str">
        <f ca="1">IFERROR(__xludf.DUMMYFUNCTION("""COMPUTED_VALUE"""),"+3.59")</f>
        <v>+3.59</v>
      </c>
      <c r="F136" s="1">
        <f ca="1">IFERROR(__xludf.DUMMYFUNCTION("""COMPUTED_VALUE"""),106)</f>
        <v>106</v>
      </c>
      <c r="G136" s="1">
        <f ca="1">IFERROR(__xludf.DUMMYFUNCTION("""COMPUTED_VALUE"""),133)</f>
        <v>133</v>
      </c>
      <c r="H136" s="1">
        <f ca="1">IFERROR(__xludf.DUMMYFUNCTION("""COMPUTED_VALUE"""),102.4)</f>
        <v>102.4</v>
      </c>
      <c r="I136" s="1">
        <f ca="1">IFERROR(__xludf.DUMMYFUNCTION("""COMPUTED_VALUE"""),136)</f>
        <v>136</v>
      </c>
      <c r="J136" s="1">
        <f ca="1">IFERROR(__xludf.DUMMYFUNCTION("""COMPUTED_VALUE"""),69.9)</f>
        <v>69.900000000000006</v>
      </c>
      <c r="K136" s="1">
        <f ca="1">IFERROR(__xludf.DUMMYFUNCTION("""COMPUTED_VALUE"""),7)</f>
        <v>7</v>
      </c>
      <c r="L136" s="1">
        <f ca="1">IFERROR(__xludf.DUMMYFUNCTION("""COMPUTED_VALUE"""),-0.055)</f>
        <v>-5.5E-2</v>
      </c>
      <c r="M136" s="1">
        <f ca="1">IFERROR(__xludf.DUMMYFUNCTION("""COMPUTED_VALUE"""),305)</f>
        <v>305</v>
      </c>
      <c r="N136" s="1">
        <f ca="1">IFERROR(__xludf.DUMMYFUNCTION("""COMPUTED_VALUE"""),-3.14)</f>
        <v>-3.14</v>
      </c>
      <c r="O136" s="1">
        <f ca="1">IFERROR(__xludf.DUMMYFUNCTION("""COMPUTED_VALUE"""),218)</f>
        <v>218</v>
      </c>
      <c r="P136" s="1">
        <f ca="1">IFERROR(__xludf.DUMMYFUNCTION("""COMPUTED_VALUE"""),102)</f>
        <v>102</v>
      </c>
      <c r="Q136" s="1">
        <f ca="1">IFERROR(__xludf.DUMMYFUNCTION("""COMPUTED_VALUE"""),278)</f>
        <v>278</v>
      </c>
      <c r="R136" s="1">
        <f ca="1">IFERROR(__xludf.DUMMYFUNCTION("""COMPUTED_VALUE"""),105.2)</f>
        <v>105.2</v>
      </c>
      <c r="S136" s="1">
        <f ca="1">IFERROR(__xludf.DUMMYFUNCTION("""COMPUTED_VALUE"""),190)</f>
        <v>190</v>
      </c>
      <c r="T136" s="1">
        <f ca="1">IFERROR(__xludf.DUMMYFUNCTION("""COMPUTED_VALUE"""),-1.43)</f>
        <v>-1.43</v>
      </c>
      <c r="U136" s="1">
        <f ca="1">IFERROR(__xludf.DUMMYFUNCTION("""COMPUTED_VALUE"""),199)</f>
        <v>199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IFERROR(__xludf.DUMMYFUNCTION("""COMPUTED_VALUE"""),"Eastern Kentucky")</f>
        <v>Eastern Kentucky</v>
      </c>
      <c r="C137" s="1" t="str">
        <f ca="1">IFERROR(__xludf.DUMMYFUNCTION("""COMPUTED_VALUE"""),"OVC")</f>
        <v>OVC</v>
      </c>
      <c r="D137" s="1" t="str">
        <f ca="1">IFERROR(__xludf.DUMMYFUNCTION("""COMPUTED_VALUE"""),"21-12")</f>
        <v>21-12</v>
      </c>
      <c r="E137" s="1" t="str">
        <f ca="1">IFERROR(__xludf.DUMMYFUNCTION("""COMPUTED_VALUE"""),"+3.46")</f>
        <v>+3.46</v>
      </c>
      <c r="F137" s="1">
        <f ca="1">IFERROR(__xludf.DUMMYFUNCTION("""COMPUTED_VALUE"""),106.3)</f>
        <v>106.3</v>
      </c>
      <c r="G137" s="1">
        <f ca="1">IFERROR(__xludf.DUMMYFUNCTION("""COMPUTED_VALUE"""),130)</f>
        <v>130</v>
      </c>
      <c r="H137" s="1">
        <f ca="1">IFERROR(__xludf.DUMMYFUNCTION("""COMPUTED_VALUE"""),102.8)</f>
        <v>102.8</v>
      </c>
      <c r="I137" s="1">
        <f ca="1">IFERROR(__xludf.DUMMYFUNCTION("""COMPUTED_VALUE"""),145)</f>
        <v>145</v>
      </c>
      <c r="J137" s="1">
        <f ca="1">IFERROR(__xludf.DUMMYFUNCTION("""COMPUTED_VALUE"""),63.5)</f>
        <v>63.5</v>
      </c>
      <c r="K137" s="1">
        <f ca="1">IFERROR(__xludf.DUMMYFUNCTION("""COMPUTED_VALUE"""),223)</f>
        <v>223</v>
      </c>
      <c r="L137" s="1">
        <f ca="1">IFERROR(__xludf.DUMMYFUNCTION("""COMPUTED_VALUE"""),-0.03)</f>
        <v>-0.03</v>
      </c>
      <c r="M137" s="1">
        <f ca="1">IFERROR(__xludf.DUMMYFUNCTION("""COMPUTED_VALUE"""),252)</f>
        <v>252</v>
      </c>
      <c r="N137" s="1">
        <f ca="1">IFERROR(__xludf.DUMMYFUNCTION("""COMPUTED_VALUE"""),-4.84)</f>
        <v>-4.84</v>
      </c>
      <c r="O137" s="1">
        <f ca="1">IFERROR(__xludf.DUMMYFUNCTION("""COMPUTED_VALUE"""),274)</f>
        <v>274</v>
      </c>
      <c r="P137" s="1">
        <f ca="1">IFERROR(__xludf.DUMMYFUNCTION("""COMPUTED_VALUE"""),102.3)</f>
        <v>102.3</v>
      </c>
      <c r="Q137" s="1">
        <f ca="1">IFERROR(__xludf.DUMMYFUNCTION("""COMPUTED_VALUE"""),257)</f>
        <v>257</v>
      </c>
      <c r="R137" s="1">
        <f ca="1">IFERROR(__xludf.DUMMYFUNCTION("""COMPUTED_VALUE"""),107.1)</f>
        <v>107.1</v>
      </c>
      <c r="S137" s="1">
        <f ca="1">IFERROR(__xludf.DUMMYFUNCTION("""COMPUTED_VALUE"""),277)</f>
        <v>277</v>
      </c>
      <c r="T137" s="1">
        <f ca="1">IFERROR(__xludf.DUMMYFUNCTION("""COMPUTED_VALUE"""),-2.63)</f>
        <v>-2.63</v>
      </c>
      <c r="U137" s="1">
        <f ca="1">IFERROR(__xludf.DUMMYFUNCTION("""COMPUTED_VALUE"""),242)</f>
        <v>242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IFERROR(__xludf.DUMMYFUNCTION("""COMPUTED_VALUE"""),"Stony Brook")</f>
        <v>Stony Brook</v>
      </c>
      <c r="C138" s="1" t="str">
        <f ca="1">IFERROR(__xludf.DUMMYFUNCTION("""COMPUTED_VALUE"""),"AE")</f>
        <v>AE</v>
      </c>
      <c r="D138" s="1" t="str">
        <f ca="1">IFERROR(__xludf.DUMMYFUNCTION("""COMPUTED_VALUE"""),"23-12")</f>
        <v>23-12</v>
      </c>
      <c r="E138" s="1" t="str">
        <f ca="1">IFERROR(__xludf.DUMMYFUNCTION("""COMPUTED_VALUE"""),"+3.35")</f>
        <v>+3.35</v>
      </c>
      <c r="F138" s="1">
        <f ca="1">IFERROR(__xludf.DUMMYFUNCTION("""COMPUTED_VALUE"""),102.8)</f>
        <v>102.8</v>
      </c>
      <c r="G138" s="1">
        <f ca="1">IFERROR(__xludf.DUMMYFUNCTION("""COMPUTED_VALUE"""),206)</f>
        <v>206</v>
      </c>
      <c r="H138" s="1">
        <f ca="1">IFERROR(__xludf.DUMMYFUNCTION("""COMPUTED_VALUE"""),99.5)</f>
        <v>99.5</v>
      </c>
      <c r="I138" s="1">
        <f ca="1">IFERROR(__xludf.DUMMYFUNCTION("""COMPUTED_VALUE"""),88)</f>
        <v>88</v>
      </c>
      <c r="J138" s="1">
        <f ca="1">IFERROR(__xludf.DUMMYFUNCTION("""COMPUTED_VALUE"""),64.1)</f>
        <v>64.099999999999994</v>
      </c>
      <c r="K138" s="1">
        <f ca="1">IFERROR(__xludf.DUMMYFUNCTION("""COMPUTED_VALUE"""),186)</f>
        <v>186</v>
      </c>
      <c r="L138" s="1" t="str">
        <f ca="1">IFERROR(__xludf.DUMMYFUNCTION("""COMPUTED_VALUE"""),"+.019")</f>
        <v>+.019</v>
      </c>
      <c r="M138" s="1">
        <f ca="1">IFERROR(__xludf.DUMMYFUNCTION("""COMPUTED_VALUE"""),137)</f>
        <v>137</v>
      </c>
      <c r="N138" s="1">
        <f ca="1">IFERROR(__xludf.DUMMYFUNCTION("""COMPUTED_VALUE"""),-3.44)</f>
        <v>-3.44</v>
      </c>
      <c r="O138" s="1">
        <f ca="1">IFERROR(__xludf.DUMMYFUNCTION("""COMPUTED_VALUE"""),227)</f>
        <v>227</v>
      </c>
      <c r="P138" s="1">
        <f ca="1">IFERROR(__xludf.DUMMYFUNCTION("""COMPUTED_VALUE"""),101.6)</f>
        <v>101.6</v>
      </c>
      <c r="Q138" s="1">
        <f ca="1">IFERROR(__xludf.DUMMYFUNCTION("""COMPUTED_VALUE"""),297)</f>
        <v>297</v>
      </c>
      <c r="R138" s="1">
        <f ca="1">IFERROR(__xludf.DUMMYFUNCTION("""COMPUTED_VALUE"""),105)</f>
        <v>105</v>
      </c>
      <c r="S138" s="1">
        <f ca="1">IFERROR(__xludf.DUMMYFUNCTION("""COMPUTED_VALUE"""),182)</f>
        <v>182</v>
      </c>
      <c r="T138" s="1" t="str">
        <f ca="1">IFERROR(__xludf.DUMMYFUNCTION("""COMPUTED_VALUE"""),"+4.10")</f>
        <v>+4.10</v>
      </c>
      <c r="U138" s="1">
        <f ca="1">IFERROR(__xludf.DUMMYFUNCTION("""COMPUTED_VALUE"""),44)</f>
        <v>44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IFERROR(__xludf.DUMMYFUNCTION("""COMPUTED_VALUE"""),"Albany14")</f>
        <v>Albany14</v>
      </c>
      <c r="C139" s="1" t="str">
        <f ca="1">IFERROR(__xludf.DUMMYFUNCTION("""COMPUTED_VALUE"""),"AE")</f>
        <v>AE</v>
      </c>
      <c r="D139" s="1" t="str">
        <f ca="1">IFERROR(__xludf.DUMMYFUNCTION("""COMPUTED_VALUE"""),"24-9")</f>
        <v>24-9</v>
      </c>
      <c r="E139" s="1" t="str">
        <f ca="1">IFERROR(__xludf.DUMMYFUNCTION("""COMPUTED_VALUE"""),"+3.29")</f>
        <v>+3.29</v>
      </c>
      <c r="F139" s="1">
        <f ca="1">IFERROR(__xludf.DUMMYFUNCTION("""COMPUTED_VALUE"""),107.2)</f>
        <v>107.2</v>
      </c>
      <c r="G139" s="1">
        <f ca="1">IFERROR(__xludf.DUMMYFUNCTION("""COMPUTED_VALUE"""),116)</f>
        <v>116</v>
      </c>
      <c r="H139" s="1">
        <f ca="1">IFERROR(__xludf.DUMMYFUNCTION("""COMPUTED_VALUE"""),103.9)</f>
        <v>103.9</v>
      </c>
      <c r="I139" s="1">
        <f ca="1">IFERROR(__xludf.DUMMYFUNCTION("""COMPUTED_VALUE"""),162)</f>
        <v>162</v>
      </c>
      <c r="J139" s="1">
        <f ca="1">IFERROR(__xludf.DUMMYFUNCTION("""COMPUTED_VALUE"""),60.8)</f>
        <v>60.8</v>
      </c>
      <c r="K139" s="1">
        <f ca="1">IFERROR(__xludf.DUMMYFUNCTION("""COMPUTED_VALUE"""),323)</f>
        <v>323</v>
      </c>
      <c r="L139" s="1" t="str">
        <f ca="1">IFERROR(__xludf.DUMMYFUNCTION("""COMPUTED_VALUE"""),"+.054")</f>
        <v>+.054</v>
      </c>
      <c r="M139" s="1">
        <f ca="1">IFERROR(__xludf.DUMMYFUNCTION("""COMPUTED_VALUE"""),56)</f>
        <v>56</v>
      </c>
      <c r="N139" s="1">
        <f ca="1">IFERROR(__xludf.DUMMYFUNCTION("""COMPUTED_VALUE"""),-5.5)</f>
        <v>-5.5</v>
      </c>
      <c r="O139" s="1">
        <f ca="1">IFERROR(__xludf.DUMMYFUNCTION("""COMPUTED_VALUE"""),297)</f>
        <v>297</v>
      </c>
      <c r="P139" s="1">
        <f ca="1">IFERROR(__xludf.DUMMYFUNCTION("""COMPUTED_VALUE"""),100.4)</f>
        <v>100.4</v>
      </c>
      <c r="Q139" s="1">
        <f ca="1">IFERROR(__xludf.DUMMYFUNCTION("""COMPUTED_VALUE"""),325)</f>
        <v>325</v>
      </c>
      <c r="R139" s="1">
        <f ca="1">IFERROR(__xludf.DUMMYFUNCTION("""COMPUTED_VALUE"""),105.9)</f>
        <v>105.9</v>
      </c>
      <c r="S139" s="1">
        <f ca="1">IFERROR(__xludf.DUMMYFUNCTION("""COMPUTED_VALUE"""),229)</f>
        <v>229</v>
      </c>
      <c r="T139" s="1" t="str">
        <f ca="1">IFERROR(__xludf.DUMMYFUNCTION("""COMPUTED_VALUE"""),"+0.18")</f>
        <v>+0.18</v>
      </c>
      <c r="U139" s="1">
        <f ca="1">IFERROR(__xludf.DUMMYFUNCTION("""COMPUTED_VALUE"""),154)</f>
        <v>154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IFERROR(__xludf.DUMMYFUNCTION("""COMPUTED_VALUE"""),"Loyola Chicago")</f>
        <v>Loyola Chicago</v>
      </c>
      <c r="C140" s="1" t="str">
        <f ca="1">IFERROR(__xludf.DUMMYFUNCTION("""COMPUTED_VALUE"""),"MVC")</f>
        <v>MVC</v>
      </c>
      <c r="D140" s="1" t="str">
        <f ca="1">IFERROR(__xludf.DUMMYFUNCTION("""COMPUTED_VALUE"""),"24-13")</f>
        <v>24-13</v>
      </c>
      <c r="E140" s="1" t="str">
        <f ca="1">IFERROR(__xludf.DUMMYFUNCTION("""COMPUTED_VALUE"""),"+3.28")</f>
        <v>+3.28</v>
      </c>
      <c r="F140" s="1">
        <f ca="1">IFERROR(__xludf.DUMMYFUNCTION("""COMPUTED_VALUE"""),105.9)</f>
        <v>105.9</v>
      </c>
      <c r="G140" s="1">
        <f ca="1">IFERROR(__xludf.DUMMYFUNCTION("""COMPUTED_VALUE"""),139)</f>
        <v>139</v>
      </c>
      <c r="H140" s="1">
        <f ca="1">IFERROR(__xludf.DUMMYFUNCTION("""COMPUTED_VALUE"""),102.6)</f>
        <v>102.6</v>
      </c>
      <c r="I140" s="1">
        <f ca="1">IFERROR(__xludf.DUMMYFUNCTION("""COMPUTED_VALUE"""),137)</f>
        <v>137</v>
      </c>
      <c r="J140" s="1">
        <f ca="1">IFERROR(__xludf.DUMMYFUNCTION("""COMPUTED_VALUE"""),61.1)</f>
        <v>61.1</v>
      </c>
      <c r="K140" s="1">
        <f ca="1">IFERROR(__xludf.DUMMYFUNCTION("""COMPUTED_VALUE"""),315)</f>
        <v>315</v>
      </c>
      <c r="L140" s="1" t="str">
        <f ca="1">IFERROR(__xludf.DUMMYFUNCTION("""COMPUTED_VALUE"""),"+.079")</f>
        <v>+.079</v>
      </c>
      <c r="M140" s="1">
        <f ca="1">IFERROR(__xludf.DUMMYFUNCTION("""COMPUTED_VALUE"""),23)</f>
        <v>23</v>
      </c>
      <c r="N140" s="1">
        <f ca="1">IFERROR(__xludf.DUMMYFUNCTION("""COMPUTED_VALUE"""),-0.36)</f>
        <v>-0.36</v>
      </c>
      <c r="O140" s="1">
        <f ca="1">IFERROR(__xludf.DUMMYFUNCTION("""COMPUTED_VALUE"""),149)</f>
        <v>149</v>
      </c>
      <c r="P140" s="1">
        <f ca="1">IFERROR(__xludf.DUMMYFUNCTION("""COMPUTED_VALUE"""),103.3)</f>
        <v>103.3</v>
      </c>
      <c r="Q140" s="1">
        <f ca="1">IFERROR(__xludf.DUMMYFUNCTION("""COMPUTED_VALUE"""),196)</f>
        <v>196</v>
      </c>
      <c r="R140" s="1">
        <f ca="1">IFERROR(__xludf.DUMMYFUNCTION("""COMPUTED_VALUE"""),103.7)</f>
        <v>103.7</v>
      </c>
      <c r="S140" s="1">
        <f ca="1">IFERROR(__xludf.DUMMYFUNCTION("""COMPUTED_VALUE"""),125)</f>
        <v>125</v>
      </c>
      <c r="T140" s="1">
        <f ca="1">IFERROR(__xludf.DUMMYFUNCTION("""COMPUTED_VALUE"""),-3.54)</f>
        <v>-3.54</v>
      </c>
      <c r="U140" s="1">
        <f ca="1">IFERROR(__xludf.DUMMYFUNCTION("""COMPUTED_VALUE"""),266)</f>
        <v>266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IFERROR(__xludf.DUMMYFUNCTION("""COMPUTED_VALUE"""),"Eastern Washington13")</f>
        <v>Eastern Washington13</v>
      </c>
      <c r="C141" s="1" t="str">
        <f ca="1">IFERROR(__xludf.DUMMYFUNCTION("""COMPUTED_VALUE"""),"BSky")</f>
        <v>BSky</v>
      </c>
      <c r="D141" s="1" t="str">
        <f ca="1">IFERROR(__xludf.DUMMYFUNCTION("""COMPUTED_VALUE"""),"26-9")</f>
        <v>26-9</v>
      </c>
      <c r="E141" s="1" t="str">
        <f ca="1">IFERROR(__xludf.DUMMYFUNCTION("""COMPUTED_VALUE"""),"+3.25")</f>
        <v>+3.25</v>
      </c>
      <c r="F141" s="1">
        <f ca="1">IFERROR(__xludf.DUMMYFUNCTION("""COMPUTED_VALUE"""),112.9)</f>
        <v>112.9</v>
      </c>
      <c r="G141" s="1">
        <f ca="1">IFERROR(__xludf.DUMMYFUNCTION("""COMPUTED_VALUE"""),39)</f>
        <v>39</v>
      </c>
      <c r="H141" s="1">
        <f ca="1">IFERROR(__xludf.DUMMYFUNCTION("""COMPUTED_VALUE"""),109.6)</f>
        <v>109.6</v>
      </c>
      <c r="I141" s="1">
        <f ca="1">IFERROR(__xludf.DUMMYFUNCTION("""COMPUTED_VALUE"""),283)</f>
        <v>283</v>
      </c>
      <c r="J141" s="1">
        <f ca="1">IFERROR(__xludf.DUMMYFUNCTION("""COMPUTED_VALUE"""),68.2)</f>
        <v>68.2</v>
      </c>
      <c r="K141" s="1">
        <f ca="1">IFERROR(__xludf.DUMMYFUNCTION("""COMPUTED_VALUE"""),24)</f>
        <v>24</v>
      </c>
      <c r="L141" s="1" t="str">
        <f ca="1">IFERROR(__xludf.DUMMYFUNCTION("""COMPUTED_VALUE"""),"+.067")</f>
        <v>+.067</v>
      </c>
      <c r="M141" s="1">
        <f ca="1">IFERROR(__xludf.DUMMYFUNCTION("""COMPUTED_VALUE"""),40)</f>
        <v>40</v>
      </c>
      <c r="N141" s="1">
        <f ca="1">IFERROR(__xludf.DUMMYFUNCTION("""COMPUTED_VALUE"""),-3.75)</f>
        <v>-3.75</v>
      </c>
      <c r="O141" s="1">
        <f ca="1">IFERROR(__xludf.DUMMYFUNCTION("""COMPUTED_VALUE"""),241)</f>
        <v>241</v>
      </c>
      <c r="P141" s="1">
        <f ca="1">IFERROR(__xludf.DUMMYFUNCTION("""COMPUTED_VALUE"""),104.2)</f>
        <v>104.2</v>
      </c>
      <c r="Q141" s="1">
        <f ca="1">IFERROR(__xludf.DUMMYFUNCTION("""COMPUTED_VALUE"""),148)</f>
        <v>148</v>
      </c>
      <c r="R141" s="1">
        <f ca="1">IFERROR(__xludf.DUMMYFUNCTION("""COMPUTED_VALUE"""),108)</f>
        <v>108</v>
      </c>
      <c r="S141" s="1">
        <f ca="1">IFERROR(__xludf.DUMMYFUNCTION("""COMPUTED_VALUE"""),317)</f>
        <v>317</v>
      </c>
      <c r="T141" s="1" t="str">
        <f ca="1">IFERROR(__xludf.DUMMYFUNCTION("""COMPUTED_VALUE"""),"+3.94")</f>
        <v>+3.94</v>
      </c>
      <c r="U141" s="1">
        <f ca="1">IFERROR(__xludf.DUMMYFUNCTION("""COMPUTED_VALUE"""),48)</f>
        <v>48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IFERROR(__xludf.DUMMYFUNCTION("""COMPUTED_VALUE"""),"Portland")</f>
        <v>Portland</v>
      </c>
      <c r="C142" s="1" t="str">
        <f ca="1">IFERROR(__xludf.DUMMYFUNCTION("""COMPUTED_VALUE"""),"WCC")</f>
        <v>WCC</v>
      </c>
      <c r="D142" s="1" t="str">
        <f ca="1">IFERROR(__xludf.DUMMYFUNCTION("""COMPUTED_VALUE"""),"17-16")</f>
        <v>17-16</v>
      </c>
      <c r="E142" s="1" t="str">
        <f ca="1">IFERROR(__xludf.DUMMYFUNCTION("""COMPUTED_VALUE"""),"+3.23")</f>
        <v>+3.23</v>
      </c>
      <c r="F142" s="1">
        <f ca="1">IFERROR(__xludf.DUMMYFUNCTION("""COMPUTED_VALUE"""),109)</f>
        <v>109</v>
      </c>
      <c r="G142" s="1">
        <f ca="1">IFERROR(__xludf.DUMMYFUNCTION("""COMPUTED_VALUE"""),79)</f>
        <v>79</v>
      </c>
      <c r="H142" s="1">
        <f ca="1">IFERROR(__xludf.DUMMYFUNCTION("""COMPUTED_VALUE"""),105.8)</f>
        <v>105.8</v>
      </c>
      <c r="I142" s="1">
        <f ca="1">IFERROR(__xludf.DUMMYFUNCTION("""COMPUTED_VALUE"""),193)</f>
        <v>193</v>
      </c>
      <c r="J142" s="1">
        <f ca="1">IFERROR(__xludf.DUMMYFUNCTION("""COMPUTED_VALUE"""),64.2)</f>
        <v>64.2</v>
      </c>
      <c r="K142" s="1">
        <f ca="1">IFERROR(__xludf.DUMMYFUNCTION("""COMPUTED_VALUE"""),180)</f>
        <v>180</v>
      </c>
      <c r="L142" s="1">
        <f ca="1">IFERROR(__xludf.DUMMYFUNCTION("""COMPUTED_VALUE"""),-0.035)</f>
        <v>-3.5000000000000003E-2</v>
      </c>
      <c r="M142" s="1">
        <f ca="1">IFERROR(__xludf.DUMMYFUNCTION("""COMPUTED_VALUE"""),269)</f>
        <v>269</v>
      </c>
      <c r="N142" s="1" t="str">
        <f ca="1">IFERROR(__xludf.DUMMYFUNCTION("""COMPUTED_VALUE"""),"+1.98")</f>
        <v>+1.98</v>
      </c>
      <c r="O142" s="1">
        <f ca="1">IFERROR(__xludf.DUMMYFUNCTION("""COMPUTED_VALUE"""),107)</f>
        <v>107</v>
      </c>
      <c r="P142" s="1">
        <f ca="1">IFERROR(__xludf.DUMMYFUNCTION("""COMPUTED_VALUE"""),106.6)</f>
        <v>106.6</v>
      </c>
      <c r="Q142" s="1">
        <f ca="1">IFERROR(__xludf.DUMMYFUNCTION("""COMPUTED_VALUE"""),80)</f>
        <v>80</v>
      </c>
      <c r="R142" s="1">
        <f ca="1">IFERROR(__xludf.DUMMYFUNCTION("""COMPUTED_VALUE"""),104.6)</f>
        <v>104.6</v>
      </c>
      <c r="S142" s="1">
        <f ca="1">IFERROR(__xludf.DUMMYFUNCTION("""COMPUTED_VALUE"""),163)</f>
        <v>163</v>
      </c>
      <c r="T142" s="1">
        <f ca="1">IFERROR(__xludf.DUMMYFUNCTION("""COMPUTED_VALUE"""),-4.48)</f>
        <v>-4.4800000000000004</v>
      </c>
      <c r="U142" s="1">
        <f ca="1">IFERROR(__xludf.DUMMYFUNCTION("""COMPUTED_VALUE"""),294)</f>
        <v>294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IFERROR(__xludf.DUMMYFUNCTION("""COMPUTED_VALUE"""),"UAB14")</f>
        <v>UAB14</v>
      </c>
      <c r="C143" s="1" t="str">
        <f ca="1">IFERROR(__xludf.DUMMYFUNCTION("""COMPUTED_VALUE"""),"CUSA")</f>
        <v>CUSA</v>
      </c>
      <c r="D143" s="1" t="str">
        <f ca="1">IFERROR(__xludf.DUMMYFUNCTION("""COMPUTED_VALUE"""),"20-16")</f>
        <v>20-16</v>
      </c>
      <c r="E143" s="1" t="str">
        <f ca="1">IFERROR(__xludf.DUMMYFUNCTION("""COMPUTED_VALUE"""),"+3.06")</f>
        <v>+3.06</v>
      </c>
      <c r="F143" s="1">
        <f ca="1">IFERROR(__xludf.DUMMYFUNCTION("""COMPUTED_VALUE"""),104.9)</f>
        <v>104.9</v>
      </c>
      <c r="G143" s="1">
        <f ca="1">IFERROR(__xludf.DUMMYFUNCTION("""COMPUTED_VALUE"""),163)</f>
        <v>163</v>
      </c>
      <c r="H143" s="1">
        <f ca="1">IFERROR(__xludf.DUMMYFUNCTION("""COMPUTED_VALUE"""),101.9)</f>
        <v>101.9</v>
      </c>
      <c r="I143" s="1">
        <f ca="1">IFERROR(__xludf.DUMMYFUNCTION("""COMPUTED_VALUE"""),126)</f>
        <v>126</v>
      </c>
      <c r="J143" s="1">
        <f ca="1">IFERROR(__xludf.DUMMYFUNCTION("""COMPUTED_VALUE"""),64.7)</f>
        <v>64.7</v>
      </c>
      <c r="K143" s="1">
        <f ca="1">IFERROR(__xludf.DUMMYFUNCTION("""COMPUTED_VALUE"""),151)</f>
        <v>151</v>
      </c>
      <c r="L143" s="1" t="str">
        <f ca="1">IFERROR(__xludf.DUMMYFUNCTION("""COMPUTED_VALUE"""),"+.025")</f>
        <v>+.025</v>
      </c>
      <c r="M143" s="1">
        <f ca="1">IFERROR(__xludf.DUMMYFUNCTION("""COMPUTED_VALUE"""),119)</f>
        <v>119</v>
      </c>
      <c r="N143" s="1" t="str">
        <f ca="1">IFERROR(__xludf.DUMMYFUNCTION("""COMPUTED_VALUE"""),"+0.29")</f>
        <v>+0.29</v>
      </c>
      <c r="O143" s="1">
        <f ca="1">IFERROR(__xludf.DUMMYFUNCTION("""COMPUTED_VALUE"""),136)</f>
        <v>136</v>
      </c>
      <c r="P143" s="1">
        <f ca="1">IFERROR(__xludf.DUMMYFUNCTION("""COMPUTED_VALUE"""),103.9)</f>
        <v>103.9</v>
      </c>
      <c r="Q143" s="1">
        <f ca="1">IFERROR(__xludf.DUMMYFUNCTION("""COMPUTED_VALUE"""),163)</f>
        <v>163</v>
      </c>
      <c r="R143" s="1">
        <f ca="1">IFERROR(__xludf.DUMMYFUNCTION("""COMPUTED_VALUE"""),103.6)</f>
        <v>103.6</v>
      </c>
      <c r="S143" s="1">
        <f ca="1">IFERROR(__xludf.DUMMYFUNCTION("""COMPUTED_VALUE"""),121)</f>
        <v>121</v>
      </c>
      <c r="T143" s="1" t="str">
        <f ca="1">IFERROR(__xludf.DUMMYFUNCTION("""COMPUTED_VALUE"""),"+3.40")</f>
        <v>+3.40</v>
      </c>
      <c r="U143" s="1">
        <f ca="1">IFERROR(__xludf.DUMMYFUNCTION("""COMPUTED_VALUE"""),61)</f>
        <v>61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IFERROR(__xludf.DUMMYFUNCTION("""COMPUTED_VALUE"""),"Long Beach St.")</f>
        <v>Long Beach St.</v>
      </c>
      <c r="C144" s="1" t="str">
        <f ca="1">IFERROR(__xludf.DUMMYFUNCTION("""COMPUTED_VALUE"""),"BW")</f>
        <v>BW</v>
      </c>
      <c r="D144" s="1" t="str">
        <f ca="1">IFERROR(__xludf.DUMMYFUNCTION("""COMPUTED_VALUE"""),"16-17")</f>
        <v>16-17</v>
      </c>
      <c r="E144" s="1" t="str">
        <f ca="1">IFERROR(__xludf.DUMMYFUNCTION("""COMPUTED_VALUE"""),"+3.05")</f>
        <v>+3.05</v>
      </c>
      <c r="F144" s="1">
        <f ca="1">IFERROR(__xludf.DUMMYFUNCTION("""COMPUTED_VALUE"""),104)</f>
        <v>104</v>
      </c>
      <c r="G144" s="1">
        <f ca="1">IFERROR(__xludf.DUMMYFUNCTION("""COMPUTED_VALUE"""),179)</f>
        <v>179</v>
      </c>
      <c r="H144" s="1">
        <f ca="1">IFERROR(__xludf.DUMMYFUNCTION("""COMPUTED_VALUE"""),100.9)</f>
        <v>100.9</v>
      </c>
      <c r="I144" s="1">
        <f ca="1">IFERROR(__xludf.DUMMYFUNCTION("""COMPUTED_VALUE"""),108)</f>
        <v>108</v>
      </c>
      <c r="J144" s="1">
        <f ca="1">IFERROR(__xludf.DUMMYFUNCTION("""COMPUTED_VALUE"""),65.2)</f>
        <v>65.2</v>
      </c>
      <c r="K144" s="1">
        <f ca="1">IFERROR(__xludf.DUMMYFUNCTION("""COMPUTED_VALUE"""),128)</f>
        <v>128</v>
      </c>
      <c r="L144" s="1" t="str">
        <f ca="1">IFERROR(__xludf.DUMMYFUNCTION("""COMPUTED_VALUE"""),"+.032")</f>
        <v>+.032</v>
      </c>
      <c r="M144" s="1">
        <f ca="1">IFERROR(__xludf.DUMMYFUNCTION("""COMPUTED_VALUE"""),101)</f>
        <v>101</v>
      </c>
      <c r="N144" s="1" t="str">
        <f ca="1">IFERROR(__xludf.DUMMYFUNCTION("""COMPUTED_VALUE"""),"+6.36")</f>
        <v>+6.36</v>
      </c>
      <c r="O144" s="1">
        <f ca="1">IFERROR(__xludf.DUMMYFUNCTION("""COMPUTED_VALUE"""),62)</f>
        <v>62</v>
      </c>
      <c r="P144" s="1">
        <f ca="1">IFERROR(__xludf.DUMMYFUNCTION("""COMPUTED_VALUE"""),107.5)</f>
        <v>107.5</v>
      </c>
      <c r="Q144" s="1">
        <f ca="1">IFERROR(__xludf.DUMMYFUNCTION("""COMPUTED_VALUE"""),62)</f>
        <v>62</v>
      </c>
      <c r="R144" s="1">
        <f ca="1">IFERROR(__xludf.DUMMYFUNCTION("""COMPUTED_VALUE"""),101.1)</f>
        <v>101.1</v>
      </c>
      <c r="S144" s="1">
        <f ca="1">IFERROR(__xludf.DUMMYFUNCTION("""COMPUTED_VALUE"""),55)</f>
        <v>55</v>
      </c>
      <c r="T144" s="1" t="str">
        <f ca="1">IFERROR(__xludf.DUMMYFUNCTION("""COMPUTED_VALUE"""),"+15.31")</f>
        <v>+15.31</v>
      </c>
      <c r="U144" s="1">
        <f ca="1">IFERROR(__xludf.DUMMYFUNCTION("""COMPUTED_VALUE"""),1)</f>
        <v>1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IFERROR(__xludf.DUMMYFUNCTION("""COMPUTED_VALUE"""),"New Mexico")</f>
        <v>New Mexico</v>
      </c>
      <c r="C145" s="1" t="str">
        <f ca="1">IFERROR(__xludf.DUMMYFUNCTION("""COMPUTED_VALUE"""),"MWC")</f>
        <v>MWC</v>
      </c>
      <c r="D145" s="1" t="str">
        <f ca="1">IFERROR(__xludf.DUMMYFUNCTION("""COMPUTED_VALUE"""),"15-16")</f>
        <v>15-16</v>
      </c>
      <c r="E145" s="1" t="str">
        <f ca="1">IFERROR(__xludf.DUMMYFUNCTION("""COMPUTED_VALUE"""),"+2.82")</f>
        <v>+2.82</v>
      </c>
      <c r="F145" s="1">
        <f ca="1">IFERROR(__xludf.DUMMYFUNCTION("""COMPUTED_VALUE"""),101.6)</f>
        <v>101.6</v>
      </c>
      <c r="G145" s="1">
        <f ca="1">IFERROR(__xludf.DUMMYFUNCTION("""COMPUTED_VALUE"""),228)</f>
        <v>228</v>
      </c>
      <c r="H145" s="1">
        <f ca="1">IFERROR(__xludf.DUMMYFUNCTION("""COMPUTED_VALUE"""),98.7)</f>
        <v>98.7</v>
      </c>
      <c r="I145" s="1">
        <f ca="1">IFERROR(__xludf.DUMMYFUNCTION("""COMPUTED_VALUE"""),74)</f>
        <v>74</v>
      </c>
      <c r="J145" s="1">
        <f ca="1">IFERROR(__xludf.DUMMYFUNCTION("""COMPUTED_VALUE"""),62)</f>
        <v>62</v>
      </c>
      <c r="K145" s="1">
        <f ca="1">IFERROR(__xludf.DUMMYFUNCTION("""COMPUTED_VALUE"""),289)</f>
        <v>289</v>
      </c>
      <c r="L145" s="1">
        <f ca="1">IFERROR(__xludf.DUMMYFUNCTION("""COMPUTED_VALUE"""),-0.068)</f>
        <v>-6.8000000000000005E-2</v>
      </c>
      <c r="M145" s="1">
        <f ca="1">IFERROR(__xludf.DUMMYFUNCTION("""COMPUTED_VALUE"""),322)</f>
        <v>322</v>
      </c>
      <c r="N145" s="1" t="str">
        <f ca="1">IFERROR(__xludf.DUMMYFUNCTION("""COMPUTED_VALUE"""),"+0.64")</f>
        <v>+0.64</v>
      </c>
      <c r="O145" s="1">
        <f ca="1">IFERROR(__xludf.DUMMYFUNCTION("""COMPUTED_VALUE"""),131)</f>
        <v>131</v>
      </c>
      <c r="P145" s="1">
        <f ca="1">IFERROR(__xludf.DUMMYFUNCTION("""COMPUTED_VALUE"""),104.5)</f>
        <v>104.5</v>
      </c>
      <c r="Q145" s="1">
        <f ca="1">IFERROR(__xludf.DUMMYFUNCTION("""COMPUTED_VALUE"""),129)</f>
        <v>129</v>
      </c>
      <c r="R145" s="1">
        <f ca="1">IFERROR(__xludf.DUMMYFUNCTION("""COMPUTED_VALUE"""),103.9)</f>
        <v>103.9</v>
      </c>
      <c r="S145" s="1">
        <f ca="1">IFERROR(__xludf.DUMMYFUNCTION("""COMPUTED_VALUE"""),131)</f>
        <v>131</v>
      </c>
      <c r="T145" s="1">
        <f ca="1">IFERROR(__xludf.DUMMYFUNCTION("""COMPUTED_VALUE"""),-3.48)</f>
        <v>-3.48</v>
      </c>
      <c r="U145" s="1">
        <f ca="1">IFERROR(__xludf.DUMMYFUNCTION("""COMPUTED_VALUE"""),264)</f>
        <v>264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IFERROR(__xludf.DUMMYFUNCTION("""COMPUTED_VALUE"""),"Eastern Michigan")</f>
        <v>Eastern Michigan</v>
      </c>
      <c r="C146" s="1" t="str">
        <f ca="1">IFERROR(__xludf.DUMMYFUNCTION("""COMPUTED_VALUE"""),"MAC")</f>
        <v>MAC</v>
      </c>
      <c r="D146" s="1" t="str">
        <f ca="1">IFERROR(__xludf.DUMMYFUNCTION("""COMPUTED_VALUE"""),"21-14")</f>
        <v>21-14</v>
      </c>
      <c r="E146" s="1" t="str">
        <f ca="1">IFERROR(__xludf.DUMMYFUNCTION("""COMPUTED_VALUE"""),"+2.69")</f>
        <v>+2.69</v>
      </c>
      <c r="F146" s="1">
        <f ca="1">IFERROR(__xludf.DUMMYFUNCTION("""COMPUTED_VALUE"""),101.8)</f>
        <v>101.8</v>
      </c>
      <c r="G146" s="1">
        <f ca="1">IFERROR(__xludf.DUMMYFUNCTION("""COMPUTED_VALUE"""),225)</f>
        <v>225</v>
      </c>
      <c r="H146" s="1">
        <f ca="1">IFERROR(__xludf.DUMMYFUNCTION("""COMPUTED_VALUE"""),99.2)</f>
        <v>99.2</v>
      </c>
      <c r="I146" s="1">
        <f ca="1">IFERROR(__xludf.DUMMYFUNCTION("""COMPUTED_VALUE"""),81)</f>
        <v>81</v>
      </c>
      <c r="J146" s="1">
        <f ca="1">IFERROR(__xludf.DUMMYFUNCTION("""COMPUTED_VALUE"""),66)</f>
        <v>66</v>
      </c>
      <c r="K146" s="1">
        <f ca="1">IFERROR(__xludf.DUMMYFUNCTION("""COMPUTED_VALUE"""),91)</f>
        <v>91</v>
      </c>
      <c r="L146" s="1">
        <f ca="1">IFERROR(__xludf.DUMMYFUNCTION("""COMPUTED_VALUE"""),-0.001)</f>
        <v>-1E-3</v>
      </c>
      <c r="M146" s="1">
        <f ca="1">IFERROR(__xludf.DUMMYFUNCTION("""COMPUTED_VALUE"""),185)</f>
        <v>185</v>
      </c>
      <c r="N146" s="1">
        <f ca="1">IFERROR(__xludf.DUMMYFUNCTION("""COMPUTED_VALUE"""),-0.32)</f>
        <v>-0.32</v>
      </c>
      <c r="O146" s="1">
        <f ca="1">IFERROR(__xludf.DUMMYFUNCTION("""COMPUTED_VALUE"""),147)</f>
        <v>147</v>
      </c>
      <c r="P146" s="1">
        <f ca="1">IFERROR(__xludf.DUMMYFUNCTION("""COMPUTED_VALUE"""),105.7)</f>
        <v>105.7</v>
      </c>
      <c r="Q146" s="1">
        <f ca="1">IFERROR(__xludf.DUMMYFUNCTION("""COMPUTED_VALUE"""),98)</f>
        <v>98</v>
      </c>
      <c r="R146" s="1">
        <f ca="1">IFERROR(__xludf.DUMMYFUNCTION("""COMPUTED_VALUE"""),106)</f>
        <v>106</v>
      </c>
      <c r="S146" s="1">
        <f ca="1">IFERROR(__xludf.DUMMYFUNCTION("""COMPUTED_VALUE"""),231)</f>
        <v>231</v>
      </c>
      <c r="T146" s="1">
        <f ca="1">IFERROR(__xludf.DUMMYFUNCTION("""COMPUTED_VALUE"""),-4.35)</f>
        <v>-4.3499999999999996</v>
      </c>
      <c r="U146" s="1">
        <f ca="1">IFERROR(__xludf.DUMMYFUNCTION("""COMPUTED_VALUE"""),292)</f>
        <v>292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IFERROR(__xludf.DUMMYFUNCTION("""COMPUTED_VALUE"""),"Auburn")</f>
        <v>Auburn</v>
      </c>
      <c r="C147" s="1" t="str">
        <f ca="1">IFERROR(__xludf.DUMMYFUNCTION("""COMPUTED_VALUE"""),"SEC")</f>
        <v>SEC</v>
      </c>
      <c r="D147" s="1" t="str">
        <f ca="1">IFERROR(__xludf.DUMMYFUNCTION("""COMPUTED_VALUE"""),"15-20")</f>
        <v>15-20</v>
      </c>
      <c r="E147" s="1" t="str">
        <f ca="1">IFERROR(__xludf.DUMMYFUNCTION("""COMPUTED_VALUE"""),"+2.45")</f>
        <v>+2.45</v>
      </c>
      <c r="F147" s="1">
        <f ca="1">IFERROR(__xludf.DUMMYFUNCTION("""COMPUTED_VALUE"""),105.8)</f>
        <v>105.8</v>
      </c>
      <c r="G147" s="1">
        <f ca="1">IFERROR(__xludf.DUMMYFUNCTION("""COMPUTED_VALUE"""),141)</f>
        <v>141</v>
      </c>
      <c r="H147" s="1">
        <f ca="1">IFERROR(__xludf.DUMMYFUNCTION("""COMPUTED_VALUE"""),103.3)</f>
        <v>103.3</v>
      </c>
      <c r="I147" s="1">
        <f ca="1">IFERROR(__xludf.DUMMYFUNCTION("""COMPUTED_VALUE"""),153)</f>
        <v>153</v>
      </c>
      <c r="J147" s="1">
        <f ca="1">IFERROR(__xludf.DUMMYFUNCTION("""COMPUTED_VALUE"""),67.2)</f>
        <v>67.2</v>
      </c>
      <c r="K147" s="1">
        <f ca="1">IFERROR(__xludf.DUMMYFUNCTION("""COMPUTED_VALUE"""),48)</f>
        <v>48</v>
      </c>
      <c r="L147" s="1" t="str">
        <f ca="1">IFERROR(__xludf.DUMMYFUNCTION("""COMPUTED_VALUE"""),"+.058")</f>
        <v>+.058</v>
      </c>
      <c r="M147" s="1">
        <f ca="1">IFERROR(__xludf.DUMMYFUNCTION("""COMPUTED_VALUE"""),50)</f>
        <v>50</v>
      </c>
      <c r="N147" s="1" t="str">
        <f ca="1">IFERROR(__xludf.DUMMYFUNCTION("""COMPUTED_VALUE"""),"+7.98")</f>
        <v>+7.98</v>
      </c>
      <c r="O147" s="1">
        <f ca="1">IFERROR(__xludf.DUMMYFUNCTION("""COMPUTED_VALUE"""),37)</f>
        <v>37</v>
      </c>
      <c r="P147" s="1">
        <f ca="1">IFERROR(__xludf.DUMMYFUNCTION("""COMPUTED_VALUE"""),107.3)</f>
        <v>107.3</v>
      </c>
      <c r="Q147" s="1">
        <f ca="1">IFERROR(__xludf.DUMMYFUNCTION("""COMPUTED_VALUE"""),70)</f>
        <v>70</v>
      </c>
      <c r="R147" s="1">
        <f ca="1">IFERROR(__xludf.DUMMYFUNCTION("""COMPUTED_VALUE"""),99.3)</f>
        <v>99.3</v>
      </c>
      <c r="S147" s="1">
        <f ca="1">IFERROR(__xludf.DUMMYFUNCTION("""COMPUTED_VALUE"""),12)</f>
        <v>12</v>
      </c>
      <c r="T147" s="1" t="str">
        <f ca="1">IFERROR(__xludf.DUMMYFUNCTION("""COMPUTED_VALUE"""),"+1.26")</f>
        <v>+1.26</v>
      </c>
      <c r="U147" s="1">
        <f ca="1">IFERROR(__xludf.DUMMYFUNCTION("""COMPUTED_VALUE"""),119)</f>
        <v>119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IFERROR(__xludf.DUMMYFUNCTION("""COMPUTED_VALUE"""),"Coastal Carolina16")</f>
        <v>Coastal Carolina16</v>
      </c>
      <c r="C148" s="1" t="str">
        <f ca="1">IFERROR(__xludf.DUMMYFUNCTION("""COMPUTED_VALUE"""),"BSth")</f>
        <v>BSth</v>
      </c>
      <c r="D148" s="1" t="str">
        <f ca="1">IFERROR(__xludf.DUMMYFUNCTION("""COMPUTED_VALUE"""),"24-10")</f>
        <v>24-10</v>
      </c>
      <c r="E148" s="1" t="str">
        <f ca="1">IFERROR(__xludf.DUMMYFUNCTION("""COMPUTED_VALUE"""),"+2.38")</f>
        <v>+2.38</v>
      </c>
      <c r="F148" s="1">
        <f ca="1">IFERROR(__xludf.DUMMYFUNCTION("""COMPUTED_VALUE"""),106.7)</f>
        <v>106.7</v>
      </c>
      <c r="G148" s="1">
        <f ca="1">IFERROR(__xludf.DUMMYFUNCTION("""COMPUTED_VALUE"""),119)</f>
        <v>119</v>
      </c>
      <c r="H148" s="1">
        <f ca="1">IFERROR(__xludf.DUMMYFUNCTION("""COMPUTED_VALUE"""),104.3)</f>
        <v>104.3</v>
      </c>
      <c r="I148" s="1">
        <f ca="1">IFERROR(__xludf.DUMMYFUNCTION("""COMPUTED_VALUE"""),170)</f>
        <v>170</v>
      </c>
      <c r="J148" s="1">
        <f ca="1">IFERROR(__xludf.DUMMYFUNCTION("""COMPUTED_VALUE"""),64.1)</f>
        <v>64.099999999999994</v>
      </c>
      <c r="K148" s="1">
        <f ca="1">IFERROR(__xludf.DUMMYFUNCTION("""COMPUTED_VALUE"""),190)</f>
        <v>190</v>
      </c>
      <c r="L148" s="1" t="str">
        <f ca="1">IFERROR(__xludf.DUMMYFUNCTION("""COMPUTED_VALUE"""),"+.006")</f>
        <v>+.006</v>
      </c>
      <c r="M148" s="1">
        <f ca="1">IFERROR(__xludf.DUMMYFUNCTION("""COMPUTED_VALUE"""),171)</f>
        <v>171</v>
      </c>
      <c r="N148" s="1">
        <f ca="1">IFERROR(__xludf.DUMMYFUNCTION("""COMPUTED_VALUE"""),-6.45)</f>
        <v>-6.45</v>
      </c>
      <c r="O148" s="1">
        <f ca="1">IFERROR(__xludf.DUMMYFUNCTION("""COMPUTED_VALUE"""),319)</f>
        <v>319</v>
      </c>
      <c r="P148" s="1">
        <f ca="1">IFERROR(__xludf.DUMMYFUNCTION("""COMPUTED_VALUE"""),102.2)</f>
        <v>102.2</v>
      </c>
      <c r="Q148" s="1">
        <f ca="1">IFERROR(__xludf.DUMMYFUNCTION("""COMPUTED_VALUE"""),261)</f>
        <v>261</v>
      </c>
      <c r="R148" s="1">
        <f ca="1">IFERROR(__xludf.DUMMYFUNCTION("""COMPUTED_VALUE"""),108.6)</f>
        <v>108.6</v>
      </c>
      <c r="S148" s="1">
        <f ca="1">IFERROR(__xludf.DUMMYFUNCTION("""COMPUTED_VALUE"""),337)</f>
        <v>337</v>
      </c>
      <c r="T148" s="1">
        <f ca="1">IFERROR(__xludf.DUMMYFUNCTION("""COMPUTED_VALUE"""),-1.05)</f>
        <v>-1.05</v>
      </c>
      <c r="U148" s="1">
        <f ca="1">IFERROR(__xludf.DUMMYFUNCTION("""COMPUTED_VALUE"""),187)</f>
        <v>187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IFERROR(__xludf.DUMMYFUNCTION("""COMPUTED_VALUE"""),"Western Kentucky")</f>
        <v>Western Kentucky</v>
      </c>
      <c r="C149" s="1" t="str">
        <f ca="1">IFERROR(__xludf.DUMMYFUNCTION("""COMPUTED_VALUE"""),"CUSA")</f>
        <v>CUSA</v>
      </c>
      <c r="D149" s="1" t="str">
        <f ca="1">IFERROR(__xludf.DUMMYFUNCTION("""COMPUTED_VALUE"""),"20-12")</f>
        <v>20-12</v>
      </c>
      <c r="E149" s="1" t="str">
        <f ca="1">IFERROR(__xludf.DUMMYFUNCTION("""COMPUTED_VALUE"""),"+2.28")</f>
        <v>+2.28</v>
      </c>
      <c r="F149" s="1">
        <f ca="1">IFERROR(__xludf.DUMMYFUNCTION("""COMPUTED_VALUE"""),105)</f>
        <v>105</v>
      </c>
      <c r="G149" s="1">
        <f ca="1">IFERROR(__xludf.DUMMYFUNCTION("""COMPUTED_VALUE"""),161)</f>
        <v>161</v>
      </c>
      <c r="H149" s="1">
        <f ca="1">IFERROR(__xludf.DUMMYFUNCTION("""COMPUTED_VALUE"""),102.7)</f>
        <v>102.7</v>
      </c>
      <c r="I149" s="1">
        <f ca="1">IFERROR(__xludf.DUMMYFUNCTION("""COMPUTED_VALUE"""),140)</f>
        <v>140</v>
      </c>
      <c r="J149" s="1">
        <f ca="1">IFERROR(__xludf.DUMMYFUNCTION("""COMPUTED_VALUE"""),66.3)</f>
        <v>66.3</v>
      </c>
      <c r="K149" s="1">
        <f ca="1">IFERROR(__xludf.DUMMYFUNCTION("""COMPUTED_VALUE"""),75)</f>
        <v>75</v>
      </c>
      <c r="L149" s="1" t="str">
        <f ca="1">IFERROR(__xludf.DUMMYFUNCTION("""COMPUTED_VALUE"""),"+.039")</f>
        <v>+.039</v>
      </c>
      <c r="M149" s="1">
        <f ca="1">IFERROR(__xludf.DUMMYFUNCTION("""COMPUTED_VALUE"""),81)</f>
        <v>81</v>
      </c>
      <c r="N149" s="1">
        <f ca="1">IFERROR(__xludf.DUMMYFUNCTION("""COMPUTED_VALUE"""),-1.05)</f>
        <v>-1.05</v>
      </c>
      <c r="O149" s="1">
        <f ca="1">IFERROR(__xludf.DUMMYFUNCTION("""COMPUTED_VALUE"""),162)</f>
        <v>162</v>
      </c>
      <c r="P149" s="1">
        <f ca="1">IFERROR(__xludf.DUMMYFUNCTION("""COMPUTED_VALUE"""),103)</f>
        <v>103</v>
      </c>
      <c r="Q149" s="1">
        <f ca="1">IFERROR(__xludf.DUMMYFUNCTION("""COMPUTED_VALUE"""),219)</f>
        <v>219</v>
      </c>
      <c r="R149" s="1">
        <f ca="1">IFERROR(__xludf.DUMMYFUNCTION("""COMPUTED_VALUE"""),104)</f>
        <v>104</v>
      </c>
      <c r="S149" s="1">
        <f ca="1">IFERROR(__xludf.DUMMYFUNCTION("""COMPUTED_VALUE"""),140)</f>
        <v>140</v>
      </c>
      <c r="T149" s="1" t="str">
        <f ca="1">IFERROR(__xludf.DUMMYFUNCTION("""COMPUTED_VALUE"""),"+3.69")</f>
        <v>+3.69</v>
      </c>
      <c r="U149" s="1">
        <f ca="1">IFERROR(__xludf.DUMMYFUNCTION("""COMPUTED_VALUE"""),53)</f>
        <v>53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IFERROR(__xludf.DUMMYFUNCTION("""COMPUTED_VALUE"""),"Belmont15")</f>
        <v>Belmont15</v>
      </c>
      <c r="C150" s="1" t="str">
        <f ca="1">IFERROR(__xludf.DUMMYFUNCTION("""COMPUTED_VALUE"""),"OVC")</f>
        <v>OVC</v>
      </c>
      <c r="D150" s="1" t="str">
        <f ca="1">IFERROR(__xludf.DUMMYFUNCTION("""COMPUTED_VALUE"""),"22-11")</f>
        <v>22-11</v>
      </c>
      <c r="E150" s="1" t="str">
        <f ca="1">IFERROR(__xludf.DUMMYFUNCTION("""COMPUTED_VALUE"""),"+2.27")</f>
        <v>+2.27</v>
      </c>
      <c r="F150" s="1">
        <f ca="1">IFERROR(__xludf.DUMMYFUNCTION("""COMPUTED_VALUE"""),110.2)</f>
        <v>110.2</v>
      </c>
      <c r="G150" s="1">
        <f ca="1">IFERROR(__xludf.DUMMYFUNCTION("""COMPUTED_VALUE"""),65)</f>
        <v>65</v>
      </c>
      <c r="H150" s="1">
        <f ca="1">IFERROR(__xludf.DUMMYFUNCTION("""COMPUTED_VALUE"""),107.9)</f>
        <v>107.9</v>
      </c>
      <c r="I150" s="1">
        <f ca="1">IFERROR(__xludf.DUMMYFUNCTION("""COMPUTED_VALUE"""),240)</f>
        <v>240</v>
      </c>
      <c r="J150" s="1">
        <f ca="1">IFERROR(__xludf.DUMMYFUNCTION("""COMPUTED_VALUE"""),66.9)</f>
        <v>66.900000000000006</v>
      </c>
      <c r="K150" s="1">
        <f ca="1">IFERROR(__xludf.DUMMYFUNCTION("""COMPUTED_VALUE"""),57)</f>
        <v>57</v>
      </c>
      <c r="L150" s="1" t="str">
        <f ca="1">IFERROR(__xludf.DUMMYFUNCTION("""COMPUTED_VALUE"""),"+.065")</f>
        <v>+.065</v>
      </c>
      <c r="M150" s="1">
        <f ca="1">IFERROR(__xludf.DUMMYFUNCTION("""COMPUTED_VALUE"""),41)</f>
        <v>41</v>
      </c>
      <c r="N150" s="1">
        <f ca="1">IFERROR(__xludf.DUMMYFUNCTION("""COMPUTED_VALUE"""),-3.33)</f>
        <v>-3.33</v>
      </c>
      <c r="O150" s="1">
        <f ca="1">IFERROR(__xludf.DUMMYFUNCTION("""COMPUTED_VALUE"""),225)</f>
        <v>225</v>
      </c>
      <c r="P150" s="1">
        <f ca="1">IFERROR(__xludf.DUMMYFUNCTION("""COMPUTED_VALUE"""),102.4)</f>
        <v>102.4</v>
      </c>
      <c r="Q150" s="1">
        <f ca="1">IFERROR(__xludf.DUMMYFUNCTION("""COMPUTED_VALUE"""),250)</f>
        <v>250</v>
      </c>
      <c r="R150" s="1">
        <f ca="1">IFERROR(__xludf.DUMMYFUNCTION("""COMPUTED_VALUE"""),105.7)</f>
        <v>105.7</v>
      </c>
      <c r="S150" s="1">
        <f ca="1">IFERROR(__xludf.DUMMYFUNCTION("""COMPUTED_VALUE"""),222)</f>
        <v>222</v>
      </c>
      <c r="T150" s="1">
        <f ca="1">IFERROR(__xludf.DUMMYFUNCTION("""COMPUTED_VALUE"""),-1.68)</f>
        <v>-1.68</v>
      </c>
      <c r="U150" s="1">
        <f ca="1">IFERROR(__xludf.DUMMYFUNCTION("""COMPUTED_VALUE"""),209)</f>
        <v>209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IFERROR(__xludf.DUMMYFUNCTION("""COMPUTED_VALUE"""),"North Florida16")</f>
        <v>North Florida16</v>
      </c>
      <c r="C151" s="1" t="str">
        <f ca="1">IFERROR(__xludf.DUMMYFUNCTION("""COMPUTED_VALUE"""),"ASun")</f>
        <v>ASun</v>
      </c>
      <c r="D151" s="1" t="str">
        <f ca="1">IFERROR(__xludf.DUMMYFUNCTION("""COMPUTED_VALUE"""),"23-12")</f>
        <v>23-12</v>
      </c>
      <c r="E151" s="1" t="str">
        <f ca="1">IFERROR(__xludf.DUMMYFUNCTION("""COMPUTED_VALUE"""),"+2.26")</f>
        <v>+2.26</v>
      </c>
      <c r="F151" s="1">
        <f ca="1">IFERROR(__xludf.DUMMYFUNCTION("""COMPUTED_VALUE"""),108.4)</f>
        <v>108.4</v>
      </c>
      <c r="G151" s="1">
        <f ca="1">IFERROR(__xludf.DUMMYFUNCTION("""COMPUTED_VALUE"""),88)</f>
        <v>88</v>
      </c>
      <c r="H151" s="1">
        <f ca="1">IFERROR(__xludf.DUMMYFUNCTION("""COMPUTED_VALUE"""),106.2)</f>
        <v>106.2</v>
      </c>
      <c r="I151" s="1">
        <f ca="1">IFERROR(__xludf.DUMMYFUNCTION("""COMPUTED_VALUE"""),204)</f>
        <v>204</v>
      </c>
      <c r="J151" s="1">
        <f ca="1">IFERROR(__xludf.DUMMYFUNCTION("""COMPUTED_VALUE"""),67.1)</f>
        <v>67.099999999999994</v>
      </c>
      <c r="K151" s="1">
        <f ca="1">IFERROR(__xludf.DUMMYFUNCTION("""COMPUTED_VALUE"""),51)</f>
        <v>51</v>
      </c>
      <c r="L151" s="1">
        <f ca="1">IFERROR(__xludf.DUMMYFUNCTION("""COMPUTED_VALUE"""),-0.022)</f>
        <v>-2.1999999999999999E-2</v>
      </c>
      <c r="M151" s="1">
        <f ca="1">IFERROR(__xludf.DUMMYFUNCTION("""COMPUTED_VALUE"""),230)</f>
        <v>230</v>
      </c>
      <c r="N151" s="1">
        <f ca="1">IFERROR(__xludf.DUMMYFUNCTION("""COMPUTED_VALUE"""),-7.19)</f>
        <v>-7.19</v>
      </c>
      <c r="O151" s="1">
        <f ca="1">IFERROR(__xludf.DUMMYFUNCTION("""COMPUTED_VALUE"""),331)</f>
        <v>331</v>
      </c>
      <c r="P151" s="1">
        <f ca="1">IFERROR(__xludf.DUMMYFUNCTION("""COMPUTED_VALUE"""),101)</f>
        <v>101</v>
      </c>
      <c r="Q151" s="1">
        <f ca="1">IFERROR(__xludf.DUMMYFUNCTION("""COMPUTED_VALUE"""),312)</f>
        <v>312</v>
      </c>
      <c r="R151" s="1">
        <f ca="1">IFERROR(__xludf.DUMMYFUNCTION("""COMPUTED_VALUE"""),108.2)</f>
        <v>108.2</v>
      </c>
      <c r="S151" s="1">
        <f ca="1">IFERROR(__xludf.DUMMYFUNCTION("""COMPUTED_VALUE"""),321)</f>
        <v>321</v>
      </c>
      <c r="T151" s="1" t="str">
        <f ca="1">IFERROR(__xludf.DUMMYFUNCTION("""COMPUTED_VALUE"""),"+2.23")</f>
        <v>+2.23</v>
      </c>
      <c r="U151" s="1">
        <f ca="1">IFERROR(__xludf.DUMMYFUNCTION("""COMPUTED_VALUE"""),91)</f>
        <v>91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IFERROR(__xludf.DUMMYFUNCTION("""COMPUTED_VALUE"""),"San Francisco")</f>
        <v>San Francisco</v>
      </c>
      <c r="C152" s="1" t="str">
        <f ca="1">IFERROR(__xludf.DUMMYFUNCTION("""COMPUTED_VALUE"""),"WCC")</f>
        <v>WCC</v>
      </c>
      <c r="D152" s="1" t="str">
        <f ca="1">IFERROR(__xludf.DUMMYFUNCTION("""COMPUTED_VALUE"""),"14-18")</f>
        <v>14-18</v>
      </c>
      <c r="E152" s="1" t="str">
        <f ca="1">IFERROR(__xludf.DUMMYFUNCTION("""COMPUTED_VALUE"""),"+2.16")</f>
        <v>+2.16</v>
      </c>
      <c r="F152" s="1">
        <f ca="1">IFERROR(__xludf.DUMMYFUNCTION("""COMPUTED_VALUE"""),105.7)</f>
        <v>105.7</v>
      </c>
      <c r="G152" s="1">
        <f ca="1">IFERROR(__xludf.DUMMYFUNCTION("""COMPUTED_VALUE"""),142)</f>
        <v>142</v>
      </c>
      <c r="H152" s="1">
        <f ca="1">IFERROR(__xludf.DUMMYFUNCTION("""COMPUTED_VALUE"""),103.5)</f>
        <v>103.5</v>
      </c>
      <c r="I152" s="1">
        <f ca="1">IFERROR(__xludf.DUMMYFUNCTION("""COMPUTED_VALUE"""),158)</f>
        <v>158</v>
      </c>
      <c r="J152" s="1">
        <f ca="1">IFERROR(__xludf.DUMMYFUNCTION("""COMPUTED_VALUE"""),65.5)</f>
        <v>65.5</v>
      </c>
      <c r="K152" s="1">
        <f ca="1">IFERROR(__xludf.DUMMYFUNCTION("""COMPUTED_VALUE"""),111)</f>
        <v>111</v>
      </c>
      <c r="L152" s="1">
        <f ca="1">IFERROR(__xludf.DUMMYFUNCTION("""COMPUTED_VALUE"""),-0.082)</f>
        <v>-8.2000000000000003E-2</v>
      </c>
      <c r="M152" s="1">
        <f ca="1">IFERROR(__xludf.DUMMYFUNCTION("""COMPUTED_VALUE"""),331)</f>
        <v>331</v>
      </c>
      <c r="N152" s="1" t="str">
        <f ca="1">IFERROR(__xludf.DUMMYFUNCTION("""COMPUTED_VALUE"""),"+2.01")</f>
        <v>+2.01</v>
      </c>
      <c r="O152" s="1">
        <f ca="1">IFERROR(__xludf.DUMMYFUNCTION("""COMPUTED_VALUE"""),105)</f>
        <v>105</v>
      </c>
      <c r="P152" s="1">
        <f ca="1">IFERROR(__xludf.DUMMYFUNCTION("""COMPUTED_VALUE"""),106.6)</f>
        <v>106.6</v>
      </c>
      <c r="Q152" s="1">
        <f ca="1">IFERROR(__xludf.DUMMYFUNCTION("""COMPUTED_VALUE"""),79)</f>
        <v>79</v>
      </c>
      <c r="R152" s="1">
        <f ca="1">IFERROR(__xludf.DUMMYFUNCTION("""COMPUTED_VALUE"""),104.6)</f>
        <v>104.6</v>
      </c>
      <c r="S152" s="1">
        <f ca="1">IFERROR(__xludf.DUMMYFUNCTION("""COMPUTED_VALUE"""),164)</f>
        <v>164</v>
      </c>
      <c r="T152" s="1">
        <f ca="1">IFERROR(__xludf.DUMMYFUNCTION("""COMPUTED_VALUE"""),-3.6)</f>
        <v>-3.6</v>
      </c>
      <c r="U152" s="1">
        <f ca="1">IFERROR(__xludf.DUMMYFUNCTION("""COMPUTED_VALUE"""),268)</f>
        <v>268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IFERROR(__xludf.DUMMYFUNCTION("""COMPUTED_VALUE"""),"High Point")</f>
        <v>High Point</v>
      </c>
      <c r="C153" s="1" t="str">
        <f ca="1">IFERROR(__xludf.DUMMYFUNCTION("""COMPUTED_VALUE"""),"BSth")</f>
        <v>BSth</v>
      </c>
      <c r="D153" s="1" t="str">
        <f ca="1">IFERROR(__xludf.DUMMYFUNCTION("""COMPUTED_VALUE"""),"23-10")</f>
        <v>23-10</v>
      </c>
      <c r="E153" s="1" t="str">
        <f ca="1">IFERROR(__xludf.DUMMYFUNCTION("""COMPUTED_VALUE"""),"+2.03")</f>
        <v>+2.03</v>
      </c>
      <c r="F153" s="1">
        <f ca="1">IFERROR(__xludf.DUMMYFUNCTION("""COMPUTED_VALUE"""),108.4)</f>
        <v>108.4</v>
      </c>
      <c r="G153" s="1">
        <f ca="1">IFERROR(__xludf.DUMMYFUNCTION("""COMPUTED_VALUE"""),89)</f>
        <v>89</v>
      </c>
      <c r="H153" s="1">
        <f ca="1">IFERROR(__xludf.DUMMYFUNCTION("""COMPUTED_VALUE"""),106.4)</f>
        <v>106.4</v>
      </c>
      <c r="I153" s="1">
        <f ca="1">IFERROR(__xludf.DUMMYFUNCTION("""COMPUTED_VALUE"""),208)</f>
        <v>208</v>
      </c>
      <c r="J153" s="1">
        <f ca="1">IFERROR(__xludf.DUMMYFUNCTION("""COMPUTED_VALUE"""),62.2)</f>
        <v>62.2</v>
      </c>
      <c r="K153" s="1">
        <f ca="1">IFERROR(__xludf.DUMMYFUNCTION("""COMPUTED_VALUE"""),284)</f>
        <v>284</v>
      </c>
      <c r="L153" s="1" t="str">
        <f ca="1">IFERROR(__xludf.DUMMYFUNCTION("""COMPUTED_VALUE"""),"+.103")</f>
        <v>+.103</v>
      </c>
      <c r="M153" s="1">
        <f ca="1">IFERROR(__xludf.DUMMYFUNCTION("""COMPUTED_VALUE"""),7)</f>
        <v>7</v>
      </c>
      <c r="N153" s="1">
        <f ca="1">IFERROR(__xludf.DUMMYFUNCTION("""COMPUTED_VALUE"""),-3.5)</f>
        <v>-3.5</v>
      </c>
      <c r="O153" s="1">
        <f ca="1">IFERROR(__xludf.DUMMYFUNCTION("""COMPUTED_VALUE"""),231)</f>
        <v>231</v>
      </c>
      <c r="P153" s="1">
        <f ca="1">IFERROR(__xludf.DUMMYFUNCTION("""COMPUTED_VALUE"""),103.7)</f>
        <v>103.7</v>
      </c>
      <c r="Q153" s="1">
        <f ca="1">IFERROR(__xludf.DUMMYFUNCTION("""COMPUTED_VALUE"""),176)</f>
        <v>176</v>
      </c>
      <c r="R153" s="1">
        <f ca="1">IFERROR(__xludf.DUMMYFUNCTION("""COMPUTED_VALUE"""),107.2)</f>
        <v>107.2</v>
      </c>
      <c r="S153" s="1">
        <f ca="1">IFERROR(__xludf.DUMMYFUNCTION("""COMPUTED_VALUE"""),282)</f>
        <v>282</v>
      </c>
      <c r="T153" s="1" t="str">
        <f ca="1">IFERROR(__xludf.DUMMYFUNCTION("""COMPUTED_VALUE"""),"+4.07")</f>
        <v>+4.07</v>
      </c>
      <c r="U153" s="1">
        <f ca="1">IFERROR(__xludf.DUMMYFUNCTION("""COMPUTED_VALUE"""),45)</f>
        <v>45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IFERROR(__xludf.DUMMYFUNCTION("""COMPUTED_VALUE"""),"Charlotte")</f>
        <v>Charlotte</v>
      </c>
      <c r="C154" s="1" t="str">
        <f ca="1">IFERROR(__xludf.DUMMYFUNCTION("""COMPUTED_VALUE"""),"CUSA")</f>
        <v>CUSA</v>
      </c>
      <c r="D154" s="1" t="str">
        <f ca="1">IFERROR(__xludf.DUMMYFUNCTION("""COMPUTED_VALUE"""),"14-18")</f>
        <v>14-18</v>
      </c>
      <c r="E154" s="1" t="str">
        <f ca="1">IFERROR(__xludf.DUMMYFUNCTION("""COMPUTED_VALUE"""),"+1.92")</f>
        <v>+1.92</v>
      </c>
      <c r="F154" s="1">
        <f ca="1">IFERROR(__xludf.DUMMYFUNCTION("""COMPUTED_VALUE"""),109.9)</f>
        <v>109.9</v>
      </c>
      <c r="G154" s="1">
        <f ca="1">IFERROR(__xludf.DUMMYFUNCTION("""COMPUTED_VALUE"""),68)</f>
        <v>68</v>
      </c>
      <c r="H154" s="1">
        <f ca="1">IFERROR(__xludf.DUMMYFUNCTION("""COMPUTED_VALUE"""),108)</f>
        <v>108</v>
      </c>
      <c r="I154" s="1">
        <f ca="1">IFERROR(__xludf.DUMMYFUNCTION("""COMPUTED_VALUE"""),245)</f>
        <v>245</v>
      </c>
      <c r="J154" s="1">
        <f ca="1">IFERROR(__xludf.DUMMYFUNCTION("""COMPUTED_VALUE"""),66.8)</f>
        <v>66.8</v>
      </c>
      <c r="K154" s="1">
        <f ca="1">IFERROR(__xludf.DUMMYFUNCTION("""COMPUTED_VALUE"""),59)</f>
        <v>59</v>
      </c>
      <c r="L154" s="1">
        <f ca="1">IFERROR(__xludf.DUMMYFUNCTION("""COMPUTED_VALUE"""),-0.105)</f>
        <v>-0.105</v>
      </c>
      <c r="M154" s="1">
        <f ca="1">IFERROR(__xludf.DUMMYFUNCTION("""COMPUTED_VALUE"""),344)</f>
        <v>344</v>
      </c>
      <c r="N154" s="1" t="str">
        <f ca="1">IFERROR(__xludf.DUMMYFUNCTION("""COMPUTED_VALUE"""),"+0.30")</f>
        <v>+0.30</v>
      </c>
      <c r="O154" s="1">
        <f ca="1">IFERROR(__xludf.DUMMYFUNCTION("""COMPUTED_VALUE"""),135)</f>
        <v>135</v>
      </c>
      <c r="P154" s="1">
        <f ca="1">IFERROR(__xludf.DUMMYFUNCTION("""COMPUTED_VALUE"""),103.4)</f>
        <v>103.4</v>
      </c>
      <c r="Q154" s="1">
        <f ca="1">IFERROR(__xludf.DUMMYFUNCTION("""COMPUTED_VALUE"""),195)</f>
        <v>195</v>
      </c>
      <c r="R154" s="1">
        <f ca="1">IFERROR(__xludf.DUMMYFUNCTION("""COMPUTED_VALUE"""),103.1)</f>
        <v>103.1</v>
      </c>
      <c r="S154" s="1">
        <f ca="1">IFERROR(__xludf.DUMMYFUNCTION("""COMPUTED_VALUE"""),107)</f>
        <v>107</v>
      </c>
      <c r="T154" s="1" t="str">
        <f ca="1">IFERROR(__xludf.DUMMYFUNCTION("""COMPUTED_VALUE"""),"+4.53")</f>
        <v>+4.53</v>
      </c>
      <c r="U154" s="1">
        <f ca="1">IFERROR(__xludf.DUMMYFUNCTION("""COMPUTED_VALUE"""),38)</f>
        <v>38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IFERROR(__xludf.DUMMYFUNCTION("""COMPUTED_VALUE"""),"Georgia Southern")</f>
        <v>Georgia Southern</v>
      </c>
      <c r="C155" s="1" t="str">
        <f ca="1">IFERROR(__xludf.DUMMYFUNCTION("""COMPUTED_VALUE"""),"SB")</f>
        <v>SB</v>
      </c>
      <c r="D155" s="1" t="str">
        <f ca="1">IFERROR(__xludf.DUMMYFUNCTION("""COMPUTED_VALUE"""),"22-9")</f>
        <v>22-9</v>
      </c>
      <c r="E155" s="1" t="str">
        <f ca="1">IFERROR(__xludf.DUMMYFUNCTION("""COMPUTED_VALUE"""),"+1.89")</f>
        <v>+1.89</v>
      </c>
      <c r="F155" s="1">
        <f ca="1">IFERROR(__xludf.DUMMYFUNCTION("""COMPUTED_VALUE"""),100.5)</f>
        <v>100.5</v>
      </c>
      <c r="G155" s="1">
        <f ca="1">IFERROR(__xludf.DUMMYFUNCTION("""COMPUTED_VALUE"""),248)</f>
        <v>248</v>
      </c>
      <c r="H155" s="1">
        <f ca="1">IFERROR(__xludf.DUMMYFUNCTION("""COMPUTED_VALUE"""),98.6)</f>
        <v>98.6</v>
      </c>
      <c r="I155" s="1">
        <f ca="1">IFERROR(__xludf.DUMMYFUNCTION("""COMPUTED_VALUE"""),72)</f>
        <v>72</v>
      </c>
      <c r="J155" s="1">
        <f ca="1">IFERROR(__xludf.DUMMYFUNCTION("""COMPUTED_VALUE"""),63.4)</f>
        <v>63.4</v>
      </c>
      <c r="K155" s="1">
        <f ca="1">IFERROR(__xludf.DUMMYFUNCTION("""COMPUTED_VALUE"""),228)</f>
        <v>228</v>
      </c>
      <c r="L155" s="1" t="str">
        <f ca="1">IFERROR(__xludf.DUMMYFUNCTION("""COMPUTED_VALUE"""),"+.022")</f>
        <v>+.022</v>
      </c>
      <c r="M155" s="1">
        <f ca="1">IFERROR(__xludf.DUMMYFUNCTION("""COMPUTED_VALUE"""),130)</f>
        <v>130</v>
      </c>
      <c r="N155" s="1">
        <f ca="1">IFERROR(__xludf.DUMMYFUNCTION("""COMPUTED_VALUE"""),-5.07)</f>
        <v>-5.07</v>
      </c>
      <c r="O155" s="1">
        <f ca="1">IFERROR(__xludf.DUMMYFUNCTION("""COMPUTED_VALUE"""),282)</f>
        <v>282</v>
      </c>
      <c r="P155" s="1">
        <f ca="1">IFERROR(__xludf.DUMMYFUNCTION("""COMPUTED_VALUE"""),100.9)</f>
        <v>100.9</v>
      </c>
      <c r="Q155" s="1">
        <f ca="1">IFERROR(__xludf.DUMMYFUNCTION("""COMPUTED_VALUE"""),314)</f>
        <v>314</v>
      </c>
      <c r="R155" s="1">
        <f ca="1">IFERROR(__xludf.DUMMYFUNCTION("""COMPUTED_VALUE"""),106)</f>
        <v>106</v>
      </c>
      <c r="S155" s="1">
        <f ca="1">IFERROR(__xludf.DUMMYFUNCTION("""COMPUTED_VALUE"""),230)</f>
        <v>230</v>
      </c>
      <c r="T155" s="1">
        <f ca="1">IFERROR(__xludf.DUMMYFUNCTION("""COMPUTED_VALUE"""),-8.48)</f>
        <v>-8.48</v>
      </c>
      <c r="U155" s="1">
        <f ca="1">IFERROR(__xludf.DUMMYFUNCTION("""COMPUTED_VALUE"""),340)</f>
        <v>340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IFERROR(__xludf.DUMMYFUNCTION("""COMPUTED_VALUE"""),"Tennessee Martin")</f>
        <v>Tennessee Martin</v>
      </c>
      <c r="C156" s="1" t="str">
        <f ca="1">IFERROR(__xludf.DUMMYFUNCTION("""COMPUTED_VALUE"""),"OVC")</f>
        <v>OVC</v>
      </c>
      <c r="D156" s="1" t="str">
        <f ca="1">IFERROR(__xludf.DUMMYFUNCTION("""COMPUTED_VALUE"""),"21-13")</f>
        <v>21-13</v>
      </c>
      <c r="E156" s="1" t="str">
        <f ca="1">IFERROR(__xludf.DUMMYFUNCTION("""COMPUTED_VALUE"""),"+1.84")</f>
        <v>+1.84</v>
      </c>
      <c r="F156" s="1">
        <f ca="1">IFERROR(__xludf.DUMMYFUNCTION("""COMPUTED_VALUE"""),109.2)</f>
        <v>109.2</v>
      </c>
      <c r="G156" s="1">
        <f ca="1">IFERROR(__xludf.DUMMYFUNCTION("""COMPUTED_VALUE"""),76)</f>
        <v>76</v>
      </c>
      <c r="H156" s="1">
        <f ca="1">IFERROR(__xludf.DUMMYFUNCTION("""COMPUTED_VALUE"""),107.3)</f>
        <v>107.3</v>
      </c>
      <c r="I156" s="1">
        <f ca="1">IFERROR(__xludf.DUMMYFUNCTION("""COMPUTED_VALUE"""),227)</f>
        <v>227</v>
      </c>
      <c r="J156" s="1">
        <f ca="1">IFERROR(__xludf.DUMMYFUNCTION("""COMPUTED_VALUE"""),62)</f>
        <v>62</v>
      </c>
      <c r="K156" s="1">
        <f ca="1">IFERROR(__xludf.DUMMYFUNCTION("""COMPUTED_VALUE"""),292)</f>
        <v>292</v>
      </c>
      <c r="L156" s="1" t="str">
        <f ca="1">IFERROR(__xludf.DUMMYFUNCTION("""COMPUTED_VALUE"""),"+.033")</f>
        <v>+.033</v>
      </c>
      <c r="M156" s="1">
        <f ca="1">IFERROR(__xludf.DUMMYFUNCTION("""COMPUTED_VALUE"""),94)</f>
        <v>94</v>
      </c>
      <c r="N156" s="1">
        <f ca="1">IFERROR(__xludf.DUMMYFUNCTION("""COMPUTED_VALUE"""),-2.12)</f>
        <v>-2.12</v>
      </c>
      <c r="O156" s="1">
        <f ca="1">IFERROR(__xludf.DUMMYFUNCTION("""COMPUTED_VALUE"""),192)</f>
        <v>192</v>
      </c>
      <c r="P156" s="1">
        <f ca="1">IFERROR(__xludf.DUMMYFUNCTION("""COMPUTED_VALUE"""),103.2)</f>
        <v>103.2</v>
      </c>
      <c r="Q156" s="1">
        <f ca="1">IFERROR(__xludf.DUMMYFUNCTION("""COMPUTED_VALUE"""),203)</f>
        <v>203</v>
      </c>
      <c r="R156" s="1">
        <f ca="1">IFERROR(__xludf.DUMMYFUNCTION("""COMPUTED_VALUE"""),105.3)</f>
        <v>105.3</v>
      </c>
      <c r="S156" s="1">
        <f ca="1">IFERROR(__xludf.DUMMYFUNCTION("""COMPUTED_VALUE"""),197)</f>
        <v>197</v>
      </c>
      <c r="T156" s="1">
        <f ca="1">IFERROR(__xludf.DUMMYFUNCTION("""COMPUTED_VALUE"""),-0.59)</f>
        <v>-0.59</v>
      </c>
      <c r="U156" s="1">
        <f ca="1">IFERROR(__xludf.DUMMYFUNCTION("""COMPUTED_VALUE"""),178)</f>
        <v>178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IFERROR(__xludf.DUMMYFUNCTION("""COMPUTED_VALUE"""),"Canisius")</f>
        <v>Canisius</v>
      </c>
      <c r="C157" s="1" t="str">
        <f ca="1">IFERROR(__xludf.DUMMYFUNCTION("""COMPUTED_VALUE"""),"MAAC")</f>
        <v>MAAC</v>
      </c>
      <c r="D157" s="1" t="str">
        <f ca="1">IFERROR(__xludf.DUMMYFUNCTION("""COMPUTED_VALUE"""),"18-15")</f>
        <v>18-15</v>
      </c>
      <c r="E157" s="1" t="str">
        <f ca="1">IFERROR(__xludf.DUMMYFUNCTION("""COMPUTED_VALUE"""),"+1.81")</f>
        <v>+1.81</v>
      </c>
      <c r="F157" s="1">
        <f ca="1">IFERROR(__xludf.DUMMYFUNCTION("""COMPUTED_VALUE"""),103.6)</f>
        <v>103.6</v>
      </c>
      <c r="G157" s="1">
        <f ca="1">IFERROR(__xludf.DUMMYFUNCTION("""COMPUTED_VALUE"""),184)</f>
        <v>184</v>
      </c>
      <c r="H157" s="1">
        <f ca="1">IFERROR(__xludf.DUMMYFUNCTION("""COMPUTED_VALUE"""),101.8)</f>
        <v>101.8</v>
      </c>
      <c r="I157" s="1">
        <f ca="1">IFERROR(__xludf.DUMMYFUNCTION("""COMPUTED_VALUE"""),124)</f>
        <v>124</v>
      </c>
      <c r="J157" s="1">
        <f ca="1">IFERROR(__xludf.DUMMYFUNCTION("""COMPUTED_VALUE"""),63.4)</f>
        <v>63.4</v>
      </c>
      <c r="K157" s="1">
        <f ca="1">IFERROR(__xludf.DUMMYFUNCTION("""COMPUTED_VALUE"""),230)</f>
        <v>230</v>
      </c>
      <c r="L157" s="1">
        <f ca="1">IFERROR(__xludf.DUMMYFUNCTION("""COMPUTED_VALUE"""),-0.049)</f>
        <v>-4.9000000000000002E-2</v>
      </c>
      <c r="M157" s="1">
        <f ca="1">IFERROR(__xludf.DUMMYFUNCTION("""COMPUTED_VALUE"""),291)</f>
        <v>291</v>
      </c>
      <c r="N157" s="1">
        <f ca="1">IFERROR(__xludf.DUMMYFUNCTION("""COMPUTED_VALUE"""),-2.64)</f>
        <v>-2.64</v>
      </c>
      <c r="O157" s="1">
        <f ca="1">IFERROR(__xludf.DUMMYFUNCTION("""COMPUTED_VALUE"""),205)</f>
        <v>205</v>
      </c>
      <c r="P157" s="1">
        <f ca="1">IFERROR(__xludf.DUMMYFUNCTION("""COMPUTED_VALUE"""),102)</f>
        <v>102</v>
      </c>
      <c r="Q157" s="1">
        <f ca="1">IFERROR(__xludf.DUMMYFUNCTION("""COMPUTED_VALUE"""),272)</f>
        <v>272</v>
      </c>
      <c r="R157" s="1">
        <f ca="1">IFERROR(__xludf.DUMMYFUNCTION("""COMPUTED_VALUE"""),104.7)</f>
        <v>104.7</v>
      </c>
      <c r="S157" s="1">
        <f ca="1">IFERROR(__xludf.DUMMYFUNCTION("""COMPUTED_VALUE"""),168)</f>
        <v>168</v>
      </c>
      <c r="T157" s="1" t="str">
        <f ca="1">IFERROR(__xludf.DUMMYFUNCTION("""COMPUTED_VALUE"""),"+0.33")</f>
        <v>+0.33</v>
      </c>
      <c r="U157" s="1">
        <f ca="1">IFERROR(__xludf.DUMMYFUNCTION("""COMPUTED_VALUE"""),149)</f>
        <v>149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IFERROR(__xludf.DUMMYFUNCTION("""COMPUTED_VALUE"""),"DePaul")</f>
        <v>DePaul</v>
      </c>
      <c r="C158" s="1" t="str">
        <f ca="1">IFERROR(__xludf.DUMMYFUNCTION("""COMPUTED_VALUE"""),"BE")</f>
        <v>BE</v>
      </c>
      <c r="D158" s="2">
        <f ca="1">IFERROR(__xludf.DUMMYFUNCTION("""COMPUTED_VALUE"""),44915)</f>
        <v>44915</v>
      </c>
      <c r="E158" s="1" t="str">
        <f ca="1">IFERROR(__xludf.DUMMYFUNCTION("""COMPUTED_VALUE"""),"+1.77")</f>
        <v>+1.77</v>
      </c>
      <c r="F158" s="1">
        <f ca="1">IFERROR(__xludf.DUMMYFUNCTION("""COMPUTED_VALUE"""),108.6)</f>
        <v>108.6</v>
      </c>
      <c r="G158" s="1">
        <f ca="1">IFERROR(__xludf.DUMMYFUNCTION("""COMPUTED_VALUE"""),86)</f>
        <v>86</v>
      </c>
      <c r="H158" s="1">
        <f ca="1">IFERROR(__xludf.DUMMYFUNCTION("""COMPUTED_VALUE"""),106.8)</f>
        <v>106.8</v>
      </c>
      <c r="I158" s="1">
        <f ca="1">IFERROR(__xludf.DUMMYFUNCTION("""COMPUTED_VALUE"""),219)</f>
        <v>219</v>
      </c>
      <c r="J158" s="1">
        <f ca="1">IFERROR(__xludf.DUMMYFUNCTION("""COMPUTED_VALUE"""),67)</f>
        <v>67</v>
      </c>
      <c r="K158" s="1">
        <f ca="1">IFERROR(__xludf.DUMMYFUNCTION("""COMPUTED_VALUE"""),54)</f>
        <v>54</v>
      </c>
      <c r="L158" s="1">
        <f ca="1">IFERROR(__xludf.DUMMYFUNCTION("""COMPUTED_VALUE"""),-0.001)</f>
        <v>-1E-3</v>
      </c>
      <c r="M158" s="1">
        <f ca="1">IFERROR(__xludf.DUMMYFUNCTION("""COMPUTED_VALUE"""),184)</f>
        <v>184</v>
      </c>
      <c r="N158" s="1" t="str">
        <f ca="1">IFERROR(__xludf.DUMMYFUNCTION("""COMPUTED_VALUE"""),"+7.69")</f>
        <v>+7.69</v>
      </c>
      <c r="O158" s="1">
        <f ca="1">IFERROR(__xludf.DUMMYFUNCTION("""COMPUTED_VALUE"""),40)</f>
        <v>40</v>
      </c>
      <c r="P158" s="1">
        <f ca="1">IFERROR(__xludf.DUMMYFUNCTION("""COMPUTED_VALUE"""),108.3)</f>
        <v>108.3</v>
      </c>
      <c r="Q158" s="1">
        <f ca="1">IFERROR(__xludf.DUMMYFUNCTION("""COMPUTED_VALUE"""),39)</f>
        <v>39</v>
      </c>
      <c r="R158" s="1">
        <f ca="1">IFERROR(__xludf.DUMMYFUNCTION("""COMPUTED_VALUE"""),100.6)</f>
        <v>100.6</v>
      </c>
      <c r="S158" s="1">
        <f ca="1">IFERROR(__xludf.DUMMYFUNCTION("""COMPUTED_VALUE"""),42)</f>
        <v>42</v>
      </c>
      <c r="T158" s="1">
        <f ca="1">IFERROR(__xludf.DUMMYFUNCTION("""COMPUTED_VALUE"""),-3.42)</f>
        <v>-3.42</v>
      </c>
      <c r="U158" s="1">
        <f ca="1">IFERROR(__xludf.DUMMYFUNCTION("""COMPUTED_VALUE"""),261)</f>
        <v>261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IFERROR(__xludf.DUMMYFUNCTION("""COMPUTED_VALUE"""),"USC")</f>
        <v>USC</v>
      </c>
      <c r="C159" s="1" t="str">
        <f ca="1">IFERROR(__xludf.DUMMYFUNCTION("""COMPUTED_VALUE"""),"P12")</f>
        <v>P12</v>
      </c>
      <c r="D159" s="2">
        <f ca="1">IFERROR(__xludf.DUMMYFUNCTION("""COMPUTED_VALUE"""),44915)</f>
        <v>44915</v>
      </c>
      <c r="E159" s="1" t="str">
        <f ca="1">IFERROR(__xludf.DUMMYFUNCTION("""COMPUTED_VALUE"""),"+1.46")</f>
        <v>+1.46</v>
      </c>
      <c r="F159" s="1">
        <f ca="1">IFERROR(__xludf.DUMMYFUNCTION("""COMPUTED_VALUE"""),101.6)</f>
        <v>101.6</v>
      </c>
      <c r="G159" s="1">
        <f ca="1">IFERROR(__xludf.DUMMYFUNCTION("""COMPUTED_VALUE"""),229)</f>
        <v>229</v>
      </c>
      <c r="H159" s="1">
        <f ca="1">IFERROR(__xludf.DUMMYFUNCTION("""COMPUTED_VALUE"""),100.1)</f>
        <v>100.1</v>
      </c>
      <c r="I159" s="1">
        <f ca="1">IFERROR(__xludf.DUMMYFUNCTION("""COMPUTED_VALUE"""),95)</f>
        <v>95</v>
      </c>
      <c r="J159" s="1">
        <f ca="1">IFERROR(__xludf.DUMMYFUNCTION("""COMPUTED_VALUE"""),68)</f>
        <v>68</v>
      </c>
      <c r="K159" s="1">
        <f ca="1">IFERROR(__xludf.DUMMYFUNCTION("""COMPUTED_VALUE"""),25)</f>
        <v>25</v>
      </c>
      <c r="L159" s="1">
        <f ca="1">IFERROR(__xludf.DUMMYFUNCTION("""COMPUTED_VALUE"""),-0.005)</f>
        <v>-5.0000000000000001E-3</v>
      </c>
      <c r="M159" s="1">
        <f ca="1">IFERROR(__xludf.DUMMYFUNCTION("""COMPUTED_VALUE"""),198)</f>
        <v>198</v>
      </c>
      <c r="N159" s="1" t="str">
        <f ca="1">IFERROR(__xludf.DUMMYFUNCTION("""COMPUTED_VALUE"""),"+5.52")</f>
        <v>+5.52</v>
      </c>
      <c r="O159" s="1">
        <f ca="1">IFERROR(__xludf.DUMMYFUNCTION("""COMPUTED_VALUE"""),70)</f>
        <v>70</v>
      </c>
      <c r="P159" s="1">
        <f ca="1">IFERROR(__xludf.DUMMYFUNCTION("""COMPUTED_VALUE"""),107)</f>
        <v>107</v>
      </c>
      <c r="Q159" s="1">
        <f ca="1">IFERROR(__xludf.DUMMYFUNCTION("""COMPUTED_VALUE"""),72)</f>
        <v>72</v>
      </c>
      <c r="R159" s="1">
        <f ca="1">IFERROR(__xludf.DUMMYFUNCTION("""COMPUTED_VALUE"""),101.5)</f>
        <v>101.5</v>
      </c>
      <c r="S159" s="1">
        <f ca="1">IFERROR(__xludf.DUMMYFUNCTION("""COMPUTED_VALUE"""),72)</f>
        <v>72</v>
      </c>
      <c r="T159" s="1">
        <f ca="1">IFERROR(__xludf.DUMMYFUNCTION("""COMPUTED_VALUE"""),-4.71)</f>
        <v>-4.71</v>
      </c>
      <c r="U159" s="1">
        <f ca="1">IFERROR(__xludf.DUMMYFUNCTION("""COMPUTED_VALUE"""),298)</f>
        <v>298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IFERROR(__xludf.DUMMYFUNCTION("""COMPUTED_VALUE"""),"North Dakota St.15")</f>
        <v>North Dakota St.15</v>
      </c>
      <c r="C160" s="1" t="str">
        <f ca="1">IFERROR(__xludf.DUMMYFUNCTION("""COMPUTED_VALUE"""),"Sum")</f>
        <v>Sum</v>
      </c>
      <c r="D160" s="1" t="str">
        <f ca="1">IFERROR(__xludf.DUMMYFUNCTION("""COMPUTED_VALUE"""),"23-10")</f>
        <v>23-10</v>
      </c>
      <c r="E160" s="1" t="str">
        <f ca="1">IFERROR(__xludf.DUMMYFUNCTION("""COMPUTED_VALUE"""),"+1.41")</f>
        <v>+1.41</v>
      </c>
      <c r="F160" s="1">
        <f ca="1">IFERROR(__xludf.DUMMYFUNCTION("""COMPUTED_VALUE"""),103.8)</f>
        <v>103.8</v>
      </c>
      <c r="G160" s="1">
        <f ca="1">IFERROR(__xludf.DUMMYFUNCTION("""COMPUTED_VALUE"""),181)</f>
        <v>181</v>
      </c>
      <c r="H160" s="1">
        <f ca="1">IFERROR(__xludf.DUMMYFUNCTION("""COMPUTED_VALUE"""),102.4)</f>
        <v>102.4</v>
      </c>
      <c r="I160" s="1">
        <f ca="1">IFERROR(__xludf.DUMMYFUNCTION("""COMPUTED_VALUE"""),134)</f>
        <v>134</v>
      </c>
      <c r="J160" s="1">
        <f ca="1">IFERROR(__xludf.DUMMYFUNCTION("""COMPUTED_VALUE"""),60.8)</f>
        <v>60.8</v>
      </c>
      <c r="K160" s="1">
        <f ca="1">IFERROR(__xludf.DUMMYFUNCTION("""COMPUTED_VALUE"""),324)</f>
        <v>324</v>
      </c>
      <c r="L160" s="1" t="str">
        <f ca="1">IFERROR(__xludf.DUMMYFUNCTION("""COMPUTED_VALUE"""),"+.105")</f>
        <v>+.105</v>
      </c>
      <c r="M160" s="1">
        <f ca="1">IFERROR(__xludf.DUMMYFUNCTION("""COMPUTED_VALUE"""),6)</f>
        <v>6</v>
      </c>
      <c r="N160" s="1">
        <f ca="1">IFERROR(__xludf.DUMMYFUNCTION("""COMPUTED_VALUE"""),-4.21)</f>
        <v>-4.21</v>
      </c>
      <c r="O160" s="1">
        <f ca="1">IFERROR(__xludf.DUMMYFUNCTION("""COMPUTED_VALUE"""),257)</f>
        <v>257</v>
      </c>
      <c r="P160" s="1">
        <f ca="1">IFERROR(__xludf.DUMMYFUNCTION("""COMPUTED_VALUE"""),102.9)</f>
        <v>102.9</v>
      </c>
      <c r="Q160" s="1">
        <f ca="1">IFERROR(__xludf.DUMMYFUNCTION("""COMPUTED_VALUE"""),221)</f>
        <v>221</v>
      </c>
      <c r="R160" s="1">
        <f ca="1">IFERROR(__xludf.DUMMYFUNCTION("""COMPUTED_VALUE"""),107.1)</f>
        <v>107.1</v>
      </c>
      <c r="S160" s="1">
        <f ca="1">IFERROR(__xludf.DUMMYFUNCTION("""COMPUTED_VALUE"""),275)</f>
        <v>275</v>
      </c>
      <c r="T160" s="1">
        <f ca="1">IFERROR(__xludf.DUMMYFUNCTION("""COMPUTED_VALUE"""),-5.5)</f>
        <v>-5.5</v>
      </c>
      <c r="U160" s="1">
        <f ca="1">IFERROR(__xludf.DUMMYFUNCTION("""COMPUTED_VALUE"""),314)</f>
        <v>314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IFERROR(__xludf.DUMMYFUNCTION("""COMPUTED_VALUE"""),"Cal Poly")</f>
        <v>Cal Poly</v>
      </c>
      <c r="C161" s="1" t="str">
        <f ca="1">IFERROR(__xludf.DUMMYFUNCTION("""COMPUTED_VALUE"""),"BW")</f>
        <v>BW</v>
      </c>
      <c r="D161" s="1" t="str">
        <f ca="1">IFERROR(__xludf.DUMMYFUNCTION("""COMPUTED_VALUE"""),"13-16")</f>
        <v>13-16</v>
      </c>
      <c r="E161" s="1" t="str">
        <f ca="1">IFERROR(__xludf.DUMMYFUNCTION("""COMPUTED_VALUE"""),"+1.24")</f>
        <v>+1.24</v>
      </c>
      <c r="F161" s="1">
        <f ca="1">IFERROR(__xludf.DUMMYFUNCTION("""COMPUTED_VALUE"""),102.9)</f>
        <v>102.9</v>
      </c>
      <c r="G161" s="1">
        <f ca="1">IFERROR(__xludf.DUMMYFUNCTION("""COMPUTED_VALUE"""),203)</f>
        <v>203</v>
      </c>
      <c r="H161" s="1">
        <f ca="1">IFERROR(__xludf.DUMMYFUNCTION("""COMPUTED_VALUE"""),101.7)</f>
        <v>101.7</v>
      </c>
      <c r="I161" s="1">
        <f ca="1">IFERROR(__xludf.DUMMYFUNCTION("""COMPUTED_VALUE"""),120)</f>
        <v>120</v>
      </c>
      <c r="J161" s="1">
        <f ca="1">IFERROR(__xludf.DUMMYFUNCTION("""COMPUTED_VALUE"""),58.6)</f>
        <v>58.6</v>
      </c>
      <c r="K161" s="1">
        <f ca="1">IFERROR(__xludf.DUMMYFUNCTION("""COMPUTED_VALUE"""),346)</f>
        <v>346</v>
      </c>
      <c r="L161" s="1">
        <f ca="1">IFERROR(__xludf.DUMMYFUNCTION("""COMPUTED_VALUE"""),-0.056)</f>
        <v>-5.6000000000000001E-2</v>
      </c>
      <c r="M161" s="1">
        <f ca="1">IFERROR(__xludf.DUMMYFUNCTION("""COMPUTED_VALUE"""),308)</f>
        <v>308</v>
      </c>
      <c r="N161" s="1" t="str">
        <f ca="1">IFERROR(__xludf.DUMMYFUNCTION("""COMPUTED_VALUE"""),"+2.15")</f>
        <v>+2.15</v>
      </c>
      <c r="O161" s="1">
        <f ca="1">IFERROR(__xludf.DUMMYFUNCTION("""COMPUTED_VALUE"""),103)</f>
        <v>103</v>
      </c>
      <c r="P161" s="1">
        <f ca="1">IFERROR(__xludf.DUMMYFUNCTION("""COMPUTED_VALUE"""),105.9)</f>
        <v>105.9</v>
      </c>
      <c r="Q161" s="1">
        <f ca="1">IFERROR(__xludf.DUMMYFUNCTION("""COMPUTED_VALUE"""),93)</f>
        <v>93</v>
      </c>
      <c r="R161" s="1">
        <f ca="1">IFERROR(__xludf.DUMMYFUNCTION("""COMPUTED_VALUE"""),103.7)</f>
        <v>103.7</v>
      </c>
      <c r="S161" s="1">
        <f ca="1">IFERROR(__xludf.DUMMYFUNCTION("""COMPUTED_VALUE"""),126)</f>
        <v>126</v>
      </c>
      <c r="T161" s="1" t="str">
        <f ca="1">IFERROR(__xludf.DUMMYFUNCTION("""COMPUTED_VALUE"""),"+6.11")</f>
        <v>+6.11</v>
      </c>
      <c r="U161" s="1">
        <f ca="1">IFERROR(__xludf.DUMMYFUNCTION("""COMPUTED_VALUE"""),25)</f>
        <v>25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IFERROR(__xludf.DUMMYFUNCTION("""COMPUTED_VALUE"""),"Morehead St.")</f>
        <v>Morehead St.</v>
      </c>
      <c r="C162" s="1" t="str">
        <f ca="1">IFERROR(__xludf.DUMMYFUNCTION("""COMPUTED_VALUE"""),"OVC")</f>
        <v>OVC</v>
      </c>
      <c r="D162" s="1" t="str">
        <f ca="1">IFERROR(__xludf.DUMMYFUNCTION("""COMPUTED_VALUE"""),"17-17")</f>
        <v>17-17</v>
      </c>
      <c r="E162" s="1" t="str">
        <f ca="1">IFERROR(__xludf.DUMMYFUNCTION("""COMPUTED_VALUE"""),"+0.98")</f>
        <v>+0.98</v>
      </c>
      <c r="F162" s="1">
        <f ca="1">IFERROR(__xludf.DUMMYFUNCTION("""COMPUTED_VALUE"""),104.1)</f>
        <v>104.1</v>
      </c>
      <c r="G162" s="1">
        <f ca="1">IFERROR(__xludf.DUMMYFUNCTION("""COMPUTED_VALUE"""),175)</f>
        <v>175</v>
      </c>
      <c r="H162" s="1">
        <f ca="1">IFERROR(__xludf.DUMMYFUNCTION("""COMPUTED_VALUE"""),103.1)</f>
        <v>103.1</v>
      </c>
      <c r="I162" s="1">
        <f ca="1">IFERROR(__xludf.DUMMYFUNCTION("""COMPUTED_VALUE"""),147)</f>
        <v>147</v>
      </c>
      <c r="J162" s="1">
        <f ca="1">IFERROR(__xludf.DUMMYFUNCTION("""COMPUTED_VALUE"""),64.9)</f>
        <v>64.900000000000006</v>
      </c>
      <c r="K162" s="1">
        <f ca="1">IFERROR(__xludf.DUMMYFUNCTION("""COMPUTED_VALUE"""),140)</f>
        <v>140</v>
      </c>
      <c r="L162" s="1">
        <f ca="1">IFERROR(__xludf.DUMMYFUNCTION("""COMPUTED_VALUE"""),-0.094)</f>
        <v>-9.4E-2</v>
      </c>
      <c r="M162" s="1">
        <f ca="1">IFERROR(__xludf.DUMMYFUNCTION("""COMPUTED_VALUE"""),339)</f>
        <v>339</v>
      </c>
      <c r="N162" s="1">
        <f ca="1">IFERROR(__xludf.DUMMYFUNCTION("""COMPUTED_VALUE"""),-2.55)</f>
        <v>-2.5499999999999998</v>
      </c>
      <c r="O162" s="1">
        <f ca="1">IFERROR(__xludf.DUMMYFUNCTION("""COMPUTED_VALUE"""),199)</f>
        <v>199</v>
      </c>
      <c r="P162" s="1">
        <f ca="1">IFERROR(__xludf.DUMMYFUNCTION("""COMPUTED_VALUE"""),103.7)</f>
        <v>103.7</v>
      </c>
      <c r="Q162" s="1">
        <f ca="1">IFERROR(__xludf.DUMMYFUNCTION("""COMPUTED_VALUE"""),181)</f>
        <v>181</v>
      </c>
      <c r="R162" s="1">
        <f ca="1">IFERROR(__xludf.DUMMYFUNCTION("""COMPUTED_VALUE"""),106.2)</f>
        <v>106.2</v>
      </c>
      <c r="S162" s="1">
        <f ca="1">IFERROR(__xludf.DUMMYFUNCTION("""COMPUTED_VALUE"""),240)</f>
        <v>240</v>
      </c>
      <c r="T162" s="1" t="str">
        <f ca="1">IFERROR(__xludf.DUMMYFUNCTION("""COMPUTED_VALUE"""),"+1.12")</f>
        <v>+1.12</v>
      </c>
      <c r="U162" s="1">
        <f ca="1">IFERROR(__xludf.DUMMYFUNCTION("""COMPUTED_VALUE"""),121)</f>
        <v>121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IFERROR(__xludf.DUMMYFUNCTION("""COMPUTED_VALUE"""),"Texas Tech")</f>
        <v>Texas Tech</v>
      </c>
      <c r="C163" s="1" t="str">
        <f ca="1">IFERROR(__xludf.DUMMYFUNCTION("""COMPUTED_VALUE"""),"B12")</f>
        <v>B12</v>
      </c>
      <c r="D163" s="1" t="str">
        <f ca="1">IFERROR(__xludf.DUMMYFUNCTION("""COMPUTED_VALUE"""),"13-19")</f>
        <v>13-19</v>
      </c>
      <c r="E163" s="1" t="str">
        <f ca="1">IFERROR(__xludf.DUMMYFUNCTION("""COMPUTED_VALUE"""),"+0.97")</f>
        <v>+0.97</v>
      </c>
      <c r="F163" s="1">
        <f ca="1">IFERROR(__xludf.DUMMYFUNCTION("""COMPUTED_VALUE"""),102.3)</f>
        <v>102.3</v>
      </c>
      <c r="G163" s="1">
        <f ca="1">IFERROR(__xludf.DUMMYFUNCTION("""COMPUTED_VALUE"""),215)</f>
        <v>215</v>
      </c>
      <c r="H163" s="1">
        <f ca="1">IFERROR(__xludf.DUMMYFUNCTION("""COMPUTED_VALUE"""),101.3)</f>
        <v>101.3</v>
      </c>
      <c r="I163" s="1">
        <f ca="1">IFERROR(__xludf.DUMMYFUNCTION("""COMPUTED_VALUE"""),116)</f>
        <v>116</v>
      </c>
      <c r="J163" s="1">
        <f ca="1">IFERROR(__xludf.DUMMYFUNCTION("""COMPUTED_VALUE"""),61.6)</f>
        <v>61.6</v>
      </c>
      <c r="K163" s="1">
        <f ca="1">IFERROR(__xludf.DUMMYFUNCTION("""COMPUTED_VALUE"""),306)</f>
        <v>306</v>
      </c>
      <c r="L163" s="1">
        <f ca="1">IFERROR(__xludf.DUMMYFUNCTION("""COMPUTED_VALUE"""),-0.016)</f>
        <v>-1.6E-2</v>
      </c>
      <c r="M163" s="1">
        <f ca="1">IFERROR(__xludf.DUMMYFUNCTION("""COMPUTED_VALUE"""),221)</f>
        <v>221</v>
      </c>
      <c r="N163" s="1" t="str">
        <f ca="1">IFERROR(__xludf.DUMMYFUNCTION("""COMPUTED_VALUE"""),"+6.91")</f>
        <v>+6.91</v>
      </c>
      <c r="O163" s="1">
        <f ca="1">IFERROR(__xludf.DUMMYFUNCTION("""COMPUTED_VALUE"""),52)</f>
        <v>52</v>
      </c>
      <c r="P163" s="1">
        <f ca="1">IFERROR(__xludf.DUMMYFUNCTION("""COMPUTED_VALUE"""),107.4)</f>
        <v>107.4</v>
      </c>
      <c r="Q163" s="1">
        <f ca="1">IFERROR(__xludf.DUMMYFUNCTION("""COMPUTED_VALUE"""),65)</f>
        <v>65</v>
      </c>
      <c r="R163" s="1">
        <f ca="1">IFERROR(__xludf.DUMMYFUNCTION("""COMPUTED_VALUE"""),100.5)</f>
        <v>100.5</v>
      </c>
      <c r="S163" s="1">
        <f ca="1">IFERROR(__xludf.DUMMYFUNCTION("""COMPUTED_VALUE"""),39)</f>
        <v>39</v>
      </c>
      <c r="T163" s="1">
        <f ca="1">IFERROR(__xludf.DUMMYFUNCTION("""COMPUTED_VALUE"""),-10.95)</f>
        <v>-10.95</v>
      </c>
      <c r="U163" s="1">
        <f ca="1">IFERROR(__xludf.DUMMYFUNCTION("""COMPUTED_VALUE"""),345)</f>
        <v>345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IFERROR(__xludf.DUMMYFUNCTION("""COMPUTED_VALUE"""),"Western Michigan")</f>
        <v>Western Michigan</v>
      </c>
      <c r="C164" s="1" t="str">
        <f ca="1">IFERROR(__xludf.DUMMYFUNCTION("""COMPUTED_VALUE"""),"MAC")</f>
        <v>MAC</v>
      </c>
      <c r="D164" s="1" t="str">
        <f ca="1">IFERROR(__xludf.DUMMYFUNCTION("""COMPUTED_VALUE"""),"20-14")</f>
        <v>20-14</v>
      </c>
      <c r="E164" s="1" t="str">
        <f ca="1">IFERROR(__xludf.DUMMYFUNCTION("""COMPUTED_VALUE"""),"+0.86")</f>
        <v>+0.86</v>
      </c>
      <c r="F164" s="1">
        <f ca="1">IFERROR(__xludf.DUMMYFUNCTION("""COMPUTED_VALUE"""),108)</f>
        <v>108</v>
      </c>
      <c r="G164" s="1">
        <f ca="1">IFERROR(__xludf.DUMMYFUNCTION("""COMPUTED_VALUE"""),96)</f>
        <v>96</v>
      </c>
      <c r="H164" s="1">
        <f ca="1">IFERROR(__xludf.DUMMYFUNCTION("""COMPUTED_VALUE"""),107.1)</f>
        <v>107.1</v>
      </c>
      <c r="I164" s="1">
        <f ca="1">IFERROR(__xludf.DUMMYFUNCTION("""COMPUTED_VALUE"""),225)</f>
        <v>225</v>
      </c>
      <c r="J164" s="1">
        <f ca="1">IFERROR(__xludf.DUMMYFUNCTION("""COMPUTED_VALUE"""),65)</f>
        <v>65</v>
      </c>
      <c r="K164" s="1">
        <f ca="1">IFERROR(__xludf.DUMMYFUNCTION("""COMPUTED_VALUE"""),136)</f>
        <v>136</v>
      </c>
      <c r="L164" s="1" t="str">
        <f ca="1">IFERROR(__xludf.DUMMYFUNCTION("""COMPUTED_VALUE"""),"+.058")</f>
        <v>+.058</v>
      </c>
      <c r="M164" s="1">
        <f ca="1">IFERROR(__xludf.DUMMYFUNCTION("""COMPUTED_VALUE"""),52)</f>
        <v>52</v>
      </c>
      <c r="N164" s="1" t="str">
        <f ca="1">IFERROR(__xludf.DUMMYFUNCTION("""COMPUTED_VALUE"""),"+0.56")</f>
        <v>+0.56</v>
      </c>
      <c r="O164" s="1">
        <f ca="1">IFERROR(__xludf.DUMMYFUNCTION("""COMPUTED_VALUE"""),132)</f>
        <v>132</v>
      </c>
      <c r="P164" s="1">
        <f ca="1">IFERROR(__xludf.DUMMYFUNCTION("""COMPUTED_VALUE"""),105.1)</f>
        <v>105.1</v>
      </c>
      <c r="Q164" s="1">
        <f ca="1">IFERROR(__xludf.DUMMYFUNCTION("""COMPUTED_VALUE"""),111)</f>
        <v>111</v>
      </c>
      <c r="R164" s="1">
        <f ca="1">IFERROR(__xludf.DUMMYFUNCTION("""COMPUTED_VALUE"""),104.5)</f>
        <v>104.5</v>
      </c>
      <c r="S164" s="1">
        <f ca="1">IFERROR(__xludf.DUMMYFUNCTION("""COMPUTED_VALUE"""),160)</f>
        <v>160</v>
      </c>
      <c r="T164" s="1">
        <f ca="1">IFERROR(__xludf.DUMMYFUNCTION("""COMPUTED_VALUE"""),-2.13)</f>
        <v>-2.13</v>
      </c>
      <c r="U164" s="1">
        <f ca="1">IFERROR(__xludf.DUMMYFUNCTION("""COMPUTED_VALUE"""),223)</f>
        <v>223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IFERROR(__xludf.DUMMYFUNCTION("""COMPUTED_VALUE"""),"St. Francis NY8")</f>
        <v>St. Francis NY8</v>
      </c>
      <c r="C165" s="1" t="str">
        <f ca="1">IFERROR(__xludf.DUMMYFUNCTION("""COMPUTED_VALUE"""),"NEC")</f>
        <v>NEC</v>
      </c>
      <c r="D165" s="1" t="str">
        <f ca="1">IFERROR(__xludf.DUMMYFUNCTION("""COMPUTED_VALUE"""),"23-12")</f>
        <v>23-12</v>
      </c>
      <c r="E165" s="1" t="str">
        <f ca="1">IFERROR(__xludf.DUMMYFUNCTION("""COMPUTED_VALUE"""),"+0.62")</f>
        <v>+0.62</v>
      </c>
      <c r="F165" s="1">
        <f ca="1">IFERROR(__xludf.DUMMYFUNCTION("""COMPUTED_VALUE"""),103.6)</f>
        <v>103.6</v>
      </c>
      <c r="G165" s="1">
        <f ca="1">IFERROR(__xludf.DUMMYFUNCTION("""COMPUTED_VALUE"""),185)</f>
        <v>185</v>
      </c>
      <c r="H165" s="1">
        <f ca="1">IFERROR(__xludf.DUMMYFUNCTION("""COMPUTED_VALUE"""),103)</f>
        <v>103</v>
      </c>
      <c r="I165" s="1">
        <f ca="1">IFERROR(__xludf.DUMMYFUNCTION("""COMPUTED_VALUE"""),146)</f>
        <v>146</v>
      </c>
      <c r="J165" s="1">
        <f ca="1">IFERROR(__xludf.DUMMYFUNCTION("""COMPUTED_VALUE"""),64.5)</f>
        <v>64.5</v>
      </c>
      <c r="K165" s="1">
        <f ca="1">IFERROR(__xludf.DUMMYFUNCTION("""COMPUTED_VALUE"""),165)</f>
        <v>165</v>
      </c>
      <c r="L165" s="1">
        <f ca="1">IFERROR(__xludf.DUMMYFUNCTION("""COMPUTED_VALUE"""),-0.02)</f>
        <v>-0.02</v>
      </c>
      <c r="M165" s="1">
        <f ca="1">IFERROR(__xludf.DUMMYFUNCTION("""COMPUTED_VALUE"""),227)</f>
        <v>227</v>
      </c>
      <c r="N165" s="1">
        <f ca="1">IFERROR(__xludf.DUMMYFUNCTION("""COMPUTED_VALUE"""),-7.43)</f>
        <v>-7.43</v>
      </c>
      <c r="O165" s="1">
        <f ca="1">IFERROR(__xludf.DUMMYFUNCTION("""COMPUTED_VALUE"""),335)</f>
        <v>335</v>
      </c>
      <c r="P165" s="1">
        <f ca="1">IFERROR(__xludf.DUMMYFUNCTION("""COMPUTED_VALUE"""),99.9)</f>
        <v>99.9</v>
      </c>
      <c r="Q165" s="1">
        <f ca="1">IFERROR(__xludf.DUMMYFUNCTION("""COMPUTED_VALUE"""),335)</f>
        <v>335</v>
      </c>
      <c r="R165" s="1">
        <f ca="1">IFERROR(__xludf.DUMMYFUNCTION("""COMPUTED_VALUE"""),107.3)</f>
        <v>107.3</v>
      </c>
      <c r="S165" s="1">
        <f ca="1">IFERROR(__xludf.DUMMYFUNCTION("""COMPUTED_VALUE"""),288)</f>
        <v>288</v>
      </c>
      <c r="T165" s="1">
        <f ca="1">IFERROR(__xludf.DUMMYFUNCTION("""COMPUTED_VALUE"""),-4.21)</f>
        <v>-4.21</v>
      </c>
      <c r="U165" s="1">
        <f ca="1">IFERROR(__xludf.DUMMYFUNCTION("""COMPUTED_VALUE"""),286)</f>
        <v>286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IFERROR(__xludf.DUMMYFUNCTION("""COMPUTED_VALUE"""),"Middle Tennessee")</f>
        <v>Middle Tennessee</v>
      </c>
      <c r="C166" s="1" t="str">
        <f ca="1">IFERROR(__xludf.DUMMYFUNCTION("""COMPUTED_VALUE"""),"CUSA")</f>
        <v>CUSA</v>
      </c>
      <c r="D166" s="1" t="str">
        <f ca="1">IFERROR(__xludf.DUMMYFUNCTION("""COMPUTED_VALUE"""),"19-17")</f>
        <v>19-17</v>
      </c>
      <c r="E166" s="1" t="str">
        <f ca="1">IFERROR(__xludf.DUMMYFUNCTION("""COMPUTED_VALUE"""),"+0.59")</f>
        <v>+0.59</v>
      </c>
      <c r="F166" s="1">
        <f ca="1">IFERROR(__xludf.DUMMYFUNCTION("""COMPUTED_VALUE"""),102.3)</f>
        <v>102.3</v>
      </c>
      <c r="G166" s="1">
        <f ca="1">IFERROR(__xludf.DUMMYFUNCTION("""COMPUTED_VALUE"""),216)</f>
        <v>216</v>
      </c>
      <c r="H166" s="1">
        <f ca="1">IFERROR(__xludf.DUMMYFUNCTION("""COMPUTED_VALUE"""),101.7)</f>
        <v>101.7</v>
      </c>
      <c r="I166" s="1">
        <f ca="1">IFERROR(__xludf.DUMMYFUNCTION("""COMPUTED_VALUE"""),121)</f>
        <v>121</v>
      </c>
      <c r="J166" s="1">
        <f ca="1">IFERROR(__xludf.DUMMYFUNCTION("""COMPUTED_VALUE"""),61)</f>
        <v>61</v>
      </c>
      <c r="K166" s="1">
        <f ca="1">IFERROR(__xludf.DUMMYFUNCTION("""COMPUTED_VALUE"""),320)</f>
        <v>320</v>
      </c>
      <c r="L166" s="1" t="str">
        <f ca="1">IFERROR(__xludf.DUMMYFUNCTION("""COMPUTED_VALUE"""),"+.003")</f>
        <v>+.003</v>
      </c>
      <c r="M166" s="1">
        <f ca="1">IFERROR(__xludf.DUMMYFUNCTION("""COMPUTED_VALUE"""),179)</f>
        <v>179</v>
      </c>
      <c r="N166" s="1">
        <f ca="1">IFERROR(__xludf.DUMMYFUNCTION("""COMPUTED_VALUE"""),-0.57)</f>
        <v>-0.56999999999999995</v>
      </c>
      <c r="O166" s="1">
        <f ca="1">IFERROR(__xludf.DUMMYFUNCTION("""COMPUTED_VALUE"""),153)</f>
        <v>153</v>
      </c>
      <c r="P166" s="1">
        <f ca="1">IFERROR(__xludf.DUMMYFUNCTION("""COMPUTED_VALUE"""),103.7)</f>
        <v>103.7</v>
      </c>
      <c r="Q166" s="1">
        <f ca="1">IFERROR(__xludf.DUMMYFUNCTION("""COMPUTED_VALUE"""),179)</f>
        <v>179</v>
      </c>
      <c r="R166" s="1">
        <f ca="1">IFERROR(__xludf.DUMMYFUNCTION("""COMPUTED_VALUE"""),104.3)</f>
        <v>104.3</v>
      </c>
      <c r="S166" s="1">
        <f ca="1">IFERROR(__xludf.DUMMYFUNCTION("""COMPUTED_VALUE"""),151)</f>
        <v>151</v>
      </c>
      <c r="T166" s="1" t="str">
        <f ca="1">IFERROR(__xludf.DUMMYFUNCTION("""COMPUTED_VALUE"""),"+1.22")</f>
        <v>+1.22</v>
      </c>
      <c r="U166" s="1">
        <f ca="1">IFERROR(__xludf.DUMMYFUNCTION("""COMPUTED_VALUE"""),120)</f>
        <v>120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IFERROR(__xludf.DUMMYFUNCTION("""COMPUTED_VALUE"""),"Mississippi St.")</f>
        <v>Mississippi St.</v>
      </c>
      <c r="C167" s="1" t="str">
        <f ca="1">IFERROR(__xludf.DUMMYFUNCTION("""COMPUTED_VALUE"""),"SEC")</f>
        <v>SEC</v>
      </c>
      <c r="D167" s="1" t="str">
        <f ca="1">IFERROR(__xludf.DUMMYFUNCTION("""COMPUTED_VALUE"""),"13-19")</f>
        <v>13-19</v>
      </c>
      <c r="E167" s="1" t="str">
        <f ca="1">IFERROR(__xludf.DUMMYFUNCTION("""COMPUTED_VALUE"""),"+0.58")</f>
        <v>+0.58</v>
      </c>
      <c r="F167" s="1">
        <f ca="1">IFERROR(__xludf.DUMMYFUNCTION("""COMPUTED_VALUE"""),100.7)</f>
        <v>100.7</v>
      </c>
      <c r="G167" s="1">
        <f ca="1">IFERROR(__xludf.DUMMYFUNCTION("""COMPUTED_VALUE"""),245)</f>
        <v>245</v>
      </c>
      <c r="H167" s="1">
        <f ca="1">IFERROR(__xludf.DUMMYFUNCTION("""COMPUTED_VALUE"""),100.1)</f>
        <v>100.1</v>
      </c>
      <c r="I167" s="1">
        <f ca="1">IFERROR(__xludf.DUMMYFUNCTION("""COMPUTED_VALUE"""),97)</f>
        <v>97</v>
      </c>
      <c r="J167" s="1">
        <f ca="1">IFERROR(__xludf.DUMMYFUNCTION("""COMPUTED_VALUE"""),63.8)</f>
        <v>63.8</v>
      </c>
      <c r="K167" s="1">
        <f ca="1">IFERROR(__xludf.DUMMYFUNCTION("""COMPUTED_VALUE"""),203)</f>
        <v>203</v>
      </c>
      <c r="L167" s="1">
        <f ca="1">IFERROR(__xludf.DUMMYFUNCTION("""COMPUTED_VALUE"""),-0.034)</f>
        <v>-3.4000000000000002E-2</v>
      </c>
      <c r="M167" s="1">
        <f ca="1">IFERROR(__xludf.DUMMYFUNCTION("""COMPUTED_VALUE"""),263)</f>
        <v>263</v>
      </c>
      <c r="N167" s="1" t="str">
        <f ca="1">IFERROR(__xludf.DUMMYFUNCTION("""COMPUTED_VALUE"""),"+4.23")</f>
        <v>+4.23</v>
      </c>
      <c r="O167" s="1">
        <f ca="1">IFERROR(__xludf.DUMMYFUNCTION("""COMPUTED_VALUE"""),81)</f>
        <v>81</v>
      </c>
      <c r="P167" s="1">
        <f ca="1">IFERROR(__xludf.DUMMYFUNCTION("""COMPUTED_VALUE"""),106.2)</f>
        <v>106.2</v>
      </c>
      <c r="Q167" s="1">
        <f ca="1">IFERROR(__xludf.DUMMYFUNCTION("""COMPUTED_VALUE"""),84)</f>
        <v>84</v>
      </c>
      <c r="R167" s="1">
        <f ca="1">IFERROR(__xludf.DUMMYFUNCTION("""COMPUTED_VALUE"""),102)</f>
        <v>102</v>
      </c>
      <c r="S167" s="1">
        <f ca="1">IFERROR(__xludf.DUMMYFUNCTION("""COMPUTED_VALUE"""),82)</f>
        <v>82</v>
      </c>
      <c r="T167" s="1">
        <f ca="1">IFERROR(__xludf.DUMMYFUNCTION("""COMPUTED_VALUE"""),-8.42)</f>
        <v>-8.42</v>
      </c>
      <c r="U167" s="1">
        <f ca="1">IFERROR(__xludf.DUMMYFUNCTION("""COMPUTED_VALUE"""),339)</f>
        <v>339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IFERROR(__xludf.DUMMYFUNCTION("""COMPUTED_VALUE"""),"Princeton")</f>
        <v>Princeton</v>
      </c>
      <c r="C168" s="1" t="str">
        <f ca="1">IFERROR(__xludf.DUMMYFUNCTION("""COMPUTED_VALUE"""),"Ivy")</f>
        <v>Ivy</v>
      </c>
      <c r="D168" s="1" t="str">
        <f ca="1">IFERROR(__xludf.DUMMYFUNCTION("""COMPUTED_VALUE"""),"16-14")</f>
        <v>16-14</v>
      </c>
      <c r="E168" s="1" t="str">
        <f ca="1">IFERROR(__xludf.DUMMYFUNCTION("""COMPUTED_VALUE"""),"+0.55")</f>
        <v>+0.55</v>
      </c>
      <c r="F168" s="1">
        <f ca="1">IFERROR(__xludf.DUMMYFUNCTION("""COMPUTED_VALUE"""),107.4)</f>
        <v>107.4</v>
      </c>
      <c r="G168" s="1">
        <f ca="1">IFERROR(__xludf.DUMMYFUNCTION("""COMPUTED_VALUE"""),110)</f>
        <v>110</v>
      </c>
      <c r="H168" s="1">
        <f ca="1">IFERROR(__xludf.DUMMYFUNCTION("""COMPUTED_VALUE"""),106.9)</f>
        <v>106.9</v>
      </c>
      <c r="I168" s="1">
        <f ca="1">IFERROR(__xludf.DUMMYFUNCTION("""COMPUTED_VALUE"""),221)</f>
        <v>221</v>
      </c>
      <c r="J168" s="1">
        <f ca="1">IFERROR(__xludf.DUMMYFUNCTION("""COMPUTED_VALUE"""),64.6)</f>
        <v>64.599999999999994</v>
      </c>
      <c r="K168" s="1">
        <f ca="1">IFERROR(__xludf.DUMMYFUNCTION("""COMPUTED_VALUE"""),158)</f>
        <v>158</v>
      </c>
      <c r="L168" s="1">
        <f ca="1">IFERROR(__xludf.DUMMYFUNCTION("""COMPUTED_VALUE"""),-0.032)</f>
        <v>-3.2000000000000001E-2</v>
      </c>
      <c r="M168" s="1">
        <f ca="1">IFERROR(__xludf.DUMMYFUNCTION("""COMPUTED_VALUE"""),256)</f>
        <v>256</v>
      </c>
      <c r="N168" s="1">
        <f ca="1">IFERROR(__xludf.DUMMYFUNCTION("""COMPUTED_VALUE"""),-2.94)</f>
        <v>-2.94</v>
      </c>
      <c r="O168" s="1">
        <f ca="1">IFERROR(__xludf.DUMMYFUNCTION("""COMPUTED_VALUE"""),210)</f>
        <v>210</v>
      </c>
      <c r="P168" s="1">
        <f ca="1">IFERROR(__xludf.DUMMYFUNCTION("""COMPUTED_VALUE"""),101.8)</f>
        <v>101.8</v>
      </c>
      <c r="Q168" s="1">
        <f ca="1">IFERROR(__xludf.DUMMYFUNCTION("""COMPUTED_VALUE"""),283)</f>
        <v>283</v>
      </c>
      <c r="R168" s="1">
        <f ca="1">IFERROR(__xludf.DUMMYFUNCTION("""COMPUTED_VALUE"""),104.8)</f>
        <v>104.8</v>
      </c>
      <c r="S168" s="1">
        <f ca="1">IFERROR(__xludf.DUMMYFUNCTION("""COMPUTED_VALUE"""),173)</f>
        <v>173</v>
      </c>
      <c r="T168" s="1">
        <f ca="1">IFERROR(__xludf.DUMMYFUNCTION("""COMPUTED_VALUE"""),-4.28)</f>
        <v>-4.28</v>
      </c>
      <c r="U168" s="1">
        <f ca="1">IFERROR(__xludf.DUMMYFUNCTION("""COMPUTED_VALUE"""),290)</f>
        <v>290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IFERROR(__xludf.DUMMYFUNCTION("""COMPUTED_VALUE"""),"Saint Joseph's")</f>
        <v>Saint Joseph's</v>
      </c>
      <c r="C171" s="1" t="str">
        <f ca="1">IFERROR(__xludf.DUMMYFUNCTION("""COMPUTED_VALUE"""),"A10")</f>
        <v>A10</v>
      </c>
      <c r="D171" s="1" t="str">
        <f ca="1">IFERROR(__xludf.DUMMYFUNCTION("""COMPUTED_VALUE"""),"13-18")</f>
        <v>13-18</v>
      </c>
      <c r="E171" s="1" t="str">
        <f ca="1">IFERROR(__xludf.DUMMYFUNCTION("""COMPUTED_VALUE"""),"+0.34")</f>
        <v>+0.34</v>
      </c>
      <c r="F171" s="1">
        <f ca="1">IFERROR(__xludf.DUMMYFUNCTION("""COMPUTED_VALUE"""),100.3)</f>
        <v>100.3</v>
      </c>
      <c r="G171" s="1">
        <f ca="1">IFERROR(__xludf.DUMMYFUNCTION("""COMPUTED_VALUE"""),250)</f>
        <v>250</v>
      </c>
      <c r="H171" s="1">
        <f ca="1">IFERROR(__xludf.DUMMYFUNCTION("""COMPUTED_VALUE"""),100)</f>
        <v>100</v>
      </c>
      <c r="I171" s="1">
        <f ca="1">IFERROR(__xludf.DUMMYFUNCTION("""COMPUTED_VALUE"""),94)</f>
        <v>94</v>
      </c>
      <c r="J171" s="1">
        <f ca="1">IFERROR(__xludf.DUMMYFUNCTION("""COMPUTED_VALUE"""),63.3)</f>
        <v>63.3</v>
      </c>
      <c r="K171" s="1">
        <f ca="1">IFERROR(__xludf.DUMMYFUNCTION("""COMPUTED_VALUE"""),239)</f>
        <v>239</v>
      </c>
      <c r="L171" s="1">
        <f ca="1">IFERROR(__xludf.DUMMYFUNCTION("""COMPUTED_VALUE"""),-0.006)</f>
        <v>-6.0000000000000001E-3</v>
      </c>
      <c r="M171" s="1">
        <f ca="1">IFERROR(__xludf.DUMMYFUNCTION("""COMPUTED_VALUE"""),199)</f>
        <v>199</v>
      </c>
      <c r="N171" s="1" t="str">
        <f ca="1">IFERROR(__xludf.DUMMYFUNCTION("""COMPUTED_VALUE"""),"+2.25")</f>
        <v>+2.25</v>
      </c>
      <c r="O171" s="1">
        <f ca="1">IFERROR(__xludf.DUMMYFUNCTION("""COMPUTED_VALUE"""),101)</f>
        <v>101</v>
      </c>
      <c r="P171" s="1">
        <f ca="1">IFERROR(__xludf.DUMMYFUNCTION("""COMPUTED_VALUE"""),104.4)</f>
        <v>104.4</v>
      </c>
      <c r="Q171" s="1">
        <f ca="1">IFERROR(__xludf.DUMMYFUNCTION("""COMPUTED_VALUE"""),138)</f>
        <v>138</v>
      </c>
      <c r="R171" s="1">
        <f ca="1">IFERROR(__xludf.DUMMYFUNCTION("""COMPUTED_VALUE"""),102.1)</f>
        <v>102.1</v>
      </c>
      <c r="S171" s="1">
        <f ca="1">IFERROR(__xludf.DUMMYFUNCTION("""COMPUTED_VALUE"""),85)</f>
        <v>85</v>
      </c>
      <c r="T171" s="1">
        <f ca="1">IFERROR(__xludf.DUMMYFUNCTION("""COMPUTED_VALUE"""),-2.47)</f>
        <v>-2.4700000000000002</v>
      </c>
      <c r="U171" s="1">
        <f ca="1">IFERROR(__xludf.DUMMYFUNCTION("""COMPUTED_VALUE"""),232)</f>
        <v>232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IFERROR(__xludf.DUMMYFUNCTION("""COMPUTED_VALUE"""),"Manhattan16")</f>
        <v>Manhattan16</v>
      </c>
      <c r="C172" s="1" t="str">
        <f ca="1">IFERROR(__xludf.DUMMYFUNCTION("""COMPUTED_VALUE"""),"MAAC")</f>
        <v>MAAC</v>
      </c>
      <c r="D172" s="1" t="str">
        <f ca="1">IFERROR(__xludf.DUMMYFUNCTION("""COMPUTED_VALUE"""),"19-14")</f>
        <v>19-14</v>
      </c>
      <c r="E172" s="1" t="str">
        <f ca="1">IFERROR(__xludf.DUMMYFUNCTION("""COMPUTED_VALUE"""),"+0.31")</f>
        <v>+0.31</v>
      </c>
      <c r="F172" s="1">
        <f ca="1">IFERROR(__xludf.DUMMYFUNCTION("""COMPUTED_VALUE"""),101.9)</f>
        <v>101.9</v>
      </c>
      <c r="G172" s="1">
        <f ca="1">IFERROR(__xludf.DUMMYFUNCTION("""COMPUTED_VALUE"""),224)</f>
        <v>224</v>
      </c>
      <c r="H172" s="1">
        <f ca="1">IFERROR(__xludf.DUMMYFUNCTION("""COMPUTED_VALUE"""),101.6)</f>
        <v>101.6</v>
      </c>
      <c r="I172" s="1">
        <f ca="1">IFERROR(__xludf.DUMMYFUNCTION("""COMPUTED_VALUE"""),119)</f>
        <v>119</v>
      </c>
      <c r="J172" s="1">
        <f ca="1">IFERROR(__xludf.DUMMYFUNCTION("""COMPUTED_VALUE"""),67.7)</f>
        <v>67.7</v>
      </c>
      <c r="K172" s="1">
        <f ca="1">IFERROR(__xludf.DUMMYFUNCTION("""COMPUTED_VALUE"""),30)</f>
        <v>30</v>
      </c>
      <c r="L172" s="1">
        <f ca="1">IFERROR(__xludf.DUMMYFUNCTION("""COMPUTED_VALUE"""),-0.001)</f>
        <v>-1E-3</v>
      </c>
      <c r="M172" s="1">
        <f ca="1">IFERROR(__xludf.DUMMYFUNCTION("""COMPUTED_VALUE"""),186)</f>
        <v>186</v>
      </c>
      <c r="N172" s="1">
        <f ca="1">IFERROR(__xludf.DUMMYFUNCTION("""COMPUTED_VALUE"""),-3.59)</f>
        <v>-3.59</v>
      </c>
      <c r="O172" s="1">
        <f ca="1">IFERROR(__xludf.DUMMYFUNCTION("""COMPUTED_VALUE"""),234)</f>
        <v>234</v>
      </c>
      <c r="P172" s="1">
        <f ca="1">IFERROR(__xludf.DUMMYFUNCTION("""COMPUTED_VALUE"""),102)</f>
        <v>102</v>
      </c>
      <c r="Q172" s="1">
        <f ca="1">IFERROR(__xludf.DUMMYFUNCTION("""COMPUTED_VALUE"""),275)</f>
        <v>275</v>
      </c>
      <c r="R172" s="1">
        <f ca="1">IFERROR(__xludf.DUMMYFUNCTION("""COMPUTED_VALUE"""),105.6)</f>
        <v>105.6</v>
      </c>
      <c r="S172" s="1">
        <f ca="1">IFERROR(__xludf.DUMMYFUNCTION("""COMPUTED_VALUE"""),219)</f>
        <v>219</v>
      </c>
      <c r="T172" s="1">
        <f ca="1">IFERROR(__xludf.DUMMYFUNCTION("""COMPUTED_VALUE"""),-0.4)</f>
        <v>-0.4</v>
      </c>
      <c r="U172" s="1">
        <f ca="1">IFERROR(__xludf.DUMMYFUNCTION("""COMPUTED_VALUE"""),169)</f>
        <v>169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IFERROR(__xludf.DUMMYFUNCTION("""COMPUTED_VALUE"""),"Rider")</f>
        <v>Rider</v>
      </c>
      <c r="C173" s="1" t="str">
        <f ca="1">IFERROR(__xludf.DUMMYFUNCTION("""COMPUTED_VALUE"""),"MAAC")</f>
        <v>MAAC</v>
      </c>
      <c r="D173" s="1" t="str">
        <f ca="1">IFERROR(__xludf.DUMMYFUNCTION("""COMPUTED_VALUE"""),"21-12")</f>
        <v>21-12</v>
      </c>
      <c r="E173" s="1" t="str">
        <f ca="1">IFERROR(__xludf.DUMMYFUNCTION("""COMPUTED_VALUE"""),"+0.17")</f>
        <v>+0.17</v>
      </c>
      <c r="F173" s="1">
        <f ca="1">IFERROR(__xludf.DUMMYFUNCTION("""COMPUTED_VALUE"""),101.2)</f>
        <v>101.2</v>
      </c>
      <c r="G173" s="1">
        <f ca="1">IFERROR(__xludf.DUMMYFUNCTION("""COMPUTED_VALUE"""),237)</f>
        <v>237</v>
      </c>
      <c r="H173" s="1">
        <f ca="1">IFERROR(__xludf.DUMMYFUNCTION("""COMPUTED_VALUE"""),101)</f>
        <v>101</v>
      </c>
      <c r="I173" s="1">
        <f ca="1">IFERROR(__xludf.DUMMYFUNCTION("""COMPUTED_VALUE"""),109)</f>
        <v>109</v>
      </c>
      <c r="J173" s="1">
        <f ca="1">IFERROR(__xludf.DUMMYFUNCTION("""COMPUTED_VALUE"""),64.2)</f>
        <v>64.2</v>
      </c>
      <c r="K173" s="1">
        <f ca="1">IFERROR(__xludf.DUMMYFUNCTION("""COMPUTED_VALUE"""),179)</f>
        <v>179</v>
      </c>
      <c r="L173" s="1" t="str">
        <f ca="1">IFERROR(__xludf.DUMMYFUNCTION("""COMPUTED_VALUE"""),"+.086")</f>
        <v>+.086</v>
      </c>
      <c r="M173" s="1">
        <f ca="1">IFERROR(__xludf.DUMMYFUNCTION("""COMPUTED_VALUE"""),17)</f>
        <v>17</v>
      </c>
      <c r="N173" s="1">
        <f ca="1">IFERROR(__xludf.DUMMYFUNCTION("""COMPUTED_VALUE"""),-3.44)</f>
        <v>-3.44</v>
      </c>
      <c r="O173" s="1">
        <f ca="1">IFERROR(__xludf.DUMMYFUNCTION("""COMPUTED_VALUE"""),226)</f>
        <v>226</v>
      </c>
      <c r="P173" s="1">
        <f ca="1">IFERROR(__xludf.DUMMYFUNCTION("""COMPUTED_VALUE"""),102.1)</f>
        <v>102.1</v>
      </c>
      <c r="Q173" s="1">
        <f ca="1">IFERROR(__xludf.DUMMYFUNCTION("""COMPUTED_VALUE"""),270)</f>
        <v>270</v>
      </c>
      <c r="R173" s="1">
        <f ca="1">IFERROR(__xludf.DUMMYFUNCTION("""COMPUTED_VALUE"""),105.5)</f>
        <v>105.5</v>
      </c>
      <c r="S173" s="1">
        <f ca="1">IFERROR(__xludf.DUMMYFUNCTION("""COMPUTED_VALUE"""),207)</f>
        <v>207</v>
      </c>
      <c r="T173" s="1">
        <f ca="1">IFERROR(__xludf.DUMMYFUNCTION("""COMPUTED_VALUE"""),-2.3)</f>
        <v>-2.2999999999999998</v>
      </c>
      <c r="U173" s="1">
        <f ca="1">IFERROR(__xludf.DUMMYFUNCTION("""COMPUTED_VALUE"""),225)</f>
        <v>225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IFERROR(__xludf.DUMMYFUNCTION("""COMPUTED_VALUE"""),"Montana7")</f>
        <v>Montana7</v>
      </c>
      <c r="C174" s="1" t="str">
        <f ca="1">IFERROR(__xludf.DUMMYFUNCTION("""COMPUTED_VALUE"""),"BSky")</f>
        <v>BSky</v>
      </c>
      <c r="D174" s="1" t="str">
        <f ca="1">IFERROR(__xludf.DUMMYFUNCTION("""COMPUTED_VALUE"""),"20-13")</f>
        <v>20-13</v>
      </c>
      <c r="E174" s="1" t="str">
        <f ca="1">IFERROR(__xludf.DUMMYFUNCTION("""COMPUTED_VALUE"""),"+0.15")</f>
        <v>+0.15</v>
      </c>
      <c r="F174" s="1">
        <f ca="1">IFERROR(__xludf.DUMMYFUNCTION("""COMPUTED_VALUE"""),106)</f>
        <v>106</v>
      </c>
      <c r="G174" s="1">
        <f ca="1">IFERROR(__xludf.DUMMYFUNCTION("""COMPUTED_VALUE"""),136)</f>
        <v>136</v>
      </c>
      <c r="H174" s="1">
        <f ca="1">IFERROR(__xludf.DUMMYFUNCTION("""COMPUTED_VALUE"""),105.8)</f>
        <v>105.8</v>
      </c>
      <c r="I174" s="1">
        <f ca="1">IFERROR(__xludf.DUMMYFUNCTION("""COMPUTED_VALUE"""),195)</f>
        <v>195</v>
      </c>
      <c r="J174" s="1">
        <f ca="1">IFERROR(__xludf.DUMMYFUNCTION("""COMPUTED_VALUE"""),62)</f>
        <v>62</v>
      </c>
      <c r="K174" s="1">
        <f ca="1">IFERROR(__xludf.DUMMYFUNCTION("""COMPUTED_VALUE"""),294)</f>
        <v>294</v>
      </c>
      <c r="L174" s="1" t="str">
        <f ca="1">IFERROR(__xludf.DUMMYFUNCTION("""COMPUTED_VALUE"""),"+.003")</f>
        <v>+.003</v>
      </c>
      <c r="M174" s="1">
        <f ca="1">IFERROR(__xludf.DUMMYFUNCTION("""COMPUTED_VALUE"""),178)</f>
        <v>178</v>
      </c>
      <c r="N174" s="1">
        <f ca="1">IFERROR(__xludf.DUMMYFUNCTION("""COMPUTED_VALUE"""),-4.19)</f>
        <v>-4.1900000000000004</v>
      </c>
      <c r="O174" s="1">
        <f ca="1">IFERROR(__xludf.DUMMYFUNCTION("""COMPUTED_VALUE"""),255)</f>
        <v>255</v>
      </c>
      <c r="P174" s="1">
        <f ca="1">IFERROR(__xludf.DUMMYFUNCTION("""COMPUTED_VALUE"""),104.3)</f>
        <v>104.3</v>
      </c>
      <c r="Q174" s="1">
        <f ca="1">IFERROR(__xludf.DUMMYFUNCTION("""COMPUTED_VALUE"""),147)</f>
        <v>147</v>
      </c>
      <c r="R174" s="1">
        <f ca="1">IFERROR(__xludf.DUMMYFUNCTION("""COMPUTED_VALUE"""),108.4)</f>
        <v>108.4</v>
      </c>
      <c r="S174" s="1">
        <f ca="1">IFERROR(__xludf.DUMMYFUNCTION("""COMPUTED_VALUE"""),327)</f>
        <v>327</v>
      </c>
      <c r="T174" s="1" t="str">
        <f ca="1">IFERROR(__xludf.DUMMYFUNCTION("""COMPUTED_VALUE"""),"+5.09")</f>
        <v>+5.09</v>
      </c>
      <c r="U174" s="1">
        <f ca="1">IFERROR(__xludf.DUMMYFUNCTION("""COMPUTED_VALUE"""),33)</f>
        <v>33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IFERROR(__xludf.DUMMYFUNCTION("""COMPUTED_VALUE"""),"Columbia")</f>
        <v>Columbia</v>
      </c>
      <c r="C175" s="1" t="str">
        <f ca="1">IFERROR(__xludf.DUMMYFUNCTION("""COMPUTED_VALUE"""),"Ivy")</f>
        <v>Ivy</v>
      </c>
      <c r="D175" s="1" t="str">
        <f ca="1">IFERROR(__xludf.DUMMYFUNCTION("""COMPUTED_VALUE"""),"13-15")</f>
        <v>13-15</v>
      </c>
      <c r="E175" s="1" t="str">
        <f ca="1">IFERROR(__xludf.DUMMYFUNCTION("""COMPUTED_VALUE"""),"+0.12")</f>
        <v>+0.12</v>
      </c>
      <c r="F175" s="1">
        <f ca="1">IFERROR(__xludf.DUMMYFUNCTION("""COMPUTED_VALUE"""),107.5)</f>
        <v>107.5</v>
      </c>
      <c r="G175" s="1">
        <f ca="1">IFERROR(__xludf.DUMMYFUNCTION("""COMPUTED_VALUE"""),107)</f>
        <v>107</v>
      </c>
      <c r="H175" s="1">
        <f ca="1">IFERROR(__xludf.DUMMYFUNCTION("""COMPUTED_VALUE"""),107.4)</f>
        <v>107.4</v>
      </c>
      <c r="I175" s="1">
        <f ca="1">IFERROR(__xludf.DUMMYFUNCTION("""COMPUTED_VALUE"""),229)</f>
        <v>229</v>
      </c>
      <c r="J175" s="1">
        <f ca="1">IFERROR(__xludf.DUMMYFUNCTION("""COMPUTED_VALUE"""),60.2)</f>
        <v>60.2</v>
      </c>
      <c r="K175" s="1">
        <f ca="1">IFERROR(__xludf.DUMMYFUNCTION("""COMPUTED_VALUE"""),336)</f>
        <v>336</v>
      </c>
      <c r="L175" s="1">
        <f ca="1">IFERROR(__xludf.DUMMYFUNCTION("""COMPUTED_VALUE"""),-0.09)</f>
        <v>-0.09</v>
      </c>
      <c r="M175" s="1">
        <f ca="1">IFERROR(__xludf.DUMMYFUNCTION("""COMPUTED_VALUE"""),336)</f>
        <v>336</v>
      </c>
      <c r="N175" s="1">
        <f ca="1">IFERROR(__xludf.DUMMYFUNCTION("""COMPUTED_VALUE"""),-2.22)</f>
        <v>-2.2200000000000002</v>
      </c>
      <c r="O175" s="1">
        <f ca="1">IFERROR(__xludf.DUMMYFUNCTION("""COMPUTED_VALUE"""),194)</f>
        <v>194</v>
      </c>
      <c r="P175" s="1">
        <f ca="1">IFERROR(__xludf.DUMMYFUNCTION("""COMPUTED_VALUE"""),102.2)</f>
        <v>102.2</v>
      </c>
      <c r="Q175" s="1">
        <f ca="1">IFERROR(__xludf.DUMMYFUNCTION("""COMPUTED_VALUE"""),262)</f>
        <v>262</v>
      </c>
      <c r="R175" s="1">
        <f ca="1">IFERROR(__xludf.DUMMYFUNCTION("""COMPUTED_VALUE"""),104.4)</f>
        <v>104.4</v>
      </c>
      <c r="S175" s="1">
        <f ca="1">IFERROR(__xludf.DUMMYFUNCTION("""COMPUTED_VALUE"""),154)</f>
        <v>154</v>
      </c>
      <c r="T175" s="1">
        <f ca="1">IFERROR(__xludf.DUMMYFUNCTION("""COMPUTED_VALUE"""),-3.11)</f>
        <v>-3.11</v>
      </c>
      <c r="U175" s="1">
        <f ca="1">IFERROR(__xludf.DUMMYFUNCTION("""COMPUTED_VALUE"""),254)</f>
        <v>254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IFERROR(__xludf.DUMMYFUNCTION("""COMPUTED_VALUE"""),"Chattanooga")</f>
        <v>Chattanooga</v>
      </c>
      <c r="C176" s="1" t="str">
        <f ca="1">IFERROR(__xludf.DUMMYFUNCTION("""COMPUTED_VALUE"""),"SC")</f>
        <v>SC</v>
      </c>
      <c r="D176" s="1" t="str">
        <f ca="1">IFERROR(__xludf.DUMMYFUNCTION("""COMPUTED_VALUE"""),"22-10")</f>
        <v>22-10</v>
      </c>
      <c r="E176" s="1" t="str">
        <f ca="1">IFERROR(__xludf.DUMMYFUNCTION("""COMPUTED_VALUE"""),"+0.09")</f>
        <v>+0.09</v>
      </c>
      <c r="F176" s="1">
        <f ca="1">IFERROR(__xludf.DUMMYFUNCTION("""COMPUTED_VALUE"""),105.6)</f>
        <v>105.6</v>
      </c>
      <c r="G176" s="1">
        <f ca="1">IFERROR(__xludf.DUMMYFUNCTION("""COMPUTED_VALUE"""),146)</f>
        <v>146</v>
      </c>
      <c r="H176" s="1">
        <f ca="1">IFERROR(__xludf.DUMMYFUNCTION("""COMPUTED_VALUE"""),105.5)</f>
        <v>105.5</v>
      </c>
      <c r="I176" s="1">
        <f ca="1">IFERROR(__xludf.DUMMYFUNCTION("""COMPUTED_VALUE"""),188)</f>
        <v>188</v>
      </c>
      <c r="J176" s="1">
        <f ca="1">IFERROR(__xludf.DUMMYFUNCTION("""COMPUTED_VALUE"""),64.5)</f>
        <v>64.5</v>
      </c>
      <c r="K176" s="1">
        <f ca="1">IFERROR(__xludf.DUMMYFUNCTION("""COMPUTED_VALUE"""),162)</f>
        <v>162</v>
      </c>
      <c r="L176" s="1" t="str">
        <f ca="1">IFERROR(__xludf.DUMMYFUNCTION("""COMPUTED_VALUE"""),"+.101")</f>
        <v>+.101</v>
      </c>
      <c r="M176" s="1">
        <f ca="1">IFERROR(__xludf.DUMMYFUNCTION("""COMPUTED_VALUE"""),9)</f>
        <v>9</v>
      </c>
      <c r="N176" s="1">
        <f ca="1">IFERROR(__xludf.DUMMYFUNCTION("""COMPUTED_VALUE"""),-6.12)</f>
        <v>-6.12</v>
      </c>
      <c r="O176" s="1">
        <f ca="1">IFERROR(__xludf.DUMMYFUNCTION("""COMPUTED_VALUE"""),308)</f>
        <v>308</v>
      </c>
      <c r="P176" s="1">
        <f ca="1">IFERROR(__xludf.DUMMYFUNCTION("""COMPUTED_VALUE"""),102.4)</f>
        <v>102.4</v>
      </c>
      <c r="Q176" s="1">
        <f ca="1">IFERROR(__xludf.DUMMYFUNCTION("""COMPUTED_VALUE"""),251)</f>
        <v>251</v>
      </c>
      <c r="R176" s="1">
        <f ca="1">IFERROR(__xludf.DUMMYFUNCTION("""COMPUTED_VALUE"""),108.5)</f>
        <v>108.5</v>
      </c>
      <c r="S176" s="1">
        <f ca="1">IFERROR(__xludf.DUMMYFUNCTION("""COMPUTED_VALUE"""),330)</f>
        <v>330</v>
      </c>
      <c r="T176" s="1">
        <f ca="1">IFERROR(__xludf.DUMMYFUNCTION("""COMPUTED_VALUE"""),-0.75)</f>
        <v>-0.75</v>
      </c>
      <c r="U176" s="1">
        <f ca="1">IFERROR(__xludf.DUMMYFUNCTION("""COMPUTED_VALUE"""),182)</f>
        <v>182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IFERROR(__xludf.DUMMYFUNCTION("""COMPUTED_VALUE"""),"Oakland")</f>
        <v>Oakland</v>
      </c>
      <c r="C177" s="1" t="str">
        <f ca="1">IFERROR(__xludf.DUMMYFUNCTION("""COMPUTED_VALUE"""),"Horz")</f>
        <v>Horz</v>
      </c>
      <c r="D177" s="1" t="str">
        <f ca="1">IFERROR(__xludf.DUMMYFUNCTION("""COMPUTED_VALUE"""),"16-17")</f>
        <v>16-17</v>
      </c>
      <c r="E177" s="1" t="str">
        <f ca="1">IFERROR(__xludf.DUMMYFUNCTION("""COMPUTED_VALUE"""),"+0.06")</f>
        <v>+0.06</v>
      </c>
      <c r="F177" s="1">
        <f ca="1">IFERROR(__xludf.DUMMYFUNCTION("""COMPUTED_VALUE"""),111.4)</f>
        <v>111.4</v>
      </c>
      <c r="G177" s="1">
        <f ca="1">IFERROR(__xludf.DUMMYFUNCTION("""COMPUTED_VALUE"""),55)</f>
        <v>55</v>
      </c>
      <c r="H177" s="1">
        <f ca="1">IFERROR(__xludf.DUMMYFUNCTION("""COMPUTED_VALUE"""),111.3)</f>
        <v>111.3</v>
      </c>
      <c r="I177" s="1">
        <f ca="1">IFERROR(__xludf.DUMMYFUNCTION("""COMPUTED_VALUE"""),309)</f>
        <v>309</v>
      </c>
      <c r="J177" s="1">
        <f ca="1">IFERROR(__xludf.DUMMYFUNCTION("""COMPUTED_VALUE"""),66.5)</f>
        <v>66.5</v>
      </c>
      <c r="K177" s="1">
        <f ca="1">IFERROR(__xludf.DUMMYFUNCTION("""COMPUTED_VALUE"""),71)</f>
        <v>71</v>
      </c>
      <c r="L177" s="1" t="str">
        <f ca="1">IFERROR(__xludf.DUMMYFUNCTION("""COMPUTED_VALUE"""),"+.019")</f>
        <v>+.019</v>
      </c>
      <c r="M177" s="1">
        <f ca="1">IFERROR(__xludf.DUMMYFUNCTION("""COMPUTED_VALUE"""),135)</f>
        <v>135</v>
      </c>
      <c r="N177" s="1" t="str">
        <f ca="1">IFERROR(__xludf.DUMMYFUNCTION("""COMPUTED_VALUE"""),"+1.90")</f>
        <v>+1.90</v>
      </c>
      <c r="O177" s="1">
        <f ca="1">IFERROR(__xludf.DUMMYFUNCTION("""COMPUTED_VALUE"""),109)</f>
        <v>109</v>
      </c>
      <c r="P177" s="1">
        <f ca="1">IFERROR(__xludf.DUMMYFUNCTION("""COMPUTED_VALUE"""),105.5)</f>
        <v>105.5</v>
      </c>
      <c r="Q177" s="1">
        <f ca="1">IFERROR(__xludf.DUMMYFUNCTION("""COMPUTED_VALUE"""),104)</f>
        <v>104</v>
      </c>
      <c r="R177" s="1">
        <f ca="1">IFERROR(__xludf.DUMMYFUNCTION("""COMPUTED_VALUE"""),103.6)</f>
        <v>103.6</v>
      </c>
      <c r="S177" s="1">
        <f ca="1">IFERROR(__xludf.DUMMYFUNCTION("""COMPUTED_VALUE"""),120)</f>
        <v>120</v>
      </c>
      <c r="T177" s="1" t="str">
        <f ca="1">IFERROR(__xludf.DUMMYFUNCTION("""COMPUTED_VALUE"""),"+9.10")</f>
        <v>+9.10</v>
      </c>
      <c r="U177" s="1">
        <f ca="1">IFERROR(__xludf.DUMMYFUNCTION("""COMPUTED_VALUE"""),11)</f>
        <v>11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IFERROR(__xludf.DUMMYFUNCTION("""COMPUTED_VALUE"""),"Dartmouth")</f>
        <v>Dartmouth</v>
      </c>
      <c r="C178" s="1" t="str">
        <f ca="1">IFERROR(__xludf.DUMMYFUNCTION("""COMPUTED_VALUE"""),"Ivy")</f>
        <v>Ivy</v>
      </c>
      <c r="D178" s="1" t="str">
        <f ca="1">IFERROR(__xludf.DUMMYFUNCTION("""COMPUTED_VALUE"""),"14-15")</f>
        <v>14-15</v>
      </c>
      <c r="E178" s="1">
        <f ca="1">IFERROR(__xludf.DUMMYFUNCTION("""COMPUTED_VALUE"""),-0.67)</f>
        <v>-0.67</v>
      </c>
      <c r="F178" s="1">
        <f ca="1">IFERROR(__xludf.DUMMYFUNCTION("""COMPUTED_VALUE"""),102)</f>
        <v>102</v>
      </c>
      <c r="G178" s="1">
        <f ca="1">IFERROR(__xludf.DUMMYFUNCTION("""COMPUTED_VALUE"""),218)</f>
        <v>218</v>
      </c>
      <c r="H178" s="1">
        <f ca="1">IFERROR(__xludf.DUMMYFUNCTION("""COMPUTED_VALUE"""),102.7)</f>
        <v>102.7</v>
      </c>
      <c r="I178" s="1">
        <f ca="1">IFERROR(__xludf.DUMMYFUNCTION("""COMPUTED_VALUE"""),141)</f>
        <v>141</v>
      </c>
      <c r="J178" s="1">
        <f ca="1">IFERROR(__xludf.DUMMYFUNCTION("""COMPUTED_VALUE"""),63.4)</f>
        <v>63.4</v>
      </c>
      <c r="K178" s="1">
        <f ca="1">IFERROR(__xludf.DUMMYFUNCTION("""COMPUTED_VALUE"""),234)</f>
        <v>234</v>
      </c>
      <c r="L178" s="1">
        <f ca="1">IFERROR(__xludf.DUMMYFUNCTION("""COMPUTED_VALUE"""),-0.027)</f>
        <v>-2.7E-2</v>
      </c>
      <c r="M178" s="1">
        <f ca="1">IFERROR(__xludf.DUMMYFUNCTION("""COMPUTED_VALUE"""),247)</f>
        <v>247</v>
      </c>
      <c r="N178" s="1">
        <f ca="1">IFERROR(__xludf.DUMMYFUNCTION("""COMPUTED_VALUE"""),-2.13)</f>
        <v>-2.13</v>
      </c>
      <c r="O178" s="1">
        <f ca="1">IFERROR(__xludf.DUMMYFUNCTION("""COMPUTED_VALUE"""),193)</f>
        <v>193</v>
      </c>
      <c r="P178" s="1">
        <f ca="1">IFERROR(__xludf.DUMMYFUNCTION("""COMPUTED_VALUE"""),102.4)</f>
        <v>102.4</v>
      </c>
      <c r="Q178" s="1">
        <f ca="1">IFERROR(__xludf.DUMMYFUNCTION("""COMPUTED_VALUE"""),248)</f>
        <v>248</v>
      </c>
      <c r="R178" s="1">
        <f ca="1">IFERROR(__xludf.DUMMYFUNCTION("""COMPUTED_VALUE"""),104.5)</f>
        <v>104.5</v>
      </c>
      <c r="S178" s="1">
        <f ca="1">IFERROR(__xludf.DUMMYFUNCTION("""COMPUTED_VALUE"""),159)</f>
        <v>159</v>
      </c>
      <c r="T178" s="1">
        <f ca="1">IFERROR(__xludf.DUMMYFUNCTION("""COMPUTED_VALUE"""),-3.61)</f>
        <v>-3.61</v>
      </c>
      <c r="U178" s="1">
        <f ca="1">IFERROR(__xludf.DUMMYFUNCTION("""COMPUTED_VALUE"""),269)</f>
        <v>269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IFERROR(__xludf.DUMMYFUNCTION("""COMPUTED_VALUE"""),"Indiana St.")</f>
        <v>Indiana St.</v>
      </c>
      <c r="C179" s="1" t="str">
        <f ca="1">IFERROR(__xludf.DUMMYFUNCTION("""COMPUTED_VALUE"""),"MVC")</f>
        <v>MVC</v>
      </c>
      <c r="D179" s="1" t="str">
        <f ca="1">IFERROR(__xludf.DUMMYFUNCTION("""COMPUTED_VALUE"""),"15-16")</f>
        <v>15-16</v>
      </c>
      <c r="E179" s="1">
        <f ca="1">IFERROR(__xludf.DUMMYFUNCTION("""COMPUTED_VALUE"""),-0.7)</f>
        <v>-0.7</v>
      </c>
      <c r="F179" s="1">
        <f ca="1">IFERROR(__xludf.DUMMYFUNCTION("""COMPUTED_VALUE"""),102.7)</f>
        <v>102.7</v>
      </c>
      <c r="G179" s="1">
        <f ca="1">IFERROR(__xludf.DUMMYFUNCTION("""COMPUTED_VALUE"""),210)</f>
        <v>210</v>
      </c>
      <c r="H179" s="1">
        <f ca="1">IFERROR(__xludf.DUMMYFUNCTION("""COMPUTED_VALUE"""),103.4)</f>
        <v>103.4</v>
      </c>
      <c r="I179" s="1">
        <f ca="1">IFERROR(__xludf.DUMMYFUNCTION("""COMPUTED_VALUE"""),154)</f>
        <v>154</v>
      </c>
      <c r="J179" s="1">
        <f ca="1">IFERROR(__xludf.DUMMYFUNCTION("""COMPUTED_VALUE"""),66.6)</f>
        <v>66.599999999999994</v>
      </c>
      <c r="K179" s="1">
        <f ca="1">IFERROR(__xludf.DUMMYFUNCTION("""COMPUTED_VALUE"""),65)</f>
        <v>65</v>
      </c>
      <c r="L179" s="1" t="str">
        <f ca="1">IFERROR(__xludf.DUMMYFUNCTION("""COMPUTED_VALUE"""),"+.015")</f>
        <v>+.015</v>
      </c>
      <c r="M179" s="1">
        <f ca="1">IFERROR(__xludf.DUMMYFUNCTION("""COMPUTED_VALUE"""),145)</f>
        <v>145</v>
      </c>
      <c r="N179" s="1" t="str">
        <f ca="1">IFERROR(__xludf.DUMMYFUNCTION("""COMPUTED_VALUE"""),"+0.23")</f>
        <v>+0.23</v>
      </c>
      <c r="O179" s="1">
        <f ca="1">IFERROR(__xludf.DUMMYFUNCTION("""COMPUTED_VALUE"""),138)</f>
        <v>138</v>
      </c>
      <c r="P179" s="1">
        <f ca="1">IFERROR(__xludf.DUMMYFUNCTION("""COMPUTED_VALUE"""),103.5)</f>
        <v>103.5</v>
      </c>
      <c r="Q179" s="1">
        <f ca="1">IFERROR(__xludf.DUMMYFUNCTION("""COMPUTED_VALUE"""),193)</f>
        <v>193</v>
      </c>
      <c r="R179" s="1">
        <f ca="1">IFERROR(__xludf.DUMMYFUNCTION("""COMPUTED_VALUE"""),103.2)</f>
        <v>103.2</v>
      </c>
      <c r="S179" s="1">
        <f ca="1">IFERROR(__xludf.DUMMYFUNCTION("""COMPUTED_VALUE"""),109)</f>
        <v>109</v>
      </c>
      <c r="T179" s="1">
        <f ca="1">IFERROR(__xludf.DUMMYFUNCTION("""COMPUTED_VALUE"""),-4.16)</f>
        <v>-4.16</v>
      </c>
      <c r="U179" s="1">
        <f ca="1">IFERROR(__xludf.DUMMYFUNCTION("""COMPUTED_VALUE"""),285)</f>
        <v>285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IFERROR(__xludf.DUMMYFUNCTION("""COMPUTED_VALUE"""),"Louisiana Monroe")</f>
        <v>Louisiana Monroe</v>
      </c>
      <c r="C180" s="1" t="str">
        <f ca="1">IFERROR(__xludf.DUMMYFUNCTION("""COMPUTED_VALUE"""),"SB")</f>
        <v>SB</v>
      </c>
      <c r="D180" s="1" t="str">
        <f ca="1">IFERROR(__xludf.DUMMYFUNCTION("""COMPUTED_VALUE"""),"24-14")</f>
        <v>24-14</v>
      </c>
      <c r="E180" s="1">
        <f ca="1">IFERROR(__xludf.DUMMYFUNCTION("""COMPUTED_VALUE"""),-0.71)</f>
        <v>-0.71</v>
      </c>
      <c r="F180" s="1">
        <f ca="1">IFERROR(__xludf.DUMMYFUNCTION("""COMPUTED_VALUE"""),99)</f>
        <v>99</v>
      </c>
      <c r="G180" s="1">
        <f ca="1">IFERROR(__xludf.DUMMYFUNCTION("""COMPUTED_VALUE"""),270)</f>
        <v>270</v>
      </c>
      <c r="H180" s="1">
        <f ca="1">IFERROR(__xludf.DUMMYFUNCTION("""COMPUTED_VALUE"""),99.7)</f>
        <v>99.7</v>
      </c>
      <c r="I180" s="1">
        <f ca="1">IFERROR(__xludf.DUMMYFUNCTION("""COMPUTED_VALUE"""),91)</f>
        <v>91</v>
      </c>
      <c r="J180" s="1">
        <f ca="1">IFERROR(__xludf.DUMMYFUNCTION("""COMPUTED_VALUE"""),61.8)</f>
        <v>61.8</v>
      </c>
      <c r="K180" s="1">
        <f ca="1">IFERROR(__xludf.DUMMYFUNCTION("""COMPUTED_VALUE"""),302)</f>
        <v>302</v>
      </c>
      <c r="L180" s="1" t="str">
        <f ca="1">IFERROR(__xludf.DUMMYFUNCTION("""COMPUTED_VALUE"""),"+.070")</f>
        <v>+.070</v>
      </c>
      <c r="M180" s="1">
        <f ca="1">IFERROR(__xludf.DUMMYFUNCTION("""COMPUTED_VALUE"""),34)</f>
        <v>34</v>
      </c>
      <c r="N180" s="1">
        <f ca="1">IFERROR(__xludf.DUMMYFUNCTION("""COMPUTED_VALUE"""),-2.63)</f>
        <v>-2.63</v>
      </c>
      <c r="O180" s="1">
        <f ca="1">IFERROR(__xludf.DUMMYFUNCTION("""COMPUTED_VALUE"""),203)</f>
        <v>203</v>
      </c>
      <c r="P180" s="1">
        <f ca="1">IFERROR(__xludf.DUMMYFUNCTION("""COMPUTED_VALUE"""),102.4)</f>
        <v>102.4</v>
      </c>
      <c r="Q180" s="1">
        <f ca="1">IFERROR(__xludf.DUMMYFUNCTION("""COMPUTED_VALUE"""),245)</f>
        <v>245</v>
      </c>
      <c r="R180" s="1">
        <f ca="1">IFERROR(__xludf.DUMMYFUNCTION("""COMPUTED_VALUE"""),105.1)</f>
        <v>105.1</v>
      </c>
      <c r="S180" s="1">
        <f ca="1">IFERROR(__xludf.DUMMYFUNCTION("""COMPUTED_VALUE"""),184)</f>
        <v>184</v>
      </c>
      <c r="T180" s="1" t="str">
        <f ca="1">IFERROR(__xludf.DUMMYFUNCTION("""COMPUTED_VALUE"""),"+2.38")</f>
        <v>+2.38</v>
      </c>
      <c r="U180" s="1">
        <f ca="1">IFERROR(__xludf.DUMMYFUNCTION("""COMPUTED_VALUE"""),88)</f>
        <v>88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IFERROR(__xludf.DUMMYFUNCTION("""COMPUTED_VALUE"""),"Radford")</f>
        <v>Radford</v>
      </c>
      <c r="C181" s="1" t="str">
        <f ca="1">IFERROR(__xludf.DUMMYFUNCTION("""COMPUTED_VALUE"""),"BSth")</f>
        <v>BSth</v>
      </c>
      <c r="D181" s="1" t="str">
        <f ca="1">IFERROR(__xludf.DUMMYFUNCTION("""COMPUTED_VALUE"""),"22-12")</f>
        <v>22-12</v>
      </c>
      <c r="E181" s="1">
        <f ca="1">IFERROR(__xludf.DUMMYFUNCTION("""COMPUTED_VALUE"""),-0.77)</f>
        <v>-0.77</v>
      </c>
      <c r="F181" s="1">
        <f ca="1">IFERROR(__xludf.DUMMYFUNCTION("""COMPUTED_VALUE"""),105.6)</f>
        <v>105.6</v>
      </c>
      <c r="G181" s="1">
        <f ca="1">IFERROR(__xludf.DUMMYFUNCTION("""COMPUTED_VALUE"""),147)</f>
        <v>147</v>
      </c>
      <c r="H181" s="1">
        <f ca="1">IFERROR(__xludf.DUMMYFUNCTION("""COMPUTED_VALUE"""),106.3)</f>
        <v>106.3</v>
      </c>
      <c r="I181" s="1">
        <f ca="1">IFERROR(__xludf.DUMMYFUNCTION("""COMPUTED_VALUE"""),207)</f>
        <v>207</v>
      </c>
      <c r="J181" s="1">
        <f ca="1">IFERROR(__xludf.DUMMYFUNCTION("""COMPUTED_VALUE"""),65)</f>
        <v>65</v>
      </c>
      <c r="K181" s="1">
        <f ca="1">IFERROR(__xludf.DUMMYFUNCTION("""COMPUTED_VALUE"""),139)</f>
        <v>139</v>
      </c>
      <c r="L181" s="1" t="str">
        <f ca="1">IFERROR(__xludf.DUMMYFUNCTION("""COMPUTED_VALUE"""),"+.058")</f>
        <v>+.058</v>
      </c>
      <c r="M181" s="1">
        <f ca="1">IFERROR(__xludf.DUMMYFUNCTION("""COMPUTED_VALUE"""),51)</f>
        <v>51</v>
      </c>
      <c r="N181" s="1">
        <f ca="1">IFERROR(__xludf.DUMMYFUNCTION("""COMPUTED_VALUE"""),-4.69)</f>
        <v>-4.6900000000000004</v>
      </c>
      <c r="O181" s="1">
        <f ca="1">IFERROR(__xludf.DUMMYFUNCTION("""COMPUTED_VALUE"""),269)</f>
        <v>269</v>
      </c>
      <c r="P181" s="1">
        <f ca="1">IFERROR(__xludf.DUMMYFUNCTION("""COMPUTED_VALUE"""),102.6)</f>
        <v>102.6</v>
      </c>
      <c r="Q181" s="1">
        <f ca="1">IFERROR(__xludf.DUMMYFUNCTION("""COMPUTED_VALUE"""),242)</f>
        <v>242</v>
      </c>
      <c r="R181" s="1">
        <f ca="1">IFERROR(__xludf.DUMMYFUNCTION("""COMPUTED_VALUE"""),107.2)</f>
        <v>107.2</v>
      </c>
      <c r="S181" s="1">
        <f ca="1">IFERROR(__xludf.DUMMYFUNCTION("""COMPUTED_VALUE"""),284)</f>
        <v>284</v>
      </c>
      <c r="T181" s="1" t="str">
        <f ca="1">IFERROR(__xludf.DUMMYFUNCTION("""COMPUTED_VALUE"""),"+0.34")</f>
        <v>+0.34</v>
      </c>
      <c r="U181" s="1">
        <f ca="1">IFERROR(__xludf.DUMMYFUNCTION("""COMPUTED_VALUE"""),148)</f>
        <v>148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IFERROR(__xludf.DUMMYFUNCTION("""COMPUTED_VALUE"""),"IPFW")</f>
        <v>IPFW</v>
      </c>
      <c r="C182" s="1" t="str">
        <f ca="1">IFERROR(__xludf.DUMMYFUNCTION("""COMPUTED_VALUE"""),"Sum")</f>
        <v>Sum</v>
      </c>
      <c r="D182" s="1" t="str">
        <f ca="1">IFERROR(__xludf.DUMMYFUNCTION("""COMPUTED_VALUE"""),"16-15")</f>
        <v>16-15</v>
      </c>
      <c r="E182" s="1">
        <f ca="1">IFERROR(__xludf.DUMMYFUNCTION("""COMPUTED_VALUE"""),-0.82)</f>
        <v>-0.82</v>
      </c>
      <c r="F182" s="1">
        <f ca="1">IFERROR(__xludf.DUMMYFUNCTION("""COMPUTED_VALUE"""),107.7)</f>
        <v>107.7</v>
      </c>
      <c r="G182" s="1">
        <f ca="1">IFERROR(__xludf.DUMMYFUNCTION("""COMPUTED_VALUE"""),103)</f>
        <v>103</v>
      </c>
      <c r="H182" s="1">
        <f ca="1">IFERROR(__xludf.DUMMYFUNCTION("""COMPUTED_VALUE"""),108.5)</f>
        <v>108.5</v>
      </c>
      <c r="I182" s="1">
        <f ca="1">IFERROR(__xludf.DUMMYFUNCTION("""COMPUTED_VALUE"""),258)</f>
        <v>258</v>
      </c>
      <c r="J182" s="1">
        <f ca="1">IFERROR(__xludf.DUMMYFUNCTION("""COMPUTED_VALUE"""),64.5)</f>
        <v>64.5</v>
      </c>
      <c r="K182" s="1">
        <f ca="1">IFERROR(__xludf.DUMMYFUNCTION("""COMPUTED_VALUE"""),161)</f>
        <v>161</v>
      </c>
      <c r="L182" s="1">
        <f ca="1">IFERROR(__xludf.DUMMYFUNCTION("""COMPUTED_VALUE"""),-0.051)</f>
        <v>-5.0999999999999997E-2</v>
      </c>
      <c r="M182" s="1">
        <f ca="1">IFERROR(__xludf.DUMMYFUNCTION("""COMPUTED_VALUE"""),298)</f>
        <v>298</v>
      </c>
      <c r="N182" s="1">
        <f ca="1">IFERROR(__xludf.DUMMYFUNCTION("""COMPUTED_VALUE"""),-2.98)</f>
        <v>-2.98</v>
      </c>
      <c r="O182" s="1">
        <f ca="1">IFERROR(__xludf.DUMMYFUNCTION("""COMPUTED_VALUE"""),211)</f>
        <v>211</v>
      </c>
      <c r="P182" s="1">
        <f ca="1">IFERROR(__xludf.DUMMYFUNCTION("""COMPUTED_VALUE"""),102.6)</f>
        <v>102.6</v>
      </c>
      <c r="Q182" s="1">
        <f ca="1">IFERROR(__xludf.DUMMYFUNCTION("""COMPUTED_VALUE"""),240)</f>
        <v>240</v>
      </c>
      <c r="R182" s="1">
        <f ca="1">IFERROR(__xludf.DUMMYFUNCTION("""COMPUTED_VALUE"""),105.5)</f>
        <v>105.5</v>
      </c>
      <c r="S182" s="1">
        <f ca="1">IFERROR(__xludf.DUMMYFUNCTION("""COMPUTED_VALUE"""),209)</f>
        <v>209</v>
      </c>
      <c r="T182" s="1" t="str">
        <f ca="1">IFERROR(__xludf.DUMMYFUNCTION("""COMPUTED_VALUE"""),"+0.12")</f>
        <v>+0.12</v>
      </c>
      <c r="U182" s="1">
        <f ca="1">IFERROR(__xludf.DUMMYFUNCTION("""COMPUTED_VALUE"""),156)</f>
        <v>156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IFERROR(__xludf.DUMMYFUNCTION("""COMPUTED_VALUE"""),"NJIT")</f>
        <v>NJIT</v>
      </c>
      <c r="C183" s="1" t="str">
        <f ca="1">IFERROR(__xludf.DUMMYFUNCTION("""COMPUTED_VALUE"""),"ind")</f>
        <v>ind</v>
      </c>
      <c r="D183" s="1" t="str">
        <f ca="1">IFERROR(__xludf.DUMMYFUNCTION("""COMPUTED_VALUE"""),"21-12")</f>
        <v>21-12</v>
      </c>
      <c r="E183" s="1">
        <f ca="1">IFERROR(__xludf.DUMMYFUNCTION("""COMPUTED_VALUE"""),-0.85)</f>
        <v>-0.85</v>
      </c>
      <c r="F183" s="1">
        <f ca="1">IFERROR(__xludf.DUMMYFUNCTION("""COMPUTED_VALUE"""),105.5)</f>
        <v>105.5</v>
      </c>
      <c r="G183" s="1">
        <f ca="1">IFERROR(__xludf.DUMMYFUNCTION("""COMPUTED_VALUE"""),148)</f>
        <v>148</v>
      </c>
      <c r="H183" s="1">
        <f ca="1">IFERROR(__xludf.DUMMYFUNCTION("""COMPUTED_VALUE"""),106.4)</f>
        <v>106.4</v>
      </c>
      <c r="I183" s="1">
        <f ca="1">IFERROR(__xludf.DUMMYFUNCTION("""COMPUTED_VALUE"""),211)</f>
        <v>211</v>
      </c>
      <c r="J183" s="1">
        <f ca="1">IFERROR(__xludf.DUMMYFUNCTION("""COMPUTED_VALUE"""),66.2)</f>
        <v>66.2</v>
      </c>
      <c r="K183" s="1">
        <f ca="1">IFERROR(__xludf.DUMMYFUNCTION("""COMPUTED_VALUE"""),81)</f>
        <v>81</v>
      </c>
      <c r="L183" s="1" t="str">
        <f ca="1">IFERROR(__xludf.DUMMYFUNCTION("""COMPUTED_VALUE"""),"+.049")</f>
        <v>+.049</v>
      </c>
      <c r="M183" s="1">
        <f ca="1">IFERROR(__xludf.DUMMYFUNCTION("""COMPUTED_VALUE"""),66)</f>
        <v>66</v>
      </c>
      <c r="N183" s="1">
        <f ca="1">IFERROR(__xludf.DUMMYFUNCTION("""COMPUTED_VALUE"""),-4.15)</f>
        <v>-4.1500000000000004</v>
      </c>
      <c r="O183" s="1">
        <f ca="1">IFERROR(__xludf.DUMMYFUNCTION("""COMPUTED_VALUE"""),254)</f>
        <v>254</v>
      </c>
      <c r="P183" s="1">
        <f ca="1">IFERROR(__xludf.DUMMYFUNCTION("""COMPUTED_VALUE"""),101.9)</f>
        <v>101.9</v>
      </c>
      <c r="Q183" s="1">
        <f ca="1">IFERROR(__xludf.DUMMYFUNCTION("""COMPUTED_VALUE"""),280)</f>
        <v>280</v>
      </c>
      <c r="R183" s="1">
        <f ca="1">IFERROR(__xludf.DUMMYFUNCTION("""COMPUTED_VALUE"""),106)</f>
        <v>106</v>
      </c>
      <c r="S183" s="1">
        <f ca="1">IFERROR(__xludf.DUMMYFUNCTION("""COMPUTED_VALUE"""),234)</f>
        <v>234</v>
      </c>
      <c r="T183" s="1">
        <f ca="1">IFERROR(__xludf.DUMMYFUNCTION("""COMPUTED_VALUE"""),-4.53)</f>
        <v>-4.53</v>
      </c>
      <c r="U183" s="1">
        <f ca="1">IFERROR(__xludf.DUMMYFUNCTION("""COMPUTED_VALUE"""),296)</f>
        <v>296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IFERROR(__xludf.DUMMYFUNCTION("""COMPUTED_VALUE"""),"UNC Wilmington")</f>
        <v>UNC Wilmington</v>
      </c>
      <c r="C184" s="1" t="str">
        <f ca="1">IFERROR(__xludf.DUMMYFUNCTION("""COMPUTED_VALUE"""),"CAA")</f>
        <v>CAA</v>
      </c>
      <c r="D184" s="1" t="str">
        <f ca="1">IFERROR(__xludf.DUMMYFUNCTION("""COMPUTED_VALUE"""),"18-14")</f>
        <v>18-14</v>
      </c>
      <c r="E184" s="1">
        <f ca="1">IFERROR(__xludf.DUMMYFUNCTION("""COMPUTED_VALUE"""),-0.9)</f>
        <v>-0.9</v>
      </c>
      <c r="F184" s="1">
        <f ca="1">IFERROR(__xludf.DUMMYFUNCTION("""COMPUTED_VALUE"""),101.5)</f>
        <v>101.5</v>
      </c>
      <c r="G184" s="1">
        <f ca="1">IFERROR(__xludf.DUMMYFUNCTION("""COMPUTED_VALUE"""),230)</f>
        <v>230</v>
      </c>
      <c r="H184" s="1">
        <f ca="1">IFERROR(__xludf.DUMMYFUNCTION("""COMPUTED_VALUE"""),102.4)</f>
        <v>102.4</v>
      </c>
      <c r="I184" s="1">
        <f ca="1">IFERROR(__xludf.DUMMYFUNCTION("""COMPUTED_VALUE"""),135)</f>
        <v>135</v>
      </c>
      <c r="J184" s="1">
        <f ca="1">IFERROR(__xludf.DUMMYFUNCTION("""COMPUTED_VALUE"""),67.5)</f>
        <v>67.5</v>
      </c>
      <c r="K184" s="1">
        <f ca="1">IFERROR(__xludf.DUMMYFUNCTION("""COMPUTED_VALUE"""),37)</f>
        <v>37</v>
      </c>
      <c r="L184" s="1" t="str">
        <f ca="1">IFERROR(__xludf.DUMMYFUNCTION("""COMPUTED_VALUE"""),"+.059")</f>
        <v>+.059</v>
      </c>
      <c r="M184" s="1">
        <f ca="1">IFERROR(__xludf.DUMMYFUNCTION("""COMPUTED_VALUE"""),49)</f>
        <v>49</v>
      </c>
      <c r="N184" s="1">
        <f ca="1">IFERROR(__xludf.DUMMYFUNCTION("""COMPUTED_VALUE"""),-1.54)</f>
        <v>-1.54</v>
      </c>
      <c r="O184" s="1">
        <f ca="1">IFERROR(__xludf.DUMMYFUNCTION("""COMPUTED_VALUE"""),176)</f>
        <v>176</v>
      </c>
      <c r="P184" s="1">
        <f ca="1">IFERROR(__xludf.DUMMYFUNCTION("""COMPUTED_VALUE"""),104.1)</f>
        <v>104.1</v>
      </c>
      <c r="Q184" s="1">
        <f ca="1">IFERROR(__xludf.DUMMYFUNCTION("""COMPUTED_VALUE"""),155)</f>
        <v>155</v>
      </c>
      <c r="R184" s="1">
        <f ca="1">IFERROR(__xludf.DUMMYFUNCTION("""COMPUTED_VALUE"""),105.7)</f>
        <v>105.7</v>
      </c>
      <c r="S184" s="1">
        <f ca="1">IFERROR(__xludf.DUMMYFUNCTION("""COMPUTED_VALUE"""),220)</f>
        <v>220</v>
      </c>
      <c r="T184" s="1" t="str">
        <f ca="1">IFERROR(__xludf.DUMMYFUNCTION("""COMPUTED_VALUE"""),"+2.03")</f>
        <v>+2.03</v>
      </c>
      <c r="U184" s="1">
        <f ca="1">IFERROR(__xludf.DUMMYFUNCTION("""COMPUTED_VALUE"""),97)</f>
        <v>97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IFERROR(__xludf.DUMMYFUNCTION("""COMPUTED_VALUE"""),"Virginia Tech")</f>
        <v>Virginia Tech</v>
      </c>
      <c r="C185" s="1" t="str">
        <f ca="1">IFERROR(__xludf.DUMMYFUNCTION("""COMPUTED_VALUE"""),"ACC")</f>
        <v>ACC</v>
      </c>
      <c r="D185" s="2">
        <f ca="1">IFERROR(__xludf.DUMMYFUNCTION("""COMPUTED_VALUE"""),44887)</f>
        <v>44887</v>
      </c>
      <c r="E185" s="1">
        <f ca="1">IFERROR(__xludf.DUMMYFUNCTION("""COMPUTED_VALUE"""),-0.92)</f>
        <v>-0.92</v>
      </c>
      <c r="F185" s="1">
        <f ca="1">IFERROR(__xludf.DUMMYFUNCTION("""COMPUTED_VALUE"""),106.3)</f>
        <v>106.3</v>
      </c>
      <c r="G185" s="1">
        <f ca="1">IFERROR(__xludf.DUMMYFUNCTION("""COMPUTED_VALUE"""),128)</f>
        <v>128</v>
      </c>
      <c r="H185" s="1">
        <f ca="1">IFERROR(__xludf.DUMMYFUNCTION("""COMPUTED_VALUE"""),107.2)</f>
        <v>107.2</v>
      </c>
      <c r="I185" s="1">
        <f ca="1">IFERROR(__xludf.DUMMYFUNCTION("""COMPUTED_VALUE"""),226)</f>
        <v>226</v>
      </c>
      <c r="J185" s="1">
        <f ca="1">IFERROR(__xludf.DUMMYFUNCTION("""COMPUTED_VALUE"""),63.6)</f>
        <v>63.6</v>
      </c>
      <c r="K185" s="1">
        <f ca="1">IFERROR(__xludf.DUMMYFUNCTION("""COMPUTED_VALUE"""),216)</f>
        <v>216</v>
      </c>
      <c r="L185" s="1">
        <f ca="1">IFERROR(__xludf.DUMMYFUNCTION("""COMPUTED_VALUE"""),-0.042)</f>
        <v>-4.2000000000000003E-2</v>
      </c>
      <c r="M185" s="1">
        <f ca="1">IFERROR(__xludf.DUMMYFUNCTION("""COMPUTED_VALUE"""),278)</f>
        <v>278</v>
      </c>
      <c r="N185" s="1" t="str">
        <f ca="1">IFERROR(__xludf.DUMMYFUNCTION("""COMPUTED_VALUE"""),"+5.80")</f>
        <v>+5.80</v>
      </c>
      <c r="O185" s="1">
        <f ca="1">IFERROR(__xludf.DUMMYFUNCTION("""COMPUTED_VALUE"""),67)</f>
        <v>67</v>
      </c>
      <c r="P185" s="1">
        <f ca="1">IFERROR(__xludf.DUMMYFUNCTION("""COMPUTED_VALUE"""),107.3)</f>
        <v>107.3</v>
      </c>
      <c r="Q185" s="1">
        <f ca="1">IFERROR(__xludf.DUMMYFUNCTION("""COMPUTED_VALUE"""),66)</f>
        <v>66</v>
      </c>
      <c r="R185" s="1">
        <f ca="1">IFERROR(__xludf.DUMMYFUNCTION("""COMPUTED_VALUE"""),101.5)</f>
        <v>101.5</v>
      </c>
      <c r="S185" s="1">
        <f ca="1">IFERROR(__xludf.DUMMYFUNCTION("""COMPUTED_VALUE"""),71)</f>
        <v>71</v>
      </c>
      <c r="T185" s="1">
        <f ca="1">IFERROR(__xludf.DUMMYFUNCTION("""COMPUTED_VALUE"""),-11.65)</f>
        <v>-11.65</v>
      </c>
      <c r="U185" s="1">
        <f ca="1">IFERROR(__xludf.DUMMYFUNCTION("""COMPUTED_VALUE"""),348)</f>
        <v>348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IFERROR(__xludf.DUMMYFUNCTION("""COMPUTED_VALUE"""),"Winthrop")</f>
        <v>Winthrop</v>
      </c>
      <c r="C186" s="1" t="str">
        <f ca="1">IFERROR(__xludf.DUMMYFUNCTION("""COMPUTED_VALUE"""),"BSth")</f>
        <v>BSth</v>
      </c>
      <c r="D186" s="1" t="str">
        <f ca="1">IFERROR(__xludf.DUMMYFUNCTION("""COMPUTED_VALUE"""),"19-13")</f>
        <v>19-13</v>
      </c>
      <c r="E186" s="1">
        <f ca="1">IFERROR(__xludf.DUMMYFUNCTION("""COMPUTED_VALUE"""),-0.94)</f>
        <v>-0.94</v>
      </c>
      <c r="F186" s="1">
        <f ca="1">IFERROR(__xludf.DUMMYFUNCTION("""COMPUTED_VALUE"""),104.8)</f>
        <v>104.8</v>
      </c>
      <c r="G186" s="1">
        <f ca="1">IFERROR(__xludf.DUMMYFUNCTION("""COMPUTED_VALUE"""),166)</f>
        <v>166</v>
      </c>
      <c r="H186" s="1">
        <f ca="1">IFERROR(__xludf.DUMMYFUNCTION("""COMPUTED_VALUE"""),105.7)</f>
        <v>105.7</v>
      </c>
      <c r="I186" s="1">
        <f ca="1">IFERROR(__xludf.DUMMYFUNCTION("""COMPUTED_VALUE"""),191)</f>
        <v>191</v>
      </c>
      <c r="J186" s="1">
        <f ca="1">IFERROR(__xludf.DUMMYFUNCTION("""COMPUTED_VALUE"""),65.8)</f>
        <v>65.8</v>
      </c>
      <c r="K186" s="1">
        <f ca="1">IFERROR(__xludf.DUMMYFUNCTION("""COMPUTED_VALUE"""),103)</f>
        <v>103</v>
      </c>
      <c r="L186" s="1">
        <f ca="1">IFERROR(__xludf.DUMMYFUNCTION("""COMPUTED_VALUE"""),-0.051)</f>
        <v>-5.0999999999999997E-2</v>
      </c>
      <c r="M186" s="1">
        <f ca="1">IFERROR(__xludf.DUMMYFUNCTION("""COMPUTED_VALUE"""),297)</f>
        <v>297</v>
      </c>
      <c r="N186" s="1">
        <f ca="1">IFERROR(__xludf.DUMMYFUNCTION("""COMPUTED_VALUE"""),-6.86)</f>
        <v>-6.86</v>
      </c>
      <c r="O186" s="1">
        <f ca="1">IFERROR(__xludf.DUMMYFUNCTION("""COMPUTED_VALUE"""),326)</f>
        <v>326</v>
      </c>
      <c r="P186" s="1">
        <f ca="1">IFERROR(__xludf.DUMMYFUNCTION("""COMPUTED_VALUE"""),101)</f>
        <v>101</v>
      </c>
      <c r="Q186" s="1">
        <f ca="1">IFERROR(__xludf.DUMMYFUNCTION("""COMPUTED_VALUE"""),311)</f>
        <v>311</v>
      </c>
      <c r="R186" s="1">
        <f ca="1">IFERROR(__xludf.DUMMYFUNCTION("""COMPUTED_VALUE"""),107.9)</f>
        <v>107.9</v>
      </c>
      <c r="S186" s="1">
        <f ca="1">IFERROR(__xludf.DUMMYFUNCTION("""COMPUTED_VALUE"""),311)</f>
        <v>311</v>
      </c>
      <c r="T186" s="1">
        <f ca="1">IFERROR(__xludf.DUMMYFUNCTION("""COMPUTED_VALUE"""),-3.87)</f>
        <v>-3.87</v>
      </c>
      <c r="U186" s="1">
        <f ca="1">IFERROR(__xludf.DUMMYFUNCTION("""COMPUTED_VALUE"""),278)</f>
        <v>278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IFERROR(__xludf.DUMMYFUNCTION("""COMPUTED_VALUE"""),"Quinnipiac")</f>
        <v>Quinnipiac</v>
      </c>
      <c r="C187" s="1" t="str">
        <f ca="1">IFERROR(__xludf.DUMMYFUNCTION("""COMPUTED_VALUE"""),"MAAC")</f>
        <v>MAAC</v>
      </c>
      <c r="D187" s="1" t="str">
        <f ca="1">IFERROR(__xludf.DUMMYFUNCTION("""COMPUTED_VALUE"""),"15-15")</f>
        <v>15-15</v>
      </c>
      <c r="E187" s="1">
        <f ca="1">IFERROR(__xludf.DUMMYFUNCTION("""COMPUTED_VALUE"""),-1.09)</f>
        <v>-1.0900000000000001</v>
      </c>
      <c r="F187" s="1">
        <f ca="1">IFERROR(__xludf.DUMMYFUNCTION("""COMPUTED_VALUE"""),103)</f>
        <v>103</v>
      </c>
      <c r="G187" s="1">
        <f ca="1">IFERROR(__xludf.DUMMYFUNCTION("""COMPUTED_VALUE"""),200)</f>
        <v>200</v>
      </c>
      <c r="H187" s="1">
        <f ca="1">IFERROR(__xludf.DUMMYFUNCTION("""COMPUTED_VALUE"""),104.1)</f>
        <v>104.1</v>
      </c>
      <c r="I187" s="1">
        <f ca="1">IFERROR(__xludf.DUMMYFUNCTION("""COMPUTED_VALUE"""),165)</f>
        <v>165</v>
      </c>
      <c r="J187" s="1">
        <f ca="1">IFERROR(__xludf.DUMMYFUNCTION("""COMPUTED_VALUE"""),66.3)</f>
        <v>66.3</v>
      </c>
      <c r="K187" s="1">
        <f ca="1">IFERROR(__xludf.DUMMYFUNCTION("""COMPUTED_VALUE"""),76)</f>
        <v>76</v>
      </c>
      <c r="L187" s="1">
        <f ca="1">IFERROR(__xludf.DUMMYFUNCTION("""COMPUTED_VALUE"""),-0.092)</f>
        <v>-9.1999999999999998E-2</v>
      </c>
      <c r="M187" s="1">
        <f ca="1">IFERROR(__xludf.DUMMYFUNCTION("""COMPUTED_VALUE"""),337)</f>
        <v>337</v>
      </c>
      <c r="N187" s="1">
        <f ca="1">IFERROR(__xludf.DUMMYFUNCTION("""COMPUTED_VALUE"""),-4.91)</f>
        <v>-4.91</v>
      </c>
      <c r="O187" s="1">
        <f ca="1">IFERROR(__xludf.DUMMYFUNCTION("""COMPUTED_VALUE"""),278)</f>
        <v>278</v>
      </c>
      <c r="P187" s="1">
        <f ca="1">IFERROR(__xludf.DUMMYFUNCTION("""COMPUTED_VALUE"""),100.8)</f>
        <v>100.8</v>
      </c>
      <c r="Q187" s="1">
        <f ca="1">IFERROR(__xludf.DUMMYFUNCTION("""COMPUTED_VALUE"""),316)</f>
        <v>316</v>
      </c>
      <c r="R187" s="1">
        <f ca="1">IFERROR(__xludf.DUMMYFUNCTION("""COMPUTED_VALUE"""),105.7)</f>
        <v>105.7</v>
      </c>
      <c r="S187" s="1">
        <f ca="1">IFERROR(__xludf.DUMMYFUNCTION("""COMPUTED_VALUE"""),223)</f>
        <v>223</v>
      </c>
      <c r="T187" s="1">
        <f ca="1">IFERROR(__xludf.DUMMYFUNCTION("""COMPUTED_VALUE"""),-4.85)</f>
        <v>-4.8499999999999996</v>
      </c>
      <c r="U187" s="1">
        <f ca="1">IFERROR(__xludf.DUMMYFUNCTION("""COMPUTED_VALUE"""),302)</f>
        <v>302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IFERROR(__xludf.DUMMYFUNCTION("""COMPUTED_VALUE"""),"Northern Arizona")</f>
        <v>Northern Arizona</v>
      </c>
      <c r="C188" s="1" t="str">
        <f ca="1">IFERROR(__xludf.DUMMYFUNCTION("""COMPUTED_VALUE"""),"BSky")</f>
        <v>BSky</v>
      </c>
      <c r="D188" s="1" t="str">
        <f ca="1">IFERROR(__xludf.DUMMYFUNCTION("""COMPUTED_VALUE"""),"23-15")</f>
        <v>23-15</v>
      </c>
      <c r="E188" s="1">
        <f ca="1">IFERROR(__xludf.DUMMYFUNCTION("""COMPUTED_VALUE"""),-1.12)</f>
        <v>-1.1200000000000001</v>
      </c>
      <c r="F188" s="1">
        <f ca="1">IFERROR(__xludf.DUMMYFUNCTION("""COMPUTED_VALUE"""),102.2)</f>
        <v>102.2</v>
      </c>
      <c r="G188" s="1">
        <f ca="1">IFERROR(__xludf.DUMMYFUNCTION("""COMPUTED_VALUE"""),217)</f>
        <v>217</v>
      </c>
      <c r="H188" s="1">
        <f ca="1">IFERROR(__xludf.DUMMYFUNCTION("""COMPUTED_VALUE"""),103.4)</f>
        <v>103.4</v>
      </c>
      <c r="I188" s="1">
        <f ca="1">IFERROR(__xludf.DUMMYFUNCTION("""COMPUTED_VALUE"""),155)</f>
        <v>155</v>
      </c>
      <c r="J188" s="1">
        <f ca="1">IFERROR(__xludf.DUMMYFUNCTION("""COMPUTED_VALUE"""),64.8)</f>
        <v>64.8</v>
      </c>
      <c r="K188" s="1">
        <f ca="1">IFERROR(__xludf.DUMMYFUNCTION("""COMPUTED_VALUE"""),147)</f>
        <v>147</v>
      </c>
      <c r="L188" s="1" t="str">
        <f ca="1">IFERROR(__xludf.DUMMYFUNCTION("""COMPUTED_VALUE"""),"+.063")</f>
        <v>+.063</v>
      </c>
      <c r="M188" s="1">
        <f ca="1">IFERROR(__xludf.DUMMYFUNCTION("""COMPUTED_VALUE"""),46)</f>
        <v>46</v>
      </c>
      <c r="N188" s="1">
        <f ca="1">IFERROR(__xludf.DUMMYFUNCTION("""COMPUTED_VALUE"""),-3.88)</f>
        <v>-3.88</v>
      </c>
      <c r="O188" s="1">
        <f ca="1">IFERROR(__xludf.DUMMYFUNCTION("""COMPUTED_VALUE"""),243)</f>
        <v>243</v>
      </c>
      <c r="P188" s="1">
        <f ca="1">IFERROR(__xludf.DUMMYFUNCTION("""COMPUTED_VALUE"""),104.7)</f>
        <v>104.7</v>
      </c>
      <c r="Q188" s="1">
        <f ca="1">IFERROR(__xludf.DUMMYFUNCTION("""COMPUTED_VALUE"""),122)</f>
        <v>122</v>
      </c>
      <c r="R188" s="1">
        <f ca="1">IFERROR(__xludf.DUMMYFUNCTION("""COMPUTED_VALUE"""),108.6)</f>
        <v>108.6</v>
      </c>
      <c r="S188" s="1">
        <f ca="1">IFERROR(__xludf.DUMMYFUNCTION("""COMPUTED_VALUE"""),335)</f>
        <v>335</v>
      </c>
      <c r="T188" s="1" t="str">
        <f ca="1">IFERROR(__xludf.DUMMYFUNCTION("""COMPUTED_VALUE"""),"+2.99")</f>
        <v>+2.99</v>
      </c>
      <c r="U188" s="1">
        <f ca="1">IFERROR(__xludf.DUMMYFUNCTION("""COMPUTED_VALUE"""),68)</f>
        <v>68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IFERROR(__xludf.DUMMYFUNCTION("""COMPUTED_VALUE"""),"Northern Illinois")</f>
        <v>Northern Illinois</v>
      </c>
      <c r="C189" s="1" t="str">
        <f ca="1">IFERROR(__xludf.DUMMYFUNCTION("""COMPUTED_VALUE"""),"MAC")</f>
        <v>MAC</v>
      </c>
      <c r="D189" s="1" t="str">
        <f ca="1">IFERROR(__xludf.DUMMYFUNCTION("""COMPUTED_VALUE"""),"14-16")</f>
        <v>14-16</v>
      </c>
      <c r="E189" s="1">
        <f ca="1">IFERROR(__xludf.DUMMYFUNCTION("""COMPUTED_VALUE"""),-1.2)</f>
        <v>-1.2</v>
      </c>
      <c r="F189" s="1">
        <f ca="1">IFERROR(__xludf.DUMMYFUNCTION("""COMPUTED_VALUE"""),102.8)</f>
        <v>102.8</v>
      </c>
      <c r="G189" s="1">
        <f ca="1">IFERROR(__xludf.DUMMYFUNCTION("""COMPUTED_VALUE"""),207)</f>
        <v>207</v>
      </c>
      <c r="H189" s="1">
        <f ca="1">IFERROR(__xludf.DUMMYFUNCTION("""COMPUTED_VALUE"""),104)</f>
        <v>104</v>
      </c>
      <c r="I189" s="1">
        <f ca="1">IFERROR(__xludf.DUMMYFUNCTION("""COMPUTED_VALUE"""),163)</f>
        <v>163</v>
      </c>
      <c r="J189" s="1">
        <f ca="1">IFERROR(__xludf.DUMMYFUNCTION("""COMPUTED_VALUE"""),62.5)</f>
        <v>62.5</v>
      </c>
      <c r="K189" s="1">
        <f ca="1">IFERROR(__xludf.DUMMYFUNCTION("""COMPUTED_VALUE"""),273)</f>
        <v>273</v>
      </c>
      <c r="L189" s="1" t="str">
        <f ca="1">IFERROR(__xludf.DUMMYFUNCTION("""COMPUTED_VALUE"""),"+.005")</f>
        <v>+.005</v>
      </c>
      <c r="M189" s="1">
        <f ca="1">IFERROR(__xludf.DUMMYFUNCTION("""COMPUTED_VALUE"""),175)</f>
        <v>175</v>
      </c>
      <c r="N189" s="1" t="str">
        <f ca="1">IFERROR(__xludf.DUMMYFUNCTION("""COMPUTED_VALUE"""),"+0.46")</f>
        <v>+0.46</v>
      </c>
      <c r="O189" s="1">
        <f ca="1">IFERROR(__xludf.DUMMYFUNCTION("""COMPUTED_VALUE"""),134)</f>
        <v>134</v>
      </c>
      <c r="P189" s="1">
        <f ca="1">IFERROR(__xludf.DUMMYFUNCTION("""COMPUTED_VALUE"""),105.6)</f>
        <v>105.6</v>
      </c>
      <c r="Q189" s="1">
        <f ca="1">IFERROR(__xludf.DUMMYFUNCTION("""COMPUTED_VALUE"""),101)</f>
        <v>101</v>
      </c>
      <c r="R189" s="1">
        <f ca="1">IFERROR(__xludf.DUMMYFUNCTION("""COMPUTED_VALUE"""),105.1)</f>
        <v>105.1</v>
      </c>
      <c r="S189" s="1">
        <f ca="1">IFERROR(__xludf.DUMMYFUNCTION("""COMPUTED_VALUE"""),186)</f>
        <v>186</v>
      </c>
      <c r="T189" s="1">
        <f ca="1">IFERROR(__xludf.DUMMYFUNCTION("""COMPUTED_VALUE"""),-4.01)</f>
        <v>-4.01</v>
      </c>
      <c r="U189" s="1">
        <f ca="1">IFERROR(__xludf.DUMMYFUNCTION("""COMPUTED_VALUE"""),283)</f>
        <v>283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IFERROR(__xludf.DUMMYFUNCTION("""COMPUTED_VALUE"""),"Colgate")</f>
        <v>Colgate</v>
      </c>
      <c r="C190" s="1" t="str">
        <f ca="1">IFERROR(__xludf.DUMMYFUNCTION("""COMPUTED_VALUE"""),"Pat")</f>
        <v>Pat</v>
      </c>
      <c r="D190" s="1" t="str">
        <f ca="1">IFERROR(__xludf.DUMMYFUNCTION("""COMPUTED_VALUE"""),"16-17")</f>
        <v>16-17</v>
      </c>
      <c r="E190" s="1">
        <f ca="1">IFERROR(__xludf.DUMMYFUNCTION("""COMPUTED_VALUE"""),-1.24)</f>
        <v>-1.24</v>
      </c>
      <c r="F190" s="1">
        <f ca="1">IFERROR(__xludf.DUMMYFUNCTION("""COMPUTED_VALUE"""),108)</f>
        <v>108</v>
      </c>
      <c r="G190" s="1">
        <f ca="1">IFERROR(__xludf.DUMMYFUNCTION("""COMPUTED_VALUE"""),97)</f>
        <v>97</v>
      </c>
      <c r="H190" s="1">
        <f ca="1">IFERROR(__xludf.DUMMYFUNCTION("""COMPUTED_VALUE"""),109.2)</f>
        <v>109.2</v>
      </c>
      <c r="I190" s="1">
        <f ca="1">IFERROR(__xludf.DUMMYFUNCTION("""COMPUTED_VALUE"""),271)</f>
        <v>271</v>
      </c>
      <c r="J190" s="1">
        <f ca="1">IFERROR(__xludf.DUMMYFUNCTION("""COMPUTED_VALUE"""),60.7)</f>
        <v>60.7</v>
      </c>
      <c r="K190" s="1">
        <f ca="1">IFERROR(__xludf.DUMMYFUNCTION("""COMPUTED_VALUE"""),325)</f>
        <v>325</v>
      </c>
      <c r="L190" s="1">
        <f ca="1">IFERROR(__xludf.DUMMYFUNCTION("""COMPUTED_VALUE"""),-0.055)</f>
        <v>-5.5E-2</v>
      </c>
      <c r="M190" s="1">
        <f ca="1">IFERROR(__xludf.DUMMYFUNCTION("""COMPUTED_VALUE"""),304)</f>
        <v>304</v>
      </c>
      <c r="N190" s="1">
        <f ca="1">IFERROR(__xludf.DUMMYFUNCTION("""COMPUTED_VALUE"""),-3.48)</f>
        <v>-3.48</v>
      </c>
      <c r="O190" s="1">
        <f ca="1">IFERROR(__xludf.DUMMYFUNCTION("""COMPUTED_VALUE"""),230)</f>
        <v>230</v>
      </c>
      <c r="P190" s="1">
        <f ca="1">IFERROR(__xludf.DUMMYFUNCTION("""COMPUTED_VALUE"""),102.8)</f>
        <v>102.8</v>
      </c>
      <c r="Q190" s="1">
        <f ca="1">IFERROR(__xludf.DUMMYFUNCTION("""COMPUTED_VALUE"""),227)</f>
        <v>227</v>
      </c>
      <c r="R190" s="1">
        <f ca="1">IFERROR(__xludf.DUMMYFUNCTION("""COMPUTED_VALUE"""),106.3)</f>
        <v>106.3</v>
      </c>
      <c r="S190" s="1">
        <f ca="1">IFERROR(__xludf.DUMMYFUNCTION("""COMPUTED_VALUE"""),241)</f>
        <v>241</v>
      </c>
      <c r="T190" s="1" t="str">
        <f ca="1">IFERROR(__xludf.DUMMYFUNCTION("""COMPUTED_VALUE"""),"+3.71")</f>
        <v>+3.71</v>
      </c>
      <c r="U190" s="1">
        <f ca="1">IFERROR(__xludf.DUMMYFUNCTION("""COMPUTED_VALUE"""),52)</f>
        <v>52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IFERROR(__xludf.DUMMYFUNCTION("""COMPUTED_VALUE"""),"USC Upstate")</f>
        <v>USC Upstate</v>
      </c>
      <c r="C191" s="1" t="str">
        <f ca="1">IFERROR(__xludf.DUMMYFUNCTION("""COMPUTED_VALUE"""),"ASun")</f>
        <v>ASun</v>
      </c>
      <c r="D191" s="1" t="str">
        <f ca="1">IFERROR(__xludf.DUMMYFUNCTION("""COMPUTED_VALUE"""),"24-12")</f>
        <v>24-12</v>
      </c>
      <c r="E191" s="1">
        <f ca="1">IFERROR(__xludf.DUMMYFUNCTION("""COMPUTED_VALUE"""),-1.25)</f>
        <v>-1.25</v>
      </c>
      <c r="F191" s="1">
        <f ca="1">IFERROR(__xludf.DUMMYFUNCTION("""COMPUTED_VALUE"""),103.5)</f>
        <v>103.5</v>
      </c>
      <c r="G191" s="1">
        <f ca="1">IFERROR(__xludf.DUMMYFUNCTION("""COMPUTED_VALUE"""),186)</f>
        <v>186</v>
      </c>
      <c r="H191" s="1">
        <f ca="1">IFERROR(__xludf.DUMMYFUNCTION("""COMPUTED_VALUE"""),104.7)</f>
        <v>104.7</v>
      </c>
      <c r="I191" s="1">
        <f ca="1">IFERROR(__xludf.DUMMYFUNCTION("""COMPUTED_VALUE"""),178)</f>
        <v>178</v>
      </c>
      <c r="J191" s="1">
        <f ca="1">IFERROR(__xludf.DUMMYFUNCTION("""COMPUTED_VALUE"""),63.3)</f>
        <v>63.3</v>
      </c>
      <c r="K191" s="1">
        <f ca="1">IFERROR(__xludf.DUMMYFUNCTION("""COMPUTED_VALUE"""),236)</f>
        <v>236</v>
      </c>
      <c r="L191" s="1">
        <f ca="1">IFERROR(__xludf.DUMMYFUNCTION("""COMPUTED_VALUE"""),-0.025)</f>
        <v>-2.5000000000000001E-2</v>
      </c>
      <c r="M191" s="1">
        <f ca="1">IFERROR(__xludf.DUMMYFUNCTION("""COMPUTED_VALUE"""),242)</f>
        <v>242</v>
      </c>
      <c r="N191" s="1">
        <f ca="1">IFERROR(__xludf.DUMMYFUNCTION("""COMPUTED_VALUE"""),-9.37)</f>
        <v>-9.3699999999999992</v>
      </c>
      <c r="O191" s="1">
        <f ca="1">IFERROR(__xludf.DUMMYFUNCTION("""COMPUTED_VALUE"""),346)</f>
        <v>346</v>
      </c>
      <c r="P191" s="1">
        <f ca="1">IFERROR(__xludf.DUMMYFUNCTION("""COMPUTED_VALUE"""),99.8)</f>
        <v>99.8</v>
      </c>
      <c r="Q191" s="1">
        <f ca="1">IFERROR(__xludf.DUMMYFUNCTION("""COMPUTED_VALUE"""),336)</f>
        <v>336</v>
      </c>
      <c r="R191" s="1">
        <f ca="1">IFERROR(__xludf.DUMMYFUNCTION("""COMPUTED_VALUE"""),109.2)</f>
        <v>109.2</v>
      </c>
      <c r="S191" s="1">
        <f ca="1">IFERROR(__xludf.DUMMYFUNCTION("""COMPUTED_VALUE"""),349)</f>
        <v>349</v>
      </c>
      <c r="T191" s="1">
        <f ca="1">IFERROR(__xludf.DUMMYFUNCTION("""COMPUTED_VALUE"""),-7.74)</f>
        <v>-7.74</v>
      </c>
      <c r="U191" s="1">
        <f ca="1">IFERROR(__xludf.DUMMYFUNCTION("""COMPUTED_VALUE"""),336)</f>
        <v>336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IFERROR(__xludf.DUMMYFUNCTION("""COMPUTED_VALUE"""),"Detroit")</f>
        <v>Detroit</v>
      </c>
      <c r="C192" s="1" t="str">
        <f ca="1">IFERROR(__xludf.DUMMYFUNCTION("""COMPUTED_VALUE"""),"Horz")</f>
        <v>Horz</v>
      </c>
      <c r="D192" s="1" t="str">
        <f ca="1">IFERROR(__xludf.DUMMYFUNCTION("""COMPUTED_VALUE"""),"15-18")</f>
        <v>15-18</v>
      </c>
      <c r="E192" s="1">
        <f ca="1">IFERROR(__xludf.DUMMYFUNCTION("""COMPUTED_VALUE"""),-1.34)</f>
        <v>-1.34</v>
      </c>
      <c r="F192" s="1">
        <f ca="1">IFERROR(__xludf.DUMMYFUNCTION("""COMPUTED_VALUE"""),103.3)</f>
        <v>103.3</v>
      </c>
      <c r="G192" s="1">
        <f ca="1">IFERROR(__xludf.DUMMYFUNCTION("""COMPUTED_VALUE"""),192)</f>
        <v>192</v>
      </c>
      <c r="H192" s="1">
        <f ca="1">IFERROR(__xludf.DUMMYFUNCTION("""COMPUTED_VALUE"""),104.6)</f>
        <v>104.6</v>
      </c>
      <c r="I192" s="1">
        <f ca="1">IFERROR(__xludf.DUMMYFUNCTION("""COMPUTED_VALUE"""),175)</f>
        <v>175</v>
      </c>
      <c r="J192" s="1">
        <f ca="1">IFERROR(__xludf.DUMMYFUNCTION("""COMPUTED_VALUE"""),67.3)</f>
        <v>67.3</v>
      </c>
      <c r="K192" s="1">
        <f ca="1">IFERROR(__xludf.DUMMYFUNCTION("""COMPUTED_VALUE"""),45)</f>
        <v>45</v>
      </c>
      <c r="L192" s="1">
        <f ca="1">IFERROR(__xludf.DUMMYFUNCTION("""COMPUTED_VALUE"""),-0.008)</f>
        <v>-8.0000000000000002E-3</v>
      </c>
      <c r="M192" s="1">
        <f ca="1">IFERROR(__xludf.DUMMYFUNCTION("""COMPUTED_VALUE"""),204)</f>
        <v>204</v>
      </c>
      <c r="N192" s="1" t="str">
        <f ca="1">IFERROR(__xludf.DUMMYFUNCTION("""COMPUTED_VALUE"""),"+0.91")</f>
        <v>+0.91</v>
      </c>
      <c r="O192" s="1">
        <f ca="1">IFERROR(__xludf.DUMMYFUNCTION("""COMPUTED_VALUE"""),126)</f>
        <v>126</v>
      </c>
      <c r="P192" s="1">
        <f ca="1">IFERROR(__xludf.DUMMYFUNCTION("""COMPUTED_VALUE"""),106)</f>
        <v>106</v>
      </c>
      <c r="Q192" s="1">
        <f ca="1">IFERROR(__xludf.DUMMYFUNCTION("""COMPUTED_VALUE"""),92)</f>
        <v>92</v>
      </c>
      <c r="R192" s="1">
        <f ca="1">IFERROR(__xludf.DUMMYFUNCTION("""COMPUTED_VALUE"""),105.1)</f>
        <v>105.1</v>
      </c>
      <c r="S192" s="1">
        <f ca="1">IFERROR(__xludf.DUMMYFUNCTION("""COMPUTED_VALUE"""),183)</f>
        <v>183</v>
      </c>
      <c r="T192" s="1" t="str">
        <f ca="1">IFERROR(__xludf.DUMMYFUNCTION("""COMPUTED_VALUE"""),"+4.35")</f>
        <v>+4.35</v>
      </c>
      <c r="U192" s="1">
        <f ca="1">IFERROR(__xludf.DUMMYFUNCTION("""COMPUTED_VALUE"""),41)</f>
        <v>41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IFERROR(__xludf.DUMMYFUNCTION("""COMPUTED_VALUE"""),"Monmouth")</f>
        <v>Monmouth</v>
      </c>
      <c r="C193" s="1" t="str">
        <f ca="1">IFERROR(__xludf.DUMMYFUNCTION("""COMPUTED_VALUE"""),"MAAC")</f>
        <v>MAAC</v>
      </c>
      <c r="D193" s="1" t="str">
        <f ca="1">IFERROR(__xludf.DUMMYFUNCTION("""COMPUTED_VALUE"""),"18-15")</f>
        <v>18-15</v>
      </c>
      <c r="E193" s="1">
        <f ca="1">IFERROR(__xludf.DUMMYFUNCTION("""COMPUTED_VALUE"""),-1.38)</f>
        <v>-1.38</v>
      </c>
      <c r="F193" s="1">
        <f ca="1">IFERROR(__xludf.DUMMYFUNCTION("""COMPUTED_VALUE"""),100.8)</f>
        <v>100.8</v>
      </c>
      <c r="G193" s="1">
        <f ca="1">IFERROR(__xludf.DUMMYFUNCTION("""COMPUTED_VALUE"""),243)</f>
        <v>243</v>
      </c>
      <c r="H193" s="1">
        <f ca="1">IFERROR(__xludf.DUMMYFUNCTION("""COMPUTED_VALUE"""),102.1)</f>
        <v>102.1</v>
      </c>
      <c r="I193" s="1">
        <f ca="1">IFERROR(__xludf.DUMMYFUNCTION("""COMPUTED_VALUE"""),129)</f>
        <v>129</v>
      </c>
      <c r="J193" s="1">
        <f ca="1">IFERROR(__xludf.DUMMYFUNCTION("""COMPUTED_VALUE"""),63.6)</f>
        <v>63.6</v>
      </c>
      <c r="K193" s="1">
        <f ca="1">IFERROR(__xludf.DUMMYFUNCTION("""COMPUTED_VALUE"""),218)</f>
        <v>218</v>
      </c>
      <c r="L193" s="1" t="str">
        <f ca="1">IFERROR(__xludf.DUMMYFUNCTION("""COMPUTED_VALUE"""),"+.012")</f>
        <v>+.012</v>
      </c>
      <c r="M193" s="1">
        <f ca="1">IFERROR(__xludf.DUMMYFUNCTION("""COMPUTED_VALUE"""),154)</f>
        <v>154</v>
      </c>
      <c r="N193" s="1">
        <f ca="1">IFERROR(__xludf.DUMMYFUNCTION("""COMPUTED_VALUE"""),-3.53)</f>
        <v>-3.53</v>
      </c>
      <c r="O193" s="1">
        <f ca="1">IFERROR(__xludf.DUMMYFUNCTION("""COMPUTED_VALUE"""),233)</f>
        <v>233</v>
      </c>
      <c r="P193" s="1">
        <f ca="1">IFERROR(__xludf.DUMMYFUNCTION("""COMPUTED_VALUE"""),102.1)</f>
        <v>102.1</v>
      </c>
      <c r="Q193" s="1">
        <f ca="1">IFERROR(__xludf.DUMMYFUNCTION("""COMPUTED_VALUE"""),271)</f>
        <v>271</v>
      </c>
      <c r="R193" s="1">
        <f ca="1">IFERROR(__xludf.DUMMYFUNCTION("""COMPUTED_VALUE"""),105.6)</f>
        <v>105.6</v>
      </c>
      <c r="S193" s="1">
        <f ca="1">IFERROR(__xludf.DUMMYFUNCTION("""COMPUTED_VALUE"""),217)</f>
        <v>217</v>
      </c>
      <c r="T193" s="1">
        <f ca="1">IFERROR(__xludf.DUMMYFUNCTION("""COMPUTED_VALUE"""),-3.2)</f>
        <v>-3.2</v>
      </c>
      <c r="U193" s="1">
        <f ca="1">IFERROR(__xludf.DUMMYFUNCTION("""COMPUTED_VALUE"""),255)</f>
        <v>255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IFERROR(__xludf.DUMMYFUNCTION("""COMPUTED_VALUE"""),"Robert Morris16")</f>
        <v>Robert Morris16</v>
      </c>
      <c r="C194" s="1" t="str">
        <f ca="1">IFERROR(__xludf.DUMMYFUNCTION("""COMPUTED_VALUE"""),"NEC")</f>
        <v>NEC</v>
      </c>
      <c r="D194" s="1" t="str">
        <f ca="1">IFERROR(__xludf.DUMMYFUNCTION("""COMPUTED_VALUE"""),"20-15")</f>
        <v>20-15</v>
      </c>
      <c r="E194" s="1">
        <f ca="1">IFERROR(__xludf.DUMMYFUNCTION("""COMPUTED_VALUE"""),-1.39)</f>
        <v>-1.39</v>
      </c>
      <c r="F194" s="1">
        <f ca="1">IFERROR(__xludf.DUMMYFUNCTION("""COMPUTED_VALUE"""),103.1)</f>
        <v>103.1</v>
      </c>
      <c r="G194" s="1">
        <f ca="1">IFERROR(__xludf.DUMMYFUNCTION("""COMPUTED_VALUE"""),197)</f>
        <v>197</v>
      </c>
      <c r="H194" s="1">
        <f ca="1">IFERROR(__xludf.DUMMYFUNCTION("""COMPUTED_VALUE"""),104.5)</f>
        <v>104.5</v>
      </c>
      <c r="I194" s="1">
        <f ca="1">IFERROR(__xludf.DUMMYFUNCTION("""COMPUTED_VALUE"""),172)</f>
        <v>172</v>
      </c>
      <c r="J194" s="1">
        <f ca="1">IFERROR(__xludf.DUMMYFUNCTION("""COMPUTED_VALUE"""),65.4)</f>
        <v>65.400000000000006</v>
      </c>
      <c r="K194" s="1">
        <f ca="1">IFERROR(__xludf.DUMMYFUNCTION("""COMPUTED_VALUE"""),118)</f>
        <v>118</v>
      </c>
      <c r="L194" s="1" t="str">
        <f ca="1">IFERROR(__xludf.DUMMYFUNCTION("""COMPUTED_VALUE"""),"+.055")</f>
        <v>+.055</v>
      </c>
      <c r="M194" s="1">
        <f ca="1">IFERROR(__xludf.DUMMYFUNCTION("""COMPUTED_VALUE"""),54)</f>
        <v>54</v>
      </c>
      <c r="N194" s="1">
        <f ca="1">IFERROR(__xludf.DUMMYFUNCTION("""COMPUTED_VALUE"""),-4.59)</f>
        <v>-4.59</v>
      </c>
      <c r="O194" s="1">
        <f ca="1">IFERROR(__xludf.DUMMYFUNCTION("""COMPUTED_VALUE"""),264)</f>
        <v>264</v>
      </c>
      <c r="P194" s="1">
        <f ca="1">IFERROR(__xludf.DUMMYFUNCTION("""COMPUTED_VALUE"""),102.7)</f>
        <v>102.7</v>
      </c>
      <c r="Q194" s="1">
        <f ca="1">IFERROR(__xludf.DUMMYFUNCTION("""COMPUTED_VALUE"""),233)</f>
        <v>233</v>
      </c>
      <c r="R194" s="1">
        <f ca="1">IFERROR(__xludf.DUMMYFUNCTION("""COMPUTED_VALUE"""),107.3)</f>
        <v>107.3</v>
      </c>
      <c r="S194" s="1">
        <f ca="1">IFERROR(__xludf.DUMMYFUNCTION("""COMPUTED_VALUE"""),287)</f>
        <v>287</v>
      </c>
      <c r="T194" s="1" t="str">
        <f ca="1">IFERROR(__xludf.DUMMYFUNCTION("""COMPUTED_VALUE"""),"+2.49")</f>
        <v>+2.49</v>
      </c>
      <c r="U194" s="1">
        <f ca="1">IFERROR(__xludf.DUMMYFUNCTION("""COMPUTED_VALUE"""),86)</f>
        <v>86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IFERROR(__xludf.DUMMYFUNCTION("""COMPUTED_VALUE"""),"Mercer")</f>
        <v>Mercer</v>
      </c>
      <c r="C195" s="1" t="str">
        <f ca="1">IFERROR(__xludf.DUMMYFUNCTION("""COMPUTED_VALUE"""),"SC")</f>
        <v>SC</v>
      </c>
      <c r="D195" s="1" t="str">
        <f ca="1">IFERROR(__xludf.DUMMYFUNCTION("""COMPUTED_VALUE"""),"19-16")</f>
        <v>19-16</v>
      </c>
      <c r="E195" s="1">
        <f ca="1">IFERROR(__xludf.DUMMYFUNCTION("""COMPUTED_VALUE"""),-1.52)</f>
        <v>-1.52</v>
      </c>
      <c r="F195" s="1">
        <f ca="1">IFERROR(__xludf.DUMMYFUNCTION("""COMPUTED_VALUE"""),104.5)</f>
        <v>104.5</v>
      </c>
      <c r="G195" s="1">
        <f ca="1">IFERROR(__xludf.DUMMYFUNCTION("""COMPUTED_VALUE"""),168)</f>
        <v>168</v>
      </c>
      <c r="H195" s="1">
        <f ca="1">IFERROR(__xludf.DUMMYFUNCTION("""COMPUTED_VALUE"""),106)</f>
        <v>106</v>
      </c>
      <c r="I195" s="1">
        <f ca="1">IFERROR(__xludf.DUMMYFUNCTION("""COMPUTED_VALUE"""),201)</f>
        <v>201</v>
      </c>
      <c r="J195" s="1">
        <f ca="1">IFERROR(__xludf.DUMMYFUNCTION("""COMPUTED_VALUE"""),60.9)</f>
        <v>60.9</v>
      </c>
      <c r="K195" s="1">
        <f ca="1">IFERROR(__xludf.DUMMYFUNCTION("""COMPUTED_VALUE"""),321)</f>
        <v>321</v>
      </c>
      <c r="L195" s="1">
        <f ca="1">IFERROR(__xludf.DUMMYFUNCTION("""COMPUTED_VALUE"""),-0.049)</f>
        <v>-4.9000000000000002E-2</v>
      </c>
      <c r="M195" s="1">
        <f ca="1">IFERROR(__xludf.DUMMYFUNCTION("""COMPUTED_VALUE"""),293)</f>
        <v>293</v>
      </c>
      <c r="N195" s="1">
        <f ca="1">IFERROR(__xludf.DUMMYFUNCTION("""COMPUTED_VALUE"""),-5.49)</f>
        <v>-5.49</v>
      </c>
      <c r="O195" s="1">
        <f ca="1">IFERROR(__xludf.DUMMYFUNCTION("""COMPUTED_VALUE"""),295)</f>
        <v>295</v>
      </c>
      <c r="P195" s="1">
        <f ca="1">IFERROR(__xludf.DUMMYFUNCTION("""COMPUTED_VALUE"""),102.1)</f>
        <v>102.1</v>
      </c>
      <c r="Q195" s="1">
        <f ca="1">IFERROR(__xludf.DUMMYFUNCTION("""COMPUTED_VALUE"""),269)</f>
        <v>269</v>
      </c>
      <c r="R195" s="1">
        <f ca="1">IFERROR(__xludf.DUMMYFUNCTION("""COMPUTED_VALUE"""),107.6)</f>
        <v>107.6</v>
      </c>
      <c r="S195" s="1">
        <f ca="1">IFERROR(__xludf.DUMMYFUNCTION("""COMPUTED_VALUE"""),297)</f>
        <v>297</v>
      </c>
      <c r="T195" s="1" t="str">
        <f ca="1">IFERROR(__xludf.DUMMYFUNCTION("""COMPUTED_VALUE"""),"+2.33")</f>
        <v>+2.33</v>
      </c>
      <c r="U195" s="1">
        <f ca="1">IFERROR(__xludf.DUMMYFUNCTION("""COMPUTED_VALUE"""),89)</f>
        <v>89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IFERROR(__xludf.DUMMYFUNCTION("""COMPUTED_VALUE"""),"Washington St.")</f>
        <v>Washington St.</v>
      </c>
      <c r="C196" s="1" t="str">
        <f ca="1">IFERROR(__xludf.DUMMYFUNCTION("""COMPUTED_VALUE"""),"P12")</f>
        <v>P12</v>
      </c>
      <c r="D196" s="1" t="str">
        <f ca="1">IFERROR(__xludf.DUMMYFUNCTION("""COMPUTED_VALUE"""),"13-18")</f>
        <v>13-18</v>
      </c>
      <c r="E196" s="1">
        <f ca="1">IFERROR(__xludf.DUMMYFUNCTION("""COMPUTED_VALUE"""),-1.67)</f>
        <v>-1.67</v>
      </c>
      <c r="F196" s="1">
        <f ca="1">IFERROR(__xludf.DUMMYFUNCTION("""COMPUTED_VALUE"""),109.1)</f>
        <v>109.1</v>
      </c>
      <c r="G196" s="1">
        <f ca="1">IFERROR(__xludf.DUMMYFUNCTION("""COMPUTED_VALUE"""),77)</f>
        <v>77</v>
      </c>
      <c r="H196" s="1">
        <f ca="1">IFERROR(__xludf.DUMMYFUNCTION("""COMPUTED_VALUE"""),110.8)</f>
        <v>110.8</v>
      </c>
      <c r="I196" s="1">
        <f ca="1">IFERROR(__xludf.DUMMYFUNCTION("""COMPUTED_VALUE"""),298)</f>
        <v>298</v>
      </c>
      <c r="J196" s="1">
        <f ca="1">IFERROR(__xludf.DUMMYFUNCTION("""COMPUTED_VALUE"""),67.2)</f>
        <v>67.2</v>
      </c>
      <c r="K196" s="1">
        <f ca="1">IFERROR(__xludf.DUMMYFUNCTION("""COMPUTED_VALUE"""),49)</f>
        <v>49</v>
      </c>
      <c r="L196" s="1" t="str">
        <f ca="1">IFERROR(__xludf.DUMMYFUNCTION("""COMPUTED_VALUE"""),"+.085")</f>
        <v>+.085</v>
      </c>
      <c r="M196" s="1">
        <f ca="1">IFERROR(__xludf.DUMMYFUNCTION("""COMPUTED_VALUE"""),18)</f>
        <v>18</v>
      </c>
      <c r="N196" s="1" t="str">
        <f ca="1">IFERROR(__xludf.DUMMYFUNCTION("""COMPUTED_VALUE"""),"+6.52")</f>
        <v>+6.52</v>
      </c>
      <c r="O196" s="1">
        <f ca="1">IFERROR(__xludf.DUMMYFUNCTION("""COMPUTED_VALUE"""),60)</f>
        <v>60</v>
      </c>
      <c r="P196" s="1">
        <f ca="1">IFERROR(__xludf.DUMMYFUNCTION("""COMPUTED_VALUE"""),107.6)</f>
        <v>107.6</v>
      </c>
      <c r="Q196" s="1">
        <f ca="1">IFERROR(__xludf.DUMMYFUNCTION("""COMPUTED_VALUE"""),58)</f>
        <v>58</v>
      </c>
      <c r="R196" s="1">
        <f ca="1">IFERROR(__xludf.DUMMYFUNCTION("""COMPUTED_VALUE"""),101.1)</f>
        <v>101.1</v>
      </c>
      <c r="S196" s="1">
        <f ca="1">IFERROR(__xludf.DUMMYFUNCTION("""COMPUTED_VALUE"""),54)</f>
        <v>54</v>
      </c>
      <c r="T196" s="1">
        <f ca="1">IFERROR(__xludf.DUMMYFUNCTION("""COMPUTED_VALUE"""),-1.81)</f>
        <v>-1.81</v>
      </c>
      <c r="U196" s="1">
        <f ca="1">IFERROR(__xludf.DUMMYFUNCTION("""COMPUTED_VALUE"""),211)</f>
        <v>211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IFERROR(__xludf.DUMMYFUNCTION("""COMPUTED_VALUE"""),"Saint Peter's")</f>
        <v>Saint Peter's</v>
      </c>
      <c r="C197" s="1" t="str">
        <f ca="1">IFERROR(__xludf.DUMMYFUNCTION("""COMPUTED_VALUE"""),"MAAC")</f>
        <v>MAAC</v>
      </c>
      <c r="D197" s="1" t="str">
        <f ca="1">IFERROR(__xludf.DUMMYFUNCTION("""COMPUTED_VALUE"""),"16-18")</f>
        <v>16-18</v>
      </c>
      <c r="E197" s="1">
        <f ca="1">IFERROR(__xludf.DUMMYFUNCTION("""COMPUTED_VALUE"""),-1.72)</f>
        <v>-1.72</v>
      </c>
      <c r="F197" s="1">
        <f ca="1">IFERROR(__xludf.DUMMYFUNCTION("""COMPUTED_VALUE"""),100)</f>
        <v>100</v>
      </c>
      <c r="G197" s="1">
        <f ca="1">IFERROR(__xludf.DUMMYFUNCTION("""COMPUTED_VALUE"""),254)</f>
        <v>254</v>
      </c>
      <c r="H197" s="1">
        <f ca="1">IFERROR(__xludf.DUMMYFUNCTION("""COMPUTED_VALUE"""),101.7)</f>
        <v>101.7</v>
      </c>
      <c r="I197" s="1">
        <f ca="1">IFERROR(__xludf.DUMMYFUNCTION("""COMPUTED_VALUE"""),123)</f>
        <v>123</v>
      </c>
      <c r="J197" s="1">
        <f ca="1">IFERROR(__xludf.DUMMYFUNCTION("""COMPUTED_VALUE"""),60.2)</f>
        <v>60.2</v>
      </c>
      <c r="K197" s="1">
        <f ca="1">IFERROR(__xludf.DUMMYFUNCTION("""COMPUTED_VALUE"""),337)</f>
        <v>337</v>
      </c>
      <c r="L197" s="1">
        <f ca="1">IFERROR(__xludf.DUMMYFUNCTION("""COMPUTED_VALUE"""),-0.067)</f>
        <v>-6.7000000000000004E-2</v>
      </c>
      <c r="M197" s="1">
        <f ca="1">IFERROR(__xludf.DUMMYFUNCTION("""COMPUTED_VALUE"""),320)</f>
        <v>320</v>
      </c>
      <c r="N197" s="1">
        <f ca="1">IFERROR(__xludf.DUMMYFUNCTION("""COMPUTED_VALUE"""),-4.04)</f>
        <v>-4.04</v>
      </c>
      <c r="O197" s="1">
        <f ca="1">IFERROR(__xludf.DUMMYFUNCTION("""COMPUTED_VALUE"""),247)</f>
        <v>247</v>
      </c>
      <c r="P197" s="1">
        <f ca="1">IFERROR(__xludf.DUMMYFUNCTION("""COMPUTED_VALUE"""),101.5)</f>
        <v>101.5</v>
      </c>
      <c r="Q197" s="1">
        <f ca="1">IFERROR(__xludf.DUMMYFUNCTION("""COMPUTED_VALUE"""),303)</f>
        <v>303</v>
      </c>
      <c r="R197" s="1">
        <f ca="1">IFERROR(__xludf.DUMMYFUNCTION("""COMPUTED_VALUE"""),105.5)</f>
        <v>105.5</v>
      </c>
      <c r="S197" s="1">
        <f ca="1">IFERROR(__xludf.DUMMYFUNCTION("""COMPUTED_VALUE"""),204)</f>
        <v>204</v>
      </c>
      <c r="T197" s="1">
        <f ca="1">IFERROR(__xludf.DUMMYFUNCTION("""COMPUTED_VALUE"""),-3.4)</f>
        <v>-3.4</v>
      </c>
      <c r="U197" s="1">
        <f ca="1">IFERROR(__xludf.DUMMYFUNCTION("""COMPUTED_VALUE"""),259)</f>
        <v>259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IFERROR(__xludf.DUMMYFUNCTION("""COMPUTED_VALUE"""),"American")</f>
        <v>American</v>
      </c>
      <c r="C198" s="1" t="str">
        <f ca="1">IFERROR(__xludf.DUMMYFUNCTION("""COMPUTED_VALUE"""),"Pat")</f>
        <v>Pat</v>
      </c>
      <c r="D198" s="1" t="str">
        <f ca="1">IFERROR(__xludf.DUMMYFUNCTION("""COMPUTED_VALUE"""),"17-16")</f>
        <v>17-16</v>
      </c>
      <c r="E198" s="1">
        <f ca="1">IFERROR(__xludf.DUMMYFUNCTION("""COMPUTED_VALUE"""),-1.77)</f>
        <v>-1.77</v>
      </c>
      <c r="F198" s="1">
        <f ca="1">IFERROR(__xludf.DUMMYFUNCTION("""COMPUTED_VALUE"""),102.5)</f>
        <v>102.5</v>
      </c>
      <c r="G198" s="1">
        <f ca="1">IFERROR(__xludf.DUMMYFUNCTION("""COMPUTED_VALUE"""),213)</f>
        <v>213</v>
      </c>
      <c r="H198" s="1">
        <f ca="1">IFERROR(__xludf.DUMMYFUNCTION("""COMPUTED_VALUE"""),104.2)</f>
        <v>104.2</v>
      </c>
      <c r="I198" s="1">
        <f ca="1">IFERROR(__xludf.DUMMYFUNCTION("""COMPUTED_VALUE"""),168)</f>
        <v>168</v>
      </c>
      <c r="J198" s="1">
        <f ca="1">IFERROR(__xludf.DUMMYFUNCTION("""COMPUTED_VALUE"""),56.8)</f>
        <v>56.8</v>
      </c>
      <c r="K198" s="1">
        <f ca="1">IFERROR(__xludf.DUMMYFUNCTION("""COMPUTED_VALUE"""),351)</f>
        <v>351</v>
      </c>
      <c r="L198" s="1" t="str">
        <f ca="1">IFERROR(__xludf.DUMMYFUNCTION("""COMPUTED_VALUE"""),"+.015")</f>
        <v>+.015</v>
      </c>
      <c r="M198" s="1">
        <f ca="1">IFERROR(__xludf.DUMMYFUNCTION("""COMPUTED_VALUE"""),147)</f>
        <v>147</v>
      </c>
      <c r="N198" s="1">
        <f ca="1">IFERROR(__xludf.DUMMYFUNCTION("""COMPUTED_VALUE"""),-2.32)</f>
        <v>-2.3199999999999998</v>
      </c>
      <c r="O198" s="1">
        <f ca="1">IFERROR(__xludf.DUMMYFUNCTION("""COMPUTED_VALUE"""),198)</f>
        <v>198</v>
      </c>
      <c r="P198" s="1">
        <f ca="1">IFERROR(__xludf.DUMMYFUNCTION("""COMPUTED_VALUE"""),103.7)</f>
        <v>103.7</v>
      </c>
      <c r="Q198" s="1">
        <f ca="1">IFERROR(__xludf.DUMMYFUNCTION("""COMPUTED_VALUE"""),175)</f>
        <v>175</v>
      </c>
      <c r="R198" s="1">
        <f ca="1">IFERROR(__xludf.DUMMYFUNCTION("""COMPUTED_VALUE"""),106)</f>
        <v>106</v>
      </c>
      <c r="S198" s="1">
        <f ca="1">IFERROR(__xludf.DUMMYFUNCTION("""COMPUTED_VALUE"""),235)</f>
        <v>235</v>
      </c>
      <c r="T198" s="1" t="str">
        <f ca="1">IFERROR(__xludf.DUMMYFUNCTION("""COMPUTED_VALUE"""),"+2.69")</f>
        <v>+2.69</v>
      </c>
      <c r="U198" s="1">
        <f ca="1">IFERROR(__xludf.DUMMYFUNCTION("""COMPUTED_VALUE"""),78)</f>
        <v>78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IFERROR(__xludf.DUMMYFUNCTION("""COMPUTED_VALUE"""),"New Hampshire")</f>
        <v>New Hampshire</v>
      </c>
      <c r="C199" s="1" t="str">
        <f ca="1">IFERROR(__xludf.DUMMYFUNCTION("""COMPUTED_VALUE"""),"AE")</f>
        <v>AE</v>
      </c>
      <c r="D199" s="1" t="str">
        <f ca="1">IFERROR(__xludf.DUMMYFUNCTION("""COMPUTED_VALUE"""),"19-13")</f>
        <v>19-13</v>
      </c>
      <c r="E199" s="1">
        <f ca="1">IFERROR(__xludf.DUMMYFUNCTION("""COMPUTED_VALUE"""),-1.86)</f>
        <v>-1.86</v>
      </c>
      <c r="F199" s="1">
        <f ca="1">IFERROR(__xludf.DUMMYFUNCTION("""COMPUTED_VALUE"""),100.9)</f>
        <v>100.9</v>
      </c>
      <c r="G199" s="1">
        <f ca="1">IFERROR(__xludf.DUMMYFUNCTION("""COMPUTED_VALUE"""),239)</f>
        <v>239</v>
      </c>
      <c r="H199" s="1">
        <f ca="1">IFERROR(__xludf.DUMMYFUNCTION("""COMPUTED_VALUE"""),102.8)</f>
        <v>102.8</v>
      </c>
      <c r="I199" s="1">
        <f ca="1">IFERROR(__xludf.DUMMYFUNCTION("""COMPUTED_VALUE"""),144)</f>
        <v>144</v>
      </c>
      <c r="J199" s="1">
        <f ca="1">IFERROR(__xludf.DUMMYFUNCTION("""COMPUTED_VALUE"""),63.9)</f>
        <v>63.9</v>
      </c>
      <c r="K199" s="1">
        <f ca="1">IFERROR(__xludf.DUMMYFUNCTION("""COMPUTED_VALUE"""),194)</f>
        <v>194</v>
      </c>
      <c r="L199" s="1">
        <f ca="1">IFERROR(__xludf.DUMMYFUNCTION("""COMPUTED_VALUE"""),-0.027)</f>
        <v>-2.7E-2</v>
      </c>
      <c r="M199" s="1">
        <f ca="1">IFERROR(__xludf.DUMMYFUNCTION("""COMPUTED_VALUE"""),246)</f>
        <v>246</v>
      </c>
      <c r="N199" s="1">
        <f ca="1">IFERROR(__xludf.DUMMYFUNCTION("""COMPUTED_VALUE"""),-6.3)</f>
        <v>-6.3</v>
      </c>
      <c r="O199" s="1">
        <f ca="1">IFERROR(__xludf.DUMMYFUNCTION("""COMPUTED_VALUE"""),314)</f>
        <v>314</v>
      </c>
      <c r="P199" s="1">
        <f ca="1">IFERROR(__xludf.DUMMYFUNCTION("""COMPUTED_VALUE"""),100.3)</f>
        <v>100.3</v>
      </c>
      <c r="Q199" s="1">
        <f ca="1">IFERROR(__xludf.DUMMYFUNCTION("""COMPUTED_VALUE"""),328)</f>
        <v>328</v>
      </c>
      <c r="R199" s="1">
        <f ca="1">IFERROR(__xludf.DUMMYFUNCTION("""COMPUTED_VALUE"""),106.6)</f>
        <v>106.6</v>
      </c>
      <c r="S199" s="1">
        <f ca="1">IFERROR(__xludf.DUMMYFUNCTION("""COMPUTED_VALUE"""),260)</f>
        <v>260</v>
      </c>
      <c r="T199" s="1">
        <f ca="1">IFERROR(__xludf.DUMMYFUNCTION("""COMPUTED_VALUE"""),-3.25)</f>
        <v>-3.25</v>
      </c>
      <c r="U199" s="1">
        <f ca="1">IFERROR(__xludf.DUMMYFUNCTION("""COMPUTED_VALUE"""),256)</f>
        <v>256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IFERROR(__xludf.DUMMYFUNCTION("""COMPUTED_VALUE"""),"Florida Gulf Coast")</f>
        <v>Florida Gulf Coast</v>
      </c>
      <c r="C200" s="1" t="str">
        <f ca="1">IFERROR(__xludf.DUMMYFUNCTION("""COMPUTED_VALUE"""),"ASun")</f>
        <v>ASun</v>
      </c>
      <c r="D200" s="1" t="str">
        <f ca="1">IFERROR(__xludf.DUMMYFUNCTION("""COMPUTED_VALUE"""),"22-11")</f>
        <v>22-11</v>
      </c>
      <c r="E200" s="1">
        <f ca="1">IFERROR(__xludf.DUMMYFUNCTION("""COMPUTED_VALUE"""),-1.92)</f>
        <v>-1.92</v>
      </c>
      <c r="F200" s="1">
        <f ca="1">IFERROR(__xludf.DUMMYFUNCTION("""COMPUTED_VALUE"""),101.6)</f>
        <v>101.6</v>
      </c>
      <c r="G200" s="1">
        <f ca="1">IFERROR(__xludf.DUMMYFUNCTION("""COMPUTED_VALUE"""),227)</f>
        <v>227</v>
      </c>
      <c r="H200" s="1">
        <f ca="1">IFERROR(__xludf.DUMMYFUNCTION("""COMPUTED_VALUE"""),103.6)</f>
        <v>103.6</v>
      </c>
      <c r="I200" s="1">
        <f ca="1">IFERROR(__xludf.DUMMYFUNCTION("""COMPUTED_VALUE"""),159)</f>
        <v>159</v>
      </c>
      <c r="J200" s="1">
        <f ca="1">IFERROR(__xludf.DUMMYFUNCTION("""COMPUTED_VALUE"""),64.2)</f>
        <v>64.2</v>
      </c>
      <c r="K200" s="1">
        <f ca="1">IFERROR(__xludf.DUMMYFUNCTION("""COMPUTED_VALUE"""),176)</f>
        <v>176</v>
      </c>
      <c r="L200" s="1" t="str">
        <f ca="1">IFERROR(__xludf.DUMMYFUNCTION("""COMPUTED_VALUE"""),"+.044")</f>
        <v>+.044</v>
      </c>
      <c r="M200" s="1">
        <f ca="1">IFERROR(__xludf.DUMMYFUNCTION("""COMPUTED_VALUE"""),73)</f>
        <v>73</v>
      </c>
      <c r="N200" s="1">
        <f ca="1">IFERROR(__xludf.DUMMYFUNCTION("""COMPUTED_VALUE"""),-6.76)</f>
        <v>-6.76</v>
      </c>
      <c r="O200" s="1">
        <f ca="1">IFERROR(__xludf.DUMMYFUNCTION("""COMPUTED_VALUE"""),324)</f>
        <v>324</v>
      </c>
      <c r="P200" s="1">
        <f ca="1">IFERROR(__xludf.DUMMYFUNCTION("""COMPUTED_VALUE"""),102.1)</f>
        <v>102.1</v>
      </c>
      <c r="Q200" s="1">
        <f ca="1">IFERROR(__xludf.DUMMYFUNCTION("""COMPUTED_VALUE"""),265)</f>
        <v>265</v>
      </c>
      <c r="R200" s="1">
        <f ca="1">IFERROR(__xludf.DUMMYFUNCTION("""COMPUTED_VALUE"""),108.9)</f>
        <v>108.9</v>
      </c>
      <c r="S200" s="1">
        <f ca="1">IFERROR(__xludf.DUMMYFUNCTION("""COMPUTED_VALUE"""),345)</f>
        <v>345</v>
      </c>
      <c r="T200" s="1" t="str">
        <f ca="1">IFERROR(__xludf.DUMMYFUNCTION("""COMPUTED_VALUE"""),"+1.54")</f>
        <v>+1.54</v>
      </c>
      <c r="U200" s="1">
        <f ca="1">IFERROR(__xludf.DUMMYFUNCTION("""COMPUTED_VALUE"""),112)</f>
        <v>112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IFERROR(__xludf.DUMMYFUNCTION("""COMPUTED_VALUE"""),"Norfolk St.")</f>
        <v>Norfolk St.</v>
      </c>
      <c r="C201" s="1" t="str">
        <f ca="1">IFERROR(__xludf.DUMMYFUNCTION("""COMPUTED_VALUE"""),"MEAC")</f>
        <v>MEAC</v>
      </c>
      <c r="D201" s="1" t="str">
        <f ca="1">IFERROR(__xludf.DUMMYFUNCTION("""COMPUTED_VALUE"""),"20-14")</f>
        <v>20-14</v>
      </c>
      <c r="E201" s="1">
        <f ca="1">IFERROR(__xludf.DUMMYFUNCTION("""COMPUTED_VALUE"""),-2.01)</f>
        <v>-2.0099999999999998</v>
      </c>
      <c r="F201" s="1">
        <f ca="1">IFERROR(__xludf.DUMMYFUNCTION("""COMPUTED_VALUE"""),105.5)</f>
        <v>105.5</v>
      </c>
      <c r="G201" s="1">
        <f ca="1">IFERROR(__xludf.DUMMYFUNCTION("""COMPUTED_VALUE"""),150)</f>
        <v>150</v>
      </c>
      <c r="H201" s="1">
        <f ca="1">IFERROR(__xludf.DUMMYFUNCTION("""COMPUTED_VALUE"""),107.5)</f>
        <v>107.5</v>
      </c>
      <c r="I201" s="1">
        <f ca="1">IFERROR(__xludf.DUMMYFUNCTION("""COMPUTED_VALUE"""),234)</f>
        <v>234</v>
      </c>
      <c r="J201" s="1">
        <f ca="1">IFERROR(__xludf.DUMMYFUNCTION("""COMPUTED_VALUE"""),64.6)</f>
        <v>64.599999999999994</v>
      </c>
      <c r="K201" s="1">
        <f ca="1">IFERROR(__xludf.DUMMYFUNCTION("""COMPUTED_VALUE"""),157)</f>
        <v>157</v>
      </c>
      <c r="L201" s="1" t="str">
        <f ca="1">IFERROR(__xludf.DUMMYFUNCTION("""COMPUTED_VALUE"""),"+.027")</f>
        <v>+.027</v>
      </c>
      <c r="M201" s="1">
        <f ca="1">IFERROR(__xludf.DUMMYFUNCTION("""COMPUTED_VALUE"""),114)</f>
        <v>114</v>
      </c>
      <c r="N201" s="1">
        <f ca="1">IFERROR(__xludf.DUMMYFUNCTION("""COMPUTED_VALUE"""),-6.2)</f>
        <v>-6.2</v>
      </c>
      <c r="O201" s="1">
        <f ca="1">IFERROR(__xludf.DUMMYFUNCTION("""COMPUTED_VALUE"""),312)</f>
        <v>312</v>
      </c>
      <c r="P201" s="1">
        <f ca="1">IFERROR(__xludf.DUMMYFUNCTION("""COMPUTED_VALUE"""),100.2)</f>
        <v>100.2</v>
      </c>
      <c r="Q201" s="1">
        <f ca="1">IFERROR(__xludf.DUMMYFUNCTION("""COMPUTED_VALUE"""),330)</f>
        <v>330</v>
      </c>
      <c r="R201" s="1">
        <f ca="1">IFERROR(__xludf.DUMMYFUNCTION("""COMPUTED_VALUE"""),106.4)</f>
        <v>106.4</v>
      </c>
      <c r="S201" s="1">
        <f ca="1">IFERROR(__xludf.DUMMYFUNCTION("""COMPUTED_VALUE"""),249)</f>
        <v>249</v>
      </c>
      <c r="T201" s="1" t="str">
        <f ca="1">IFERROR(__xludf.DUMMYFUNCTION("""COMPUTED_VALUE"""),"+6.54")</f>
        <v>+6.54</v>
      </c>
      <c r="U201" s="1">
        <f ca="1">IFERROR(__xludf.DUMMYFUNCTION("""COMPUTED_VALUE"""),23)</f>
        <v>23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IFERROR(__xludf.DUMMYFUNCTION("""COMPUTED_VALUE"""),"Missouri")</f>
        <v>Missouri</v>
      </c>
      <c r="C202" s="1" t="str">
        <f ca="1">IFERROR(__xludf.DUMMYFUNCTION("""COMPUTED_VALUE"""),"SEC")</f>
        <v>SEC</v>
      </c>
      <c r="D202" s="2">
        <f ca="1">IFERROR(__xludf.DUMMYFUNCTION("""COMPUTED_VALUE"""),44827)</f>
        <v>44827</v>
      </c>
      <c r="E202" s="1">
        <f ca="1">IFERROR(__xludf.DUMMYFUNCTION("""COMPUTED_VALUE"""),-2.09)</f>
        <v>-2.09</v>
      </c>
      <c r="F202" s="1">
        <f ca="1">IFERROR(__xludf.DUMMYFUNCTION("""COMPUTED_VALUE"""),102)</f>
        <v>102</v>
      </c>
      <c r="G202" s="1">
        <f ca="1">IFERROR(__xludf.DUMMYFUNCTION("""COMPUTED_VALUE"""),220)</f>
        <v>220</v>
      </c>
      <c r="H202" s="1">
        <f ca="1">IFERROR(__xludf.DUMMYFUNCTION("""COMPUTED_VALUE"""),104.1)</f>
        <v>104.1</v>
      </c>
      <c r="I202" s="1">
        <f ca="1">IFERROR(__xludf.DUMMYFUNCTION("""COMPUTED_VALUE"""),166)</f>
        <v>166</v>
      </c>
      <c r="J202" s="1">
        <f ca="1">IFERROR(__xludf.DUMMYFUNCTION("""COMPUTED_VALUE"""),62)</f>
        <v>62</v>
      </c>
      <c r="K202" s="1">
        <f ca="1">IFERROR(__xludf.DUMMYFUNCTION("""COMPUTED_VALUE"""),291)</f>
        <v>291</v>
      </c>
      <c r="L202" s="1">
        <f ca="1">IFERROR(__xludf.DUMMYFUNCTION("""COMPUTED_VALUE"""),-0.019)</f>
        <v>-1.9E-2</v>
      </c>
      <c r="M202" s="1">
        <f ca="1">IFERROR(__xludf.DUMMYFUNCTION("""COMPUTED_VALUE"""),225)</f>
        <v>225</v>
      </c>
      <c r="N202" s="1" t="str">
        <f ca="1">IFERROR(__xludf.DUMMYFUNCTION("""COMPUTED_VALUE"""),"+9.07")</f>
        <v>+9.07</v>
      </c>
      <c r="O202" s="1">
        <f ca="1">IFERROR(__xludf.DUMMYFUNCTION("""COMPUTED_VALUE"""),22)</f>
        <v>22</v>
      </c>
      <c r="P202" s="1">
        <f ca="1">IFERROR(__xludf.DUMMYFUNCTION("""COMPUTED_VALUE"""),108.3)</f>
        <v>108.3</v>
      </c>
      <c r="Q202" s="1">
        <f ca="1">IFERROR(__xludf.DUMMYFUNCTION("""COMPUTED_VALUE"""),34)</f>
        <v>34</v>
      </c>
      <c r="R202" s="1">
        <f ca="1">IFERROR(__xludf.DUMMYFUNCTION("""COMPUTED_VALUE"""),99.3)</f>
        <v>99.3</v>
      </c>
      <c r="S202" s="1">
        <f ca="1">IFERROR(__xludf.DUMMYFUNCTION("""COMPUTED_VALUE"""),11)</f>
        <v>11</v>
      </c>
      <c r="T202" s="1" t="str">
        <f ca="1">IFERROR(__xludf.DUMMYFUNCTION("""COMPUTED_VALUE"""),"+2.99")</f>
        <v>+2.99</v>
      </c>
      <c r="U202" s="1">
        <f ca="1">IFERROR(__xludf.DUMMYFUNCTION("""COMPUTED_VALUE"""),67)</f>
        <v>67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IFERROR(__xludf.DUMMYFUNCTION("""COMPUTED_VALUE"""),"Lafayette16")</f>
        <v>Lafayette16</v>
      </c>
      <c r="C203" s="1" t="str">
        <f ca="1">IFERROR(__xludf.DUMMYFUNCTION("""COMPUTED_VALUE"""),"Pat")</f>
        <v>Pat</v>
      </c>
      <c r="D203" s="1" t="str">
        <f ca="1">IFERROR(__xludf.DUMMYFUNCTION("""COMPUTED_VALUE"""),"20-13")</f>
        <v>20-13</v>
      </c>
      <c r="E203" s="1">
        <f ca="1">IFERROR(__xludf.DUMMYFUNCTION("""COMPUTED_VALUE"""),-2.14)</f>
        <v>-2.14</v>
      </c>
      <c r="F203" s="1">
        <f ca="1">IFERROR(__xludf.DUMMYFUNCTION("""COMPUTED_VALUE"""),112.9)</f>
        <v>112.9</v>
      </c>
      <c r="G203" s="1">
        <f ca="1">IFERROR(__xludf.DUMMYFUNCTION("""COMPUTED_VALUE"""),38)</f>
        <v>38</v>
      </c>
      <c r="H203" s="1">
        <f ca="1">IFERROR(__xludf.DUMMYFUNCTION("""COMPUTED_VALUE"""),115.1)</f>
        <v>115.1</v>
      </c>
      <c r="I203" s="1">
        <f ca="1">IFERROR(__xludf.DUMMYFUNCTION("""COMPUTED_VALUE"""),338)</f>
        <v>338</v>
      </c>
      <c r="J203" s="1">
        <f ca="1">IFERROR(__xludf.DUMMYFUNCTION("""COMPUTED_VALUE"""),64.6)</f>
        <v>64.599999999999994</v>
      </c>
      <c r="K203" s="1">
        <f ca="1">IFERROR(__xludf.DUMMYFUNCTION("""COMPUTED_VALUE"""),160)</f>
        <v>160</v>
      </c>
      <c r="L203" s="1" t="str">
        <f ca="1">IFERROR(__xludf.DUMMYFUNCTION("""COMPUTED_VALUE"""),"+.097")</f>
        <v>+.097</v>
      </c>
      <c r="M203" s="1">
        <f ca="1">IFERROR(__xludf.DUMMYFUNCTION("""COMPUTED_VALUE"""),10)</f>
        <v>10</v>
      </c>
      <c r="N203" s="1">
        <f ca="1">IFERROR(__xludf.DUMMYFUNCTION("""COMPUTED_VALUE"""),-4.01)</f>
        <v>-4.01</v>
      </c>
      <c r="O203" s="1">
        <f ca="1">IFERROR(__xludf.DUMMYFUNCTION("""COMPUTED_VALUE"""),246)</f>
        <v>246</v>
      </c>
      <c r="P203" s="1">
        <f ca="1">IFERROR(__xludf.DUMMYFUNCTION("""COMPUTED_VALUE"""),103)</f>
        <v>103</v>
      </c>
      <c r="Q203" s="1">
        <f ca="1">IFERROR(__xludf.DUMMYFUNCTION("""COMPUTED_VALUE"""),215)</f>
        <v>215</v>
      </c>
      <c r="R203" s="1">
        <f ca="1">IFERROR(__xludf.DUMMYFUNCTION("""COMPUTED_VALUE"""),107)</f>
        <v>107</v>
      </c>
      <c r="S203" s="1">
        <f ca="1">IFERROR(__xludf.DUMMYFUNCTION("""COMPUTED_VALUE"""),272)</f>
        <v>272</v>
      </c>
      <c r="T203" s="1">
        <f ca="1">IFERROR(__xludf.DUMMYFUNCTION("""COMPUTED_VALUE"""),-0.45)</f>
        <v>-0.45</v>
      </c>
      <c r="U203" s="1">
        <f ca="1">IFERROR(__xludf.DUMMYFUNCTION("""COMPUTED_VALUE"""),170)</f>
        <v>170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IFERROR(__xludf.DUMMYFUNCTION("""COMPUTED_VALUE"""),"Santa Clara")</f>
        <v>Santa Clara</v>
      </c>
      <c r="C204" s="1" t="str">
        <f ca="1">IFERROR(__xludf.DUMMYFUNCTION("""COMPUTED_VALUE"""),"WCC")</f>
        <v>WCC</v>
      </c>
      <c r="D204" s="1" t="str">
        <f ca="1">IFERROR(__xludf.DUMMYFUNCTION("""COMPUTED_VALUE"""),"14-18")</f>
        <v>14-18</v>
      </c>
      <c r="E204" s="1">
        <f ca="1">IFERROR(__xludf.DUMMYFUNCTION("""COMPUTED_VALUE"""),-2.14)</f>
        <v>-2.14</v>
      </c>
      <c r="F204" s="1">
        <f ca="1">IFERROR(__xludf.DUMMYFUNCTION("""COMPUTED_VALUE"""),105.9)</f>
        <v>105.9</v>
      </c>
      <c r="G204" s="1">
        <f ca="1">IFERROR(__xludf.DUMMYFUNCTION("""COMPUTED_VALUE"""),138)</f>
        <v>138</v>
      </c>
      <c r="H204" s="1">
        <f ca="1">IFERROR(__xludf.DUMMYFUNCTION("""COMPUTED_VALUE"""),108)</f>
        <v>108</v>
      </c>
      <c r="I204" s="1">
        <f ca="1">IFERROR(__xludf.DUMMYFUNCTION("""COMPUTED_VALUE"""),246)</f>
        <v>246</v>
      </c>
      <c r="J204" s="1">
        <f ca="1">IFERROR(__xludf.DUMMYFUNCTION("""COMPUTED_VALUE"""),61.1)</f>
        <v>61.1</v>
      </c>
      <c r="K204" s="1">
        <f ca="1">IFERROR(__xludf.DUMMYFUNCTION("""COMPUTED_VALUE"""),316)</f>
        <v>316</v>
      </c>
      <c r="L204" s="1" t="str">
        <f ca="1">IFERROR(__xludf.DUMMYFUNCTION("""COMPUTED_VALUE"""),"+.019")</f>
        <v>+.019</v>
      </c>
      <c r="M204" s="1">
        <f ca="1">IFERROR(__xludf.DUMMYFUNCTION("""COMPUTED_VALUE"""),136)</f>
        <v>136</v>
      </c>
      <c r="N204" s="1" t="str">
        <f ca="1">IFERROR(__xludf.DUMMYFUNCTION("""COMPUTED_VALUE"""),"+3.42")</f>
        <v>+3.42</v>
      </c>
      <c r="O204" s="1">
        <f ca="1">IFERROR(__xludf.DUMMYFUNCTION("""COMPUTED_VALUE"""),86)</f>
        <v>86</v>
      </c>
      <c r="P204" s="1">
        <f ca="1">IFERROR(__xludf.DUMMYFUNCTION("""COMPUTED_VALUE"""),107)</f>
        <v>107</v>
      </c>
      <c r="Q204" s="1">
        <f ca="1">IFERROR(__xludf.DUMMYFUNCTION("""COMPUTED_VALUE"""),75)</f>
        <v>75</v>
      </c>
      <c r="R204" s="1">
        <f ca="1">IFERROR(__xludf.DUMMYFUNCTION("""COMPUTED_VALUE"""),103.5)</f>
        <v>103.5</v>
      </c>
      <c r="S204" s="1">
        <f ca="1">IFERROR(__xludf.DUMMYFUNCTION("""COMPUTED_VALUE"""),118)</f>
        <v>118</v>
      </c>
      <c r="T204" s="1">
        <f ca="1">IFERROR(__xludf.DUMMYFUNCTION("""COMPUTED_VALUE"""),-0.33)</f>
        <v>-0.33</v>
      </c>
      <c r="U204" s="1">
        <f ca="1">IFERROR(__xludf.DUMMYFUNCTION("""COMPUTED_VALUE"""),168)</f>
        <v>168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IFERROR(__xludf.DUMMYFUNCTION("""COMPUTED_VALUE"""),"Charleston Southern8")</f>
        <v>Charleston Southern8</v>
      </c>
      <c r="C205" s="1" t="str">
        <f ca="1">IFERROR(__xludf.DUMMYFUNCTION("""COMPUTED_VALUE"""),"BSth")</f>
        <v>BSth</v>
      </c>
      <c r="D205" s="1" t="str">
        <f ca="1">IFERROR(__xludf.DUMMYFUNCTION("""COMPUTED_VALUE"""),"19-12")</f>
        <v>19-12</v>
      </c>
      <c r="E205" s="1">
        <f ca="1">IFERROR(__xludf.DUMMYFUNCTION("""COMPUTED_VALUE"""),-2.17)</f>
        <v>-2.17</v>
      </c>
      <c r="F205" s="1">
        <f ca="1">IFERROR(__xludf.DUMMYFUNCTION("""COMPUTED_VALUE"""),107)</f>
        <v>107</v>
      </c>
      <c r="G205" s="1">
        <f ca="1">IFERROR(__xludf.DUMMYFUNCTION("""COMPUTED_VALUE"""),118)</f>
        <v>118</v>
      </c>
      <c r="H205" s="1">
        <f ca="1">IFERROR(__xludf.DUMMYFUNCTION("""COMPUTED_VALUE"""),109.2)</f>
        <v>109.2</v>
      </c>
      <c r="I205" s="1">
        <f ca="1">IFERROR(__xludf.DUMMYFUNCTION("""COMPUTED_VALUE"""),269)</f>
        <v>269</v>
      </c>
      <c r="J205" s="1">
        <f ca="1">IFERROR(__xludf.DUMMYFUNCTION("""COMPUTED_VALUE"""),65.2)</f>
        <v>65.2</v>
      </c>
      <c r="K205" s="1">
        <f ca="1">IFERROR(__xludf.DUMMYFUNCTION("""COMPUTED_VALUE"""),126)</f>
        <v>126</v>
      </c>
      <c r="L205" s="1" t="str">
        <f ca="1">IFERROR(__xludf.DUMMYFUNCTION("""COMPUTED_VALUE"""),"+.053")</f>
        <v>+.053</v>
      </c>
      <c r="M205" s="1">
        <f ca="1">IFERROR(__xludf.DUMMYFUNCTION("""COMPUTED_VALUE"""),61)</f>
        <v>61</v>
      </c>
      <c r="N205" s="1">
        <f ca="1">IFERROR(__xludf.DUMMYFUNCTION("""COMPUTED_VALUE"""),-4.72)</f>
        <v>-4.72</v>
      </c>
      <c r="O205" s="1">
        <f ca="1">IFERROR(__xludf.DUMMYFUNCTION("""COMPUTED_VALUE"""),271)</f>
        <v>271</v>
      </c>
      <c r="P205" s="1">
        <f ca="1">IFERROR(__xludf.DUMMYFUNCTION("""COMPUTED_VALUE"""),102.6)</f>
        <v>102.6</v>
      </c>
      <c r="Q205" s="1">
        <f ca="1">IFERROR(__xludf.DUMMYFUNCTION("""COMPUTED_VALUE"""),236)</f>
        <v>236</v>
      </c>
      <c r="R205" s="1">
        <f ca="1">IFERROR(__xludf.DUMMYFUNCTION("""COMPUTED_VALUE"""),107.4)</f>
        <v>107.4</v>
      </c>
      <c r="S205" s="1">
        <f ca="1">IFERROR(__xludf.DUMMYFUNCTION("""COMPUTED_VALUE"""),292)</f>
        <v>292</v>
      </c>
      <c r="T205" s="1" t="str">
        <f ca="1">IFERROR(__xludf.DUMMYFUNCTION("""COMPUTED_VALUE"""),"+4.65")</f>
        <v>+4.65</v>
      </c>
      <c r="U205" s="1">
        <f ca="1">IFERROR(__xludf.DUMMYFUNCTION("""COMPUTED_VALUE"""),37)</f>
        <v>37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IFERROR(__xludf.DUMMYFUNCTION("""COMPUTED_VALUE"""),"Sacramento St.")</f>
        <v>Sacramento St.</v>
      </c>
      <c r="C206" s="1" t="str">
        <f ca="1">IFERROR(__xludf.DUMMYFUNCTION("""COMPUTED_VALUE"""),"BSky")</f>
        <v>BSky</v>
      </c>
      <c r="D206" s="1" t="str">
        <f ca="1">IFERROR(__xludf.DUMMYFUNCTION("""COMPUTED_VALUE"""),"21-12")</f>
        <v>21-12</v>
      </c>
      <c r="E206" s="1">
        <f ca="1">IFERROR(__xludf.DUMMYFUNCTION("""COMPUTED_VALUE"""),-2.33)</f>
        <v>-2.33</v>
      </c>
      <c r="F206" s="1">
        <f ca="1">IFERROR(__xludf.DUMMYFUNCTION("""COMPUTED_VALUE"""),109)</f>
        <v>109</v>
      </c>
      <c r="G206" s="1">
        <f ca="1">IFERROR(__xludf.DUMMYFUNCTION("""COMPUTED_VALUE"""),78)</f>
        <v>78</v>
      </c>
      <c r="H206" s="1">
        <f ca="1">IFERROR(__xludf.DUMMYFUNCTION("""COMPUTED_VALUE"""),111.3)</f>
        <v>111.3</v>
      </c>
      <c r="I206" s="1">
        <f ca="1">IFERROR(__xludf.DUMMYFUNCTION("""COMPUTED_VALUE"""),310)</f>
        <v>310</v>
      </c>
      <c r="J206" s="1">
        <f ca="1">IFERROR(__xludf.DUMMYFUNCTION("""COMPUTED_VALUE"""),61.9)</f>
        <v>61.9</v>
      </c>
      <c r="K206" s="1">
        <f ca="1">IFERROR(__xludf.DUMMYFUNCTION("""COMPUTED_VALUE"""),297)</f>
        <v>297</v>
      </c>
      <c r="L206" s="1" t="str">
        <f ca="1">IFERROR(__xludf.DUMMYFUNCTION("""COMPUTED_VALUE"""),"+.074")</f>
        <v>+.074</v>
      </c>
      <c r="M206" s="1">
        <f ca="1">IFERROR(__xludf.DUMMYFUNCTION("""COMPUTED_VALUE"""),30)</f>
        <v>30</v>
      </c>
      <c r="N206" s="1">
        <f ca="1">IFERROR(__xludf.DUMMYFUNCTION("""COMPUTED_VALUE"""),-6.03)</f>
        <v>-6.03</v>
      </c>
      <c r="O206" s="1">
        <f ca="1">IFERROR(__xludf.DUMMYFUNCTION("""COMPUTED_VALUE"""),307)</f>
        <v>307</v>
      </c>
      <c r="P206" s="1">
        <f ca="1">IFERROR(__xludf.DUMMYFUNCTION("""COMPUTED_VALUE"""),103)</f>
        <v>103</v>
      </c>
      <c r="Q206" s="1">
        <f ca="1">IFERROR(__xludf.DUMMYFUNCTION("""COMPUTED_VALUE"""),212)</f>
        <v>212</v>
      </c>
      <c r="R206" s="1">
        <f ca="1">IFERROR(__xludf.DUMMYFUNCTION("""COMPUTED_VALUE"""),109.1)</f>
        <v>109.1</v>
      </c>
      <c r="S206" s="1">
        <f ca="1">IFERROR(__xludf.DUMMYFUNCTION("""COMPUTED_VALUE"""),347)</f>
        <v>347</v>
      </c>
      <c r="T206" s="1">
        <f ca="1">IFERROR(__xludf.DUMMYFUNCTION("""COMPUTED_VALUE"""),-4.1)</f>
        <v>-4.0999999999999996</v>
      </c>
      <c r="U206" s="1">
        <f ca="1">IFERROR(__xludf.DUMMYFUNCTION("""COMPUTED_VALUE"""),284)</f>
        <v>284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IFERROR(__xludf.DUMMYFUNCTION("""COMPUTED_VALUE"""),"UT Arlington")</f>
        <v>UT Arlington</v>
      </c>
      <c r="C207" s="1" t="str">
        <f ca="1">IFERROR(__xludf.DUMMYFUNCTION("""COMPUTED_VALUE"""),"SB")</f>
        <v>SB</v>
      </c>
      <c r="D207" s="1" t="str">
        <f ca="1">IFERROR(__xludf.DUMMYFUNCTION("""COMPUTED_VALUE"""),"16-15")</f>
        <v>16-15</v>
      </c>
      <c r="E207" s="1">
        <f ca="1">IFERROR(__xludf.DUMMYFUNCTION("""COMPUTED_VALUE"""),-2.41)</f>
        <v>-2.41</v>
      </c>
      <c r="F207" s="1">
        <f ca="1">IFERROR(__xludf.DUMMYFUNCTION("""COMPUTED_VALUE"""),103.4)</f>
        <v>103.4</v>
      </c>
      <c r="G207" s="1">
        <f ca="1">IFERROR(__xludf.DUMMYFUNCTION("""COMPUTED_VALUE"""),187)</f>
        <v>187</v>
      </c>
      <c r="H207" s="1">
        <f ca="1">IFERROR(__xludf.DUMMYFUNCTION("""COMPUTED_VALUE"""),105.9)</f>
        <v>105.9</v>
      </c>
      <c r="I207" s="1">
        <f ca="1">IFERROR(__xludf.DUMMYFUNCTION("""COMPUTED_VALUE"""),197)</f>
        <v>197</v>
      </c>
      <c r="J207" s="1">
        <f ca="1">IFERROR(__xludf.DUMMYFUNCTION("""COMPUTED_VALUE"""),69.6)</f>
        <v>69.599999999999994</v>
      </c>
      <c r="K207" s="1">
        <f ca="1">IFERROR(__xludf.DUMMYFUNCTION("""COMPUTED_VALUE"""),11)</f>
        <v>11</v>
      </c>
      <c r="L207" s="1" t="str">
        <f ca="1">IFERROR(__xludf.DUMMYFUNCTION("""COMPUTED_VALUE"""),"+.023")</f>
        <v>+.023</v>
      </c>
      <c r="M207" s="1">
        <f ca="1">IFERROR(__xludf.DUMMYFUNCTION("""COMPUTED_VALUE"""),127)</f>
        <v>127</v>
      </c>
      <c r="N207" s="1">
        <f ca="1">IFERROR(__xludf.DUMMYFUNCTION("""COMPUTED_VALUE"""),-3.22)</f>
        <v>-3.22</v>
      </c>
      <c r="O207" s="1">
        <f ca="1">IFERROR(__xludf.DUMMYFUNCTION("""COMPUTED_VALUE"""),221)</f>
        <v>221</v>
      </c>
      <c r="P207" s="1">
        <f ca="1">IFERROR(__xludf.DUMMYFUNCTION("""COMPUTED_VALUE"""),101.5)</f>
        <v>101.5</v>
      </c>
      <c r="Q207" s="1">
        <f ca="1">IFERROR(__xludf.DUMMYFUNCTION("""COMPUTED_VALUE"""),299)</f>
        <v>299</v>
      </c>
      <c r="R207" s="1">
        <f ca="1">IFERROR(__xludf.DUMMYFUNCTION("""COMPUTED_VALUE"""),104.8)</f>
        <v>104.8</v>
      </c>
      <c r="S207" s="1">
        <f ca="1">IFERROR(__xludf.DUMMYFUNCTION("""COMPUTED_VALUE"""),172)</f>
        <v>172</v>
      </c>
      <c r="T207" s="1" t="str">
        <f ca="1">IFERROR(__xludf.DUMMYFUNCTION("""COMPUTED_VALUE"""),"+1.46")</f>
        <v>+1.46</v>
      </c>
      <c r="U207" s="1">
        <f ca="1">IFERROR(__xludf.DUMMYFUNCTION("""COMPUTED_VALUE"""),115)</f>
        <v>115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IFERROR(__xludf.DUMMYFUNCTION("""COMPUTED_VALUE"""),"Rutgers")</f>
        <v>Rutgers</v>
      </c>
      <c r="C208" s="1" t="str">
        <f ca="1">IFERROR(__xludf.DUMMYFUNCTION("""COMPUTED_VALUE"""),"B10")</f>
        <v>B10</v>
      </c>
      <c r="D208" s="2">
        <f ca="1">IFERROR(__xludf.DUMMYFUNCTION("""COMPUTED_VALUE"""),44856)</f>
        <v>44856</v>
      </c>
      <c r="E208" s="1">
        <f ca="1">IFERROR(__xludf.DUMMYFUNCTION("""COMPUTED_VALUE"""),-2.45)</f>
        <v>-2.4500000000000002</v>
      </c>
      <c r="F208" s="1">
        <f ca="1">IFERROR(__xludf.DUMMYFUNCTION("""COMPUTED_VALUE"""),98.7)</f>
        <v>98.7</v>
      </c>
      <c r="G208" s="1">
        <f ca="1">IFERROR(__xludf.DUMMYFUNCTION("""COMPUTED_VALUE"""),278)</f>
        <v>278</v>
      </c>
      <c r="H208" s="1">
        <f ca="1">IFERROR(__xludf.DUMMYFUNCTION("""COMPUTED_VALUE"""),101.1)</f>
        <v>101.1</v>
      </c>
      <c r="I208" s="1">
        <f ca="1">IFERROR(__xludf.DUMMYFUNCTION("""COMPUTED_VALUE"""),110)</f>
        <v>110</v>
      </c>
      <c r="J208" s="1">
        <f ca="1">IFERROR(__xludf.DUMMYFUNCTION("""COMPUTED_VALUE"""),64.9)</f>
        <v>64.900000000000006</v>
      </c>
      <c r="K208" s="1">
        <f ca="1">IFERROR(__xludf.DUMMYFUNCTION("""COMPUTED_VALUE"""),143)</f>
        <v>143</v>
      </c>
      <c r="L208" s="1" t="str">
        <f ca="1">IFERROR(__xludf.DUMMYFUNCTION("""COMPUTED_VALUE"""),"+.037")</f>
        <v>+.037</v>
      </c>
      <c r="M208" s="1">
        <f ca="1">IFERROR(__xludf.DUMMYFUNCTION("""COMPUTED_VALUE"""),88)</f>
        <v>88</v>
      </c>
      <c r="N208" s="1" t="str">
        <f ca="1">IFERROR(__xludf.DUMMYFUNCTION("""COMPUTED_VALUE"""),"+8.39")</f>
        <v>+8.39</v>
      </c>
      <c r="O208" s="1">
        <f ca="1">IFERROR(__xludf.DUMMYFUNCTION("""COMPUTED_VALUE"""),28)</f>
        <v>28</v>
      </c>
      <c r="P208" s="1">
        <f ca="1">IFERROR(__xludf.DUMMYFUNCTION("""COMPUTED_VALUE"""),108.6)</f>
        <v>108.6</v>
      </c>
      <c r="Q208" s="1">
        <f ca="1">IFERROR(__xludf.DUMMYFUNCTION("""COMPUTED_VALUE"""),29)</f>
        <v>29</v>
      </c>
      <c r="R208" s="1">
        <f ca="1">IFERROR(__xludf.DUMMYFUNCTION("""COMPUTED_VALUE"""),100.3)</f>
        <v>100.3</v>
      </c>
      <c r="S208" s="1">
        <f ca="1">IFERROR(__xludf.DUMMYFUNCTION("""COMPUTED_VALUE"""),35)</f>
        <v>35</v>
      </c>
      <c r="T208" s="1">
        <f ca="1">IFERROR(__xludf.DUMMYFUNCTION("""COMPUTED_VALUE"""),-0.01)</f>
        <v>-0.01</v>
      </c>
      <c r="U208" s="1">
        <f ca="1">IFERROR(__xludf.DUMMYFUNCTION("""COMPUTED_VALUE"""),159)</f>
        <v>159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IFERROR(__xludf.DUMMYFUNCTION("""COMPUTED_VALUE"""),"James Madison")</f>
        <v>James Madison</v>
      </c>
      <c r="C209" s="1" t="str">
        <f ca="1">IFERROR(__xludf.DUMMYFUNCTION("""COMPUTED_VALUE"""),"CAA")</f>
        <v>CAA</v>
      </c>
      <c r="D209" s="1" t="str">
        <f ca="1">IFERROR(__xludf.DUMMYFUNCTION("""COMPUTED_VALUE"""),"19-14")</f>
        <v>19-14</v>
      </c>
      <c r="E209" s="1">
        <f ca="1">IFERROR(__xludf.DUMMYFUNCTION("""COMPUTED_VALUE"""),-2.69)</f>
        <v>-2.69</v>
      </c>
      <c r="F209" s="1">
        <f ca="1">IFERROR(__xludf.DUMMYFUNCTION("""COMPUTED_VALUE"""),105.5)</f>
        <v>105.5</v>
      </c>
      <c r="G209" s="1">
        <f ca="1">IFERROR(__xludf.DUMMYFUNCTION("""COMPUTED_VALUE"""),151)</f>
        <v>151</v>
      </c>
      <c r="H209" s="1">
        <f ca="1">IFERROR(__xludf.DUMMYFUNCTION("""COMPUTED_VALUE"""),108.2)</f>
        <v>108.2</v>
      </c>
      <c r="I209" s="1">
        <f ca="1">IFERROR(__xludf.DUMMYFUNCTION("""COMPUTED_VALUE"""),249)</f>
        <v>249</v>
      </c>
      <c r="J209" s="1">
        <f ca="1">IFERROR(__xludf.DUMMYFUNCTION("""COMPUTED_VALUE"""),63.9)</f>
        <v>63.9</v>
      </c>
      <c r="K209" s="1">
        <f ca="1">IFERROR(__xludf.DUMMYFUNCTION("""COMPUTED_VALUE"""),195)</f>
        <v>195</v>
      </c>
      <c r="L209" s="1" t="str">
        <f ca="1">IFERROR(__xludf.DUMMYFUNCTION("""COMPUTED_VALUE"""),"+.103")</f>
        <v>+.103</v>
      </c>
      <c r="M209" s="1">
        <f ca="1">IFERROR(__xludf.DUMMYFUNCTION("""COMPUTED_VALUE"""),8)</f>
        <v>8</v>
      </c>
      <c r="N209" s="1">
        <f ca="1">IFERROR(__xludf.DUMMYFUNCTION("""COMPUTED_VALUE"""),-2.73)</f>
        <v>-2.73</v>
      </c>
      <c r="O209" s="1">
        <f ca="1">IFERROR(__xludf.DUMMYFUNCTION("""COMPUTED_VALUE"""),206)</f>
        <v>206</v>
      </c>
      <c r="P209" s="1">
        <f ca="1">IFERROR(__xludf.DUMMYFUNCTION("""COMPUTED_VALUE"""),103.8)</f>
        <v>103.8</v>
      </c>
      <c r="Q209" s="1">
        <f ca="1">IFERROR(__xludf.DUMMYFUNCTION("""COMPUTED_VALUE"""),172)</f>
        <v>172</v>
      </c>
      <c r="R209" s="1">
        <f ca="1">IFERROR(__xludf.DUMMYFUNCTION("""COMPUTED_VALUE"""),106.5)</f>
        <v>106.5</v>
      </c>
      <c r="S209" s="1">
        <f ca="1">IFERROR(__xludf.DUMMYFUNCTION("""COMPUTED_VALUE"""),256)</f>
        <v>256</v>
      </c>
      <c r="T209" s="1">
        <f ca="1">IFERROR(__xludf.DUMMYFUNCTION("""COMPUTED_VALUE"""),-2.91)</f>
        <v>-2.91</v>
      </c>
      <c r="U209" s="1">
        <f ca="1">IFERROR(__xludf.DUMMYFUNCTION("""COMPUTED_VALUE"""),248)</f>
        <v>248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IFERROR(__xludf.DUMMYFUNCTION("""COMPUTED_VALUE"""),"Bucknell8")</f>
        <v>Bucknell8</v>
      </c>
      <c r="C210" s="1" t="str">
        <f ca="1">IFERROR(__xludf.DUMMYFUNCTION("""COMPUTED_VALUE"""),"Pat")</f>
        <v>Pat</v>
      </c>
      <c r="D210" s="1" t="str">
        <f ca="1">IFERROR(__xludf.DUMMYFUNCTION("""COMPUTED_VALUE"""),"19-15")</f>
        <v>19-15</v>
      </c>
      <c r="E210" s="1">
        <f ca="1">IFERROR(__xludf.DUMMYFUNCTION("""COMPUTED_VALUE"""),-2.8)</f>
        <v>-2.8</v>
      </c>
      <c r="F210" s="1">
        <f ca="1">IFERROR(__xludf.DUMMYFUNCTION("""COMPUTED_VALUE"""),105.8)</f>
        <v>105.8</v>
      </c>
      <c r="G210" s="1">
        <f ca="1">IFERROR(__xludf.DUMMYFUNCTION("""COMPUTED_VALUE"""),140)</f>
        <v>140</v>
      </c>
      <c r="H210" s="1">
        <f ca="1">IFERROR(__xludf.DUMMYFUNCTION("""COMPUTED_VALUE"""),108.6)</f>
        <v>108.6</v>
      </c>
      <c r="I210" s="1">
        <f ca="1">IFERROR(__xludf.DUMMYFUNCTION("""COMPUTED_VALUE"""),259)</f>
        <v>259</v>
      </c>
      <c r="J210" s="1">
        <f ca="1">IFERROR(__xludf.DUMMYFUNCTION("""COMPUTED_VALUE"""),64.2)</f>
        <v>64.2</v>
      </c>
      <c r="K210" s="1">
        <f ca="1">IFERROR(__xludf.DUMMYFUNCTION("""COMPUTED_VALUE"""),175)</f>
        <v>175</v>
      </c>
      <c r="L210" s="1" t="str">
        <f ca="1">IFERROR(__xludf.DUMMYFUNCTION("""COMPUTED_VALUE"""),"+.076")</f>
        <v>+.076</v>
      </c>
      <c r="M210" s="1">
        <f ca="1">IFERROR(__xludf.DUMMYFUNCTION("""COMPUTED_VALUE"""),27)</f>
        <v>27</v>
      </c>
      <c r="N210" s="1">
        <f ca="1">IFERROR(__xludf.DUMMYFUNCTION("""COMPUTED_VALUE"""),-3.27)</f>
        <v>-3.27</v>
      </c>
      <c r="O210" s="1">
        <f ca="1">IFERROR(__xludf.DUMMYFUNCTION("""COMPUTED_VALUE"""),222)</f>
        <v>222</v>
      </c>
      <c r="P210" s="1">
        <f ca="1">IFERROR(__xludf.DUMMYFUNCTION("""COMPUTED_VALUE"""),103.7)</f>
        <v>103.7</v>
      </c>
      <c r="Q210" s="1">
        <f ca="1">IFERROR(__xludf.DUMMYFUNCTION("""COMPUTED_VALUE"""),174)</f>
        <v>174</v>
      </c>
      <c r="R210" s="1">
        <f ca="1">IFERROR(__xludf.DUMMYFUNCTION("""COMPUTED_VALUE"""),107)</f>
        <v>107</v>
      </c>
      <c r="S210" s="1">
        <f ca="1">IFERROR(__xludf.DUMMYFUNCTION("""COMPUTED_VALUE"""),273)</f>
        <v>273</v>
      </c>
      <c r="T210" s="1" t="str">
        <f ca="1">IFERROR(__xludf.DUMMYFUNCTION("""COMPUTED_VALUE"""),"+1.96")</f>
        <v>+1.96</v>
      </c>
      <c r="U210" s="1">
        <f ca="1">IFERROR(__xludf.DUMMYFUNCTION("""COMPUTED_VALUE"""),99)</f>
        <v>99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IFERROR(__xludf.DUMMYFUNCTION("""COMPUTED_VALUE"""),"Lehigh")</f>
        <v>Lehigh</v>
      </c>
      <c r="C213" s="1" t="str">
        <f ca="1">IFERROR(__xludf.DUMMYFUNCTION("""COMPUTED_VALUE"""),"Pat")</f>
        <v>Pat</v>
      </c>
      <c r="D213" s="1" t="str">
        <f ca="1">IFERROR(__xludf.DUMMYFUNCTION("""COMPUTED_VALUE"""),"16-14")</f>
        <v>16-14</v>
      </c>
      <c r="E213" s="1">
        <f ca="1">IFERROR(__xludf.DUMMYFUNCTION("""COMPUTED_VALUE"""),-2.81)</f>
        <v>-2.81</v>
      </c>
      <c r="F213" s="1">
        <f ca="1">IFERROR(__xludf.DUMMYFUNCTION("""COMPUTED_VALUE"""),99.9)</f>
        <v>99.9</v>
      </c>
      <c r="G213" s="1">
        <f ca="1">IFERROR(__xludf.DUMMYFUNCTION("""COMPUTED_VALUE"""),256)</f>
        <v>256</v>
      </c>
      <c r="H213" s="1">
        <f ca="1">IFERROR(__xludf.DUMMYFUNCTION("""COMPUTED_VALUE"""),102.7)</f>
        <v>102.7</v>
      </c>
      <c r="I213" s="1">
        <f ca="1">IFERROR(__xludf.DUMMYFUNCTION("""COMPUTED_VALUE"""),142)</f>
        <v>142</v>
      </c>
      <c r="J213" s="1">
        <f ca="1">IFERROR(__xludf.DUMMYFUNCTION("""COMPUTED_VALUE"""),66.2)</f>
        <v>66.2</v>
      </c>
      <c r="K213" s="1">
        <f ca="1">IFERROR(__xludf.DUMMYFUNCTION("""COMPUTED_VALUE"""),79)</f>
        <v>79</v>
      </c>
      <c r="L213" s="1" t="str">
        <f ca="1">IFERROR(__xludf.DUMMYFUNCTION("""COMPUTED_VALUE"""),"+.007")</f>
        <v>+.007</v>
      </c>
      <c r="M213" s="1">
        <f ca="1">IFERROR(__xludf.DUMMYFUNCTION("""COMPUTED_VALUE"""),167)</f>
        <v>167</v>
      </c>
      <c r="N213" s="1">
        <f ca="1">IFERROR(__xludf.DUMMYFUNCTION("""COMPUTED_VALUE"""),-4.12)</f>
        <v>-4.12</v>
      </c>
      <c r="O213" s="1">
        <f ca="1">IFERROR(__xludf.DUMMYFUNCTION("""COMPUTED_VALUE"""),251)</f>
        <v>251</v>
      </c>
      <c r="P213" s="1">
        <f ca="1">IFERROR(__xludf.DUMMYFUNCTION("""COMPUTED_VALUE"""),103.2)</f>
        <v>103.2</v>
      </c>
      <c r="Q213" s="1">
        <f ca="1">IFERROR(__xludf.DUMMYFUNCTION("""COMPUTED_VALUE"""),204)</f>
        <v>204</v>
      </c>
      <c r="R213" s="1">
        <f ca="1">IFERROR(__xludf.DUMMYFUNCTION("""COMPUTED_VALUE"""),107.3)</f>
        <v>107.3</v>
      </c>
      <c r="S213" s="1">
        <f ca="1">IFERROR(__xludf.DUMMYFUNCTION("""COMPUTED_VALUE"""),289)</f>
        <v>289</v>
      </c>
      <c r="T213" s="1" t="str">
        <f ca="1">IFERROR(__xludf.DUMMYFUNCTION("""COMPUTED_VALUE"""),"+1.01")</f>
        <v>+1.01</v>
      </c>
      <c r="U213" s="1">
        <f ca="1">IFERROR(__xludf.DUMMYFUNCTION("""COMPUTED_VALUE"""),126)</f>
        <v>126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IFERROR(__xludf.DUMMYFUNCTION("""COMPUTED_VALUE"""),"Cornell")</f>
        <v>Cornell</v>
      </c>
      <c r="C214" s="1" t="str">
        <f ca="1">IFERROR(__xludf.DUMMYFUNCTION("""COMPUTED_VALUE"""),"Ivy")</f>
        <v>Ivy</v>
      </c>
      <c r="D214" s="1" t="str">
        <f ca="1">IFERROR(__xludf.DUMMYFUNCTION("""COMPUTED_VALUE"""),"13-17")</f>
        <v>13-17</v>
      </c>
      <c r="E214" s="1">
        <f ca="1">IFERROR(__xludf.DUMMYFUNCTION("""COMPUTED_VALUE"""),-2.87)</f>
        <v>-2.87</v>
      </c>
      <c r="F214" s="1">
        <f ca="1">IFERROR(__xludf.DUMMYFUNCTION("""COMPUTED_VALUE"""),96.9)</f>
        <v>96.9</v>
      </c>
      <c r="G214" s="1">
        <f ca="1">IFERROR(__xludf.DUMMYFUNCTION("""COMPUTED_VALUE"""),302)</f>
        <v>302</v>
      </c>
      <c r="H214" s="1">
        <f ca="1">IFERROR(__xludf.DUMMYFUNCTION("""COMPUTED_VALUE"""),99.7)</f>
        <v>99.7</v>
      </c>
      <c r="I214" s="1">
        <f ca="1">IFERROR(__xludf.DUMMYFUNCTION("""COMPUTED_VALUE"""),92)</f>
        <v>92</v>
      </c>
      <c r="J214" s="1">
        <f ca="1">IFERROR(__xludf.DUMMYFUNCTION("""COMPUTED_VALUE"""),64.2)</f>
        <v>64.2</v>
      </c>
      <c r="K214" s="1">
        <f ca="1">IFERROR(__xludf.DUMMYFUNCTION("""COMPUTED_VALUE"""),177)</f>
        <v>177</v>
      </c>
      <c r="L214" s="1">
        <f ca="1">IFERROR(__xludf.DUMMYFUNCTION("""COMPUTED_VALUE"""),-0.032)</f>
        <v>-3.2000000000000001E-2</v>
      </c>
      <c r="M214" s="1">
        <f ca="1">IFERROR(__xludf.DUMMYFUNCTION("""COMPUTED_VALUE"""),254)</f>
        <v>254</v>
      </c>
      <c r="N214" s="1">
        <f ca="1">IFERROR(__xludf.DUMMYFUNCTION("""COMPUTED_VALUE"""),-1.46)</f>
        <v>-1.46</v>
      </c>
      <c r="O214" s="1">
        <f ca="1">IFERROR(__xludf.DUMMYFUNCTION("""COMPUTED_VALUE"""),173)</f>
        <v>173</v>
      </c>
      <c r="P214" s="1">
        <f ca="1">IFERROR(__xludf.DUMMYFUNCTION("""COMPUTED_VALUE"""),102.7)</f>
        <v>102.7</v>
      </c>
      <c r="Q214" s="1">
        <f ca="1">IFERROR(__xludf.DUMMYFUNCTION("""COMPUTED_VALUE"""),235)</f>
        <v>235</v>
      </c>
      <c r="R214" s="1">
        <f ca="1">IFERROR(__xludf.DUMMYFUNCTION("""COMPUTED_VALUE"""),104.1)</f>
        <v>104.1</v>
      </c>
      <c r="S214" s="1">
        <f ca="1">IFERROR(__xludf.DUMMYFUNCTION("""COMPUTED_VALUE"""),146)</f>
        <v>146</v>
      </c>
      <c r="T214" s="1">
        <f ca="1">IFERROR(__xludf.DUMMYFUNCTION("""COMPUTED_VALUE"""),-1.89)</f>
        <v>-1.89</v>
      </c>
      <c r="U214" s="1">
        <f ca="1">IFERROR(__xludf.DUMMYFUNCTION("""COMPUTED_VALUE"""),214)</f>
        <v>214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IFERROR(__xludf.DUMMYFUNCTION("""COMPUTED_VALUE"""),"Fresno St.")</f>
        <v>Fresno St.</v>
      </c>
      <c r="C215" s="1" t="str">
        <f ca="1">IFERROR(__xludf.DUMMYFUNCTION("""COMPUTED_VALUE"""),"MWC")</f>
        <v>MWC</v>
      </c>
      <c r="D215" s="1" t="str">
        <f ca="1">IFERROR(__xludf.DUMMYFUNCTION("""COMPUTED_VALUE"""),"15-17")</f>
        <v>15-17</v>
      </c>
      <c r="E215" s="1">
        <f ca="1">IFERROR(__xludf.DUMMYFUNCTION("""COMPUTED_VALUE"""),-2.92)</f>
        <v>-2.92</v>
      </c>
      <c r="F215" s="1">
        <f ca="1">IFERROR(__xludf.DUMMYFUNCTION("""COMPUTED_VALUE"""),102.8)</f>
        <v>102.8</v>
      </c>
      <c r="G215" s="1">
        <f ca="1">IFERROR(__xludf.DUMMYFUNCTION("""COMPUTED_VALUE"""),208)</f>
        <v>208</v>
      </c>
      <c r="H215" s="1">
        <f ca="1">IFERROR(__xludf.DUMMYFUNCTION("""COMPUTED_VALUE"""),105.7)</f>
        <v>105.7</v>
      </c>
      <c r="I215" s="1">
        <f ca="1">IFERROR(__xludf.DUMMYFUNCTION("""COMPUTED_VALUE"""),190)</f>
        <v>190</v>
      </c>
      <c r="J215" s="1">
        <f ca="1">IFERROR(__xludf.DUMMYFUNCTION("""COMPUTED_VALUE"""),64.9)</f>
        <v>64.900000000000006</v>
      </c>
      <c r="K215" s="1">
        <f ca="1">IFERROR(__xludf.DUMMYFUNCTION("""COMPUTED_VALUE"""),144)</f>
        <v>144</v>
      </c>
      <c r="L215" s="1" t="str">
        <f ca="1">IFERROR(__xludf.DUMMYFUNCTION("""COMPUTED_VALUE"""),"+.068")</f>
        <v>+.068</v>
      </c>
      <c r="M215" s="1">
        <f ca="1">IFERROR(__xludf.DUMMYFUNCTION("""COMPUTED_VALUE"""),37)</f>
        <v>37</v>
      </c>
      <c r="N215" s="1" t="str">
        <f ca="1">IFERROR(__xludf.DUMMYFUNCTION("""COMPUTED_VALUE"""),"+1.53")</f>
        <v>+1.53</v>
      </c>
      <c r="O215" s="1">
        <f ca="1">IFERROR(__xludf.DUMMYFUNCTION("""COMPUTED_VALUE"""),113)</f>
        <v>113</v>
      </c>
      <c r="P215" s="1">
        <f ca="1">IFERROR(__xludf.DUMMYFUNCTION("""COMPUTED_VALUE"""),103.7)</f>
        <v>103.7</v>
      </c>
      <c r="Q215" s="1">
        <f ca="1">IFERROR(__xludf.DUMMYFUNCTION("""COMPUTED_VALUE"""),180)</f>
        <v>180</v>
      </c>
      <c r="R215" s="1">
        <f ca="1">IFERROR(__xludf.DUMMYFUNCTION("""COMPUTED_VALUE"""),102.1)</f>
        <v>102.1</v>
      </c>
      <c r="S215" s="1">
        <f ca="1">IFERROR(__xludf.DUMMYFUNCTION("""COMPUTED_VALUE"""),86)</f>
        <v>86</v>
      </c>
      <c r="T215" s="1">
        <f ca="1">IFERROR(__xludf.DUMMYFUNCTION("""COMPUTED_VALUE"""),-0.26)</f>
        <v>-0.26</v>
      </c>
      <c r="U215" s="1">
        <f ca="1">IFERROR(__xludf.DUMMYFUNCTION("""COMPUTED_VALUE"""),164)</f>
        <v>164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IFERROR(__xludf.DUMMYFUNCTION("""COMPUTED_VALUE"""),"Air Force")</f>
        <v>Air Force</v>
      </c>
      <c r="C216" s="1" t="str">
        <f ca="1">IFERROR(__xludf.DUMMYFUNCTION("""COMPUTED_VALUE"""),"MWC")</f>
        <v>MWC</v>
      </c>
      <c r="D216" s="1" t="str">
        <f ca="1">IFERROR(__xludf.DUMMYFUNCTION("""COMPUTED_VALUE"""),"14-17")</f>
        <v>14-17</v>
      </c>
      <c r="E216" s="1">
        <f ca="1">IFERROR(__xludf.DUMMYFUNCTION("""COMPUTED_VALUE"""),-3.01)</f>
        <v>-3.01</v>
      </c>
      <c r="F216" s="1">
        <f ca="1">IFERROR(__xludf.DUMMYFUNCTION("""COMPUTED_VALUE"""),108.1)</f>
        <v>108.1</v>
      </c>
      <c r="G216" s="1">
        <f ca="1">IFERROR(__xludf.DUMMYFUNCTION("""COMPUTED_VALUE"""),95)</f>
        <v>95</v>
      </c>
      <c r="H216" s="1">
        <f ca="1">IFERROR(__xludf.DUMMYFUNCTION("""COMPUTED_VALUE"""),111.2)</f>
        <v>111.2</v>
      </c>
      <c r="I216" s="1">
        <f ca="1">IFERROR(__xludf.DUMMYFUNCTION("""COMPUTED_VALUE"""),305)</f>
        <v>305</v>
      </c>
      <c r="J216" s="1">
        <f ca="1">IFERROR(__xludf.DUMMYFUNCTION("""COMPUTED_VALUE"""),61.7)</f>
        <v>61.7</v>
      </c>
      <c r="K216" s="1">
        <f ca="1">IFERROR(__xludf.DUMMYFUNCTION("""COMPUTED_VALUE"""),303)</f>
        <v>303</v>
      </c>
      <c r="L216" s="1">
        <f ca="1">IFERROR(__xludf.DUMMYFUNCTION("""COMPUTED_VALUE"""),-0.065)</f>
        <v>-6.5000000000000002E-2</v>
      </c>
      <c r="M216" s="1">
        <f ca="1">IFERROR(__xludf.DUMMYFUNCTION("""COMPUTED_VALUE"""),318)</f>
        <v>318</v>
      </c>
      <c r="N216" s="1">
        <f ca="1">IFERROR(__xludf.DUMMYFUNCTION("""COMPUTED_VALUE"""),-1.17)</f>
        <v>-1.17</v>
      </c>
      <c r="O216" s="1">
        <f ca="1">IFERROR(__xludf.DUMMYFUNCTION("""COMPUTED_VALUE"""),164)</f>
        <v>164</v>
      </c>
      <c r="P216" s="1">
        <f ca="1">IFERROR(__xludf.DUMMYFUNCTION("""COMPUTED_VALUE"""),102.6)</f>
        <v>102.6</v>
      </c>
      <c r="Q216" s="1">
        <f ca="1">IFERROR(__xludf.DUMMYFUNCTION("""COMPUTED_VALUE"""),238)</f>
        <v>238</v>
      </c>
      <c r="R216" s="1">
        <f ca="1">IFERROR(__xludf.DUMMYFUNCTION("""COMPUTED_VALUE"""),103.8)</f>
        <v>103.8</v>
      </c>
      <c r="S216" s="1">
        <f ca="1">IFERROR(__xludf.DUMMYFUNCTION("""COMPUTED_VALUE"""),127)</f>
        <v>127</v>
      </c>
      <c r="T216" s="1">
        <f ca="1">IFERROR(__xludf.DUMMYFUNCTION("""COMPUTED_VALUE"""),-11.14)</f>
        <v>-11.14</v>
      </c>
      <c r="U216" s="1">
        <f ca="1">IFERROR(__xludf.DUMMYFUNCTION("""COMPUTED_VALUE"""),346)</f>
        <v>346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IFERROR(__xludf.DUMMYFUNCTION("""COMPUTED_VALUE"""),"George Mason")</f>
        <v>George Mason</v>
      </c>
      <c r="C217" s="1" t="str">
        <f ca="1">IFERROR(__xludf.DUMMYFUNCTION("""COMPUTED_VALUE"""),"A10")</f>
        <v>A10</v>
      </c>
      <c r="D217" s="2">
        <f ca="1">IFERROR(__xludf.DUMMYFUNCTION("""COMPUTED_VALUE"""),44826)</f>
        <v>44826</v>
      </c>
      <c r="E217" s="1">
        <f ca="1">IFERROR(__xludf.DUMMYFUNCTION("""COMPUTED_VALUE"""),-3.08)</f>
        <v>-3.08</v>
      </c>
      <c r="F217" s="1">
        <f ca="1">IFERROR(__xludf.DUMMYFUNCTION("""COMPUTED_VALUE"""),102.9)</f>
        <v>102.9</v>
      </c>
      <c r="G217" s="1">
        <f ca="1">IFERROR(__xludf.DUMMYFUNCTION("""COMPUTED_VALUE"""),204)</f>
        <v>204</v>
      </c>
      <c r="H217" s="1">
        <f ca="1">IFERROR(__xludf.DUMMYFUNCTION("""COMPUTED_VALUE"""),106)</f>
        <v>106</v>
      </c>
      <c r="I217" s="1">
        <f ca="1">IFERROR(__xludf.DUMMYFUNCTION("""COMPUTED_VALUE"""),199)</f>
        <v>199</v>
      </c>
      <c r="J217" s="1">
        <f ca="1">IFERROR(__xludf.DUMMYFUNCTION("""COMPUTED_VALUE"""),64)</f>
        <v>64</v>
      </c>
      <c r="K217" s="1">
        <f ca="1">IFERROR(__xludf.DUMMYFUNCTION("""COMPUTED_VALUE"""),191)</f>
        <v>191</v>
      </c>
      <c r="L217" s="1">
        <f ca="1">IFERROR(__xludf.DUMMYFUNCTION("""COMPUTED_VALUE"""),-0.032)</f>
        <v>-3.2000000000000001E-2</v>
      </c>
      <c r="M217" s="1">
        <f ca="1">IFERROR(__xludf.DUMMYFUNCTION("""COMPUTED_VALUE"""),257)</f>
        <v>257</v>
      </c>
      <c r="N217" s="1" t="str">
        <f ca="1">IFERROR(__xludf.DUMMYFUNCTION("""COMPUTED_VALUE"""),"+4.64")</f>
        <v>+4.64</v>
      </c>
      <c r="O217" s="1">
        <f ca="1">IFERROR(__xludf.DUMMYFUNCTION("""COMPUTED_VALUE"""),79)</f>
        <v>79</v>
      </c>
      <c r="P217" s="1">
        <f ca="1">IFERROR(__xludf.DUMMYFUNCTION("""COMPUTED_VALUE"""),105.8)</f>
        <v>105.8</v>
      </c>
      <c r="Q217" s="1">
        <f ca="1">IFERROR(__xludf.DUMMYFUNCTION("""COMPUTED_VALUE"""),96)</f>
        <v>96</v>
      </c>
      <c r="R217" s="1">
        <f ca="1">IFERROR(__xludf.DUMMYFUNCTION("""COMPUTED_VALUE"""),101.1)</f>
        <v>101.1</v>
      </c>
      <c r="S217" s="1">
        <f ca="1">IFERROR(__xludf.DUMMYFUNCTION("""COMPUTED_VALUE"""),58)</f>
        <v>58</v>
      </c>
      <c r="T217" s="1" t="str">
        <f ca="1">IFERROR(__xludf.DUMMYFUNCTION("""COMPUTED_VALUE"""),"+2.98")</f>
        <v>+2.98</v>
      </c>
      <c r="U217" s="1">
        <f ca="1">IFERROR(__xludf.DUMMYFUNCTION("""COMPUTED_VALUE"""),69)</f>
        <v>69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IFERROR(__xludf.DUMMYFUNCTION("""COMPUTED_VALUE"""),"Oral Roberts")</f>
        <v>Oral Roberts</v>
      </c>
      <c r="C218" s="1" t="str">
        <f ca="1">IFERROR(__xludf.DUMMYFUNCTION("""COMPUTED_VALUE"""),"Sum")</f>
        <v>Sum</v>
      </c>
      <c r="D218" s="1" t="str">
        <f ca="1">IFERROR(__xludf.DUMMYFUNCTION("""COMPUTED_VALUE"""),"19-15")</f>
        <v>19-15</v>
      </c>
      <c r="E218" s="1">
        <f ca="1">IFERROR(__xludf.DUMMYFUNCTION("""COMPUTED_VALUE"""),-3.17)</f>
        <v>-3.17</v>
      </c>
      <c r="F218" s="1">
        <f ca="1">IFERROR(__xludf.DUMMYFUNCTION("""COMPUTED_VALUE"""),106.2)</f>
        <v>106.2</v>
      </c>
      <c r="G218" s="1">
        <f ca="1">IFERROR(__xludf.DUMMYFUNCTION("""COMPUTED_VALUE"""),132)</f>
        <v>132</v>
      </c>
      <c r="H218" s="1">
        <f ca="1">IFERROR(__xludf.DUMMYFUNCTION("""COMPUTED_VALUE"""),109.4)</f>
        <v>109.4</v>
      </c>
      <c r="I218" s="1">
        <f ca="1">IFERROR(__xludf.DUMMYFUNCTION("""COMPUTED_VALUE"""),274)</f>
        <v>274</v>
      </c>
      <c r="J218" s="1">
        <f ca="1">IFERROR(__xludf.DUMMYFUNCTION("""COMPUTED_VALUE"""),65.5)</f>
        <v>65.5</v>
      </c>
      <c r="K218" s="1">
        <f ca="1">IFERROR(__xludf.DUMMYFUNCTION("""COMPUTED_VALUE"""),112)</f>
        <v>112</v>
      </c>
      <c r="L218" s="1" t="str">
        <f ca="1">IFERROR(__xludf.DUMMYFUNCTION("""COMPUTED_VALUE"""),"+.097")</f>
        <v>+.097</v>
      </c>
      <c r="M218" s="1">
        <f ca="1">IFERROR(__xludf.DUMMYFUNCTION("""COMPUTED_VALUE"""),11)</f>
        <v>11</v>
      </c>
      <c r="N218" s="1">
        <f ca="1">IFERROR(__xludf.DUMMYFUNCTION("""COMPUTED_VALUE"""),-1.64)</f>
        <v>-1.64</v>
      </c>
      <c r="O218" s="1">
        <f ca="1">IFERROR(__xludf.DUMMYFUNCTION("""COMPUTED_VALUE"""),182)</f>
        <v>182</v>
      </c>
      <c r="P218" s="1">
        <f ca="1">IFERROR(__xludf.DUMMYFUNCTION("""COMPUTED_VALUE"""),102.8)</f>
        <v>102.8</v>
      </c>
      <c r="Q218" s="1">
        <f ca="1">IFERROR(__xludf.DUMMYFUNCTION("""COMPUTED_VALUE"""),228)</f>
        <v>228</v>
      </c>
      <c r="R218" s="1">
        <f ca="1">IFERROR(__xludf.DUMMYFUNCTION("""COMPUTED_VALUE"""),104.4)</f>
        <v>104.4</v>
      </c>
      <c r="S218" s="1">
        <f ca="1">IFERROR(__xludf.DUMMYFUNCTION("""COMPUTED_VALUE"""),156)</f>
        <v>156</v>
      </c>
      <c r="T218" s="1" t="str">
        <f ca="1">IFERROR(__xludf.DUMMYFUNCTION("""COMPUTED_VALUE"""),"+2.83")</f>
        <v>+2.83</v>
      </c>
      <c r="U218" s="1">
        <f ca="1">IFERROR(__xludf.DUMMYFUNCTION("""COMPUTED_VALUE"""),75)</f>
        <v>75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IFERROR(__xludf.DUMMYFUNCTION("""COMPUTED_VALUE"""),"Maryland Eastern Shore")</f>
        <v>Maryland Eastern Shore</v>
      </c>
      <c r="C219" s="1" t="str">
        <f ca="1">IFERROR(__xludf.DUMMYFUNCTION("""COMPUTED_VALUE"""),"MEAC")</f>
        <v>MEAC</v>
      </c>
      <c r="D219" s="1" t="str">
        <f ca="1">IFERROR(__xludf.DUMMYFUNCTION("""COMPUTED_VALUE"""),"18-15")</f>
        <v>18-15</v>
      </c>
      <c r="E219" s="1">
        <f ca="1">IFERROR(__xludf.DUMMYFUNCTION("""COMPUTED_VALUE"""),-3.33)</f>
        <v>-3.33</v>
      </c>
      <c r="F219" s="1">
        <f ca="1">IFERROR(__xludf.DUMMYFUNCTION("""COMPUTED_VALUE"""),104.5)</f>
        <v>104.5</v>
      </c>
      <c r="G219" s="1">
        <f ca="1">IFERROR(__xludf.DUMMYFUNCTION("""COMPUTED_VALUE"""),170)</f>
        <v>170</v>
      </c>
      <c r="H219" s="1">
        <f ca="1">IFERROR(__xludf.DUMMYFUNCTION("""COMPUTED_VALUE"""),107.8)</f>
        <v>107.8</v>
      </c>
      <c r="I219" s="1">
        <f ca="1">IFERROR(__xludf.DUMMYFUNCTION("""COMPUTED_VALUE"""),239)</f>
        <v>239</v>
      </c>
      <c r="J219" s="1">
        <f ca="1">IFERROR(__xludf.DUMMYFUNCTION("""COMPUTED_VALUE"""),64.4)</f>
        <v>64.400000000000006</v>
      </c>
      <c r="K219" s="1">
        <f ca="1">IFERROR(__xludf.DUMMYFUNCTION("""COMPUTED_VALUE"""),166)</f>
        <v>166</v>
      </c>
      <c r="L219" s="1" t="str">
        <f ca="1">IFERROR(__xludf.DUMMYFUNCTION("""COMPUTED_VALUE"""),"+.040")</f>
        <v>+.040</v>
      </c>
      <c r="M219" s="1">
        <f ca="1">IFERROR(__xludf.DUMMYFUNCTION("""COMPUTED_VALUE"""),80)</f>
        <v>80</v>
      </c>
      <c r="N219" s="1">
        <f ca="1">IFERROR(__xludf.DUMMYFUNCTION("""COMPUTED_VALUE"""),-5.65)</f>
        <v>-5.65</v>
      </c>
      <c r="O219" s="1">
        <f ca="1">IFERROR(__xludf.DUMMYFUNCTION("""COMPUTED_VALUE"""),301)</f>
        <v>301</v>
      </c>
      <c r="P219" s="1">
        <f ca="1">IFERROR(__xludf.DUMMYFUNCTION("""COMPUTED_VALUE"""),100.5)</f>
        <v>100.5</v>
      </c>
      <c r="Q219" s="1">
        <f ca="1">IFERROR(__xludf.DUMMYFUNCTION("""COMPUTED_VALUE"""),324)</f>
        <v>324</v>
      </c>
      <c r="R219" s="1">
        <f ca="1">IFERROR(__xludf.DUMMYFUNCTION("""COMPUTED_VALUE"""),106.2)</f>
        <v>106.2</v>
      </c>
      <c r="S219" s="1">
        <f ca="1">IFERROR(__xludf.DUMMYFUNCTION("""COMPUTED_VALUE"""),239)</f>
        <v>239</v>
      </c>
      <c r="T219" s="1" t="str">
        <f ca="1">IFERROR(__xludf.DUMMYFUNCTION("""COMPUTED_VALUE"""),"+3.39")</f>
        <v>+3.39</v>
      </c>
      <c r="U219" s="1">
        <f ca="1">IFERROR(__xludf.DUMMYFUNCTION("""COMPUTED_VALUE"""),62)</f>
        <v>62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IFERROR(__xludf.DUMMYFUNCTION("""COMPUTED_VALUE"""),"Fordham")</f>
        <v>Fordham</v>
      </c>
      <c r="C220" s="1" t="str">
        <f ca="1">IFERROR(__xludf.DUMMYFUNCTION("""COMPUTED_VALUE"""),"A10")</f>
        <v>A10</v>
      </c>
      <c r="D220" s="2">
        <f ca="1">IFERROR(__xludf.DUMMYFUNCTION("""COMPUTED_VALUE"""),44855)</f>
        <v>44855</v>
      </c>
      <c r="E220" s="1">
        <f ca="1">IFERROR(__xludf.DUMMYFUNCTION("""COMPUTED_VALUE"""),-3.49)</f>
        <v>-3.49</v>
      </c>
      <c r="F220" s="1">
        <f ca="1">IFERROR(__xludf.DUMMYFUNCTION("""COMPUTED_VALUE"""),102)</f>
        <v>102</v>
      </c>
      <c r="G220" s="1">
        <f ca="1">IFERROR(__xludf.DUMMYFUNCTION("""COMPUTED_VALUE"""),219)</f>
        <v>219</v>
      </c>
      <c r="H220" s="1">
        <f ca="1">IFERROR(__xludf.DUMMYFUNCTION("""COMPUTED_VALUE"""),105.5)</f>
        <v>105.5</v>
      </c>
      <c r="I220" s="1">
        <f ca="1">IFERROR(__xludf.DUMMYFUNCTION("""COMPUTED_VALUE"""),186)</f>
        <v>186</v>
      </c>
      <c r="J220" s="1">
        <f ca="1">IFERROR(__xludf.DUMMYFUNCTION("""COMPUTED_VALUE"""),65.4)</f>
        <v>65.400000000000006</v>
      </c>
      <c r="K220" s="1">
        <f ca="1">IFERROR(__xludf.DUMMYFUNCTION("""COMPUTED_VALUE"""),115)</f>
        <v>115</v>
      </c>
      <c r="L220" s="1">
        <f ca="1">IFERROR(__xludf.DUMMYFUNCTION("""COMPUTED_VALUE"""),-0.06)</f>
        <v>-0.06</v>
      </c>
      <c r="M220" s="1">
        <f ca="1">IFERROR(__xludf.DUMMYFUNCTION("""COMPUTED_VALUE"""),314)</f>
        <v>314</v>
      </c>
      <c r="N220" s="1" t="str">
        <f ca="1">IFERROR(__xludf.DUMMYFUNCTION("""COMPUTED_VALUE"""),"+2.63")</f>
        <v>+2.63</v>
      </c>
      <c r="O220" s="1">
        <f ca="1">IFERROR(__xludf.DUMMYFUNCTION("""COMPUTED_VALUE"""),98)</f>
        <v>98</v>
      </c>
      <c r="P220" s="1">
        <f ca="1">IFERROR(__xludf.DUMMYFUNCTION("""COMPUTED_VALUE"""),104)</f>
        <v>104</v>
      </c>
      <c r="Q220" s="1">
        <f ca="1">IFERROR(__xludf.DUMMYFUNCTION("""COMPUTED_VALUE"""),157)</f>
        <v>157</v>
      </c>
      <c r="R220" s="1">
        <f ca="1">IFERROR(__xludf.DUMMYFUNCTION("""COMPUTED_VALUE"""),101.4)</f>
        <v>101.4</v>
      </c>
      <c r="S220" s="1">
        <f ca="1">IFERROR(__xludf.DUMMYFUNCTION("""COMPUTED_VALUE"""),67)</f>
        <v>67</v>
      </c>
      <c r="T220" s="1">
        <f ca="1">IFERROR(__xludf.DUMMYFUNCTION("""COMPUTED_VALUE"""),-4.76)</f>
        <v>-4.76</v>
      </c>
      <c r="U220" s="1">
        <f ca="1">IFERROR(__xludf.DUMMYFUNCTION("""COMPUTED_VALUE"""),300)</f>
        <v>300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IFERROR(__xludf.DUMMYFUNCTION("""COMPUTED_VALUE"""),"UTSA")</f>
        <v>UTSA</v>
      </c>
      <c r="C221" s="1" t="str">
        <f ca="1">IFERROR(__xludf.DUMMYFUNCTION("""COMPUTED_VALUE"""),"CUSA")</f>
        <v>CUSA</v>
      </c>
      <c r="D221" s="1" t="str">
        <f ca="1">IFERROR(__xludf.DUMMYFUNCTION("""COMPUTED_VALUE"""),"14-16")</f>
        <v>14-16</v>
      </c>
      <c r="E221" s="1">
        <f ca="1">IFERROR(__xludf.DUMMYFUNCTION("""COMPUTED_VALUE"""),-3.59)</f>
        <v>-3.59</v>
      </c>
      <c r="F221" s="1">
        <f ca="1">IFERROR(__xludf.DUMMYFUNCTION("""COMPUTED_VALUE"""),106.4)</f>
        <v>106.4</v>
      </c>
      <c r="G221" s="1">
        <f ca="1">IFERROR(__xludf.DUMMYFUNCTION("""COMPUTED_VALUE"""),126)</f>
        <v>126</v>
      </c>
      <c r="H221" s="1">
        <f ca="1">IFERROR(__xludf.DUMMYFUNCTION("""COMPUTED_VALUE"""),110)</f>
        <v>110</v>
      </c>
      <c r="I221" s="1">
        <f ca="1">IFERROR(__xludf.DUMMYFUNCTION("""COMPUTED_VALUE"""),291)</f>
        <v>291</v>
      </c>
      <c r="J221" s="1">
        <f ca="1">IFERROR(__xludf.DUMMYFUNCTION("""COMPUTED_VALUE"""),65.9)</f>
        <v>65.900000000000006</v>
      </c>
      <c r="K221" s="1">
        <f ca="1">IFERROR(__xludf.DUMMYFUNCTION("""COMPUTED_VALUE"""),94)</f>
        <v>94</v>
      </c>
      <c r="L221" s="1">
        <f ca="1">IFERROR(__xludf.DUMMYFUNCTION("""COMPUTED_VALUE"""),-0.051)</f>
        <v>-5.0999999999999997E-2</v>
      </c>
      <c r="M221" s="1">
        <f ca="1">IFERROR(__xludf.DUMMYFUNCTION("""COMPUTED_VALUE"""),296)</f>
        <v>296</v>
      </c>
      <c r="N221" s="1">
        <f ca="1">IFERROR(__xludf.DUMMYFUNCTION("""COMPUTED_VALUE"""),-3.46)</f>
        <v>-3.46</v>
      </c>
      <c r="O221" s="1">
        <f ca="1">IFERROR(__xludf.DUMMYFUNCTION("""COMPUTED_VALUE"""),229)</f>
        <v>229</v>
      </c>
      <c r="P221" s="1">
        <f ca="1">IFERROR(__xludf.DUMMYFUNCTION("""COMPUTED_VALUE"""),101.5)</f>
        <v>101.5</v>
      </c>
      <c r="Q221" s="1">
        <f ca="1">IFERROR(__xludf.DUMMYFUNCTION("""COMPUTED_VALUE"""),298)</f>
        <v>298</v>
      </c>
      <c r="R221" s="1">
        <f ca="1">IFERROR(__xludf.DUMMYFUNCTION("""COMPUTED_VALUE"""),105)</f>
        <v>105</v>
      </c>
      <c r="S221" s="1">
        <f ca="1">IFERROR(__xludf.DUMMYFUNCTION("""COMPUTED_VALUE"""),181)</f>
        <v>181</v>
      </c>
      <c r="T221" s="1">
        <f ca="1">IFERROR(__xludf.DUMMYFUNCTION("""COMPUTED_VALUE"""),-5.67)</f>
        <v>-5.67</v>
      </c>
      <c r="U221" s="1">
        <f ca="1">IFERROR(__xludf.DUMMYFUNCTION("""COMPUTED_VALUE"""),316)</f>
        <v>316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IFERROR(__xludf.DUMMYFUNCTION("""COMPUTED_VALUE"""),"Rice")</f>
        <v>Rice</v>
      </c>
      <c r="C222" s="1" t="str">
        <f ca="1">IFERROR(__xludf.DUMMYFUNCTION("""COMPUTED_VALUE"""),"CUSA")</f>
        <v>CUSA</v>
      </c>
      <c r="D222" s="2">
        <f ca="1">IFERROR(__xludf.DUMMYFUNCTION("""COMPUTED_VALUE"""),44915)</f>
        <v>44915</v>
      </c>
      <c r="E222" s="1">
        <f ca="1">IFERROR(__xludf.DUMMYFUNCTION("""COMPUTED_VALUE"""),-3.62)</f>
        <v>-3.62</v>
      </c>
      <c r="F222" s="1">
        <f ca="1">IFERROR(__xludf.DUMMYFUNCTION("""COMPUTED_VALUE"""),102)</f>
        <v>102</v>
      </c>
      <c r="G222" s="1">
        <f ca="1">IFERROR(__xludf.DUMMYFUNCTION("""COMPUTED_VALUE"""),221)</f>
        <v>221</v>
      </c>
      <c r="H222" s="1">
        <f ca="1">IFERROR(__xludf.DUMMYFUNCTION("""COMPUTED_VALUE"""),105.6)</f>
        <v>105.6</v>
      </c>
      <c r="I222" s="1">
        <f ca="1">IFERROR(__xludf.DUMMYFUNCTION("""COMPUTED_VALUE"""),189)</f>
        <v>189</v>
      </c>
      <c r="J222" s="1">
        <f ca="1">IFERROR(__xludf.DUMMYFUNCTION("""COMPUTED_VALUE"""),62)</f>
        <v>62</v>
      </c>
      <c r="K222" s="1">
        <f ca="1">IFERROR(__xludf.DUMMYFUNCTION("""COMPUTED_VALUE"""),296)</f>
        <v>296</v>
      </c>
      <c r="L222" s="1">
        <f ca="1">IFERROR(__xludf.DUMMYFUNCTION("""COMPUTED_VALUE"""),-0.061)</f>
        <v>-6.0999999999999999E-2</v>
      </c>
      <c r="M222" s="1">
        <f ca="1">IFERROR(__xludf.DUMMYFUNCTION("""COMPUTED_VALUE"""),315)</f>
        <v>315</v>
      </c>
      <c r="N222" s="1">
        <f ca="1">IFERROR(__xludf.DUMMYFUNCTION("""COMPUTED_VALUE"""),-1.32)</f>
        <v>-1.32</v>
      </c>
      <c r="O222" s="1">
        <f ca="1">IFERROR(__xludf.DUMMYFUNCTION("""COMPUTED_VALUE"""),170)</f>
        <v>170</v>
      </c>
      <c r="P222" s="1">
        <f ca="1">IFERROR(__xludf.DUMMYFUNCTION("""COMPUTED_VALUE"""),103.6)</f>
        <v>103.6</v>
      </c>
      <c r="Q222" s="1">
        <f ca="1">IFERROR(__xludf.DUMMYFUNCTION("""COMPUTED_VALUE"""),183)</f>
        <v>183</v>
      </c>
      <c r="R222" s="1">
        <f ca="1">IFERROR(__xludf.DUMMYFUNCTION("""COMPUTED_VALUE"""),104.9)</f>
        <v>104.9</v>
      </c>
      <c r="S222" s="1">
        <f ca="1">IFERROR(__xludf.DUMMYFUNCTION("""COMPUTED_VALUE"""),178)</f>
        <v>178</v>
      </c>
      <c r="T222" s="1">
        <f ca="1">IFERROR(__xludf.DUMMYFUNCTION("""COMPUTED_VALUE"""),-1.93)</f>
        <v>-1.93</v>
      </c>
      <c r="U222" s="1">
        <f ca="1">IFERROR(__xludf.DUMMYFUNCTION("""COMPUTED_VALUE"""),218)</f>
        <v>218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IFERROR(__xludf.DUMMYFUNCTION("""COMPUTED_VALUE"""),"Milwaukee")</f>
        <v>Milwaukee</v>
      </c>
      <c r="C223" s="1" t="str">
        <f ca="1">IFERROR(__xludf.DUMMYFUNCTION("""COMPUTED_VALUE"""),"Horz")</f>
        <v>Horz</v>
      </c>
      <c r="D223" s="1" t="str">
        <f ca="1">IFERROR(__xludf.DUMMYFUNCTION("""COMPUTED_VALUE"""),"14-16")</f>
        <v>14-16</v>
      </c>
      <c r="E223" s="1">
        <f ca="1">IFERROR(__xludf.DUMMYFUNCTION("""COMPUTED_VALUE"""),-3.76)</f>
        <v>-3.76</v>
      </c>
      <c r="F223" s="1">
        <f ca="1">IFERROR(__xludf.DUMMYFUNCTION("""COMPUTED_VALUE"""),103.1)</f>
        <v>103.1</v>
      </c>
      <c r="G223" s="1">
        <f ca="1">IFERROR(__xludf.DUMMYFUNCTION("""COMPUTED_VALUE"""),196)</f>
        <v>196</v>
      </c>
      <c r="H223" s="1">
        <f ca="1">IFERROR(__xludf.DUMMYFUNCTION("""COMPUTED_VALUE"""),106.9)</f>
        <v>106.9</v>
      </c>
      <c r="I223" s="1">
        <f ca="1">IFERROR(__xludf.DUMMYFUNCTION("""COMPUTED_VALUE"""),220)</f>
        <v>220</v>
      </c>
      <c r="J223" s="1">
        <f ca="1">IFERROR(__xludf.DUMMYFUNCTION("""COMPUTED_VALUE"""),64.4)</f>
        <v>64.400000000000006</v>
      </c>
      <c r="K223" s="1">
        <f ca="1">IFERROR(__xludf.DUMMYFUNCTION("""COMPUTED_VALUE"""),172)</f>
        <v>172</v>
      </c>
      <c r="L223" s="1" t="str">
        <f ca="1">IFERROR(__xludf.DUMMYFUNCTION("""COMPUTED_VALUE"""),"+.043")</f>
        <v>+.043</v>
      </c>
      <c r="M223" s="1">
        <f ca="1">IFERROR(__xludf.DUMMYFUNCTION("""COMPUTED_VALUE"""),74)</f>
        <v>74</v>
      </c>
      <c r="N223" s="1" t="str">
        <f ca="1">IFERROR(__xludf.DUMMYFUNCTION("""COMPUTED_VALUE"""),"+0.89")</f>
        <v>+0.89</v>
      </c>
      <c r="O223" s="1">
        <f ca="1">IFERROR(__xludf.DUMMYFUNCTION("""COMPUTED_VALUE"""),129)</f>
        <v>129</v>
      </c>
      <c r="P223" s="1">
        <f ca="1">IFERROR(__xludf.DUMMYFUNCTION("""COMPUTED_VALUE"""),105.6)</f>
        <v>105.6</v>
      </c>
      <c r="Q223" s="1">
        <f ca="1">IFERROR(__xludf.DUMMYFUNCTION("""COMPUTED_VALUE"""),100)</f>
        <v>100</v>
      </c>
      <c r="R223" s="1">
        <f ca="1">IFERROR(__xludf.DUMMYFUNCTION("""COMPUTED_VALUE"""),104.7)</f>
        <v>104.7</v>
      </c>
      <c r="S223" s="1">
        <f ca="1">IFERROR(__xludf.DUMMYFUNCTION("""COMPUTED_VALUE"""),170)</f>
        <v>170</v>
      </c>
      <c r="T223" s="1" t="str">
        <f ca="1">IFERROR(__xludf.DUMMYFUNCTION("""COMPUTED_VALUE"""),"+3.08")</f>
        <v>+3.08</v>
      </c>
      <c r="U223" s="1">
        <f ca="1">IFERROR(__xludf.DUMMYFUNCTION("""COMPUTED_VALUE"""),65)</f>
        <v>65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IFERROR(__xludf.DUMMYFUNCTION("""COMPUTED_VALUE"""),"Gardner Webb")</f>
        <v>Gardner Webb</v>
      </c>
      <c r="C224" s="1" t="str">
        <f ca="1">IFERROR(__xludf.DUMMYFUNCTION("""COMPUTED_VALUE"""),"BSth")</f>
        <v>BSth</v>
      </c>
      <c r="D224" s="1" t="str">
        <f ca="1">IFERROR(__xludf.DUMMYFUNCTION("""COMPUTED_VALUE"""),"20-15")</f>
        <v>20-15</v>
      </c>
      <c r="E224" s="1">
        <f ca="1">IFERROR(__xludf.DUMMYFUNCTION("""COMPUTED_VALUE"""),-3.84)</f>
        <v>-3.84</v>
      </c>
      <c r="F224" s="1">
        <f ca="1">IFERROR(__xludf.DUMMYFUNCTION("""COMPUTED_VALUE"""),107.6)</f>
        <v>107.6</v>
      </c>
      <c r="G224" s="1">
        <f ca="1">IFERROR(__xludf.DUMMYFUNCTION("""COMPUTED_VALUE"""),105)</f>
        <v>105</v>
      </c>
      <c r="H224" s="1">
        <f ca="1">IFERROR(__xludf.DUMMYFUNCTION("""COMPUTED_VALUE"""),111.4)</f>
        <v>111.4</v>
      </c>
      <c r="I224" s="1">
        <f ca="1">IFERROR(__xludf.DUMMYFUNCTION("""COMPUTED_VALUE"""),312)</f>
        <v>312</v>
      </c>
      <c r="J224" s="1">
        <f ca="1">IFERROR(__xludf.DUMMYFUNCTION("""COMPUTED_VALUE"""),67.4)</f>
        <v>67.400000000000006</v>
      </c>
      <c r="K224" s="1">
        <f ca="1">IFERROR(__xludf.DUMMYFUNCTION("""COMPUTED_VALUE"""),41)</f>
        <v>41</v>
      </c>
      <c r="L224" s="1" t="str">
        <f ca="1">IFERROR(__xludf.DUMMYFUNCTION("""COMPUTED_VALUE"""),"+.085")</f>
        <v>+.085</v>
      </c>
      <c r="M224" s="1">
        <f ca="1">IFERROR(__xludf.DUMMYFUNCTION("""COMPUTED_VALUE"""),20)</f>
        <v>20</v>
      </c>
      <c r="N224" s="1">
        <f ca="1">IFERROR(__xludf.DUMMYFUNCTION("""COMPUTED_VALUE"""),-1.92)</f>
        <v>-1.92</v>
      </c>
      <c r="O224" s="1">
        <f ca="1">IFERROR(__xludf.DUMMYFUNCTION("""COMPUTED_VALUE"""),186)</f>
        <v>186</v>
      </c>
      <c r="P224" s="1">
        <f ca="1">IFERROR(__xludf.DUMMYFUNCTION("""COMPUTED_VALUE"""),103.9)</f>
        <v>103.9</v>
      </c>
      <c r="Q224" s="1">
        <f ca="1">IFERROR(__xludf.DUMMYFUNCTION("""COMPUTED_VALUE"""),166)</f>
        <v>166</v>
      </c>
      <c r="R224" s="1">
        <f ca="1">IFERROR(__xludf.DUMMYFUNCTION("""COMPUTED_VALUE"""),105.8)</f>
        <v>105.8</v>
      </c>
      <c r="S224" s="1">
        <f ca="1">IFERROR(__xludf.DUMMYFUNCTION("""COMPUTED_VALUE"""),227)</f>
        <v>227</v>
      </c>
      <c r="T224" s="1" t="str">
        <f ca="1">IFERROR(__xludf.DUMMYFUNCTION("""COMPUTED_VALUE"""),"+6.81")</f>
        <v>+6.81</v>
      </c>
      <c r="U224" s="1">
        <f ca="1">IFERROR(__xludf.DUMMYFUNCTION("""COMPUTED_VALUE"""),17)</f>
        <v>17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IFERROR(__xludf.DUMMYFUNCTION("""COMPUTED_VALUE"""),"Texas Southern15")</f>
        <v>Texas Southern15</v>
      </c>
      <c r="C225" s="1" t="str">
        <f ca="1">IFERROR(__xludf.DUMMYFUNCTION("""COMPUTED_VALUE"""),"SWAC")</f>
        <v>SWAC</v>
      </c>
      <c r="D225" s="1" t="str">
        <f ca="1">IFERROR(__xludf.DUMMYFUNCTION("""COMPUTED_VALUE"""),"22-13")</f>
        <v>22-13</v>
      </c>
      <c r="E225" s="1">
        <f ca="1">IFERROR(__xludf.DUMMYFUNCTION("""COMPUTED_VALUE"""),-3.84)</f>
        <v>-3.84</v>
      </c>
      <c r="F225" s="1">
        <f ca="1">IFERROR(__xludf.DUMMYFUNCTION("""COMPUTED_VALUE"""),104.1)</f>
        <v>104.1</v>
      </c>
      <c r="G225" s="1">
        <f ca="1">IFERROR(__xludf.DUMMYFUNCTION("""COMPUTED_VALUE"""),177)</f>
        <v>177</v>
      </c>
      <c r="H225" s="1">
        <f ca="1">IFERROR(__xludf.DUMMYFUNCTION("""COMPUTED_VALUE"""),107.9)</f>
        <v>107.9</v>
      </c>
      <c r="I225" s="1">
        <f ca="1">IFERROR(__xludf.DUMMYFUNCTION("""COMPUTED_VALUE"""),241)</f>
        <v>241</v>
      </c>
      <c r="J225" s="1">
        <f ca="1">IFERROR(__xludf.DUMMYFUNCTION("""COMPUTED_VALUE"""),63.3)</f>
        <v>63.3</v>
      </c>
      <c r="K225" s="1">
        <f ca="1">IFERROR(__xludf.DUMMYFUNCTION("""COMPUTED_VALUE"""),240)</f>
        <v>240</v>
      </c>
      <c r="L225" s="1" t="str">
        <f ca="1">IFERROR(__xludf.DUMMYFUNCTION("""COMPUTED_VALUE"""),"+.128")</f>
        <v>+.128</v>
      </c>
      <c r="M225" s="1">
        <f ca="1">IFERROR(__xludf.DUMMYFUNCTION("""COMPUTED_VALUE"""),1)</f>
        <v>1</v>
      </c>
      <c r="N225" s="1">
        <f ca="1">IFERROR(__xludf.DUMMYFUNCTION("""COMPUTED_VALUE"""),-6.74)</f>
        <v>-6.74</v>
      </c>
      <c r="O225" s="1">
        <f ca="1">IFERROR(__xludf.DUMMYFUNCTION("""COMPUTED_VALUE"""),323)</f>
        <v>323</v>
      </c>
      <c r="P225" s="1">
        <f ca="1">IFERROR(__xludf.DUMMYFUNCTION("""COMPUTED_VALUE"""),100)</f>
        <v>100</v>
      </c>
      <c r="Q225" s="1">
        <f ca="1">IFERROR(__xludf.DUMMYFUNCTION("""COMPUTED_VALUE"""),333)</f>
        <v>333</v>
      </c>
      <c r="R225" s="1">
        <f ca="1">IFERROR(__xludf.DUMMYFUNCTION("""COMPUTED_VALUE"""),106.8)</f>
        <v>106.8</v>
      </c>
      <c r="S225" s="1">
        <f ca="1">IFERROR(__xludf.DUMMYFUNCTION("""COMPUTED_VALUE"""),263)</f>
        <v>263</v>
      </c>
      <c r="T225" s="1" t="str">
        <f ca="1">IFERROR(__xludf.DUMMYFUNCTION("""COMPUTED_VALUE"""),"+15.16")</f>
        <v>+15.16</v>
      </c>
      <c r="U225" s="1">
        <f ca="1">IFERROR(__xludf.DUMMYFUNCTION("""COMPUTED_VALUE"""),2)</f>
        <v>2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IFERROR(__xludf.DUMMYFUNCTION("""COMPUTED_VALUE"""),"Houston")</f>
        <v>Houston</v>
      </c>
      <c r="C226" s="1" t="str">
        <f ca="1">IFERROR(__xludf.DUMMYFUNCTION("""COMPUTED_VALUE"""),"Amer")</f>
        <v>Amer</v>
      </c>
      <c r="D226" s="1" t="str">
        <f ca="1">IFERROR(__xludf.DUMMYFUNCTION("""COMPUTED_VALUE"""),"13-19")</f>
        <v>13-19</v>
      </c>
      <c r="E226" s="1">
        <f ca="1">IFERROR(__xludf.DUMMYFUNCTION("""COMPUTED_VALUE"""),-3.85)</f>
        <v>-3.85</v>
      </c>
      <c r="F226" s="1">
        <f ca="1">IFERROR(__xludf.DUMMYFUNCTION("""COMPUTED_VALUE"""),101.4)</f>
        <v>101.4</v>
      </c>
      <c r="G226" s="1">
        <f ca="1">IFERROR(__xludf.DUMMYFUNCTION("""COMPUTED_VALUE"""),232)</f>
        <v>232</v>
      </c>
      <c r="H226" s="1">
        <f ca="1">IFERROR(__xludf.DUMMYFUNCTION("""COMPUTED_VALUE"""),105.2)</f>
        <v>105.2</v>
      </c>
      <c r="I226" s="1">
        <f ca="1">IFERROR(__xludf.DUMMYFUNCTION("""COMPUTED_VALUE"""),184)</f>
        <v>184</v>
      </c>
      <c r="J226" s="1">
        <f ca="1">IFERROR(__xludf.DUMMYFUNCTION("""COMPUTED_VALUE"""),64.2)</f>
        <v>64.2</v>
      </c>
      <c r="K226" s="1">
        <f ca="1">IFERROR(__xludf.DUMMYFUNCTION("""COMPUTED_VALUE"""),182)</f>
        <v>182</v>
      </c>
      <c r="L226" s="1">
        <f ca="1">IFERROR(__xludf.DUMMYFUNCTION("""COMPUTED_VALUE"""),-0.057)</f>
        <v>-5.7000000000000002E-2</v>
      </c>
      <c r="M226" s="1">
        <f ca="1">IFERROR(__xludf.DUMMYFUNCTION("""COMPUTED_VALUE"""),310)</f>
        <v>310</v>
      </c>
      <c r="N226" s="1">
        <f ca="1">IFERROR(__xludf.DUMMYFUNCTION("""COMPUTED_VALUE"""),-2.75)</f>
        <v>-2.75</v>
      </c>
      <c r="O226" s="1">
        <f ca="1">IFERROR(__xludf.DUMMYFUNCTION("""COMPUTED_VALUE"""),207)</f>
        <v>207</v>
      </c>
      <c r="P226" s="1">
        <f ca="1">IFERROR(__xludf.DUMMYFUNCTION("""COMPUTED_VALUE"""),101.8)</f>
        <v>101.8</v>
      </c>
      <c r="Q226" s="1">
        <f ca="1">IFERROR(__xludf.DUMMYFUNCTION("""COMPUTED_VALUE"""),286)</f>
        <v>286</v>
      </c>
      <c r="R226" s="1">
        <f ca="1">IFERROR(__xludf.DUMMYFUNCTION("""COMPUTED_VALUE"""),104.6)</f>
        <v>104.6</v>
      </c>
      <c r="S226" s="1">
        <f ca="1">IFERROR(__xludf.DUMMYFUNCTION("""COMPUTED_VALUE"""),162)</f>
        <v>162</v>
      </c>
      <c r="T226" s="1">
        <f ca="1">IFERROR(__xludf.DUMMYFUNCTION("""COMPUTED_VALUE"""),-14.23)</f>
        <v>-14.23</v>
      </c>
      <c r="U226" s="1">
        <f ca="1">IFERROR(__xludf.DUMMYFUNCTION("""COMPUTED_VALUE"""),350)</f>
        <v>350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IFERROR(__xludf.DUMMYFUNCTION("""COMPUTED_VALUE"""),"Miami OH")</f>
        <v>Miami OH</v>
      </c>
      <c r="C227" s="1" t="str">
        <f ca="1">IFERROR(__xludf.DUMMYFUNCTION("""COMPUTED_VALUE"""),"MAC")</f>
        <v>MAC</v>
      </c>
      <c r="D227" s="1" t="str">
        <f ca="1">IFERROR(__xludf.DUMMYFUNCTION("""COMPUTED_VALUE"""),"13-19")</f>
        <v>13-19</v>
      </c>
      <c r="E227" s="1">
        <f ca="1">IFERROR(__xludf.DUMMYFUNCTION("""COMPUTED_VALUE"""),-4.02)</f>
        <v>-4.0199999999999996</v>
      </c>
      <c r="F227" s="1">
        <f ca="1">IFERROR(__xludf.DUMMYFUNCTION("""COMPUTED_VALUE"""),102.5)</f>
        <v>102.5</v>
      </c>
      <c r="G227" s="1">
        <f ca="1">IFERROR(__xludf.DUMMYFUNCTION("""COMPUTED_VALUE"""),212)</f>
        <v>212</v>
      </c>
      <c r="H227" s="1">
        <f ca="1">IFERROR(__xludf.DUMMYFUNCTION("""COMPUTED_VALUE"""),106.6)</f>
        <v>106.6</v>
      </c>
      <c r="I227" s="1">
        <f ca="1">IFERROR(__xludf.DUMMYFUNCTION("""COMPUTED_VALUE"""),214)</f>
        <v>214</v>
      </c>
      <c r="J227" s="1">
        <f ca="1">IFERROR(__xludf.DUMMYFUNCTION("""COMPUTED_VALUE"""),64.6)</f>
        <v>64.599999999999994</v>
      </c>
      <c r="K227" s="1">
        <f ca="1">IFERROR(__xludf.DUMMYFUNCTION("""COMPUTED_VALUE"""),156)</f>
        <v>156</v>
      </c>
      <c r="L227" s="1" t="str">
        <f ca="1">IFERROR(__xludf.DUMMYFUNCTION("""COMPUTED_VALUE"""),"+.009")</f>
        <v>+.009</v>
      </c>
      <c r="M227" s="1">
        <f ca="1">IFERROR(__xludf.DUMMYFUNCTION("""COMPUTED_VALUE"""),163)</f>
        <v>163</v>
      </c>
      <c r="N227" s="1">
        <f ca="1">IFERROR(__xludf.DUMMYFUNCTION("""COMPUTED_VALUE"""),-0.08)</f>
        <v>-0.08</v>
      </c>
      <c r="O227" s="1">
        <f ca="1">IFERROR(__xludf.DUMMYFUNCTION("""COMPUTED_VALUE"""),144)</f>
        <v>144</v>
      </c>
      <c r="P227" s="1">
        <f ca="1">IFERROR(__xludf.DUMMYFUNCTION("""COMPUTED_VALUE"""),104.3)</f>
        <v>104.3</v>
      </c>
      <c r="Q227" s="1">
        <f ca="1">IFERROR(__xludf.DUMMYFUNCTION("""COMPUTED_VALUE"""),145)</f>
        <v>145</v>
      </c>
      <c r="R227" s="1">
        <f ca="1">IFERROR(__xludf.DUMMYFUNCTION("""COMPUTED_VALUE"""),104.4)</f>
        <v>104.4</v>
      </c>
      <c r="S227" s="1">
        <f ca="1">IFERROR(__xludf.DUMMYFUNCTION("""COMPUTED_VALUE"""),155)</f>
        <v>155</v>
      </c>
      <c r="T227" s="1">
        <f ca="1">IFERROR(__xludf.DUMMYFUNCTION("""COMPUTED_VALUE"""),-5.44)</f>
        <v>-5.44</v>
      </c>
      <c r="U227" s="1">
        <f ca="1">IFERROR(__xludf.DUMMYFUNCTION("""COMPUTED_VALUE"""),311)</f>
        <v>311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IFERROR(__xludf.DUMMYFUNCTION("""COMPUTED_VALUE"""),"UC Riverside")</f>
        <v>UC Riverside</v>
      </c>
      <c r="C228" s="1" t="str">
        <f ca="1">IFERROR(__xludf.DUMMYFUNCTION("""COMPUTED_VALUE"""),"BW")</f>
        <v>BW</v>
      </c>
      <c r="D228" s="1" t="str">
        <f ca="1">IFERROR(__xludf.DUMMYFUNCTION("""COMPUTED_VALUE"""),"14-17")</f>
        <v>14-17</v>
      </c>
      <c r="E228" s="1">
        <f ca="1">IFERROR(__xludf.DUMMYFUNCTION("""COMPUTED_VALUE"""),-4.22)</f>
        <v>-4.22</v>
      </c>
      <c r="F228" s="1">
        <f ca="1">IFERROR(__xludf.DUMMYFUNCTION("""COMPUTED_VALUE"""),98.5)</f>
        <v>98.5</v>
      </c>
      <c r="G228" s="1">
        <f ca="1">IFERROR(__xludf.DUMMYFUNCTION("""COMPUTED_VALUE"""),280)</f>
        <v>280</v>
      </c>
      <c r="H228" s="1">
        <f ca="1">IFERROR(__xludf.DUMMYFUNCTION("""COMPUTED_VALUE"""),102.8)</f>
        <v>102.8</v>
      </c>
      <c r="I228" s="1">
        <f ca="1">IFERROR(__xludf.DUMMYFUNCTION("""COMPUTED_VALUE"""),143)</f>
        <v>143</v>
      </c>
      <c r="J228" s="1">
        <f ca="1">IFERROR(__xludf.DUMMYFUNCTION("""COMPUTED_VALUE"""),65.3)</f>
        <v>65.3</v>
      </c>
      <c r="K228" s="1">
        <f ca="1">IFERROR(__xludf.DUMMYFUNCTION("""COMPUTED_VALUE"""),121)</f>
        <v>121</v>
      </c>
      <c r="L228" s="1" t="str">
        <f ca="1">IFERROR(__xludf.DUMMYFUNCTION("""COMPUTED_VALUE"""),"+.013")</f>
        <v>+.013</v>
      </c>
      <c r="M228" s="1">
        <f ca="1">IFERROR(__xludf.DUMMYFUNCTION("""COMPUTED_VALUE"""),150)</f>
        <v>150</v>
      </c>
      <c r="N228" s="1">
        <f ca="1">IFERROR(__xludf.DUMMYFUNCTION("""COMPUTED_VALUE"""),-0.71)</f>
        <v>-0.71</v>
      </c>
      <c r="O228" s="1">
        <f ca="1">IFERROR(__xludf.DUMMYFUNCTION("""COMPUTED_VALUE"""),155)</f>
        <v>155</v>
      </c>
      <c r="P228" s="1">
        <f ca="1">IFERROR(__xludf.DUMMYFUNCTION("""COMPUTED_VALUE"""),104.4)</f>
        <v>104.4</v>
      </c>
      <c r="Q228" s="1">
        <f ca="1">IFERROR(__xludf.DUMMYFUNCTION("""COMPUTED_VALUE"""),134)</f>
        <v>134</v>
      </c>
      <c r="R228" s="1">
        <f ca="1">IFERROR(__xludf.DUMMYFUNCTION("""COMPUTED_VALUE"""),105.1)</f>
        <v>105.1</v>
      </c>
      <c r="S228" s="1">
        <f ca="1">IFERROR(__xludf.DUMMYFUNCTION("""COMPUTED_VALUE"""),188)</f>
        <v>188</v>
      </c>
      <c r="T228" s="1">
        <f ca="1">IFERROR(__xludf.DUMMYFUNCTION("""COMPUTED_VALUE"""),-3.48)</f>
        <v>-3.48</v>
      </c>
      <c r="U228" s="1">
        <f ca="1">IFERROR(__xludf.DUMMYFUNCTION("""COMPUTED_VALUE"""),265)</f>
        <v>265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IFERROR(__xludf.DUMMYFUNCTION("""COMPUTED_VALUE"""),"Duquesne")</f>
        <v>Duquesne</v>
      </c>
      <c r="C229" s="1" t="str">
        <f ca="1">IFERROR(__xludf.DUMMYFUNCTION("""COMPUTED_VALUE"""),"A10")</f>
        <v>A10</v>
      </c>
      <c r="D229" s="2">
        <f ca="1">IFERROR(__xludf.DUMMYFUNCTION("""COMPUTED_VALUE"""),44914)</f>
        <v>44914</v>
      </c>
      <c r="E229" s="1">
        <f ca="1">IFERROR(__xludf.DUMMYFUNCTION("""COMPUTED_VALUE"""),-4.26)</f>
        <v>-4.26</v>
      </c>
      <c r="F229" s="1">
        <f ca="1">IFERROR(__xludf.DUMMYFUNCTION("""COMPUTED_VALUE"""),108.6)</f>
        <v>108.6</v>
      </c>
      <c r="G229" s="1">
        <f ca="1">IFERROR(__xludf.DUMMYFUNCTION("""COMPUTED_VALUE"""),85)</f>
        <v>85</v>
      </c>
      <c r="H229" s="1">
        <f ca="1">IFERROR(__xludf.DUMMYFUNCTION("""COMPUTED_VALUE"""),112.9)</f>
        <v>112.9</v>
      </c>
      <c r="I229" s="1">
        <f ca="1">IFERROR(__xludf.DUMMYFUNCTION("""COMPUTED_VALUE"""),326)</f>
        <v>326</v>
      </c>
      <c r="J229" s="1">
        <f ca="1">IFERROR(__xludf.DUMMYFUNCTION("""COMPUTED_VALUE"""),67.3)</f>
        <v>67.3</v>
      </c>
      <c r="K229" s="1">
        <f ca="1">IFERROR(__xludf.DUMMYFUNCTION("""COMPUTED_VALUE"""),46)</f>
        <v>46</v>
      </c>
      <c r="L229" s="1">
        <f ca="1">IFERROR(__xludf.DUMMYFUNCTION("""COMPUTED_VALUE"""),-0.015)</f>
        <v>-1.4999999999999999E-2</v>
      </c>
      <c r="M229" s="1">
        <f ca="1">IFERROR(__xludf.DUMMYFUNCTION("""COMPUTED_VALUE"""),219)</f>
        <v>219</v>
      </c>
      <c r="N229" s="1" t="str">
        <f ca="1">IFERROR(__xludf.DUMMYFUNCTION("""COMPUTED_VALUE"""),"+1.03")</f>
        <v>+1.03</v>
      </c>
      <c r="O229" s="1">
        <f ca="1">IFERROR(__xludf.DUMMYFUNCTION("""COMPUTED_VALUE"""),120)</f>
        <v>120</v>
      </c>
      <c r="P229" s="1">
        <f ca="1">IFERROR(__xludf.DUMMYFUNCTION("""COMPUTED_VALUE"""),103.7)</f>
        <v>103.7</v>
      </c>
      <c r="Q229" s="1">
        <f ca="1">IFERROR(__xludf.DUMMYFUNCTION("""COMPUTED_VALUE"""),173)</f>
        <v>173</v>
      </c>
      <c r="R229" s="1">
        <f ca="1">IFERROR(__xludf.DUMMYFUNCTION("""COMPUTED_VALUE"""),102.7)</f>
        <v>102.7</v>
      </c>
      <c r="S229" s="1">
        <f ca="1">IFERROR(__xludf.DUMMYFUNCTION("""COMPUTED_VALUE"""),98)</f>
        <v>98</v>
      </c>
      <c r="T229" s="1">
        <f ca="1">IFERROR(__xludf.DUMMYFUNCTION("""COMPUTED_VALUE"""),-8.19)</f>
        <v>-8.19</v>
      </c>
      <c r="U229" s="1">
        <f ca="1">IFERROR(__xludf.DUMMYFUNCTION("""COMPUTED_VALUE"""),337)</f>
        <v>337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IFERROR(__xludf.DUMMYFUNCTION("""COMPUTED_VALUE"""),"East Tennessee St.")</f>
        <v>East Tennessee St.</v>
      </c>
      <c r="C230" s="1" t="str">
        <f ca="1">IFERROR(__xludf.DUMMYFUNCTION("""COMPUTED_VALUE"""),"SC")</f>
        <v>SC</v>
      </c>
      <c r="D230" s="1" t="str">
        <f ca="1">IFERROR(__xludf.DUMMYFUNCTION("""COMPUTED_VALUE"""),"16-14")</f>
        <v>16-14</v>
      </c>
      <c r="E230" s="1">
        <f ca="1">IFERROR(__xludf.DUMMYFUNCTION("""COMPUTED_VALUE"""),-4.29)</f>
        <v>-4.29</v>
      </c>
      <c r="F230" s="1">
        <f ca="1">IFERROR(__xludf.DUMMYFUNCTION("""COMPUTED_VALUE"""),103.2)</f>
        <v>103.2</v>
      </c>
      <c r="G230" s="1">
        <f ca="1">IFERROR(__xludf.DUMMYFUNCTION("""COMPUTED_VALUE"""),194)</f>
        <v>194</v>
      </c>
      <c r="H230" s="1">
        <f ca="1">IFERROR(__xludf.DUMMYFUNCTION("""COMPUTED_VALUE"""),107.5)</f>
        <v>107.5</v>
      </c>
      <c r="I230" s="1">
        <f ca="1">IFERROR(__xludf.DUMMYFUNCTION("""COMPUTED_VALUE"""),231)</f>
        <v>231</v>
      </c>
      <c r="J230" s="1">
        <f ca="1">IFERROR(__xludf.DUMMYFUNCTION("""COMPUTED_VALUE"""),67.7)</f>
        <v>67.7</v>
      </c>
      <c r="K230" s="1">
        <f ca="1">IFERROR(__xludf.DUMMYFUNCTION("""COMPUTED_VALUE"""),32)</f>
        <v>32</v>
      </c>
      <c r="L230" s="1" t="str">
        <f ca="1">IFERROR(__xludf.DUMMYFUNCTION("""COMPUTED_VALUE"""),"+.036")</f>
        <v>+.036</v>
      </c>
      <c r="M230" s="1">
        <f ca="1">IFERROR(__xludf.DUMMYFUNCTION("""COMPUTED_VALUE"""),91)</f>
        <v>91</v>
      </c>
      <c r="N230" s="1">
        <f ca="1">IFERROR(__xludf.DUMMYFUNCTION("""COMPUTED_VALUE"""),-4.13)</f>
        <v>-4.13</v>
      </c>
      <c r="O230" s="1">
        <f ca="1">IFERROR(__xludf.DUMMYFUNCTION("""COMPUTED_VALUE"""),252)</f>
        <v>252</v>
      </c>
      <c r="P230" s="1">
        <f ca="1">IFERROR(__xludf.DUMMYFUNCTION("""COMPUTED_VALUE"""),103.2)</f>
        <v>103.2</v>
      </c>
      <c r="Q230" s="1">
        <f ca="1">IFERROR(__xludf.DUMMYFUNCTION("""COMPUTED_VALUE"""),202)</f>
        <v>202</v>
      </c>
      <c r="R230" s="1">
        <f ca="1">IFERROR(__xludf.DUMMYFUNCTION("""COMPUTED_VALUE"""),107.3)</f>
        <v>107.3</v>
      </c>
      <c r="S230" s="1">
        <f ca="1">IFERROR(__xludf.DUMMYFUNCTION("""COMPUTED_VALUE"""),291)</f>
        <v>291</v>
      </c>
      <c r="T230" s="1" t="str">
        <f ca="1">IFERROR(__xludf.DUMMYFUNCTION("""COMPUTED_VALUE"""),"+4.74")</f>
        <v>+4.74</v>
      </c>
      <c r="U230" s="1">
        <f ca="1">IFERROR(__xludf.DUMMYFUNCTION("""COMPUTED_VALUE"""),36)</f>
        <v>36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IFERROR(__xludf.DUMMYFUNCTION("""COMPUTED_VALUE"""),"South Dakota")</f>
        <v>South Dakota</v>
      </c>
      <c r="C231" s="1" t="str">
        <f ca="1">IFERROR(__xludf.DUMMYFUNCTION("""COMPUTED_VALUE"""),"Sum")</f>
        <v>Sum</v>
      </c>
      <c r="D231" s="1" t="str">
        <f ca="1">IFERROR(__xludf.DUMMYFUNCTION("""COMPUTED_VALUE"""),"17-16")</f>
        <v>17-16</v>
      </c>
      <c r="E231" s="1">
        <f ca="1">IFERROR(__xludf.DUMMYFUNCTION("""COMPUTED_VALUE"""),-4.36)</f>
        <v>-4.3600000000000003</v>
      </c>
      <c r="F231" s="1">
        <f ca="1">IFERROR(__xludf.DUMMYFUNCTION("""COMPUTED_VALUE"""),103.4)</f>
        <v>103.4</v>
      </c>
      <c r="G231" s="1">
        <f ca="1">IFERROR(__xludf.DUMMYFUNCTION("""COMPUTED_VALUE"""),188)</f>
        <v>188</v>
      </c>
      <c r="H231" s="1">
        <f ca="1">IFERROR(__xludf.DUMMYFUNCTION("""COMPUTED_VALUE"""),107.8)</f>
        <v>107.8</v>
      </c>
      <c r="I231" s="1">
        <f ca="1">IFERROR(__xludf.DUMMYFUNCTION("""COMPUTED_VALUE"""),237)</f>
        <v>237</v>
      </c>
      <c r="J231" s="1">
        <f ca="1">IFERROR(__xludf.DUMMYFUNCTION("""COMPUTED_VALUE"""),65.2)</f>
        <v>65.2</v>
      </c>
      <c r="K231" s="1">
        <f ca="1">IFERROR(__xludf.DUMMYFUNCTION("""COMPUTED_VALUE"""),130)</f>
        <v>130</v>
      </c>
      <c r="L231" s="1" t="str">
        <f ca="1">IFERROR(__xludf.DUMMYFUNCTION("""COMPUTED_VALUE"""),"+.032")</f>
        <v>+.032</v>
      </c>
      <c r="M231" s="1">
        <f ca="1">IFERROR(__xludf.DUMMYFUNCTION("""COMPUTED_VALUE"""),98)</f>
        <v>98</v>
      </c>
      <c r="N231" s="1">
        <f ca="1">IFERROR(__xludf.DUMMYFUNCTION("""COMPUTED_VALUE"""),-3.12)</f>
        <v>-3.12</v>
      </c>
      <c r="O231" s="1">
        <f ca="1">IFERROR(__xludf.DUMMYFUNCTION("""COMPUTED_VALUE"""),216)</f>
        <v>216</v>
      </c>
      <c r="P231" s="1">
        <f ca="1">IFERROR(__xludf.DUMMYFUNCTION("""COMPUTED_VALUE"""),103.1)</f>
        <v>103.1</v>
      </c>
      <c r="Q231" s="1">
        <f ca="1">IFERROR(__xludf.DUMMYFUNCTION("""COMPUTED_VALUE"""),207)</f>
        <v>207</v>
      </c>
      <c r="R231" s="1">
        <f ca="1">IFERROR(__xludf.DUMMYFUNCTION("""COMPUTED_VALUE"""),106.3)</f>
        <v>106.3</v>
      </c>
      <c r="S231" s="1">
        <f ca="1">IFERROR(__xludf.DUMMYFUNCTION("""COMPUTED_VALUE"""),243)</f>
        <v>243</v>
      </c>
      <c r="T231" s="1">
        <f ca="1">IFERROR(__xludf.DUMMYFUNCTION("""COMPUTED_VALUE"""),-1.23)</f>
        <v>-1.23</v>
      </c>
      <c r="U231" s="1">
        <f ca="1">IFERROR(__xludf.DUMMYFUNCTION("""COMPUTED_VALUE"""),195)</f>
        <v>195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IFERROR(__xludf.DUMMYFUNCTION("""COMPUTED_VALUE"""),"Tulane")</f>
        <v>Tulane</v>
      </c>
      <c r="C232" s="1" t="str">
        <f ca="1">IFERROR(__xludf.DUMMYFUNCTION("""COMPUTED_VALUE"""),"Amer")</f>
        <v>Amer</v>
      </c>
      <c r="D232" s="1" t="str">
        <f ca="1">IFERROR(__xludf.DUMMYFUNCTION("""COMPUTED_VALUE"""),"15-16")</f>
        <v>15-16</v>
      </c>
      <c r="E232" s="1">
        <f ca="1">IFERROR(__xludf.DUMMYFUNCTION("""COMPUTED_VALUE"""),-4.37)</f>
        <v>-4.37</v>
      </c>
      <c r="F232" s="1">
        <f ca="1">IFERROR(__xludf.DUMMYFUNCTION("""COMPUTED_VALUE"""),99.8)</f>
        <v>99.8</v>
      </c>
      <c r="G232" s="1">
        <f ca="1">IFERROR(__xludf.DUMMYFUNCTION("""COMPUTED_VALUE"""),258)</f>
        <v>258</v>
      </c>
      <c r="H232" s="1">
        <f ca="1">IFERROR(__xludf.DUMMYFUNCTION("""COMPUTED_VALUE"""),104.2)</f>
        <v>104.2</v>
      </c>
      <c r="I232" s="1">
        <f ca="1">IFERROR(__xludf.DUMMYFUNCTION("""COMPUTED_VALUE"""),167)</f>
        <v>167</v>
      </c>
      <c r="J232" s="1">
        <f ca="1">IFERROR(__xludf.DUMMYFUNCTION("""COMPUTED_VALUE"""),63)</f>
        <v>63</v>
      </c>
      <c r="K232" s="1">
        <f ca="1">IFERROR(__xludf.DUMMYFUNCTION("""COMPUTED_VALUE"""),255)</f>
        <v>255</v>
      </c>
      <c r="L232" s="1" t="str">
        <f ca="1">IFERROR(__xludf.DUMMYFUNCTION("""COMPUTED_VALUE"""),"+.031")</f>
        <v>+.031</v>
      </c>
      <c r="M232" s="1">
        <f ca="1">IFERROR(__xludf.DUMMYFUNCTION("""COMPUTED_VALUE"""),102)</f>
        <v>102</v>
      </c>
      <c r="N232" s="1">
        <f ca="1">IFERROR(__xludf.DUMMYFUNCTION("""COMPUTED_VALUE"""),-1.34)</f>
        <v>-1.34</v>
      </c>
      <c r="O232" s="1">
        <f ca="1">IFERROR(__xludf.DUMMYFUNCTION("""COMPUTED_VALUE"""),171)</f>
        <v>171</v>
      </c>
      <c r="P232" s="1">
        <f ca="1">IFERROR(__xludf.DUMMYFUNCTION("""COMPUTED_VALUE"""),102)</f>
        <v>102</v>
      </c>
      <c r="Q232" s="1">
        <f ca="1">IFERROR(__xludf.DUMMYFUNCTION("""COMPUTED_VALUE"""),274)</f>
        <v>274</v>
      </c>
      <c r="R232" s="1">
        <f ca="1">IFERROR(__xludf.DUMMYFUNCTION("""COMPUTED_VALUE"""),103.4)</f>
        <v>103.4</v>
      </c>
      <c r="S232" s="1">
        <f ca="1">IFERROR(__xludf.DUMMYFUNCTION("""COMPUTED_VALUE"""),112)</f>
        <v>112</v>
      </c>
      <c r="T232" s="1">
        <f ca="1">IFERROR(__xludf.DUMMYFUNCTION("""COMPUTED_VALUE"""),-9.69)</f>
        <v>-9.69</v>
      </c>
      <c r="U232" s="1">
        <f ca="1">IFERROR(__xludf.DUMMYFUNCTION("""COMPUTED_VALUE"""),342)</f>
        <v>342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IFERROR(__xludf.DUMMYFUNCTION("""COMPUTED_VALUE"""),"St. Francis PA")</f>
        <v>St. Francis PA</v>
      </c>
      <c r="C233" s="1" t="str">
        <f ca="1">IFERROR(__xludf.DUMMYFUNCTION("""COMPUTED_VALUE"""),"NEC")</f>
        <v>NEC</v>
      </c>
      <c r="D233" s="1" t="str">
        <f ca="1">IFERROR(__xludf.DUMMYFUNCTION("""COMPUTED_VALUE"""),"16-16")</f>
        <v>16-16</v>
      </c>
      <c r="E233" s="1">
        <f ca="1">IFERROR(__xludf.DUMMYFUNCTION("""COMPUTED_VALUE"""),-4.58)</f>
        <v>-4.58</v>
      </c>
      <c r="F233" s="1">
        <f ca="1">IFERROR(__xludf.DUMMYFUNCTION("""COMPUTED_VALUE"""),99.8)</f>
        <v>99.8</v>
      </c>
      <c r="G233" s="1">
        <f ca="1">IFERROR(__xludf.DUMMYFUNCTION("""COMPUTED_VALUE"""),261)</f>
        <v>261</v>
      </c>
      <c r="H233" s="1">
        <f ca="1">IFERROR(__xludf.DUMMYFUNCTION("""COMPUTED_VALUE"""),104.4)</f>
        <v>104.4</v>
      </c>
      <c r="I233" s="1">
        <f ca="1">IFERROR(__xludf.DUMMYFUNCTION("""COMPUTED_VALUE"""),171)</f>
        <v>171</v>
      </c>
      <c r="J233" s="1">
        <f ca="1">IFERROR(__xludf.DUMMYFUNCTION("""COMPUTED_VALUE"""),62.7)</f>
        <v>62.7</v>
      </c>
      <c r="K233" s="1">
        <f ca="1">IFERROR(__xludf.DUMMYFUNCTION("""COMPUTED_VALUE"""),268)</f>
        <v>268</v>
      </c>
      <c r="L233" s="1" t="str">
        <f ca="1">IFERROR(__xludf.DUMMYFUNCTION("""COMPUTED_VALUE"""),"+.018")</f>
        <v>+.018</v>
      </c>
      <c r="M233" s="1">
        <f ca="1">IFERROR(__xludf.DUMMYFUNCTION("""COMPUTED_VALUE"""),141)</f>
        <v>141</v>
      </c>
      <c r="N233" s="1">
        <f ca="1">IFERROR(__xludf.DUMMYFUNCTION("""COMPUTED_VALUE"""),-4.1)</f>
        <v>-4.0999999999999996</v>
      </c>
      <c r="O233" s="1">
        <f ca="1">IFERROR(__xludf.DUMMYFUNCTION("""COMPUTED_VALUE"""),249)</f>
        <v>249</v>
      </c>
      <c r="P233" s="1">
        <f ca="1">IFERROR(__xludf.DUMMYFUNCTION("""COMPUTED_VALUE"""),102)</f>
        <v>102</v>
      </c>
      <c r="Q233" s="1">
        <f ca="1">IFERROR(__xludf.DUMMYFUNCTION("""COMPUTED_VALUE"""),279)</f>
        <v>279</v>
      </c>
      <c r="R233" s="1">
        <f ca="1">IFERROR(__xludf.DUMMYFUNCTION("""COMPUTED_VALUE"""),106.1)</f>
        <v>106.1</v>
      </c>
      <c r="S233" s="1">
        <f ca="1">IFERROR(__xludf.DUMMYFUNCTION("""COMPUTED_VALUE"""),236)</f>
        <v>236</v>
      </c>
      <c r="T233" s="1" t="str">
        <f ca="1">IFERROR(__xludf.DUMMYFUNCTION("""COMPUTED_VALUE"""),"+3.61")</f>
        <v>+3.61</v>
      </c>
      <c r="U233" s="1">
        <f ca="1">IFERROR(__xludf.DUMMYFUNCTION("""COMPUTED_VALUE"""),56)</f>
        <v>56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IFERROR(__xludf.DUMMYFUNCTION("""COMPUTED_VALUE"""),"Denver")</f>
        <v>Denver</v>
      </c>
      <c r="C234" s="1" t="str">
        <f ca="1">IFERROR(__xludf.DUMMYFUNCTION("""COMPUTED_VALUE"""),"Sum")</f>
        <v>Sum</v>
      </c>
      <c r="D234" s="2">
        <f ca="1">IFERROR(__xludf.DUMMYFUNCTION("""COMPUTED_VALUE"""),44913)</f>
        <v>44913</v>
      </c>
      <c r="E234" s="1">
        <f ca="1">IFERROR(__xludf.DUMMYFUNCTION("""COMPUTED_VALUE"""),-4.58)</f>
        <v>-4.58</v>
      </c>
      <c r="F234" s="1">
        <f ca="1">IFERROR(__xludf.DUMMYFUNCTION("""COMPUTED_VALUE"""),106)</f>
        <v>106</v>
      </c>
      <c r="G234" s="1">
        <f ca="1">IFERROR(__xludf.DUMMYFUNCTION("""COMPUTED_VALUE"""),134)</f>
        <v>134</v>
      </c>
      <c r="H234" s="1">
        <f ca="1">IFERROR(__xludf.DUMMYFUNCTION("""COMPUTED_VALUE"""),110.6)</f>
        <v>110.6</v>
      </c>
      <c r="I234" s="1">
        <f ca="1">IFERROR(__xludf.DUMMYFUNCTION("""COMPUTED_VALUE"""),295)</f>
        <v>295</v>
      </c>
      <c r="J234" s="1">
        <f ca="1">IFERROR(__xludf.DUMMYFUNCTION("""COMPUTED_VALUE"""),57.1)</f>
        <v>57.1</v>
      </c>
      <c r="K234" s="1">
        <f ca="1">IFERROR(__xludf.DUMMYFUNCTION("""COMPUTED_VALUE"""),350)</f>
        <v>350</v>
      </c>
      <c r="L234" s="1">
        <f ca="1">IFERROR(__xludf.DUMMYFUNCTION("""COMPUTED_VALUE"""),-0.067)</f>
        <v>-6.7000000000000004E-2</v>
      </c>
      <c r="M234" s="1">
        <f ca="1">IFERROR(__xludf.DUMMYFUNCTION("""COMPUTED_VALUE"""),321)</f>
        <v>321</v>
      </c>
      <c r="N234" s="1">
        <f ca="1">IFERROR(__xludf.DUMMYFUNCTION("""COMPUTED_VALUE"""),-3.73)</f>
        <v>-3.73</v>
      </c>
      <c r="O234" s="1">
        <f ca="1">IFERROR(__xludf.DUMMYFUNCTION("""COMPUTED_VALUE"""),239)</f>
        <v>239</v>
      </c>
      <c r="P234" s="1">
        <f ca="1">IFERROR(__xludf.DUMMYFUNCTION("""COMPUTED_VALUE"""),102.8)</f>
        <v>102.8</v>
      </c>
      <c r="Q234" s="1">
        <f ca="1">IFERROR(__xludf.DUMMYFUNCTION("""COMPUTED_VALUE"""),224)</f>
        <v>224</v>
      </c>
      <c r="R234" s="1">
        <f ca="1">IFERROR(__xludf.DUMMYFUNCTION("""COMPUTED_VALUE"""),106.6)</f>
        <v>106.6</v>
      </c>
      <c r="S234" s="1">
        <f ca="1">IFERROR(__xludf.DUMMYFUNCTION("""COMPUTED_VALUE"""),259)</f>
        <v>259</v>
      </c>
      <c r="T234" s="1">
        <f ca="1">IFERROR(__xludf.DUMMYFUNCTION("""COMPUTED_VALUE"""),-2.16)</f>
        <v>-2.16</v>
      </c>
      <c r="U234" s="1">
        <f ca="1">IFERROR(__xludf.DUMMYFUNCTION("""COMPUTED_VALUE"""),224)</f>
        <v>224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IFERROR(__xludf.DUMMYFUNCTION("""COMPUTED_VALUE"""),"Southern Illinois")</f>
        <v>Southern Illinois</v>
      </c>
      <c r="C235" s="1" t="str">
        <f ca="1">IFERROR(__xludf.DUMMYFUNCTION("""COMPUTED_VALUE"""),"MVC")</f>
        <v>MVC</v>
      </c>
      <c r="D235" s="2">
        <f ca="1">IFERROR(__xludf.DUMMYFUNCTION("""COMPUTED_VALUE"""),44916)</f>
        <v>44916</v>
      </c>
      <c r="E235" s="1">
        <f ca="1">IFERROR(__xludf.DUMMYFUNCTION("""COMPUTED_VALUE"""),-4.79)</f>
        <v>-4.79</v>
      </c>
      <c r="F235" s="1">
        <f ca="1">IFERROR(__xludf.DUMMYFUNCTION("""COMPUTED_VALUE"""),98.8)</f>
        <v>98.8</v>
      </c>
      <c r="G235" s="1">
        <f ca="1">IFERROR(__xludf.DUMMYFUNCTION("""COMPUTED_VALUE"""),275)</f>
        <v>275</v>
      </c>
      <c r="H235" s="1">
        <f ca="1">IFERROR(__xludf.DUMMYFUNCTION("""COMPUTED_VALUE"""),103.6)</f>
        <v>103.6</v>
      </c>
      <c r="I235" s="1">
        <f ca="1">IFERROR(__xludf.DUMMYFUNCTION("""COMPUTED_VALUE"""),160)</f>
        <v>160</v>
      </c>
      <c r="J235" s="1">
        <f ca="1">IFERROR(__xludf.DUMMYFUNCTION("""COMPUTED_VALUE"""),62.2)</f>
        <v>62.2</v>
      </c>
      <c r="K235" s="1">
        <f ca="1">IFERROR(__xludf.DUMMYFUNCTION("""COMPUTED_VALUE"""),282)</f>
        <v>282</v>
      </c>
      <c r="L235" s="1">
        <f ca="1">IFERROR(__xludf.DUMMYFUNCTION("""COMPUTED_VALUE"""),-0.054)</f>
        <v>-5.3999999999999999E-2</v>
      </c>
      <c r="M235" s="1">
        <f ca="1">IFERROR(__xludf.DUMMYFUNCTION("""COMPUTED_VALUE"""),303)</f>
        <v>303</v>
      </c>
      <c r="N235" s="1">
        <f ca="1">IFERROR(__xludf.DUMMYFUNCTION("""COMPUTED_VALUE"""),-0.87)</f>
        <v>-0.87</v>
      </c>
      <c r="O235" s="1">
        <f ca="1">IFERROR(__xludf.DUMMYFUNCTION("""COMPUTED_VALUE"""),157)</f>
        <v>157</v>
      </c>
      <c r="P235" s="1">
        <f ca="1">IFERROR(__xludf.DUMMYFUNCTION("""COMPUTED_VALUE"""),103)</f>
        <v>103</v>
      </c>
      <c r="Q235" s="1">
        <f ca="1">IFERROR(__xludf.DUMMYFUNCTION("""COMPUTED_VALUE"""),211)</f>
        <v>211</v>
      </c>
      <c r="R235" s="1">
        <f ca="1">IFERROR(__xludf.DUMMYFUNCTION("""COMPUTED_VALUE"""),103.9)</f>
        <v>103.9</v>
      </c>
      <c r="S235" s="1">
        <f ca="1">IFERROR(__xludf.DUMMYFUNCTION("""COMPUTED_VALUE"""),134)</f>
        <v>134</v>
      </c>
      <c r="T235" s="1">
        <f ca="1">IFERROR(__xludf.DUMMYFUNCTION("""COMPUTED_VALUE"""),-8.22)</f>
        <v>-8.2200000000000006</v>
      </c>
      <c r="U235" s="1">
        <f ca="1">IFERROR(__xludf.DUMMYFUNCTION("""COMPUTED_VALUE"""),338)</f>
        <v>338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IFERROR(__xludf.DUMMYFUNCTION("""COMPUTED_VALUE"""),"East Carolina")</f>
        <v>East Carolina</v>
      </c>
      <c r="C236" s="1" t="str">
        <f ca="1">IFERROR(__xludf.DUMMYFUNCTION("""COMPUTED_VALUE"""),"Amer")</f>
        <v>Amer</v>
      </c>
      <c r="D236" s="1" t="str">
        <f ca="1">IFERROR(__xludf.DUMMYFUNCTION("""COMPUTED_VALUE"""),"14-19")</f>
        <v>14-19</v>
      </c>
      <c r="E236" s="1">
        <f ca="1">IFERROR(__xludf.DUMMYFUNCTION("""COMPUTED_VALUE"""),-4.89)</f>
        <v>-4.8899999999999997</v>
      </c>
      <c r="F236" s="1">
        <f ca="1">IFERROR(__xludf.DUMMYFUNCTION("""COMPUTED_VALUE"""),103.7)</f>
        <v>103.7</v>
      </c>
      <c r="G236" s="1">
        <f ca="1">IFERROR(__xludf.DUMMYFUNCTION("""COMPUTED_VALUE"""),183)</f>
        <v>183</v>
      </c>
      <c r="H236" s="1">
        <f ca="1">IFERROR(__xludf.DUMMYFUNCTION("""COMPUTED_VALUE"""),108.6)</f>
        <v>108.6</v>
      </c>
      <c r="I236" s="1">
        <f ca="1">IFERROR(__xludf.DUMMYFUNCTION("""COMPUTED_VALUE"""),261)</f>
        <v>261</v>
      </c>
      <c r="J236" s="1">
        <f ca="1">IFERROR(__xludf.DUMMYFUNCTION("""COMPUTED_VALUE"""),61.2)</f>
        <v>61.2</v>
      </c>
      <c r="K236" s="1">
        <f ca="1">IFERROR(__xludf.DUMMYFUNCTION("""COMPUTED_VALUE"""),314)</f>
        <v>314</v>
      </c>
      <c r="L236" s="1">
        <f ca="1">IFERROR(__xludf.DUMMYFUNCTION("""COMPUTED_VALUE"""),-0.002)</f>
        <v>-2E-3</v>
      </c>
      <c r="M236" s="1">
        <f ca="1">IFERROR(__xludf.DUMMYFUNCTION("""COMPUTED_VALUE"""),189)</f>
        <v>189</v>
      </c>
      <c r="N236" s="1" t="str">
        <f ca="1">IFERROR(__xludf.DUMMYFUNCTION("""COMPUTED_VALUE"""),"+0.04")</f>
        <v>+0.04</v>
      </c>
      <c r="O236" s="1">
        <f ca="1">IFERROR(__xludf.DUMMYFUNCTION("""COMPUTED_VALUE"""),141)</f>
        <v>141</v>
      </c>
      <c r="P236" s="1">
        <f ca="1">IFERROR(__xludf.DUMMYFUNCTION("""COMPUTED_VALUE"""),103.2)</f>
        <v>103.2</v>
      </c>
      <c r="Q236" s="1">
        <f ca="1">IFERROR(__xludf.DUMMYFUNCTION("""COMPUTED_VALUE"""),200)</f>
        <v>200</v>
      </c>
      <c r="R236" s="1">
        <f ca="1">IFERROR(__xludf.DUMMYFUNCTION("""COMPUTED_VALUE"""),103.2)</f>
        <v>103.2</v>
      </c>
      <c r="S236" s="1">
        <f ca="1">IFERROR(__xludf.DUMMYFUNCTION("""COMPUTED_VALUE"""),108)</f>
        <v>108</v>
      </c>
      <c r="T236" s="1">
        <f ca="1">IFERROR(__xludf.DUMMYFUNCTION("""COMPUTED_VALUE"""),-6.07)</f>
        <v>-6.07</v>
      </c>
      <c r="U236" s="1">
        <f ca="1">IFERROR(__xludf.DUMMYFUNCTION("""COMPUTED_VALUE"""),323)</f>
        <v>323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IFERROR(__xludf.DUMMYFUNCTION("""COMPUTED_VALUE"""),"Eastern Illinois")</f>
        <v>Eastern Illinois</v>
      </c>
      <c r="C237" s="1" t="str">
        <f ca="1">IFERROR(__xludf.DUMMYFUNCTION("""COMPUTED_VALUE"""),"OVC")</f>
        <v>OVC</v>
      </c>
      <c r="D237" s="1" t="str">
        <f ca="1">IFERROR(__xludf.DUMMYFUNCTION("""COMPUTED_VALUE"""),"18-15")</f>
        <v>18-15</v>
      </c>
      <c r="E237" s="1">
        <f ca="1">IFERROR(__xludf.DUMMYFUNCTION("""COMPUTED_VALUE"""),-4.95)</f>
        <v>-4.95</v>
      </c>
      <c r="F237" s="1">
        <f ca="1">IFERROR(__xludf.DUMMYFUNCTION("""COMPUTED_VALUE"""),100.3)</f>
        <v>100.3</v>
      </c>
      <c r="G237" s="1">
        <f ca="1">IFERROR(__xludf.DUMMYFUNCTION("""COMPUTED_VALUE"""),251)</f>
        <v>251</v>
      </c>
      <c r="H237" s="1">
        <f ca="1">IFERROR(__xludf.DUMMYFUNCTION("""COMPUTED_VALUE"""),105.2)</f>
        <v>105.2</v>
      </c>
      <c r="I237" s="1">
        <f ca="1">IFERROR(__xludf.DUMMYFUNCTION("""COMPUTED_VALUE"""),182)</f>
        <v>182</v>
      </c>
      <c r="J237" s="1">
        <f ca="1">IFERROR(__xludf.DUMMYFUNCTION("""COMPUTED_VALUE"""),63.2)</f>
        <v>63.2</v>
      </c>
      <c r="K237" s="1">
        <f ca="1">IFERROR(__xludf.DUMMYFUNCTION("""COMPUTED_VALUE"""),246)</f>
        <v>246</v>
      </c>
      <c r="L237" s="1" t="str">
        <f ca="1">IFERROR(__xludf.DUMMYFUNCTION("""COMPUTED_VALUE"""),"+.119")</f>
        <v>+.119</v>
      </c>
      <c r="M237" s="1">
        <f ca="1">IFERROR(__xludf.DUMMYFUNCTION("""COMPUTED_VALUE"""),4)</f>
        <v>4</v>
      </c>
      <c r="N237" s="1">
        <f ca="1">IFERROR(__xludf.DUMMYFUNCTION("""COMPUTED_VALUE"""),-1.2)</f>
        <v>-1.2</v>
      </c>
      <c r="O237" s="1">
        <f ca="1">IFERROR(__xludf.DUMMYFUNCTION("""COMPUTED_VALUE"""),165)</f>
        <v>165</v>
      </c>
      <c r="P237" s="1">
        <f ca="1">IFERROR(__xludf.DUMMYFUNCTION("""COMPUTED_VALUE"""),104.4)</f>
        <v>104.4</v>
      </c>
      <c r="Q237" s="1">
        <f ca="1">IFERROR(__xludf.DUMMYFUNCTION("""COMPUTED_VALUE"""),141)</f>
        <v>141</v>
      </c>
      <c r="R237" s="1">
        <f ca="1">IFERROR(__xludf.DUMMYFUNCTION("""COMPUTED_VALUE"""),105.6)</f>
        <v>105.6</v>
      </c>
      <c r="S237" s="1">
        <f ca="1">IFERROR(__xludf.DUMMYFUNCTION("""COMPUTED_VALUE"""),213)</f>
        <v>213</v>
      </c>
      <c r="T237" s="1" t="str">
        <f ca="1">IFERROR(__xludf.DUMMYFUNCTION("""COMPUTED_VALUE"""),"+2.87")</f>
        <v>+2.87</v>
      </c>
      <c r="U237" s="1">
        <f ca="1">IFERROR(__xludf.DUMMYFUNCTION("""COMPUTED_VALUE"""),72)</f>
        <v>72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IFERROR(__xludf.DUMMYFUNCTION("""COMPUTED_VALUE"""),"Mount St. Mary's")</f>
        <v>Mount St. Mary's</v>
      </c>
      <c r="C238" s="1" t="str">
        <f ca="1">IFERROR(__xludf.DUMMYFUNCTION("""COMPUTED_VALUE"""),"NEC")</f>
        <v>NEC</v>
      </c>
      <c r="D238" s="1" t="str">
        <f ca="1">IFERROR(__xludf.DUMMYFUNCTION("""COMPUTED_VALUE"""),"15-15")</f>
        <v>15-15</v>
      </c>
      <c r="E238" s="1">
        <f ca="1">IFERROR(__xludf.DUMMYFUNCTION("""COMPUTED_VALUE"""),-4.97)</f>
        <v>-4.97</v>
      </c>
      <c r="F238" s="1">
        <f ca="1">IFERROR(__xludf.DUMMYFUNCTION("""COMPUTED_VALUE"""),98.5)</f>
        <v>98.5</v>
      </c>
      <c r="G238" s="1">
        <f ca="1">IFERROR(__xludf.DUMMYFUNCTION("""COMPUTED_VALUE"""),282)</f>
        <v>282</v>
      </c>
      <c r="H238" s="1">
        <f ca="1">IFERROR(__xludf.DUMMYFUNCTION("""COMPUTED_VALUE"""),103.4)</f>
        <v>103.4</v>
      </c>
      <c r="I238" s="1">
        <f ca="1">IFERROR(__xludf.DUMMYFUNCTION("""COMPUTED_VALUE"""),156)</f>
        <v>156</v>
      </c>
      <c r="J238" s="1">
        <f ca="1">IFERROR(__xludf.DUMMYFUNCTION("""COMPUTED_VALUE"""),62.4)</f>
        <v>62.4</v>
      </c>
      <c r="K238" s="1">
        <f ca="1">IFERROR(__xludf.DUMMYFUNCTION("""COMPUTED_VALUE"""),276)</f>
        <v>276</v>
      </c>
      <c r="L238" s="1" t="str">
        <f ca="1">IFERROR(__xludf.DUMMYFUNCTION("""COMPUTED_VALUE"""),"+.040")</f>
        <v>+.040</v>
      </c>
      <c r="M238" s="1">
        <f ca="1">IFERROR(__xludf.DUMMYFUNCTION("""COMPUTED_VALUE"""),78)</f>
        <v>78</v>
      </c>
      <c r="N238" s="1">
        <f ca="1">IFERROR(__xludf.DUMMYFUNCTION("""COMPUTED_VALUE"""),-4.84)</f>
        <v>-4.84</v>
      </c>
      <c r="O238" s="1">
        <f ca="1">IFERROR(__xludf.DUMMYFUNCTION("""COMPUTED_VALUE"""),273)</f>
        <v>273</v>
      </c>
      <c r="P238" s="1">
        <f ca="1">IFERROR(__xludf.DUMMYFUNCTION("""COMPUTED_VALUE"""),102)</f>
        <v>102</v>
      </c>
      <c r="Q238" s="1">
        <f ca="1">IFERROR(__xludf.DUMMYFUNCTION("""COMPUTED_VALUE"""),277)</f>
        <v>277</v>
      </c>
      <c r="R238" s="1">
        <f ca="1">IFERROR(__xludf.DUMMYFUNCTION("""COMPUTED_VALUE"""),106.9)</f>
        <v>106.9</v>
      </c>
      <c r="S238" s="1">
        <f ca="1">IFERROR(__xludf.DUMMYFUNCTION("""COMPUTED_VALUE"""),266)</f>
        <v>266</v>
      </c>
      <c r="T238" s="1" t="str">
        <f ca="1">IFERROR(__xludf.DUMMYFUNCTION("""COMPUTED_VALUE"""),"+5.25")</f>
        <v>+5.25</v>
      </c>
      <c r="U238" s="1">
        <f ca="1">IFERROR(__xludf.DUMMYFUNCTION("""COMPUTED_VALUE"""),30)</f>
        <v>30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IFERROR(__xludf.DUMMYFUNCTION("""COMPUTED_VALUE"""),"Texas A&amp;M Corpus Chris")</f>
        <v>Texas A&amp;M Corpus Chris</v>
      </c>
      <c r="C239" s="1" t="str">
        <f ca="1">IFERROR(__xludf.DUMMYFUNCTION("""COMPUTED_VALUE"""),"Slnd")</f>
        <v>Slnd</v>
      </c>
      <c r="D239" s="1" t="str">
        <f ca="1">IFERROR(__xludf.DUMMYFUNCTION("""COMPUTED_VALUE"""),"20-14")</f>
        <v>20-14</v>
      </c>
      <c r="E239" s="1">
        <f ca="1">IFERROR(__xludf.DUMMYFUNCTION("""COMPUTED_VALUE"""),-5.05)</f>
        <v>-5.05</v>
      </c>
      <c r="F239" s="1">
        <f ca="1">IFERROR(__xludf.DUMMYFUNCTION("""COMPUTED_VALUE"""),100.8)</f>
        <v>100.8</v>
      </c>
      <c r="G239" s="1">
        <f ca="1">IFERROR(__xludf.DUMMYFUNCTION("""COMPUTED_VALUE"""),241)</f>
        <v>241</v>
      </c>
      <c r="H239" s="1">
        <f ca="1">IFERROR(__xludf.DUMMYFUNCTION("""COMPUTED_VALUE"""),105.9)</f>
        <v>105.9</v>
      </c>
      <c r="I239" s="1">
        <f ca="1">IFERROR(__xludf.DUMMYFUNCTION("""COMPUTED_VALUE"""),198)</f>
        <v>198</v>
      </c>
      <c r="J239" s="1">
        <f ca="1">IFERROR(__xludf.DUMMYFUNCTION("""COMPUTED_VALUE"""),62.7)</f>
        <v>62.7</v>
      </c>
      <c r="K239" s="1">
        <f ca="1">IFERROR(__xludf.DUMMYFUNCTION("""COMPUTED_VALUE"""),267)</f>
        <v>267</v>
      </c>
      <c r="L239" s="1" t="str">
        <f ca="1">IFERROR(__xludf.DUMMYFUNCTION("""COMPUTED_VALUE"""),"+.040")</f>
        <v>+.040</v>
      </c>
      <c r="M239" s="1">
        <f ca="1">IFERROR(__xludf.DUMMYFUNCTION("""COMPUTED_VALUE"""),77)</f>
        <v>77</v>
      </c>
      <c r="N239" s="1">
        <f ca="1">IFERROR(__xludf.DUMMYFUNCTION("""COMPUTED_VALUE"""),-7.36)</f>
        <v>-7.36</v>
      </c>
      <c r="O239" s="1">
        <f ca="1">IFERROR(__xludf.DUMMYFUNCTION("""COMPUTED_VALUE"""),334)</f>
        <v>334</v>
      </c>
      <c r="P239" s="1">
        <f ca="1">IFERROR(__xludf.DUMMYFUNCTION("""COMPUTED_VALUE"""),101.3)</f>
        <v>101.3</v>
      </c>
      <c r="Q239" s="1">
        <f ca="1">IFERROR(__xludf.DUMMYFUNCTION("""COMPUTED_VALUE"""),307)</f>
        <v>307</v>
      </c>
      <c r="R239" s="1">
        <f ca="1">IFERROR(__xludf.DUMMYFUNCTION("""COMPUTED_VALUE"""),108.6)</f>
        <v>108.6</v>
      </c>
      <c r="S239" s="1">
        <f ca="1">IFERROR(__xludf.DUMMYFUNCTION("""COMPUTED_VALUE"""),338)</f>
        <v>338</v>
      </c>
      <c r="T239" s="1">
        <f ca="1">IFERROR(__xludf.DUMMYFUNCTION("""COMPUTED_VALUE"""),-5.46)</f>
        <v>-5.46</v>
      </c>
      <c r="U239" s="1">
        <f ca="1">IFERROR(__xludf.DUMMYFUNCTION("""COMPUTED_VALUE"""),313)</f>
        <v>313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IFERROR(__xludf.DUMMYFUNCTION("""COMPUTED_VALUE"""),"Incarnate Word")</f>
        <v>Incarnate Word</v>
      </c>
      <c r="C240" s="1" t="str">
        <f ca="1">IFERROR(__xludf.DUMMYFUNCTION("""COMPUTED_VALUE"""),"Slnd")</f>
        <v>Slnd</v>
      </c>
      <c r="D240" s="1" t="str">
        <f ca="1">IFERROR(__xludf.DUMMYFUNCTION("""COMPUTED_VALUE"""),"18-11")</f>
        <v>18-11</v>
      </c>
      <c r="E240" s="1">
        <f ca="1">IFERROR(__xludf.DUMMYFUNCTION("""COMPUTED_VALUE"""),-5.06)</f>
        <v>-5.0599999999999996</v>
      </c>
      <c r="F240" s="1">
        <f ca="1">IFERROR(__xludf.DUMMYFUNCTION("""COMPUTED_VALUE"""),107.5)</f>
        <v>107.5</v>
      </c>
      <c r="G240" s="1">
        <f ca="1">IFERROR(__xludf.DUMMYFUNCTION("""COMPUTED_VALUE"""),108)</f>
        <v>108</v>
      </c>
      <c r="H240" s="1">
        <f ca="1">IFERROR(__xludf.DUMMYFUNCTION("""COMPUTED_VALUE"""),112.6)</f>
        <v>112.6</v>
      </c>
      <c r="I240" s="1">
        <f ca="1">IFERROR(__xludf.DUMMYFUNCTION("""COMPUTED_VALUE"""),322)</f>
        <v>322</v>
      </c>
      <c r="J240" s="1">
        <f ca="1">IFERROR(__xludf.DUMMYFUNCTION("""COMPUTED_VALUE"""),67.4)</f>
        <v>67.400000000000006</v>
      </c>
      <c r="K240" s="1">
        <f ca="1">IFERROR(__xludf.DUMMYFUNCTION("""COMPUTED_VALUE"""),39)</f>
        <v>39</v>
      </c>
      <c r="L240" s="1" t="str">
        <f ca="1">IFERROR(__xludf.DUMMYFUNCTION("""COMPUTED_VALUE"""),"+.041")</f>
        <v>+.041</v>
      </c>
      <c r="M240" s="1">
        <f ca="1">IFERROR(__xludf.DUMMYFUNCTION("""COMPUTED_VALUE"""),76)</f>
        <v>76</v>
      </c>
      <c r="N240" s="1">
        <f ca="1">IFERROR(__xludf.DUMMYFUNCTION("""COMPUTED_VALUE"""),-6.57)</f>
        <v>-6.57</v>
      </c>
      <c r="O240" s="1">
        <f ca="1">IFERROR(__xludf.DUMMYFUNCTION("""COMPUTED_VALUE"""),321)</f>
        <v>321</v>
      </c>
      <c r="P240" s="1">
        <f ca="1">IFERROR(__xludf.DUMMYFUNCTION("""COMPUTED_VALUE"""),101.1)</f>
        <v>101.1</v>
      </c>
      <c r="Q240" s="1">
        <f ca="1">IFERROR(__xludf.DUMMYFUNCTION("""COMPUTED_VALUE"""),308)</f>
        <v>308</v>
      </c>
      <c r="R240" s="1">
        <f ca="1">IFERROR(__xludf.DUMMYFUNCTION("""COMPUTED_VALUE"""),107.7)</f>
        <v>107.7</v>
      </c>
      <c r="S240" s="1">
        <f ca="1">IFERROR(__xludf.DUMMYFUNCTION("""COMPUTED_VALUE"""),305)</f>
        <v>305</v>
      </c>
      <c r="T240" s="1" t="str">
        <f ca="1">IFERROR(__xludf.DUMMYFUNCTION("""COMPUTED_VALUE"""),"+5.19")</f>
        <v>+5.19</v>
      </c>
      <c r="U240" s="1">
        <f ca="1">IFERROR(__xludf.DUMMYFUNCTION("""COMPUTED_VALUE"""),31)</f>
        <v>31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IFERROR(__xludf.DUMMYFUNCTION("""COMPUTED_VALUE"""),"Northwestern St.")</f>
        <v>Northwestern St.</v>
      </c>
      <c r="C241" s="1" t="str">
        <f ca="1">IFERROR(__xludf.DUMMYFUNCTION("""COMPUTED_VALUE"""),"Slnd")</f>
        <v>Slnd</v>
      </c>
      <c r="D241" s="1" t="str">
        <f ca="1">IFERROR(__xludf.DUMMYFUNCTION("""COMPUTED_VALUE"""),"19-13")</f>
        <v>19-13</v>
      </c>
      <c r="E241" s="1">
        <f ca="1">IFERROR(__xludf.DUMMYFUNCTION("""COMPUTED_VALUE"""),-5.11)</f>
        <v>-5.1100000000000003</v>
      </c>
      <c r="F241" s="1">
        <f ca="1">IFERROR(__xludf.DUMMYFUNCTION("""COMPUTED_VALUE"""),112.5)</f>
        <v>112.5</v>
      </c>
      <c r="G241" s="1">
        <f ca="1">IFERROR(__xludf.DUMMYFUNCTION("""COMPUTED_VALUE"""),45)</f>
        <v>45</v>
      </c>
      <c r="H241" s="1">
        <f ca="1">IFERROR(__xludf.DUMMYFUNCTION("""COMPUTED_VALUE"""),117.6)</f>
        <v>117.6</v>
      </c>
      <c r="I241" s="1">
        <f ca="1">IFERROR(__xludf.DUMMYFUNCTION("""COMPUTED_VALUE"""),348)</f>
        <v>348</v>
      </c>
      <c r="J241" s="1">
        <f ca="1">IFERROR(__xludf.DUMMYFUNCTION("""COMPUTED_VALUE"""),73.2)</f>
        <v>73.2</v>
      </c>
      <c r="K241" s="1">
        <f ca="1">IFERROR(__xludf.DUMMYFUNCTION("""COMPUTED_VALUE"""),4)</f>
        <v>4</v>
      </c>
      <c r="L241" s="1" t="str">
        <f ca="1">IFERROR(__xludf.DUMMYFUNCTION("""COMPUTED_VALUE"""),"+.054")</f>
        <v>+.054</v>
      </c>
      <c r="M241" s="1">
        <f ca="1">IFERROR(__xludf.DUMMYFUNCTION("""COMPUTED_VALUE"""),55)</f>
        <v>55</v>
      </c>
      <c r="N241" s="1">
        <f ca="1">IFERROR(__xludf.DUMMYFUNCTION("""COMPUTED_VALUE"""),-5.2)</f>
        <v>-5.2</v>
      </c>
      <c r="O241" s="1">
        <f ca="1">IFERROR(__xludf.DUMMYFUNCTION("""COMPUTED_VALUE"""),286)</f>
        <v>286</v>
      </c>
      <c r="P241" s="1">
        <f ca="1">IFERROR(__xludf.DUMMYFUNCTION("""COMPUTED_VALUE"""),101.7)</f>
        <v>101.7</v>
      </c>
      <c r="Q241" s="1">
        <f ca="1">IFERROR(__xludf.DUMMYFUNCTION("""COMPUTED_VALUE"""),293)</f>
        <v>293</v>
      </c>
      <c r="R241" s="1">
        <f ca="1">IFERROR(__xludf.DUMMYFUNCTION("""COMPUTED_VALUE"""),106.9)</f>
        <v>106.9</v>
      </c>
      <c r="S241" s="1">
        <f ca="1">IFERROR(__xludf.DUMMYFUNCTION("""COMPUTED_VALUE"""),270)</f>
        <v>270</v>
      </c>
      <c r="T241" s="1" t="str">
        <f ca="1">IFERROR(__xludf.DUMMYFUNCTION("""COMPUTED_VALUE"""),"+10.52")</f>
        <v>+10.52</v>
      </c>
      <c r="U241" s="1">
        <f ca="1">IFERROR(__xludf.DUMMYFUNCTION("""COMPUTED_VALUE"""),6)</f>
        <v>6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IFERROR(__xludf.DUMMYFUNCTION("""COMPUTED_VALUE"""),"Texas St.")</f>
        <v>Texas St.</v>
      </c>
      <c r="C242" s="1" t="str">
        <f ca="1">IFERROR(__xludf.DUMMYFUNCTION("""COMPUTED_VALUE"""),"SB")</f>
        <v>SB</v>
      </c>
      <c r="D242" s="1" t="str">
        <f ca="1">IFERROR(__xludf.DUMMYFUNCTION("""COMPUTED_VALUE"""),"14-17")</f>
        <v>14-17</v>
      </c>
      <c r="E242" s="1">
        <f ca="1">IFERROR(__xludf.DUMMYFUNCTION("""COMPUTED_VALUE"""),-5.2)</f>
        <v>-5.2</v>
      </c>
      <c r="F242" s="1">
        <f ca="1">IFERROR(__xludf.DUMMYFUNCTION("""COMPUTED_VALUE"""),93.7)</f>
        <v>93.7</v>
      </c>
      <c r="G242" s="1">
        <f ca="1">IFERROR(__xludf.DUMMYFUNCTION("""COMPUTED_VALUE"""),326)</f>
        <v>326</v>
      </c>
      <c r="H242" s="1">
        <f ca="1">IFERROR(__xludf.DUMMYFUNCTION("""COMPUTED_VALUE"""),98.9)</f>
        <v>98.9</v>
      </c>
      <c r="I242" s="1">
        <f ca="1">IFERROR(__xludf.DUMMYFUNCTION("""COMPUTED_VALUE"""),77)</f>
        <v>77</v>
      </c>
      <c r="J242" s="1">
        <f ca="1">IFERROR(__xludf.DUMMYFUNCTION("""COMPUTED_VALUE"""),61.2)</f>
        <v>61.2</v>
      </c>
      <c r="K242" s="1">
        <f ca="1">IFERROR(__xludf.DUMMYFUNCTION("""COMPUTED_VALUE"""),312)</f>
        <v>312</v>
      </c>
      <c r="L242" s="1">
        <f ca="1">IFERROR(__xludf.DUMMYFUNCTION("""COMPUTED_VALUE"""),-0.033)</f>
        <v>-3.3000000000000002E-2</v>
      </c>
      <c r="M242" s="1">
        <f ca="1">IFERROR(__xludf.DUMMYFUNCTION("""COMPUTED_VALUE"""),260)</f>
        <v>260</v>
      </c>
      <c r="N242" s="1">
        <f ca="1">IFERROR(__xludf.DUMMYFUNCTION("""COMPUTED_VALUE"""),-3.05)</f>
        <v>-3.05</v>
      </c>
      <c r="O242" s="1">
        <f ca="1">IFERROR(__xludf.DUMMYFUNCTION("""COMPUTED_VALUE"""),214)</f>
        <v>214</v>
      </c>
      <c r="P242" s="1">
        <f ca="1">IFERROR(__xludf.DUMMYFUNCTION("""COMPUTED_VALUE"""),102.5)</f>
        <v>102.5</v>
      </c>
      <c r="Q242" s="1">
        <f ca="1">IFERROR(__xludf.DUMMYFUNCTION("""COMPUTED_VALUE"""),243)</f>
        <v>243</v>
      </c>
      <c r="R242" s="1">
        <f ca="1">IFERROR(__xludf.DUMMYFUNCTION("""COMPUTED_VALUE"""),105.6)</f>
        <v>105.6</v>
      </c>
      <c r="S242" s="1">
        <f ca="1">IFERROR(__xludf.DUMMYFUNCTION("""COMPUTED_VALUE"""),214)</f>
        <v>214</v>
      </c>
      <c r="T242" s="1" t="str">
        <f ca="1">IFERROR(__xludf.DUMMYFUNCTION("""COMPUTED_VALUE"""),"+1.05")</f>
        <v>+1.05</v>
      </c>
      <c r="U242" s="1">
        <f ca="1">IFERROR(__xludf.DUMMYFUNCTION("""COMPUTED_VALUE"""),124)</f>
        <v>124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IFERROR(__xludf.DUMMYFUNCTION("""COMPUTED_VALUE"""),"Idaho")</f>
        <v>Idaho</v>
      </c>
      <c r="C243" s="1" t="str">
        <f ca="1">IFERROR(__xludf.DUMMYFUNCTION("""COMPUTED_VALUE"""),"BSky")</f>
        <v>BSky</v>
      </c>
      <c r="D243" s="1" t="str">
        <f ca="1">IFERROR(__xludf.DUMMYFUNCTION("""COMPUTED_VALUE"""),"13-17")</f>
        <v>13-17</v>
      </c>
      <c r="E243" s="1">
        <f ca="1">IFERROR(__xludf.DUMMYFUNCTION("""COMPUTED_VALUE"""),-5.29)</f>
        <v>-5.29</v>
      </c>
      <c r="F243" s="1">
        <f ca="1">IFERROR(__xludf.DUMMYFUNCTION("""COMPUTED_VALUE"""),107.7)</f>
        <v>107.7</v>
      </c>
      <c r="G243" s="1">
        <f ca="1">IFERROR(__xludf.DUMMYFUNCTION("""COMPUTED_VALUE"""),104)</f>
        <v>104</v>
      </c>
      <c r="H243" s="1">
        <f ca="1">IFERROR(__xludf.DUMMYFUNCTION("""COMPUTED_VALUE"""),112.9)</f>
        <v>112.9</v>
      </c>
      <c r="I243" s="1">
        <f ca="1">IFERROR(__xludf.DUMMYFUNCTION("""COMPUTED_VALUE"""),327)</f>
        <v>327</v>
      </c>
      <c r="J243" s="1">
        <f ca="1">IFERROR(__xludf.DUMMYFUNCTION("""COMPUTED_VALUE"""),67.5)</f>
        <v>67.5</v>
      </c>
      <c r="K243" s="1">
        <f ca="1">IFERROR(__xludf.DUMMYFUNCTION("""COMPUTED_VALUE"""),35)</f>
        <v>35</v>
      </c>
      <c r="L243" s="1">
        <f ca="1">IFERROR(__xludf.DUMMYFUNCTION("""COMPUTED_VALUE"""),-0.07)</f>
        <v>-7.0000000000000007E-2</v>
      </c>
      <c r="M243" s="1">
        <f ca="1">IFERROR(__xludf.DUMMYFUNCTION("""COMPUTED_VALUE"""),324)</f>
        <v>324</v>
      </c>
      <c r="N243" s="1">
        <f ca="1">IFERROR(__xludf.DUMMYFUNCTION("""COMPUTED_VALUE"""),-4.51)</f>
        <v>-4.51</v>
      </c>
      <c r="O243" s="1">
        <f ca="1">IFERROR(__xludf.DUMMYFUNCTION("""COMPUTED_VALUE"""),263)</f>
        <v>263</v>
      </c>
      <c r="P243" s="1">
        <f ca="1">IFERROR(__xludf.DUMMYFUNCTION("""COMPUTED_VALUE"""),104.3)</f>
        <v>104.3</v>
      </c>
      <c r="Q243" s="1">
        <f ca="1">IFERROR(__xludf.DUMMYFUNCTION("""COMPUTED_VALUE"""),144)</f>
        <v>144</v>
      </c>
      <c r="R243" s="1">
        <f ca="1">IFERROR(__xludf.DUMMYFUNCTION("""COMPUTED_VALUE"""),108.8)</f>
        <v>108.8</v>
      </c>
      <c r="S243" s="1">
        <f ca="1">IFERROR(__xludf.DUMMYFUNCTION("""COMPUTED_VALUE"""),343)</f>
        <v>343</v>
      </c>
      <c r="T243" s="1" t="str">
        <f ca="1">IFERROR(__xludf.DUMMYFUNCTION("""COMPUTED_VALUE"""),"+1.05")</f>
        <v>+1.05</v>
      </c>
      <c r="U243" s="1">
        <f ca="1">IFERROR(__xludf.DUMMYFUNCTION("""COMPUTED_VALUE"""),125)</f>
        <v>125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IFERROR(__xludf.DUMMYFUNCTION("""COMPUTED_VALUE"""),"Ohio")</f>
        <v>Ohio</v>
      </c>
      <c r="C244" s="1" t="str">
        <f ca="1">IFERROR(__xludf.DUMMYFUNCTION("""COMPUTED_VALUE"""),"MAC")</f>
        <v>MAC</v>
      </c>
      <c r="D244" s="2">
        <f ca="1">IFERROR(__xludf.DUMMYFUNCTION("""COMPUTED_VALUE"""),44854)</f>
        <v>44854</v>
      </c>
      <c r="E244" s="1">
        <f ca="1">IFERROR(__xludf.DUMMYFUNCTION("""COMPUTED_VALUE"""),-5.47)</f>
        <v>-5.47</v>
      </c>
      <c r="F244" s="1">
        <f ca="1">IFERROR(__xludf.DUMMYFUNCTION("""COMPUTED_VALUE"""),103)</f>
        <v>103</v>
      </c>
      <c r="G244" s="1">
        <f ca="1">IFERROR(__xludf.DUMMYFUNCTION("""COMPUTED_VALUE"""),198)</f>
        <v>198</v>
      </c>
      <c r="H244" s="1">
        <f ca="1">IFERROR(__xludf.DUMMYFUNCTION("""COMPUTED_VALUE"""),108.5)</f>
        <v>108.5</v>
      </c>
      <c r="I244" s="1">
        <f ca="1">IFERROR(__xludf.DUMMYFUNCTION("""COMPUTED_VALUE"""),257)</f>
        <v>257</v>
      </c>
      <c r="J244" s="1">
        <f ca="1">IFERROR(__xludf.DUMMYFUNCTION("""COMPUTED_VALUE"""),66.4)</f>
        <v>66.400000000000006</v>
      </c>
      <c r="K244" s="1">
        <f ca="1">IFERROR(__xludf.DUMMYFUNCTION("""COMPUTED_VALUE"""),73)</f>
        <v>73</v>
      </c>
      <c r="L244" s="1">
        <f ca="1">IFERROR(__xludf.DUMMYFUNCTION("""COMPUTED_VALUE"""),-0.04)</f>
        <v>-0.04</v>
      </c>
      <c r="M244" s="1">
        <f ca="1">IFERROR(__xludf.DUMMYFUNCTION("""COMPUTED_VALUE"""),272)</f>
        <v>272</v>
      </c>
      <c r="N244" s="1" t="str">
        <f ca="1">IFERROR(__xludf.DUMMYFUNCTION("""COMPUTED_VALUE"""),"+0.75")</f>
        <v>+0.75</v>
      </c>
      <c r="O244" s="1">
        <f ca="1">IFERROR(__xludf.DUMMYFUNCTION("""COMPUTED_VALUE"""),130)</f>
        <v>130</v>
      </c>
      <c r="P244" s="1">
        <f ca="1">IFERROR(__xludf.DUMMYFUNCTION("""COMPUTED_VALUE"""),104.9)</f>
        <v>104.9</v>
      </c>
      <c r="Q244" s="1">
        <f ca="1">IFERROR(__xludf.DUMMYFUNCTION("""COMPUTED_VALUE"""),113)</f>
        <v>113</v>
      </c>
      <c r="R244" s="1">
        <f ca="1">IFERROR(__xludf.DUMMYFUNCTION("""COMPUTED_VALUE"""),104.2)</f>
        <v>104.2</v>
      </c>
      <c r="S244" s="1">
        <f ca="1">IFERROR(__xludf.DUMMYFUNCTION("""COMPUTED_VALUE"""),147)</f>
        <v>147</v>
      </c>
      <c r="T244" s="1">
        <f ca="1">IFERROR(__xludf.DUMMYFUNCTION("""COMPUTED_VALUE"""),-4.22)</f>
        <v>-4.22</v>
      </c>
      <c r="U244" s="1">
        <f ca="1">IFERROR(__xludf.DUMMYFUNCTION("""COMPUTED_VALUE"""),289)</f>
        <v>289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IFERROR(__xludf.DUMMYFUNCTION("""COMPUTED_VALUE"""),"Southeast Missouri St.")</f>
        <v>Southeast Missouri St.</v>
      </c>
      <c r="C245" s="1" t="str">
        <f ca="1">IFERROR(__xludf.DUMMYFUNCTION("""COMPUTED_VALUE"""),"OVC")</f>
        <v>OVC</v>
      </c>
      <c r="D245" s="1" t="str">
        <f ca="1">IFERROR(__xludf.DUMMYFUNCTION("""COMPUTED_VALUE"""),"13-17")</f>
        <v>13-17</v>
      </c>
      <c r="E245" s="1">
        <f ca="1">IFERROR(__xludf.DUMMYFUNCTION("""COMPUTED_VALUE"""),-5.54)</f>
        <v>-5.54</v>
      </c>
      <c r="F245" s="1">
        <f ca="1">IFERROR(__xludf.DUMMYFUNCTION("""COMPUTED_VALUE"""),102.8)</f>
        <v>102.8</v>
      </c>
      <c r="G245" s="1">
        <f ca="1">IFERROR(__xludf.DUMMYFUNCTION("""COMPUTED_VALUE"""),205)</f>
        <v>205</v>
      </c>
      <c r="H245" s="1">
        <f ca="1">IFERROR(__xludf.DUMMYFUNCTION("""COMPUTED_VALUE"""),108.4)</f>
        <v>108.4</v>
      </c>
      <c r="I245" s="1">
        <f ca="1">IFERROR(__xludf.DUMMYFUNCTION("""COMPUTED_VALUE"""),254)</f>
        <v>254</v>
      </c>
      <c r="J245" s="1">
        <f ca="1">IFERROR(__xludf.DUMMYFUNCTION("""COMPUTED_VALUE"""),65.6)</f>
        <v>65.599999999999994</v>
      </c>
      <c r="K245" s="1">
        <f ca="1">IFERROR(__xludf.DUMMYFUNCTION("""COMPUTED_VALUE"""),110)</f>
        <v>110</v>
      </c>
      <c r="L245" s="1">
        <f ca="1">IFERROR(__xludf.DUMMYFUNCTION("""COMPUTED_VALUE"""),-0.061)</f>
        <v>-6.0999999999999999E-2</v>
      </c>
      <c r="M245" s="1">
        <f ca="1">IFERROR(__xludf.DUMMYFUNCTION("""COMPUTED_VALUE"""),316)</f>
        <v>316</v>
      </c>
      <c r="N245" s="1">
        <f ca="1">IFERROR(__xludf.DUMMYFUNCTION("""COMPUTED_VALUE"""),-4.11)</f>
        <v>-4.1100000000000003</v>
      </c>
      <c r="O245" s="1">
        <f ca="1">IFERROR(__xludf.DUMMYFUNCTION("""COMPUTED_VALUE"""),250)</f>
        <v>250</v>
      </c>
      <c r="P245" s="1">
        <f ca="1">IFERROR(__xludf.DUMMYFUNCTION("""COMPUTED_VALUE"""),102.4)</f>
        <v>102.4</v>
      </c>
      <c r="Q245" s="1">
        <f ca="1">IFERROR(__xludf.DUMMYFUNCTION("""COMPUTED_VALUE"""),247)</f>
        <v>247</v>
      </c>
      <c r="R245" s="1">
        <f ca="1">IFERROR(__xludf.DUMMYFUNCTION("""COMPUTED_VALUE"""),106.5)</f>
        <v>106.5</v>
      </c>
      <c r="S245" s="1">
        <f ca="1">IFERROR(__xludf.DUMMYFUNCTION("""COMPUTED_VALUE"""),258)</f>
        <v>258</v>
      </c>
      <c r="T245" s="1">
        <f ca="1">IFERROR(__xludf.DUMMYFUNCTION("""COMPUTED_VALUE"""),-3.94)</f>
        <v>-3.94</v>
      </c>
      <c r="U245" s="1">
        <f ca="1">IFERROR(__xludf.DUMMYFUNCTION("""COMPUTED_VALUE"""),280)</f>
        <v>280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IFERROR(__xludf.DUMMYFUNCTION("""COMPUTED_VALUE"""),"Western Carolina")</f>
        <v>Western Carolina</v>
      </c>
      <c r="C246" s="1" t="str">
        <f ca="1">IFERROR(__xludf.DUMMYFUNCTION("""COMPUTED_VALUE"""),"SC")</f>
        <v>SC</v>
      </c>
      <c r="D246" s="1" t="str">
        <f ca="1">IFERROR(__xludf.DUMMYFUNCTION("""COMPUTED_VALUE"""),"15-17")</f>
        <v>15-17</v>
      </c>
      <c r="E246" s="1">
        <f ca="1">IFERROR(__xludf.DUMMYFUNCTION("""COMPUTED_VALUE"""),-5.6)</f>
        <v>-5.6</v>
      </c>
      <c r="F246" s="1">
        <f ca="1">IFERROR(__xludf.DUMMYFUNCTION("""COMPUTED_VALUE"""),101.9)</f>
        <v>101.9</v>
      </c>
      <c r="G246" s="1">
        <f ca="1">IFERROR(__xludf.DUMMYFUNCTION("""COMPUTED_VALUE"""),223)</f>
        <v>223</v>
      </c>
      <c r="H246" s="1">
        <f ca="1">IFERROR(__xludf.DUMMYFUNCTION("""COMPUTED_VALUE"""),107.5)</f>
        <v>107.5</v>
      </c>
      <c r="I246" s="1">
        <f ca="1">IFERROR(__xludf.DUMMYFUNCTION("""COMPUTED_VALUE"""),233)</f>
        <v>233</v>
      </c>
      <c r="J246" s="1">
        <f ca="1">IFERROR(__xludf.DUMMYFUNCTION("""COMPUTED_VALUE"""),65.7)</f>
        <v>65.7</v>
      </c>
      <c r="K246" s="1">
        <f ca="1">IFERROR(__xludf.DUMMYFUNCTION("""COMPUTED_VALUE"""),106)</f>
        <v>106</v>
      </c>
      <c r="L246" s="1" t="str">
        <f ca="1">IFERROR(__xludf.DUMMYFUNCTION("""COMPUTED_VALUE"""),"+.009")</f>
        <v>+.009</v>
      </c>
      <c r="M246" s="1">
        <f ca="1">IFERROR(__xludf.DUMMYFUNCTION("""COMPUTED_VALUE"""),159)</f>
        <v>159</v>
      </c>
      <c r="N246" s="1">
        <f ca="1">IFERROR(__xludf.DUMMYFUNCTION("""COMPUTED_VALUE"""),-3.3)</f>
        <v>-3.3</v>
      </c>
      <c r="O246" s="1">
        <f ca="1">IFERROR(__xludf.DUMMYFUNCTION("""COMPUTED_VALUE"""),224)</f>
        <v>224</v>
      </c>
      <c r="P246" s="1">
        <f ca="1">IFERROR(__xludf.DUMMYFUNCTION("""COMPUTED_VALUE"""),103.8)</f>
        <v>103.8</v>
      </c>
      <c r="Q246" s="1">
        <f ca="1">IFERROR(__xludf.DUMMYFUNCTION("""COMPUTED_VALUE"""),168)</f>
        <v>168</v>
      </c>
      <c r="R246" s="1">
        <f ca="1">IFERROR(__xludf.DUMMYFUNCTION("""COMPUTED_VALUE"""),107.1)</f>
        <v>107.1</v>
      </c>
      <c r="S246" s="1">
        <f ca="1">IFERROR(__xludf.DUMMYFUNCTION("""COMPUTED_VALUE"""),278)</f>
        <v>278</v>
      </c>
      <c r="T246" s="1" t="str">
        <f ca="1">IFERROR(__xludf.DUMMYFUNCTION("""COMPUTED_VALUE"""),"+4.95")</f>
        <v>+4.95</v>
      </c>
      <c r="U246" s="1">
        <f ca="1">IFERROR(__xludf.DUMMYFUNCTION("""COMPUTED_VALUE"""),35)</f>
        <v>35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IFERROR(__xludf.DUMMYFUNCTION("""COMPUTED_VALUE"""),"Arkansas Little Rock")</f>
        <v>Arkansas Little Rock</v>
      </c>
      <c r="C247" s="1" t="str">
        <f ca="1">IFERROR(__xludf.DUMMYFUNCTION("""COMPUTED_VALUE"""),"SB")</f>
        <v>SB</v>
      </c>
      <c r="D247" s="1" t="str">
        <f ca="1">IFERROR(__xludf.DUMMYFUNCTION("""COMPUTED_VALUE"""),"13-18")</f>
        <v>13-18</v>
      </c>
      <c r="E247" s="1">
        <f ca="1">IFERROR(__xludf.DUMMYFUNCTION("""COMPUTED_VALUE"""),-5.63)</f>
        <v>-5.63</v>
      </c>
      <c r="F247" s="1">
        <f ca="1">IFERROR(__xludf.DUMMYFUNCTION("""COMPUTED_VALUE"""),104.3)</f>
        <v>104.3</v>
      </c>
      <c r="G247" s="1">
        <f ca="1">IFERROR(__xludf.DUMMYFUNCTION("""COMPUTED_VALUE"""),171)</f>
        <v>171</v>
      </c>
      <c r="H247" s="1">
        <f ca="1">IFERROR(__xludf.DUMMYFUNCTION("""COMPUTED_VALUE"""),109.9)</f>
        <v>109.9</v>
      </c>
      <c r="I247" s="1">
        <f ca="1">IFERROR(__xludf.DUMMYFUNCTION("""COMPUTED_VALUE"""),288)</f>
        <v>288</v>
      </c>
      <c r="J247" s="1">
        <f ca="1">IFERROR(__xludf.DUMMYFUNCTION("""COMPUTED_VALUE"""),64.3)</f>
        <v>64.3</v>
      </c>
      <c r="K247" s="1">
        <f ca="1">IFERROR(__xludf.DUMMYFUNCTION("""COMPUTED_VALUE"""),174)</f>
        <v>174</v>
      </c>
      <c r="L247" s="1">
        <f ca="1">IFERROR(__xludf.DUMMYFUNCTION("""COMPUTED_VALUE"""),-0.048)</f>
        <v>-4.8000000000000001E-2</v>
      </c>
      <c r="M247" s="1">
        <f ca="1">IFERROR(__xludf.DUMMYFUNCTION("""COMPUTED_VALUE"""),289)</f>
        <v>289</v>
      </c>
      <c r="N247" s="1">
        <f ca="1">IFERROR(__xludf.DUMMYFUNCTION("""COMPUTED_VALUE"""),-4.76)</f>
        <v>-4.76</v>
      </c>
      <c r="O247" s="1">
        <f ca="1">IFERROR(__xludf.DUMMYFUNCTION("""COMPUTED_VALUE"""),272)</f>
        <v>272</v>
      </c>
      <c r="P247" s="1">
        <f ca="1">IFERROR(__xludf.DUMMYFUNCTION("""COMPUTED_VALUE"""),100.6)</f>
        <v>100.6</v>
      </c>
      <c r="Q247" s="1">
        <f ca="1">IFERROR(__xludf.DUMMYFUNCTION("""COMPUTED_VALUE"""),320)</f>
        <v>320</v>
      </c>
      <c r="R247" s="1">
        <f ca="1">IFERROR(__xludf.DUMMYFUNCTION("""COMPUTED_VALUE"""),105.4)</f>
        <v>105.4</v>
      </c>
      <c r="S247" s="1">
        <f ca="1">IFERROR(__xludf.DUMMYFUNCTION("""COMPUTED_VALUE"""),199)</f>
        <v>199</v>
      </c>
      <c r="T247" s="1">
        <f ca="1">IFERROR(__xludf.DUMMYFUNCTION("""COMPUTED_VALUE"""),-4.87)</f>
        <v>-4.87</v>
      </c>
      <c r="U247" s="1">
        <f ca="1">IFERROR(__xludf.DUMMYFUNCTION("""COMPUTED_VALUE"""),303)</f>
        <v>303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IFERROR(__xludf.DUMMYFUNCTION("""COMPUTED_VALUE"""),"Bryant")</f>
        <v>Bryant</v>
      </c>
      <c r="C248" s="1" t="str">
        <f ca="1">IFERROR(__xludf.DUMMYFUNCTION("""COMPUTED_VALUE"""),"NEC")</f>
        <v>NEC</v>
      </c>
      <c r="D248" s="1" t="str">
        <f ca="1">IFERROR(__xludf.DUMMYFUNCTION("""COMPUTED_VALUE"""),"16-15")</f>
        <v>16-15</v>
      </c>
      <c r="E248" s="1">
        <f ca="1">IFERROR(__xludf.DUMMYFUNCTION("""COMPUTED_VALUE"""),-5.85)</f>
        <v>-5.85</v>
      </c>
      <c r="F248" s="1">
        <f ca="1">IFERROR(__xludf.DUMMYFUNCTION("""COMPUTED_VALUE"""),104.1)</f>
        <v>104.1</v>
      </c>
      <c r="G248" s="1">
        <f ca="1">IFERROR(__xludf.DUMMYFUNCTION("""COMPUTED_VALUE"""),176)</f>
        <v>176</v>
      </c>
      <c r="H248" s="1">
        <f ca="1">IFERROR(__xludf.DUMMYFUNCTION("""COMPUTED_VALUE"""),109.9)</f>
        <v>109.9</v>
      </c>
      <c r="I248" s="1">
        <f ca="1">IFERROR(__xludf.DUMMYFUNCTION("""COMPUTED_VALUE"""),290)</f>
        <v>290</v>
      </c>
      <c r="J248" s="1">
        <f ca="1">IFERROR(__xludf.DUMMYFUNCTION("""COMPUTED_VALUE"""),63.1)</f>
        <v>63.1</v>
      </c>
      <c r="K248" s="1">
        <f ca="1">IFERROR(__xludf.DUMMYFUNCTION("""COMPUTED_VALUE"""),249)</f>
        <v>249</v>
      </c>
      <c r="L248" s="1" t="str">
        <f ca="1">IFERROR(__xludf.DUMMYFUNCTION("""COMPUTED_VALUE"""),"+.064")</f>
        <v>+.064</v>
      </c>
      <c r="M248" s="1">
        <f ca="1">IFERROR(__xludf.DUMMYFUNCTION("""COMPUTED_VALUE"""),44)</f>
        <v>44</v>
      </c>
      <c r="N248" s="1">
        <f ca="1">IFERROR(__xludf.DUMMYFUNCTION("""COMPUTED_VALUE"""),-4.6)</f>
        <v>-4.5999999999999996</v>
      </c>
      <c r="O248" s="1">
        <f ca="1">IFERROR(__xludf.DUMMYFUNCTION("""COMPUTED_VALUE"""),265)</f>
        <v>265</v>
      </c>
      <c r="P248" s="1">
        <f ca="1">IFERROR(__xludf.DUMMYFUNCTION("""COMPUTED_VALUE"""),101.4)</f>
        <v>101.4</v>
      </c>
      <c r="Q248" s="1">
        <f ca="1">IFERROR(__xludf.DUMMYFUNCTION("""COMPUTED_VALUE"""),304)</f>
        <v>304</v>
      </c>
      <c r="R248" s="1">
        <f ca="1">IFERROR(__xludf.DUMMYFUNCTION("""COMPUTED_VALUE"""),106)</f>
        <v>106</v>
      </c>
      <c r="S248" s="1">
        <f ca="1">IFERROR(__xludf.DUMMYFUNCTION("""COMPUTED_VALUE"""),232)</f>
        <v>232</v>
      </c>
      <c r="T248" s="1" t="str">
        <f ca="1">IFERROR(__xludf.DUMMYFUNCTION("""COMPUTED_VALUE"""),"+2.86")</f>
        <v>+2.86</v>
      </c>
      <c r="U248" s="1">
        <f ca="1">IFERROR(__xludf.DUMMYFUNCTION("""COMPUTED_VALUE"""),73)</f>
        <v>73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IFERROR(__xludf.DUMMYFUNCTION("""COMPUTED_VALUE"""),"UNC Asheville")</f>
        <v>UNC Asheville</v>
      </c>
      <c r="C249" s="1" t="str">
        <f ca="1">IFERROR(__xludf.DUMMYFUNCTION("""COMPUTED_VALUE"""),"BSth")</f>
        <v>BSth</v>
      </c>
      <c r="D249" s="1" t="str">
        <f ca="1">IFERROR(__xludf.DUMMYFUNCTION("""COMPUTED_VALUE"""),"15-16")</f>
        <v>15-16</v>
      </c>
      <c r="E249" s="1">
        <f ca="1">IFERROR(__xludf.DUMMYFUNCTION("""COMPUTED_VALUE"""),-6.14)</f>
        <v>-6.14</v>
      </c>
      <c r="F249" s="1">
        <f ca="1">IFERROR(__xludf.DUMMYFUNCTION("""COMPUTED_VALUE"""),102.4)</f>
        <v>102.4</v>
      </c>
      <c r="G249" s="1">
        <f ca="1">IFERROR(__xludf.DUMMYFUNCTION("""COMPUTED_VALUE"""),214)</f>
        <v>214</v>
      </c>
      <c r="H249" s="1">
        <f ca="1">IFERROR(__xludf.DUMMYFUNCTION("""COMPUTED_VALUE"""),108.6)</f>
        <v>108.6</v>
      </c>
      <c r="I249" s="1">
        <f ca="1">IFERROR(__xludf.DUMMYFUNCTION("""COMPUTED_VALUE"""),260)</f>
        <v>260</v>
      </c>
      <c r="J249" s="1">
        <f ca="1">IFERROR(__xludf.DUMMYFUNCTION("""COMPUTED_VALUE"""),67.8)</f>
        <v>67.8</v>
      </c>
      <c r="K249" s="1">
        <f ca="1">IFERROR(__xludf.DUMMYFUNCTION("""COMPUTED_VALUE"""),29)</f>
        <v>29</v>
      </c>
      <c r="L249" s="1">
        <f ca="1">IFERROR(__xludf.DUMMYFUNCTION("""COMPUTED_VALUE"""),-0.024)</f>
        <v>-2.4E-2</v>
      </c>
      <c r="M249" s="1">
        <f ca="1">IFERROR(__xludf.DUMMYFUNCTION("""COMPUTED_VALUE"""),236)</f>
        <v>236</v>
      </c>
      <c r="N249" s="1">
        <f ca="1">IFERROR(__xludf.DUMMYFUNCTION("""COMPUTED_VALUE"""),-4.43)</f>
        <v>-4.43</v>
      </c>
      <c r="O249" s="1">
        <f ca="1">IFERROR(__xludf.DUMMYFUNCTION("""COMPUTED_VALUE"""),259)</f>
        <v>259</v>
      </c>
      <c r="P249" s="1">
        <f ca="1">IFERROR(__xludf.DUMMYFUNCTION("""COMPUTED_VALUE"""),102.8)</f>
        <v>102.8</v>
      </c>
      <c r="Q249" s="1">
        <f ca="1">IFERROR(__xludf.DUMMYFUNCTION("""COMPUTED_VALUE"""),226)</f>
        <v>226</v>
      </c>
      <c r="R249" s="1">
        <f ca="1">IFERROR(__xludf.DUMMYFUNCTION("""COMPUTED_VALUE"""),107.2)</f>
        <v>107.2</v>
      </c>
      <c r="S249" s="1">
        <f ca="1">IFERROR(__xludf.DUMMYFUNCTION("""COMPUTED_VALUE"""),281)</f>
        <v>281</v>
      </c>
      <c r="T249" s="1" t="str">
        <f ca="1">IFERROR(__xludf.DUMMYFUNCTION("""COMPUTED_VALUE"""),"+1.11")</f>
        <v>+1.11</v>
      </c>
      <c r="U249" s="1">
        <f ca="1">IFERROR(__xludf.DUMMYFUNCTION("""COMPUTED_VALUE"""),122)</f>
        <v>122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IFERROR(__xludf.DUMMYFUNCTION("""COMPUTED_VALUE"""),"Sacred Heart")</f>
        <v>Sacred Heart</v>
      </c>
      <c r="C250" s="1" t="str">
        <f ca="1">IFERROR(__xludf.DUMMYFUNCTION("""COMPUTED_VALUE"""),"NEC")</f>
        <v>NEC</v>
      </c>
      <c r="D250" s="1" t="str">
        <f ca="1">IFERROR(__xludf.DUMMYFUNCTION("""COMPUTED_VALUE"""),"15-17")</f>
        <v>15-17</v>
      </c>
      <c r="E250" s="1">
        <f ca="1">IFERROR(__xludf.DUMMYFUNCTION("""COMPUTED_VALUE"""),-6.16)</f>
        <v>-6.16</v>
      </c>
      <c r="F250" s="1">
        <f ca="1">IFERROR(__xludf.DUMMYFUNCTION("""COMPUTED_VALUE"""),103.4)</f>
        <v>103.4</v>
      </c>
      <c r="G250" s="1">
        <f ca="1">IFERROR(__xludf.DUMMYFUNCTION("""COMPUTED_VALUE"""),189)</f>
        <v>189</v>
      </c>
      <c r="H250" s="1">
        <f ca="1">IFERROR(__xludf.DUMMYFUNCTION("""COMPUTED_VALUE"""),109.6)</f>
        <v>109.6</v>
      </c>
      <c r="I250" s="1">
        <f ca="1">IFERROR(__xludf.DUMMYFUNCTION("""COMPUTED_VALUE"""),281)</f>
        <v>281</v>
      </c>
      <c r="J250" s="1">
        <f ca="1">IFERROR(__xludf.DUMMYFUNCTION("""COMPUTED_VALUE"""),68.5)</f>
        <v>68.5</v>
      </c>
      <c r="K250" s="1">
        <f ca="1">IFERROR(__xludf.DUMMYFUNCTION("""COMPUTED_VALUE"""),22)</f>
        <v>22</v>
      </c>
      <c r="L250" s="1">
        <f ca="1">IFERROR(__xludf.DUMMYFUNCTION("""COMPUTED_VALUE"""),-0.013)</f>
        <v>-1.2999999999999999E-2</v>
      </c>
      <c r="M250" s="1">
        <f ca="1">IFERROR(__xludf.DUMMYFUNCTION("""COMPUTED_VALUE"""),217)</f>
        <v>217</v>
      </c>
      <c r="N250" s="1">
        <f ca="1">IFERROR(__xludf.DUMMYFUNCTION("""COMPUTED_VALUE"""),-6.61)</f>
        <v>-6.61</v>
      </c>
      <c r="O250" s="1">
        <f ca="1">IFERROR(__xludf.DUMMYFUNCTION("""COMPUTED_VALUE"""),322)</f>
        <v>322</v>
      </c>
      <c r="P250" s="1">
        <f ca="1">IFERROR(__xludf.DUMMYFUNCTION("""COMPUTED_VALUE"""),100.8)</f>
        <v>100.8</v>
      </c>
      <c r="Q250" s="1">
        <f ca="1">IFERROR(__xludf.DUMMYFUNCTION("""COMPUTED_VALUE"""),315)</f>
        <v>315</v>
      </c>
      <c r="R250" s="1">
        <f ca="1">IFERROR(__xludf.DUMMYFUNCTION("""COMPUTED_VALUE"""),107.4)</f>
        <v>107.4</v>
      </c>
      <c r="S250" s="1">
        <f ca="1">IFERROR(__xludf.DUMMYFUNCTION("""COMPUTED_VALUE"""),294)</f>
        <v>294</v>
      </c>
      <c r="T250" s="1">
        <f ca="1">IFERROR(__xludf.DUMMYFUNCTION("""COMPUTED_VALUE"""),-3.3)</f>
        <v>-3.3</v>
      </c>
      <c r="U250" s="1">
        <f ca="1">IFERROR(__xludf.DUMMYFUNCTION("""COMPUTED_VALUE"""),257)</f>
        <v>257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IFERROR(__xludf.DUMMYFUNCTION("""COMPUTED_VALUE"""),"Boston University")</f>
        <v>Boston University</v>
      </c>
      <c r="C251" s="1" t="str">
        <f ca="1">IFERROR(__xludf.DUMMYFUNCTION("""COMPUTED_VALUE"""),"Pat")</f>
        <v>Pat</v>
      </c>
      <c r="D251" s="1" t="str">
        <f ca="1">IFERROR(__xludf.DUMMYFUNCTION("""COMPUTED_VALUE"""),"13-17")</f>
        <v>13-17</v>
      </c>
      <c r="E251" s="1">
        <f ca="1">IFERROR(__xludf.DUMMYFUNCTION("""COMPUTED_VALUE"""),-6.29)</f>
        <v>-6.29</v>
      </c>
      <c r="F251" s="1">
        <f ca="1">IFERROR(__xludf.DUMMYFUNCTION("""COMPUTED_VALUE"""),106.4)</f>
        <v>106.4</v>
      </c>
      <c r="G251" s="1">
        <f ca="1">IFERROR(__xludf.DUMMYFUNCTION("""COMPUTED_VALUE"""),127)</f>
        <v>127</v>
      </c>
      <c r="H251" s="1">
        <f ca="1">IFERROR(__xludf.DUMMYFUNCTION("""COMPUTED_VALUE"""),112.7)</f>
        <v>112.7</v>
      </c>
      <c r="I251" s="1">
        <f ca="1">IFERROR(__xludf.DUMMYFUNCTION("""COMPUTED_VALUE"""),324)</f>
        <v>324</v>
      </c>
      <c r="J251" s="1">
        <f ca="1">IFERROR(__xludf.DUMMYFUNCTION("""COMPUTED_VALUE"""),64.2)</f>
        <v>64.2</v>
      </c>
      <c r="K251" s="1">
        <f ca="1">IFERROR(__xludf.DUMMYFUNCTION("""COMPUTED_VALUE"""),181)</f>
        <v>181</v>
      </c>
      <c r="L251" s="1" t="str">
        <f ca="1">IFERROR(__xludf.DUMMYFUNCTION("""COMPUTED_VALUE"""),"+.006")</f>
        <v>+.006</v>
      </c>
      <c r="M251" s="1">
        <f ca="1">IFERROR(__xludf.DUMMYFUNCTION("""COMPUTED_VALUE"""),169)</f>
        <v>169</v>
      </c>
      <c r="N251" s="1">
        <f ca="1">IFERROR(__xludf.DUMMYFUNCTION("""COMPUTED_VALUE"""),-3.45)</f>
        <v>-3.45</v>
      </c>
      <c r="O251" s="1">
        <f ca="1">IFERROR(__xludf.DUMMYFUNCTION("""COMPUTED_VALUE"""),228)</f>
        <v>228</v>
      </c>
      <c r="P251" s="1">
        <f ca="1">IFERROR(__xludf.DUMMYFUNCTION("""COMPUTED_VALUE"""),102.9)</f>
        <v>102.9</v>
      </c>
      <c r="Q251" s="1">
        <f ca="1">IFERROR(__xludf.DUMMYFUNCTION("""COMPUTED_VALUE"""),220)</f>
        <v>220</v>
      </c>
      <c r="R251" s="1">
        <f ca="1">IFERROR(__xludf.DUMMYFUNCTION("""COMPUTED_VALUE"""),106.4)</f>
        <v>106.4</v>
      </c>
      <c r="S251" s="1">
        <f ca="1">IFERROR(__xludf.DUMMYFUNCTION("""COMPUTED_VALUE"""),248)</f>
        <v>248</v>
      </c>
      <c r="T251" s="1" t="str">
        <f ca="1">IFERROR(__xludf.DUMMYFUNCTION("""COMPUTED_VALUE"""),"+1.66")</f>
        <v>+1.66</v>
      </c>
      <c r="U251" s="1">
        <f ca="1">IFERROR(__xludf.DUMMYFUNCTION("""COMPUTED_VALUE"""),109)</f>
        <v>109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IFERROR(__xludf.DUMMYFUNCTION("""COMPUTED_VALUE"""),"Pacific")</f>
        <v>Pacific</v>
      </c>
      <c r="C252" s="1" t="str">
        <f ca="1">IFERROR(__xludf.DUMMYFUNCTION("""COMPUTED_VALUE"""),"WCC")</f>
        <v>WCC</v>
      </c>
      <c r="D252" s="2">
        <f ca="1">IFERROR(__xludf.DUMMYFUNCTION("""COMPUTED_VALUE"""),44914)</f>
        <v>44914</v>
      </c>
      <c r="E252" s="1">
        <f ca="1">IFERROR(__xludf.DUMMYFUNCTION("""COMPUTED_VALUE"""),-6.31)</f>
        <v>-6.31</v>
      </c>
      <c r="F252" s="1">
        <f ca="1">IFERROR(__xludf.DUMMYFUNCTION("""COMPUTED_VALUE"""),103.1)</f>
        <v>103.1</v>
      </c>
      <c r="G252" s="1">
        <f ca="1">IFERROR(__xludf.DUMMYFUNCTION("""COMPUTED_VALUE"""),195)</f>
        <v>195</v>
      </c>
      <c r="H252" s="1">
        <f ca="1">IFERROR(__xludf.DUMMYFUNCTION("""COMPUTED_VALUE"""),109.5)</f>
        <v>109.5</v>
      </c>
      <c r="I252" s="1">
        <f ca="1">IFERROR(__xludf.DUMMYFUNCTION("""COMPUTED_VALUE"""),277)</f>
        <v>277</v>
      </c>
      <c r="J252" s="1">
        <f ca="1">IFERROR(__xludf.DUMMYFUNCTION("""COMPUTED_VALUE"""),61.4)</f>
        <v>61.4</v>
      </c>
      <c r="K252" s="1">
        <f ca="1">IFERROR(__xludf.DUMMYFUNCTION("""COMPUTED_VALUE"""),309)</f>
        <v>309</v>
      </c>
      <c r="L252" s="1" t="str">
        <f ca="1">IFERROR(__xludf.DUMMYFUNCTION("""COMPUTED_VALUE"""),"+.052")</f>
        <v>+.052</v>
      </c>
      <c r="M252" s="1">
        <f ca="1">IFERROR(__xludf.DUMMYFUNCTION("""COMPUTED_VALUE"""),62)</f>
        <v>62</v>
      </c>
      <c r="N252" s="1" t="str">
        <f ca="1">IFERROR(__xludf.DUMMYFUNCTION("""COMPUTED_VALUE"""),"+2.88")</f>
        <v>+2.88</v>
      </c>
      <c r="O252" s="1">
        <f ca="1">IFERROR(__xludf.DUMMYFUNCTION("""COMPUTED_VALUE"""),95)</f>
        <v>95</v>
      </c>
      <c r="P252" s="1">
        <f ca="1">IFERROR(__xludf.DUMMYFUNCTION("""COMPUTED_VALUE"""),106.7)</f>
        <v>106.7</v>
      </c>
      <c r="Q252" s="1">
        <f ca="1">IFERROR(__xludf.DUMMYFUNCTION("""COMPUTED_VALUE"""),77)</f>
        <v>77</v>
      </c>
      <c r="R252" s="1">
        <f ca="1">IFERROR(__xludf.DUMMYFUNCTION("""COMPUTED_VALUE"""),103.8)</f>
        <v>103.8</v>
      </c>
      <c r="S252" s="1">
        <f ca="1">IFERROR(__xludf.DUMMYFUNCTION("""COMPUTED_VALUE"""),129)</f>
        <v>129</v>
      </c>
      <c r="T252" s="1">
        <f ca="1">IFERROR(__xludf.DUMMYFUNCTION("""COMPUTED_VALUE"""),-2.53)</f>
        <v>-2.5299999999999998</v>
      </c>
      <c r="U252" s="1">
        <f ca="1">IFERROR(__xludf.DUMMYFUNCTION("""COMPUTED_VALUE"""),238)</f>
        <v>238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IFERROR(__xludf.DUMMYFUNCTION("""COMPUTED_VALUE"""),"Cal St. Bakersfield")</f>
        <v>Cal St. Bakersfield</v>
      </c>
      <c r="C255" s="1" t="str">
        <f ca="1">IFERROR(__xludf.DUMMYFUNCTION("""COMPUTED_VALUE"""),"WAC")</f>
        <v>WAC</v>
      </c>
      <c r="D255" s="1" t="str">
        <f ca="1">IFERROR(__xludf.DUMMYFUNCTION("""COMPUTED_VALUE"""),"14-19")</f>
        <v>14-19</v>
      </c>
      <c r="E255" s="1">
        <f ca="1">IFERROR(__xludf.DUMMYFUNCTION("""COMPUTED_VALUE"""),-6.44)</f>
        <v>-6.44</v>
      </c>
      <c r="F255" s="1">
        <f ca="1">IFERROR(__xludf.DUMMYFUNCTION("""COMPUTED_VALUE"""),99.7)</f>
        <v>99.7</v>
      </c>
      <c r="G255" s="1">
        <f ca="1">IFERROR(__xludf.DUMMYFUNCTION("""COMPUTED_VALUE"""),263)</f>
        <v>263</v>
      </c>
      <c r="H255" s="1">
        <f ca="1">IFERROR(__xludf.DUMMYFUNCTION("""COMPUTED_VALUE"""),106.2)</f>
        <v>106.2</v>
      </c>
      <c r="I255" s="1">
        <f ca="1">IFERROR(__xludf.DUMMYFUNCTION("""COMPUTED_VALUE"""),203)</f>
        <v>203</v>
      </c>
      <c r="J255" s="1">
        <f ca="1">IFERROR(__xludf.DUMMYFUNCTION("""COMPUTED_VALUE"""),60.5)</f>
        <v>60.5</v>
      </c>
      <c r="K255" s="1">
        <f ca="1">IFERROR(__xludf.DUMMYFUNCTION("""COMPUTED_VALUE"""),330)</f>
        <v>330</v>
      </c>
      <c r="L255" s="1">
        <f ca="1">IFERROR(__xludf.DUMMYFUNCTION("""COMPUTED_VALUE"""),-0.124)</f>
        <v>-0.124</v>
      </c>
      <c r="M255" s="1">
        <f ca="1">IFERROR(__xludf.DUMMYFUNCTION("""COMPUTED_VALUE"""),349)</f>
        <v>349</v>
      </c>
      <c r="N255" s="1">
        <f ca="1">IFERROR(__xludf.DUMMYFUNCTION("""COMPUTED_VALUE"""),-6.99)</f>
        <v>-6.99</v>
      </c>
      <c r="O255" s="1">
        <f ca="1">IFERROR(__xludf.DUMMYFUNCTION("""COMPUTED_VALUE"""),328)</f>
        <v>328</v>
      </c>
      <c r="P255" s="1">
        <f ca="1">IFERROR(__xludf.DUMMYFUNCTION("""COMPUTED_VALUE"""),99.9)</f>
        <v>99.9</v>
      </c>
      <c r="Q255" s="1">
        <f ca="1">IFERROR(__xludf.DUMMYFUNCTION("""COMPUTED_VALUE"""),334)</f>
        <v>334</v>
      </c>
      <c r="R255" s="1">
        <f ca="1">IFERROR(__xludf.DUMMYFUNCTION("""COMPUTED_VALUE"""),106.9)</f>
        <v>106.9</v>
      </c>
      <c r="S255" s="1">
        <f ca="1">IFERROR(__xludf.DUMMYFUNCTION("""COMPUTED_VALUE"""),269)</f>
        <v>269</v>
      </c>
      <c r="T255" s="1">
        <f ca="1">IFERROR(__xludf.DUMMYFUNCTION("""COMPUTED_VALUE"""),-2.96)</f>
        <v>-2.96</v>
      </c>
      <c r="U255" s="1">
        <f ca="1">IFERROR(__xludf.DUMMYFUNCTION("""COMPUTED_VALUE"""),249)</f>
        <v>249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IFERROR(__xludf.DUMMYFUNCTION("""COMPUTED_VALUE"""),"Holy Cross")</f>
        <v>Holy Cross</v>
      </c>
      <c r="C256" s="1" t="str">
        <f ca="1">IFERROR(__xludf.DUMMYFUNCTION("""COMPUTED_VALUE"""),"Pat")</f>
        <v>Pat</v>
      </c>
      <c r="D256" s="1" t="str">
        <f ca="1">IFERROR(__xludf.DUMMYFUNCTION("""COMPUTED_VALUE"""),"14-16")</f>
        <v>14-16</v>
      </c>
      <c r="E256" s="1">
        <f ca="1">IFERROR(__xludf.DUMMYFUNCTION("""COMPUTED_VALUE"""),-6.49)</f>
        <v>-6.49</v>
      </c>
      <c r="F256" s="1">
        <f ca="1">IFERROR(__xludf.DUMMYFUNCTION("""COMPUTED_VALUE"""),101.2)</f>
        <v>101.2</v>
      </c>
      <c r="G256" s="1">
        <f ca="1">IFERROR(__xludf.DUMMYFUNCTION("""COMPUTED_VALUE"""),235)</f>
        <v>235</v>
      </c>
      <c r="H256" s="1">
        <f ca="1">IFERROR(__xludf.DUMMYFUNCTION("""COMPUTED_VALUE"""),107.7)</f>
        <v>107.7</v>
      </c>
      <c r="I256" s="1">
        <f ca="1">IFERROR(__xludf.DUMMYFUNCTION("""COMPUTED_VALUE"""),235)</f>
        <v>235</v>
      </c>
      <c r="J256" s="1">
        <f ca="1">IFERROR(__xludf.DUMMYFUNCTION("""COMPUTED_VALUE"""),63.6)</f>
        <v>63.6</v>
      </c>
      <c r="K256" s="1">
        <f ca="1">IFERROR(__xludf.DUMMYFUNCTION("""COMPUTED_VALUE"""),213)</f>
        <v>213</v>
      </c>
      <c r="L256" s="1" t="str">
        <f ca="1">IFERROR(__xludf.DUMMYFUNCTION("""COMPUTED_VALUE"""),"+.030")</f>
        <v>+.030</v>
      </c>
      <c r="M256" s="1">
        <f ca="1">IFERROR(__xludf.DUMMYFUNCTION("""COMPUTED_VALUE"""),109)</f>
        <v>109</v>
      </c>
      <c r="N256" s="1">
        <f ca="1">IFERROR(__xludf.DUMMYFUNCTION("""COMPUTED_VALUE"""),-3.91)</f>
        <v>-3.91</v>
      </c>
      <c r="O256" s="1">
        <f ca="1">IFERROR(__xludf.DUMMYFUNCTION("""COMPUTED_VALUE"""),244)</f>
        <v>244</v>
      </c>
      <c r="P256" s="1">
        <f ca="1">IFERROR(__xludf.DUMMYFUNCTION("""COMPUTED_VALUE"""),103.2)</f>
        <v>103.2</v>
      </c>
      <c r="Q256" s="1">
        <f ca="1">IFERROR(__xludf.DUMMYFUNCTION("""COMPUTED_VALUE"""),206)</f>
        <v>206</v>
      </c>
      <c r="R256" s="1">
        <f ca="1">IFERROR(__xludf.DUMMYFUNCTION("""COMPUTED_VALUE"""),107.1)</f>
        <v>107.1</v>
      </c>
      <c r="S256" s="1">
        <f ca="1">IFERROR(__xludf.DUMMYFUNCTION("""COMPUTED_VALUE"""),276)</f>
        <v>276</v>
      </c>
      <c r="T256" s="1" t="str">
        <f ca="1">IFERROR(__xludf.DUMMYFUNCTION("""COMPUTED_VALUE"""),"+1.85")</f>
        <v>+1.85</v>
      </c>
      <c r="U256" s="1">
        <f ca="1">IFERROR(__xludf.DUMMYFUNCTION("""COMPUTED_VALUE"""),103)</f>
        <v>103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IFERROR(__xludf.DUMMYFUNCTION("""COMPUTED_VALUE"""),"Wright St.")</f>
        <v>Wright St.</v>
      </c>
      <c r="C257" s="1" t="str">
        <f ca="1">IFERROR(__xludf.DUMMYFUNCTION("""COMPUTED_VALUE"""),"Horz")</f>
        <v>Horz</v>
      </c>
      <c r="D257" s="2">
        <f ca="1">IFERROR(__xludf.DUMMYFUNCTION("""COMPUTED_VALUE"""),44885)</f>
        <v>44885</v>
      </c>
      <c r="E257" s="1">
        <f ca="1">IFERROR(__xludf.DUMMYFUNCTION("""COMPUTED_VALUE"""),-6.53)</f>
        <v>-6.53</v>
      </c>
      <c r="F257" s="1">
        <f ca="1">IFERROR(__xludf.DUMMYFUNCTION("""COMPUTED_VALUE"""),99)</f>
        <v>99</v>
      </c>
      <c r="G257" s="1">
        <f ca="1">IFERROR(__xludf.DUMMYFUNCTION("""COMPUTED_VALUE"""),271)</f>
        <v>271</v>
      </c>
      <c r="H257" s="1">
        <f ca="1">IFERROR(__xludf.DUMMYFUNCTION("""COMPUTED_VALUE"""),105.5)</f>
        <v>105.5</v>
      </c>
      <c r="I257" s="1">
        <f ca="1">IFERROR(__xludf.DUMMYFUNCTION("""COMPUTED_VALUE"""),187)</f>
        <v>187</v>
      </c>
      <c r="J257" s="1">
        <f ca="1">IFERROR(__xludf.DUMMYFUNCTION("""COMPUTED_VALUE"""),63)</f>
        <v>63</v>
      </c>
      <c r="K257" s="1">
        <f ca="1">IFERROR(__xludf.DUMMYFUNCTION("""COMPUTED_VALUE"""),252)</f>
        <v>252</v>
      </c>
      <c r="L257" s="1">
        <f ca="1">IFERROR(__xludf.DUMMYFUNCTION("""COMPUTED_VALUE"""),-0.028)</f>
        <v>-2.8000000000000001E-2</v>
      </c>
      <c r="M257" s="1">
        <f ca="1">IFERROR(__xludf.DUMMYFUNCTION("""COMPUTED_VALUE"""),248)</f>
        <v>248</v>
      </c>
      <c r="N257" s="1" t="str">
        <f ca="1">IFERROR(__xludf.DUMMYFUNCTION("""COMPUTED_VALUE"""),"+0.02")</f>
        <v>+0.02</v>
      </c>
      <c r="O257" s="1">
        <f ca="1">IFERROR(__xludf.DUMMYFUNCTION("""COMPUTED_VALUE"""),142)</f>
        <v>142</v>
      </c>
      <c r="P257" s="1">
        <f ca="1">IFERROR(__xludf.DUMMYFUNCTION("""COMPUTED_VALUE"""),105.4)</f>
        <v>105.4</v>
      </c>
      <c r="Q257" s="1">
        <f ca="1">IFERROR(__xludf.DUMMYFUNCTION("""COMPUTED_VALUE"""),106)</f>
        <v>106</v>
      </c>
      <c r="R257" s="1">
        <f ca="1">IFERROR(__xludf.DUMMYFUNCTION("""COMPUTED_VALUE"""),105.3)</f>
        <v>105.3</v>
      </c>
      <c r="S257" s="1">
        <f ca="1">IFERROR(__xludf.DUMMYFUNCTION("""COMPUTED_VALUE"""),198)</f>
        <v>198</v>
      </c>
      <c r="T257" s="1" t="str">
        <f ca="1">IFERROR(__xludf.DUMMYFUNCTION("""COMPUTED_VALUE"""),"+0.87")</f>
        <v>+0.87</v>
      </c>
      <c r="U257" s="1">
        <f ca="1">IFERROR(__xludf.DUMMYFUNCTION("""COMPUTED_VALUE"""),129)</f>
        <v>129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IFERROR(__xludf.DUMMYFUNCTION("""COMPUTED_VALUE"""),"Seattle")</f>
        <v>Seattle</v>
      </c>
      <c r="C258" s="1" t="str">
        <f ca="1">IFERROR(__xludf.DUMMYFUNCTION("""COMPUTED_VALUE"""),"WAC")</f>
        <v>WAC</v>
      </c>
      <c r="D258" s="1" t="str">
        <f ca="1">IFERROR(__xludf.DUMMYFUNCTION("""COMPUTED_VALUE"""),"18-16")</f>
        <v>18-16</v>
      </c>
      <c r="E258" s="1">
        <f ca="1">IFERROR(__xludf.DUMMYFUNCTION("""COMPUTED_VALUE"""),-6.64)</f>
        <v>-6.64</v>
      </c>
      <c r="F258" s="1">
        <f ca="1">IFERROR(__xludf.DUMMYFUNCTION("""COMPUTED_VALUE"""),98.3)</f>
        <v>98.3</v>
      </c>
      <c r="G258" s="1">
        <f ca="1">IFERROR(__xludf.DUMMYFUNCTION("""COMPUTED_VALUE"""),285)</f>
        <v>285</v>
      </c>
      <c r="H258" s="1">
        <f ca="1">IFERROR(__xludf.DUMMYFUNCTION("""COMPUTED_VALUE"""),104.9)</f>
        <v>104.9</v>
      </c>
      <c r="I258" s="1">
        <f ca="1">IFERROR(__xludf.DUMMYFUNCTION("""COMPUTED_VALUE"""),181)</f>
        <v>181</v>
      </c>
      <c r="J258" s="1">
        <f ca="1">IFERROR(__xludf.DUMMYFUNCTION("""COMPUTED_VALUE"""),62.3)</f>
        <v>62.3</v>
      </c>
      <c r="K258" s="1">
        <f ca="1">IFERROR(__xludf.DUMMYFUNCTION("""COMPUTED_VALUE"""),281)</f>
        <v>281</v>
      </c>
      <c r="L258" s="1" t="str">
        <f ca="1">IFERROR(__xludf.DUMMYFUNCTION("""COMPUTED_VALUE"""),"+.016")</f>
        <v>+.016</v>
      </c>
      <c r="M258" s="1">
        <f ca="1">IFERROR(__xludf.DUMMYFUNCTION("""COMPUTED_VALUE"""),143)</f>
        <v>143</v>
      </c>
      <c r="N258" s="1">
        <f ca="1">IFERROR(__xludf.DUMMYFUNCTION("""COMPUTED_VALUE"""),-7.33)</f>
        <v>-7.33</v>
      </c>
      <c r="O258" s="1">
        <f ca="1">IFERROR(__xludf.DUMMYFUNCTION("""COMPUTED_VALUE"""),333)</f>
        <v>333</v>
      </c>
      <c r="P258" s="1">
        <f ca="1">IFERROR(__xludf.DUMMYFUNCTION("""COMPUTED_VALUE"""),100.3)</f>
        <v>100.3</v>
      </c>
      <c r="Q258" s="1">
        <f ca="1">IFERROR(__xludf.DUMMYFUNCTION("""COMPUTED_VALUE"""),326)</f>
        <v>326</v>
      </c>
      <c r="R258" s="1">
        <f ca="1">IFERROR(__xludf.DUMMYFUNCTION("""COMPUTED_VALUE"""),107.7)</f>
        <v>107.7</v>
      </c>
      <c r="S258" s="1">
        <f ca="1">IFERROR(__xludf.DUMMYFUNCTION("""COMPUTED_VALUE"""),301)</f>
        <v>301</v>
      </c>
      <c r="T258" s="1">
        <f ca="1">IFERROR(__xludf.DUMMYFUNCTION("""COMPUTED_VALUE"""),-5.33)</f>
        <v>-5.33</v>
      </c>
      <c r="U258" s="1">
        <f ca="1">IFERROR(__xludf.DUMMYFUNCTION("""COMPUTED_VALUE"""),309)</f>
        <v>309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IFERROR(__xludf.DUMMYFUNCTION("""COMPUTED_VALUE"""),"North Texas")</f>
        <v>North Texas</v>
      </c>
      <c r="C259" s="1" t="str">
        <f ca="1">IFERROR(__xludf.DUMMYFUNCTION("""COMPUTED_VALUE"""),"CUSA")</f>
        <v>CUSA</v>
      </c>
      <c r="D259" s="1" t="str">
        <f ca="1">IFERROR(__xludf.DUMMYFUNCTION("""COMPUTED_VALUE"""),"14-17")</f>
        <v>14-17</v>
      </c>
      <c r="E259" s="1">
        <f ca="1">IFERROR(__xludf.DUMMYFUNCTION("""COMPUTED_VALUE"""),-6.66)</f>
        <v>-6.66</v>
      </c>
      <c r="F259" s="1">
        <f ca="1">IFERROR(__xludf.DUMMYFUNCTION("""COMPUTED_VALUE"""),98.6)</f>
        <v>98.6</v>
      </c>
      <c r="G259" s="1">
        <f ca="1">IFERROR(__xludf.DUMMYFUNCTION("""COMPUTED_VALUE"""),279)</f>
        <v>279</v>
      </c>
      <c r="H259" s="1">
        <f ca="1">IFERROR(__xludf.DUMMYFUNCTION("""COMPUTED_VALUE"""),105.2)</f>
        <v>105.2</v>
      </c>
      <c r="I259" s="1">
        <f ca="1">IFERROR(__xludf.DUMMYFUNCTION("""COMPUTED_VALUE"""),183)</f>
        <v>183</v>
      </c>
      <c r="J259" s="1">
        <f ca="1">IFERROR(__xludf.DUMMYFUNCTION("""COMPUTED_VALUE"""),65.5)</f>
        <v>65.5</v>
      </c>
      <c r="K259" s="1">
        <f ca="1">IFERROR(__xludf.DUMMYFUNCTION("""COMPUTED_VALUE"""),113)</f>
        <v>113</v>
      </c>
      <c r="L259" s="1" t="str">
        <f ca="1">IFERROR(__xludf.DUMMYFUNCTION("""COMPUTED_VALUE"""),"+.046")</f>
        <v>+.046</v>
      </c>
      <c r="M259" s="1">
        <f ca="1">IFERROR(__xludf.DUMMYFUNCTION("""COMPUTED_VALUE"""),71)</f>
        <v>71</v>
      </c>
      <c r="N259" s="1">
        <f ca="1">IFERROR(__xludf.DUMMYFUNCTION("""COMPUTED_VALUE"""),-1.29)</f>
        <v>-1.29</v>
      </c>
      <c r="O259" s="1">
        <f ca="1">IFERROR(__xludf.DUMMYFUNCTION("""COMPUTED_VALUE"""),169)</f>
        <v>169</v>
      </c>
      <c r="P259" s="1">
        <f ca="1">IFERROR(__xludf.DUMMYFUNCTION("""COMPUTED_VALUE"""),103.8)</f>
        <v>103.8</v>
      </c>
      <c r="Q259" s="1">
        <f ca="1">IFERROR(__xludf.DUMMYFUNCTION("""COMPUTED_VALUE"""),170)</f>
        <v>170</v>
      </c>
      <c r="R259" s="1">
        <f ca="1">IFERROR(__xludf.DUMMYFUNCTION("""COMPUTED_VALUE"""),105.1)</f>
        <v>105.1</v>
      </c>
      <c r="S259" s="1">
        <f ca="1">IFERROR(__xludf.DUMMYFUNCTION("""COMPUTED_VALUE"""),185)</f>
        <v>185</v>
      </c>
      <c r="T259" s="1">
        <f ca="1">IFERROR(__xludf.DUMMYFUNCTION("""COMPUTED_VALUE"""),-1.86)</f>
        <v>-1.86</v>
      </c>
      <c r="U259" s="1">
        <f ca="1">IFERROR(__xludf.DUMMYFUNCTION("""COMPUTED_VALUE"""),212)</f>
        <v>212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IFERROR(__xludf.DUMMYFUNCTION("""COMPUTED_VALUE"""),"Northern Kentucky")</f>
        <v>Northern Kentucky</v>
      </c>
      <c r="C260" s="1" t="str">
        <f ca="1">IFERROR(__xludf.DUMMYFUNCTION("""COMPUTED_VALUE"""),"ASun")</f>
        <v>ASun</v>
      </c>
      <c r="D260" s="1" t="str">
        <f ca="1">IFERROR(__xludf.DUMMYFUNCTION("""COMPUTED_VALUE"""),"13-17")</f>
        <v>13-17</v>
      </c>
      <c r="E260" s="1">
        <f ca="1">IFERROR(__xludf.DUMMYFUNCTION("""COMPUTED_VALUE"""),-6.72)</f>
        <v>-6.72</v>
      </c>
      <c r="F260" s="1">
        <f ca="1">IFERROR(__xludf.DUMMYFUNCTION("""COMPUTED_VALUE"""),104.2)</f>
        <v>104.2</v>
      </c>
      <c r="G260" s="1">
        <f ca="1">IFERROR(__xludf.DUMMYFUNCTION("""COMPUTED_VALUE"""),174)</f>
        <v>174</v>
      </c>
      <c r="H260" s="1">
        <f ca="1">IFERROR(__xludf.DUMMYFUNCTION("""COMPUTED_VALUE"""),110.9)</f>
        <v>110.9</v>
      </c>
      <c r="I260" s="1">
        <f ca="1">IFERROR(__xludf.DUMMYFUNCTION("""COMPUTED_VALUE"""),301)</f>
        <v>301</v>
      </c>
      <c r="J260" s="1">
        <f ca="1">IFERROR(__xludf.DUMMYFUNCTION("""COMPUTED_VALUE"""),63.6)</f>
        <v>63.6</v>
      </c>
      <c r="K260" s="1">
        <f ca="1">IFERROR(__xludf.DUMMYFUNCTION("""COMPUTED_VALUE"""),217)</f>
        <v>217</v>
      </c>
      <c r="L260" s="1">
        <f ca="1">IFERROR(__xludf.DUMMYFUNCTION("""COMPUTED_VALUE"""),-0.058)</f>
        <v>-5.8000000000000003E-2</v>
      </c>
      <c r="M260" s="1">
        <f ca="1">IFERROR(__xludf.DUMMYFUNCTION("""COMPUTED_VALUE"""),311)</f>
        <v>311</v>
      </c>
      <c r="N260" s="1">
        <f ca="1">IFERROR(__xludf.DUMMYFUNCTION("""COMPUTED_VALUE"""),-5.02)</f>
        <v>-5.0199999999999996</v>
      </c>
      <c r="O260" s="1">
        <f ca="1">IFERROR(__xludf.DUMMYFUNCTION("""COMPUTED_VALUE"""),281)</f>
        <v>281</v>
      </c>
      <c r="P260" s="1">
        <f ca="1">IFERROR(__xludf.DUMMYFUNCTION("""COMPUTED_VALUE"""),103.7)</f>
        <v>103.7</v>
      </c>
      <c r="Q260" s="1">
        <f ca="1">IFERROR(__xludf.DUMMYFUNCTION("""COMPUTED_VALUE"""),177)</f>
        <v>177</v>
      </c>
      <c r="R260" s="1">
        <f ca="1">IFERROR(__xludf.DUMMYFUNCTION("""COMPUTED_VALUE"""),108.7)</f>
        <v>108.7</v>
      </c>
      <c r="S260" s="1">
        <f ca="1">IFERROR(__xludf.DUMMYFUNCTION("""COMPUTED_VALUE"""),341)</f>
        <v>341</v>
      </c>
      <c r="T260" s="1" t="str">
        <f ca="1">IFERROR(__xludf.DUMMYFUNCTION("""COMPUTED_VALUE"""),"+2.94")</f>
        <v>+2.94</v>
      </c>
      <c r="U260" s="1">
        <f ca="1">IFERROR(__xludf.DUMMYFUNCTION("""COMPUTED_VALUE"""),71)</f>
        <v>71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IFERROR(__xludf.DUMMYFUNCTION("""COMPUTED_VALUE"""),"Tennessee Tech")</f>
        <v>Tennessee Tech</v>
      </c>
      <c r="C261" s="1" t="str">
        <f ca="1">IFERROR(__xludf.DUMMYFUNCTION("""COMPUTED_VALUE"""),"OVC")</f>
        <v>OVC</v>
      </c>
      <c r="D261" s="2">
        <f ca="1">IFERROR(__xludf.DUMMYFUNCTION("""COMPUTED_VALUE"""),44913)</f>
        <v>44913</v>
      </c>
      <c r="E261" s="1">
        <f ca="1">IFERROR(__xludf.DUMMYFUNCTION("""COMPUTED_VALUE"""),-6.88)</f>
        <v>-6.88</v>
      </c>
      <c r="F261" s="1">
        <f ca="1">IFERROR(__xludf.DUMMYFUNCTION("""COMPUTED_VALUE"""),104.2)</f>
        <v>104.2</v>
      </c>
      <c r="G261" s="1">
        <f ca="1">IFERROR(__xludf.DUMMYFUNCTION("""COMPUTED_VALUE"""),173)</f>
        <v>173</v>
      </c>
      <c r="H261" s="1">
        <f ca="1">IFERROR(__xludf.DUMMYFUNCTION("""COMPUTED_VALUE"""),111.1)</f>
        <v>111.1</v>
      </c>
      <c r="I261" s="1">
        <f ca="1">IFERROR(__xludf.DUMMYFUNCTION("""COMPUTED_VALUE"""),304)</f>
        <v>304</v>
      </c>
      <c r="J261" s="1">
        <f ca="1">IFERROR(__xludf.DUMMYFUNCTION("""COMPUTED_VALUE"""),66.2)</f>
        <v>66.2</v>
      </c>
      <c r="K261" s="1">
        <f ca="1">IFERROR(__xludf.DUMMYFUNCTION("""COMPUTED_VALUE"""),84)</f>
        <v>84</v>
      </c>
      <c r="L261" s="1">
        <f ca="1">IFERROR(__xludf.DUMMYFUNCTION("""COMPUTED_VALUE"""),-0.052)</f>
        <v>-5.1999999999999998E-2</v>
      </c>
      <c r="M261" s="1">
        <f ca="1">IFERROR(__xludf.DUMMYFUNCTION("""COMPUTED_VALUE"""),299)</f>
        <v>299</v>
      </c>
      <c r="N261" s="1">
        <f ca="1">IFERROR(__xludf.DUMMYFUNCTION("""COMPUTED_VALUE"""),-3.3)</f>
        <v>-3.3</v>
      </c>
      <c r="O261" s="1">
        <f ca="1">IFERROR(__xludf.DUMMYFUNCTION("""COMPUTED_VALUE"""),223)</f>
        <v>223</v>
      </c>
      <c r="P261" s="1">
        <f ca="1">IFERROR(__xludf.DUMMYFUNCTION("""COMPUTED_VALUE"""),102.7)</f>
        <v>102.7</v>
      </c>
      <c r="Q261" s="1">
        <f ca="1">IFERROR(__xludf.DUMMYFUNCTION("""COMPUTED_VALUE"""),232)</f>
        <v>232</v>
      </c>
      <c r="R261" s="1">
        <f ca="1">IFERROR(__xludf.DUMMYFUNCTION("""COMPUTED_VALUE"""),106)</f>
        <v>106</v>
      </c>
      <c r="S261" s="1">
        <f ca="1">IFERROR(__xludf.DUMMYFUNCTION("""COMPUTED_VALUE"""),233)</f>
        <v>233</v>
      </c>
      <c r="T261" s="1">
        <f ca="1">IFERROR(__xludf.DUMMYFUNCTION("""COMPUTED_VALUE"""),-1.43)</f>
        <v>-1.43</v>
      </c>
      <c r="U261" s="1">
        <f ca="1">IFERROR(__xludf.DUMMYFUNCTION("""COMPUTED_VALUE"""),200)</f>
        <v>200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IFERROR(__xludf.DUMMYFUNCTION("""COMPUTED_VALUE"""),"SIU Edwardsville")</f>
        <v>SIU Edwardsville</v>
      </c>
      <c r="C262" s="1" t="str">
        <f ca="1">IFERROR(__xludf.DUMMYFUNCTION("""COMPUTED_VALUE"""),"OVC")</f>
        <v>OVC</v>
      </c>
      <c r="D262" s="2">
        <f ca="1">IFERROR(__xludf.DUMMYFUNCTION("""COMPUTED_VALUE"""),44911)</f>
        <v>44911</v>
      </c>
      <c r="E262" s="1">
        <f ca="1">IFERROR(__xludf.DUMMYFUNCTION("""COMPUTED_VALUE"""),-6.9)</f>
        <v>-6.9</v>
      </c>
      <c r="F262" s="1">
        <f ca="1">IFERROR(__xludf.DUMMYFUNCTION("""COMPUTED_VALUE"""),97.9)</f>
        <v>97.9</v>
      </c>
      <c r="G262" s="1">
        <f ca="1">IFERROR(__xludf.DUMMYFUNCTION("""COMPUTED_VALUE"""),288)</f>
        <v>288</v>
      </c>
      <c r="H262" s="1">
        <f ca="1">IFERROR(__xludf.DUMMYFUNCTION("""COMPUTED_VALUE"""),104.8)</f>
        <v>104.8</v>
      </c>
      <c r="I262" s="1">
        <f ca="1">IFERROR(__xludf.DUMMYFUNCTION("""COMPUTED_VALUE"""),179)</f>
        <v>179</v>
      </c>
      <c r="J262" s="1">
        <f ca="1">IFERROR(__xludf.DUMMYFUNCTION("""COMPUTED_VALUE"""),66.3)</f>
        <v>66.3</v>
      </c>
      <c r="K262" s="1">
        <f ca="1">IFERROR(__xludf.DUMMYFUNCTION("""COMPUTED_VALUE"""),77)</f>
        <v>77</v>
      </c>
      <c r="L262" s="1">
        <f ca="1">IFERROR(__xludf.DUMMYFUNCTION("""COMPUTED_VALUE"""),-0.043)</f>
        <v>-4.2999999999999997E-2</v>
      </c>
      <c r="M262" s="1">
        <f ca="1">IFERROR(__xludf.DUMMYFUNCTION("""COMPUTED_VALUE"""),281)</f>
        <v>281</v>
      </c>
      <c r="N262" s="1">
        <f ca="1">IFERROR(__xludf.DUMMYFUNCTION("""COMPUTED_VALUE"""),-4.5)</f>
        <v>-4.5</v>
      </c>
      <c r="O262" s="1">
        <f ca="1">IFERROR(__xludf.DUMMYFUNCTION("""COMPUTED_VALUE"""),262)</f>
        <v>262</v>
      </c>
      <c r="P262" s="1">
        <f ca="1">IFERROR(__xludf.DUMMYFUNCTION("""COMPUTED_VALUE"""),102.8)</f>
        <v>102.8</v>
      </c>
      <c r="Q262" s="1">
        <f ca="1">IFERROR(__xludf.DUMMYFUNCTION("""COMPUTED_VALUE"""),229)</f>
        <v>229</v>
      </c>
      <c r="R262" s="1">
        <f ca="1">IFERROR(__xludf.DUMMYFUNCTION("""COMPUTED_VALUE"""),107.3)</f>
        <v>107.3</v>
      </c>
      <c r="S262" s="1">
        <f ca="1">IFERROR(__xludf.DUMMYFUNCTION("""COMPUTED_VALUE"""),286)</f>
        <v>286</v>
      </c>
      <c r="T262" s="1">
        <f ca="1">IFERROR(__xludf.DUMMYFUNCTION("""COMPUTED_VALUE"""),-5.19)</f>
        <v>-5.19</v>
      </c>
      <c r="U262" s="1">
        <f ca="1">IFERROR(__xludf.DUMMYFUNCTION("""COMPUTED_VALUE"""),306)</f>
        <v>306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IFERROR(__xludf.DUMMYFUNCTION("""COMPUTED_VALUE"""),"Elon")</f>
        <v>Elon</v>
      </c>
      <c r="C263" s="1" t="str">
        <f ca="1">IFERROR(__xludf.DUMMYFUNCTION("""COMPUTED_VALUE"""),"CAA")</f>
        <v>CAA</v>
      </c>
      <c r="D263" s="1" t="str">
        <f ca="1">IFERROR(__xludf.DUMMYFUNCTION("""COMPUTED_VALUE"""),"15-18")</f>
        <v>15-18</v>
      </c>
      <c r="E263" s="1">
        <f ca="1">IFERROR(__xludf.DUMMYFUNCTION("""COMPUTED_VALUE"""),-7.23)</f>
        <v>-7.23</v>
      </c>
      <c r="F263" s="1">
        <f ca="1">IFERROR(__xludf.DUMMYFUNCTION("""COMPUTED_VALUE"""),98.5)</f>
        <v>98.5</v>
      </c>
      <c r="G263" s="1">
        <f ca="1">IFERROR(__xludf.DUMMYFUNCTION("""COMPUTED_VALUE"""),281)</f>
        <v>281</v>
      </c>
      <c r="H263" s="1">
        <f ca="1">IFERROR(__xludf.DUMMYFUNCTION("""COMPUTED_VALUE"""),105.7)</f>
        <v>105.7</v>
      </c>
      <c r="I263" s="1">
        <f ca="1">IFERROR(__xludf.DUMMYFUNCTION("""COMPUTED_VALUE"""),192)</f>
        <v>192</v>
      </c>
      <c r="J263" s="1">
        <f ca="1">IFERROR(__xludf.DUMMYFUNCTION("""COMPUTED_VALUE"""),68)</f>
        <v>68</v>
      </c>
      <c r="K263" s="1">
        <f ca="1">IFERROR(__xludf.DUMMYFUNCTION("""COMPUTED_VALUE"""),27)</f>
        <v>27</v>
      </c>
      <c r="L263" s="1" t="str">
        <f ca="1">IFERROR(__xludf.DUMMYFUNCTION("""COMPUTED_VALUE"""),"+.053")</f>
        <v>+.053</v>
      </c>
      <c r="M263" s="1">
        <f ca="1">IFERROR(__xludf.DUMMYFUNCTION("""COMPUTED_VALUE"""),57)</f>
        <v>57</v>
      </c>
      <c r="N263" s="1">
        <f ca="1">IFERROR(__xludf.DUMMYFUNCTION("""COMPUTED_VALUE"""),-3.2)</f>
        <v>-3.2</v>
      </c>
      <c r="O263" s="1">
        <f ca="1">IFERROR(__xludf.DUMMYFUNCTION("""COMPUTED_VALUE"""),220)</f>
        <v>220</v>
      </c>
      <c r="P263" s="1">
        <f ca="1">IFERROR(__xludf.DUMMYFUNCTION("""COMPUTED_VALUE"""),104)</f>
        <v>104</v>
      </c>
      <c r="Q263" s="1">
        <f ca="1">IFERROR(__xludf.DUMMYFUNCTION("""COMPUTED_VALUE"""),160)</f>
        <v>160</v>
      </c>
      <c r="R263" s="1">
        <f ca="1">IFERROR(__xludf.DUMMYFUNCTION("""COMPUTED_VALUE"""),107.2)</f>
        <v>107.2</v>
      </c>
      <c r="S263" s="1">
        <f ca="1">IFERROR(__xludf.DUMMYFUNCTION("""COMPUTED_VALUE"""),280)</f>
        <v>280</v>
      </c>
      <c r="T263" s="1">
        <f ca="1">IFERROR(__xludf.DUMMYFUNCTION("""COMPUTED_VALUE"""),-4.22)</f>
        <v>-4.22</v>
      </c>
      <c r="U263" s="1">
        <f ca="1">IFERROR(__xludf.DUMMYFUNCTION("""COMPUTED_VALUE"""),288)</f>
        <v>288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IFERROR(__xludf.DUMMYFUNCTION("""COMPUTED_VALUE"""),"Drexel")</f>
        <v>Drexel</v>
      </c>
      <c r="C264" s="1" t="str">
        <f ca="1">IFERROR(__xludf.DUMMYFUNCTION("""COMPUTED_VALUE"""),"CAA")</f>
        <v>CAA</v>
      </c>
      <c r="D264" s="2">
        <f ca="1">IFERROR(__xludf.DUMMYFUNCTION("""COMPUTED_VALUE"""),44884)</f>
        <v>44884</v>
      </c>
      <c r="E264" s="1">
        <f ca="1">IFERROR(__xludf.DUMMYFUNCTION("""COMPUTED_VALUE"""),-7.24)</f>
        <v>-7.24</v>
      </c>
      <c r="F264" s="1">
        <f ca="1">IFERROR(__xludf.DUMMYFUNCTION("""COMPUTED_VALUE"""),99.3)</f>
        <v>99.3</v>
      </c>
      <c r="G264" s="1">
        <f ca="1">IFERROR(__xludf.DUMMYFUNCTION("""COMPUTED_VALUE"""),266)</f>
        <v>266</v>
      </c>
      <c r="H264" s="1">
        <f ca="1">IFERROR(__xludf.DUMMYFUNCTION("""COMPUTED_VALUE"""),106.5)</f>
        <v>106.5</v>
      </c>
      <c r="I264" s="1">
        <f ca="1">IFERROR(__xludf.DUMMYFUNCTION("""COMPUTED_VALUE"""),213)</f>
        <v>213</v>
      </c>
      <c r="J264" s="1">
        <f ca="1">IFERROR(__xludf.DUMMYFUNCTION("""COMPUTED_VALUE"""),60.7)</f>
        <v>60.7</v>
      </c>
      <c r="K264" s="1">
        <f ca="1">IFERROR(__xludf.DUMMYFUNCTION("""COMPUTED_VALUE"""),326)</f>
        <v>326</v>
      </c>
      <c r="L264" s="1" t="str">
        <f ca="1">IFERROR(__xludf.DUMMYFUNCTION("""COMPUTED_VALUE"""),"+.003")</f>
        <v>+.003</v>
      </c>
      <c r="M264" s="1">
        <f ca="1">IFERROR(__xludf.DUMMYFUNCTION("""COMPUTED_VALUE"""),180)</f>
        <v>180</v>
      </c>
      <c r="N264" s="1">
        <f ca="1">IFERROR(__xludf.DUMMYFUNCTION("""COMPUTED_VALUE"""),-1.5)</f>
        <v>-1.5</v>
      </c>
      <c r="O264" s="1">
        <f ca="1">IFERROR(__xludf.DUMMYFUNCTION("""COMPUTED_VALUE"""),175)</f>
        <v>175</v>
      </c>
      <c r="P264" s="1">
        <f ca="1">IFERROR(__xludf.DUMMYFUNCTION("""COMPUTED_VALUE"""),103.7)</f>
        <v>103.7</v>
      </c>
      <c r="Q264" s="1">
        <f ca="1">IFERROR(__xludf.DUMMYFUNCTION("""COMPUTED_VALUE"""),178)</f>
        <v>178</v>
      </c>
      <c r="R264" s="1">
        <f ca="1">IFERROR(__xludf.DUMMYFUNCTION("""COMPUTED_VALUE"""),105.2)</f>
        <v>105.2</v>
      </c>
      <c r="S264" s="1">
        <f ca="1">IFERROR(__xludf.DUMMYFUNCTION("""COMPUTED_VALUE"""),195)</f>
        <v>195</v>
      </c>
      <c r="T264" s="1" t="str">
        <f ca="1">IFERROR(__xludf.DUMMYFUNCTION("""COMPUTED_VALUE"""),"+2.20")</f>
        <v>+2.20</v>
      </c>
      <c r="U264" s="1">
        <f ca="1">IFERROR(__xludf.DUMMYFUNCTION("""COMPUTED_VALUE"""),92)</f>
        <v>92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IFERROR(__xludf.DUMMYFUNCTION("""COMPUTED_VALUE"""),"Hampton16")</f>
        <v>Hampton16</v>
      </c>
      <c r="C265" s="1" t="str">
        <f ca="1">IFERROR(__xludf.DUMMYFUNCTION("""COMPUTED_VALUE"""),"MEAC")</f>
        <v>MEAC</v>
      </c>
      <c r="D265" s="1" t="str">
        <f ca="1">IFERROR(__xludf.DUMMYFUNCTION("""COMPUTED_VALUE"""),"17-18")</f>
        <v>17-18</v>
      </c>
      <c r="E265" s="1">
        <f ca="1">IFERROR(__xludf.DUMMYFUNCTION("""COMPUTED_VALUE"""),-7.4)</f>
        <v>-7.4</v>
      </c>
      <c r="F265" s="1">
        <f ca="1">IFERROR(__xludf.DUMMYFUNCTION("""COMPUTED_VALUE"""),96.6)</f>
        <v>96.6</v>
      </c>
      <c r="G265" s="1">
        <f ca="1">IFERROR(__xludf.DUMMYFUNCTION("""COMPUTED_VALUE"""),303)</f>
        <v>303</v>
      </c>
      <c r="H265" s="1">
        <f ca="1">IFERROR(__xludf.DUMMYFUNCTION("""COMPUTED_VALUE"""),104)</f>
        <v>104</v>
      </c>
      <c r="I265" s="1">
        <f ca="1">IFERROR(__xludf.DUMMYFUNCTION("""COMPUTED_VALUE"""),164)</f>
        <v>164</v>
      </c>
      <c r="J265" s="1">
        <f ca="1">IFERROR(__xludf.DUMMYFUNCTION("""COMPUTED_VALUE"""),69.2)</f>
        <v>69.2</v>
      </c>
      <c r="K265" s="1">
        <f ca="1">IFERROR(__xludf.DUMMYFUNCTION("""COMPUTED_VALUE"""),15)</f>
        <v>15</v>
      </c>
      <c r="L265" s="1" t="str">
        <f ca="1">IFERROR(__xludf.DUMMYFUNCTION("""COMPUTED_VALUE"""),"+.031")</f>
        <v>+.031</v>
      </c>
      <c r="M265" s="1">
        <f ca="1">IFERROR(__xludf.DUMMYFUNCTION("""COMPUTED_VALUE"""),105)</f>
        <v>105</v>
      </c>
      <c r="N265" s="1">
        <f ca="1">IFERROR(__xludf.DUMMYFUNCTION("""COMPUTED_VALUE"""),-7.48)</f>
        <v>-7.48</v>
      </c>
      <c r="O265" s="1">
        <f ca="1">IFERROR(__xludf.DUMMYFUNCTION("""COMPUTED_VALUE"""),336)</f>
        <v>336</v>
      </c>
      <c r="P265" s="1">
        <f ca="1">IFERROR(__xludf.DUMMYFUNCTION("""COMPUTED_VALUE"""),99.5)</f>
        <v>99.5</v>
      </c>
      <c r="Q265" s="1">
        <f ca="1">IFERROR(__xludf.DUMMYFUNCTION("""COMPUTED_VALUE"""),337)</f>
        <v>337</v>
      </c>
      <c r="R265" s="1">
        <f ca="1">IFERROR(__xludf.DUMMYFUNCTION("""COMPUTED_VALUE"""),106.9)</f>
        <v>106.9</v>
      </c>
      <c r="S265" s="1">
        <f ca="1">IFERROR(__xludf.DUMMYFUNCTION("""COMPUTED_VALUE"""),271)</f>
        <v>271</v>
      </c>
      <c r="T265" s="1">
        <f ca="1">IFERROR(__xludf.DUMMYFUNCTION("""COMPUTED_VALUE"""),-0.55)</f>
        <v>-0.55000000000000004</v>
      </c>
      <c r="U265" s="1">
        <f ca="1">IFERROR(__xludf.DUMMYFUNCTION("""COMPUTED_VALUE"""),176)</f>
        <v>176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IFERROR(__xludf.DUMMYFUNCTION("""COMPUTED_VALUE"""),"Northern Colorado")</f>
        <v>Northern Colorado</v>
      </c>
      <c r="C266" s="1" t="str">
        <f ca="1">IFERROR(__xludf.DUMMYFUNCTION("""COMPUTED_VALUE"""),"BSky")</f>
        <v>BSky</v>
      </c>
      <c r="D266" s="1" t="str">
        <f ca="1">IFERROR(__xludf.DUMMYFUNCTION("""COMPUTED_VALUE"""),"15-15")</f>
        <v>15-15</v>
      </c>
      <c r="E266" s="1">
        <f ca="1">IFERROR(__xludf.DUMMYFUNCTION("""COMPUTED_VALUE"""),-7.45)</f>
        <v>-7.45</v>
      </c>
      <c r="F266" s="1">
        <f ca="1">IFERROR(__xludf.DUMMYFUNCTION("""COMPUTED_VALUE"""),110.4)</f>
        <v>110.4</v>
      </c>
      <c r="G266" s="1">
        <f ca="1">IFERROR(__xludf.DUMMYFUNCTION("""COMPUTED_VALUE"""),63)</f>
        <v>63</v>
      </c>
      <c r="H266" s="1">
        <f ca="1">IFERROR(__xludf.DUMMYFUNCTION("""COMPUTED_VALUE"""),117.9)</f>
        <v>117.9</v>
      </c>
      <c r="I266" s="1">
        <f ca="1">IFERROR(__xludf.DUMMYFUNCTION("""COMPUTED_VALUE"""),349)</f>
        <v>349</v>
      </c>
      <c r="J266" s="1">
        <f ca="1">IFERROR(__xludf.DUMMYFUNCTION("""COMPUTED_VALUE"""),63.2)</f>
        <v>63.2</v>
      </c>
      <c r="K266" s="1">
        <f ca="1">IFERROR(__xludf.DUMMYFUNCTION("""COMPUTED_VALUE"""),247)</f>
        <v>247</v>
      </c>
      <c r="L266" s="1">
        <f ca="1">IFERROR(__xludf.DUMMYFUNCTION("""COMPUTED_VALUE"""),-0.013)</f>
        <v>-1.2999999999999999E-2</v>
      </c>
      <c r="M266" s="1">
        <f ca="1">IFERROR(__xludf.DUMMYFUNCTION("""COMPUTED_VALUE"""),216)</f>
        <v>216</v>
      </c>
      <c r="N266" s="1">
        <f ca="1">IFERROR(__xludf.DUMMYFUNCTION("""COMPUTED_VALUE"""),-6.44)</f>
        <v>-6.44</v>
      </c>
      <c r="O266" s="1">
        <f ca="1">IFERROR(__xludf.DUMMYFUNCTION("""COMPUTED_VALUE"""),318)</f>
        <v>318</v>
      </c>
      <c r="P266" s="1">
        <f ca="1">IFERROR(__xludf.DUMMYFUNCTION("""COMPUTED_VALUE"""),102.3)</f>
        <v>102.3</v>
      </c>
      <c r="Q266" s="1">
        <f ca="1">IFERROR(__xludf.DUMMYFUNCTION("""COMPUTED_VALUE"""),256)</f>
        <v>256</v>
      </c>
      <c r="R266" s="1">
        <f ca="1">IFERROR(__xludf.DUMMYFUNCTION("""COMPUTED_VALUE"""),108.7)</f>
        <v>108.7</v>
      </c>
      <c r="S266" s="1">
        <f ca="1">IFERROR(__xludf.DUMMYFUNCTION("""COMPUTED_VALUE"""),340)</f>
        <v>340</v>
      </c>
      <c r="T266" s="1">
        <f ca="1">IFERROR(__xludf.DUMMYFUNCTION("""COMPUTED_VALUE"""),-2.53)</f>
        <v>-2.5299999999999998</v>
      </c>
      <c r="U266" s="1">
        <f ca="1">IFERROR(__xludf.DUMMYFUNCTION("""COMPUTED_VALUE"""),237)</f>
        <v>237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IFERROR(__xludf.DUMMYFUNCTION("""COMPUTED_VALUE"""),"Army")</f>
        <v>Army</v>
      </c>
      <c r="C267" s="1" t="str">
        <f ca="1">IFERROR(__xludf.DUMMYFUNCTION("""COMPUTED_VALUE"""),"Pat")</f>
        <v>Pat</v>
      </c>
      <c r="D267" s="1" t="str">
        <f ca="1">IFERROR(__xludf.DUMMYFUNCTION("""COMPUTED_VALUE"""),"15-15")</f>
        <v>15-15</v>
      </c>
      <c r="E267" s="1">
        <f ca="1">IFERROR(__xludf.DUMMYFUNCTION("""COMPUTED_VALUE"""),-7.5)</f>
        <v>-7.5</v>
      </c>
      <c r="F267" s="1">
        <f ca="1">IFERROR(__xludf.DUMMYFUNCTION("""COMPUTED_VALUE"""),100.2)</f>
        <v>100.2</v>
      </c>
      <c r="G267" s="1">
        <f ca="1">IFERROR(__xludf.DUMMYFUNCTION("""COMPUTED_VALUE"""),252)</f>
        <v>252</v>
      </c>
      <c r="H267" s="1">
        <f ca="1">IFERROR(__xludf.DUMMYFUNCTION("""COMPUTED_VALUE"""),107.8)</f>
        <v>107.8</v>
      </c>
      <c r="I267" s="1">
        <f ca="1">IFERROR(__xludf.DUMMYFUNCTION("""COMPUTED_VALUE"""),236)</f>
        <v>236</v>
      </c>
      <c r="J267" s="1">
        <f ca="1">IFERROR(__xludf.DUMMYFUNCTION("""COMPUTED_VALUE"""),69.2)</f>
        <v>69.2</v>
      </c>
      <c r="K267" s="1">
        <f ca="1">IFERROR(__xludf.DUMMYFUNCTION("""COMPUTED_VALUE"""),14)</f>
        <v>14</v>
      </c>
      <c r="L267" s="1" t="str">
        <f ca="1">IFERROR(__xludf.DUMMYFUNCTION("""COMPUTED_VALUE"""),"+.032")</f>
        <v>+.032</v>
      </c>
      <c r="M267" s="1">
        <f ca="1">IFERROR(__xludf.DUMMYFUNCTION("""COMPUTED_VALUE"""),99)</f>
        <v>99</v>
      </c>
      <c r="N267" s="1">
        <f ca="1">IFERROR(__xludf.DUMMYFUNCTION("""COMPUTED_VALUE"""),-6.16)</f>
        <v>-6.16</v>
      </c>
      <c r="O267" s="1">
        <f ca="1">IFERROR(__xludf.DUMMYFUNCTION("""COMPUTED_VALUE"""),309)</f>
        <v>309</v>
      </c>
      <c r="P267" s="1">
        <f ca="1">IFERROR(__xludf.DUMMYFUNCTION("""COMPUTED_VALUE"""),102.3)</f>
        <v>102.3</v>
      </c>
      <c r="Q267" s="1">
        <f ca="1">IFERROR(__xludf.DUMMYFUNCTION("""COMPUTED_VALUE"""),255)</f>
        <v>255</v>
      </c>
      <c r="R267" s="1">
        <f ca="1">IFERROR(__xludf.DUMMYFUNCTION("""COMPUTED_VALUE"""),108.4)</f>
        <v>108.4</v>
      </c>
      <c r="S267" s="1">
        <f ca="1">IFERROR(__xludf.DUMMYFUNCTION("""COMPUTED_VALUE"""),328)</f>
        <v>328</v>
      </c>
      <c r="T267" s="1">
        <f ca="1">IFERROR(__xludf.DUMMYFUNCTION("""COMPUTED_VALUE"""),-7.18)</f>
        <v>-7.18</v>
      </c>
      <c r="U267" s="1">
        <f ca="1">IFERROR(__xludf.DUMMYFUNCTION("""COMPUTED_VALUE"""),331)</f>
        <v>331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IFERROR(__xludf.DUMMYFUNCTION("""COMPUTED_VALUE"""),"Bradley")</f>
        <v>Bradley</v>
      </c>
      <c r="C268" s="1" t="str">
        <f ca="1">IFERROR(__xludf.DUMMYFUNCTION("""COMPUTED_VALUE"""),"MVC")</f>
        <v>MVC</v>
      </c>
      <c r="D268" s="2">
        <f ca="1">IFERROR(__xludf.DUMMYFUNCTION("""COMPUTED_VALUE"""),44828)</f>
        <v>44828</v>
      </c>
      <c r="E268" s="1">
        <f ca="1">IFERROR(__xludf.DUMMYFUNCTION("""COMPUTED_VALUE"""),-7.51)</f>
        <v>-7.51</v>
      </c>
      <c r="F268" s="1">
        <f ca="1">IFERROR(__xludf.DUMMYFUNCTION("""COMPUTED_VALUE"""),93.7)</f>
        <v>93.7</v>
      </c>
      <c r="G268" s="1">
        <f ca="1">IFERROR(__xludf.DUMMYFUNCTION("""COMPUTED_VALUE"""),325)</f>
        <v>325</v>
      </c>
      <c r="H268" s="1">
        <f ca="1">IFERROR(__xludf.DUMMYFUNCTION("""COMPUTED_VALUE"""),101.3)</f>
        <v>101.3</v>
      </c>
      <c r="I268" s="1">
        <f ca="1">IFERROR(__xludf.DUMMYFUNCTION("""COMPUTED_VALUE"""),111)</f>
        <v>111</v>
      </c>
      <c r="J268" s="1">
        <f ca="1">IFERROR(__xludf.DUMMYFUNCTION("""COMPUTED_VALUE"""),62.1)</f>
        <v>62.1</v>
      </c>
      <c r="K268" s="1">
        <f ca="1">IFERROR(__xludf.DUMMYFUNCTION("""COMPUTED_VALUE"""),288)</f>
        <v>288</v>
      </c>
      <c r="L268" s="1">
        <f ca="1">IFERROR(__xludf.DUMMYFUNCTION("""COMPUTED_VALUE"""),-0.043)</f>
        <v>-4.2999999999999997E-2</v>
      </c>
      <c r="M268" s="1">
        <f ca="1">IFERROR(__xludf.DUMMYFUNCTION("""COMPUTED_VALUE"""),282)</f>
        <v>282</v>
      </c>
      <c r="N268" s="1" t="str">
        <f ca="1">IFERROR(__xludf.DUMMYFUNCTION("""COMPUTED_VALUE"""),"+0.92")</f>
        <v>+0.92</v>
      </c>
      <c r="O268" s="1">
        <f ca="1">IFERROR(__xludf.DUMMYFUNCTION("""COMPUTED_VALUE"""),123)</f>
        <v>123</v>
      </c>
      <c r="P268" s="1">
        <f ca="1">IFERROR(__xludf.DUMMYFUNCTION("""COMPUTED_VALUE"""),104.9)</f>
        <v>104.9</v>
      </c>
      <c r="Q268" s="1">
        <f ca="1">IFERROR(__xludf.DUMMYFUNCTION("""COMPUTED_VALUE"""),112)</f>
        <v>112</v>
      </c>
      <c r="R268" s="1">
        <f ca="1">IFERROR(__xludf.DUMMYFUNCTION("""COMPUTED_VALUE"""),104)</f>
        <v>104</v>
      </c>
      <c r="S268" s="1">
        <f ca="1">IFERROR(__xludf.DUMMYFUNCTION("""COMPUTED_VALUE"""),137)</f>
        <v>137</v>
      </c>
      <c r="T268" s="1">
        <f ca="1">IFERROR(__xludf.DUMMYFUNCTION("""COMPUTED_VALUE"""),-3.6)</f>
        <v>-3.6</v>
      </c>
      <c r="U268" s="1">
        <f ca="1">IFERROR(__xludf.DUMMYFUNCTION("""COMPUTED_VALUE"""),267)</f>
        <v>267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IFERROR(__xludf.DUMMYFUNCTION("""COMPUTED_VALUE"""),"Missouri St.")</f>
        <v>Missouri St.</v>
      </c>
      <c r="C269" s="1" t="str">
        <f ca="1">IFERROR(__xludf.DUMMYFUNCTION("""COMPUTED_VALUE"""),"MVC")</f>
        <v>MVC</v>
      </c>
      <c r="D269" s="2">
        <f ca="1">IFERROR(__xludf.DUMMYFUNCTION("""COMPUTED_VALUE"""),44885)</f>
        <v>44885</v>
      </c>
      <c r="E269" s="1">
        <f ca="1">IFERROR(__xludf.DUMMYFUNCTION("""COMPUTED_VALUE"""),-7.52)</f>
        <v>-7.52</v>
      </c>
      <c r="F269" s="1">
        <f ca="1">IFERROR(__xludf.DUMMYFUNCTION("""COMPUTED_VALUE"""),98.9)</f>
        <v>98.9</v>
      </c>
      <c r="G269" s="1">
        <f ca="1">IFERROR(__xludf.DUMMYFUNCTION("""COMPUTED_VALUE"""),272)</f>
        <v>272</v>
      </c>
      <c r="H269" s="1">
        <f ca="1">IFERROR(__xludf.DUMMYFUNCTION("""COMPUTED_VALUE"""),106.5)</f>
        <v>106.5</v>
      </c>
      <c r="I269" s="1">
        <f ca="1">IFERROR(__xludf.DUMMYFUNCTION("""COMPUTED_VALUE"""),212)</f>
        <v>212</v>
      </c>
      <c r="J269" s="1">
        <f ca="1">IFERROR(__xludf.DUMMYFUNCTION("""COMPUTED_VALUE"""),61.3)</f>
        <v>61.3</v>
      </c>
      <c r="K269" s="1">
        <f ca="1">IFERROR(__xludf.DUMMYFUNCTION("""COMPUTED_VALUE"""),310)</f>
        <v>310</v>
      </c>
      <c r="L269" s="1">
        <f ca="1">IFERROR(__xludf.DUMMYFUNCTION("""COMPUTED_VALUE"""),-0.01)</f>
        <v>-0.01</v>
      </c>
      <c r="M269" s="1">
        <f ca="1">IFERROR(__xludf.DUMMYFUNCTION("""COMPUTED_VALUE"""),212)</f>
        <v>212</v>
      </c>
      <c r="N269" s="1" t="str">
        <f ca="1">IFERROR(__xludf.DUMMYFUNCTION("""COMPUTED_VALUE"""),"+1.51")</f>
        <v>+1.51</v>
      </c>
      <c r="O269" s="1">
        <f ca="1">IFERROR(__xludf.DUMMYFUNCTION("""COMPUTED_VALUE"""),114)</f>
        <v>114</v>
      </c>
      <c r="P269" s="1">
        <f ca="1">IFERROR(__xludf.DUMMYFUNCTION("""COMPUTED_VALUE"""),104.8)</f>
        <v>104.8</v>
      </c>
      <c r="Q269" s="1">
        <f ca="1">IFERROR(__xludf.DUMMYFUNCTION("""COMPUTED_VALUE"""),119)</f>
        <v>119</v>
      </c>
      <c r="R269" s="1">
        <f ca="1">IFERROR(__xludf.DUMMYFUNCTION("""COMPUTED_VALUE"""),103.3)</f>
        <v>103.3</v>
      </c>
      <c r="S269" s="1">
        <f ca="1">IFERROR(__xludf.DUMMYFUNCTION("""COMPUTED_VALUE"""),110)</f>
        <v>110</v>
      </c>
      <c r="T269" s="1">
        <f ca="1">IFERROR(__xludf.DUMMYFUNCTION("""COMPUTED_VALUE"""),-1.06)</f>
        <v>-1.06</v>
      </c>
      <c r="U269" s="1">
        <f ca="1">IFERROR(__xludf.DUMMYFUNCTION("""COMPUTED_VALUE"""),188)</f>
        <v>188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IFERROR(__xludf.DUMMYFUNCTION("""COMPUTED_VALUE"""),"Nebraska Omaha")</f>
        <v>Nebraska Omaha</v>
      </c>
      <c r="C270" s="1" t="str">
        <f ca="1">IFERROR(__xludf.DUMMYFUNCTION("""COMPUTED_VALUE"""),"Sum")</f>
        <v>Sum</v>
      </c>
      <c r="D270" s="2">
        <f ca="1">IFERROR(__xludf.DUMMYFUNCTION("""COMPUTED_VALUE"""),44912)</f>
        <v>44912</v>
      </c>
      <c r="E270" s="1">
        <f ca="1">IFERROR(__xludf.DUMMYFUNCTION("""COMPUTED_VALUE"""),-7.57)</f>
        <v>-7.57</v>
      </c>
      <c r="F270" s="1">
        <f ca="1">IFERROR(__xludf.DUMMYFUNCTION("""COMPUTED_VALUE"""),102.9)</f>
        <v>102.9</v>
      </c>
      <c r="G270" s="1">
        <f ca="1">IFERROR(__xludf.DUMMYFUNCTION("""COMPUTED_VALUE"""),201)</f>
        <v>201</v>
      </c>
      <c r="H270" s="1">
        <f ca="1">IFERROR(__xludf.DUMMYFUNCTION("""COMPUTED_VALUE"""),110.5)</f>
        <v>110.5</v>
      </c>
      <c r="I270" s="1">
        <f ca="1">IFERROR(__xludf.DUMMYFUNCTION("""COMPUTED_VALUE"""),294)</f>
        <v>294</v>
      </c>
      <c r="J270" s="1">
        <f ca="1">IFERROR(__xludf.DUMMYFUNCTION("""COMPUTED_VALUE"""),73.4)</f>
        <v>73.400000000000006</v>
      </c>
      <c r="K270" s="1">
        <f ca="1">IFERROR(__xludf.DUMMYFUNCTION("""COMPUTED_VALUE"""),3)</f>
        <v>3</v>
      </c>
      <c r="L270" s="1">
        <f ca="1">IFERROR(__xludf.DUMMYFUNCTION("""COMPUTED_VALUE"""),-0.042)</f>
        <v>-4.2000000000000003E-2</v>
      </c>
      <c r="M270" s="1">
        <f ca="1">IFERROR(__xludf.DUMMYFUNCTION("""COMPUTED_VALUE"""),276)</f>
        <v>276</v>
      </c>
      <c r="N270" s="1">
        <f ca="1">IFERROR(__xludf.DUMMYFUNCTION("""COMPUTED_VALUE"""),-5.38)</f>
        <v>-5.38</v>
      </c>
      <c r="O270" s="1">
        <f ca="1">IFERROR(__xludf.DUMMYFUNCTION("""COMPUTED_VALUE"""),291)</f>
        <v>291</v>
      </c>
      <c r="P270" s="1">
        <f ca="1">IFERROR(__xludf.DUMMYFUNCTION("""COMPUTED_VALUE"""),101.5)</f>
        <v>101.5</v>
      </c>
      <c r="Q270" s="1">
        <f ca="1">IFERROR(__xludf.DUMMYFUNCTION("""COMPUTED_VALUE"""),300)</f>
        <v>300</v>
      </c>
      <c r="R270" s="1">
        <f ca="1">IFERROR(__xludf.DUMMYFUNCTION("""COMPUTED_VALUE"""),106.9)</f>
        <v>106.9</v>
      </c>
      <c r="S270" s="1">
        <f ca="1">IFERROR(__xludf.DUMMYFUNCTION("""COMPUTED_VALUE"""),268)</f>
        <v>268</v>
      </c>
      <c r="T270" s="1">
        <f ca="1">IFERROR(__xludf.DUMMYFUNCTION("""COMPUTED_VALUE"""),-6.69)</f>
        <v>-6.69</v>
      </c>
      <c r="U270" s="1">
        <f ca="1">IFERROR(__xludf.DUMMYFUNCTION("""COMPUTED_VALUE"""),329)</f>
        <v>329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IFERROR(__xludf.DUMMYFUNCTION("""COMPUTED_VALUE"""),"Ball St.")</f>
        <v>Ball St.</v>
      </c>
      <c r="C271" s="1" t="str">
        <f ca="1">IFERROR(__xludf.DUMMYFUNCTION("""COMPUTED_VALUE"""),"MAC")</f>
        <v>MAC</v>
      </c>
      <c r="D271" s="2">
        <f ca="1">IFERROR(__xludf.DUMMYFUNCTION("""COMPUTED_VALUE"""),44765)</f>
        <v>44765</v>
      </c>
      <c r="E271" s="1">
        <f ca="1">IFERROR(__xludf.DUMMYFUNCTION("""COMPUTED_VALUE"""),-7.65)</f>
        <v>-7.65</v>
      </c>
      <c r="F271" s="1">
        <f ca="1">IFERROR(__xludf.DUMMYFUNCTION("""COMPUTED_VALUE"""),100.4)</f>
        <v>100.4</v>
      </c>
      <c r="G271" s="1">
        <f ca="1">IFERROR(__xludf.DUMMYFUNCTION("""COMPUTED_VALUE"""),249)</f>
        <v>249</v>
      </c>
      <c r="H271" s="1">
        <f ca="1">IFERROR(__xludf.DUMMYFUNCTION("""COMPUTED_VALUE"""),108)</f>
        <v>108</v>
      </c>
      <c r="I271" s="1">
        <f ca="1">IFERROR(__xludf.DUMMYFUNCTION("""COMPUTED_VALUE"""),247)</f>
        <v>247</v>
      </c>
      <c r="J271" s="1">
        <f ca="1">IFERROR(__xludf.DUMMYFUNCTION("""COMPUTED_VALUE"""),63.5)</f>
        <v>63.5</v>
      </c>
      <c r="K271" s="1">
        <f ca="1">IFERROR(__xludf.DUMMYFUNCTION("""COMPUTED_VALUE"""),220)</f>
        <v>220</v>
      </c>
      <c r="L271" s="1">
        <f ca="1">IFERROR(__xludf.DUMMYFUNCTION("""COMPUTED_VALUE"""),-0.13)</f>
        <v>-0.13</v>
      </c>
      <c r="M271" s="1">
        <f ca="1">IFERROR(__xludf.DUMMYFUNCTION("""COMPUTED_VALUE"""),351)</f>
        <v>351</v>
      </c>
      <c r="N271" s="1" t="str">
        <f ca="1">IFERROR(__xludf.DUMMYFUNCTION("""COMPUTED_VALUE"""),"+1.38")</f>
        <v>+1.38</v>
      </c>
      <c r="O271" s="1">
        <f ca="1">IFERROR(__xludf.DUMMYFUNCTION("""COMPUTED_VALUE"""),117)</f>
        <v>117</v>
      </c>
      <c r="P271" s="1">
        <f ca="1">IFERROR(__xludf.DUMMYFUNCTION("""COMPUTED_VALUE"""),104.8)</f>
        <v>104.8</v>
      </c>
      <c r="Q271" s="1">
        <f ca="1">IFERROR(__xludf.DUMMYFUNCTION("""COMPUTED_VALUE"""),117)</f>
        <v>117</v>
      </c>
      <c r="R271" s="1">
        <f ca="1">IFERROR(__xludf.DUMMYFUNCTION("""COMPUTED_VALUE"""),103.4)</f>
        <v>103.4</v>
      </c>
      <c r="S271" s="1">
        <f ca="1">IFERROR(__xludf.DUMMYFUNCTION("""COMPUTED_VALUE"""),113)</f>
        <v>113</v>
      </c>
      <c r="T271" s="1">
        <f ca="1">IFERROR(__xludf.DUMMYFUNCTION("""COMPUTED_VALUE"""),-4.3)</f>
        <v>-4.3</v>
      </c>
      <c r="U271" s="1">
        <f ca="1">IFERROR(__xludf.DUMMYFUNCTION("""COMPUTED_VALUE"""),291)</f>
        <v>291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IFERROR(__xludf.DUMMYFUNCTION("""COMPUTED_VALUE"""),"Portland St.")</f>
        <v>Portland St.</v>
      </c>
      <c r="C272" s="1" t="str">
        <f ca="1">IFERROR(__xludf.DUMMYFUNCTION("""COMPUTED_VALUE"""),"BSky")</f>
        <v>BSky</v>
      </c>
      <c r="D272" s="1" t="str">
        <f ca="1">IFERROR(__xludf.DUMMYFUNCTION("""COMPUTED_VALUE"""),"15-14")</f>
        <v>15-14</v>
      </c>
      <c r="E272" s="1">
        <f ca="1">IFERROR(__xludf.DUMMYFUNCTION("""COMPUTED_VALUE"""),-7.77)</f>
        <v>-7.77</v>
      </c>
      <c r="F272" s="1">
        <f ca="1">IFERROR(__xludf.DUMMYFUNCTION("""COMPUTED_VALUE"""),102.9)</f>
        <v>102.9</v>
      </c>
      <c r="G272" s="1">
        <f ca="1">IFERROR(__xludf.DUMMYFUNCTION("""COMPUTED_VALUE"""),202)</f>
        <v>202</v>
      </c>
      <c r="H272" s="1">
        <f ca="1">IFERROR(__xludf.DUMMYFUNCTION("""COMPUTED_VALUE"""),110.7)</f>
        <v>110.7</v>
      </c>
      <c r="I272" s="1">
        <f ca="1">IFERROR(__xludf.DUMMYFUNCTION("""COMPUTED_VALUE"""),297)</f>
        <v>297</v>
      </c>
      <c r="J272" s="1">
        <f ca="1">IFERROR(__xludf.DUMMYFUNCTION("""COMPUTED_VALUE"""),65.9)</f>
        <v>65.900000000000006</v>
      </c>
      <c r="K272" s="1">
        <f ca="1">IFERROR(__xludf.DUMMYFUNCTION("""COMPUTED_VALUE"""),96)</f>
        <v>96</v>
      </c>
      <c r="L272" s="1" t="str">
        <f ca="1">IFERROR(__xludf.DUMMYFUNCTION("""COMPUTED_VALUE"""),"+.071")</f>
        <v>+.071</v>
      </c>
      <c r="M272" s="1">
        <f ca="1">IFERROR(__xludf.DUMMYFUNCTION("""COMPUTED_VALUE"""),32)</f>
        <v>32</v>
      </c>
      <c r="N272" s="1">
        <f ca="1">IFERROR(__xludf.DUMMYFUNCTION("""COMPUTED_VALUE"""),-4.64)</f>
        <v>-4.6399999999999997</v>
      </c>
      <c r="O272" s="1">
        <f ca="1">IFERROR(__xludf.DUMMYFUNCTION("""COMPUTED_VALUE"""),266)</f>
        <v>266</v>
      </c>
      <c r="P272" s="1">
        <f ca="1">IFERROR(__xludf.DUMMYFUNCTION("""COMPUTED_VALUE"""),104.2)</f>
        <v>104.2</v>
      </c>
      <c r="Q272" s="1">
        <f ca="1">IFERROR(__xludf.DUMMYFUNCTION("""COMPUTED_VALUE"""),150)</f>
        <v>150</v>
      </c>
      <c r="R272" s="1">
        <f ca="1">IFERROR(__xludf.DUMMYFUNCTION("""COMPUTED_VALUE"""),108.9)</f>
        <v>108.9</v>
      </c>
      <c r="S272" s="1">
        <f ca="1">IFERROR(__xludf.DUMMYFUNCTION("""COMPUTED_VALUE"""),344)</f>
        <v>344</v>
      </c>
      <c r="T272" s="1" t="str">
        <f ca="1">IFERROR(__xludf.DUMMYFUNCTION("""COMPUTED_VALUE"""),"+1.51")</f>
        <v>+1.51</v>
      </c>
      <c r="U272" s="1">
        <f ca="1">IFERROR(__xludf.DUMMYFUNCTION("""COMPUTED_VALUE"""),114)</f>
        <v>114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IFERROR(__xludf.DUMMYFUNCTION("""COMPUTED_VALUE"""),"Howard")</f>
        <v>Howard</v>
      </c>
      <c r="C273" s="1" t="str">
        <f ca="1">IFERROR(__xludf.DUMMYFUNCTION("""COMPUTED_VALUE"""),"MEAC")</f>
        <v>MEAC</v>
      </c>
      <c r="D273" s="1" t="str">
        <f ca="1">IFERROR(__xludf.DUMMYFUNCTION("""COMPUTED_VALUE"""),"16-16")</f>
        <v>16-16</v>
      </c>
      <c r="E273" s="1">
        <f ca="1">IFERROR(__xludf.DUMMYFUNCTION("""COMPUTED_VALUE"""),-7.91)</f>
        <v>-7.91</v>
      </c>
      <c r="F273" s="1">
        <f ca="1">IFERROR(__xludf.DUMMYFUNCTION("""COMPUTED_VALUE"""),93.9)</f>
        <v>93.9</v>
      </c>
      <c r="G273" s="1">
        <f ca="1">IFERROR(__xludf.DUMMYFUNCTION("""COMPUTED_VALUE"""),324)</f>
        <v>324</v>
      </c>
      <c r="H273" s="1">
        <f ca="1">IFERROR(__xludf.DUMMYFUNCTION("""COMPUTED_VALUE"""),101.9)</f>
        <v>101.9</v>
      </c>
      <c r="I273" s="1">
        <f ca="1">IFERROR(__xludf.DUMMYFUNCTION("""COMPUTED_VALUE"""),127)</f>
        <v>127</v>
      </c>
      <c r="J273" s="1">
        <f ca="1">IFERROR(__xludf.DUMMYFUNCTION("""COMPUTED_VALUE"""),62.7)</f>
        <v>62.7</v>
      </c>
      <c r="K273" s="1">
        <f ca="1">IFERROR(__xludf.DUMMYFUNCTION("""COMPUTED_VALUE"""),264)</f>
        <v>264</v>
      </c>
      <c r="L273" s="1" t="str">
        <f ca="1">IFERROR(__xludf.DUMMYFUNCTION("""COMPUTED_VALUE"""),"+.016")</f>
        <v>+.016</v>
      </c>
      <c r="M273" s="1">
        <f ca="1">IFERROR(__xludf.DUMMYFUNCTION("""COMPUTED_VALUE"""),142)</f>
        <v>142</v>
      </c>
      <c r="N273" s="1">
        <f ca="1">IFERROR(__xludf.DUMMYFUNCTION("""COMPUTED_VALUE"""),-6.17)</f>
        <v>-6.17</v>
      </c>
      <c r="O273" s="1">
        <f ca="1">IFERROR(__xludf.DUMMYFUNCTION("""COMPUTED_VALUE"""),310)</f>
        <v>310</v>
      </c>
      <c r="P273" s="1">
        <f ca="1">IFERROR(__xludf.DUMMYFUNCTION("""COMPUTED_VALUE"""),100.7)</f>
        <v>100.7</v>
      </c>
      <c r="Q273" s="1">
        <f ca="1">IFERROR(__xludf.DUMMYFUNCTION("""COMPUTED_VALUE"""),318)</f>
        <v>318</v>
      </c>
      <c r="R273" s="1">
        <f ca="1">IFERROR(__xludf.DUMMYFUNCTION("""COMPUTED_VALUE"""),106.9)</f>
        <v>106.9</v>
      </c>
      <c r="S273" s="1">
        <f ca="1">IFERROR(__xludf.DUMMYFUNCTION("""COMPUTED_VALUE"""),267)</f>
        <v>267</v>
      </c>
      <c r="T273" s="1" t="str">
        <f ca="1">IFERROR(__xludf.DUMMYFUNCTION("""COMPUTED_VALUE"""),"+2.76")</f>
        <v>+2.76</v>
      </c>
      <c r="U273" s="1">
        <f ca="1">IFERROR(__xludf.DUMMYFUNCTION("""COMPUTED_VALUE"""),77)</f>
        <v>77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IFERROR(__xludf.DUMMYFUNCTION("""COMPUTED_VALUE"""),"Delaware")</f>
        <v>Delaware</v>
      </c>
      <c r="C274" s="1" t="str">
        <f ca="1">IFERROR(__xludf.DUMMYFUNCTION("""COMPUTED_VALUE"""),"CAA")</f>
        <v>CAA</v>
      </c>
      <c r="D274" s="2">
        <f ca="1">IFERROR(__xludf.DUMMYFUNCTION("""COMPUTED_VALUE"""),44854)</f>
        <v>44854</v>
      </c>
      <c r="E274" s="1">
        <f ca="1">IFERROR(__xludf.DUMMYFUNCTION("""COMPUTED_VALUE"""),-7.92)</f>
        <v>-7.92</v>
      </c>
      <c r="F274" s="1">
        <f ca="1">IFERROR(__xludf.DUMMYFUNCTION("""COMPUTED_VALUE"""),101.7)</f>
        <v>101.7</v>
      </c>
      <c r="G274" s="1">
        <f ca="1">IFERROR(__xludf.DUMMYFUNCTION("""COMPUTED_VALUE"""),226)</f>
        <v>226</v>
      </c>
      <c r="H274" s="1">
        <f ca="1">IFERROR(__xludf.DUMMYFUNCTION("""COMPUTED_VALUE"""),109.6)</f>
        <v>109.6</v>
      </c>
      <c r="I274" s="1">
        <f ca="1">IFERROR(__xludf.DUMMYFUNCTION("""COMPUTED_VALUE"""),282)</f>
        <v>282</v>
      </c>
      <c r="J274" s="1">
        <f ca="1">IFERROR(__xludf.DUMMYFUNCTION("""COMPUTED_VALUE"""),65.3)</f>
        <v>65.3</v>
      </c>
      <c r="K274" s="1">
        <f ca="1">IFERROR(__xludf.DUMMYFUNCTION("""COMPUTED_VALUE"""),120)</f>
        <v>120</v>
      </c>
      <c r="L274" s="1" t="str">
        <f ca="1">IFERROR(__xludf.DUMMYFUNCTION("""COMPUTED_VALUE"""),"+.024")</f>
        <v>+.024</v>
      </c>
      <c r="M274" s="1">
        <f ca="1">IFERROR(__xludf.DUMMYFUNCTION("""COMPUTED_VALUE"""),123)</f>
        <v>123</v>
      </c>
      <c r="N274" s="1">
        <f ca="1">IFERROR(__xludf.DUMMYFUNCTION("""COMPUTED_VALUE"""),-1.68)</f>
        <v>-1.68</v>
      </c>
      <c r="O274" s="1">
        <f ca="1">IFERROR(__xludf.DUMMYFUNCTION("""COMPUTED_VALUE"""),184)</f>
        <v>184</v>
      </c>
      <c r="P274" s="1">
        <f ca="1">IFERROR(__xludf.DUMMYFUNCTION("""COMPUTED_VALUE"""),103.8)</f>
        <v>103.8</v>
      </c>
      <c r="Q274" s="1">
        <f ca="1">IFERROR(__xludf.DUMMYFUNCTION("""COMPUTED_VALUE"""),167)</f>
        <v>167</v>
      </c>
      <c r="R274" s="1">
        <f ca="1">IFERROR(__xludf.DUMMYFUNCTION("""COMPUTED_VALUE"""),105.5)</f>
        <v>105.5</v>
      </c>
      <c r="S274" s="1">
        <f ca="1">IFERROR(__xludf.DUMMYFUNCTION("""COMPUTED_VALUE"""),206)</f>
        <v>206</v>
      </c>
      <c r="T274" s="1">
        <f ca="1">IFERROR(__xludf.DUMMYFUNCTION("""COMPUTED_VALUE"""),-0.07)</f>
        <v>-7.0000000000000007E-2</v>
      </c>
      <c r="U274" s="1">
        <f ca="1">IFERROR(__xludf.DUMMYFUNCTION("""COMPUTED_VALUE"""),161)</f>
        <v>161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IFERROR(__xludf.DUMMYFUNCTION("""COMPUTED_VALUE"""),"Marshall")</f>
        <v>Marshall</v>
      </c>
      <c r="C275" s="1" t="str">
        <f ca="1">IFERROR(__xludf.DUMMYFUNCTION("""COMPUTED_VALUE"""),"CUSA")</f>
        <v>CUSA</v>
      </c>
      <c r="D275" s="2">
        <f ca="1">IFERROR(__xludf.DUMMYFUNCTION("""COMPUTED_VALUE"""),44886)</f>
        <v>44886</v>
      </c>
      <c r="E275" s="1">
        <f ca="1">IFERROR(__xludf.DUMMYFUNCTION("""COMPUTED_VALUE"""),-8.05)</f>
        <v>-8.0500000000000007</v>
      </c>
      <c r="F275" s="1">
        <f ca="1">IFERROR(__xludf.DUMMYFUNCTION("""COMPUTED_VALUE"""),96.3)</f>
        <v>96.3</v>
      </c>
      <c r="G275" s="1">
        <f ca="1">IFERROR(__xludf.DUMMYFUNCTION("""COMPUTED_VALUE"""),307)</f>
        <v>307</v>
      </c>
      <c r="H275" s="1">
        <f ca="1">IFERROR(__xludf.DUMMYFUNCTION("""COMPUTED_VALUE"""),104.3)</f>
        <v>104.3</v>
      </c>
      <c r="I275" s="1">
        <f ca="1">IFERROR(__xludf.DUMMYFUNCTION("""COMPUTED_VALUE"""),169)</f>
        <v>169</v>
      </c>
      <c r="J275" s="1">
        <f ca="1">IFERROR(__xludf.DUMMYFUNCTION("""COMPUTED_VALUE"""),69.9)</f>
        <v>69.900000000000006</v>
      </c>
      <c r="K275" s="1">
        <f ca="1">IFERROR(__xludf.DUMMYFUNCTION("""COMPUTED_VALUE"""),8)</f>
        <v>8</v>
      </c>
      <c r="L275" s="1">
        <f ca="1">IFERROR(__xludf.DUMMYFUNCTION("""COMPUTED_VALUE"""),-0.049)</f>
        <v>-4.9000000000000002E-2</v>
      </c>
      <c r="M275" s="1">
        <f ca="1">IFERROR(__xludf.DUMMYFUNCTION("""COMPUTED_VALUE"""),292)</f>
        <v>292</v>
      </c>
      <c r="N275" s="1">
        <f ca="1">IFERROR(__xludf.DUMMYFUNCTION("""COMPUTED_VALUE"""),-0.99)</f>
        <v>-0.99</v>
      </c>
      <c r="O275" s="1">
        <f ca="1">IFERROR(__xludf.DUMMYFUNCTION("""COMPUTED_VALUE"""),160)</f>
        <v>160</v>
      </c>
      <c r="P275" s="1">
        <f ca="1">IFERROR(__xludf.DUMMYFUNCTION("""COMPUTED_VALUE"""),102.6)</f>
        <v>102.6</v>
      </c>
      <c r="Q275" s="1">
        <f ca="1">IFERROR(__xludf.DUMMYFUNCTION("""COMPUTED_VALUE"""),241)</f>
        <v>241</v>
      </c>
      <c r="R275" s="1">
        <f ca="1">IFERROR(__xludf.DUMMYFUNCTION("""COMPUTED_VALUE"""),103.5)</f>
        <v>103.5</v>
      </c>
      <c r="S275" s="1">
        <f ca="1">IFERROR(__xludf.DUMMYFUNCTION("""COMPUTED_VALUE"""),119)</f>
        <v>119</v>
      </c>
      <c r="T275" s="1" t="str">
        <f ca="1">IFERROR(__xludf.DUMMYFUNCTION("""COMPUTED_VALUE"""),"+0.23")</f>
        <v>+0.23</v>
      </c>
      <c r="U275" s="1">
        <f ca="1">IFERROR(__xludf.DUMMYFUNCTION("""COMPUTED_VALUE"""),153)</f>
        <v>153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IFERROR(__xludf.DUMMYFUNCTION("""COMPUTED_VALUE"""),"Delaware St.")</f>
        <v>Delaware St.</v>
      </c>
      <c r="C276" s="1" t="str">
        <f ca="1">IFERROR(__xludf.DUMMYFUNCTION("""COMPUTED_VALUE"""),"MEAC")</f>
        <v>MEAC</v>
      </c>
      <c r="D276" s="1" t="str">
        <f ca="1">IFERROR(__xludf.DUMMYFUNCTION("""COMPUTED_VALUE"""),"18-18")</f>
        <v>18-18</v>
      </c>
      <c r="E276" s="1">
        <f ca="1">IFERROR(__xludf.DUMMYFUNCTION("""COMPUTED_VALUE"""),-8.25)</f>
        <v>-8.25</v>
      </c>
      <c r="F276" s="1">
        <f ca="1">IFERROR(__xludf.DUMMYFUNCTION("""COMPUTED_VALUE"""),101.5)</f>
        <v>101.5</v>
      </c>
      <c r="G276" s="1">
        <f ca="1">IFERROR(__xludf.DUMMYFUNCTION("""COMPUTED_VALUE"""),231)</f>
        <v>231</v>
      </c>
      <c r="H276" s="1">
        <f ca="1">IFERROR(__xludf.DUMMYFUNCTION("""COMPUTED_VALUE"""),109.7)</f>
        <v>109.7</v>
      </c>
      <c r="I276" s="1">
        <f ca="1">IFERROR(__xludf.DUMMYFUNCTION("""COMPUTED_VALUE"""),286)</f>
        <v>286</v>
      </c>
      <c r="J276" s="1">
        <f ca="1">IFERROR(__xludf.DUMMYFUNCTION("""COMPUTED_VALUE"""),67.1)</f>
        <v>67.099999999999994</v>
      </c>
      <c r="K276" s="1">
        <f ca="1">IFERROR(__xludf.DUMMYFUNCTION("""COMPUTED_VALUE"""),52)</f>
        <v>52</v>
      </c>
      <c r="L276" s="1" t="str">
        <f ca="1">IFERROR(__xludf.DUMMYFUNCTION("""COMPUTED_VALUE"""),"+.063")</f>
        <v>+.063</v>
      </c>
      <c r="M276" s="1">
        <f ca="1">IFERROR(__xludf.DUMMYFUNCTION("""COMPUTED_VALUE"""),45)</f>
        <v>45</v>
      </c>
      <c r="N276" s="1">
        <f ca="1">IFERROR(__xludf.DUMMYFUNCTION("""COMPUTED_VALUE"""),-4.87)</f>
        <v>-4.87</v>
      </c>
      <c r="O276" s="1">
        <f ca="1">IFERROR(__xludf.DUMMYFUNCTION("""COMPUTED_VALUE"""),276)</f>
        <v>276</v>
      </c>
      <c r="P276" s="1">
        <f ca="1">IFERROR(__xludf.DUMMYFUNCTION("""COMPUTED_VALUE"""),100.5)</f>
        <v>100.5</v>
      </c>
      <c r="Q276" s="1">
        <f ca="1">IFERROR(__xludf.DUMMYFUNCTION("""COMPUTED_VALUE"""),323)</f>
        <v>323</v>
      </c>
      <c r="R276" s="1">
        <f ca="1">IFERROR(__xludf.DUMMYFUNCTION("""COMPUTED_VALUE"""),105.4)</f>
        <v>105.4</v>
      </c>
      <c r="S276" s="1">
        <f ca="1">IFERROR(__xludf.DUMMYFUNCTION("""COMPUTED_VALUE"""),201)</f>
        <v>201</v>
      </c>
      <c r="T276" s="1" t="str">
        <f ca="1">IFERROR(__xludf.DUMMYFUNCTION("""COMPUTED_VALUE"""),"+6.76")</f>
        <v>+6.76</v>
      </c>
      <c r="U276" s="1">
        <f ca="1">IFERROR(__xludf.DUMMYFUNCTION("""COMPUTED_VALUE"""),21)</f>
        <v>21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IFERROR(__xludf.DUMMYFUNCTION("""COMPUTED_VALUE"""),"Grand Canyon")</f>
        <v>Grand Canyon</v>
      </c>
      <c r="C277" s="1" t="str">
        <f ca="1">IFERROR(__xludf.DUMMYFUNCTION("""COMPUTED_VALUE"""),"WAC")</f>
        <v>WAC</v>
      </c>
      <c r="D277" s="1" t="str">
        <f ca="1">IFERROR(__xludf.DUMMYFUNCTION("""COMPUTED_VALUE"""),"17-15")</f>
        <v>17-15</v>
      </c>
      <c r="E277" s="1">
        <f ca="1">IFERROR(__xludf.DUMMYFUNCTION("""COMPUTED_VALUE"""),-8.29)</f>
        <v>-8.2899999999999991</v>
      </c>
      <c r="F277" s="1">
        <f ca="1">IFERROR(__xludf.DUMMYFUNCTION("""COMPUTED_VALUE"""),106.5)</f>
        <v>106.5</v>
      </c>
      <c r="G277" s="1">
        <f ca="1">IFERROR(__xludf.DUMMYFUNCTION("""COMPUTED_VALUE"""),123)</f>
        <v>123</v>
      </c>
      <c r="H277" s="1">
        <f ca="1">IFERROR(__xludf.DUMMYFUNCTION("""COMPUTED_VALUE"""),114.8)</f>
        <v>114.8</v>
      </c>
      <c r="I277" s="1">
        <f ca="1">IFERROR(__xludf.DUMMYFUNCTION("""COMPUTED_VALUE"""),336)</f>
        <v>336</v>
      </c>
      <c r="J277" s="1">
        <f ca="1">IFERROR(__xludf.DUMMYFUNCTION("""COMPUTED_VALUE"""),64.5)</f>
        <v>64.5</v>
      </c>
      <c r="K277" s="1">
        <f ca="1">IFERROR(__xludf.DUMMYFUNCTION("""COMPUTED_VALUE"""),164)</f>
        <v>164</v>
      </c>
      <c r="L277" s="1" t="str">
        <f ca="1">IFERROR(__xludf.DUMMYFUNCTION("""COMPUTED_VALUE"""),"+.021")</f>
        <v>+.021</v>
      </c>
      <c r="M277" s="1">
        <f ca="1">IFERROR(__xludf.DUMMYFUNCTION("""COMPUTED_VALUE"""),133)</f>
        <v>133</v>
      </c>
      <c r="N277" s="1">
        <f ca="1">IFERROR(__xludf.DUMMYFUNCTION("""COMPUTED_VALUE"""),-9.2)</f>
        <v>-9.1999999999999993</v>
      </c>
      <c r="O277" s="1">
        <f ca="1">IFERROR(__xludf.DUMMYFUNCTION("""COMPUTED_VALUE"""),345)</f>
        <v>345</v>
      </c>
      <c r="P277" s="1">
        <f ca="1">IFERROR(__xludf.DUMMYFUNCTION("""COMPUTED_VALUE"""),98.7)</f>
        <v>98.7</v>
      </c>
      <c r="Q277" s="1">
        <f ca="1">IFERROR(__xludf.DUMMYFUNCTION("""COMPUTED_VALUE"""),344)</f>
        <v>344</v>
      </c>
      <c r="R277" s="1">
        <f ca="1">IFERROR(__xludf.DUMMYFUNCTION("""COMPUTED_VALUE"""),107.9)</f>
        <v>107.9</v>
      </c>
      <c r="S277" s="1">
        <f ca="1">IFERROR(__xludf.DUMMYFUNCTION("""COMPUTED_VALUE"""),314)</f>
        <v>314</v>
      </c>
      <c r="T277" s="1">
        <f ca="1">IFERROR(__xludf.DUMMYFUNCTION("""COMPUTED_VALUE"""),-7.39)</f>
        <v>-7.39</v>
      </c>
      <c r="U277" s="1">
        <f ca="1">IFERROR(__xludf.DUMMYFUNCTION("""COMPUTED_VALUE"""),333)</f>
        <v>333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IFERROR(__xludf.DUMMYFUNCTION("""COMPUTED_VALUE"""),"Alabama St.")</f>
        <v>Alabama St.</v>
      </c>
      <c r="C278" s="1" t="str">
        <f ca="1">IFERROR(__xludf.DUMMYFUNCTION("""COMPUTED_VALUE"""),"SWAC")</f>
        <v>SWAC</v>
      </c>
      <c r="D278" s="1" t="str">
        <f ca="1">IFERROR(__xludf.DUMMYFUNCTION("""COMPUTED_VALUE"""),"19-10")</f>
        <v>19-10</v>
      </c>
      <c r="E278" s="1">
        <f ca="1">IFERROR(__xludf.DUMMYFUNCTION("""COMPUTED_VALUE"""),-8.31)</f>
        <v>-8.31</v>
      </c>
      <c r="F278" s="1">
        <f ca="1">IFERROR(__xludf.DUMMYFUNCTION("""COMPUTED_VALUE"""),97.8)</f>
        <v>97.8</v>
      </c>
      <c r="G278" s="1">
        <f ca="1">IFERROR(__xludf.DUMMYFUNCTION("""COMPUTED_VALUE"""),290)</f>
        <v>290</v>
      </c>
      <c r="H278" s="1">
        <f ca="1">IFERROR(__xludf.DUMMYFUNCTION("""COMPUTED_VALUE"""),106.1)</f>
        <v>106.1</v>
      </c>
      <c r="I278" s="1">
        <f ca="1">IFERROR(__xludf.DUMMYFUNCTION("""COMPUTED_VALUE"""),202)</f>
        <v>202</v>
      </c>
      <c r="J278" s="1">
        <f ca="1">IFERROR(__xludf.DUMMYFUNCTION("""COMPUTED_VALUE"""),67.5)</f>
        <v>67.5</v>
      </c>
      <c r="K278" s="1">
        <f ca="1">IFERROR(__xludf.DUMMYFUNCTION("""COMPUTED_VALUE"""),38)</f>
        <v>38</v>
      </c>
      <c r="L278" s="1" t="str">
        <f ca="1">IFERROR(__xludf.DUMMYFUNCTION("""COMPUTED_VALUE"""),"+.030")</f>
        <v>+.030</v>
      </c>
      <c r="M278" s="1">
        <f ca="1">IFERROR(__xludf.DUMMYFUNCTION("""COMPUTED_VALUE"""),108)</f>
        <v>108</v>
      </c>
      <c r="N278" s="1">
        <f ca="1">IFERROR(__xludf.DUMMYFUNCTION("""COMPUTED_VALUE"""),-15.38)</f>
        <v>-15.38</v>
      </c>
      <c r="O278" s="1">
        <f ca="1">IFERROR(__xludf.DUMMYFUNCTION("""COMPUTED_VALUE"""),351)</f>
        <v>351</v>
      </c>
      <c r="P278" s="1">
        <f ca="1">IFERROR(__xludf.DUMMYFUNCTION("""COMPUTED_VALUE"""),94.7)</f>
        <v>94.7</v>
      </c>
      <c r="Q278" s="1">
        <f ca="1">IFERROR(__xludf.DUMMYFUNCTION("""COMPUTED_VALUE"""),351)</f>
        <v>351</v>
      </c>
      <c r="R278" s="1">
        <f ca="1">IFERROR(__xludf.DUMMYFUNCTION("""COMPUTED_VALUE"""),110.1)</f>
        <v>110.1</v>
      </c>
      <c r="S278" s="1">
        <f ca="1">IFERROR(__xludf.DUMMYFUNCTION("""COMPUTED_VALUE"""),351)</f>
        <v>351</v>
      </c>
      <c r="T278" s="1">
        <f ca="1">IFERROR(__xludf.DUMMYFUNCTION("""COMPUTED_VALUE"""),-2.6)</f>
        <v>-2.6</v>
      </c>
      <c r="U278" s="1">
        <f ca="1">IFERROR(__xludf.DUMMYFUNCTION("""COMPUTED_VALUE"""),241)</f>
        <v>241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IFERROR(__xludf.DUMMYFUNCTION("""COMPUTED_VALUE"""),"Siena")</f>
        <v>Siena</v>
      </c>
      <c r="C279" s="1" t="str">
        <f ca="1">IFERROR(__xludf.DUMMYFUNCTION("""COMPUTED_VALUE"""),"MAAC")</f>
        <v>MAAC</v>
      </c>
      <c r="D279" s="2">
        <f ca="1">IFERROR(__xludf.DUMMYFUNCTION("""COMPUTED_VALUE"""),44885)</f>
        <v>44885</v>
      </c>
      <c r="E279" s="1">
        <f ca="1">IFERROR(__xludf.DUMMYFUNCTION("""COMPUTED_VALUE"""),-8.31)</f>
        <v>-8.31</v>
      </c>
      <c r="F279" s="1">
        <f ca="1">IFERROR(__xludf.DUMMYFUNCTION("""COMPUTED_VALUE"""),105.7)</f>
        <v>105.7</v>
      </c>
      <c r="G279" s="1">
        <f ca="1">IFERROR(__xludf.DUMMYFUNCTION("""COMPUTED_VALUE"""),143)</f>
        <v>143</v>
      </c>
      <c r="H279" s="1">
        <f ca="1">IFERROR(__xludf.DUMMYFUNCTION("""COMPUTED_VALUE"""),114)</f>
        <v>114</v>
      </c>
      <c r="I279" s="1">
        <f ca="1">IFERROR(__xludf.DUMMYFUNCTION("""COMPUTED_VALUE"""),331)</f>
        <v>331</v>
      </c>
      <c r="J279" s="1">
        <f ca="1">IFERROR(__xludf.DUMMYFUNCTION("""COMPUTED_VALUE"""),66)</f>
        <v>66</v>
      </c>
      <c r="K279" s="1">
        <f ca="1">IFERROR(__xludf.DUMMYFUNCTION("""COMPUTED_VALUE"""),90)</f>
        <v>90</v>
      </c>
      <c r="L279" s="1">
        <f ca="1">IFERROR(__xludf.DUMMYFUNCTION("""COMPUTED_VALUE"""),-0.01)</f>
        <v>-0.01</v>
      </c>
      <c r="M279" s="1">
        <f ca="1">IFERROR(__xludf.DUMMYFUNCTION("""COMPUTED_VALUE"""),210)</f>
        <v>210</v>
      </c>
      <c r="N279" s="1">
        <f ca="1">IFERROR(__xludf.DUMMYFUNCTION("""COMPUTED_VALUE"""),-3.15)</f>
        <v>-3.15</v>
      </c>
      <c r="O279" s="1">
        <f ca="1">IFERROR(__xludf.DUMMYFUNCTION("""COMPUTED_VALUE"""),219)</f>
        <v>219</v>
      </c>
      <c r="P279" s="1">
        <f ca="1">IFERROR(__xludf.DUMMYFUNCTION("""COMPUTED_VALUE"""),101.8)</f>
        <v>101.8</v>
      </c>
      <c r="Q279" s="1">
        <f ca="1">IFERROR(__xludf.DUMMYFUNCTION("""COMPUTED_VALUE"""),282)</f>
        <v>282</v>
      </c>
      <c r="R279" s="1">
        <f ca="1">IFERROR(__xludf.DUMMYFUNCTION("""COMPUTED_VALUE"""),105)</f>
        <v>105</v>
      </c>
      <c r="S279" s="1">
        <f ca="1">IFERROR(__xludf.DUMMYFUNCTION("""COMPUTED_VALUE"""),180)</f>
        <v>180</v>
      </c>
      <c r="T279" s="1">
        <f ca="1">IFERROR(__xludf.DUMMYFUNCTION("""COMPUTED_VALUE"""),-0.81)</f>
        <v>-0.81</v>
      </c>
      <c r="U279" s="1">
        <f ca="1">IFERROR(__xludf.DUMMYFUNCTION("""COMPUTED_VALUE"""),183)</f>
        <v>183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IFERROR(__xludf.DUMMYFUNCTION("""COMPUTED_VALUE"""),"Weber St.")</f>
        <v>Weber St.</v>
      </c>
      <c r="C280" s="1" t="str">
        <f ca="1">IFERROR(__xludf.DUMMYFUNCTION("""COMPUTED_VALUE"""),"BSky")</f>
        <v>BSky</v>
      </c>
      <c r="D280" s="1" t="str">
        <f ca="1">IFERROR(__xludf.DUMMYFUNCTION("""COMPUTED_VALUE"""),"13-17")</f>
        <v>13-17</v>
      </c>
      <c r="E280" s="1">
        <f ca="1">IFERROR(__xludf.DUMMYFUNCTION("""COMPUTED_VALUE"""),-8.35)</f>
        <v>-8.35</v>
      </c>
      <c r="F280" s="1">
        <f ca="1">IFERROR(__xludf.DUMMYFUNCTION("""COMPUTED_VALUE"""),99.9)</f>
        <v>99.9</v>
      </c>
      <c r="G280" s="1">
        <f ca="1">IFERROR(__xludf.DUMMYFUNCTION("""COMPUTED_VALUE"""),257)</f>
        <v>257</v>
      </c>
      <c r="H280" s="1">
        <f ca="1">IFERROR(__xludf.DUMMYFUNCTION("""COMPUTED_VALUE"""),108.3)</f>
        <v>108.3</v>
      </c>
      <c r="I280" s="1">
        <f ca="1">IFERROR(__xludf.DUMMYFUNCTION("""COMPUTED_VALUE"""),252)</f>
        <v>252</v>
      </c>
      <c r="J280" s="1">
        <f ca="1">IFERROR(__xludf.DUMMYFUNCTION("""COMPUTED_VALUE"""),62.7)</f>
        <v>62.7</v>
      </c>
      <c r="K280" s="1">
        <f ca="1">IFERROR(__xludf.DUMMYFUNCTION("""COMPUTED_VALUE"""),265)</f>
        <v>265</v>
      </c>
      <c r="L280" s="1" t="str">
        <f ca="1">IFERROR(__xludf.DUMMYFUNCTION("""COMPUTED_VALUE"""),"+.040")</f>
        <v>+.040</v>
      </c>
      <c r="M280" s="1">
        <f ca="1">IFERROR(__xludf.DUMMYFUNCTION("""COMPUTED_VALUE"""),79)</f>
        <v>79</v>
      </c>
      <c r="N280" s="1">
        <f ca="1">IFERROR(__xludf.DUMMYFUNCTION("""COMPUTED_VALUE"""),-3.71)</f>
        <v>-3.71</v>
      </c>
      <c r="O280" s="1">
        <f ca="1">IFERROR(__xludf.DUMMYFUNCTION("""COMPUTED_VALUE"""),237)</f>
        <v>237</v>
      </c>
      <c r="P280" s="1">
        <f ca="1">IFERROR(__xludf.DUMMYFUNCTION("""COMPUTED_VALUE"""),104.1)</f>
        <v>104.1</v>
      </c>
      <c r="Q280" s="1">
        <f ca="1">IFERROR(__xludf.DUMMYFUNCTION("""COMPUTED_VALUE"""),156)</f>
        <v>156</v>
      </c>
      <c r="R280" s="1">
        <f ca="1">IFERROR(__xludf.DUMMYFUNCTION("""COMPUTED_VALUE"""),107.8)</f>
        <v>107.8</v>
      </c>
      <c r="S280" s="1">
        <f ca="1">IFERROR(__xludf.DUMMYFUNCTION("""COMPUTED_VALUE"""),309)</f>
        <v>309</v>
      </c>
      <c r="T280" s="1" t="str">
        <f ca="1">IFERROR(__xludf.DUMMYFUNCTION("""COMPUTED_VALUE"""),"+4.19")</f>
        <v>+4.19</v>
      </c>
      <c r="U280" s="1">
        <f ca="1">IFERROR(__xludf.DUMMYFUNCTION("""COMPUTED_VALUE"""),42)</f>
        <v>42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IFERROR(__xludf.DUMMYFUNCTION("""COMPUTED_VALUE"""),"Towson")</f>
        <v>Towson</v>
      </c>
      <c r="C281" s="1" t="str">
        <f ca="1">IFERROR(__xludf.DUMMYFUNCTION("""COMPUTED_VALUE"""),"CAA")</f>
        <v>CAA</v>
      </c>
      <c r="D281" s="2">
        <f ca="1">IFERROR(__xludf.DUMMYFUNCTION("""COMPUTED_VALUE"""),44915)</f>
        <v>44915</v>
      </c>
      <c r="E281" s="1">
        <f ca="1">IFERROR(__xludf.DUMMYFUNCTION("""COMPUTED_VALUE"""),-8.38)</f>
        <v>-8.3800000000000008</v>
      </c>
      <c r="F281" s="1">
        <f ca="1">IFERROR(__xludf.DUMMYFUNCTION("""COMPUTED_VALUE"""),100.9)</f>
        <v>100.9</v>
      </c>
      <c r="G281" s="1">
        <f ca="1">IFERROR(__xludf.DUMMYFUNCTION("""COMPUTED_VALUE"""),240)</f>
        <v>240</v>
      </c>
      <c r="H281" s="1">
        <f ca="1">IFERROR(__xludf.DUMMYFUNCTION("""COMPUTED_VALUE"""),109.3)</f>
        <v>109.3</v>
      </c>
      <c r="I281" s="1">
        <f ca="1">IFERROR(__xludf.DUMMYFUNCTION("""COMPUTED_VALUE"""),273)</f>
        <v>273</v>
      </c>
      <c r="J281" s="1">
        <f ca="1">IFERROR(__xludf.DUMMYFUNCTION("""COMPUTED_VALUE"""),60.3)</f>
        <v>60.3</v>
      </c>
      <c r="K281" s="1">
        <f ca="1">IFERROR(__xludf.DUMMYFUNCTION("""COMPUTED_VALUE"""),334)</f>
        <v>334</v>
      </c>
      <c r="L281" s="1">
        <f ca="1">IFERROR(__xludf.DUMMYFUNCTION("""COMPUTED_VALUE"""),-0.025)</f>
        <v>-2.5000000000000001E-2</v>
      </c>
      <c r="M281" s="1">
        <f ca="1">IFERROR(__xludf.DUMMYFUNCTION("""COMPUTED_VALUE"""),241)</f>
        <v>241</v>
      </c>
      <c r="N281" s="1">
        <f ca="1">IFERROR(__xludf.DUMMYFUNCTION("""COMPUTED_VALUE"""),-4.15)</f>
        <v>-4.1500000000000004</v>
      </c>
      <c r="O281" s="1">
        <f ca="1">IFERROR(__xludf.DUMMYFUNCTION("""COMPUTED_VALUE"""),253)</f>
        <v>253</v>
      </c>
      <c r="P281" s="1">
        <f ca="1">IFERROR(__xludf.DUMMYFUNCTION("""COMPUTED_VALUE"""),102.1)</f>
        <v>102.1</v>
      </c>
      <c r="Q281" s="1">
        <f ca="1">IFERROR(__xludf.DUMMYFUNCTION("""COMPUTED_VALUE"""),263)</f>
        <v>263</v>
      </c>
      <c r="R281" s="1">
        <f ca="1">IFERROR(__xludf.DUMMYFUNCTION("""COMPUTED_VALUE"""),106.3)</f>
        <v>106.3</v>
      </c>
      <c r="S281" s="1">
        <f ca="1">IFERROR(__xludf.DUMMYFUNCTION("""COMPUTED_VALUE"""),244)</f>
        <v>244</v>
      </c>
      <c r="T281" s="1">
        <f ca="1">IFERROR(__xludf.DUMMYFUNCTION("""COMPUTED_VALUE"""),-5.78)</f>
        <v>-5.78</v>
      </c>
      <c r="U281" s="1">
        <f ca="1">IFERROR(__xludf.DUMMYFUNCTION("""COMPUTED_VALUE"""),319)</f>
        <v>319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IFERROR(__xludf.DUMMYFUNCTION("""COMPUTED_VALUE"""),"Brown")</f>
        <v>Brown</v>
      </c>
      <c r="C282" s="1" t="str">
        <f ca="1">IFERROR(__xludf.DUMMYFUNCTION("""COMPUTED_VALUE"""),"Ivy")</f>
        <v>Ivy</v>
      </c>
      <c r="D282" s="1" t="str">
        <f ca="1">IFERROR(__xludf.DUMMYFUNCTION("""COMPUTED_VALUE"""),"13-18")</f>
        <v>13-18</v>
      </c>
      <c r="E282" s="1">
        <f ca="1">IFERROR(__xludf.DUMMYFUNCTION("""COMPUTED_VALUE"""),-8.42)</f>
        <v>-8.42</v>
      </c>
      <c r="F282" s="1">
        <f ca="1">IFERROR(__xludf.DUMMYFUNCTION("""COMPUTED_VALUE"""),99.4)</f>
        <v>99.4</v>
      </c>
      <c r="G282" s="1">
        <f ca="1">IFERROR(__xludf.DUMMYFUNCTION("""COMPUTED_VALUE"""),265)</f>
        <v>265</v>
      </c>
      <c r="H282" s="1">
        <f ca="1">IFERROR(__xludf.DUMMYFUNCTION("""COMPUTED_VALUE"""),107.8)</f>
        <v>107.8</v>
      </c>
      <c r="I282" s="1">
        <f ca="1">IFERROR(__xludf.DUMMYFUNCTION("""COMPUTED_VALUE"""),238)</f>
        <v>238</v>
      </c>
      <c r="J282" s="1">
        <f ca="1">IFERROR(__xludf.DUMMYFUNCTION("""COMPUTED_VALUE"""),67.4)</f>
        <v>67.400000000000006</v>
      </c>
      <c r="K282" s="1">
        <f ca="1">IFERROR(__xludf.DUMMYFUNCTION("""COMPUTED_VALUE"""),40)</f>
        <v>40</v>
      </c>
      <c r="L282" s="1" t="str">
        <f ca="1">IFERROR(__xludf.DUMMYFUNCTION("""COMPUTED_VALUE"""),"+.049")</f>
        <v>+.049</v>
      </c>
      <c r="M282" s="1">
        <f ca="1">IFERROR(__xludf.DUMMYFUNCTION("""COMPUTED_VALUE"""),67)</f>
        <v>67</v>
      </c>
      <c r="N282" s="1">
        <f ca="1">IFERROR(__xludf.DUMMYFUNCTION("""COMPUTED_VALUE"""),-1.94)</f>
        <v>-1.94</v>
      </c>
      <c r="O282" s="1">
        <f ca="1">IFERROR(__xludf.DUMMYFUNCTION("""COMPUTED_VALUE"""),188)</f>
        <v>188</v>
      </c>
      <c r="P282" s="1">
        <f ca="1">IFERROR(__xludf.DUMMYFUNCTION("""COMPUTED_VALUE"""),102.2)</f>
        <v>102.2</v>
      </c>
      <c r="Q282" s="1">
        <f ca="1">IFERROR(__xludf.DUMMYFUNCTION("""COMPUTED_VALUE"""),259)</f>
        <v>259</v>
      </c>
      <c r="R282" s="1">
        <f ca="1">IFERROR(__xludf.DUMMYFUNCTION("""COMPUTED_VALUE"""),104.1)</f>
        <v>104.1</v>
      </c>
      <c r="S282" s="1">
        <f ca="1">IFERROR(__xludf.DUMMYFUNCTION("""COMPUTED_VALUE"""),145)</f>
        <v>145</v>
      </c>
      <c r="T282" s="1">
        <f ca="1">IFERROR(__xludf.DUMMYFUNCTION("""COMPUTED_VALUE"""),-3.82)</f>
        <v>-3.82</v>
      </c>
      <c r="U282" s="1">
        <f ca="1">IFERROR(__xludf.DUMMYFUNCTION("""COMPUTED_VALUE"""),276)</f>
        <v>276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IFERROR(__xludf.DUMMYFUNCTION("""COMPUTED_VALUE"""),"Cal St. Northridge")</f>
        <v>Cal St. Northridge</v>
      </c>
      <c r="C283" s="1" t="str">
        <f ca="1">IFERROR(__xludf.DUMMYFUNCTION("""COMPUTED_VALUE"""),"BW")</f>
        <v>BW</v>
      </c>
      <c r="D283" s="2">
        <f ca="1">IFERROR(__xludf.DUMMYFUNCTION("""COMPUTED_VALUE"""),44828)</f>
        <v>44828</v>
      </c>
      <c r="E283" s="1">
        <f ca="1">IFERROR(__xludf.DUMMYFUNCTION("""COMPUTED_VALUE"""),-8.44)</f>
        <v>-8.44</v>
      </c>
      <c r="F283" s="1">
        <f ca="1">IFERROR(__xludf.DUMMYFUNCTION("""COMPUTED_VALUE"""),100.8)</f>
        <v>100.8</v>
      </c>
      <c r="G283" s="1">
        <f ca="1">IFERROR(__xludf.DUMMYFUNCTION("""COMPUTED_VALUE"""),242)</f>
        <v>242</v>
      </c>
      <c r="H283" s="1">
        <f ca="1">IFERROR(__xludf.DUMMYFUNCTION("""COMPUTED_VALUE"""),109.2)</f>
        <v>109.2</v>
      </c>
      <c r="I283" s="1">
        <f ca="1">IFERROR(__xludf.DUMMYFUNCTION("""COMPUTED_VALUE"""),270)</f>
        <v>270</v>
      </c>
      <c r="J283" s="1">
        <f ca="1">IFERROR(__xludf.DUMMYFUNCTION("""COMPUTED_VALUE"""),64.8)</f>
        <v>64.8</v>
      </c>
      <c r="K283" s="1">
        <f ca="1">IFERROR(__xludf.DUMMYFUNCTION("""COMPUTED_VALUE"""),145)</f>
        <v>145</v>
      </c>
      <c r="L283" s="1">
        <f ca="1">IFERROR(__xludf.DUMMYFUNCTION("""COMPUTED_VALUE"""),-0.041)</f>
        <v>-4.1000000000000002E-2</v>
      </c>
      <c r="M283" s="1">
        <f ca="1">IFERROR(__xludf.DUMMYFUNCTION("""COMPUTED_VALUE"""),273)</f>
        <v>273</v>
      </c>
      <c r="N283" s="1" t="str">
        <f ca="1">IFERROR(__xludf.DUMMYFUNCTION("""COMPUTED_VALUE"""),"+0.92")</f>
        <v>+0.92</v>
      </c>
      <c r="O283" s="1">
        <f ca="1">IFERROR(__xludf.DUMMYFUNCTION("""COMPUTED_VALUE"""),124)</f>
        <v>124</v>
      </c>
      <c r="P283" s="1">
        <f ca="1">IFERROR(__xludf.DUMMYFUNCTION("""COMPUTED_VALUE"""),104.6)</f>
        <v>104.6</v>
      </c>
      <c r="Q283" s="1">
        <f ca="1">IFERROR(__xludf.DUMMYFUNCTION("""COMPUTED_VALUE"""),125)</f>
        <v>125</v>
      </c>
      <c r="R283" s="1">
        <f ca="1">IFERROR(__xludf.DUMMYFUNCTION("""COMPUTED_VALUE"""),103.6)</f>
        <v>103.6</v>
      </c>
      <c r="S283" s="1">
        <f ca="1">IFERROR(__xludf.DUMMYFUNCTION("""COMPUTED_VALUE"""),122)</f>
        <v>122</v>
      </c>
      <c r="T283" s="1" t="str">
        <f ca="1">IFERROR(__xludf.DUMMYFUNCTION("""COMPUTED_VALUE"""),"+0.57")</f>
        <v>+0.57</v>
      </c>
      <c r="U283" s="1">
        <f ca="1">IFERROR(__xludf.DUMMYFUNCTION("""COMPUTED_VALUE"""),139)</f>
        <v>139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IFERROR(__xludf.DUMMYFUNCTION("""COMPUTED_VALUE"""),"Nevada")</f>
        <v>Nevada</v>
      </c>
      <c r="C284" s="1" t="str">
        <f ca="1">IFERROR(__xludf.DUMMYFUNCTION("""COMPUTED_VALUE"""),"MWC")</f>
        <v>MWC</v>
      </c>
      <c r="D284" s="2">
        <f ca="1">IFERROR(__xludf.DUMMYFUNCTION("""COMPUTED_VALUE"""),44826)</f>
        <v>44826</v>
      </c>
      <c r="E284" s="1">
        <f ca="1">IFERROR(__xludf.DUMMYFUNCTION("""COMPUTED_VALUE"""),-8.54)</f>
        <v>-8.5399999999999991</v>
      </c>
      <c r="F284" s="1">
        <f ca="1">IFERROR(__xludf.DUMMYFUNCTION("""COMPUTED_VALUE"""),97.8)</f>
        <v>97.8</v>
      </c>
      <c r="G284" s="1">
        <f ca="1">IFERROR(__xludf.DUMMYFUNCTION("""COMPUTED_VALUE"""),289)</f>
        <v>289</v>
      </c>
      <c r="H284" s="1">
        <f ca="1">IFERROR(__xludf.DUMMYFUNCTION("""COMPUTED_VALUE"""),106.4)</f>
        <v>106.4</v>
      </c>
      <c r="I284" s="1">
        <f ca="1">IFERROR(__xludf.DUMMYFUNCTION("""COMPUTED_VALUE"""),209)</f>
        <v>209</v>
      </c>
      <c r="J284" s="1">
        <f ca="1">IFERROR(__xludf.DUMMYFUNCTION("""COMPUTED_VALUE"""),63.7)</f>
        <v>63.7</v>
      </c>
      <c r="K284" s="1">
        <f ca="1">IFERROR(__xludf.DUMMYFUNCTION("""COMPUTED_VALUE"""),206)</f>
        <v>206</v>
      </c>
      <c r="L284" s="1">
        <f ca="1">IFERROR(__xludf.DUMMYFUNCTION("""COMPUTED_VALUE"""),-0.083)</f>
        <v>-8.3000000000000004E-2</v>
      </c>
      <c r="M284" s="1">
        <f ca="1">IFERROR(__xludf.DUMMYFUNCTION("""COMPUTED_VALUE"""),333)</f>
        <v>333</v>
      </c>
      <c r="N284" s="1" t="str">
        <f ca="1">IFERROR(__xludf.DUMMYFUNCTION("""COMPUTED_VALUE"""),"+0.53")</f>
        <v>+0.53</v>
      </c>
      <c r="O284" s="1">
        <f ca="1">IFERROR(__xludf.DUMMYFUNCTION("""COMPUTED_VALUE"""),133)</f>
        <v>133</v>
      </c>
      <c r="P284" s="1">
        <f ca="1">IFERROR(__xludf.DUMMYFUNCTION("""COMPUTED_VALUE"""),103.8)</f>
        <v>103.8</v>
      </c>
      <c r="Q284" s="1">
        <f ca="1">IFERROR(__xludf.DUMMYFUNCTION("""COMPUTED_VALUE"""),169)</f>
        <v>169</v>
      </c>
      <c r="R284" s="1">
        <f ca="1">IFERROR(__xludf.DUMMYFUNCTION("""COMPUTED_VALUE"""),103.3)</f>
        <v>103.3</v>
      </c>
      <c r="S284" s="1">
        <f ca="1">IFERROR(__xludf.DUMMYFUNCTION("""COMPUTED_VALUE"""),111)</f>
        <v>111</v>
      </c>
      <c r="T284" s="1">
        <f ca="1">IFERROR(__xludf.DUMMYFUNCTION("""COMPUTED_VALUE"""),-2.98)</f>
        <v>-2.98</v>
      </c>
      <c r="U284" s="1">
        <f ca="1">IFERROR(__xludf.DUMMYFUNCTION("""COMPUTED_VALUE"""),250)</f>
        <v>250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IFERROR(__xludf.DUMMYFUNCTION("""COMPUTED_VALUE"""),"Loyola Marymount")</f>
        <v>Loyola Marymount</v>
      </c>
      <c r="C285" s="1" t="str">
        <f ca="1">IFERROR(__xludf.DUMMYFUNCTION("""COMPUTED_VALUE"""),"WCC")</f>
        <v>WCC</v>
      </c>
      <c r="D285" s="2">
        <f ca="1">IFERROR(__xludf.DUMMYFUNCTION("""COMPUTED_VALUE"""),44796)</f>
        <v>44796</v>
      </c>
      <c r="E285" s="1">
        <f ca="1">IFERROR(__xludf.DUMMYFUNCTION("""COMPUTED_VALUE"""),-8.56)</f>
        <v>-8.56</v>
      </c>
      <c r="F285" s="1">
        <f ca="1">IFERROR(__xludf.DUMMYFUNCTION("""COMPUTED_VALUE"""),103)</f>
        <v>103</v>
      </c>
      <c r="G285" s="1">
        <f ca="1">IFERROR(__xludf.DUMMYFUNCTION("""COMPUTED_VALUE"""),199)</f>
        <v>199</v>
      </c>
      <c r="H285" s="1">
        <f ca="1">IFERROR(__xludf.DUMMYFUNCTION("""COMPUTED_VALUE"""),111.6)</f>
        <v>111.6</v>
      </c>
      <c r="I285" s="1">
        <f ca="1">IFERROR(__xludf.DUMMYFUNCTION("""COMPUTED_VALUE"""),314)</f>
        <v>314</v>
      </c>
      <c r="J285" s="1">
        <f ca="1">IFERROR(__xludf.DUMMYFUNCTION("""COMPUTED_VALUE"""),62.3)</f>
        <v>62.3</v>
      </c>
      <c r="K285" s="1">
        <f ca="1">IFERROR(__xludf.DUMMYFUNCTION("""COMPUTED_VALUE"""),280)</f>
        <v>280</v>
      </c>
      <c r="L285" s="1" t="str">
        <f ca="1">IFERROR(__xludf.DUMMYFUNCTION("""COMPUTED_VALUE"""),"+.024")</f>
        <v>+.024</v>
      </c>
      <c r="M285" s="1">
        <f ca="1">IFERROR(__xludf.DUMMYFUNCTION("""COMPUTED_VALUE"""),124)</f>
        <v>124</v>
      </c>
      <c r="N285" s="1" t="str">
        <f ca="1">IFERROR(__xludf.DUMMYFUNCTION("""COMPUTED_VALUE"""),"+5.36")</f>
        <v>+5.36</v>
      </c>
      <c r="O285" s="1">
        <f ca="1">IFERROR(__xludf.DUMMYFUNCTION("""COMPUTED_VALUE"""),73)</f>
        <v>73</v>
      </c>
      <c r="P285" s="1">
        <f ca="1">IFERROR(__xludf.DUMMYFUNCTION("""COMPUTED_VALUE"""),107.5)</f>
        <v>107.5</v>
      </c>
      <c r="Q285" s="1">
        <f ca="1">IFERROR(__xludf.DUMMYFUNCTION("""COMPUTED_VALUE"""),60)</f>
        <v>60</v>
      </c>
      <c r="R285" s="1">
        <f ca="1">IFERROR(__xludf.DUMMYFUNCTION("""COMPUTED_VALUE"""),102.2)</f>
        <v>102.2</v>
      </c>
      <c r="S285" s="1">
        <f ca="1">IFERROR(__xludf.DUMMYFUNCTION("""COMPUTED_VALUE"""),88)</f>
        <v>88</v>
      </c>
      <c r="T285" s="1" t="str">
        <f ca="1">IFERROR(__xludf.DUMMYFUNCTION("""COMPUTED_VALUE"""),"+5.16")</f>
        <v>+5.16</v>
      </c>
      <c r="U285" s="1">
        <f ca="1">IFERROR(__xludf.DUMMYFUNCTION("""COMPUTED_VALUE"""),32)</f>
        <v>32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IFERROR(__xludf.DUMMYFUNCTION("""COMPUTED_VALUE"""),"FIU")</f>
        <v>FIU</v>
      </c>
      <c r="C286" s="1" t="str">
        <f ca="1">IFERROR(__xludf.DUMMYFUNCTION("""COMPUTED_VALUE"""),"CUSA")</f>
        <v>CUSA</v>
      </c>
      <c r="D286" s="1" t="str">
        <f ca="1">IFERROR(__xludf.DUMMYFUNCTION("""COMPUTED_VALUE"""),"16-17")</f>
        <v>16-17</v>
      </c>
      <c r="E286" s="1">
        <f ca="1">IFERROR(__xludf.DUMMYFUNCTION("""COMPUTED_VALUE"""),-8.57)</f>
        <v>-8.57</v>
      </c>
      <c r="F286" s="1">
        <f ca="1">IFERROR(__xludf.DUMMYFUNCTION("""COMPUTED_VALUE"""),96)</f>
        <v>96</v>
      </c>
      <c r="G286" s="1">
        <f ca="1">IFERROR(__xludf.DUMMYFUNCTION("""COMPUTED_VALUE"""),310)</f>
        <v>310</v>
      </c>
      <c r="H286" s="1">
        <f ca="1">IFERROR(__xludf.DUMMYFUNCTION("""COMPUTED_VALUE"""),104.6)</f>
        <v>104.6</v>
      </c>
      <c r="I286" s="1">
        <f ca="1">IFERROR(__xludf.DUMMYFUNCTION("""COMPUTED_VALUE"""),174)</f>
        <v>174</v>
      </c>
      <c r="J286" s="1">
        <f ca="1">IFERROR(__xludf.DUMMYFUNCTION("""COMPUTED_VALUE"""),64.6)</f>
        <v>64.599999999999994</v>
      </c>
      <c r="K286" s="1">
        <f ca="1">IFERROR(__xludf.DUMMYFUNCTION("""COMPUTED_VALUE"""),159)</f>
        <v>159</v>
      </c>
      <c r="L286" s="1" t="str">
        <f ca="1">IFERROR(__xludf.DUMMYFUNCTION("""COMPUTED_VALUE"""),"+.090")</f>
        <v>+.090</v>
      </c>
      <c r="M286" s="1">
        <f ca="1">IFERROR(__xludf.DUMMYFUNCTION("""COMPUTED_VALUE"""),14)</f>
        <v>14</v>
      </c>
      <c r="N286" s="1">
        <f ca="1">IFERROR(__xludf.DUMMYFUNCTION("""COMPUTED_VALUE"""),-3.13)</f>
        <v>-3.13</v>
      </c>
      <c r="O286" s="1">
        <f ca="1">IFERROR(__xludf.DUMMYFUNCTION("""COMPUTED_VALUE"""),217)</f>
        <v>217</v>
      </c>
      <c r="P286" s="1">
        <f ca="1">IFERROR(__xludf.DUMMYFUNCTION("""COMPUTED_VALUE"""),101.8)</f>
        <v>101.8</v>
      </c>
      <c r="Q286" s="1">
        <f ca="1">IFERROR(__xludf.DUMMYFUNCTION("""COMPUTED_VALUE"""),288)</f>
        <v>288</v>
      </c>
      <c r="R286" s="1">
        <f ca="1">IFERROR(__xludf.DUMMYFUNCTION("""COMPUTED_VALUE"""),104.9)</f>
        <v>104.9</v>
      </c>
      <c r="S286" s="1">
        <f ca="1">IFERROR(__xludf.DUMMYFUNCTION("""COMPUTED_VALUE"""),177)</f>
        <v>177</v>
      </c>
      <c r="T286" s="1">
        <f ca="1">IFERROR(__xludf.DUMMYFUNCTION("""COMPUTED_VALUE"""),-5.58)</f>
        <v>-5.58</v>
      </c>
      <c r="U286" s="1">
        <f ca="1">IFERROR(__xludf.DUMMYFUNCTION("""COMPUTED_VALUE"""),315)</f>
        <v>315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IFERROR(__xludf.DUMMYFUNCTION("""COMPUTED_VALUE"""),"Youngstown St.")</f>
        <v>Youngstown St.</v>
      </c>
      <c r="C287" s="1" t="str">
        <f ca="1">IFERROR(__xludf.DUMMYFUNCTION("""COMPUTED_VALUE"""),"Horz")</f>
        <v>Horz</v>
      </c>
      <c r="D287" s="2">
        <f ca="1">IFERROR(__xludf.DUMMYFUNCTION("""COMPUTED_VALUE"""),44886)</f>
        <v>44886</v>
      </c>
      <c r="E287" s="1">
        <f ca="1">IFERROR(__xludf.DUMMYFUNCTION("""COMPUTED_VALUE"""),-8.93)</f>
        <v>-8.93</v>
      </c>
      <c r="F287" s="1">
        <f ca="1">IFERROR(__xludf.DUMMYFUNCTION("""COMPUTED_VALUE"""),106)</f>
        <v>106</v>
      </c>
      <c r="G287" s="1">
        <f ca="1">IFERROR(__xludf.DUMMYFUNCTION("""COMPUTED_VALUE"""),135)</f>
        <v>135</v>
      </c>
      <c r="H287" s="1">
        <f ca="1">IFERROR(__xludf.DUMMYFUNCTION("""COMPUTED_VALUE"""),114.9)</f>
        <v>114.9</v>
      </c>
      <c r="I287" s="1">
        <f ca="1">IFERROR(__xludf.DUMMYFUNCTION("""COMPUTED_VALUE"""),337)</f>
        <v>337</v>
      </c>
      <c r="J287" s="1">
        <f ca="1">IFERROR(__xludf.DUMMYFUNCTION("""COMPUTED_VALUE"""),67)</f>
        <v>67</v>
      </c>
      <c r="K287" s="1">
        <f ca="1">IFERROR(__xludf.DUMMYFUNCTION("""COMPUTED_VALUE"""),55)</f>
        <v>55</v>
      </c>
      <c r="L287" s="1" t="str">
        <f ca="1">IFERROR(__xludf.DUMMYFUNCTION("""COMPUTED_VALUE"""),"+.013")</f>
        <v>+.013</v>
      </c>
      <c r="M287" s="1">
        <f ca="1">IFERROR(__xludf.DUMMYFUNCTION("""COMPUTED_VALUE"""),152)</f>
        <v>152</v>
      </c>
      <c r="N287" s="1">
        <f ca="1">IFERROR(__xludf.DUMMYFUNCTION("""COMPUTED_VALUE"""),-0.54)</f>
        <v>-0.54</v>
      </c>
      <c r="O287" s="1">
        <f ca="1">IFERROR(__xludf.DUMMYFUNCTION("""COMPUTED_VALUE"""),152)</f>
        <v>152</v>
      </c>
      <c r="P287" s="1">
        <f ca="1">IFERROR(__xludf.DUMMYFUNCTION("""COMPUTED_VALUE"""),104.2)</f>
        <v>104.2</v>
      </c>
      <c r="Q287" s="1">
        <f ca="1">IFERROR(__xludf.DUMMYFUNCTION("""COMPUTED_VALUE"""),152)</f>
        <v>152</v>
      </c>
      <c r="R287" s="1">
        <f ca="1">IFERROR(__xludf.DUMMYFUNCTION("""COMPUTED_VALUE"""),104.7)</f>
        <v>104.7</v>
      </c>
      <c r="S287" s="1">
        <f ca="1">IFERROR(__xludf.DUMMYFUNCTION("""COMPUTED_VALUE"""),171)</f>
        <v>171</v>
      </c>
      <c r="T287" s="1">
        <f ca="1">IFERROR(__xludf.DUMMYFUNCTION("""COMPUTED_VALUE"""),-1.93)</f>
        <v>-1.93</v>
      </c>
      <c r="U287" s="1">
        <f ca="1">IFERROR(__xludf.DUMMYFUNCTION("""COMPUTED_VALUE"""),219)</f>
        <v>219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IFERROR(__xludf.DUMMYFUNCTION("""COMPUTED_VALUE"""),"South Florida")</f>
        <v>South Florida</v>
      </c>
      <c r="C288" s="1" t="str">
        <f ca="1">IFERROR(__xludf.DUMMYFUNCTION("""COMPUTED_VALUE"""),"Amer")</f>
        <v>Amer</v>
      </c>
      <c r="D288" s="2">
        <f ca="1">IFERROR(__xludf.DUMMYFUNCTION("""COMPUTED_VALUE"""),44827)</f>
        <v>44827</v>
      </c>
      <c r="E288" s="1">
        <f ca="1">IFERROR(__xludf.DUMMYFUNCTION("""COMPUTED_VALUE"""),-9.02)</f>
        <v>-9.02</v>
      </c>
      <c r="F288" s="1">
        <f ca="1">IFERROR(__xludf.DUMMYFUNCTION("""COMPUTED_VALUE"""),99.2)</f>
        <v>99.2</v>
      </c>
      <c r="G288" s="1">
        <f ca="1">IFERROR(__xludf.DUMMYFUNCTION("""COMPUTED_VALUE"""),267)</f>
        <v>267</v>
      </c>
      <c r="H288" s="1">
        <f ca="1">IFERROR(__xludf.DUMMYFUNCTION("""COMPUTED_VALUE"""),108.3)</f>
        <v>108.3</v>
      </c>
      <c r="I288" s="1">
        <f ca="1">IFERROR(__xludf.DUMMYFUNCTION("""COMPUTED_VALUE"""),251)</f>
        <v>251</v>
      </c>
      <c r="J288" s="1">
        <f ca="1">IFERROR(__xludf.DUMMYFUNCTION("""COMPUTED_VALUE"""),63.7)</f>
        <v>63.7</v>
      </c>
      <c r="K288" s="1">
        <f ca="1">IFERROR(__xludf.DUMMYFUNCTION("""COMPUTED_VALUE"""),212)</f>
        <v>212</v>
      </c>
      <c r="L288" s="1">
        <f ca="1">IFERROR(__xludf.DUMMYFUNCTION("""COMPUTED_VALUE"""),-0.024)</f>
        <v>-2.4E-2</v>
      </c>
      <c r="M288" s="1">
        <f ca="1">IFERROR(__xludf.DUMMYFUNCTION("""COMPUTED_VALUE"""),237)</f>
        <v>237</v>
      </c>
      <c r="N288" s="1" t="str">
        <f ca="1">IFERROR(__xludf.DUMMYFUNCTION("""COMPUTED_VALUE"""),"+2.00")</f>
        <v>+2.00</v>
      </c>
      <c r="O288" s="1">
        <f ca="1">IFERROR(__xludf.DUMMYFUNCTION("""COMPUTED_VALUE"""),106)</f>
        <v>106</v>
      </c>
      <c r="P288" s="1">
        <f ca="1">IFERROR(__xludf.DUMMYFUNCTION("""COMPUTED_VALUE"""),104.3)</f>
        <v>104.3</v>
      </c>
      <c r="Q288" s="1">
        <f ca="1">IFERROR(__xludf.DUMMYFUNCTION("""COMPUTED_VALUE"""),143)</f>
        <v>143</v>
      </c>
      <c r="R288" s="1">
        <f ca="1">IFERROR(__xludf.DUMMYFUNCTION("""COMPUTED_VALUE"""),102.3)</f>
        <v>102.3</v>
      </c>
      <c r="S288" s="1">
        <f ca="1">IFERROR(__xludf.DUMMYFUNCTION("""COMPUTED_VALUE"""),91)</f>
        <v>91</v>
      </c>
      <c r="T288" s="1">
        <f ca="1">IFERROR(__xludf.DUMMYFUNCTION("""COMPUTED_VALUE"""),-0.91)</f>
        <v>-0.91</v>
      </c>
      <c r="U288" s="1">
        <f ca="1">IFERROR(__xludf.DUMMYFUNCTION("""COMPUTED_VALUE"""),185)</f>
        <v>185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IFERROR(__xludf.DUMMYFUNCTION("""COMPUTED_VALUE"""),"Drake")</f>
        <v>Drake</v>
      </c>
      <c r="C289" s="1" t="str">
        <f ca="1">IFERROR(__xludf.DUMMYFUNCTION("""COMPUTED_VALUE"""),"MVC")</f>
        <v>MVC</v>
      </c>
      <c r="D289" s="2">
        <f ca="1">IFERROR(__xludf.DUMMYFUNCTION("""COMPUTED_VALUE"""),44826)</f>
        <v>44826</v>
      </c>
      <c r="E289" s="1">
        <f ca="1">IFERROR(__xludf.DUMMYFUNCTION("""COMPUTED_VALUE"""),-9.03)</f>
        <v>-9.0299999999999994</v>
      </c>
      <c r="F289" s="1">
        <f ca="1">IFERROR(__xludf.DUMMYFUNCTION("""COMPUTED_VALUE"""),105.3)</f>
        <v>105.3</v>
      </c>
      <c r="G289" s="1">
        <f ca="1">IFERROR(__xludf.DUMMYFUNCTION("""COMPUTED_VALUE"""),157)</f>
        <v>157</v>
      </c>
      <c r="H289" s="1">
        <f ca="1">IFERROR(__xludf.DUMMYFUNCTION("""COMPUTED_VALUE"""),114.3)</f>
        <v>114.3</v>
      </c>
      <c r="I289" s="1">
        <f ca="1">IFERROR(__xludf.DUMMYFUNCTION("""COMPUTED_VALUE"""),333)</f>
        <v>333</v>
      </c>
      <c r="J289" s="1">
        <f ca="1">IFERROR(__xludf.DUMMYFUNCTION("""COMPUTED_VALUE"""),58.9)</f>
        <v>58.9</v>
      </c>
      <c r="K289" s="1">
        <f ca="1">IFERROR(__xludf.DUMMYFUNCTION("""COMPUTED_VALUE"""),344)</f>
        <v>344</v>
      </c>
      <c r="L289" s="1">
        <f ca="1">IFERROR(__xludf.DUMMYFUNCTION("""COMPUTED_VALUE"""),-0.027)</f>
        <v>-2.7E-2</v>
      </c>
      <c r="M289" s="1">
        <f ca="1">IFERROR(__xludf.DUMMYFUNCTION("""COMPUTED_VALUE"""),245)</f>
        <v>245</v>
      </c>
      <c r="N289" s="1" t="str">
        <f ca="1">IFERROR(__xludf.DUMMYFUNCTION("""COMPUTED_VALUE"""),"+2.66")</f>
        <v>+2.66</v>
      </c>
      <c r="O289" s="1">
        <f ca="1">IFERROR(__xludf.DUMMYFUNCTION("""COMPUTED_VALUE"""),97)</f>
        <v>97</v>
      </c>
      <c r="P289" s="1">
        <f ca="1">IFERROR(__xludf.DUMMYFUNCTION("""COMPUTED_VALUE"""),104.5)</f>
        <v>104.5</v>
      </c>
      <c r="Q289" s="1">
        <f ca="1">IFERROR(__xludf.DUMMYFUNCTION("""COMPUTED_VALUE"""),126)</f>
        <v>126</v>
      </c>
      <c r="R289" s="1">
        <f ca="1">IFERROR(__xludf.DUMMYFUNCTION("""COMPUTED_VALUE"""),101.9)</f>
        <v>101.9</v>
      </c>
      <c r="S289" s="1">
        <f ca="1">IFERROR(__xludf.DUMMYFUNCTION("""COMPUTED_VALUE"""),79)</f>
        <v>79</v>
      </c>
      <c r="T289" s="1" t="str">
        <f ca="1">IFERROR(__xludf.DUMMYFUNCTION("""COMPUTED_VALUE"""),"+2.05")</f>
        <v>+2.05</v>
      </c>
      <c r="U289" s="1">
        <f ca="1">IFERROR(__xludf.DUMMYFUNCTION("""COMPUTED_VALUE"""),96)</f>
        <v>96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IFERROR(__xludf.DUMMYFUNCTION("""COMPUTED_VALUE"""),"Lamar")</f>
        <v>Lamar</v>
      </c>
      <c r="C290" s="1" t="str">
        <f ca="1">IFERROR(__xludf.DUMMYFUNCTION("""COMPUTED_VALUE"""),"Slnd")</f>
        <v>Slnd</v>
      </c>
      <c r="D290" s="1" t="str">
        <f ca="1">IFERROR(__xludf.DUMMYFUNCTION("""COMPUTED_VALUE"""),"15-15")</f>
        <v>15-15</v>
      </c>
      <c r="E290" s="1">
        <f ca="1">IFERROR(__xludf.DUMMYFUNCTION("""COMPUTED_VALUE"""),-9.03)</f>
        <v>-9.0299999999999994</v>
      </c>
      <c r="F290" s="1">
        <f ca="1">IFERROR(__xludf.DUMMYFUNCTION("""COMPUTED_VALUE"""),100)</f>
        <v>100</v>
      </c>
      <c r="G290" s="1">
        <f ca="1">IFERROR(__xludf.DUMMYFUNCTION("""COMPUTED_VALUE"""),253)</f>
        <v>253</v>
      </c>
      <c r="H290" s="1">
        <f ca="1">IFERROR(__xludf.DUMMYFUNCTION("""COMPUTED_VALUE"""),109.1)</f>
        <v>109.1</v>
      </c>
      <c r="I290" s="1">
        <f ca="1">IFERROR(__xludf.DUMMYFUNCTION("""COMPUTED_VALUE"""),267)</f>
        <v>267</v>
      </c>
      <c r="J290" s="1">
        <f ca="1">IFERROR(__xludf.DUMMYFUNCTION("""COMPUTED_VALUE"""),65.9)</f>
        <v>65.900000000000006</v>
      </c>
      <c r="K290" s="1">
        <f ca="1">IFERROR(__xludf.DUMMYFUNCTION("""COMPUTED_VALUE"""),92)</f>
        <v>92</v>
      </c>
      <c r="L290" s="1" t="str">
        <f ca="1">IFERROR(__xludf.DUMMYFUNCTION("""COMPUTED_VALUE"""),"+.030")</f>
        <v>+.030</v>
      </c>
      <c r="M290" s="1">
        <f ca="1">IFERROR(__xludf.DUMMYFUNCTION("""COMPUTED_VALUE"""),106)</f>
        <v>106</v>
      </c>
      <c r="N290" s="1">
        <f ca="1">IFERROR(__xludf.DUMMYFUNCTION("""COMPUTED_VALUE"""),-5.28)</f>
        <v>-5.28</v>
      </c>
      <c r="O290" s="1">
        <f ca="1">IFERROR(__xludf.DUMMYFUNCTION("""COMPUTED_VALUE"""),288)</f>
        <v>288</v>
      </c>
      <c r="P290" s="1">
        <f ca="1">IFERROR(__xludf.DUMMYFUNCTION("""COMPUTED_VALUE"""),102.6)</f>
        <v>102.6</v>
      </c>
      <c r="Q290" s="1">
        <f ca="1">IFERROR(__xludf.DUMMYFUNCTION("""COMPUTED_VALUE"""),237)</f>
        <v>237</v>
      </c>
      <c r="R290" s="1">
        <f ca="1">IFERROR(__xludf.DUMMYFUNCTION("""COMPUTED_VALUE"""),107.9)</f>
        <v>107.9</v>
      </c>
      <c r="S290" s="1">
        <f ca="1">IFERROR(__xludf.DUMMYFUNCTION("""COMPUTED_VALUE"""),313)</f>
        <v>313</v>
      </c>
      <c r="T290" s="1" t="str">
        <f ca="1">IFERROR(__xludf.DUMMYFUNCTION("""COMPUTED_VALUE"""),"+4.48")</f>
        <v>+4.48</v>
      </c>
      <c r="U290" s="1">
        <f ca="1">IFERROR(__xludf.DUMMYFUNCTION("""COMPUTED_VALUE"""),39)</f>
        <v>39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IFERROR(__xludf.DUMMYFUNCTION("""COMPUTED_VALUE"""),"Navy")</f>
        <v>Navy</v>
      </c>
      <c r="C291" s="1" t="str">
        <f ca="1">IFERROR(__xludf.DUMMYFUNCTION("""COMPUTED_VALUE"""),"Pat")</f>
        <v>Pat</v>
      </c>
      <c r="D291" s="1" t="str">
        <f ca="1">IFERROR(__xludf.DUMMYFUNCTION("""COMPUTED_VALUE"""),"13-19")</f>
        <v>13-19</v>
      </c>
      <c r="E291" s="1">
        <f ca="1">IFERROR(__xludf.DUMMYFUNCTION("""COMPUTED_VALUE"""),-9.04)</f>
        <v>-9.0399999999999991</v>
      </c>
      <c r="F291" s="1">
        <f ca="1">IFERROR(__xludf.DUMMYFUNCTION("""COMPUTED_VALUE"""),98.9)</f>
        <v>98.9</v>
      </c>
      <c r="G291" s="1">
        <f ca="1">IFERROR(__xludf.DUMMYFUNCTION("""COMPUTED_VALUE"""),273)</f>
        <v>273</v>
      </c>
      <c r="H291" s="1">
        <f ca="1">IFERROR(__xludf.DUMMYFUNCTION("""COMPUTED_VALUE"""),107.9)</f>
        <v>107.9</v>
      </c>
      <c r="I291" s="1">
        <f ca="1">IFERROR(__xludf.DUMMYFUNCTION("""COMPUTED_VALUE"""),243)</f>
        <v>243</v>
      </c>
      <c r="J291" s="1">
        <f ca="1">IFERROR(__xludf.DUMMYFUNCTION("""COMPUTED_VALUE"""),61)</f>
        <v>61</v>
      </c>
      <c r="K291" s="1">
        <f ca="1">IFERROR(__xludf.DUMMYFUNCTION("""COMPUTED_VALUE"""),319)</f>
        <v>319</v>
      </c>
      <c r="L291" s="1" t="str">
        <f ca="1">IFERROR(__xludf.DUMMYFUNCTION("""COMPUTED_VALUE"""),"+.005")</f>
        <v>+.005</v>
      </c>
      <c r="M291" s="1">
        <f ca="1">IFERROR(__xludf.DUMMYFUNCTION("""COMPUTED_VALUE"""),174)</f>
        <v>174</v>
      </c>
      <c r="N291" s="1">
        <f ca="1">IFERROR(__xludf.DUMMYFUNCTION("""COMPUTED_VALUE"""),-4.89)</f>
        <v>-4.8899999999999997</v>
      </c>
      <c r="O291" s="1">
        <f ca="1">IFERROR(__xludf.DUMMYFUNCTION("""COMPUTED_VALUE"""),277)</f>
        <v>277</v>
      </c>
      <c r="P291" s="1">
        <f ca="1">IFERROR(__xludf.DUMMYFUNCTION("""COMPUTED_VALUE"""),103.5)</f>
        <v>103.5</v>
      </c>
      <c r="Q291" s="1">
        <f ca="1">IFERROR(__xludf.DUMMYFUNCTION("""COMPUTED_VALUE"""),191)</f>
        <v>191</v>
      </c>
      <c r="R291" s="1">
        <f ca="1">IFERROR(__xludf.DUMMYFUNCTION("""COMPUTED_VALUE"""),108.4)</f>
        <v>108.4</v>
      </c>
      <c r="S291" s="1">
        <f ca="1">IFERROR(__xludf.DUMMYFUNCTION("""COMPUTED_VALUE"""),323)</f>
        <v>323</v>
      </c>
      <c r="T291" s="1">
        <f ca="1">IFERROR(__xludf.DUMMYFUNCTION("""COMPUTED_VALUE"""),-3.04)</f>
        <v>-3.04</v>
      </c>
      <c r="U291" s="1">
        <f ca="1">IFERROR(__xludf.DUMMYFUNCTION("""COMPUTED_VALUE"""),252)</f>
        <v>252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IFERROR(__xludf.DUMMYFUNCTION("""COMPUTED_VALUE"""),"Southern")</f>
        <v>Southern</v>
      </c>
      <c r="C292" s="1" t="str">
        <f ca="1">IFERROR(__xludf.DUMMYFUNCTION("""COMPUTED_VALUE"""),"SWAC")</f>
        <v>SWAC</v>
      </c>
      <c r="D292" s="1" t="str">
        <f ca="1">IFERROR(__xludf.DUMMYFUNCTION("""COMPUTED_VALUE"""),"18-17")</f>
        <v>18-17</v>
      </c>
      <c r="E292" s="1">
        <f ca="1">IFERROR(__xludf.DUMMYFUNCTION("""COMPUTED_VALUE"""),-9.15)</f>
        <v>-9.15</v>
      </c>
      <c r="F292" s="1">
        <f ca="1">IFERROR(__xludf.DUMMYFUNCTION("""COMPUTED_VALUE"""),94)</f>
        <v>94</v>
      </c>
      <c r="G292" s="1">
        <f ca="1">IFERROR(__xludf.DUMMYFUNCTION("""COMPUTED_VALUE"""),322)</f>
        <v>322</v>
      </c>
      <c r="H292" s="1">
        <f ca="1">IFERROR(__xludf.DUMMYFUNCTION("""COMPUTED_VALUE"""),103.1)</f>
        <v>103.1</v>
      </c>
      <c r="I292" s="1">
        <f ca="1">IFERROR(__xludf.DUMMYFUNCTION("""COMPUTED_VALUE"""),149)</f>
        <v>149</v>
      </c>
      <c r="J292" s="1">
        <f ca="1">IFERROR(__xludf.DUMMYFUNCTION("""COMPUTED_VALUE"""),64.7)</f>
        <v>64.7</v>
      </c>
      <c r="K292" s="1">
        <f ca="1">IFERROR(__xludf.DUMMYFUNCTION("""COMPUTED_VALUE"""),153)</f>
        <v>153</v>
      </c>
      <c r="L292" s="1" t="str">
        <f ca="1">IFERROR(__xludf.DUMMYFUNCTION("""COMPUTED_VALUE"""),"+.018")</f>
        <v>+.018</v>
      </c>
      <c r="M292" s="1">
        <f ca="1">IFERROR(__xludf.DUMMYFUNCTION("""COMPUTED_VALUE"""),139)</f>
        <v>139</v>
      </c>
      <c r="N292" s="1">
        <f ca="1">IFERROR(__xludf.DUMMYFUNCTION("""COMPUTED_VALUE"""),-8.39)</f>
        <v>-8.39</v>
      </c>
      <c r="O292" s="1">
        <f ca="1">IFERROR(__xludf.DUMMYFUNCTION("""COMPUTED_VALUE"""),341)</f>
        <v>341</v>
      </c>
      <c r="P292" s="1">
        <f ca="1">IFERROR(__xludf.DUMMYFUNCTION("""COMPUTED_VALUE"""),99.1)</f>
        <v>99.1</v>
      </c>
      <c r="Q292" s="1">
        <f ca="1">IFERROR(__xludf.DUMMYFUNCTION("""COMPUTED_VALUE"""),340)</f>
        <v>340</v>
      </c>
      <c r="R292" s="1">
        <f ca="1">IFERROR(__xludf.DUMMYFUNCTION("""COMPUTED_VALUE"""),107.5)</f>
        <v>107.5</v>
      </c>
      <c r="S292" s="1">
        <f ca="1">IFERROR(__xludf.DUMMYFUNCTION("""COMPUTED_VALUE"""),296)</f>
        <v>296</v>
      </c>
      <c r="T292" s="1" t="str">
        <f ca="1">IFERROR(__xludf.DUMMYFUNCTION("""COMPUTED_VALUE"""),"+10.10")</f>
        <v>+10.10</v>
      </c>
      <c r="U292" s="1">
        <f ca="1">IFERROR(__xludf.DUMMYFUNCTION("""COMPUTED_VALUE"""),7)</f>
        <v>7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IFERROR(__xludf.DUMMYFUNCTION("""COMPUTED_VALUE"""),"College of Charleston")</f>
        <v>College of Charleston</v>
      </c>
      <c r="C293" s="1" t="str">
        <f ca="1">IFERROR(__xludf.DUMMYFUNCTION("""COMPUTED_VALUE"""),"CAA")</f>
        <v>CAA</v>
      </c>
      <c r="D293" s="2">
        <f ca="1">IFERROR(__xludf.DUMMYFUNCTION("""COMPUTED_VALUE"""),44828)</f>
        <v>44828</v>
      </c>
      <c r="E293" s="1">
        <f ca="1">IFERROR(__xludf.DUMMYFUNCTION("""COMPUTED_VALUE"""),-9.32)</f>
        <v>-9.32</v>
      </c>
      <c r="F293" s="1">
        <f ca="1">IFERROR(__xludf.DUMMYFUNCTION("""COMPUTED_VALUE"""),96.1)</f>
        <v>96.1</v>
      </c>
      <c r="G293" s="1">
        <f ca="1">IFERROR(__xludf.DUMMYFUNCTION("""COMPUTED_VALUE"""),309)</f>
        <v>309</v>
      </c>
      <c r="H293" s="1">
        <f ca="1">IFERROR(__xludf.DUMMYFUNCTION("""COMPUTED_VALUE"""),105.5)</f>
        <v>105.5</v>
      </c>
      <c r="I293" s="1">
        <f ca="1">IFERROR(__xludf.DUMMYFUNCTION("""COMPUTED_VALUE"""),185)</f>
        <v>185</v>
      </c>
      <c r="J293" s="1">
        <f ca="1">IFERROR(__xludf.DUMMYFUNCTION("""COMPUTED_VALUE"""),60.8)</f>
        <v>60.8</v>
      </c>
      <c r="K293" s="1">
        <f ca="1">IFERROR(__xludf.DUMMYFUNCTION("""COMPUTED_VALUE"""),322)</f>
        <v>322</v>
      </c>
      <c r="L293" s="1">
        <f ca="1">IFERROR(__xludf.DUMMYFUNCTION("""COMPUTED_VALUE"""),-0.075)</f>
        <v>-7.4999999999999997E-2</v>
      </c>
      <c r="M293" s="1">
        <f ca="1">IFERROR(__xludf.DUMMYFUNCTION("""COMPUTED_VALUE"""),325)</f>
        <v>325</v>
      </c>
      <c r="N293" s="1">
        <f ca="1">IFERROR(__xludf.DUMMYFUNCTION("""COMPUTED_VALUE"""),-1.55)</f>
        <v>-1.55</v>
      </c>
      <c r="O293" s="1">
        <f ca="1">IFERROR(__xludf.DUMMYFUNCTION("""COMPUTED_VALUE"""),177)</f>
        <v>177</v>
      </c>
      <c r="P293" s="1">
        <f ca="1">IFERROR(__xludf.DUMMYFUNCTION("""COMPUTED_VALUE"""),104.8)</f>
        <v>104.8</v>
      </c>
      <c r="Q293" s="1">
        <f ca="1">IFERROR(__xludf.DUMMYFUNCTION("""COMPUTED_VALUE"""),121)</f>
        <v>121</v>
      </c>
      <c r="R293" s="1">
        <f ca="1">IFERROR(__xludf.DUMMYFUNCTION("""COMPUTED_VALUE"""),106.3)</f>
        <v>106.3</v>
      </c>
      <c r="S293" s="1">
        <f ca="1">IFERROR(__xludf.DUMMYFUNCTION("""COMPUTED_VALUE"""),245)</f>
        <v>245</v>
      </c>
      <c r="T293" s="1" t="str">
        <f ca="1">IFERROR(__xludf.DUMMYFUNCTION("""COMPUTED_VALUE"""),"+1.30")</f>
        <v>+1.30</v>
      </c>
      <c r="U293" s="1">
        <f ca="1">IFERROR(__xludf.DUMMYFUNCTION("""COMPUTED_VALUE"""),118)</f>
        <v>118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IFERROR(__xludf.DUMMYFUNCTION("""COMPUTED_VALUE"""),"IUPUI")</f>
        <v>IUPUI</v>
      </c>
      <c r="C294" s="1" t="str">
        <f ca="1">IFERROR(__xludf.DUMMYFUNCTION("""COMPUTED_VALUE"""),"Sum")</f>
        <v>Sum</v>
      </c>
      <c r="D294" s="2">
        <f ca="1">IFERROR(__xludf.DUMMYFUNCTION("""COMPUTED_VALUE"""),44855)</f>
        <v>44855</v>
      </c>
      <c r="E294" s="1">
        <f ca="1">IFERROR(__xludf.DUMMYFUNCTION("""COMPUTED_VALUE"""),-9.43)</f>
        <v>-9.43</v>
      </c>
      <c r="F294" s="1">
        <f ca="1">IFERROR(__xludf.DUMMYFUNCTION("""COMPUTED_VALUE"""),94)</f>
        <v>94</v>
      </c>
      <c r="G294" s="1">
        <f ca="1">IFERROR(__xludf.DUMMYFUNCTION("""COMPUTED_VALUE"""),321)</f>
        <v>321</v>
      </c>
      <c r="H294" s="1">
        <f ca="1">IFERROR(__xludf.DUMMYFUNCTION("""COMPUTED_VALUE"""),103.4)</f>
        <v>103.4</v>
      </c>
      <c r="I294" s="1">
        <f ca="1">IFERROR(__xludf.DUMMYFUNCTION("""COMPUTED_VALUE"""),157)</f>
        <v>157</v>
      </c>
      <c r="J294" s="1">
        <f ca="1">IFERROR(__xludf.DUMMYFUNCTION("""COMPUTED_VALUE"""),63.2)</f>
        <v>63.2</v>
      </c>
      <c r="K294" s="1">
        <f ca="1">IFERROR(__xludf.DUMMYFUNCTION("""COMPUTED_VALUE"""),244)</f>
        <v>244</v>
      </c>
      <c r="L294" s="1" t="str">
        <f ca="1">IFERROR(__xludf.DUMMYFUNCTION("""COMPUTED_VALUE"""),"+.069")</f>
        <v>+.069</v>
      </c>
      <c r="M294" s="1">
        <f ca="1">IFERROR(__xludf.DUMMYFUNCTION("""COMPUTED_VALUE"""),36)</f>
        <v>36</v>
      </c>
      <c r="N294" s="1">
        <f ca="1">IFERROR(__xludf.DUMMYFUNCTION("""COMPUTED_VALUE"""),-1.11)</f>
        <v>-1.1100000000000001</v>
      </c>
      <c r="O294" s="1">
        <f ca="1">IFERROR(__xludf.DUMMYFUNCTION("""COMPUTED_VALUE"""),163)</f>
        <v>163</v>
      </c>
      <c r="P294" s="1">
        <f ca="1">IFERROR(__xludf.DUMMYFUNCTION("""COMPUTED_VALUE"""),104.5)</f>
        <v>104.5</v>
      </c>
      <c r="Q294" s="1">
        <f ca="1">IFERROR(__xludf.DUMMYFUNCTION("""COMPUTED_VALUE"""),131)</f>
        <v>131</v>
      </c>
      <c r="R294" s="1">
        <f ca="1">IFERROR(__xludf.DUMMYFUNCTION("""COMPUTED_VALUE"""),105.6)</f>
        <v>105.6</v>
      </c>
      <c r="S294" s="1">
        <f ca="1">IFERROR(__xludf.DUMMYFUNCTION("""COMPUTED_VALUE"""),215)</f>
        <v>215</v>
      </c>
      <c r="T294" s="1" t="str">
        <f ca="1">IFERROR(__xludf.DUMMYFUNCTION("""COMPUTED_VALUE"""),"+3.41")</f>
        <v>+3.41</v>
      </c>
      <c r="U294" s="1">
        <f ca="1">IFERROR(__xludf.DUMMYFUNCTION("""COMPUTED_VALUE"""),60)</f>
        <v>60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IFERROR(__xludf.DUMMYFUNCTION("""COMPUTED_VALUE"""),"UCF")</f>
        <v>UCF</v>
      </c>
      <c r="C297" s="1" t="str">
        <f ca="1">IFERROR(__xludf.DUMMYFUNCTION("""COMPUTED_VALUE"""),"Amer")</f>
        <v>Amer</v>
      </c>
      <c r="D297" s="2">
        <f ca="1">IFERROR(__xludf.DUMMYFUNCTION("""COMPUTED_VALUE"""),44913)</f>
        <v>44913</v>
      </c>
      <c r="E297" s="1">
        <f ca="1">IFERROR(__xludf.DUMMYFUNCTION("""COMPUTED_VALUE"""),-9.58)</f>
        <v>-9.58</v>
      </c>
      <c r="F297" s="1">
        <f ca="1">IFERROR(__xludf.DUMMYFUNCTION("""COMPUTED_VALUE"""),102.7)</f>
        <v>102.7</v>
      </c>
      <c r="G297" s="1">
        <f ca="1">IFERROR(__xludf.DUMMYFUNCTION("""COMPUTED_VALUE"""),209)</f>
        <v>209</v>
      </c>
      <c r="H297" s="1">
        <f ca="1">IFERROR(__xludf.DUMMYFUNCTION("""COMPUTED_VALUE"""),112.3)</f>
        <v>112.3</v>
      </c>
      <c r="I297" s="1">
        <f ca="1">IFERROR(__xludf.DUMMYFUNCTION("""COMPUTED_VALUE"""),319)</f>
        <v>319</v>
      </c>
      <c r="J297" s="1">
        <f ca="1">IFERROR(__xludf.DUMMYFUNCTION("""COMPUTED_VALUE"""),64)</f>
        <v>64</v>
      </c>
      <c r="K297" s="1">
        <f ca="1">IFERROR(__xludf.DUMMYFUNCTION("""COMPUTED_VALUE"""),193)</f>
        <v>193</v>
      </c>
      <c r="L297" s="1" t="str">
        <f ca="1">IFERROR(__xludf.DUMMYFUNCTION("""COMPUTED_VALUE"""),"+.075")</f>
        <v>+.075</v>
      </c>
      <c r="M297" s="1">
        <f ca="1">IFERROR(__xludf.DUMMYFUNCTION("""COMPUTED_VALUE"""),29)</f>
        <v>29</v>
      </c>
      <c r="N297" s="1">
        <f ca="1">IFERROR(__xludf.DUMMYFUNCTION("""COMPUTED_VALUE"""),-1.27)</f>
        <v>-1.27</v>
      </c>
      <c r="O297" s="1">
        <f ca="1">IFERROR(__xludf.DUMMYFUNCTION("""COMPUTED_VALUE"""),166)</f>
        <v>166</v>
      </c>
      <c r="P297" s="1">
        <f ca="1">IFERROR(__xludf.DUMMYFUNCTION("""COMPUTED_VALUE"""),102.7)</f>
        <v>102.7</v>
      </c>
      <c r="Q297" s="1">
        <f ca="1">IFERROR(__xludf.DUMMYFUNCTION("""COMPUTED_VALUE"""),234)</f>
        <v>234</v>
      </c>
      <c r="R297" s="1">
        <f ca="1">IFERROR(__xludf.DUMMYFUNCTION("""COMPUTED_VALUE"""),104)</f>
        <v>104</v>
      </c>
      <c r="S297" s="1">
        <f ca="1">IFERROR(__xludf.DUMMYFUNCTION("""COMPUTED_VALUE"""),135)</f>
        <v>135</v>
      </c>
      <c r="T297" s="1">
        <f ca="1">IFERROR(__xludf.DUMMYFUNCTION("""COMPUTED_VALUE"""),-9.44)</f>
        <v>-9.44</v>
      </c>
      <c r="U297" s="1">
        <f ca="1">IFERROR(__xludf.DUMMYFUNCTION("""COMPUTED_VALUE"""),341)</f>
        <v>341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IFERROR(__xludf.DUMMYFUNCTION("""COMPUTED_VALUE"""),"Illinois Chicago")</f>
        <v>Illinois Chicago</v>
      </c>
      <c r="C298" s="1" t="str">
        <f ca="1">IFERROR(__xludf.DUMMYFUNCTION("""COMPUTED_VALUE"""),"Horz")</f>
        <v>Horz</v>
      </c>
      <c r="D298" s="2">
        <f ca="1">IFERROR(__xludf.DUMMYFUNCTION("""COMPUTED_VALUE"""),44858)</f>
        <v>44858</v>
      </c>
      <c r="E298" s="1">
        <f ca="1">IFERROR(__xludf.DUMMYFUNCTION("""COMPUTED_VALUE"""),-9.61)</f>
        <v>-9.61</v>
      </c>
      <c r="F298" s="1">
        <f ca="1">IFERROR(__xludf.DUMMYFUNCTION("""COMPUTED_VALUE"""),101.2)</f>
        <v>101.2</v>
      </c>
      <c r="G298" s="1">
        <f ca="1">IFERROR(__xludf.DUMMYFUNCTION("""COMPUTED_VALUE"""),236)</f>
        <v>236</v>
      </c>
      <c r="H298" s="1">
        <f ca="1">IFERROR(__xludf.DUMMYFUNCTION("""COMPUTED_VALUE"""),110.8)</f>
        <v>110.8</v>
      </c>
      <c r="I298" s="1">
        <f ca="1">IFERROR(__xludf.DUMMYFUNCTION("""COMPUTED_VALUE"""),299)</f>
        <v>299</v>
      </c>
      <c r="J298" s="1">
        <f ca="1">IFERROR(__xludf.DUMMYFUNCTION("""COMPUTED_VALUE"""),64.4)</f>
        <v>64.400000000000006</v>
      </c>
      <c r="K298" s="1">
        <f ca="1">IFERROR(__xludf.DUMMYFUNCTION("""COMPUTED_VALUE"""),168)</f>
        <v>168</v>
      </c>
      <c r="L298" s="1">
        <f ca="1">IFERROR(__xludf.DUMMYFUNCTION("""COMPUTED_VALUE"""),-0.009)</f>
        <v>-8.9999999999999993E-3</v>
      </c>
      <c r="M298" s="1">
        <f ca="1">IFERROR(__xludf.DUMMYFUNCTION("""COMPUTED_VALUE"""),209)</f>
        <v>209</v>
      </c>
      <c r="N298" s="1" t="str">
        <f ca="1">IFERROR(__xludf.DUMMYFUNCTION("""COMPUTED_VALUE"""),"+0.10")</f>
        <v>+0.10</v>
      </c>
      <c r="O298" s="1">
        <f ca="1">IFERROR(__xludf.DUMMYFUNCTION("""COMPUTED_VALUE"""),139)</f>
        <v>139</v>
      </c>
      <c r="P298" s="1">
        <f ca="1">IFERROR(__xludf.DUMMYFUNCTION("""COMPUTED_VALUE"""),104.8)</f>
        <v>104.8</v>
      </c>
      <c r="Q298" s="1">
        <f ca="1">IFERROR(__xludf.DUMMYFUNCTION("""COMPUTED_VALUE"""),120)</f>
        <v>120</v>
      </c>
      <c r="R298" s="1">
        <f ca="1">IFERROR(__xludf.DUMMYFUNCTION("""COMPUTED_VALUE"""),104.7)</f>
        <v>104.7</v>
      </c>
      <c r="S298" s="1">
        <f ca="1">IFERROR(__xludf.DUMMYFUNCTION("""COMPUTED_VALUE"""),166)</f>
        <v>166</v>
      </c>
      <c r="T298" s="1" t="str">
        <f ca="1">IFERROR(__xludf.DUMMYFUNCTION("""COMPUTED_VALUE"""),"+0.49")</f>
        <v>+0.49</v>
      </c>
      <c r="U298" s="1">
        <f ca="1">IFERROR(__xludf.DUMMYFUNCTION("""COMPUTED_VALUE"""),141)</f>
        <v>141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IFERROR(__xludf.DUMMYFUNCTION("""COMPUTED_VALUE"""),"Appalachian St.")</f>
        <v>Appalachian St.</v>
      </c>
      <c r="C299" s="1" t="str">
        <f ca="1">IFERROR(__xludf.DUMMYFUNCTION("""COMPUTED_VALUE"""),"SB")</f>
        <v>SB</v>
      </c>
      <c r="D299" s="2">
        <f ca="1">IFERROR(__xludf.DUMMYFUNCTION("""COMPUTED_VALUE"""),44912)</f>
        <v>44912</v>
      </c>
      <c r="E299" s="1">
        <f ca="1">IFERROR(__xludf.DUMMYFUNCTION("""COMPUTED_VALUE"""),-9.63)</f>
        <v>-9.6300000000000008</v>
      </c>
      <c r="F299" s="1">
        <f ca="1">IFERROR(__xludf.DUMMYFUNCTION("""COMPUTED_VALUE"""),98.3)</f>
        <v>98.3</v>
      </c>
      <c r="G299" s="1">
        <f ca="1">IFERROR(__xludf.DUMMYFUNCTION("""COMPUTED_VALUE"""),286)</f>
        <v>286</v>
      </c>
      <c r="H299" s="1">
        <f ca="1">IFERROR(__xludf.DUMMYFUNCTION("""COMPUTED_VALUE"""),107.9)</f>
        <v>107.9</v>
      </c>
      <c r="I299" s="1">
        <f ca="1">IFERROR(__xludf.DUMMYFUNCTION("""COMPUTED_VALUE"""),242)</f>
        <v>242</v>
      </c>
      <c r="J299" s="1">
        <f ca="1">IFERROR(__xludf.DUMMYFUNCTION("""COMPUTED_VALUE"""),65.3)</f>
        <v>65.3</v>
      </c>
      <c r="K299" s="1">
        <f ca="1">IFERROR(__xludf.DUMMYFUNCTION("""COMPUTED_VALUE"""),125)</f>
        <v>125</v>
      </c>
      <c r="L299" s="1" t="str">
        <f ca="1">IFERROR(__xludf.DUMMYFUNCTION("""COMPUTED_VALUE"""),"+.074")</f>
        <v>+.074</v>
      </c>
      <c r="M299" s="1">
        <f ca="1">IFERROR(__xludf.DUMMYFUNCTION("""COMPUTED_VALUE"""),31)</f>
        <v>31</v>
      </c>
      <c r="N299" s="1">
        <f ca="1">IFERROR(__xludf.DUMMYFUNCTION("""COMPUTED_VALUE"""),-2.64)</f>
        <v>-2.64</v>
      </c>
      <c r="O299" s="1">
        <f ca="1">IFERROR(__xludf.DUMMYFUNCTION("""COMPUTED_VALUE"""),204)</f>
        <v>204</v>
      </c>
      <c r="P299" s="1">
        <f ca="1">IFERROR(__xludf.DUMMYFUNCTION("""COMPUTED_VALUE"""),102.5)</f>
        <v>102.5</v>
      </c>
      <c r="Q299" s="1">
        <f ca="1">IFERROR(__xludf.DUMMYFUNCTION("""COMPUTED_VALUE"""),244)</f>
        <v>244</v>
      </c>
      <c r="R299" s="1">
        <f ca="1">IFERROR(__xludf.DUMMYFUNCTION("""COMPUTED_VALUE"""),105.1)</f>
        <v>105.1</v>
      </c>
      <c r="S299" s="1">
        <f ca="1">IFERROR(__xludf.DUMMYFUNCTION("""COMPUTED_VALUE"""),189)</f>
        <v>189</v>
      </c>
      <c r="T299" s="1" t="str">
        <f ca="1">IFERROR(__xludf.DUMMYFUNCTION("""COMPUTED_VALUE"""),"+0.27")</f>
        <v>+0.27</v>
      </c>
      <c r="U299" s="1">
        <f ca="1">IFERROR(__xludf.DUMMYFUNCTION("""COMPUTED_VALUE"""),151)</f>
        <v>151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IFERROR(__xludf.DUMMYFUNCTION("""COMPUTED_VALUE"""),"Hartford")</f>
        <v>Hartford</v>
      </c>
      <c r="C300" s="1" t="str">
        <f ca="1">IFERROR(__xludf.DUMMYFUNCTION("""COMPUTED_VALUE"""),"AE")</f>
        <v>AE</v>
      </c>
      <c r="D300" s="1" t="str">
        <f ca="1">IFERROR(__xludf.DUMMYFUNCTION("""COMPUTED_VALUE"""),"14-16")</f>
        <v>14-16</v>
      </c>
      <c r="E300" s="1">
        <f ca="1">IFERROR(__xludf.DUMMYFUNCTION("""COMPUTED_VALUE"""),-9.65)</f>
        <v>-9.65</v>
      </c>
      <c r="F300" s="1">
        <f ca="1">IFERROR(__xludf.DUMMYFUNCTION("""COMPUTED_VALUE"""),97.4)</f>
        <v>97.4</v>
      </c>
      <c r="G300" s="1">
        <f ca="1">IFERROR(__xludf.DUMMYFUNCTION("""COMPUTED_VALUE"""),294)</f>
        <v>294</v>
      </c>
      <c r="H300" s="1">
        <f ca="1">IFERROR(__xludf.DUMMYFUNCTION("""COMPUTED_VALUE"""),107.1)</f>
        <v>107.1</v>
      </c>
      <c r="I300" s="1">
        <f ca="1">IFERROR(__xludf.DUMMYFUNCTION("""COMPUTED_VALUE"""),223)</f>
        <v>223</v>
      </c>
      <c r="J300" s="1">
        <f ca="1">IFERROR(__xludf.DUMMYFUNCTION("""COMPUTED_VALUE"""),63)</f>
        <v>63</v>
      </c>
      <c r="K300" s="1">
        <f ca="1">IFERROR(__xludf.DUMMYFUNCTION("""COMPUTED_VALUE"""),256)</f>
        <v>256</v>
      </c>
      <c r="L300" s="1" t="str">
        <f ca="1">IFERROR(__xludf.DUMMYFUNCTION("""COMPUTED_VALUE"""),"+.076")</f>
        <v>+.076</v>
      </c>
      <c r="M300" s="1">
        <f ca="1">IFERROR(__xludf.DUMMYFUNCTION("""COMPUTED_VALUE"""),26)</f>
        <v>26</v>
      </c>
      <c r="N300" s="1">
        <f ca="1">IFERROR(__xludf.DUMMYFUNCTION("""COMPUTED_VALUE"""),-5.4)</f>
        <v>-5.4</v>
      </c>
      <c r="O300" s="1">
        <f ca="1">IFERROR(__xludf.DUMMYFUNCTION("""COMPUTED_VALUE"""),292)</f>
        <v>292</v>
      </c>
      <c r="P300" s="1">
        <f ca="1">IFERROR(__xludf.DUMMYFUNCTION("""COMPUTED_VALUE"""),100.2)</f>
        <v>100.2</v>
      </c>
      <c r="Q300" s="1">
        <f ca="1">IFERROR(__xludf.DUMMYFUNCTION("""COMPUTED_VALUE"""),329)</f>
        <v>329</v>
      </c>
      <c r="R300" s="1">
        <f ca="1">IFERROR(__xludf.DUMMYFUNCTION("""COMPUTED_VALUE"""),105.6)</f>
        <v>105.6</v>
      </c>
      <c r="S300" s="1">
        <f ca="1">IFERROR(__xludf.DUMMYFUNCTION("""COMPUTED_VALUE"""),216)</f>
        <v>216</v>
      </c>
      <c r="T300" s="1">
        <f ca="1">IFERROR(__xludf.DUMMYFUNCTION("""COMPUTED_VALUE"""),-1.91)</f>
        <v>-1.91</v>
      </c>
      <c r="U300" s="1">
        <f ca="1">IFERROR(__xludf.DUMMYFUNCTION("""COMPUTED_VALUE"""),216)</f>
        <v>216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IFERROR(__xludf.DUMMYFUNCTION("""COMPUTED_VALUE"""),"UNC Greensboro")</f>
        <v>UNC Greensboro</v>
      </c>
      <c r="C301" s="1" t="str">
        <f ca="1">IFERROR(__xludf.DUMMYFUNCTION("""COMPUTED_VALUE"""),"SC")</f>
        <v>SC</v>
      </c>
      <c r="D301" s="2">
        <f ca="1">IFERROR(__xludf.DUMMYFUNCTION("""COMPUTED_VALUE"""),44887)</f>
        <v>44887</v>
      </c>
      <c r="E301" s="1">
        <f ca="1">IFERROR(__xludf.DUMMYFUNCTION("""COMPUTED_VALUE"""),-9.7)</f>
        <v>-9.6999999999999993</v>
      </c>
      <c r="F301" s="1">
        <f ca="1">IFERROR(__xludf.DUMMYFUNCTION("""COMPUTED_VALUE"""),99.8)</f>
        <v>99.8</v>
      </c>
      <c r="G301" s="1">
        <f ca="1">IFERROR(__xludf.DUMMYFUNCTION("""COMPUTED_VALUE"""),259)</f>
        <v>259</v>
      </c>
      <c r="H301" s="1">
        <f ca="1">IFERROR(__xludf.DUMMYFUNCTION("""COMPUTED_VALUE"""),109.5)</f>
        <v>109.5</v>
      </c>
      <c r="I301" s="1">
        <f ca="1">IFERROR(__xludf.DUMMYFUNCTION("""COMPUTED_VALUE"""),278)</f>
        <v>278</v>
      </c>
      <c r="J301" s="1">
        <f ca="1">IFERROR(__xludf.DUMMYFUNCTION("""COMPUTED_VALUE"""),65.7)</f>
        <v>65.7</v>
      </c>
      <c r="K301" s="1">
        <f ca="1">IFERROR(__xludf.DUMMYFUNCTION("""COMPUTED_VALUE"""),109)</f>
        <v>109</v>
      </c>
      <c r="L301" s="1">
        <f ca="1">IFERROR(__xludf.DUMMYFUNCTION("""COMPUTED_VALUE"""),-0.125)</f>
        <v>-0.125</v>
      </c>
      <c r="M301" s="1">
        <f ca="1">IFERROR(__xludf.DUMMYFUNCTION("""COMPUTED_VALUE"""),350)</f>
        <v>350</v>
      </c>
      <c r="N301" s="1">
        <f ca="1">IFERROR(__xludf.DUMMYFUNCTION("""COMPUTED_VALUE"""),-5.47)</f>
        <v>-5.47</v>
      </c>
      <c r="O301" s="1">
        <f ca="1">IFERROR(__xludf.DUMMYFUNCTION("""COMPUTED_VALUE"""),294)</f>
        <v>294</v>
      </c>
      <c r="P301" s="1">
        <f ca="1">IFERROR(__xludf.DUMMYFUNCTION("""COMPUTED_VALUE"""),103)</f>
        <v>103</v>
      </c>
      <c r="Q301" s="1">
        <f ca="1">IFERROR(__xludf.DUMMYFUNCTION("""COMPUTED_VALUE"""),213)</f>
        <v>213</v>
      </c>
      <c r="R301" s="1">
        <f ca="1">IFERROR(__xludf.DUMMYFUNCTION("""COMPUTED_VALUE"""),108.5)</f>
        <v>108.5</v>
      </c>
      <c r="S301" s="1">
        <f ca="1">IFERROR(__xludf.DUMMYFUNCTION("""COMPUTED_VALUE"""),332)</f>
        <v>332</v>
      </c>
      <c r="T301" s="1">
        <f ca="1">IFERROR(__xludf.DUMMYFUNCTION("""COMPUTED_VALUE"""),-2.42)</f>
        <v>-2.42</v>
      </c>
      <c r="U301" s="1">
        <f ca="1">IFERROR(__xludf.DUMMYFUNCTION("""COMPUTED_VALUE"""),231)</f>
        <v>231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IFERROR(__xludf.DUMMYFUNCTION("""COMPUTED_VALUE"""),"UMKC")</f>
        <v>UMKC</v>
      </c>
      <c r="C302" s="1" t="str">
        <f ca="1">IFERROR(__xludf.DUMMYFUNCTION("""COMPUTED_VALUE"""),"WAC")</f>
        <v>WAC</v>
      </c>
      <c r="D302" s="1" t="str">
        <f ca="1">IFERROR(__xludf.DUMMYFUNCTION("""COMPUTED_VALUE"""),"14-19")</f>
        <v>14-19</v>
      </c>
      <c r="E302" s="1">
        <f ca="1">IFERROR(__xludf.DUMMYFUNCTION("""COMPUTED_VALUE"""),-9.74)</f>
        <v>-9.74</v>
      </c>
      <c r="F302" s="1">
        <f ca="1">IFERROR(__xludf.DUMMYFUNCTION("""COMPUTED_VALUE"""),98.2)</f>
        <v>98.2</v>
      </c>
      <c r="G302" s="1">
        <f ca="1">IFERROR(__xludf.DUMMYFUNCTION("""COMPUTED_VALUE"""),287)</f>
        <v>287</v>
      </c>
      <c r="H302" s="1">
        <f ca="1">IFERROR(__xludf.DUMMYFUNCTION("""COMPUTED_VALUE"""),107.9)</f>
        <v>107.9</v>
      </c>
      <c r="I302" s="1">
        <f ca="1">IFERROR(__xludf.DUMMYFUNCTION("""COMPUTED_VALUE"""),244)</f>
        <v>244</v>
      </c>
      <c r="J302" s="1">
        <f ca="1">IFERROR(__xludf.DUMMYFUNCTION("""COMPUTED_VALUE"""),63.5)</f>
        <v>63.5</v>
      </c>
      <c r="K302" s="1">
        <f ca="1">IFERROR(__xludf.DUMMYFUNCTION("""COMPUTED_VALUE"""),219)</f>
        <v>219</v>
      </c>
      <c r="L302" s="1">
        <f ca="1">IFERROR(__xludf.DUMMYFUNCTION("""COMPUTED_VALUE"""),-0.014)</f>
        <v>-1.4E-2</v>
      </c>
      <c r="M302" s="1">
        <f ca="1">IFERROR(__xludf.DUMMYFUNCTION("""COMPUTED_VALUE"""),218)</f>
        <v>218</v>
      </c>
      <c r="N302" s="1">
        <f ca="1">IFERROR(__xludf.DUMMYFUNCTION("""COMPUTED_VALUE"""),-5.72)</f>
        <v>-5.72</v>
      </c>
      <c r="O302" s="1">
        <f ca="1">IFERROR(__xludf.DUMMYFUNCTION("""COMPUTED_VALUE"""),303)</f>
        <v>303</v>
      </c>
      <c r="P302" s="1">
        <f ca="1">IFERROR(__xludf.DUMMYFUNCTION("""COMPUTED_VALUE"""),101.6)</f>
        <v>101.6</v>
      </c>
      <c r="Q302" s="1">
        <f ca="1">IFERROR(__xludf.DUMMYFUNCTION("""COMPUTED_VALUE"""),295)</f>
        <v>295</v>
      </c>
      <c r="R302" s="1">
        <f ca="1">IFERROR(__xludf.DUMMYFUNCTION("""COMPUTED_VALUE"""),107.3)</f>
        <v>107.3</v>
      </c>
      <c r="S302" s="1">
        <f ca="1">IFERROR(__xludf.DUMMYFUNCTION("""COMPUTED_VALUE"""),290)</f>
        <v>290</v>
      </c>
      <c r="T302" s="1">
        <f ca="1">IFERROR(__xludf.DUMMYFUNCTION("""COMPUTED_VALUE"""),-0.07)</f>
        <v>-7.0000000000000007E-2</v>
      </c>
      <c r="U302" s="1">
        <f ca="1">IFERROR(__xludf.DUMMYFUNCTION("""COMPUTED_VALUE"""),160)</f>
        <v>160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IFERROR(__xludf.DUMMYFUNCTION("""COMPUTED_VALUE"""),"Troy")</f>
        <v>Troy</v>
      </c>
      <c r="C303" s="1" t="str">
        <f ca="1">IFERROR(__xludf.DUMMYFUNCTION("""COMPUTED_VALUE"""),"SB")</f>
        <v>SB</v>
      </c>
      <c r="D303" s="2">
        <f ca="1">IFERROR(__xludf.DUMMYFUNCTION("""COMPUTED_VALUE"""),44853)</f>
        <v>44853</v>
      </c>
      <c r="E303" s="1">
        <f ca="1">IFERROR(__xludf.DUMMYFUNCTION("""COMPUTED_VALUE"""),-9.75)</f>
        <v>-9.75</v>
      </c>
      <c r="F303" s="1">
        <f ca="1">IFERROR(__xludf.DUMMYFUNCTION("""COMPUTED_VALUE"""),99.8)</f>
        <v>99.8</v>
      </c>
      <c r="G303" s="1">
        <f ca="1">IFERROR(__xludf.DUMMYFUNCTION("""COMPUTED_VALUE"""),260)</f>
        <v>260</v>
      </c>
      <c r="H303" s="1">
        <f ca="1">IFERROR(__xludf.DUMMYFUNCTION("""COMPUTED_VALUE"""),109.5)</f>
        <v>109.5</v>
      </c>
      <c r="I303" s="1">
        <f ca="1">IFERROR(__xludf.DUMMYFUNCTION("""COMPUTED_VALUE"""),280)</f>
        <v>280</v>
      </c>
      <c r="J303" s="1">
        <f ca="1">IFERROR(__xludf.DUMMYFUNCTION("""COMPUTED_VALUE"""),64.7)</f>
        <v>64.7</v>
      </c>
      <c r="K303" s="1">
        <f ca="1">IFERROR(__xludf.DUMMYFUNCTION("""COMPUTED_VALUE"""),152)</f>
        <v>152</v>
      </c>
      <c r="L303" s="1">
        <f ca="1">IFERROR(__xludf.DUMMYFUNCTION("""COMPUTED_VALUE"""),-0.054)</f>
        <v>-5.3999999999999999E-2</v>
      </c>
      <c r="M303" s="1">
        <f ca="1">IFERROR(__xludf.DUMMYFUNCTION("""COMPUTED_VALUE"""),302)</f>
        <v>302</v>
      </c>
      <c r="N303" s="1">
        <f ca="1">IFERROR(__xludf.DUMMYFUNCTION("""COMPUTED_VALUE"""),-5.21)</f>
        <v>-5.21</v>
      </c>
      <c r="O303" s="1">
        <f ca="1">IFERROR(__xludf.DUMMYFUNCTION("""COMPUTED_VALUE"""),287)</f>
        <v>287</v>
      </c>
      <c r="P303" s="1">
        <f ca="1">IFERROR(__xludf.DUMMYFUNCTION("""COMPUTED_VALUE"""),100.5)</f>
        <v>100.5</v>
      </c>
      <c r="Q303" s="1">
        <f ca="1">IFERROR(__xludf.DUMMYFUNCTION("""COMPUTED_VALUE"""),322)</f>
        <v>322</v>
      </c>
      <c r="R303" s="1">
        <f ca="1">IFERROR(__xludf.DUMMYFUNCTION("""COMPUTED_VALUE"""),105.7)</f>
        <v>105.7</v>
      </c>
      <c r="S303" s="1">
        <f ca="1">IFERROR(__xludf.DUMMYFUNCTION("""COMPUTED_VALUE"""),225)</f>
        <v>225</v>
      </c>
      <c r="T303" s="1">
        <f ca="1">IFERROR(__xludf.DUMMYFUNCTION("""COMPUTED_VALUE"""),-10.43)</f>
        <v>-10.43</v>
      </c>
      <c r="U303" s="1">
        <f ca="1">IFERROR(__xludf.DUMMYFUNCTION("""COMPUTED_VALUE"""),344)</f>
        <v>344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IFERROR(__xludf.DUMMYFUNCTION("""COMPUTED_VALUE"""),"LIU Brooklyn")</f>
        <v>LIU Brooklyn</v>
      </c>
      <c r="C304" s="1" t="str">
        <f ca="1">IFERROR(__xludf.DUMMYFUNCTION("""COMPUTED_VALUE"""),"NEC")</f>
        <v>NEC</v>
      </c>
      <c r="D304" s="2">
        <f ca="1">IFERROR(__xludf.DUMMYFUNCTION("""COMPUTED_VALUE"""),44913)</f>
        <v>44913</v>
      </c>
      <c r="E304" s="1">
        <f ca="1">IFERROR(__xludf.DUMMYFUNCTION("""COMPUTED_VALUE"""),-9.82)</f>
        <v>-9.82</v>
      </c>
      <c r="F304" s="1">
        <f ca="1">IFERROR(__xludf.DUMMYFUNCTION("""COMPUTED_VALUE"""),97)</f>
        <v>97</v>
      </c>
      <c r="G304" s="1">
        <f ca="1">IFERROR(__xludf.DUMMYFUNCTION("""COMPUTED_VALUE"""),299)</f>
        <v>299</v>
      </c>
      <c r="H304" s="1">
        <f ca="1">IFERROR(__xludf.DUMMYFUNCTION("""COMPUTED_VALUE"""),106.8)</f>
        <v>106.8</v>
      </c>
      <c r="I304" s="1">
        <f ca="1">IFERROR(__xludf.DUMMYFUNCTION("""COMPUTED_VALUE"""),218)</f>
        <v>218</v>
      </c>
      <c r="J304" s="1">
        <f ca="1">IFERROR(__xludf.DUMMYFUNCTION("""COMPUTED_VALUE"""),67.4)</f>
        <v>67.400000000000006</v>
      </c>
      <c r="K304" s="1">
        <f ca="1">IFERROR(__xludf.DUMMYFUNCTION("""COMPUTED_VALUE"""),43)</f>
        <v>43</v>
      </c>
      <c r="L304" s="1" t="str">
        <f ca="1">IFERROR(__xludf.DUMMYFUNCTION("""COMPUTED_VALUE"""),"+.039")</f>
        <v>+.039</v>
      </c>
      <c r="M304" s="1">
        <f ca="1">IFERROR(__xludf.DUMMYFUNCTION("""COMPUTED_VALUE"""),83)</f>
        <v>83</v>
      </c>
      <c r="N304" s="1">
        <f ca="1">IFERROR(__xludf.DUMMYFUNCTION("""COMPUTED_VALUE"""),-5.33)</f>
        <v>-5.33</v>
      </c>
      <c r="O304" s="1">
        <f ca="1">IFERROR(__xludf.DUMMYFUNCTION("""COMPUTED_VALUE"""),289)</f>
        <v>289</v>
      </c>
      <c r="P304" s="1">
        <f ca="1">IFERROR(__xludf.DUMMYFUNCTION("""COMPUTED_VALUE"""),101)</f>
        <v>101</v>
      </c>
      <c r="Q304" s="1">
        <f ca="1">IFERROR(__xludf.DUMMYFUNCTION("""COMPUTED_VALUE"""),313)</f>
        <v>313</v>
      </c>
      <c r="R304" s="1">
        <f ca="1">IFERROR(__xludf.DUMMYFUNCTION("""COMPUTED_VALUE"""),106.3)</f>
        <v>106.3</v>
      </c>
      <c r="S304" s="1">
        <f ca="1">IFERROR(__xludf.DUMMYFUNCTION("""COMPUTED_VALUE"""),246)</f>
        <v>246</v>
      </c>
      <c r="T304" s="1">
        <f ca="1">IFERROR(__xludf.DUMMYFUNCTION("""COMPUTED_VALUE"""),-0.74)</f>
        <v>-0.74</v>
      </c>
      <c r="U304" s="1">
        <f ca="1">IFERROR(__xludf.DUMMYFUNCTION("""COMPUTED_VALUE"""),181)</f>
        <v>181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IFERROR(__xludf.DUMMYFUNCTION("""COMPUTED_VALUE"""),"Saint Louis")</f>
        <v>Saint Louis</v>
      </c>
      <c r="C305" s="1" t="str">
        <f ca="1">IFERROR(__xludf.DUMMYFUNCTION("""COMPUTED_VALUE"""),"A10")</f>
        <v>A10</v>
      </c>
      <c r="D305" s="2">
        <f ca="1">IFERROR(__xludf.DUMMYFUNCTION("""COMPUTED_VALUE"""),44886)</f>
        <v>44886</v>
      </c>
      <c r="E305" s="1">
        <f ca="1">IFERROR(__xludf.DUMMYFUNCTION("""COMPUTED_VALUE"""),-9.85)</f>
        <v>-9.85</v>
      </c>
      <c r="F305" s="1">
        <f ca="1">IFERROR(__xludf.DUMMYFUNCTION("""COMPUTED_VALUE"""),95.9)</f>
        <v>95.9</v>
      </c>
      <c r="G305" s="1">
        <f ca="1">IFERROR(__xludf.DUMMYFUNCTION("""COMPUTED_VALUE"""),311)</f>
        <v>311</v>
      </c>
      <c r="H305" s="1">
        <f ca="1">IFERROR(__xludf.DUMMYFUNCTION("""COMPUTED_VALUE"""),105.8)</f>
        <v>105.8</v>
      </c>
      <c r="I305" s="1">
        <f ca="1">IFERROR(__xludf.DUMMYFUNCTION("""COMPUTED_VALUE"""),194)</f>
        <v>194</v>
      </c>
      <c r="J305" s="1">
        <f ca="1">IFERROR(__xludf.DUMMYFUNCTION("""COMPUTED_VALUE"""),62.8)</f>
        <v>62.8</v>
      </c>
      <c r="K305" s="1">
        <f ca="1">IFERROR(__xludf.DUMMYFUNCTION("""COMPUTED_VALUE"""),261)</f>
        <v>261</v>
      </c>
      <c r="L305" s="1" t="str">
        <f ca="1">IFERROR(__xludf.DUMMYFUNCTION("""COMPUTED_VALUE"""),"+.065")</f>
        <v>+.065</v>
      </c>
      <c r="M305" s="1">
        <f ca="1">IFERROR(__xludf.DUMMYFUNCTION("""COMPUTED_VALUE"""),43)</f>
        <v>43</v>
      </c>
      <c r="N305" s="1" t="str">
        <f ca="1">IFERROR(__xludf.DUMMYFUNCTION("""COMPUTED_VALUE"""),"+1.32")</f>
        <v>+1.32</v>
      </c>
      <c r="O305" s="1">
        <f ca="1">IFERROR(__xludf.DUMMYFUNCTION("""COMPUTED_VALUE"""),118)</f>
        <v>118</v>
      </c>
      <c r="P305" s="1">
        <f ca="1">IFERROR(__xludf.DUMMYFUNCTION("""COMPUTED_VALUE"""),104.2)</f>
        <v>104.2</v>
      </c>
      <c r="Q305" s="1">
        <f ca="1">IFERROR(__xludf.DUMMYFUNCTION("""COMPUTED_VALUE"""),151)</f>
        <v>151</v>
      </c>
      <c r="R305" s="1">
        <f ca="1">IFERROR(__xludf.DUMMYFUNCTION("""COMPUTED_VALUE"""),102.9)</f>
        <v>102.9</v>
      </c>
      <c r="S305" s="1">
        <f ca="1">IFERROR(__xludf.DUMMYFUNCTION("""COMPUTED_VALUE"""),102)</f>
        <v>102</v>
      </c>
      <c r="T305" s="1">
        <f ca="1">IFERROR(__xludf.DUMMYFUNCTION("""COMPUTED_VALUE"""),-5.41)</f>
        <v>-5.41</v>
      </c>
      <c r="U305" s="1">
        <f ca="1">IFERROR(__xludf.DUMMYFUNCTION("""COMPUTED_VALUE"""),310)</f>
        <v>310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IFERROR(__xludf.DUMMYFUNCTION("""COMPUTED_VALUE"""),"Florida Atlantic")</f>
        <v>Florida Atlantic</v>
      </c>
      <c r="C306" s="1" t="str">
        <f ca="1">IFERROR(__xludf.DUMMYFUNCTION("""COMPUTED_VALUE"""),"CUSA")</f>
        <v>CUSA</v>
      </c>
      <c r="D306" s="2">
        <f ca="1">IFERROR(__xludf.DUMMYFUNCTION("""COMPUTED_VALUE"""),44824)</f>
        <v>44824</v>
      </c>
      <c r="E306" s="1">
        <f ca="1">IFERROR(__xludf.DUMMYFUNCTION("""COMPUTED_VALUE"""),-10.28)</f>
        <v>-10.28</v>
      </c>
      <c r="F306" s="1">
        <f ca="1">IFERROR(__xludf.DUMMYFUNCTION("""COMPUTED_VALUE"""),98.7)</f>
        <v>98.7</v>
      </c>
      <c r="G306" s="1">
        <f ca="1">IFERROR(__xludf.DUMMYFUNCTION("""COMPUTED_VALUE"""),277)</f>
        <v>277</v>
      </c>
      <c r="H306" s="1">
        <f ca="1">IFERROR(__xludf.DUMMYFUNCTION("""COMPUTED_VALUE"""),109)</f>
        <v>109</v>
      </c>
      <c r="I306" s="1">
        <f ca="1">IFERROR(__xludf.DUMMYFUNCTION("""COMPUTED_VALUE"""),265)</f>
        <v>265</v>
      </c>
      <c r="J306" s="1">
        <f ca="1">IFERROR(__xludf.DUMMYFUNCTION("""COMPUTED_VALUE"""),63.9)</f>
        <v>63.9</v>
      </c>
      <c r="K306" s="1">
        <f ca="1">IFERROR(__xludf.DUMMYFUNCTION("""COMPUTED_VALUE"""),200)</f>
        <v>200</v>
      </c>
      <c r="L306" s="1">
        <f ca="1">IFERROR(__xludf.DUMMYFUNCTION("""COMPUTED_VALUE"""),-0.053)</f>
        <v>-5.2999999999999999E-2</v>
      </c>
      <c r="M306" s="1">
        <f ca="1">IFERROR(__xludf.DUMMYFUNCTION("""COMPUTED_VALUE"""),300)</f>
        <v>300</v>
      </c>
      <c r="N306" s="1">
        <f ca="1">IFERROR(__xludf.DUMMYFUNCTION("""COMPUTED_VALUE"""),-2.27)</f>
        <v>-2.27</v>
      </c>
      <c r="O306" s="1">
        <f ca="1">IFERROR(__xludf.DUMMYFUNCTION("""COMPUTED_VALUE"""),196)</f>
        <v>196</v>
      </c>
      <c r="P306" s="1">
        <f ca="1">IFERROR(__xludf.DUMMYFUNCTION("""COMPUTED_VALUE"""),102.4)</f>
        <v>102.4</v>
      </c>
      <c r="Q306" s="1">
        <f ca="1">IFERROR(__xludf.DUMMYFUNCTION("""COMPUTED_VALUE"""),246)</f>
        <v>246</v>
      </c>
      <c r="R306" s="1">
        <f ca="1">IFERROR(__xludf.DUMMYFUNCTION("""COMPUTED_VALUE"""),104.7)</f>
        <v>104.7</v>
      </c>
      <c r="S306" s="1">
        <f ca="1">IFERROR(__xludf.DUMMYFUNCTION("""COMPUTED_VALUE"""),169)</f>
        <v>169</v>
      </c>
      <c r="T306" s="1">
        <f ca="1">IFERROR(__xludf.DUMMYFUNCTION("""COMPUTED_VALUE"""),-2.59)</f>
        <v>-2.59</v>
      </c>
      <c r="U306" s="1">
        <f ca="1">IFERROR(__xludf.DUMMYFUNCTION("""COMPUTED_VALUE"""),240)</f>
        <v>240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IFERROR(__xludf.DUMMYFUNCTION("""COMPUTED_VALUE"""),"Penn")</f>
        <v>Penn</v>
      </c>
      <c r="C307" s="1" t="str">
        <f ca="1">IFERROR(__xludf.DUMMYFUNCTION("""COMPUTED_VALUE"""),"Ivy")</f>
        <v>Ivy</v>
      </c>
      <c r="D307" s="2">
        <f ca="1">IFERROR(__xludf.DUMMYFUNCTION("""COMPUTED_VALUE"""),44823)</f>
        <v>44823</v>
      </c>
      <c r="E307" s="1">
        <f ca="1">IFERROR(__xludf.DUMMYFUNCTION("""COMPUTED_VALUE"""),-10.46)</f>
        <v>-10.46</v>
      </c>
      <c r="F307" s="1">
        <f ca="1">IFERROR(__xludf.DUMMYFUNCTION("""COMPUTED_VALUE"""),97.7)</f>
        <v>97.7</v>
      </c>
      <c r="G307" s="1">
        <f ca="1">IFERROR(__xludf.DUMMYFUNCTION("""COMPUTED_VALUE"""),291)</f>
        <v>291</v>
      </c>
      <c r="H307" s="1">
        <f ca="1">IFERROR(__xludf.DUMMYFUNCTION("""COMPUTED_VALUE"""),108.2)</f>
        <v>108.2</v>
      </c>
      <c r="I307" s="1">
        <f ca="1">IFERROR(__xludf.DUMMYFUNCTION("""COMPUTED_VALUE"""),250)</f>
        <v>250</v>
      </c>
      <c r="J307" s="1">
        <f ca="1">IFERROR(__xludf.DUMMYFUNCTION("""COMPUTED_VALUE"""),63.3)</f>
        <v>63.3</v>
      </c>
      <c r="K307" s="1">
        <f ca="1">IFERROR(__xludf.DUMMYFUNCTION("""COMPUTED_VALUE"""),241)</f>
        <v>241</v>
      </c>
      <c r="L307" s="1" t="str">
        <f ca="1">IFERROR(__xludf.DUMMYFUNCTION("""COMPUTED_VALUE"""),"+.024")</f>
        <v>+.024</v>
      </c>
      <c r="M307" s="1">
        <f ca="1">IFERROR(__xludf.DUMMYFUNCTION("""COMPUTED_VALUE"""),125)</f>
        <v>125</v>
      </c>
      <c r="N307" s="1">
        <f ca="1">IFERROR(__xludf.DUMMYFUNCTION("""COMPUTED_VALUE"""),-0.88)</f>
        <v>-0.88</v>
      </c>
      <c r="O307" s="1">
        <f ca="1">IFERROR(__xludf.DUMMYFUNCTION("""COMPUTED_VALUE"""),158)</f>
        <v>158</v>
      </c>
      <c r="P307" s="1">
        <f ca="1">IFERROR(__xludf.DUMMYFUNCTION("""COMPUTED_VALUE"""),103.1)</f>
        <v>103.1</v>
      </c>
      <c r="Q307" s="1">
        <f ca="1">IFERROR(__xludf.DUMMYFUNCTION("""COMPUTED_VALUE"""),208)</f>
        <v>208</v>
      </c>
      <c r="R307" s="1">
        <f ca="1">IFERROR(__xludf.DUMMYFUNCTION("""COMPUTED_VALUE"""),104)</f>
        <v>104</v>
      </c>
      <c r="S307" s="1">
        <f ca="1">IFERROR(__xludf.DUMMYFUNCTION("""COMPUTED_VALUE"""),138)</f>
        <v>138</v>
      </c>
      <c r="T307" s="1">
        <f ca="1">IFERROR(__xludf.DUMMYFUNCTION("""COMPUTED_VALUE"""),-1.9)</f>
        <v>-1.9</v>
      </c>
      <c r="U307" s="1">
        <f ca="1">IFERROR(__xludf.DUMMYFUNCTION("""COMPUTED_VALUE"""),215)</f>
        <v>215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IFERROR(__xludf.DUMMYFUNCTION("""COMPUTED_VALUE"""),"Cal St. Fullerton")</f>
        <v>Cal St. Fullerton</v>
      </c>
      <c r="C308" s="1" t="str">
        <f ca="1">IFERROR(__xludf.DUMMYFUNCTION("""COMPUTED_VALUE"""),"BW")</f>
        <v>BW</v>
      </c>
      <c r="D308" s="2">
        <f ca="1">IFERROR(__xludf.DUMMYFUNCTION("""COMPUTED_VALUE"""),44826)</f>
        <v>44826</v>
      </c>
      <c r="E308" s="1">
        <f ca="1">IFERROR(__xludf.DUMMYFUNCTION("""COMPUTED_VALUE"""),-10.62)</f>
        <v>-10.62</v>
      </c>
      <c r="F308" s="1">
        <f ca="1">IFERROR(__xludf.DUMMYFUNCTION("""COMPUTED_VALUE"""),99.1)</f>
        <v>99.1</v>
      </c>
      <c r="G308" s="1">
        <f ca="1">IFERROR(__xludf.DUMMYFUNCTION("""COMPUTED_VALUE"""),269)</f>
        <v>269</v>
      </c>
      <c r="H308" s="1">
        <f ca="1">IFERROR(__xludf.DUMMYFUNCTION("""COMPUTED_VALUE"""),109.7)</f>
        <v>109.7</v>
      </c>
      <c r="I308" s="1">
        <f ca="1">IFERROR(__xludf.DUMMYFUNCTION("""COMPUTED_VALUE"""),284)</f>
        <v>284</v>
      </c>
      <c r="J308" s="1">
        <f ca="1">IFERROR(__xludf.DUMMYFUNCTION("""COMPUTED_VALUE"""),65.7)</f>
        <v>65.7</v>
      </c>
      <c r="K308" s="1">
        <f ca="1">IFERROR(__xludf.DUMMYFUNCTION("""COMPUTED_VALUE"""),107)</f>
        <v>107</v>
      </c>
      <c r="L308" s="1">
        <f ca="1">IFERROR(__xludf.DUMMYFUNCTION("""COMPUTED_VALUE"""),-0.009)</f>
        <v>-8.9999999999999993E-3</v>
      </c>
      <c r="M308" s="1">
        <f ca="1">IFERROR(__xludf.DUMMYFUNCTION("""COMPUTED_VALUE"""),207)</f>
        <v>207</v>
      </c>
      <c r="N308" s="1">
        <f ca="1">IFERROR(__xludf.DUMMYFUNCTION("""COMPUTED_VALUE"""),-0.35)</f>
        <v>-0.35</v>
      </c>
      <c r="O308" s="1">
        <f ca="1">IFERROR(__xludf.DUMMYFUNCTION("""COMPUTED_VALUE"""),148)</f>
        <v>148</v>
      </c>
      <c r="P308" s="1">
        <f ca="1">IFERROR(__xludf.DUMMYFUNCTION("""COMPUTED_VALUE"""),103.3)</f>
        <v>103.3</v>
      </c>
      <c r="Q308" s="1">
        <f ca="1">IFERROR(__xludf.DUMMYFUNCTION("""COMPUTED_VALUE"""),197)</f>
        <v>197</v>
      </c>
      <c r="R308" s="1">
        <f ca="1">IFERROR(__xludf.DUMMYFUNCTION("""COMPUTED_VALUE"""),103.7)</f>
        <v>103.7</v>
      </c>
      <c r="S308" s="1">
        <f ca="1">IFERROR(__xludf.DUMMYFUNCTION("""COMPUTED_VALUE"""),123)</f>
        <v>123</v>
      </c>
      <c r="T308" s="1">
        <f ca="1">IFERROR(__xludf.DUMMYFUNCTION("""COMPUTED_VALUE"""),-2.31)</f>
        <v>-2.31</v>
      </c>
      <c r="U308" s="1">
        <f ca="1">IFERROR(__xludf.DUMMYFUNCTION("""COMPUTED_VALUE"""),226)</f>
        <v>226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IFERROR(__xludf.DUMMYFUNCTION("""COMPUTED_VALUE"""),"Samford")</f>
        <v>Samford</v>
      </c>
      <c r="C309" s="1" t="str">
        <f ca="1">IFERROR(__xludf.DUMMYFUNCTION("""COMPUTED_VALUE"""),"SC")</f>
        <v>SC</v>
      </c>
      <c r="D309" s="1" t="str">
        <f ca="1">IFERROR(__xludf.DUMMYFUNCTION("""COMPUTED_VALUE"""),"13-19")</f>
        <v>13-19</v>
      </c>
      <c r="E309" s="1">
        <f ca="1">IFERROR(__xludf.DUMMYFUNCTION("""COMPUTED_VALUE"""),-10.69)</f>
        <v>-10.69</v>
      </c>
      <c r="F309" s="1">
        <f ca="1">IFERROR(__xludf.DUMMYFUNCTION("""COMPUTED_VALUE"""),102)</f>
        <v>102</v>
      </c>
      <c r="G309" s="1">
        <f ca="1">IFERROR(__xludf.DUMMYFUNCTION("""COMPUTED_VALUE"""),222)</f>
        <v>222</v>
      </c>
      <c r="H309" s="1">
        <f ca="1">IFERROR(__xludf.DUMMYFUNCTION("""COMPUTED_VALUE"""),112.6)</f>
        <v>112.6</v>
      </c>
      <c r="I309" s="1">
        <f ca="1">IFERROR(__xludf.DUMMYFUNCTION("""COMPUTED_VALUE"""),323)</f>
        <v>323</v>
      </c>
      <c r="J309" s="1">
        <f ca="1">IFERROR(__xludf.DUMMYFUNCTION("""COMPUTED_VALUE"""),66.1)</f>
        <v>66.099999999999994</v>
      </c>
      <c r="K309" s="1">
        <f ca="1">IFERROR(__xludf.DUMMYFUNCTION("""COMPUTED_VALUE"""),86)</f>
        <v>86</v>
      </c>
      <c r="L309" s="1" t="str">
        <f ca="1">IFERROR(__xludf.DUMMYFUNCTION("""COMPUTED_VALUE"""),"+.010")</f>
        <v>+.010</v>
      </c>
      <c r="M309" s="1">
        <f ca="1">IFERROR(__xludf.DUMMYFUNCTION("""COMPUTED_VALUE"""),157)</f>
        <v>157</v>
      </c>
      <c r="N309" s="1">
        <f ca="1">IFERROR(__xludf.DUMMYFUNCTION("""COMPUTED_VALUE"""),-6.94)</f>
        <v>-6.94</v>
      </c>
      <c r="O309" s="1">
        <f ca="1">IFERROR(__xludf.DUMMYFUNCTION("""COMPUTED_VALUE"""),327)</f>
        <v>327</v>
      </c>
      <c r="P309" s="1">
        <f ca="1">IFERROR(__xludf.DUMMYFUNCTION("""COMPUTED_VALUE"""),101.5)</f>
        <v>101.5</v>
      </c>
      <c r="Q309" s="1">
        <f ca="1">IFERROR(__xludf.DUMMYFUNCTION("""COMPUTED_VALUE"""),301)</f>
        <v>301</v>
      </c>
      <c r="R309" s="1">
        <f ca="1">IFERROR(__xludf.DUMMYFUNCTION("""COMPUTED_VALUE"""),108.5)</f>
        <v>108.5</v>
      </c>
      <c r="S309" s="1">
        <f ca="1">IFERROR(__xludf.DUMMYFUNCTION("""COMPUTED_VALUE"""),329)</f>
        <v>329</v>
      </c>
      <c r="T309" s="1">
        <f ca="1">IFERROR(__xludf.DUMMYFUNCTION("""COMPUTED_VALUE"""),-6.13)</f>
        <v>-6.13</v>
      </c>
      <c r="U309" s="1">
        <f ca="1">IFERROR(__xludf.DUMMYFUNCTION("""COMPUTED_VALUE"""),325)</f>
        <v>325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IFERROR(__xludf.DUMMYFUNCTION("""COMPUTED_VALUE"""),"VMI")</f>
        <v>VMI</v>
      </c>
      <c r="C310" s="1" t="str">
        <f ca="1">IFERROR(__xludf.DUMMYFUNCTION("""COMPUTED_VALUE"""),"SC")</f>
        <v>SC</v>
      </c>
      <c r="D310" s="2">
        <f ca="1">IFERROR(__xludf.DUMMYFUNCTION("""COMPUTED_VALUE"""),44884)</f>
        <v>44884</v>
      </c>
      <c r="E310" s="1">
        <f ca="1">IFERROR(__xludf.DUMMYFUNCTION("""COMPUTED_VALUE"""),-10.78)</f>
        <v>-10.78</v>
      </c>
      <c r="F310" s="1">
        <f ca="1">IFERROR(__xludf.DUMMYFUNCTION("""COMPUTED_VALUE"""),98.4)</f>
        <v>98.4</v>
      </c>
      <c r="G310" s="1">
        <f ca="1">IFERROR(__xludf.DUMMYFUNCTION("""COMPUTED_VALUE"""),283)</f>
        <v>283</v>
      </c>
      <c r="H310" s="1">
        <f ca="1">IFERROR(__xludf.DUMMYFUNCTION("""COMPUTED_VALUE"""),109.2)</f>
        <v>109.2</v>
      </c>
      <c r="I310" s="1">
        <f ca="1">IFERROR(__xludf.DUMMYFUNCTION("""COMPUTED_VALUE"""),272)</f>
        <v>272</v>
      </c>
      <c r="J310" s="1">
        <f ca="1">IFERROR(__xludf.DUMMYFUNCTION("""COMPUTED_VALUE"""),76.5)</f>
        <v>76.5</v>
      </c>
      <c r="K310" s="1">
        <f ca="1">IFERROR(__xludf.DUMMYFUNCTION("""COMPUTED_VALUE"""),1)</f>
        <v>1</v>
      </c>
      <c r="L310" s="1">
        <f ca="1">IFERROR(__xludf.DUMMYFUNCTION("""COMPUTED_VALUE"""),-0.05)</f>
        <v>-0.05</v>
      </c>
      <c r="M310" s="1">
        <f ca="1">IFERROR(__xludf.DUMMYFUNCTION("""COMPUTED_VALUE"""),294)</f>
        <v>294</v>
      </c>
      <c r="N310" s="1">
        <f ca="1">IFERROR(__xludf.DUMMYFUNCTION("""COMPUTED_VALUE"""),-4.85)</f>
        <v>-4.8499999999999996</v>
      </c>
      <c r="O310" s="1">
        <f ca="1">IFERROR(__xludf.DUMMYFUNCTION("""COMPUTED_VALUE"""),275)</f>
        <v>275</v>
      </c>
      <c r="P310" s="1">
        <f ca="1">IFERROR(__xludf.DUMMYFUNCTION("""COMPUTED_VALUE"""),103)</f>
        <v>103</v>
      </c>
      <c r="Q310" s="1">
        <f ca="1">IFERROR(__xludf.DUMMYFUNCTION("""COMPUTED_VALUE"""),214)</f>
        <v>214</v>
      </c>
      <c r="R310" s="1">
        <f ca="1">IFERROR(__xludf.DUMMYFUNCTION("""COMPUTED_VALUE"""),107.9)</f>
        <v>107.9</v>
      </c>
      <c r="S310" s="1">
        <f ca="1">IFERROR(__xludf.DUMMYFUNCTION("""COMPUTED_VALUE"""),310)</f>
        <v>310</v>
      </c>
      <c r="T310" s="1" t="str">
        <f ca="1">IFERROR(__xludf.DUMMYFUNCTION("""COMPUTED_VALUE"""),"+0.35")</f>
        <v>+0.35</v>
      </c>
      <c r="U310" s="1">
        <f ca="1">IFERROR(__xludf.DUMMYFUNCTION("""COMPUTED_VALUE"""),146)</f>
        <v>146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IFERROR(__xludf.DUMMYFUNCTION("""COMPUTED_VALUE"""),"Arkansas St.")</f>
        <v>Arkansas St.</v>
      </c>
      <c r="C311" s="1" t="str">
        <f ca="1">IFERROR(__xludf.DUMMYFUNCTION("""COMPUTED_VALUE"""),"SB")</f>
        <v>SB</v>
      </c>
      <c r="D311" s="2">
        <f ca="1">IFERROR(__xludf.DUMMYFUNCTION("""COMPUTED_VALUE"""),44883)</f>
        <v>44883</v>
      </c>
      <c r="E311" s="1">
        <f ca="1">IFERROR(__xludf.DUMMYFUNCTION("""COMPUTED_VALUE"""),-10.83)</f>
        <v>-10.83</v>
      </c>
      <c r="F311" s="1">
        <f ca="1">IFERROR(__xludf.DUMMYFUNCTION("""COMPUTED_VALUE"""),96.2)</f>
        <v>96.2</v>
      </c>
      <c r="G311" s="1">
        <f ca="1">IFERROR(__xludf.DUMMYFUNCTION("""COMPUTED_VALUE"""),308)</f>
        <v>308</v>
      </c>
      <c r="H311" s="1">
        <f ca="1">IFERROR(__xludf.DUMMYFUNCTION("""COMPUTED_VALUE"""),107)</f>
        <v>107</v>
      </c>
      <c r="I311" s="1">
        <f ca="1">IFERROR(__xludf.DUMMYFUNCTION("""COMPUTED_VALUE"""),222)</f>
        <v>222</v>
      </c>
      <c r="J311" s="1">
        <f ca="1">IFERROR(__xludf.DUMMYFUNCTION("""COMPUTED_VALUE"""),65.7)</f>
        <v>65.7</v>
      </c>
      <c r="K311" s="1">
        <f ca="1">IFERROR(__xludf.DUMMYFUNCTION("""COMPUTED_VALUE"""),108)</f>
        <v>108</v>
      </c>
      <c r="L311" s="1" t="str">
        <f ca="1">IFERROR(__xludf.DUMMYFUNCTION("""COMPUTED_VALUE"""),"+.023")</f>
        <v>+.023</v>
      </c>
      <c r="M311" s="1">
        <f ca="1">IFERROR(__xludf.DUMMYFUNCTION("""COMPUTED_VALUE"""),126)</f>
        <v>126</v>
      </c>
      <c r="N311" s="1">
        <f ca="1">IFERROR(__xludf.DUMMYFUNCTION("""COMPUTED_VALUE"""),-3.81)</f>
        <v>-3.81</v>
      </c>
      <c r="O311" s="1">
        <f ca="1">IFERROR(__xludf.DUMMYFUNCTION("""COMPUTED_VALUE"""),242)</f>
        <v>242</v>
      </c>
      <c r="P311" s="1">
        <f ca="1">IFERROR(__xludf.DUMMYFUNCTION("""COMPUTED_VALUE"""),101.8)</f>
        <v>101.8</v>
      </c>
      <c r="Q311" s="1">
        <f ca="1">IFERROR(__xludf.DUMMYFUNCTION("""COMPUTED_VALUE"""),289)</f>
        <v>289</v>
      </c>
      <c r="R311" s="1">
        <f ca="1">IFERROR(__xludf.DUMMYFUNCTION("""COMPUTED_VALUE"""),105.6)</f>
        <v>105.6</v>
      </c>
      <c r="S311" s="1">
        <f ca="1">IFERROR(__xludf.DUMMYFUNCTION("""COMPUTED_VALUE"""),218)</f>
        <v>218</v>
      </c>
      <c r="T311" s="1">
        <f ca="1">IFERROR(__xludf.DUMMYFUNCTION("""COMPUTED_VALUE"""),-3.98)</f>
        <v>-3.98</v>
      </c>
      <c r="U311" s="1">
        <f ca="1">IFERROR(__xludf.DUMMYFUNCTION("""COMPUTED_VALUE"""),282)</f>
        <v>282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IFERROR(__xludf.DUMMYFUNCTION("""COMPUTED_VALUE"""),"Fairfield")</f>
        <v>Fairfield</v>
      </c>
      <c r="C312" s="1" t="str">
        <f ca="1">IFERROR(__xludf.DUMMYFUNCTION("""COMPUTED_VALUE"""),"MAAC")</f>
        <v>MAAC</v>
      </c>
      <c r="D312" s="2">
        <f ca="1">IFERROR(__xludf.DUMMYFUNCTION("""COMPUTED_VALUE"""),44766)</f>
        <v>44766</v>
      </c>
      <c r="E312" s="1">
        <f ca="1">IFERROR(__xludf.DUMMYFUNCTION("""COMPUTED_VALUE"""),-10.9)</f>
        <v>-10.9</v>
      </c>
      <c r="F312" s="1">
        <f ca="1">IFERROR(__xludf.DUMMYFUNCTION("""COMPUTED_VALUE"""),95.4)</f>
        <v>95.4</v>
      </c>
      <c r="G312" s="1">
        <f ca="1">IFERROR(__xludf.DUMMYFUNCTION("""COMPUTED_VALUE"""),314)</f>
        <v>314</v>
      </c>
      <c r="H312" s="1">
        <f ca="1">IFERROR(__xludf.DUMMYFUNCTION("""COMPUTED_VALUE"""),106.3)</f>
        <v>106.3</v>
      </c>
      <c r="I312" s="1">
        <f ca="1">IFERROR(__xludf.DUMMYFUNCTION("""COMPUTED_VALUE"""),206)</f>
        <v>206</v>
      </c>
      <c r="J312" s="1">
        <f ca="1">IFERROR(__xludf.DUMMYFUNCTION("""COMPUTED_VALUE"""),61.2)</f>
        <v>61.2</v>
      </c>
      <c r="K312" s="1">
        <f ca="1">IFERROR(__xludf.DUMMYFUNCTION("""COMPUTED_VALUE"""),313)</f>
        <v>313</v>
      </c>
      <c r="L312" s="1">
        <f ca="1">IFERROR(__xludf.DUMMYFUNCTION("""COMPUTED_VALUE"""),-0.085)</f>
        <v>-8.5000000000000006E-2</v>
      </c>
      <c r="M312" s="1">
        <f ca="1">IFERROR(__xludf.DUMMYFUNCTION("""COMPUTED_VALUE"""),334)</f>
        <v>334</v>
      </c>
      <c r="N312" s="1">
        <f ca="1">IFERROR(__xludf.DUMMYFUNCTION("""COMPUTED_VALUE"""),-2.99)</f>
        <v>-2.99</v>
      </c>
      <c r="O312" s="1">
        <f ca="1">IFERROR(__xludf.DUMMYFUNCTION("""COMPUTED_VALUE"""),212)</f>
        <v>212</v>
      </c>
      <c r="P312" s="1">
        <f ca="1">IFERROR(__xludf.DUMMYFUNCTION("""COMPUTED_VALUE"""),102.6)</f>
        <v>102.6</v>
      </c>
      <c r="Q312" s="1">
        <f ca="1">IFERROR(__xludf.DUMMYFUNCTION("""COMPUTED_VALUE"""),239)</f>
        <v>239</v>
      </c>
      <c r="R312" s="1">
        <f ca="1">IFERROR(__xludf.DUMMYFUNCTION("""COMPUTED_VALUE"""),105.6)</f>
        <v>105.6</v>
      </c>
      <c r="S312" s="1">
        <f ca="1">IFERROR(__xludf.DUMMYFUNCTION("""COMPUTED_VALUE"""),211)</f>
        <v>211</v>
      </c>
      <c r="T312" s="1">
        <f ca="1">IFERROR(__xludf.DUMMYFUNCTION("""COMPUTED_VALUE"""),-1.87)</f>
        <v>-1.87</v>
      </c>
      <c r="U312" s="1">
        <f ca="1">IFERROR(__xludf.DUMMYFUNCTION("""COMPUTED_VALUE"""),213)</f>
        <v>213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IFERROR(__xludf.DUMMYFUNCTION("""COMPUTED_VALUE"""),"South Alabama")</f>
        <v>South Alabama</v>
      </c>
      <c r="C313" s="1" t="str">
        <f ca="1">IFERROR(__xludf.DUMMYFUNCTION("""COMPUTED_VALUE"""),"SB")</f>
        <v>SB</v>
      </c>
      <c r="D313" s="2">
        <f ca="1">IFERROR(__xludf.DUMMYFUNCTION("""COMPUTED_VALUE"""),44916)</f>
        <v>44916</v>
      </c>
      <c r="E313" s="1">
        <f ca="1">IFERROR(__xludf.DUMMYFUNCTION("""COMPUTED_VALUE"""),-11.28)</f>
        <v>-11.28</v>
      </c>
      <c r="F313" s="1">
        <f ca="1">IFERROR(__xludf.DUMMYFUNCTION("""COMPUTED_VALUE"""),101)</f>
        <v>101</v>
      </c>
      <c r="G313" s="1">
        <f ca="1">IFERROR(__xludf.DUMMYFUNCTION("""COMPUTED_VALUE"""),238)</f>
        <v>238</v>
      </c>
      <c r="H313" s="1">
        <f ca="1">IFERROR(__xludf.DUMMYFUNCTION("""COMPUTED_VALUE"""),112.2)</f>
        <v>112.2</v>
      </c>
      <c r="I313" s="1">
        <f ca="1">IFERROR(__xludf.DUMMYFUNCTION("""COMPUTED_VALUE"""),318)</f>
        <v>318</v>
      </c>
      <c r="J313" s="1">
        <f ca="1">IFERROR(__xludf.DUMMYFUNCTION("""COMPUTED_VALUE"""),68.6)</f>
        <v>68.599999999999994</v>
      </c>
      <c r="K313" s="1">
        <f ca="1">IFERROR(__xludf.DUMMYFUNCTION("""COMPUTED_VALUE"""),21)</f>
        <v>21</v>
      </c>
      <c r="L313" s="1" t="str">
        <f ca="1">IFERROR(__xludf.DUMMYFUNCTION("""COMPUTED_VALUE"""),"+.085")</f>
        <v>+.085</v>
      </c>
      <c r="M313" s="1">
        <f ca="1">IFERROR(__xludf.DUMMYFUNCTION("""COMPUTED_VALUE"""),19)</f>
        <v>19</v>
      </c>
      <c r="N313" s="1">
        <f ca="1">IFERROR(__xludf.DUMMYFUNCTION("""COMPUTED_VALUE"""),-2.6)</f>
        <v>-2.6</v>
      </c>
      <c r="O313" s="1">
        <f ca="1">IFERROR(__xludf.DUMMYFUNCTION("""COMPUTED_VALUE"""),201)</f>
        <v>201</v>
      </c>
      <c r="P313" s="1">
        <f ca="1">IFERROR(__xludf.DUMMYFUNCTION("""COMPUTED_VALUE"""),101.4)</f>
        <v>101.4</v>
      </c>
      <c r="Q313" s="1">
        <f ca="1">IFERROR(__xludf.DUMMYFUNCTION("""COMPUTED_VALUE"""),306)</f>
        <v>306</v>
      </c>
      <c r="R313" s="1">
        <f ca="1">IFERROR(__xludf.DUMMYFUNCTION("""COMPUTED_VALUE"""),104)</f>
        <v>104</v>
      </c>
      <c r="S313" s="1">
        <f ca="1">IFERROR(__xludf.DUMMYFUNCTION("""COMPUTED_VALUE"""),136)</f>
        <v>136</v>
      </c>
      <c r="T313" s="1" t="str">
        <f ca="1">IFERROR(__xludf.DUMMYFUNCTION("""COMPUTED_VALUE"""),"+0.44")</f>
        <v>+0.44</v>
      </c>
      <c r="U313" s="1">
        <f ca="1">IFERROR(__xludf.DUMMYFUNCTION("""COMPUTED_VALUE"""),143)</f>
        <v>143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IFERROR(__xludf.DUMMYFUNCTION("""COMPUTED_VALUE"""),"Lipscomb")</f>
        <v>Lipscomb</v>
      </c>
      <c r="C314" s="1" t="str">
        <f ca="1">IFERROR(__xludf.DUMMYFUNCTION("""COMPUTED_VALUE"""),"ASun")</f>
        <v>ASun</v>
      </c>
      <c r="D314" s="1" t="str">
        <f ca="1">IFERROR(__xludf.DUMMYFUNCTION("""COMPUTED_VALUE"""),"14-17")</f>
        <v>14-17</v>
      </c>
      <c r="E314" s="1">
        <f ca="1">IFERROR(__xludf.DUMMYFUNCTION("""COMPUTED_VALUE"""),-11.29)</f>
        <v>-11.29</v>
      </c>
      <c r="F314" s="1">
        <f ca="1">IFERROR(__xludf.DUMMYFUNCTION("""COMPUTED_VALUE"""),100.7)</f>
        <v>100.7</v>
      </c>
      <c r="G314" s="1">
        <f ca="1">IFERROR(__xludf.DUMMYFUNCTION("""COMPUTED_VALUE"""),244)</f>
        <v>244</v>
      </c>
      <c r="H314" s="1">
        <f ca="1">IFERROR(__xludf.DUMMYFUNCTION("""COMPUTED_VALUE"""),112)</f>
        <v>112</v>
      </c>
      <c r="I314" s="1">
        <f ca="1">IFERROR(__xludf.DUMMYFUNCTION("""COMPUTED_VALUE"""),316)</f>
        <v>316</v>
      </c>
      <c r="J314" s="1">
        <f ca="1">IFERROR(__xludf.DUMMYFUNCTION("""COMPUTED_VALUE"""),67.7)</f>
        <v>67.7</v>
      </c>
      <c r="K314" s="1">
        <f ca="1">IFERROR(__xludf.DUMMYFUNCTION("""COMPUTED_VALUE"""),31)</f>
        <v>31</v>
      </c>
      <c r="L314" s="1" t="str">
        <f ca="1">IFERROR(__xludf.DUMMYFUNCTION("""COMPUTED_VALUE"""),"+.051")</f>
        <v>+.051</v>
      </c>
      <c r="M314" s="1">
        <f ca="1">IFERROR(__xludf.DUMMYFUNCTION("""COMPUTED_VALUE"""),63)</f>
        <v>63</v>
      </c>
      <c r="N314" s="1">
        <f ca="1">IFERROR(__xludf.DUMMYFUNCTION("""COMPUTED_VALUE"""),-4.47)</f>
        <v>-4.47</v>
      </c>
      <c r="O314" s="1">
        <f ca="1">IFERROR(__xludf.DUMMYFUNCTION("""COMPUTED_VALUE"""),260)</f>
        <v>260</v>
      </c>
      <c r="P314" s="1">
        <f ca="1">IFERROR(__xludf.DUMMYFUNCTION("""COMPUTED_VALUE"""),103.2)</f>
        <v>103.2</v>
      </c>
      <c r="Q314" s="1">
        <f ca="1">IFERROR(__xludf.DUMMYFUNCTION("""COMPUTED_VALUE"""),201)</f>
        <v>201</v>
      </c>
      <c r="R314" s="1">
        <f ca="1">IFERROR(__xludf.DUMMYFUNCTION("""COMPUTED_VALUE"""),107.7)</f>
        <v>107.7</v>
      </c>
      <c r="S314" s="1">
        <f ca="1">IFERROR(__xludf.DUMMYFUNCTION("""COMPUTED_VALUE"""),304)</f>
        <v>304</v>
      </c>
      <c r="T314" s="1" t="str">
        <f ca="1">IFERROR(__xludf.DUMMYFUNCTION("""COMPUTED_VALUE"""),"+1.53")</f>
        <v>+1.53</v>
      </c>
      <c r="U314" s="1">
        <f ca="1">IFERROR(__xludf.DUMMYFUNCTION("""COMPUTED_VALUE"""),113)</f>
        <v>113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IFERROR(__xludf.DUMMYFUNCTION("""COMPUTED_VALUE"""),"Niagara")</f>
        <v>Niagara</v>
      </c>
      <c r="C315" s="1" t="str">
        <f ca="1">IFERROR(__xludf.DUMMYFUNCTION("""COMPUTED_VALUE"""),"MAAC")</f>
        <v>MAAC</v>
      </c>
      <c r="D315" s="2">
        <f ca="1">IFERROR(__xludf.DUMMYFUNCTION("""COMPUTED_VALUE"""),44795)</f>
        <v>44795</v>
      </c>
      <c r="E315" s="1">
        <f ca="1">IFERROR(__xludf.DUMMYFUNCTION("""COMPUTED_VALUE"""),-11.41)</f>
        <v>-11.41</v>
      </c>
      <c r="F315" s="1">
        <f ca="1">IFERROR(__xludf.DUMMYFUNCTION("""COMPUTED_VALUE"""),99.8)</f>
        <v>99.8</v>
      </c>
      <c r="G315" s="1">
        <f ca="1">IFERROR(__xludf.DUMMYFUNCTION("""COMPUTED_VALUE"""),262)</f>
        <v>262</v>
      </c>
      <c r="H315" s="1">
        <f ca="1">IFERROR(__xludf.DUMMYFUNCTION("""COMPUTED_VALUE"""),111.2)</f>
        <v>111.2</v>
      </c>
      <c r="I315" s="1">
        <f ca="1">IFERROR(__xludf.DUMMYFUNCTION("""COMPUTED_VALUE"""),307)</f>
        <v>307</v>
      </c>
      <c r="J315" s="1">
        <f ca="1">IFERROR(__xludf.DUMMYFUNCTION("""COMPUTED_VALUE"""),64.7)</f>
        <v>64.7</v>
      </c>
      <c r="K315" s="1">
        <f ca="1">IFERROR(__xludf.DUMMYFUNCTION("""COMPUTED_VALUE"""),149)</f>
        <v>149</v>
      </c>
      <c r="L315" s="1">
        <f ca="1">IFERROR(__xludf.DUMMYFUNCTION("""COMPUTED_VALUE"""),-0.004)</f>
        <v>-4.0000000000000001E-3</v>
      </c>
      <c r="M315" s="1">
        <f ca="1">IFERROR(__xludf.DUMMYFUNCTION("""COMPUTED_VALUE"""),194)</f>
        <v>194</v>
      </c>
      <c r="N315" s="1">
        <f ca="1">IFERROR(__xludf.DUMMYFUNCTION("""COMPUTED_VALUE"""),-1.99)</f>
        <v>-1.99</v>
      </c>
      <c r="O315" s="1">
        <f ca="1">IFERROR(__xludf.DUMMYFUNCTION("""COMPUTED_VALUE"""),190)</f>
        <v>190</v>
      </c>
      <c r="P315" s="1">
        <f ca="1">IFERROR(__xludf.DUMMYFUNCTION("""COMPUTED_VALUE"""),103.2)</f>
        <v>103.2</v>
      </c>
      <c r="Q315" s="1">
        <f ca="1">IFERROR(__xludf.DUMMYFUNCTION("""COMPUTED_VALUE"""),205)</f>
        <v>205</v>
      </c>
      <c r="R315" s="1">
        <f ca="1">IFERROR(__xludf.DUMMYFUNCTION("""COMPUTED_VALUE"""),105.2)</f>
        <v>105.2</v>
      </c>
      <c r="S315" s="1">
        <f ca="1">IFERROR(__xludf.DUMMYFUNCTION("""COMPUTED_VALUE"""),194)</f>
        <v>194</v>
      </c>
      <c r="T315" s="1" t="str">
        <f ca="1">IFERROR(__xludf.DUMMYFUNCTION("""COMPUTED_VALUE"""),"+2.77")</f>
        <v>+2.77</v>
      </c>
      <c r="U315" s="1">
        <f ca="1">IFERROR(__xludf.DUMMYFUNCTION("""COMPUTED_VALUE"""),76)</f>
        <v>76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IFERROR(__xludf.DUMMYFUNCTION("""COMPUTED_VALUE"""),"McNeese St.")</f>
        <v>McNeese St.</v>
      </c>
      <c r="C316" s="1" t="str">
        <f ca="1">IFERROR(__xludf.DUMMYFUNCTION("""COMPUTED_VALUE"""),"Slnd")</f>
        <v>Slnd</v>
      </c>
      <c r="D316" s="1" t="str">
        <f ca="1">IFERROR(__xludf.DUMMYFUNCTION("""COMPUTED_VALUE"""),"15-16")</f>
        <v>15-16</v>
      </c>
      <c r="E316" s="1">
        <f ca="1">IFERROR(__xludf.DUMMYFUNCTION("""COMPUTED_VALUE"""),-11.58)</f>
        <v>-11.58</v>
      </c>
      <c r="F316" s="1">
        <f ca="1">IFERROR(__xludf.DUMMYFUNCTION("""COMPUTED_VALUE"""),100.6)</f>
        <v>100.6</v>
      </c>
      <c r="G316" s="1">
        <f ca="1">IFERROR(__xludf.DUMMYFUNCTION("""COMPUTED_VALUE"""),246)</f>
        <v>246</v>
      </c>
      <c r="H316" s="1">
        <f ca="1">IFERROR(__xludf.DUMMYFUNCTION("""COMPUTED_VALUE"""),112.1)</f>
        <v>112.1</v>
      </c>
      <c r="I316" s="1">
        <f ca="1">IFERROR(__xludf.DUMMYFUNCTION("""COMPUTED_VALUE"""),317)</f>
        <v>317</v>
      </c>
      <c r="J316" s="1">
        <f ca="1">IFERROR(__xludf.DUMMYFUNCTION("""COMPUTED_VALUE"""),62.8)</f>
        <v>62.8</v>
      </c>
      <c r="K316" s="1">
        <f ca="1">IFERROR(__xludf.DUMMYFUNCTION("""COMPUTED_VALUE"""),260)</f>
        <v>260</v>
      </c>
      <c r="L316" s="1" t="str">
        <f ca="1">IFERROR(__xludf.DUMMYFUNCTION("""COMPUTED_VALUE"""),"+.035")</f>
        <v>+.035</v>
      </c>
      <c r="M316" s="1">
        <f ca="1">IFERROR(__xludf.DUMMYFUNCTION("""COMPUTED_VALUE"""),92)</f>
        <v>92</v>
      </c>
      <c r="N316" s="1">
        <f ca="1">IFERROR(__xludf.DUMMYFUNCTION("""COMPUTED_VALUE"""),-6.37)</f>
        <v>-6.37</v>
      </c>
      <c r="O316" s="1">
        <f ca="1">IFERROR(__xludf.DUMMYFUNCTION("""COMPUTED_VALUE"""),317)</f>
        <v>317</v>
      </c>
      <c r="P316" s="1">
        <f ca="1">IFERROR(__xludf.DUMMYFUNCTION("""COMPUTED_VALUE"""),102.2)</f>
        <v>102.2</v>
      </c>
      <c r="Q316" s="1">
        <f ca="1">IFERROR(__xludf.DUMMYFUNCTION("""COMPUTED_VALUE"""),258)</f>
        <v>258</v>
      </c>
      <c r="R316" s="1">
        <f ca="1">IFERROR(__xludf.DUMMYFUNCTION("""COMPUTED_VALUE"""),108.6)</f>
        <v>108.6</v>
      </c>
      <c r="S316" s="1">
        <f ca="1">IFERROR(__xludf.DUMMYFUNCTION("""COMPUTED_VALUE"""),336)</f>
        <v>336</v>
      </c>
      <c r="T316" s="1" t="str">
        <f ca="1">IFERROR(__xludf.DUMMYFUNCTION("""COMPUTED_VALUE"""),"+9.48")</f>
        <v>+9.48</v>
      </c>
      <c r="U316" s="1">
        <f ca="1">IFERROR(__xludf.DUMMYFUNCTION("""COMPUTED_VALUE"""),9)</f>
        <v>9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IFERROR(__xludf.DUMMYFUNCTION("""COMPUTED_VALUE"""),"Campbell")</f>
        <v>Campbell</v>
      </c>
      <c r="C317" s="1" t="str">
        <f ca="1">IFERROR(__xludf.DUMMYFUNCTION("""COMPUTED_VALUE"""),"BSth")</f>
        <v>BSth</v>
      </c>
      <c r="D317" s="2">
        <f ca="1">IFERROR(__xludf.DUMMYFUNCTION("""COMPUTED_VALUE"""),44856)</f>
        <v>44856</v>
      </c>
      <c r="E317" s="1">
        <f ca="1">IFERROR(__xludf.DUMMYFUNCTION("""COMPUTED_VALUE"""),-11.85)</f>
        <v>-11.85</v>
      </c>
      <c r="F317" s="1">
        <f ca="1">IFERROR(__xludf.DUMMYFUNCTION("""COMPUTED_VALUE"""),97.7)</f>
        <v>97.7</v>
      </c>
      <c r="G317" s="1">
        <f ca="1">IFERROR(__xludf.DUMMYFUNCTION("""COMPUTED_VALUE"""),292)</f>
        <v>292</v>
      </c>
      <c r="H317" s="1">
        <f ca="1">IFERROR(__xludf.DUMMYFUNCTION("""COMPUTED_VALUE"""),109.5)</f>
        <v>109.5</v>
      </c>
      <c r="I317" s="1">
        <f ca="1">IFERROR(__xludf.DUMMYFUNCTION("""COMPUTED_VALUE"""),279)</f>
        <v>279</v>
      </c>
      <c r="J317" s="1">
        <f ca="1">IFERROR(__xludf.DUMMYFUNCTION("""COMPUTED_VALUE"""),61.3)</f>
        <v>61.3</v>
      </c>
      <c r="K317" s="1">
        <f ca="1">IFERROR(__xludf.DUMMYFUNCTION("""COMPUTED_VALUE"""),311)</f>
        <v>311</v>
      </c>
      <c r="L317" s="1">
        <f ca="1">IFERROR(__xludf.DUMMYFUNCTION("""COMPUTED_VALUE"""),-0.089)</f>
        <v>-8.8999999999999996E-2</v>
      </c>
      <c r="M317" s="1">
        <f ca="1">IFERROR(__xludf.DUMMYFUNCTION("""COMPUTED_VALUE"""),335)</f>
        <v>335</v>
      </c>
      <c r="N317" s="1">
        <f ca="1">IFERROR(__xludf.DUMMYFUNCTION("""COMPUTED_VALUE"""),-4.38)</f>
        <v>-4.38</v>
      </c>
      <c r="O317" s="1">
        <f ca="1">IFERROR(__xludf.DUMMYFUNCTION("""COMPUTED_VALUE"""),258)</f>
        <v>258</v>
      </c>
      <c r="P317" s="1">
        <f ca="1">IFERROR(__xludf.DUMMYFUNCTION("""COMPUTED_VALUE"""),103.8)</f>
        <v>103.8</v>
      </c>
      <c r="Q317" s="1">
        <f ca="1">IFERROR(__xludf.DUMMYFUNCTION("""COMPUTED_VALUE"""),171)</f>
        <v>171</v>
      </c>
      <c r="R317" s="1">
        <f ca="1">IFERROR(__xludf.DUMMYFUNCTION("""COMPUTED_VALUE"""),108.2)</f>
        <v>108.2</v>
      </c>
      <c r="S317" s="1">
        <f ca="1">IFERROR(__xludf.DUMMYFUNCTION("""COMPUTED_VALUE"""),320)</f>
        <v>320</v>
      </c>
      <c r="T317" s="1">
        <f ca="1">IFERROR(__xludf.DUMMYFUNCTION("""COMPUTED_VALUE"""),-0.29)</f>
        <v>-0.28999999999999998</v>
      </c>
      <c r="U317" s="1">
        <f ca="1">IFERROR(__xludf.DUMMYFUNCTION("""COMPUTED_VALUE"""),165)</f>
        <v>165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IFERROR(__xludf.DUMMYFUNCTION("""COMPUTED_VALUE"""),"Prairie View A&amp;M")</f>
        <v>Prairie View A&amp;M</v>
      </c>
      <c r="C318" s="1" t="str">
        <f ca="1">IFERROR(__xludf.DUMMYFUNCTION("""COMPUTED_VALUE"""),"SWAC")</f>
        <v>SWAC</v>
      </c>
      <c r="D318" s="1" t="str">
        <f ca="1">IFERROR(__xludf.DUMMYFUNCTION("""COMPUTED_VALUE"""),"15-18")</f>
        <v>15-18</v>
      </c>
      <c r="E318" s="1">
        <f ca="1">IFERROR(__xludf.DUMMYFUNCTION("""COMPUTED_VALUE"""),-11.98)</f>
        <v>-11.98</v>
      </c>
      <c r="F318" s="1">
        <f ca="1">IFERROR(__xludf.DUMMYFUNCTION("""COMPUTED_VALUE"""),97.4)</f>
        <v>97.4</v>
      </c>
      <c r="G318" s="1">
        <f ca="1">IFERROR(__xludf.DUMMYFUNCTION("""COMPUTED_VALUE"""),295)</f>
        <v>295</v>
      </c>
      <c r="H318" s="1">
        <f ca="1">IFERROR(__xludf.DUMMYFUNCTION("""COMPUTED_VALUE"""),109.4)</f>
        <v>109.4</v>
      </c>
      <c r="I318" s="1">
        <f ca="1">IFERROR(__xludf.DUMMYFUNCTION("""COMPUTED_VALUE"""),275)</f>
        <v>275</v>
      </c>
      <c r="J318" s="1">
        <f ca="1">IFERROR(__xludf.DUMMYFUNCTION("""COMPUTED_VALUE"""),68.6)</f>
        <v>68.599999999999994</v>
      </c>
      <c r="K318" s="1">
        <f ca="1">IFERROR(__xludf.DUMMYFUNCTION("""COMPUTED_VALUE"""),20)</f>
        <v>20</v>
      </c>
      <c r="L318" s="1" t="str">
        <f ca="1">IFERROR(__xludf.DUMMYFUNCTION("""COMPUTED_VALUE"""),"+.013")</f>
        <v>+.013</v>
      </c>
      <c r="M318" s="1">
        <f ca="1">IFERROR(__xludf.DUMMYFUNCTION("""COMPUTED_VALUE"""),151)</f>
        <v>151</v>
      </c>
      <c r="N318" s="1">
        <f ca="1">IFERROR(__xludf.DUMMYFUNCTION("""COMPUTED_VALUE"""),-7.75)</f>
        <v>-7.75</v>
      </c>
      <c r="O318" s="1">
        <f ca="1">IFERROR(__xludf.DUMMYFUNCTION("""COMPUTED_VALUE"""),339)</f>
        <v>339</v>
      </c>
      <c r="P318" s="1">
        <f ca="1">IFERROR(__xludf.DUMMYFUNCTION("""COMPUTED_VALUE"""),98.4)</f>
        <v>98.4</v>
      </c>
      <c r="Q318" s="1">
        <f ca="1">IFERROR(__xludf.DUMMYFUNCTION("""COMPUTED_VALUE"""),347)</f>
        <v>347</v>
      </c>
      <c r="R318" s="1">
        <f ca="1">IFERROR(__xludf.DUMMYFUNCTION("""COMPUTED_VALUE"""),106.2)</f>
        <v>106.2</v>
      </c>
      <c r="S318" s="1">
        <f ca="1">IFERROR(__xludf.DUMMYFUNCTION("""COMPUTED_VALUE"""),237)</f>
        <v>237</v>
      </c>
      <c r="T318" s="1" t="str">
        <f ca="1">IFERROR(__xludf.DUMMYFUNCTION("""COMPUTED_VALUE"""),"+8.65")</f>
        <v>+8.65</v>
      </c>
      <c r="U318" s="1">
        <f ca="1">IFERROR(__xludf.DUMMYFUNCTION("""COMPUTED_VALUE"""),13)</f>
        <v>13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IFERROR(__xludf.DUMMYFUNCTION("""COMPUTED_VALUE"""),"UMass Lowell")</f>
        <v>UMass Lowell</v>
      </c>
      <c r="C319" s="1" t="str">
        <f ca="1">IFERROR(__xludf.DUMMYFUNCTION("""COMPUTED_VALUE"""),"AE")</f>
        <v>AE</v>
      </c>
      <c r="D319" s="2">
        <f ca="1">IFERROR(__xludf.DUMMYFUNCTION("""COMPUTED_VALUE"""),44912)</f>
        <v>44912</v>
      </c>
      <c r="E319" s="1">
        <f ca="1">IFERROR(__xludf.DUMMYFUNCTION("""COMPUTED_VALUE"""),-12.46)</f>
        <v>-12.46</v>
      </c>
      <c r="F319" s="1">
        <f ca="1">IFERROR(__xludf.DUMMYFUNCTION("""COMPUTED_VALUE"""),94.1)</f>
        <v>94.1</v>
      </c>
      <c r="G319" s="1">
        <f ca="1">IFERROR(__xludf.DUMMYFUNCTION("""COMPUTED_VALUE"""),320)</f>
        <v>320</v>
      </c>
      <c r="H319" s="1">
        <f ca="1">IFERROR(__xludf.DUMMYFUNCTION("""COMPUTED_VALUE"""),106.6)</f>
        <v>106.6</v>
      </c>
      <c r="I319" s="1">
        <f ca="1">IFERROR(__xludf.DUMMYFUNCTION("""COMPUTED_VALUE"""),215)</f>
        <v>215</v>
      </c>
      <c r="J319" s="1">
        <f ca="1">IFERROR(__xludf.DUMMYFUNCTION("""COMPUTED_VALUE"""),63.7)</f>
        <v>63.7</v>
      </c>
      <c r="K319" s="1">
        <f ca="1">IFERROR(__xludf.DUMMYFUNCTION("""COMPUTED_VALUE"""),211)</f>
        <v>211</v>
      </c>
      <c r="L319" s="1" t="str">
        <f ca="1">IFERROR(__xludf.DUMMYFUNCTION("""COMPUTED_VALUE"""),"+.077")</f>
        <v>+.077</v>
      </c>
      <c r="M319" s="1">
        <f ca="1">IFERROR(__xludf.DUMMYFUNCTION("""COMPUTED_VALUE"""),24)</f>
        <v>24</v>
      </c>
      <c r="N319" s="1">
        <f ca="1">IFERROR(__xludf.DUMMYFUNCTION("""COMPUTED_VALUE"""),-3.09)</f>
        <v>-3.09</v>
      </c>
      <c r="O319" s="1">
        <f ca="1">IFERROR(__xludf.DUMMYFUNCTION("""COMPUTED_VALUE"""),215)</f>
        <v>215</v>
      </c>
      <c r="P319" s="1">
        <f ca="1">IFERROR(__xludf.DUMMYFUNCTION("""COMPUTED_VALUE"""),101.8)</f>
        <v>101.8</v>
      </c>
      <c r="Q319" s="1">
        <f ca="1">IFERROR(__xludf.DUMMYFUNCTION("""COMPUTED_VALUE"""),285)</f>
        <v>285</v>
      </c>
      <c r="R319" s="1">
        <f ca="1">IFERROR(__xludf.DUMMYFUNCTION("""COMPUTED_VALUE"""),104.9)</f>
        <v>104.9</v>
      </c>
      <c r="S319" s="1">
        <f ca="1">IFERROR(__xludf.DUMMYFUNCTION("""COMPUTED_VALUE"""),175)</f>
        <v>175</v>
      </c>
      <c r="T319" s="1" t="str">
        <f ca="1">IFERROR(__xludf.DUMMYFUNCTION("""COMPUTED_VALUE"""),"+2.94")</f>
        <v>+2.94</v>
      </c>
      <c r="U319" s="1">
        <f ca="1">IFERROR(__xludf.DUMMYFUNCTION("""COMPUTED_VALUE"""),70)</f>
        <v>70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IFERROR(__xludf.DUMMYFUNCTION("""COMPUTED_VALUE"""),"Wagner")</f>
        <v>Wagner</v>
      </c>
      <c r="C320" s="1" t="str">
        <f ca="1">IFERROR(__xludf.DUMMYFUNCTION("""COMPUTED_VALUE"""),"NEC")</f>
        <v>NEC</v>
      </c>
      <c r="D320" s="2">
        <f ca="1">IFERROR(__xludf.DUMMYFUNCTION("""COMPUTED_VALUE"""),44854)</f>
        <v>44854</v>
      </c>
      <c r="E320" s="1">
        <f ca="1">IFERROR(__xludf.DUMMYFUNCTION("""COMPUTED_VALUE"""),-12.49)</f>
        <v>-12.49</v>
      </c>
      <c r="F320" s="1">
        <f ca="1">IFERROR(__xludf.DUMMYFUNCTION("""COMPUTED_VALUE"""),98.9)</f>
        <v>98.9</v>
      </c>
      <c r="G320" s="1">
        <f ca="1">IFERROR(__xludf.DUMMYFUNCTION("""COMPUTED_VALUE"""),274)</f>
        <v>274</v>
      </c>
      <c r="H320" s="1">
        <f ca="1">IFERROR(__xludf.DUMMYFUNCTION("""COMPUTED_VALUE"""),111.4)</f>
        <v>111.4</v>
      </c>
      <c r="I320" s="1">
        <f ca="1">IFERROR(__xludf.DUMMYFUNCTION("""COMPUTED_VALUE"""),311)</f>
        <v>311</v>
      </c>
      <c r="J320" s="1">
        <f ca="1">IFERROR(__xludf.DUMMYFUNCTION("""COMPUTED_VALUE"""),67.2)</f>
        <v>67.2</v>
      </c>
      <c r="K320" s="1">
        <f ca="1">IFERROR(__xludf.DUMMYFUNCTION("""COMPUTED_VALUE"""),50)</f>
        <v>50</v>
      </c>
      <c r="L320" s="1">
        <f ca="1">IFERROR(__xludf.DUMMYFUNCTION("""COMPUTED_VALUE"""),-0.013)</f>
        <v>-1.2999999999999999E-2</v>
      </c>
      <c r="M320" s="1">
        <f ca="1">IFERROR(__xludf.DUMMYFUNCTION("""COMPUTED_VALUE"""),215)</f>
        <v>215</v>
      </c>
      <c r="N320" s="1">
        <f ca="1">IFERROR(__xludf.DUMMYFUNCTION("""COMPUTED_VALUE"""),-4.64)</f>
        <v>-4.6399999999999997</v>
      </c>
      <c r="O320" s="1">
        <f ca="1">IFERROR(__xludf.DUMMYFUNCTION("""COMPUTED_VALUE"""),267)</f>
        <v>267</v>
      </c>
      <c r="P320" s="1">
        <f ca="1">IFERROR(__xludf.DUMMYFUNCTION("""COMPUTED_VALUE"""),101.8)</f>
        <v>101.8</v>
      </c>
      <c r="Q320" s="1">
        <f ca="1">IFERROR(__xludf.DUMMYFUNCTION("""COMPUTED_VALUE"""),284)</f>
        <v>284</v>
      </c>
      <c r="R320" s="1">
        <f ca="1">IFERROR(__xludf.DUMMYFUNCTION("""COMPUTED_VALUE"""),106.5)</f>
        <v>106.5</v>
      </c>
      <c r="S320" s="1">
        <f ca="1">IFERROR(__xludf.DUMMYFUNCTION("""COMPUTED_VALUE"""),253)</f>
        <v>253</v>
      </c>
      <c r="T320" s="1" t="str">
        <f ca="1">IFERROR(__xludf.DUMMYFUNCTION("""COMPUTED_VALUE"""),"+1.98")</f>
        <v>+1.98</v>
      </c>
      <c r="U320" s="1">
        <f ca="1">IFERROR(__xludf.DUMMYFUNCTION("""COMPUTED_VALUE"""),98)</f>
        <v>98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IFERROR(__xludf.DUMMYFUNCTION("""COMPUTED_VALUE"""),"Marist")</f>
        <v>Marist</v>
      </c>
      <c r="C321" s="1" t="str">
        <f ca="1">IFERROR(__xludf.DUMMYFUNCTION("""COMPUTED_VALUE"""),"MAAC")</f>
        <v>MAAC</v>
      </c>
      <c r="D321" s="2">
        <f ca="1">IFERROR(__xludf.DUMMYFUNCTION("""COMPUTED_VALUE"""),44767)</f>
        <v>44767</v>
      </c>
      <c r="E321" s="1">
        <f ca="1">IFERROR(__xludf.DUMMYFUNCTION("""COMPUTED_VALUE"""),-12.74)</f>
        <v>-12.74</v>
      </c>
      <c r="F321" s="1">
        <f ca="1">IFERROR(__xludf.DUMMYFUNCTION("""COMPUTED_VALUE"""),94.6)</f>
        <v>94.6</v>
      </c>
      <c r="G321" s="1">
        <f ca="1">IFERROR(__xludf.DUMMYFUNCTION("""COMPUTED_VALUE"""),318)</f>
        <v>318</v>
      </c>
      <c r="H321" s="1">
        <f ca="1">IFERROR(__xludf.DUMMYFUNCTION("""COMPUTED_VALUE"""),107.4)</f>
        <v>107.4</v>
      </c>
      <c r="I321" s="1">
        <f ca="1">IFERROR(__xludf.DUMMYFUNCTION("""COMPUTED_VALUE"""),228)</f>
        <v>228</v>
      </c>
      <c r="J321" s="1">
        <f ca="1">IFERROR(__xludf.DUMMYFUNCTION("""COMPUTED_VALUE"""),65)</f>
        <v>65</v>
      </c>
      <c r="K321" s="1">
        <f ca="1">IFERROR(__xludf.DUMMYFUNCTION("""COMPUTED_VALUE"""),135)</f>
        <v>135</v>
      </c>
      <c r="L321" s="1" t="str">
        <f ca="1">IFERROR(__xludf.DUMMYFUNCTION("""COMPUTED_VALUE"""),"+.033")</f>
        <v>+.033</v>
      </c>
      <c r="M321" s="1">
        <f ca="1">IFERROR(__xludf.DUMMYFUNCTION("""COMPUTED_VALUE"""),97)</f>
        <v>97</v>
      </c>
      <c r="N321" s="1">
        <f ca="1">IFERROR(__xludf.DUMMYFUNCTION("""COMPUTED_VALUE"""),-2.83)</f>
        <v>-2.83</v>
      </c>
      <c r="O321" s="1">
        <f ca="1">IFERROR(__xludf.DUMMYFUNCTION("""COMPUTED_VALUE"""),208)</f>
        <v>208</v>
      </c>
      <c r="P321" s="1">
        <f ca="1">IFERROR(__xludf.DUMMYFUNCTION("""COMPUTED_VALUE"""),102.3)</f>
        <v>102.3</v>
      </c>
      <c r="Q321" s="1">
        <f ca="1">IFERROR(__xludf.DUMMYFUNCTION("""COMPUTED_VALUE"""),253)</f>
        <v>253</v>
      </c>
      <c r="R321" s="1">
        <f ca="1">IFERROR(__xludf.DUMMYFUNCTION("""COMPUTED_VALUE"""),105.2)</f>
        <v>105.2</v>
      </c>
      <c r="S321" s="1">
        <f ca="1">IFERROR(__xludf.DUMMYFUNCTION("""COMPUTED_VALUE"""),191)</f>
        <v>191</v>
      </c>
      <c r="T321" s="1">
        <f ca="1">IFERROR(__xludf.DUMMYFUNCTION("""COMPUTED_VALUE"""),-2.36)</f>
        <v>-2.36</v>
      </c>
      <c r="U321" s="1">
        <f ca="1">IFERROR(__xludf.DUMMYFUNCTION("""COMPUTED_VALUE"""),229)</f>
        <v>229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IFERROR(__xludf.DUMMYFUNCTION("""COMPUTED_VALUE"""),"Southeastern Louisiana")</f>
        <v>Southeastern Louisiana</v>
      </c>
      <c r="C322" s="1" t="str">
        <f ca="1">IFERROR(__xludf.DUMMYFUNCTION("""COMPUTED_VALUE"""),"Slnd")</f>
        <v>Slnd</v>
      </c>
      <c r="D322" s="2">
        <f ca="1">IFERROR(__xludf.DUMMYFUNCTION("""COMPUTED_VALUE"""),44827)</f>
        <v>44827</v>
      </c>
      <c r="E322" s="1">
        <f ca="1">IFERROR(__xludf.DUMMYFUNCTION("""COMPUTED_VALUE"""),-12.89)</f>
        <v>-12.89</v>
      </c>
      <c r="F322" s="1">
        <f ca="1">IFERROR(__xludf.DUMMYFUNCTION("""COMPUTED_VALUE"""),95.9)</f>
        <v>95.9</v>
      </c>
      <c r="G322" s="1">
        <f ca="1">IFERROR(__xludf.DUMMYFUNCTION("""COMPUTED_VALUE"""),312)</f>
        <v>312</v>
      </c>
      <c r="H322" s="1">
        <f ca="1">IFERROR(__xludf.DUMMYFUNCTION("""COMPUTED_VALUE"""),108.8)</f>
        <v>108.8</v>
      </c>
      <c r="I322" s="1">
        <f ca="1">IFERROR(__xludf.DUMMYFUNCTION("""COMPUTED_VALUE"""),263)</f>
        <v>263</v>
      </c>
      <c r="J322" s="1">
        <f ca="1">IFERROR(__xludf.DUMMYFUNCTION("""COMPUTED_VALUE"""),66.2)</f>
        <v>66.2</v>
      </c>
      <c r="K322" s="1">
        <f ca="1">IFERROR(__xludf.DUMMYFUNCTION("""COMPUTED_VALUE"""),82)</f>
        <v>82</v>
      </c>
      <c r="L322" s="1">
        <f ca="1">IFERROR(__xludf.DUMMYFUNCTION("""COMPUTED_VALUE"""),-0.098)</f>
        <v>-9.8000000000000004E-2</v>
      </c>
      <c r="M322" s="1">
        <f ca="1">IFERROR(__xludf.DUMMYFUNCTION("""COMPUTED_VALUE"""),342)</f>
        <v>342</v>
      </c>
      <c r="N322" s="1">
        <f ca="1">IFERROR(__xludf.DUMMYFUNCTION("""COMPUTED_VALUE"""),-7.01)</f>
        <v>-7.01</v>
      </c>
      <c r="O322" s="1">
        <f ca="1">IFERROR(__xludf.DUMMYFUNCTION("""COMPUTED_VALUE"""),329)</f>
        <v>329</v>
      </c>
      <c r="P322" s="1">
        <f ca="1">IFERROR(__xludf.DUMMYFUNCTION("""COMPUTED_VALUE"""),101.7)</f>
        <v>101.7</v>
      </c>
      <c r="Q322" s="1">
        <f ca="1">IFERROR(__xludf.DUMMYFUNCTION("""COMPUTED_VALUE"""),292)</f>
        <v>292</v>
      </c>
      <c r="R322" s="1">
        <f ca="1">IFERROR(__xludf.DUMMYFUNCTION("""COMPUTED_VALUE"""),108.8)</f>
        <v>108.8</v>
      </c>
      <c r="S322" s="1">
        <f ca="1">IFERROR(__xludf.DUMMYFUNCTION("""COMPUTED_VALUE"""),342)</f>
        <v>342</v>
      </c>
      <c r="T322" s="1" t="str">
        <f ca="1">IFERROR(__xludf.DUMMYFUNCTION("""COMPUTED_VALUE"""),"+2.69")</f>
        <v>+2.69</v>
      </c>
      <c r="U322" s="1">
        <f ca="1">IFERROR(__xludf.DUMMYFUNCTION("""COMPUTED_VALUE"""),79)</f>
        <v>79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IFERROR(__xludf.DUMMYFUNCTION("""COMPUTED_VALUE"""),"Southern Utah")</f>
        <v>Southern Utah</v>
      </c>
      <c r="C323" s="1" t="str">
        <f ca="1">IFERROR(__xludf.DUMMYFUNCTION("""COMPUTED_VALUE"""),"BSky")</f>
        <v>BSky</v>
      </c>
      <c r="D323" s="2">
        <f ca="1">IFERROR(__xludf.DUMMYFUNCTION("""COMPUTED_VALUE"""),44853)</f>
        <v>44853</v>
      </c>
      <c r="E323" s="1">
        <f ca="1">IFERROR(__xludf.DUMMYFUNCTION("""COMPUTED_VALUE"""),-13.12)</f>
        <v>-13.12</v>
      </c>
      <c r="F323" s="1">
        <f ca="1">IFERROR(__xludf.DUMMYFUNCTION("""COMPUTED_VALUE"""),98.7)</f>
        <v>98.7</v>
      </c>
      <c r="G323" s="1">
        <f ca="1">IFERROR(__xludf.DUMMYFUNCTION("""COMPUTED_VALUE"""),276)</f>
        <v>276</v>
      </c>
      <c r="H323" s="1">
        <f ca="1">IFERROR(__xludf.DUMMYFUNCTION("""COMPUTED_VALUE"""),111.8)</f>
        <v>111.8</v>
      </c>
      <c r="I323" s="1">
        <f ca="1">IFERROR(__xludf.DUMMYFUNCTION("""COMPUTED_VALUE"""),315)</f>
        <v>315</v>
      </c>
      <c r="J323" s="1">
        <f ca="1">IFERROR(__xludf.DUMMYFUNCTION("""COMPUTED_VALUE"""),67.5)</f>
        <v>67.5</v>
      </c>
      <c r="K323" s="1">
        <f ca="1">IFERROR(__xludf.DUMMYFUNCTION("""COMPUTED_VALUE"""),36)</f>
        <v>36</v>
      </c>
      <c r="L323" s="1" t="str">
        <f ca="1">IFERROR(__xludf.DUMMYFUNCTION("""COMPUTED_VALUE"""),"+.033")</f>
        <v>+.033</v>
      </c>
      <c r="M323" s="1">
        <f ca="1">IFERROR(__xludf.DUMMYFUNCTION("""COMPUTED_VALUE"""),95)</f>
        <v>95</v>
      </c>
      <c r="N323" s="1">
        <f ca="1">IFERROR(__xludf.DUMMYFUNCTION("""COMPUTED_VALUE"""),-5.57)</f>
        <v>-5.57</v>
      </c>
      <c r="O323" s="1">
        <f ca="1">IFERROR(__xludf.DUMMYFUNCTION("""COMPUTED_VALUE"""),300)</f>
        <v>300</v>
      </c>
      <c r="P323" s="1">
        <f ca="1">IFERROR(__xludf.DUMMYFUNCTION("""COMPUTED_VALUE"""),103)</f>
        <v>103</v>
      </c>
      <c r="Q323" s="1">
        <f ca="1">IFERROR(__xludf.DUMMYFUNCTION("""COMPUTED_VALUE"""),218)</f>
        <v>218</v>
      </c>
      <c r="R323" s="1">
        <f ca="1">IFERROR(__xludf.DUMMYFUNCTION("""COMPUTED_VALUE"""),108.5)</f>
        <v>108.5</v>
      </c>
      <c r="S323" s="1">
        <f ca="1">IFERROR(__xludf.DUMMYFUNCTION("""COMPUTED_VALUE"""),333)</f>
        <v>333</v>
      </c>
      <c r="T323" s="1">
        <f ca="1">IFERROR(__xludf.DUMMYFUNCTION("""COMPUTED_VALUE"""),-0.46)</f>
        <v>-0.46</v>
      </c>
      <c r="U323" s="1">
        <f ca="1">IFERROR(__xludf.DUMMYFUNCTION("""COMPUTED_VALUE"""),171)</f>
        <v>171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IFERROR(__xludf.DUMMYFUNCTION("""COMPUTED_VALUE"""),"Loyola MD")</f>
        <v>Loyola MD</v>
      </c>
      <c r="C324" s="1" t="str">
        <f ca="1">IFERROR(__xludf.DUMMYFUNCTION("""COMPUTED_VALUE"""),"Pat")</f>
        <v>Pat</v>
      </c>
      <c r="D324" s="2">
        <f ca="1">IFERROR(__xludf.DUMMYFUNCTION("""COMPUTED_VALUE"""),44884)</f>
        <v>44884</v>
      </c>
      <c r="E324" s="1">
        <f ca="1">IFERROR(__xludf.DUMMYFUNCTION("""COMPUTED_VALUE"""),-13.13)</f>
        <v>-13.13</v>
      </c>
      <c r="F324" s="1">
        <f ca="1">IFERROR(__xludf.DUMMYFUNCTION("""COMPUTED_VALUE"""),93.2)</f>
        <v>93.2</v>
      </c>
      <c r="G324" s="1">
        <f ca="1">IFERROR(__xludf.DUMMYFUNCTION("""COMPUTED_VALUE"""),331)</f>
        <v>331</v>
      </c>
      <c r="H324" s="1">
        <f ca="1">IFERROR(__xludf.DUMMYFUNCTION("""COMPUTED_VALUE"""),106.4)</f>
        <v>106.4</v>
      </c>
      <c r="I324" s="1">
        <f ca="1">IFERROR(__xludf.DUMMYFUNCTION("""COMPUTED_VALUE"""),210)</f>
        <v>210</v>
      </c>
      <c r="J324" s="1">
        <f ca="1">IFERROR(__xludf.DUMMYFUNCTION("""COMPUTED_VALUE"""),62.7)</f>
        <v>62.7</v>
      </c>
      <c r="K324" s="1">
        <f ca="1">IFERROR(__xludf.DUMMYFUNCTION("""COMPUTED_VALUE"""),263)</f>
        <v>263</v>
      </c>
      <c r="L324" s="1" t="str">
        <f ca="1">IFERROR(__xludf.DUMMYFUNCTION("""COMPUTED_VALUE"""),"+.080")</f>
        <v>+.080</v>
      </c>
      <c r="M324" s="1">
        <f ca="1">IFERROR(__xludf.DUMMYFUNCTION("""COMPUTED_VALUE"""),22)</f>
        <v>22</v>
      </c>
      <c r="N324" s="1">
        <f ca="1">IFERROR(__xludf.DUMMYFUNCTION("""COMPUTED_VALUE"""),-3.62)</f>
        <v>-3.62</v>
      </c>
      <c r="O324" s="1">
        <f ca="1">IFERROR(__xludf.DUMMYFUNCTION("""COMPUTED_VALUE"""),235)</f>
        <v>235</v>
      </c>
      <c r="P324" s="1">
        <f ca="1">IFERROR(__xludf.DUMMYFUNCTION("""COMPUTED_VALUE"""),102.9)</f>
        <v>102.9</v>
      </c>
      <c r="Q324" s="1">
        <f ca="1">IFERROR(__xludf.DUMMYFUNCTION("""COMPUTED_VALUE"""),222)</f>
        <v>222</v>
      </c>
      <c r="R324" s="1">
        <f ca="1">IFERROR(__xludf.DUMMYFUNCTION("""COMPUTED_VALUE"""),106.5)</f>
        <v>106.5</v>
      </c>
      <c r="S324" s="1">
        <f ca="1">IFERROR(__xludf.DUMMYFUNCTION("""COMPUTED_VALUE"""),255)</f>
        <v>255</v>
      </c>
      <c r="T324" s="1">
        <f ca="1">IFERROR(__xludf.DUMMYFUNCTION("""COMPUTED_VALUE"""),-0.52)</f>
        <v>-0.52</v>
      </c>
      <c r="U324" s="1">
        <f ca="1">IFERROR(__xludf.DUMMYFUNCTION("""COMPUTED_VALUE"""),173)</f>
        <v>173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IFERROR(__xludf.DUMMYFUNCTION("""COMPUTED_VALUE"""),"Furman")</f>
        <v>Furman</v>
      </c>
      <c r="C325" s="1" t="str">
        <f ca="1">IFERROR(__xludf.DUMMYFUNCTION("""COMPUTED_VALUE"""),"SC")</f>
        <v>SC</v>
      </c>
      <c r="D325" s="2">
        <f ca="1">IFERROR(__xludf.DUMMYFUNCTION("""COMPUTED_VALUE"""),44887)</f>
        <v>44887</v>
      </c>
      <c r="E325" s="1">
        <f ca="1">IFERROR(__xludf.DUMMYFUNCTION("""COMPUTED_VALUE"""),-13.18)</f>
        <v>-13.18</v>
      </c>
      <c r="F325" s="1">
        <f ca="1">IFERROR(__xludf.DUMMYFUNCTION("""COMPUTED_VALUE"""),98.3)</f>
        <v>98.3</v>
      </c>
      <c r="G325" s="1">
        <f ca="1">IFERROR(__xludf.DUMMYFUNCTION("""COMPUTED_VALUE"""),284)</f>
        <v>284</v>
      </c>
      <c r="H325" s="1">
        <f ca="1">IFERROR(__xludf.DUMMYFUNCTION("""COMPUTED_VALUE"""),111.5)</f>
        <v>111.5</v>
      </c>
      <c r="I325" s="1">
        <f ca="1">IFERROR(__xludf.DUMMYFUNCTION("""COMPUTED_VALUE"""),313)</f>
        <v>313</v>
      </c>
      <c r="J325" s="1">
        <f ca="1">IFERROR(__xludf.DUMMYFUNCTION("""COMPUTED_VALUE"""),62.4)</f>
        <v>62.4</v>
      </c>
      <c r="K325" s="1">
        <f ca="1">IFERROR(__xludf.DUMMYFUNCTION("""COMPUTED_VALUE"""),277)</f>
        <v>277</v>
      </c>
      <c r="L325" s="1">
        <f ca="1">IFERROR(__xludf.DUMMYFUNCTION("""COMPUTED_VALUE"""),-0.024)</f>
        <v>-2.4E-2</v>
      </c>
      <c r="M325" s="1">
        <f ca="1">IFERROR(__xludf.DUMMYFUNCTION("""COMPUTED_VALUE"""),235)</f>
        <v>235</v>
      </c>
      <c r="N325" s="1">
        <f ca="1">IFERROR(__xludf.DUMMYFUNCTION("""COMPUTED_VALUE"""),-4.21)</f>
        <v>-4.21</v>
      </c>
      <c r="O325" s="1">
        <f ca="1">IFERROR(__xludf.DUMMYFUNCTION("""COMPUTED_VALUE"""),256)</f>
        <v>256</v>
      </c>
      <c r="P325" s="1">
        <f ca="1">IFERROR(__xludf.DUMMYFUNCTION("""COMPUTED_VALUE"""),103.5)</f>
        <v>103.5</v>
      </c>
      <c r="Q325" s="1">
        <f ca="1">IFERROR(__xludf.DUMMYFUNCTION("""COMPUTED_VALUE"""),194)</f>
        <v>194</v>
      </c>
      <c r="R325" s="1">
        <f ca="1">IFERROR(__xludf.DUMMYFUNCTION("""COMPUTED_VALUE"""),107.7)</f>
        <v>107.7</v>
      </c>
      <c r="S325" s="1">
        <f ca="1">IFERROR(__xludf.DUMMYFUNCTION("""COMPUTED_VALUE"""),300)</f>
        <v>300</v>
      </c>
      <c r="T325" s="1" t="str">
        <f ca="1">IFERROR(__xludf.DUMMYFUNCTION("""COMPUTED_VALUE"""),"+2.40")</f>
        <v>+2.40</v>
      </c>
      <c r="U325" s="1">
        <f ca="1">IFERROR(__xludf.DUMMYFUNCTION("""COMPUTED_VALUE"""),87)</f>
        <v>87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IFERROR(__xludf.DUMMYFUNCTION("""COMPUTED_VALUE"""),"New Orleans")</f>
        <v>New Orleans</v>
      </c>
      <c r="C326" s="1" t="str">
        <f ca="1">IFERROR(__xludf.DUMMYFUNCTION("""COMPUTED_VALUE"""),"Slnd")</f>
        <v>Slnd</v>
      </c>
      <c r="D326" s="2">
        <f ca="1">IFERROR(__xludf.DUMMYFUNCTION("""COMPUTED_VALUE"""),44883)</f>
        <v>44883</v>
      </c>
      <c r="E326" s="1">
        <f ca="1">IFERROR(__xludf.DUMMYFUNCTION("""COMPUTED_VALUE"""),-13.22)</f>
        <v>-13.22</v>
      </c>
      <c r="F326" s="1">
        <f ca="1">IFERROR(__xludf.DUMMYFUNCTION("""COMPUTED_VALUE"""),96.9)</f>
        <v>96.9</v>
      </c>
      <c r="G326" s="1">
        <f ca="1">IFERROR(__xludf.DUMMYFUNCTION("""COMPUTED_VALUE"""),300)</f>
        <v>300</v>
      </c>
      <c r="H326" s="1">
        <f ca="1">IFERROR(__xludf.DUMMYFUNCTION("""COMPUTED_VALUE"""),110.2)</f>
        <v>110.2</v>
      </c>
      <c r="I326" s="1">
        <f ca="1">IFERROR(__xludf.DUMMYFUNCTION("""COMPUTED_VALUE"""),292)</f>
        <v>292</v>
      </c>
      <c r="J326" s="1">
        <f ca="1">IFERROR(__xludf.DUMMYFUNCTION("""COMPUTED_VALUE"""),67.6)</f>
        <v>67.599999999999994</v>
      </c>
      <c r="K326" s="1">
        <f ca="1">IFERROR(__xludf.DUMMYFUNCTION("""COMPUTED_VALUE"""),33)</f>
        <v>33</v>
      </c>
      <c r="L326" s="1">
        <f ca="1">IFERROR(__xludf.DUMMYFUNCTION("""COMPUTED_VALUE"""),-0.034)</f>
        <v>-3.4000000000000002E-2</v>
      </c>
      <c r="M326" s="1">
        <f ca="1">IFERROR(__xludf.DUMMYFUNCTION("""COMPUTED_VALUE"""),265)</f>
        <v>265</v>
      </c>
      <c r="N326" s="1">
        <f ca="1">IFERROR(__xludf.DUMMYFUNCTION("""COMPUTED_VALUE"""),-6.78)</f>
        <v>-6.78</v>
      </c>
      <c r="O326" s="1">
        <f ca="1">IFERROR(__xludf.DUMMYFUNCTION("""COMPUTED_VALUE"""),325)</f>
        <v>325</v>
      </c>
      <c r="P326" s="1">
        <f ca="1">IFERROR(__xludf.DUMMYFUNCTION("""COMPUTED_VALUE"""),101.6)</f>
        <v>101.6</v>
      </c>
      <c r="Q326" s="1">
        <f ca="1">IFERROR(__xludf.DUMMYFUNCTION("""COMPUTED_VALUE"""),296)</f>
        <v>296</v>
      </c>
      <c r="R326" s="1">
        <f ca="1">IFERROR(__xludf.DUMMYFUNCTION("""COMPUTED_VALUE"""),108.4)</f>
        <v>108.4</v>
      </c>
      <c r="S326" s="1">
        <f ca="1">IFERROR(__xludf.DUMMYFUNCTION("""COMPUTED_VALUE"""),325)</f>
        <v>325</v>
      </c>
      <c r="T326" s="1" t="str">
        <f ca="1">IFERROR(__xludf.DUMMYFUNCTION("""COMPUTED_VALUE"""),"+11.15")</f>
        <v>+11.15</v>
      </c>
      <c r="U326" s="1">
        <f ca="1">IFERROR(__xludf.DUMMYFUNCTION("""COMPUTED_VALUE"""),5)</f>
        <v>5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IFERROR(__xludf.DUMMYFUNCTION("""COMPUTED_VALUE"""),"Jacksonville St.")</f>
        <v>Jacksonville St.</v>
      </c>
      <c r="C327" s="1" t="str">
        <f ca="1">IFERROR(__xludf.DUMMYFUNCTION("""COMPUTED_VALUE"""),"OVC")</f>
        <v>OVC</v>
      </c>
      <c r="D327" s="2">
        <f ca="1">IFERROR(__xludf.DUMMYFUNCTION("""COMPUTED_VALUE"""),44914)</f>
        <v>44914</v>
      </c>
      <c r="E327" s="1">
        <f ca="1">IFERROR(__xludf.DUMMYFUNCTION("""COMPUTED_VALUE"""),-13.27)</f>
        <v>-13.27</v>
      </c>
      <c r="F327" s="1">
        <f ca="1">IFERROR(__xludf.DUMMYFUNCTION("""COMPUTED_VALUE"""),95.2)</f>
        <v>95.2</v>
      </c>
      <c r="G327" s="1">
        <f ca="1">IFERROR(__xludf.DUMMYFUNCTION("""COMPUTED_VALUE"""),315)</f>
        <v>315</v>
      </c>
      <c r="H327" s="1">
        <f ca="1">IFERROR(__xludf.DUMMYFUNCTION("""COMPUTED_VALUE"""),108.4)</f>
        <v>108.4</v>
      </c>
      <c r="I327" s="1">
        <f ca="1">IFERROR(__xludf.DUMMYFUNCTION("""COMPUTED_VALUE"""),256)</f>
        <v>256</v>
      </c>
      <c r="J327" s="1">
        <f ca="1">IFERROR(__xludf.DUMMYFUNCTION("""COMPUTED_VALUE"""),63.1)</f>
        <v>63.1</v>
      </c>
      <c r="K327" s="1">
        <f ca="1">IFERROR(__xludf.DUMMYFUNCTION("""COMPUTED_VALUE"""),251)</f>
        <v>251</v>
      </c>
      <c r="L327" s="1" t="str">
        <f ca="1">IFERROR(__xludf.DUMMYFUNCTION("""COMPUTED_VALUE"""),"+.053")</f>
        <v>+.053</v>
      </c>
      <c r="M327" s="1">
        <f ca="1">IFERROR(__xludf.DUMMYFUNCTION("""COMPUTED_VALUE"""),58)</f>
        <v>58</v>
      </c>
      <c r="N327" s="1">
        <f ca="1">IFERROR(__xludf.DUMMYFUNCTION("""COMPUTED_VALUE"""),-3.72)</f>
        <v>-3.72</v>
      </c>
      <c r="O327" s="1">
        <f ca="1">IFERROR(__xludf.DUMMYFUNCTION("""COMPUTED_VALUE"""),238)</f>
        <v>238</v>
      </c>
      <c r="P327" s="1">
        <f ca="1">IFERROR(__xludf.DUMMYFUNCTION("""COMPUTED_VALUE"""),102.7)</f>
        <v>102.7</v>
      </c>
      <c r="Q327" s="1">
        <f ca="1">IFERROR(__xludf.DUMMYFUNCTION("""COMPUTED_VALUE"""),230)</f>
        <v>230</v>
      </c>
      <c r="R327" s="1">
        <f ca="1">IFERROR(__xludf.DUMMYFUNCTION("""COMPUTED_VALUE"""),106.5)</f>
        <v>106.5</v>
      </c>
      <c r="S327" s="1">
        <f ca="1">IFERROR(__xludf.DUMMYFUNCTION("""COMPUTED_VALUE"""),252)</f>
        <v>252</v>
      </c>
      <c r="T327" s="1">
        <f ca="1">IFERROR(__xludf.DUMMYFUNCTION("""COMPUTED_VALUE"""),-3.43)</f>
        <v>-3.43</v>
      </c>
      <c r="U327" s="1">
        <f ca="1">IFERROR(__xludf.DUMMYFUNCTION("""COMPUTED_VALUE"""),262)</f>
        <v>262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IFERROR(__xludf.DUMMYFUNCTION("""COMPUTED_VALUE"""),"Jackson St.")</f>
        <v>Jackson St.</v>
      </c>
      <c r="C328" s="1" t="str">
        <f ca="1">IFERROR(__xludf.DUMMYFUNCTION("""COMPUTED_VALUE"""),"SWAC")</f>
        <v>SWAC</v>
      </c>
      <c r="D328" s="2">
        <f ca="1">IFERROR(__xludf.DUMMYFUNCTION("""COMPUTED_VALUE"""),44886)</f>
        <v>44886</v>
      </c>
      <c r="E328" s="1">
        <f ca="1">IFERROR(__xludf.DUMMYFUNCTION("""COMPUTED_VALUE"""),-13.5)</f>
        <v>-13.5</v>
      </c>
      <c r="F328" s="1">
        <f ca="1">IFERROR(__xludf.DUMMYFUNCTION("""COMPUTED_VALUE"""),91.2)</f>
        <v>91.2</v>
      </c>
      <c r="G328" s="1">
        <f ca="1">IFERROR(__xludf.DUMMYFUNCTION("""COMPUTED_VALUE"""),339)</f>
        <v>339</v>
      </c>
      <c r="H328" s="1">
        <f ca="1">IFERROR(__xludf.DUMMYFUNCTION("""COMPUTED_VALUE"""),104.7)</f>
        <v>104.7</v>
      </c>
      <c r="I328" s="1">
        <f ca="1">IFERROR(__xludf.DUMMYFUNCTION("""COMPUTED_VALUE"""),177)</f>
        <v>177</v>
      </c>
      <c r="J328" s="1">
        <f ca="1">IFERROR(__xludf.DUMMYFUNCTION("""COMPUTED_VALUE"""),63.2)</f>
        <v>63.2</v>
      </c>
      <c r="K328" s="1">
        <f ca="1">IFERROR(__xludf.DUMMYFUNCTION("""COMPUTED_VALUE"""),245)</f>
        <v>245</v>
      </c>
      <c r="L328" s="1">
        <f ca="1">IFERROR(__xludf.DUMMYFUNCTION("""COMPUTED_VALUE"""),-0.094)</f>
        <v>-9.4E-2</v>
      </c>
      <c r="M328" s="1">
        <f ca="1">IFERROR(__xludf.DUMMYFUNCTION("""COMPUTED_VALUE"""),340)</f>
        <v>340</v>
      </c>
      <c r="N328" s="1">
        <f ca="1">IFERROR(__xludf.DUMMYFUNCTION("""COMPUTED_VALUE"""),-9.78)</f>
        <v>-9.7799999999999994</v>
      </c>
      <c r="O328" s="1">
        <f ca="1">IFERROR(__xludf.DUMMYFUNCTION("""COMPUTED_VALUE"""),348)</f>
        <v>348</v>
      </c>
      <c r="P328" s="1">
        <f ca="1">IFERROR(__xludf.DUMMYFUNCTION("""COMPUTED_VALUE"""),98.7)</f>
        <v>98.7</v>
      </c>
      <c r="Q328" s="1">
        <f ca="1">IFERROR(__xludf.DUMMYFUNCTION("""COMPUTED_VALUE"""),346)</f>
        <v>346</v>
      </c>
      <c r="R328" s="1">
        <f ca="1">IFERROR(__xludf.DUMMYFUNCTION("""COMPUTED_VALUE"""),108.5)</f>
        <v>108.5</v>
      </c>
      <c r="S328" s="1">
        <f ca="1">IFERROR(__xludf.DUMMYFUNCTION("""COMPUTED_VALUE"""),331)</f>
        <v>331</v>
      </c>
      <c r="T328" s="1" t="str">
        <f ca="1">IFERROR(__xludf.DUMMYFUNCTION("""COMPUTED_VALUE"""),"+2.54")</f>
        <v>+2.54</v>
      </c>
      <c r="U328" s="1">
        <f ca="1">IFERROR(__xludf.DUMMYFUNCTION("""COMPUTED_VALUE"""),85)</f>
        <v>85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IFERROR(__xludf.DUMMYFUNCTION("""COMPUTED_VALUE"""),"Idaho St.")</f>
        <v>Idaho St.</v>
      </c>
      <c r="C329" s="1" t="str">
        <f ca="1">IFERROR(__xludf.DUMMYFUNCTION("""COMPUTED_VALUE"""),"BSky")</f>
        <v>BSky</v>
      </c>
      <c r="D329" s="2">
        <f ca="1">IFERROR(__xludf.DUMMYFUNCTION("""COMPUTED_VALUE"""),44765)</f>
        <v>44765</v>
      </c>
      <c r="E329" s="1">
        <f ca="1">IFERROR(__xludf.DUMMYFUNCTION("""COMPUTED_VALUE"""),-13.77)</f>
        <v>-13.77</v>
      </c>
      <c r="F329" s="1">
        <f ca="1">IFERROR(__xludf.DUMMYFUNCTION("""COMPUTED_VALUE"""),97.5)</f>
        <v>97.5</v>
      </c>
      <c r="G329" s="1">
        <f ca="1">IFERROR(__xludf.DUMMYFUNCTION("""COMPUTED_VALUE"""),293)</f>
        <v>293</v>
      </c>
      <c r="H329" s="1">
        <f ca="1">IFERROR(__xludf.DUMMYFUNCTION("""COMPUTED_VALUE"""),111.3)</f>
        <v>111.3</v>
      </c>
      <c r="I329" s="1">
        <f ca="1">IFERROR(__xludf.DUMMYFUNCTION("""COMPUTED_VALUE"""),308)</f>
        <v>308</v>
      </c>
      <c r="J329" s="1">
        <f ca="1">IFERROR(__xludf.DUMMYFUNCTION("""COMPUTED_VALUE"""),63.4)</f>
        <v>63.4</v>
      </c>
      <c r="K329" s="1">
        <f ca="1">IFERROR(__xludf.DUMMYFUNCTION("""COMPUTED_VALUE"""),232)</f>
        <v>232</v>
      </c>
      <c r="L329" s="1">
        <f ca="1">IFERROR(__xludf.DUMMYFUNCTION("""COMPUTED_VALUE"""),-0.092)</f>
        <v>-9.1999999999999998E-2</v>
      </c>
      <c r="M329" s="1">
        <f ca="1">IFERROR(__xludf.DUMMYFUNCTION("""COMPUTED_VALUE"""),338)</f>
        <v>338</v>
      </c>
      <c r="N329" s="1">
        <f ca="1">IFERROR(__xludf.DUMMYFUNCTION("""COMPUTED_VALUE"""),-5.46)</f>
        <v>-5.46</v>
      </c>
      <c r="O329" s="1">
        <f ca="1">IFERROR(__xludf.DUMMYFUNCTION("""COMPUTED_VALUE"""),293)</f>
        <v>293</v>
      </c>
      <c r="P329" s="1">
        <f ca="1">IFERROR(__xludf.DUMMYFUNCTION("""COMPUTED_VALUE"""),103.5)</f>
        <v>103.5</v>
      </c>
      <c r="Q329" s="1">
        <f ca="1">IFERROR(__xludf.DUMMYFUNCTION("""COMPUTED_VALUE"""),190)</f>
        <v>190</v>
      </c>
      <c r="R329" s="1">
        <f ca="1">IFERROR(__xludf.DUMMYFUNCTION("""COMPUTED_VALUE"""),108.9)</f>
        <v>108.9</v>
      </c>
      <c r="S329" s="1">
        <f ca="1">IFERROR(__xludf.DUMMYFUNCTION("""COMPUTED_VALUE"""),346)</f>
        <v>346</v>
      </c>
      <c r="T329" s="1">
        <f ca="1">IFERROR(__xludf.DUMMYFUNCTION("""COMPUTED_VALUE"""),-2.5)</f>
        <v>-2.5</v>
      </c>
      <c r="U329" s="1">
        <f ca="1">IFERROR(__xludf.DUMMYFUNCTION("""COMPUTED_VALUE"""),235)</f>
        <v>235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IFERROR(__xludf.DUMMYFUNCTION("""COMPUTED_VALUE"""),"North Dakota")</f>
        <v>North Dakota</v>
      </c>
      <c r="C330" s="1" t="str">
        <f ca="1">IFERROR(__xludf.DUMMYFUNCTION("""COMPUTED_VALUE"""),"BSky")</f>
        <v>BSky</v>
      </c>
      <c r="D330" s="2">
        <f ca="1">IFERROR(__xludf.DUMMYFUNCTION("""COMPUTED_VALUE"""),44795)</f>
        <v>44795</v>
      </c>
      <c r="E330" s="1">
        <f ca="1">IFERROR(__xludf.DUMMYFUNCTION("""COMPUTED_VALUE"""),-13.77)</f>
        <v>-13.77</v>
      </c>
      <c r="F330" s="1">
        <f ca="1">IFERROR(__xludf.DUMMYFUNCTION("""COMPUTED_VALUE"""),96.9)</f>
        <v>96.9</v>
      </c>
      <c r="G330" s="1">
        <f ca="1">IFERROR(__xludf.DUMMYFUNCTION("""COMPUTED_VALUE"""),301)</f>
        <v>301</v>
      </c>
      <c r="H330" s="1">
        <f ca="1">IFERROR(__xludf.DUMMYFUNCTION("""COMPUTED_VALUE"""),110.6)</f>
        <v>110.6</v>
      </c>
      <c r="I330" s="1">
        <f ca="1">IFERROR(__xludf.DUMMYFUNCTION("""COMPUTED_VALUE"""),296)</f>
        <v>296</v>
      </c>
      <c r="J330" s="1">
        <f ca="1">IFERROR(__xludf.DUMMYFUNCTION("""COMPUTED_VALUE"""),67.6)</f>
        <v>67.599999999999994</v>
      </c>
      <c r="K330" s="1">
        <f ca="1">IFERROR(__xludf.DUMMYFUNCTION("""COMPUTED_VALUE"""),34)</f>
        <v>34</v>
      </c>
      <c r="L330" s="1">
        <f ca="1">IFERROR(__xludf.DUMMYFUNCTION("""COMPUTED_VALUE"""),-0.031)</f>
        <v>-3.1E-2</v>
      </c>
      <c r="M330" s="1">
        <f ca="1">IFERROR(__xludf.DUMMYFUNCTION("""COMPUTED_VALUE"""),253)</f>
        <v>253</v>
      </c>
      <c r="N330" s="1">
        <f ca="1">IFERROR(__xludf.DUMMYFUNCTION("""COMPUTED_VALUE"""),-3.51)</f>
        <v>-3.51</v>
      </c>
      <c r="O330" s="1">
        <f ca="1">IFERROR(__xludf.DUMMYFUNCTION("""COMPUTED_VALUE"""),232)</f>
        <v>232</v>
      </c>
      <c r="P330" s="1">
        <f ca="1">IFERROR(__xludf.DUMMYFUNCTION("""COMPUTED_VALUE"""),104.5)</f>
        <v>104.5</v>
      </c>
      <c r="Q330" s="1">
        <f ca="1">IFERROR(__xludf.DUMMYFUNCTION("""COMPUTED_VALUE"""),127)</f>
        <v>127</v>
      </c>
      <c r="R330" s="1">
        <f ca="1">IFERROR(__xludf.DUMMYFUNCTION("""COMPUTED_VALUE"""),108)</f>
        <v>108</v>
      </c>
      <c r="S330" s="1">
        <f ca="1">IFERROR(__xludf.DUMMYFUNCTION("""COMPUTED_VALUE"""),319)</f>
        <v>319</v>
      </c>
      <c r="T330" s="1" t="str">
        <f ca="1">IFERROR(__xludf.DUMMYFUNCTION("""COMPUTED_VALUE"""),"+5.82")</f>
        <v>+5.82</v>
      </c>
      <c r="U330" s="1">
        <f ca="1">IFERROR(__xludf.DUMMYFUNCTION("""COMPUTED_VALUE"""),26)</f>
        <v>26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IFERROR(__xludf.DUMMYFUNCTION("""COMPUTED_VALUE"""),"Southern Miss")</f>
        <v>Southern Miss</v>
      </c>
      <c r="C331" s="1" t="str">
        <f ca="1">IFERROR(__xludf.DUMMYFUNCTION("""COMPUTED_VALUE"""),"CUSA")</f>
        <v>CUSA</v>
      </c>
      <c r="D331" s="2">
        <f ca="1">IFERROR(__xludf.DUMMYFUNCTION("""COMPUTED_VALUE"""),44824)</f>
        <v>44824</v>
      </c>
      <c r="E331" s="1">
        <f ca="1">IFERROR(__xludf.DUMMYFUNCTION("""COMPUTED_VALUE"""),-13.78)</f>
        <v>-13.78</v>
      </c>
      <c r="F331" s="1">
        <f ca="1">IFERROR(__xludf.DUMMYFUNCTION("""COMPUTED_VALUE"""),97.3)</f>
        <v>97.3</v>
      </c>
      <c r="G331" s="1">
        <f ca="1">IFERROR(__xludf.DUMMYFUNCTION("""COMPUTED_VALUE"""),298)</f>
        <v>298</v>
      </c>
      <c r="H331" s="1">
        <f ca="1">IFERROR(__xludf.DUMMYFUNCTION("""COMPUTED_VALUE"""),111)</f>
        <v>111</v>
      </c>
      <c r="I331" s="1">
        <f ca="1">IFERROR(__xludf.DUMMYFUNCTION("""COMPUTED_VALUE"""),303)</f>
        <v>303</v>
      </c>
      <c r="J331" s="1">
        <f ca="1">IFERROR(__xludf.DUMMYFUNCTION("""COMPUTED_VALUE"""),62)</f>
        <v>62</v>
      </c>
      <c r="K331" s="1">
        <f ca="1">IFERROR(__xludf.DUMMYFUNCTION("""COMPUTED_VALUE"""),295)</f>
        <v>295</v>
      </c>
      <c r="L331" s="1" t="str">
        <f ca="1">IFERROR(__xludf.DUMMYFUNCTION("""COMPUTED_VALUE"""),"+.038")</f>
        <v>+.038</v>
      </c>
      <c r="M331" s="1">
        <f ca="1">IFERROR(__xludf.DUMMYFUNCTION("""COMPUTED_VALUE"""),86)</f>
        <v>86</v>
      </c>
      <c r="N331" s="1" t="str">
        <f ca="1">IFERROR(__xludf.DUMMYFUNCTION("""COMPUTED_VALUE"""),"+0.08")</f>
        <v>+0.08</v>
      </c>
      <c r="O331" s="1">
        <f ca="1">IFERROR(__xludf.DUMMYFUNCTION("""COMPUTED_VALUE"""),140)</f>
        <v>140</v>
      </c>
      <c r="P331" s="1">
        <f ca="1">IFERROR(__xludf.DUMMYFUNCTION("""COMPUTED_VALUE"""),103.6)</f>
        <v>103.6</v>
      </c>
      <c r="Q331" s="1">
        <f ca="1">IFERROR(__xludf.DUMMYFUNCTION("""COMPUTED_VALUE"""),185)</f>
        <v>185</v>
      </c>
      <c r="R331" s="1">
        <f ca="1">IFERROR(__xludf.DUMMYFUNCTION("""COMPUTED_VALUE"""),103.5)</f>
        <v>103.5</v>
      </c>
      <c r="S331" s="1">
        <f ca="1">IFERROR(__xludf.DUMMYFUNCTION("""COMPUTED_VALUE"""),116)</f>
        <v>116</v>
      </c>
      <c r="T331" s="1" t="str">
        <f ca="1">IFERROR(__xludf.DUMMYFUNCTION("""COMPUTED_VALUE"""),"+0.77")</f>
        <v>+0.77</v>
      </c>
      <c r="U331" s="1">
        <f ca="1">IFERROR(__xludf.DUMMYFUNCTION("""COMPUTED_VALUE"""),132)</f>
        <v>132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IFERROR(__xludf.DUMMYFUNCTION("""COMPUTED_VALUE"""),"Longwood")</f>
        <v>Longwood</v>
      </c>
      <c r="C332" s="1" t="str">
        <f ca="1">IFERROR(__xludf.DUMMYFUNCTION("""COMPUTED_VALUE"""),"BSth")</f>
        <v>BSth</v>
      </c>
      <c r="D332" s="2">
        <f ca="1">IFERROR(__xludf.DUMMYFUNCTION("""COMPUTED_VALUE"""),44888)</f>
        <v>44888</v>
      </c>
      <c r="E332" s="1">
        <f ca="1">IFERROR(__xludf.DUMMYFUNCTION("""COMPUTED_VALUE"""),-13.8)</f>
        <v>-13.8</v>
      </c>
      <c r="F332" s="1">
        <f ca="1">IFERROR(__xludf.DUMMYFUNCTION("""COMPUTED_VALUE"""),97.4)</f>
        <v>97.4</v>
      </c>
      <c r="G332" s="1">
        <f ca="1">IFERROR(__xludf.DUMMYFUNCTION("""COMPUTED_VALUE"""),297)</f>
        <v>297</v>
      </c>
      <c r="H332" s="1">
        <f ca="1">IFERROR(__xludf.DUMMYFUNCTION("""COMPUTED_VALUE"""),111.2)</f>
        <v>111.2</v>
      </c>
      <c r="I332" s="1">
        <f ca="1">IFERROR(__xludf.DUMMYFUNCTION("""COMPUTED_VALUE"""),306)</f>
        <v>306</v>
      </c>
      <c r="J332" s="1">
        <f ca="1">IFERROR(__xludf.DUMMYFUNCTION("""COMPUTED_VALUE"""),66.4)</f>
        <v>66.400000000000006</v>
      </c>
      <c r="K332" s="1">
        <f ca="1">IFERROR(__xludf.DUMMYFUNCTION("""COMPUTED_VALUE"""),74)</f>
        <v>74</v>
      </c>
      <c r="L332" s="1" t="str">
        <f ca="1">IFERROR(__xludf.DUMMYFUNCTION("""COMPUTED_VALUE"""),"+.025")</f>
        <v>+.025</v>
      </c>
      <c r="M332" s="1">
        <f ca="1">IFERROR(__xludf.DUMMYFUNCTION("""COMPUTED_VALUE"""),121)</f>
        <v>121</v>
      </c>
      <c r="N332" s="1">
        <f ca="1">IFERROR(__xludf.DUMMYFUNCTION("""COMPUTED_VALUE"""),-4.65)</f>
        <v>-4.6500000000000004</v>
      </c>
      <c r="O332" s="1">
        <f ca="1">IFERROR(__xludf.DUMMYFUNCTION("""COMPUTED_VALUE"""),268)</f>
        <v>268</v>
      </c>
      <c r="P332" s="1">
        <f ca="1">IFERROR(__xludf.DUMMYFUNCTION("""COMPUTED_VALUE"""),103.1)</f>
        <v>103.1</v>
      </c>
      <c r="Q332" s="1">
        <f ca="1">IFERROR(__xludf.DUMMYFUNCTION("""COMPUTED_VALUE"""),209)</f>
        <v>209</v>
      </c>
      <c r="R332" s="1">
        <f ca="1">IFERROR(__xludf.DUMMYFUNCTION("""COMPUTED_VALUE"""),107.8)</f>
        <v>107.8</v>
      </c>
      <c r="S332" s="1">
        <f ca="1">IFERROR(__xludf.DUMMYFUNCTION("""COMPUTED_VALUE"""),307)</f>
        <v>307</v>
      </c>
      <c r="T332" s="1">
        <f ca="1">IFERROR(__xludf.DUMMYFUNCTION("""COMPUTED_VALUE"""),-0.67)</f>
        <v>-0.67</v>
      </c>
      <c r="U332" s="1">
        <f ca="1">IFERROR(__xludf.DUMMYFUNCTION("""COMPUTED_VALUE"""),180)</f>
        <v>180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IFERROR(__xludf.DUMMYFUNCTION("""COMPUTED_VALUE"""),"Austin Peay")</f>
        <v>Austin Peay</v>
      </c>
      <c r="C333" s="1" t="str">
        <f ca="1">IFERROR(__xludf.DUMMYFUNCTION("""COMPUTED_VALUE"""),"OVC")</f>
        <v>OVC</v>
      </c>
      <c r="D333" s="2">
        <f ca="1">IFERROR(__xludf.DUMMYFUNCTION("""COMPUTED_VALUE"""),44795)</f>
        <v>44795</v>
      </c>
      <c r="E333" s="1">
        <f ca="1">IFERROR(__xludf.DUMMYFUNCTION("""COMPUTED_VALUE"""),-14.2)</f>
        <v>-14.2</v>
      </c>
      <c r="F333" s="1">
        <f ca="1">IFERROR(__xludf.DUMMYFUNCTION("""COMPUTED_VALUE"""),94.8)</f>
        <v>94.8</v>
      </c>
      <c r="G333" s="1">
        <f ca="1">IFERROR(__xludf.DUMMYFUNCTION("""COMPUTED_VALUE"""),317)</f>
        <v>317</v>
      </c>
      <c r="H333" s="1">
        <f ca="1">IFERROR(__xludf.DUMMYFUNCTION("""COMPUTED_VALUE"""),109)</f>
        <v>109</v>
      </c>
      <c r="I333" s="1">
        <f ca="1">IFERROR(__xludf.DUMMYFUNCTION("""COMPUTED_VALUE"""),264)</f>
        <v>264</v>
      </c>
      <c r="J333" s="1">
        <f ca="1">IFERROR(__xludf.DUMMYFUNCTION("""COMPUTED_VALUE"""),66.6)</f>
        <v>66.599999999999994</v>
      </c>
      <c r="K333" s="1">
        <f ca="1">IFERROR(__xludf.DUMMYFUNCTION("""COMPUTED_VALUE"""),67)</f>
        <v>67</v>
      </c>
      <c r="L333" s="1">
        <f ca="1">IFERROR(__xludf.DUMMYFUNCTION("""COMPUTED_VALUE"""),-0.004)</f>
        <v>-4.0000000000000001E-3</v>
      </c>
      <c r="M333" s="1">
        <f ca="1">IFERROR(__xludf.DUMMYFUNCTION("""COMPUTED_VALUE"""),196)</f>
        <v>196</v>
      </c>
      <c r="N333" s="1">
        <f ca="1">IFERROR(__xludf.DUMMYFUNCTION("""COMPUTED_VALUE"""),-1.93)</f>
        <v>-1.93</v>
      </c>
      <c r="O333" s="1">
        <f ca="1">IFERROR(__xludf.DUMMYFUNCTION("""COMPUTED_VALUE"""),187)</f>
        <v>187</v>
      </c>
      <c r="P333" s="1">
        <f ca="1">IFERROR(__xludf.DUMMYFUNCTION("""COMPUTED_VALUE"""),104.2)</f>
        <v>104.2</v>
      </c>
      <c r="Q333" s="1">
        <f ca="1">IFERROR(__xludf.DUMMYFUNCTION("""COMPUTED_VALUE"""),149)</f>
        <v>149</v>
      </c>
      <c r="R333" s="1">
        <f ca="1">IFERROR(__xludf.DUMMYFUNCTION("""COMPUTED_VALUE"""),106.2)</f>
        <v>106.2</v>
      </c>
      <c r="S333" s="1">
        <f ca="1">IFERROR(__xludf.DUMMYFUNCTION("""COMPUTED_VALUE"""),238)</f>
        <v>238</v>
      </c>
      <c r="T333" s="1">
        <f ca="1">IFERROR(__xludf.DUMMYFUNCTION("""COMPUTED_VALUE"""),-0.21)</f>
        <v>-0.21</v>
      </c>
      <c r="U333" s="1">
        <f ca="1">IFERROR(__xludf.DUMMYFUNCTION("""COMPUTED_VALUE"""),163)</f>
        <v>163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IFERROR(__xludf.DUMMYFUNCTION("""COMPUTED_VALUE"""),"Houston Baptist")</f>
        <v>Houston Baptist</v>
      </c>
      <c r="C334" s="1" t="str">
        <f ca="1">IFERROR(__xludf.DUMMYFUNCTION("""COMPUTED_VALUE"""),"Slnd")</f>
        <v>Slnd</v>
      </c>
      <c r="D334" s="2">
        <f ca="1">IFERROR(__xludf.DUMMYFUNCTION("""COMPUTED_VALUE"""),44911)</f>
        <v>44911</v>
      </c>
      <c r="E334" s="1">
        <f ca="1">IFERROR(__xludf.DUMMYFUNCTION("""COMPUTED_VALUE"""),-14.21)</f>
        <v>-14.21</v>
      </c>
      <c r="F334" s="1">
        <f ca="1">IFERROR(__xludf.DUMMYFUNCTION("""COMPUTED_VALUE"""),101.3)</f>
        <v>101.3</v>
      </c>
      <c r="G334" s="1">
        <f ca="1">IFERROR(__xludf.DUMMYFUNCTION("""COMPUTED_VALUE"""),234)</f>
        <v>234</v>
      </c>
      <c r="H334" s="1">
        <f ca="1">IFERROR(__xludf.DUMMYFUNCTION("""COMPUTED_VALUE"""),115.5)</f>
        <v>115.5</v>
      </c>
      <c r="I334" s="1">
        <f ca="1">IFERROR(__xludf.DUMMYFUNCTION("""COMPUTED_VALUE"""),339)</f>
        <v>339</v>
      </c>
      <c r="J334" s="1">
        <f ca="1">IFERROR(__xludf.DUMMYFUNCTION("""COMPUTED_VALUE"""),66.2)</f>
        <v>66.2</v>
      </c>
      <c r="K334" s="1">
        <f ca="1">IFERROR(__xludf.DUMMYFUNCTION("""COMPUTED_VALUE"""),85)</f>
        <v>85</v>
      </c>
      <c r="L334" s="1" t="str">
        <f ca="1">IFERROR(__xludf.DUMMYFUNCTION("""COMPUTED_VALUE"""),"+.029")</f>
        <v>+.029</v>
      </c>
      <c r="M334" s="1">
        <f ca="1">IFERROR(__xludf.DUMMYFUNCTION("""COMPUTED_VALUE"""),110)</f>
        <v>110</v>
      </c>
      <c r="N334" s="1">
        <f ca="1">IFERROR(__xludf.DUMMYFUNCTION("""COMPUTED_VALUE"""),-4.69)</f>
        <v>-4.6900000000000004</v>
      </c>
      <c r="O334" s="1">
        <f ca="1">IFERROR(__xludf.DUMMYFUNCTION("""COMPUTED_VALUE"""),270)</f>
        <v>270</v>
      </c>
      <c r="P334" s="1">
        <f ca="1">IFERROR(__xludf.DUMMYFUNCTION("""COMPUTED_VALUE"""),102.4)</f>
        <v>102.4</v>
      </c>
      <c r="Q334" s="1">
        <f ca="1">IFERROR(__xludf.DUMMYFUNCTION("""COMPUTED_VALUE"""),252)</f>
        <v>252</v>
      </c>
      <c r="R334" s="1">
        <f ca="1">IFERROR(__xludf.DUMMYFUNCTION("""COMPUTED_VALUE"""),107.1)</f>
        <v>107.1</v>
      </c>
      <c r="S334" s="1">
        <f ca="1">IFERROR(__xludf.DUMMYFUNCTION("""COMPUTED_VALUE"""),274)</f>
        <v>274</v>
      </c>
      <c r="T334" s="1" t="str">
        <f ca="1">IFERROR(__xludf.DUMMYFUNCTION("""COMPUTED_VALUE"""),"+3.61")</f>
        <v>+3.61</v>
      </c>
      <c r="U334" s="1">
        <f ca="1">IFERROR(__xludf.DUMMYFUNCTION("""COMPUTED_VALUE"""),55)</f>
        <v>55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IFERROR(__xludf.DUMMYFUNCTION("""COMPUTED_VALUE"""),"Fairleigh Dickinson")</f>
        <v>Fairleigh Dickinson</v>
      </c>
      <c r="C335" s="1" t="str">
        <f ca="1">IFERROR(__xludf.DUMMYFUNCTION("""COMPUTED_VALUE"""),"NEC")</f>
        <v>NEC</v>
      </c>
      <c r="D335" s="2">
        <f ca="1">IFERROR(__xludf.DUMMYFUNCTION("""COMPUTED_VALUE"""),44794)</f>
        <v>44794</v>
      </c>
      <c r="E335" s="1">
        <f ca="1">IFERROR(__xludf.DUMMYFUNCTION("""COMPUTED_VALUE"""),-15.07)</f>
        <v>-15.07</v>
      </c>
      <c r="F335" s="1">
        <f ca="1">IFERROR(__xludf.DUMMYFUNCTION("""COMPUTED_VALUE"""),97.4)</f>
        <v>97.4</v>
      </c>
      <c r="G335" s="1">
        <f ca="1">IFERROR(__xludf.DUMMYFUNCTION("""COMPUTED_VALUE"""),296)</f>
        <v>296</v>
      </c>
      <c r="H335" s="1">
        <f ca="1">IFERROR(__xludf.DUMMYFUNCTION("""COMPUTED_VALUE"""),112.5)</f>
        <v>112.5</v>
      </c>
      <c r="I335" s="1">
        <f ca="1">IFERROR(__xludf.DUMMYFUNCTION("""COMPUTED_VALUE"""),320)</f>
        <v>320</v>
      </c>
      <c r="J335" s="1">
        <f ca="1">IFERROR(__xludf.DUMMYFUNCTION("""COMPUTED_VALUE"""),67.4)</f>
        <v>67.400000000000006</v>
      </c>
      <c r="K335" s="1">
        <f ca="1">IFERROR(__xludf.DUMMYFUNCTION("""COMPUTED_VALUE"""),42)</f>
        <v>42</v>
      </c>
      <c r="L335" s="1" t="str">
        <f ca="1">IFERROR(__xludf.DUMMYFUNCTION("""COMPUTED_VALUE"""),"+.053")</f>
        <v>+.053</v>
      </c>
      <c r="M335" s="1">
        <f ca="1">IFERROR(__xludf.DUMMYFUNCTION("""COMPUTED_VALUE"""),59)</f>
        <v>59</v>
      </c>
      <c r="N335" s="1">
        <f ca="1">IFERROR(__xludf.DUMMYFUNCTION("""COMPUTED_VALUE"""),-4.48)</f>
        <v>-4.4800000000000004</v>
      </c>
      <c r="O335" s="1">
        <f ca="1">IFERROR(__xludf.DUMMYFUNCTION("""COMPUTED_VALUE"""),261)</f>
        <v>261</v>
      </c>
      <c r="P335" s="1">
        <f ca="1">IFERROR(__xludf.DUMMYFUNCTION("""COMPUTED_VALUE"""),102.3)</f>
        <v>102.3</v>
      </c>
      <c r="Q335" s="1">
        <f ca="1">IFERROR(__xludf.DUMMYFUNCTION("""COMPUTED_VALUE"""),254)</f>
        <v>254</v>
      </c>
      <c r="R335" s="1">
        <f ca="1">IFERROR(__xludf.DUMMYFUNCTION("""COMPUTED_VALUE"""),106.8)</f>
        <v>106.8</v>
      </c>
      <c r="S335" s="1">
        <f ca="1">IFERROR(__xludf.DUMMYFUNCTION("""COMPUTED_VALUE"""),264)</f>
        <v>264</v>
      </c>
      <c r="T335" s="1" t="str">
        <f ca="1">IFERROR(__xludf.DUMMYFUNCTION("""COMPUTED_VALUE"""),"+2.59")</f>
        <v>+2.59</v>
      </c>
      <c r="U335" s="1">
        <f ca="1">IFERROR(__xludf.DUMMYFUNCTION("""COMPUTED_VALUE"""),83)</f>
        <v>83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IFERROR(__xludf.DUMMYFUNCTION("""COMPUTED_VALUE"""),"Montana St.")</f>
        <v>Montana St.</v>
      </c>
      <c r="C336" s="1" t="str">
        <f ca="1">IFERROR(__xludf.DUMMYFUNCTION("""COMPUTED_VALUE"""),"BSky")</f>
        <v>BSky</v>
      </c>
      <c r="D336" s="2">
        <f ca="1">IFERROR(__xludf.DUMMYFUNCTION("""COMPUTED_VALUE"""),44765)</f>
        <v>44765</v>
      </c>
      <c r="E336" s="1">
        <f ca="1">IFERROR(__xludf.DUMMYFUNCTION("""COMPUTED_VALUE"""),-15.16)</f>
        <v>-15.16</v>
      </c>
      <c r="F336" s="1">
        <f ca="1">IFERROR(__xludf.DUMMYFUNCTION("""COMPUTED_VALUE"""),95.7)</f>
        <v>95.7</v>
      </c>
      <c r="G336" s="1">
        <f ca="1">IFERROR(__xludf.DUMMYFUNCTION("""COMPUTED_VALUE"""),313)</f>
        <v>313</v>
      </c>
      <c r="H336" s="1">
        <f ca="1">IFERROR(__xludf.DUMMYFUNCTION("""COMPUTED_VALUE"""),110.8)</f>
        <v>110.8</v>
      </c>
      <c r="I336" s="1">
        <f ca="1">IFERROR(__xludf.DUMMYFUNCTION("""COMPUTED_VALUE"""),300)</f>
        <v>300</v>
      </c>
      <c r="J336" s="1">
        <f ca="1">IFERROR(__xludf.DUMMYFUNCTION("""COMPUTED_VALUE"""),65.3)</f>
        <v>65.3</v>
      </c>
      <c r="K336" s="1">
        <f ca="1">IFERROR(__xludf.DUMMYFUNCTION("""COMPUTED_VALUE"""),124)</f>
        <v>124</v>
      </c>
      <c r="L336" s="1">
        <f ca="1">IFERROR(__xludf.DUMMYFUNCTION("""COMPUTED_VALUE"""),-0.056)</f>
        <v>-5.6000000000000001E-2</v>
      </c>
      <c r="M336" s="1">
        <f ca="1">IFERROR(__xludf.DUMMYFUNCTION("""COMPUTED_VALUE"""),309)</f>
        <v>309</v>
      </c>
      <c r="N336" s="1">
        <f ca="1">IFERROR(__xludf.DUMMYFUNCTION("""COMPUTED_VALUE"""),-4.04)</f>
        <v>-4.04</v>
      </c>
      <c r="O336" s="1">
        <f ca="1">IFERROR(__xludf.DUMMYFUNCTION("""COMPUTED_VALUE"""),248)</f>
        <v>248</v>
      </c>
      <c r="P336" s="1">
        <f ca="1">IFERROR(__xludf.DUMMYFUNCTION("""COMPUTED_VALUE"""),104.4)</f>
        <v>104.4</v>
      </c>
      <c r="Q336" s="1">
        <f ca="1">IFERROR(__xludf.DUMMYFUNCTION("""COMPUTED_VALUE"""),142)</f>
        <v>142</v>
      </c>
      <c r="R336" s="1">
        <f ca="1">IFERROR(__xludf.DUMMYFUNCTION("""COMPUTED_VALUE"""),108.4)</f>
        <v>108.4</v>
      </c>
      <c r="S336" s="1">
        <f ca="1">IFERROR(__xludf.DUMMYFUNCTION("""COMPUTED_VALUE"""),326)</f>
        <v>326</v>
      </c>
      <c r="T336" s="1" t="str">
        <f ca="1">IFERROR(__xludf.DUMMYFUNCTION("""COMPUTED_VALUE"""),"+1.95")</f>
        <v>+1.95</v>
      </c>
      <c r="U336" s="1">
        <f ca="1">IFERROR(__xludf.DUMMYFUNCTION("""COMPUTED_VALUE"""),100)</f>
        <v>100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IFERROR(__xludf.DUMMYFUNCTION("""COMPUTED_VALUE"""),"Utah Valley")</f>
        <v>Utah Valley</v>
      </c>
      <c r="C339" s="1" t="str">
        <f ca="1">IFERROR(__xludf.DUMMYFUNCTION("""COMPUTED_VALUE"""),"WAC")</f>
        <v>WAC</v>
      </c>
      <c r="D339" s="2">
        <f ca="1">IFERROR(__xludf.DUMMYFUNCTION("""COMPUTED_VALUE"""),44884)</f>
        <v>44884</v>
      </c>
      <c r="E339" s="1">
        <f ca="1">IFERROR(__xludf.DUMMYFUNCTION("""COMPUTED_VALUE"""),-16.1)</f>
        <v>-16.100000000000001</v>
      </c>
      <c r="F339" s="1">
        <f ca="1">IFERROR(__xludf.DUMMYFUNCTION("""COMPUTED_VALUE"""),92.9)</f>
        <v>92.9</v>
      </c>
      <c r="G339" s="1">
        <f ca="1">IFERROR(__xludf.DUMMYFUNCTION("""COMPUTED_VALUE"""),333)</f>
        <v>333</v>
      </c>
      <c r="H339" s="1">
        <f ca="1">IFERROR(__xludf.DUMMYFUNCTION("""COMPUTED_VALUE"""),109)</f>
        <v>109</v>
      </c>
      <c r="I339" s="1">
        <f ca="1">IFERROR(__xludf.DUMMYFUNCTION("""COMPUTED_VALUE"""),266)</f>
        <v>266</v>
      </c>
      <c r="J339" s="1">
        <f ca="1">IFERROR(__xludf.DUMMYFUNCTION("""COMPUTED_VALUE"""),61.9)</f>
        <v>61.9</v>
      </c>
      <c r="K339" s="1">
        <f ca="1">IFERROR(__xludf.DUMMYFUNCTION("""COMPUTED_VALUE"""),300)</f>
        <v>300</v>
      </c>
      <c r="L339" s="1" t="str">
        <f ca="1">IFERROR(__xludf.DUMMYFUNCTION("""COMPUTED_VALUE"""),"+.007")</f>
        <v>+.007</v>
      </c>
      <c r="M339" s="1">
        <f ca="1">IFERROR(__xludf.DUMMYFUNCTION("""COMPUTED_VALUE"""),166)</f>
        <v>166</v>
      </c>
      <c r="N339" s="1">
        <f ca="1">IFERROR(__xludf.DUMMYFUNCTION("""COMPUTED_VALUE"""),-5.54)</f>
        <v>-5.54</v>
      </c>
      <c r="O339" s="1">
        <f ca="1">IFERROR(__xludf.DUMMYFUNCTION("""COMPUTED_VALUE"""),298)</f>
        <v>298</v>
      </c>
      <c r="P339" s="1">
        <f ca="1">IFERROR(__xludf.DUMMYFUNCTION("""COMPUTED_VALUE"""),102.1)</f>
        <v>102.1</v>
      </c>
      <c r="Q339" s="1">
        <f ca="1">IFERROR(__xludf.DUMMYFUNCTION("""COMPUTED_VALUE"""),267)</f>
        <v>267</v>
      </c>
      <c r="R339" s="1">
        <f ca="1">IFERROR(__xludf.DUMMYFUNCTION("""COMPUTED_VALUE"""),107.6)</f>
        <v>107.6</v>
      </c>
      <c r="S339" s="1">
        <f ca="1">IFERROR(__xludf.DUMMYFUNCTION("""COMPUTED_VALUE"""),299)</f>
        <v>299</v>
      </c>
      <c r="T339" s="1">
        <f ca="1">IFERROR(__xludf.DUMMYFUNCTION("""COMPUTED_VALUE"""),-0.53)</f>
        <v>-0.53</v>
      </c>
      <c r="U339" s="1">
        <f ca="1">IFERROR(__xludf.DUMMYFUNCTION("""COMPUTED_VALUE"""),174)</f>
        <v>174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IFERROR(__xludf.DUMMYFUNCTION("""COMPUTED_VALUE"""),"Binghamton")</f>
        <v>Binghamton</v>
      </c>
      <c r="C340" s="1" t="str">
        <f ca="1">IFERROR(__xludf.DUMMYFUNCTION("""COMPUTED_VALUE"""),"AE")</f>
        <v>AE</v>
      </c>
      <c r="D340" s="2">
        <f ca="1">IFERROR(__xludf.DUMMYFUNCTION("""COMPUTED_VALUE"""),44738)</f>
        <v>44738</v>
      </c>
      <c r="E340" s="1">
        <f ca="1">IFERROR(__xludf.DUMMYFUNCTION("""COMPUTED_VALUE"""),-16.41)</f>
        <v>-16.41</v>
      </c>
      <c r="F340" s="1">
        <f ca="1">IFERROR(__xludf.DUMMYFUNCTION("""COMPUTED_VALUE"""),94)</f>
        <v>94</v>
      </c>
      <c r="G340" s="1">
        <f ca="1">IFERROR(__xludf.DUMMYFUNCTION("""COMPUTED_VALUE"""),323)</f>
        <v>323</v>
      </c>
      <c r="H340" s="1">
        <f ca="1">IFERROR(__xludf.DUMMYFUNCTION("""COMPUTED_VALUE"""),110.4)</f>
        <v>110.4</v>
      </c>
      <c r="I340" s="1">
        <f ca="1">IFERROR(__xludf.DUMMYFUNCTION("""COMPUTED_VALUE"""),293)</f>
        <v>293</v>
      </c>
      <c r="J340" s="1">
        <f ca="1">IFERROR(__xludf.DUMMYFUNCTION("""COMPUTED_VALUE"""),63)</f>
        <v>63</v>
      </c>
      <c r="K340" s="1">
        <f ca="1">IFERROR(__xludf.DUMMYFUNCTION("""COMPUTED_VALUE"""),253)</f>
        <v>253</v>
      </c>
      <c r="L340" s="1">
        <f ca="1">IFERROR(__xludf.DUMMYFUNCTION("""COMPUTED_VALUE"""),-0.047)</f>
        <v>-4.7E-2</v>
      </c>
      <c r="M340" s="1">
        <f ca="1">IFERROR(__xludf.DUMMYFUNCTION("""COMPUTED_VALUE"""),288)</f>
        <v>288</v>
      </c>
      <c r="N340" s="1">
        <f ca="1">IFERROR(__xludf.DUMMYFUNCTION("""COMPUTED_VALUE"""),-2.91)</f>
        <v>-2.91</v>
      </c>
      <c r="O340" s="1">
        <f ca="1">IFERROR(__xludf.DUMMYFUNCTION("""COMPUTED_VALUE"""),209)</f>
        <v>209</v>
      </c>
      <c r="P340" s="1">
        <f ca="1">IFERROR(__xludf.DUMMYFUNCTION("""COMPUTED_VALUE"""),101.8)</f>
        <v>101.8</v>
      </c>
      <c r="Q340" s="1">
        <f ca="1">IFERROR(__xludf.DUMMYFUNCTION("""COMPUTED_VALUE"""),290)</f>
        <v>290</v>
      </c>
      <c r="R340" s="1">
        <f ca="1">IFERROR(__xludf.DUMMYFUNCTION("""COMPUTED_VALUE"""),104.7)</f>
        <v>104.7</v>
      </c>
      <c r="S340" s="1">
        <f ca="1">IFERROR(__xludf.DUMMYFUNCTION("""COMPUTED_VALUE"""),167)</f>
        <v>167</v>
      </c>
      <c r="T340" s="1" t="str">
        <f ca="1">IFERROR(__xludf.DUMMYFUNCTION("""COMPUTED_VALUE"""),"+1.78")</f>
        <v>+1.78</v>
      </c>
      <c r="U340" s="1">
        <f ca="1">IFERROR(__xludf.DUMMYFUNCTION("""COMPUTED_VALUE"""),106)</f>
        <v>106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IFERROR(__xludf.DUMMYFUNCTION("""COMPUTED_VALUE"""),"Western Illinois")</f>
        <v>Western Illinois</v>
      </c>
      <c r="C341" s="1" t="str">
        <f ca="1">IFERROR(__xludf.DUMMYFUNCTION("""COMPUTED_VALUE"""),"Sum")</f>
        <v>Sum</v>
      </c>
      <c r="D341" s="2">
        <f ca="1">IFERROR(__xludf.DUMMYFUNCTION("""COMPUTED_VALUE"""),44793)</f>
        <v>44793</v>
      </c>
      <c r="E341" s="1">
        <f ca="1">IFERROR(__xludf.DUMMYFUNCTION("""COMPUTED_VALUE"""),-16.66)</f>
        <v>-16.66</v>
      </c>
      <c r="F341" s="1">
        <f ca="1">IFERROR(__xludf.DUMMYFUNCTION("""COMPUTED_VALUE"""),91.5)</f>
        <v>91.5</v>
      </c>
      <c r="G341" s="1">
        <f ca="1">IFERROR(__xludf.DUMMYFUNCTION("""COMPUTED_VALUE"""),338)</f>
        <v>338</v>
      </c>
      <c r="H341" s="1">
        <f ca="1">IFERROR(__xludf.DUMMYFUNCTION("""COMPUTED_VALUE"""),108.1)</f>
        <v>108.1</v>
      </c>
      <c r="I341" s="1">
        <f ca="1">IFERROR(__xludf.DUMMYFUNCTION("""COMPUTED_VALUE"""),248)</f>
        <v>248</v>
      </c>
      <c r="J341" s="1">
        <f ca="1">IFERROR(__xludf.DUMMYFUNCTION("""COMPUTED_VALUE"""),66.6)</f>
        <v>66.599999999999994</v>
      </c>
      <c r="K341" s="1">
        <f ca="1">IFERROR(__xludf.DUMMYFUNCTION("""COMPUTED_VALUE"""),66)</f>
        <v>66</v>
      </c>
      <c r="L341" s="1" t="str">
        <f ca="1">IFERROR(__xludf.DUMMYFUNCTION("""COMPUTED_VALUE"""),"+.036")</f>
        <v>+.036</v>
      </c>
      <c r="M341" s="1">
        <f ca="1">IFERROR(__xludf.DUMMYFUNCTION("""COMPUTED_VALUE"""),90)</f>
        <v>90</v>
      </c>
      <c r="N341" s="1">
        <f ca="1">IFERROR(__xludf.DUMMYFUNCTION("""COMPUTED_VALUE"""),-2.58)</f>
        <v>-2.58</v>
      </c>
      <c r="O341" s="1">
        <f ca="1">IFERROR(__xludf.DUMMYFUNCTION("""COMPUTED_VALUE"""),200)</f>
        <v>200</v>
      </c>
      <c r="P341" s="1">
        <f ca="1">IFERROR(__xludf.DUMMYFUNCTION("""COMPUTED_VALUE"""),104.2)</f>
        <v>104.2</v>
      </c>
      <c r="Q341" s="1">
        <f ca="1">IFERROR(__xludf.DUMMYFUNCTION("""COMPUTED_VALUE"""),154)</f>
        <v>154</v>
      </c>
      <c r="R341" s="1">
        <f ca="1">IFERROR(__xludf.DUMMYFUNCTION("""COMPUTED_VALUE"""),106.7)</f>
        <v>106.7</v>
      </c>
      <c r="S341" s="1">
        <f ca="1">IFERROR(__xludf.DUMMYFUNCTION("""COMPUTED_VALUE"""),262)</f>
        <v>262</v>
      </c>
      <c r="T341" s="1">
        <f ca="1">IFERROR(__xludf.DUMMYFUNCTION("""COMPUTED_VALUE"""),-2.1)</f>
        <v>-2.1</v>
      </c>
      <c r="U341" s="1">
        <f ca="1">IFERROR(__xludf.DUMMYFUNCTION("""COMPUTED_VALUE"""),222)</f>
        <v>222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IFERROR(__xludf.DUMMYFUNCTION("""COMPUTED_VALUE"""),"Arkansas Pine Bluff")</f>
        <v>Arkansas Pine Bluff</v>
      </c>
      <c r="C342" s="1" t="str">
        <f ca="1">IFERROR(__xludf.DUMMYFUNCTION("""COMPUTED_VALUE"""),"SWAC")</f>
        <v>SWAC</v>
      </c>
      <c r="D342" s="2">
        <f ca="1">IFERROR(__xludf.DUMMYFUNCTION("""COMPUTED_VALUE"""),44915)</f>
        <v>44915</v>
      </c>
      <c r="E342" s="1">
        <f ca="1">IFERROR(__xludf.DUMMYFUNCTION("""COMPUTED_VALUE"""),-16.89)</f>
        <v>-16.89</v>
      </c>
      <c r="F342" s="1">
        <f ca="1">IFERROR(__xludf.DUMMYFUNCTION("""COMPUTED_VALUE"""),92.5)</f>
        <v>92.5</v>
      </c>
      <c r="G342" s="1">
        <f ca="1">IFERROR(__xludf.DUMMYFUNCTION("""COMPUTED_VALUE"""),336)</f>
        <v>336</v>
      </c>
      <c r="H342" s="1">
        <f ca="1">IFERROR(__xludf.DUMMYFUNCTION("""COMPUTED_VALUE"""),109.4)</f>
        <v>109.4</v>
      </c>
      <c r="I342" s="1">
        <f ca="1">IFERROR(__xludf.DUMMYFUNCTION("""COMPUTED_VALUE"""),276)</f>
        <v>276</v>
      </c>
      <c r="J342" s="1">
        <f ca="1">IFERROR(__xludf.DUMMYFUNCTION("""COMPUTED_VALUE"""),63.2)</f>
        <v>63.2</v>
      </c>
      <c r="K342" s="1">
        <f ca="1">IFERROR(__xludf.DUMMYFUNCTION("""COMPUTED_VALUE"""),242)</f>
        <v>242</v>
      </c>
      <c r="L342" s="1" t="str">
        <f ca="1">IFERROR(__xludf.DUMMYFUNCTION("""COMPUTED_VALUE"""),"+.037")</f>
        <v>+.037</v>
      </c>
      <c r="M342" s="1">
        <f ca="1">IFERROR(__xludf.DUMMYFUNCTION("""COMPUTED_VALUE"""),89)</f>
        <v>89</v>
      </c>
      <c r="N342" s="1">
        <f ca="1">IFERROR(__xludf.DUMMYFUNCTION("""COMPUTED_VALUE"""),-8.36)</f>
        <v>-8.36</v>
      </c>
      <c r="O342" s="1">
        <f ca="1">IFERROR(__xludf.DUMMYFUNCTION("""COMPUTED_VALUE"""),340)</f>
        <v>340</v>
      </c>
      <c r="P342" s="1">
        <f ca="1">IFERROR(__xludf.DUMMYFUNCTION("""COMPUTED_VALUE"""),99.3)</f>
        <v>99.3</v>
      </c>
      <c r="Q342" s="1">
        <f ca="1">IFERROR(__xludf.DUMMYFUNCTION("""COMPUTED_VALUE"""),339)</f>
        <v>339</v>
      </c>
      <c r="R342" s="1">
        <f ca="1">IFERROR(__xludf.DUMMYFUNCTION("""COMPUTED_VALUE"""),107.7)</f>
        <v>107.7</v>
      </c>
      <c r="S342" s="1">
        <f ca="1">IFERROR(__xludf.DUMMYFUNCTION("""COMPUTED_VALUE"""),302)</f>
        <v>302</v>
      </c>
      <c r="T342" s="1" t="str">
        <f ca="1">IFERROR(__xludf.DUMMYFUNCTION("""COMPUTED_VALUE"""),"+4.44")</f>
        <v>+4.44</v>
      </c>
      <c r="U342" s="1">
        <f ca="1">IFERROR(__xludf.DUMMYFUNCTION("""COMPUTED_VALUE"""),40)</f>
        <v>40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IFERROR(__xludf.DUMMYFUNCTION("""COMPUTED_VALUE"""),"Coppin St.")</f>
        <v>Coppin St.</v>
      </c>
      <c r="C343" s="1" t="str">
        <f ca="1">IFERROR(__xludf.DUMMYFUNCTION("""COMPUTED_VALUE"""),"MEAC")</f>
        <v>MEAC</v>
      </c>
      <c r="D343" s="2">
        <f ca="1">IFERROR(__xludf.DUMMYFUNCTION("""COMPUTED_VALUE"""),44796)</f>
        <v>44796</v>
      </c>
      <c r="E343" s="1">
        <f ca="1">IFERROR(__xludf.DUMMYFUNCTION("""COMPUTED_VALUE"""),-17.04)</f>
        <v>-17.04</v>
      </c>
      <c r="F343" s="1">
        <f ca="1">IFERROR(__xludf.DUMMYFUNCTION("""COMPUTED_VALUE"""),99.1)</f>
        <v>99.1</v>
      </c>
      <c r="G343" s="1">
        <f ca="1">IFERROR(__xludf.DUMMYFUNCTION("""COMPUTED_VALUE"""),268)</f>
        <v>268</v>
      </c>
      <c r="H343" s="1">
        <f ca="1">IFERROR(__xludf.DUMMYFUNCTION("""COMPUTED_VALUE"""),116.1)</f>
        <v>116.1</v>
      </c>
      <c r="I343" s="1">
        <f ca="1">IFERROR(__xludf.DUMMYFUNCTION("""COMPUTED_VALUE"""),342)</f>
        <v>342</v>
      </c>
      <c r="J343" s="1">
        <f ca="1">IFERROR(__xludf.DUMMYFUNCTION("""COMPUTED_VALUE"""),73.7)</f>
        <v>73.7</v>
      </c>
      <c r="K343" s="1">
        <f ca="1">IFERROR(__xludf.DUMMYFUNCTION("""COMPUTED_VALUE"""),2)</f>
        <v>2</v>
      </c>
      <c r="L343" s="1">
        <f ca="1">IFERROR(__xludf.DUMMYFUNCTION("""COMPUTED_VALUE"""),-0.008)</f>
        <v>-8.0000000000000002E-3</v>
      </c>
      <c r="M343" s="1">
        <f ca="1">IFERROR(__xludf.DUMMYFUNCTION("""COMPUTED_VALUE"""),205)</f>
        <v>205</v>
      </c>
      <c r="N343" s="1">
        <f ca="1">IFERROR(__xludf.DUMMYFUNCTION("""COMPUTED_VALUE"""),-3.03)</f>
        <v>-3.03</v>
      </c>
      <c r="O343" s="1">
        <f ca="1">IFERROR(__xludf.DUMMYFUNCTION("""COMPUTED_VALUE"""),213)</f>
        <v>213</v>
      </c>
      <c r="P343" s="1">
        <f ca="1">IFERROR(__xludf.DUMMYFUNCTION("""COMPUTED_VALUE"""),102.1)</f>
        <v>102.1</v>
      </c>
      <c r="Q343" s="1">
        <f ca="1">IFERROR(__xludf.DUMMYFUNCTION("""COMPUTED_VALUE"""),264)</f>
        <v>264</v>
      </c>
      <c r="R343" s="1">
        <f ca="1">IFERROR(__xludf.DUMMYFUNCTION("""COMPUTED_VALUE"""),105.2)</f>
        <v>105.2</v>
      </c>
      <c r="S343" s="1">
        <f ca="1">IFERROR(__xludf.DUMMYFUNCTION("""COMPUTED_VALUE"""),193)</f>
        <v>193</v>
      </c>
      <c r="T343" s="1" t="str">
        <f ca="1">IFERROR(__xludf.DUMMYFUNCTION("""COMPUTED_VALUE"""),"+9.27")</f>
        <v>+9.27</v>
      </c>
      <c r="U343" s="1">
        <f ca="1">IFERROR(__xludf.DUMMYFUNCTION("""COMPUTED_VALUE"""),10)</f>
        <v>10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IFERROR(__xludf.DUMMYFUNCTION("""COMPUTED_VALUE"""),"Presbyterian")</f>
        <v>Presbyterian</v>
      </c>
      <c r="C344" s="1" t="str">
        <f ca="1">IFERROR(__xludf.DUMMYFUNCTION("""COMPUTED_VALUE"""),"BSth")</f>
        <v>BSth</v>
      </c>
      <c r="D344" s="2">
        <f ca="1">IFERROR(__xludf.DUMMYFUNCTION("""COMPUTED_VALUE"""),44856)</f>
        <v>44856</v>
      </c>
      <c r="E344" s="1">
        <f ca="1">IFERROR(__xludf.DUMMYFUNCTION("""COMPUTED_VALUE"""),-18.09)</f>
        <v>-18.09</v>
      </c>
      <c r="F344" s="1">
        <f ca="1">IFERROR(__xludf.DUMMYFUNCTION("""COMPUTED_VALUE"""),96.6)</f>
        <v>96.6</v>
      </c>
      <c r="G344" s="1">
        <f ca="1">IFERROR(__xludf.DUMMYFUNCTION("""COMPUTED_VALUE"""),305)</f>
        <v>305</v>
      </c>
      <c r="H344" s="1">
        <f ca="1">IFERROR(__xludf.DUMMYFUNCTION("""COMPUTED_VALUE"""),114.7)</f>
        <v>114.7</v>
      </c>
      <c r="I344" s="1">
        <f ca="1">IFERROR(__xludf.DUMMYFUNCTION("""COMPUTED_VALUE"""),335)</f>
        <v>335</v>
      </c>
      <c r="J344" s="1">
        <f ca="1">IFERROR(__xludf.DUMMYFUNCTION("""COMPUTED_VALUE"""),62)</f>
        <v>62</v>
      </c>
      <c r="K344" s="1">
        <f ca="1">IFERROR(__xludf.DUMMYFUNCTION("""COMPUTED_VALUE"""),293)</f>
        <v>293</v>
      </c>
      <c r="L344" s="1">
        <f ca="1">IFERROR(__xludf.DUMMYFUNCTION("""COMPUTED_VALUE"""),-0.005)</f>
        <v>-5.0000000000000001E-3</v>
      </c>
      <c r="M344" s="1">
        <f ca="1">IFERROR(__xludf.DUMMYFUNCTION("""COMPUTED_VALUE"""),197)</f>
        <v>197</v>
      </c>
      <c r="N344" s="1">
        <f ca="1">IFERROR(__xludf.DUMMYFUNCTION("""COMPUTED_VALUE"""),-3.69)</f>
        <v>-3.69</v>
      </c>
      <c r="O344" s="1">
        <f ca="1">IFERROR(__xludf.DUMMYFUNCTION("""COMPUTED_VALUE"""),236)</f>
        <v>236</v>
      </c>
      <c r="P344" s="1">
        <f ca="1">IFERROR(__xludf.DUMMYFUNCTION("""COMPUTED_VALUE"""),103.5)</f>
        <v>103.5</v>
      </c>
      <c r="Q344" s="1">
        <f ca="1">IFERROR(__xludf.DUMMYFUNCTION("""COMPUTED_VALUE"""),189)</f>
        <v>189</v>
      </c>
      <c r="R344" s="1">
        <f ca="1">IFERROR(__xludf.DUMMYFUNCTION("""COMPUTED_VALUE"""),107.2)</f>
        <v>107.2</v>
      </c>
      <c r="S344" s="1">
        <f ca="1">IFERROR(__xludf.DUMMYFUNCTION("""COMPUTED_VALUE"""),283)</f>
        <v>283</v>
      </c>
      <c r="T344" s="1" t="str">
        <f ca="1">IFERROR(__xludf.DUMMYFUNCTION("""COMPUTED_VALUE"""),"+3.82")</f>
        <v>+3.82</v>
      </c>
      <c r="U344" s="1">
        <f ca="1">IFERROR(__xludf.DUMMYFUNCTION("""COMPUTED_VALUE"""),50)</f>
        <v>50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IFERROR(__xludf.DUMMYFUNCTION("""COMPUTED_VALUE"""),"Chicago St.")</f>
        <v>Chicago St.</v>
      </c>
      <c r="C345" s="1" t="str">
        <f ca="1">IFERROR(__xludf.DUMMYFUNCTION("""COMPUTED_VALUE"""),"WAC")</f>
        <v>WAC</v>
      </c>
      <c r="D345" s="2">
        <f ca="1">IFERROR(__xludf.DUMMYFUNCTION("""COMPUTED_VALUE"""),44797)</f>
        <v>44797</v>
      </c>
      <c r="E345" s="1">
        <f ca="1">IFERROR(__xludf.DUMMYFUNCTION("""COMPUTED_VALUE"""),-18.17)</f>
        <v>-18.170000000000002</v>
      </c>
      <c r="F345" s="1">
        <f ca="1">IFERROR(__xludf.DUMMYFUNCTION("""COMPUTED_VALUE"""),89.3)</f>
        <v>89.3</v>
      </c>
      <c r="G345" s="1">
        <f ca="1">IFERROR(__xludf.DUMMYFUNCTION("""COMPUTED_VALUE"""),346)</f>
        <v>346</v>
      </c>
      <c r="H345" s="1">
        <f ca="1">IFERROR(__xludf.DUMMYFUNCTION("""COMPUTED_VALUE"""),107.5)</f>
        <v>107.5</v>
      </c>
      <c r="I345" s="1">
        <f ca="1">IFERROR(__xludf.DUMMYFUNCTION("""COMPUTED_VALUE"""),232)</f>
        <v>232</v>
      </c>
      <c r="J345" s="1">
        <f ca="1">IFERROR(__xludf.DUMMYFUNCTION("""COMPUTED_VALUE"""),62.6)</f>
        <v>62.6</v>
      </c>
      <c r="K345" s="1">
        <f ca="1">IFERROR(__xludf.DUMMYFUNCTION("""COMPUTED_VALUE"""),269)</f>
        <v>269</v>
      </c>
      <c r="L345" s="1">
        <f ca="1">IFERROR(__xludf.DUMMYFUNCTION("""COMPUTED_VALUE"""),-0.012)</f>
        <v>-1.2E-2</v>
      </c>
      <c r="M345" s="1">
        <f ca="1">IFERROR(__xludf.DUMMYFUNCTION("""COMPUTED_VALUE"""),214)</f>
        <v>214</v>
      </c>
      <c r="N345" s="1">
        <f ca="1">IFERROR(__xludf.DUMMYFUNCTION("""COMPUTED_VALUE"""),-1.65)</f>
        <v>-1.65</v>
      </c>
      <c r="O345" s="1">
        <f ca="1">IFERROR(__xludf.DUMMYFUNCTION("""COMPUTED_VALUE"""),183)</f>
        <v>183</v>
      </c>
      <c r="P345" s="1">
        <f ca="1">IFERROR(__xludf.DUMMYFUNCTION("""COMPUTED_VALUE"""),103.9)</f>
        <v>103.9</v>
      </c>
      <c r="Q345" s="1">
        <f ca="1">IFERROR(__xludf.DUMMYFUNCTION("""COMPUTED_VALUE"""),164)</f>
        <v>164</v>
      </c>
      <c r="R345" s="1">
        <f ca="1">IFERROR(__xludf.DUMMYFUNCTION("""COMPUTED_VALUE"""),105.5)</f>
        <v>105.5</v>
      </c>
      <c r="S345" s="1">
        <f ca="1">IFERROR(__xludf.DUMMYFUNCTION("""COMPUTED_VALUE"""),208)</f>
        <v>208</v>
      </c>
      <c r="T345" s="1" t="str">
        <f ca="1">IFERROR(__xludf.DUMMYFUNCTION("""COMPUTED_VALUE"""),"+6.56")</f>
        <v>+6.56</v>
      </c>
      <c r="U345" s="1">
        <f ca="1">IFERROR(__xludf.DUMMYFUNCTION("""COMPUTED_VALUE"""),22)</f>
        <v>22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IFERROR(__xludf.DUMMYFUNCTION("""COMPUTED_VALUE"""),"Nicholls St.")</f>
        <v>Nicholls St.</v>
      </c>
      <c r="C346" s="1" t="str">
        <f ca="1">IFERROR(__xludf.DUMMYFUNCTION("""COMPUTED_VALUE"""),"Slnd")</f>
        <v>Slnd</v>
      </c>
      <c r="D346" s="2">
        <f ca="1">IFERROR(__xludf.DUMMYFUNCTION("""COMPUTED_VALUE"""),44853)</f>
        <v>44853</v>
      </c>
      <c r="E346" s="1">
        <f ca="1">IFERROR(__xludf.DUMMYFUNCTION("""COMPUTED_VALUE"""),-18.36)</f>
        <v>-18.36</v>
      </c>
      <c r="F346" s="1">
        <f ca="1">IFERROR(__xludf.DUMMYFUNCTION("""COMPUTED_VALUE"""),90)</f>
        <v>90</v>
      </c>
      <c r="G346" s="1">
        <f ca="1">IFERROR(__xludf.DUMMYFUNCTION("""COMPUTED_VALUE"""),344)</f>
        <v>344</v>
      </c>
      <c r="H346" s="1">
        <f ca="1">IFERROR(__xludf.DUMMYFUNCTION("""COMPUTED_VALUE"""),108.3)</f>
        <v>108.3</v>
      </c>
      <c r="I346" s="1">
        <f ca="1">IFERROR(__xludf.DUMMYFUNCTION("""COMPUTED_VALUE"""),253)</f>
        <v>253</v>
      </c>
      <c r="J346" s="1">
        <f ca="1">IFERROR(__xludf.DUMMYFUNCTION("""COMPUTED_VALUE"""),66.1)</f>
        <v>66.099999999999994</v>
      </c>
      <c r="K346" s="1">
        <f ca="1">IFERROR(__xludf.DUMMYFUNCTION("""COMPUTED_VALUE"""),88)</f>
        <v>88</v>
      </c>
      <c r="L346" s="1" t="str">
        <f ca="1">IFERROR(__xludf.DUMMYFUNCTION("""COMPUTED_VALUE"""),"+.025")</f>
        <v>+.025</v>
      </c>
      <c r="M346" s="1">
        <f ca="1">IFERROR(__xludf.DUMMYFUNCTION("""COMPUTED_VALUE"""),120)</f>
        <v>120</v>
      </c>
      <c r="N346" s="1">
        <f ca="1">IFERROR(__xludf.DUMMYFUNCTION("""COMPUTED_VALUE"""),-6.23)</f>
        <v>-6.23</v>
      </c>
      <c r="O346" s="1">
        <f ca="1">IFERROR(__xludf.DUMMYFUNCTION("""COMPUTED_VALUE"""),313)</f>
        <v>313</v>
      </c>
      <c r="P346" s="1">
        <f ca="1">IFERROR(__xludf.DUMMYFUNCTION("""COMPUTED_VALUE"""),102.9)</f>
        <v>102.9</v>
      </c>
      <c r="Q346" s="1">
        <f ca="1">IFERROR(__xludf.DUMMYFUNCTION("""COMPUTED_VALUE"""),223)</f>
        <v>223</v>
      </c>
      <c r="R346" s="1">
        <f ca="1">IFERROR(__xludf.DUMMYFUNCTION("""COMPUTED_VALUE"""),109.1)</f>
        <v>109.1</v>
      </c>
      <c r="S346" s="1">
        <f ca="1">IFERROR(__xludf.DUMMYFUNCTION("""COMPUTED_VALUE"""),348)</f>
        <v>348</v>
      </c>
      <c r="T346" s="1" t="str">
        <f ca="1">IFERROR(__xludf.DUMMYFUNCTION("""COMPUTED_VALUE"""),"+11.17")</f>
        <v>+11.17</v>
      </c>
      <c r="U346" s="1">
        <f ca="1">IFERROR(__xludf.DUMMYFUNCTION("""COMPUTED_VALUE"""),4)</f>
        <v>4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IFERROR(__xludf.DUMMYFUNCTION("""COMPUTED_VALUE"""),"The Citadel")</f>
        <v>The Citadel</v>
      </c>
      <c r="C347" s="1" t="str">
        <f ca="1">IFERROR(__xludf.DUMMYFUNCTION("""COMPUTED_VALUE"""),"SC")</f>
        <v>SC</v>
      </c>
      <c r="D347" s="2">
        <f ca="1">IFERROR(__xludf.DUMMYFUNCTION("""COMPUTED_VALUE"""),44884)</f>
        <v>44884</v>
      </c>
      <c r="E347" s="1">
        <f ca="1">IFERROR(__xludf.DUMMYFUNCTION("""COMPUTED_VALUE"""),-18.59)</f>
        <v>-18.59</v>
      </c>
      <c r="F347" s="1">
        <f ca="1">IFERROR(__xludf.DUMMYFUNCTION("""COMPUTED_VALUE"""),103.2)</f>
        <v>103.2</v>
      </c>
      <c r="G347" s="1">
        <f ca="1">IFERROR(__xludf.DUMMYFUNCTION("""COMPUTED_VALUE"""),193)</f>
        <v>193</v>
      </c>
      <c r="H347" s="1">
        <f ca="1">IFERROR(__xludf.DUMMYFUNCTION("""COMPUTED_VALUE"""),121.8)</f>
        <v>121.8</v>
      </c>
      <c r="I347" s="1">
        <f ca="1">IFERROR(__xludf.DUMMYFUNCTION("""COMPUTED_VALUE"""),351)</f>
        <v>351</v>
      </c>
      <c r="J347" s="1">
        <f ca="1">IFERROR(__xludf.DUMMYFUNCTION("""COMPUTED_VALUE"""),58.6)</f>
        <v>58.6</v>
      </c>
      <c r="K347" s="1">
        <f ca="1">IFERROR(__xludf.DUMMYFUNCTION("""COMPUTED_VALUE"""),347)</f>
        <v>347</v>
      </c>
      <c r="L347" s="1" t="str">
        <f ca="1">IFERROR(__xludf.DUMMYFUNCTION("""COMPUTED_VALUE"""),"+.077")</f>
        <v>+.077</v>
      </c>
      <c r="M347" s="1">
        <f ca="1">IFERROR(__xludf.DUMMYFUNCTION("""COMPUTED_VALUE"""),25)</f>
        <v>25</v>
      </c>
      <c r="N347" s="1">
        <f ca="1">IFERROR(__xludf.DUMMYFUNCTION("""COMPUTED_VALUE"""),-5.8)</f>
        <v>-5.8</v>
      </c>
      <c r="O347" s="1">
        <f ca="1">IFERROR(__xludf.DUMMYFUNCTION("""COMPUTED_VALUE"""),304)</f>
        <v>304</v>
      </c>
      <c r="P347" s="1">
        <f ca="1">IFERROR(__xludf.DUMMYFUNCTION("""COMPUTED_VALUE"""),101.8)</f>
        <v>101.8</v>
      </c>
      <c r="Q347" s="1">
        <f ca="1">IFERROR(__xludf.DUMMYFUNCTION("""COMPUTED_VALUE"""),287)</f>
        <v>287</v>
      </c>
      <c r="R347" s="1">
        <f ca="1">IFERROR(__xludf.DUMMYFUNCTION("""COMPUTED_VALUE"""),107.6)</f>
        <v>107.6</v>
      </c>
      <c r="S347" s="1">
        <f ca="1">IFERROR(__xludf.DUMMYFUNCTION("""COMPUTED_VALUE"""),298)</f>
        <v>298</v>
      </c>
      <c r="T347" s="1">
        <f ca="1">IFERROR(__xludf.DUMMYFUNCTION("""COMPUTED_VALUE"""),-2.71)</f>
        <v>-2.71</v>
      </c>
      <c r="U347" s="1">
        <f ca="1">IFERROR(__xludf.DUMMYFUNCTION("""COMPUTED_VALUE"""),244)</f>
        <v>244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IFERROR(__xludf.DUMMYFUNCTION("""COMPUTED_VALUE"""),"Bethune Cookman")</f>
        <v>Bethune Cookman</v>
      </c>
      <c r="C348" s="1" t="str">
        <f ca="1">IFERROR(__xludf.DUMMYFUNCTION("""COMPUTED_VALUE"""),"MEAC")</f>
        <v>MEAC</v>
      </c>
      <c r="D348" s="2">
        <f ca="1">IFERROR(__xludf.DUMMYFUNCTION("""COMPUTED_VALUE"""),44886)</f>
        <v>44886</v>
      </c>
      <c r="E348" s="1">
        <f ca="1">IFERROR(__xludf.DUMMYFUNCTION("""COMPUTED_VALUE"""),-18.66)</f>
        <v>-18.66</v>
      </c>
      <c r="F348" s="1">
        <f ca="1">IFERROR(__xludf.DUMMYFUNCTION("""COMPUTED_VALUE"""),91.2)</f>
        <v>91.2</v>
      </c>
      <c r="G348" s="1">
        <f ca="1">IFERROR(__xludf.DUMMYFUNCTION("""COMPUTED_VALUE"""),340)</f>
        <v>340</v>
      </c>
      <c r="H348" s="1">
        <f ca="1">IFERROR(__xludf.DUMMYFUNCTION("""COMPUTED_VALUE"""),109.9)</f>
        <v>109.9</v>
      </c>
      <c r="I348" s="1">
        <f ca="1">IFERROR(__xludf.DUMMYFUNCTION("""COMPUTED_VALUE"""),287)</f>
        <v>287</v>
      </c>
      <c r="J348" s="1">
        <f ca="1">IFERROR(__xludf.DUMMYFUNCTION("""COMPUTED_VALUE"""),60.2)</f>
        <v>60.2</v>
      </c>
      <c r="K348" s="1">
        <f ca="1">IFERROR(__xludf.DUMMYFUNCTION("""COMPUTED_VALUE"""),335)</f>
        <v>335</v>
      </c>
      <c r="L348" s="1">
        <f ca="1">IFERROR(__xludf.DUMMYFUNCTION("""COMPUTED_VALUE"""),-0.033)</f>
        <v>-3.3000000000000002E-2</v>
      </c>
      <c r="M348" s="1">
        <f ca="1">IFERROR(__xludf.DUMMYFUNCTION("""COMPUTED_VALUE"""),261)</f>
        <v>261</v>
      </c>
      <c r="N348" s="1">
        <f ca="1">IFERROR(__xludf.DUMMYFUNCTION("""COMPUTED_VALUE"""),-11.26)</f>
        <v>-11.26</v>
      </c>
      <c r="O348" s="1">
        <f ca="1">IFERROR(__xludf.DUMMYFUNCTION("""COMPUTED_VALUE"""),350)</f>
        <v>350</v>
      </c>
      <c r="P348" s="1">
        <f ca="1">IFERROR(__xludf.DUMMYFUNCTION("""COMPUTED_VALUE"""),98.7)</f>
        <v>98.7</v>
      </c>
      <c r="Q348" s="1">
        <f ca="1">IFERROR(__xludf.DUMMYFUNCTION("""COMPUTED_VALUE"""),345)</f>
        <v>345</v>
      </c>
      <c r="R348" s="1">
        <f ca="1">IFERROR(__xludf.DUMMYFUNCTION("""COMPUTED_VALUE"""),110)</f>
        <v>110</v>
      </c>
      <c r="S348" s="1">
        <f ca="1">IFERROR(__xludf.DUMMYFUNCTION("""COMPUTED_VALUE"""),350)</f>
        <v>350</v>
      </c>
      <c r="T348" s="1">
        <f ca="1">IFERROR(__xludf.DUMMYFUNCTION("""COMPUTED_VALUE"""),-6.77)</f>
        <v>-6.77</v>
      </c>
      <c r="U348" s="1">
        <f ca="1">IFERROR(__xludf.DUMMYFUNCTION("""COMPUTED_VALUE"""),330)</f>
        <v>330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IFERROR(__xludf.DUMMYFUNCTION("""COMPUTED_VALUE"""),"South Carolina St.")</f>
        <v>South Carolina St.</v>
      </c>
      <c r="C349" s="1" t="str">
        <f ca="1">IFERROR(__xludf.DUMMYFUNCTION("""COMPUTED_VALUE"""),"MEAC")</f>
        <v>MEAC</v>
      </c>
      <c r="D349" s="2">
        <f ca="1">IFERROR(__xludf.DUMMYFUNCTION("""COMPUTED_VALUE"""),44887)</f>
        <v>44887</v>
      </c>
      <c r="E349" s="1">
        <f ca="1">IFERROR(__xludf.DUMMYFUNCTION("""COMPUTED_VALUE"""),-18.69)</f>
        <v>-18.690000000000001</v>
      </c>
      <c r="F349" s="1">
        <f ca="1">IFERROR(__xludf.DUMMYFUNCTION("""COMPUTED_VALUE"""),90.4)</f>
        <v>90.4</v>
      </c>
      <c r="G349" s="1">
        <f ca="1">IFERROR(__xludf.DUMMYFUNCTION("""COMPUTED_VALUE"""),343)</f>
        <v>343</v>
      </c>
      <c r="H349" s="1">
        <f ca="1">IFERROR(__xludf.DUMMYFUNCTION("""COMPUTED_VALUE"""),109.1)</f>
        <v>109.1</v>
      </c>
      <c r="I349" s="1">
        <f ca="1">IFERROR(__xludf.DUMMYFUNCTION("""COMPUTED_VALUE"""),268)</f>
        <v>268</v>
      </c>
      <c r="J349" s="1">
        <f ca="1">IFERROR(__xludf.DUMMYFUNCTION("""COMPUTED_VALUE"""),64.1)</f>
        <v>64.099999999999994</v>
      </c>
      <c r="K349" s="1">
        <f ca="1">IFERROR(__xludf.DUMMYFUNCTION("""COMPUTED_VALUE"""),189)</f>
        <v>189</v>
      </c>
      <c r="L349" s="1" t="str">
        <f ca="1">IFERROR(__xludf.DUMMYFUNCTION("""COMPUTED_VALUE"""),"+.050")</f>
        <v>+.050</v>
      </c>
      <c r="M349" s="1">
        <f ca="1">IFERROR(__xludf.DUMMYFUNCTION("""COMPUTED_VALUE"""),64)</f>
        <v>64</v>
      </c>
      <c r="N349" s="1">
        <f ca="1">IFERROR(__xludf.DUMMYFUNCTION("""COMPUTED_VALUE"""),-6.33)</f>
        <v>-6.33</v>
      </c>
      <c r="O349" s="1">
        <f ca="1">IFERROR(__xludf.DUMMYFUNCTION("""COMPUTED_VALUE"""),316)</f>
        <v>316</v>
      </c>
      <c r="P349" s="1">
        <f ca="1">IFERROR(__xludf.DUMMYFUNCTION("""COMPUTED_VALUE"""),100)</f>
        <v>100</v>
      </c>
      <c r="Q349" s="1">
        <f ca="1">IFERROR(__xludf.DUMMYFUNCTION("""COMPUTED_VALUE"""),331)</f>
        <v>331</v>
      </c>
      <c r="R349" s="1">
        <f ca="1">IFERROR(__xludf.DUMMYFUNCTION("""COMPUTED_VALUE"""),106.4)</f>
        <v>106.4</v>
      </c>
      <c r="S349" s="1">
        <f ca="1">IFERROR(__xludf.DUMMYFUNCTION("""COMPUTED_VALUE"""),247)</f>
        <v>247</v>
      </c>
      <c r="T349" s="1" t="str">
        <f ca="1">IFERROR(__xludf.DUMMYFUNCTION("""COMPUTED_VALUE"""),"+2.84")</f>
        <v>+2.84</v>
      </c>
      <c r="U349" s="1">
        <f ca="1">IFERROR(__xludf.DUMMYFUNCTION("""COMPUTED_VALUE"""),74)</f>
        <v>74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IFERROR(__xludf.DUMMYFUNCTION("""COMPUTED_VALUE"""),"Morgan St.")</f>
        <v>Morgan St.</v>
      </c>
      <c r="C350" s="1" t="str">
        <f ca="1">IFERROR(__xludf.DUMMYFUNCTION("""COMPUTED_VALUE"""),"MEAC")</f>
        <v>MEAC</v>
      </c>
      <c r="D350" s="2">
        <f ca="1">IFERROR(__xludf.DUMMYFUNCTION("""COMPUTED_VALUE"""),44766)</f>
        <v>44766</v>
      </c>
      <c r="E350" s="1">
        <f ca="1">IFERROR(__xludf.DUMMYFUNCTION("""COMPUTED_VALUE"""),-18.87)</f>
        <v>-18.87</v>
      </c>
      <c r="F350" s="1">
        <f ca="1">IFERROR(__xludf.DUMMYFUNCTION("""COMPUTED_VALUE"""),94.3)</f>
        <v>94.3</v>
      </c>
      <c r="G350" s="1">
        <f ca="1">IFERROR(__xludf.DUMMYFUNCTION("""COMPUTED_VALUE"""),319)</f>
        <v>319</v>
      </c>
      <c r="H350" s="1">
        <f ca="1">IFERROR(__xludf.DUMMYFUNCTION("""COMPUTED_VALUE"""),113.2)</f>
        <v>113.2</v>
      </c>
      <c r="I350" s="1">
        <f ca="1">IFERROR(__xludf.DUMMYFUNCTION("""COMPUTED_VALUE"""),328)</f>
        <v>328</v>
      </c>
      <c r="J350" s="1">
        <f ca="1">IFERROR(__xludf.DUMMYFUNCTION("""COMPUTED_VALUE"""),64.4)</f>
        <v>64.400000000000006</v>
      </c>
      <c r="K350" s="1">
        <f ca="1">IFERROR(__xludf.DUMMYFUNCTION("""COMPUTED_VALUE"""),169)</f>
        <v>169</v>
      </c>
      <c r="L350" s="1" t="str">
        <f ca="1">IFERROR(__xludf.DUMMYFUNCTION("""COMPUTED_VALUE"""),"+.029")</f>
        <v>+.029</v>
      </c>
      <c r="M350" s="1">
        <f ca="1">IFERROR(__xludf.DUMMYFUNCTION("""COMPUTED_VALUE"""),112)</f>
        <v>112</v>
      </c>
      <c r="N350" s="1">
        <f ca="1">IFERROR(__xludf.DUMMYFUNCTION("""COMPUTED_VALUE"""),-4.98)</f>
        <v>-4.9800000000000004</v>
      </c>
      <c r="O350" s="1">
        <f ca="1">IFERROR(__xludf.DUMMYFUNCTION("""COMPUTED_VALUE"""),279)</f>
        <v>279</v>
      </c>
      <c r="P350" s="1">
        <f ca="1">IFERROR(__xludf.DUMMYFUNCTION("""COMPUTED_VALUE"""),100.6)</f>
        <v>100.6</v>
      </c>
      <c r="Q350" s="1">
        <f ca="1">IFERROR(__xludf.DUMMYFUNCTION("""COMPUTED_VALUE"""),321)</f>
        <v>321</v>
      </c>
      <c r="R350" s="1">
        <f ca="1">IFERROR(__xludf.DUMMYFUNCTION("""COMPUTED_VALUE"""),105.6)</f>
        <v>105.6</v>
      </c>
      <c r="S350" s="1">
        <f ca="1">IFERROR(__xludf.DUMMYFUNCTION("""COMPUTED_VALUE"""),212)</f>
        <v>212</v>
      </c>
      <c r="T350" s="1" t="str">
        <f ca="1">IFERROR(__xludf.DUMMYFUNCTION("""COMPUTED_VALUE"""),"+2.66")</f>
        <v>+2.66</v>
      </c>
      <c r="U350" s="1">
        <f ca="1">IFERROR(__xludf.DUMMYFUNCTION("""COMPUTED_VALUE"""),80)</f>
        <v>80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IFERROR(__xludf.DUMMYFUNCTION("""COMPUTED_VALUE"""),"Liberty")</f>
        <v>Liberty</v>
      </c>
      <c r="C351" s="1" t="str">
        <f ca="1">IFERROR(__xludf.DUMMYFUNCTION("""COMPUTED_VALUE"""),"BSth")</f>
        <v>BSth</v>
      </c>
      <c r="D351" s="2">
        <f ca="1">IFERROR(__xludf.DUMMYFUNCTION("""COMPUTED_VALUE"""),44797)</f>
        <v>44797</v>
      </c>
      <c r="E351" s="1">
        <f ca="1">IFERROR(__xludf.DUMMYFUNCTION("""COMPUTED_VALUE"""),-18.87)</f>
        <v>-18.87</v>
      </c>
      <c r="F351" s="1">
        <f ca="1">IFERROR(__xludf.DUMMYFUNCTION("""COMPUTED_VALUE"""),90.8)</f>
        <v>90.8</v>
      </c>
      <c r="G351" s="1">
        <f ca="1">IFERROR(__xludf.DUMMYFUNCTION("""COMPUTED_VALUE"""),342)</f>
        <v>342</v>
      </c>
      <c r="H351" s="1">
        <f ca="1">IFERROR(__xludf.DUMMYFUNCTION("""COMPUTED_VALUE"""),109.7)</f>
        <v>109.7</v>
      </c>
      <c r="I351" s="1">
        <f ca="1">IFERROR(__xludf.DUMMYFUNCTION("""COMPUTED_VALUE"""),285)</f>
        <v>285</v>
      </c>
      <c r="J351" s="1">
        <f ca="1">IFERROR(__xludf.DUMMYFUNCTION("""COMPUTED_VALUE"""),65.8)</f>
        <v>65.8</v>
      </c>
      <c r="K351" s="1">
        <f ca="1">IFERROR(__xludf.DUMMYFUNCTION("""COMPUTED_VALUE"""),97)</f>
        <v>97</v>
      </c>
      <c r="L351" s="1">
        <f ca="1">IFERROR(__xludf.DUMMYFUNCTION("""COMPUTED_VALUE"""),-0.059)</f>
        <v>-5.8999999999999997E-2</v>
      </c>
      <c r="M351" s="1">
        <f ca="1">IFERROR(__xludf.DUMMYFUNCTION("""COMPUTED_VALUE"""),312)</f>
        <v>312</v>
      </c>
      <c r="N351" s="1">
        <f ca="1">IFERROR(__xludf.DUMMYFUNCTION("""COMPUTED_VALUE"""),-5.83)</f>
        <v>-5.83</v>
      </c>
      <c r="O351" s="1">
        <f ca="1">IFERROR(__xludf.DUMMYFUNCTION("""COMPUTED_VALUE"""),305)</f>
        <v>305</v>
      </c>
      <c r="P351" s="1">
        <f ca="1">IFERROR(__xludf.DUMMYFUNCTION("""COMPUTED_VALUE"""),102.7)</f>
        <v>102.7</v>
      </c>
      <c r="Q351" s="1">
        <f ca="1">IFERROR(__xludf.DUMMYFUNCTION("""COMPUTED_VALUE"""),231)</f>
        <v>231</v>
      </c>
      <c r="R351" s="1">
        <f ca="1">IFERROR(__xludf.DUMMYFUNCTION("""COMPUTED_VALUE"""),108.6)</f>
        <v>108.6</v>
      </c>
      <c r="S351" s="1">
        <f ca="1">IFERROR(__xludf.DUMMYFUNCTION("""COMPUTED_VALUE"""),334)</f>
        <v>334</v>
      </c>
      <c r="T351" s="1">
        <f ca="1">IFERROR(__xludf.DUMMYFUNCTION("""COMPUTED_VALUE"""),-4.48)</f>
        <v>-4.4800000000000004</v>
      </c>
      <c r="U351" s="1">
        <f ca="1">IFERROR(__xludf.DUMMYFUNCTION("""COMPUTED_VALUE"""),293)</f>
        <v>293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IFERROR(__xludf.DUMMYFUNCTION("""COMPUTED_VALUE"""),"Tennessee St.")</f>
        <v>Tennessee St.</v>
      </c>
      <c r="C352" s="1" t="str">
        <f ca="1">IFERROR(__xludf.DUMMYFUNCTION("""COMPUTED_VALUE"""),"OVC")</f>
        <v>OVC</v>
      </c>
      <c r="D352" s="2">
        <f ca="1">IFERROR(__xludf.DUMMYFUNCTION("""COMPUTED_VALUE"""),44707)</f>
        <v>44707</v>
      </c>
      <c r="E352" s="1">
        <f ca="1">IFERROR(__xludf.DUMMYFUNCTION("""COMPUTED_VALUE"""),-18.9)</f>
        <v>-18.899999999999999</v>
      </c>
      <c r="F352" s="1">
        <f ca="1">IFERROR(__xludf.DUMMYFUNCTION("""COMPUTED_VALUE"""),89.5)</f>
        <v>89.5</v>
      </c>
      <c r="G352" s="1">
        <f ca="1">IFERROR(__xludf.DUMMYFUNCTION("""COMPUTED_VALUE"""),345)</f>
        <v>345</v>
      </c>
      <c r="H352" s="1">
        <f ca="1">IFERROR(__xludf.DUMMYFUNCTION("""COMPUTED_VALUE"""),108.4)</f>
        <v>108.4</v>
      </c>
      <c r="I352" s="1">
        <f ca="1">IFERROR(__xludf.DUMMYFUNCTION("""COMPUTED_VALUE"""),255)</f>
        <v>255</v>
      </c>
      <c r="J352" s="1">
        <f ca="1">IFERROR(__xludf.DUMMYFUNCTION("""COMPUTED_VALUE"""),63.5)</f>
        <v>63.5</v>
      </c>
      <c r="K352" s="1">
        <f ca="1">IFERROR(__xludf.DUMMYFUNCTION("""COMPUTED_VALUE"""),221)</f>
        <v>221</v>
      </c>
      <c r="L352" s="1">
        <f ca="1">IFERROR(__xludf.DUMMYFUNCTION("""COMPUTED_VALUE"""),-0.045)</f>
        <v>-4.4999999999999998E-2</v>
      </c>
      <c r="M352" s="1">
        <f ca="1">IFERROR(__xludf.DUMMYFUNCTION("""COMPUTED_VALUE"""),286)</f>
        <v>286</v>
      </c>
      <c r="N352" s="1">
        <f ca="1">IFERROR(__xludf.DUMMYFUNCTION("""COMPUTED_VALUE"""),-1.39)</f>
        <v>-1.39</v>
      </c>
      <c r="O352" s="1">
        <f ca="1">IFERROR(__xludf.DUMMYFUNCTION("""COMPUTED_VALUE"""),172)</f>
        <v>172</v>
      </c>
      <c r="P352" s="1">
        <f ca="1">IFERROR(__xludf.DUMMYFUNCTION("""COMPUTED_VALUE"""),103.5)</f>
        <v>103.5</v>
      </c>
      <c r="Q352" s="1">
        <f ca="1">IFERROR(__xludf.DUMMYFUNCTION("""COMPUTED_VALUE"""),188)</f>
        <v>188</v>
      </c>
      <c r="R352" s="1">
        <f ca="1">IFERROR(__xludf.DUMMYFUNCTION("""COMPUTED_VALUE"""),104.9)</f>
        <v>104.9</v>
      </c>
      <c r="S352" s="1">
        <f ca="1">IFERROR(__xludf.DUMMYFUNCTION("""COMPUTED_VALUE"""),176)</f>
        <v>176</v>
      </c>
      <c r="T352" s="1" t="str">
        <f ca="1">IFERROR(__xludf.DUMMYFUNCTION("""COMPUTED_VALUE"""),"+2.06")</f>
        <v>+2.06</v>
      </c>
      <c r="U352" s="1">
        <f ca="1">IFERROR(__xludf.DUMMYFUNCTION("""COMPUTED_VALUE"""),95)</f>
        <v>95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IFERROR(__xludf.DUMMYFUNCTION("""COMPUTED_VALUE"""),"Texas Pan American")</f>
        <v>Texas Pan American</v>
      </c>
      <c r="C353" s="1" t="str">
        <f ca="1">IFERROR(__xludf.DUMMYFUNCTION("""COMPUTED_VALUE"""),"WAC")</f>
        <v>WAC</v>
      </c>
      <c r="D353" s="2">
        <f ca="1">IFERROR(__xludf.DUMMYFUNCTION("""COMPUTED_VALUE"""),44855)</f>
        <v>44855</v>
      </c>
      <c r="E353" s="1">
        <f ca="1">IFERROR(__xludf.DUMMYFUNCTION("""COMPUTED_VALUE"""),-18.99)</f>
        <v>-18.989999999999998</v>
      </c>
      <c r="F353" s="1">
        <f ca="1">IFERROR(__xludf.DUMMYFUNCTION("""COMPUTED_VALUE"""),93.5)</f>
        <v>93.5</v>
      </c>
      <c r="G353" s="1">
        <f ca="1">IFERROR(__xludf.DUMMYFUNCTION("""COMPUTED_VALUE"""),329)</f>
        <v>329</v>
      </c>
      <c r="H353" s="1">
        <f ca="1">IFERROR(__xludf.DUMMYFUNCTION("""COMPUTED_VALUE"""),112.5)</f>
        <v>112.5</v>
      </c>
      <c r="I353" s="1">
        <f ca="1">IFERROR(__xludf.DUMMYFUNCTION("""COMPUTED_VALUE"""),321)</f>
        <v>321</v>
      </c>
      <c r="J353" s="1">
        <f ca="1">IFERROR(__xludf.DUMMYFUNCTION("""COMPUTED_VALUE"""),63.9)</f>
        <v>63.9</v>
      </c>
      <c r="K353" s="1">
        <f ca="1">IFERROR(__xludf.DUMMYFUNCTION("""COMPUTED_VALUE"""),196)</f>
        <v>196</v>
      </c>
      <c r="L353" s="1" t="str">
        <f ca="1">IFERROR(__xludf.DUMMYFUNCTION("""COMPUTED_VALUE"""),"+.033")</f>
        <v>+.033</v>
      </c>
      <c r="M353" s="1">
        <f ca="1">IFERROR(__xludf.DUMMYFUNCTION("""COMPUTED_VALUE"""),96)</f>
        <v>96</v>
      </c>
      <c r="N353" s="1">
        <f ca="1">IFERROR(__xludf.DUMMYFUNCTION("""COMPUTED_VALUE"""),-5.02)</f>
        <v>-5.0199999999999996</v>
      </c>
      <c r="O353" s="1">
        <f ca="1">IFERROR(__xludf.DUMMYFUNCTION("""COMPUTED_VALUE"""),280)</f>
        <v>280</v>
      </c>
      <c r="P353" s="1">
        <f ca="1">IFERROR(__xludf.DUMMYFUNCTION("""COMPUTED_VALUE"""),101.5)</f>
        <v>101.5</v>
      </c>
      <c r="Q353" s="1">
        <f ca="1">IFERROR(__xludf.DUMMYFUNCTION("""COMPUTED_VALUE"""),302)</f>
        <v>302</v>
      </c>
      <c r="R353" s="1">
        <f ca="1">IFERROR(__xludf.DUMMYFUNCTION("""COMPUTED_VALUE"""),106.5)</f>
        <v>106.5</v>
      </c>
      <c r="S353" s="1">
        <f ca="1">IFERROR(__xludf.DUMMYFUNCTION("""COMPUTED_VALUE"""),257)</f>
        <v>257</v>
      </c>
      <c r="T353" s="1" t="str">
        <f ca="1">IFERROR(__xludf.DUMMYFUNCTION("""COMPUTED_VALUE"""),"+0.16")</f>
        <v>+0.16</v>
      </c>
      <c r="U353" s="1">
        <f ca="1">IFERROR(__xludf.DUMMYFUNCTION("""COMPUTED_VALUE"""),155)</f>
        <v>155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IFERROR(__xludf.DUMMYFUNCTION("""COMPUTED_VALUE"""),"Alabama A&amp;M")</f>
        <v>Alabama A&amp;M</v>
      </c>
      <c r="C354" s="1" t="str">
        <f ca="1">IFERROR(__xludf.DUMMYFUNCTION("""COMPUTED_VALUE"""),"SWAC")</f>
        <v>SWAC</v>
      </c>
      <c r="D354" s="2">
        <f ca="1">IFERROR(__xludf.DUMMYFUNCTION("""COMPUTED_VALUE"""),44824)</f>
        <v>44824</v>
      </c>
      <c r="E354" s="1">
        <f ca="1">IFERROR(__xludf.DUMMYFUNCTION("""COMPUTED_VALUE"""),-19.09)</f>
        <v>-19.09</v>
      </c>
      <c r="F354" s="1">
        <f ca="1">IFERROR(__xludf.DUMMYFUNCTION("""COMPUTED_VALUE"""),95)</f>
        <v>95</v>
      </c>
      <c r="G354" s="1">
        <f ca="1">IFERROR(__xludf.DUMMYFUNCTION("""COMPUTED_VALUE"""),316)</f>
        <v>316</v>
      </c>
      <c r="H354" s="1">
        <f ca="1">IFERROR(__xludf.DUMMYFUNCTION("""COMPUTED_VALUE"""),114.1)</f>
        <v>114.1</v>
      </c>
      <c r="I354" s="1">
        <f ca="1">IFERROR(__xludf.DUMMYFUNCTION("""COMPUTED_VALUE"""),332)</f>
        <v>332</v>
      </c>
      <c r="J354" s="1">
        <f ca="1">IFERROR(__xludf.DUMMYFUNCTION("""COMPUTED_VALUE"""),63.5)</f>
        <v>63.5</v>
      </c>
      <c r="K354" s="1">
        <f ca="1">IFERROR(__xludf.DUMMYFUNCTION("""COMPUTED_VALUE"""),225)</f>
        <v>225</v>
      </c>
      <c r="L354" s="1">
        <f ca="1">IFERROR(__xludf.DUMMYFUNCTION("""COMPUTED_VALUE"""),-0.021)</f>
        <v>-2.1000000000000001E-2</v>
      </c>
      <c r="M354" s="1">
        <f ca="1">IFERROR(__xludf.DUMMYFUNCTION("""COMPUTED_VALUE"""),229)</f>
        <v>229</v>
      </c>
      <c r="N354" s="1">
        <f ca="1">IFERROR(__xludf.DUMMYFUNCTION("""COMPUTED_VALUE"""),-9.62)</f>
        <v>-9.6199999999999992</v>
      </c>
      <c r="O354" s="1">
        <f ca="1">IFERROR(__xludf.DUMMYFUNCTION("""COMPUTED_VALUE"""),347)</f>
        <v>347</v>
      </c>
      <c r="P354" s="1">
        <f ca="1">IFERROR(__xludf.DUMMYFUNCTION("""COMPUTED_VALUE"""),97.8)</f>
        <v>97.8</v>
      </c>
      <c r="Q354" s="1">
        <f ca="1">IFERROR(__xludf.DUMMYFUNCTION("""COMPUTED_VALUE"""),349)</f>
        <v>349</v>
      </c>
      <c r="R354" s="1">
        <f ca="1">IFERROR(__xludf.DUMMYFUNCTION("""COMPUTED_VALUE"""),107.4)</f>
        <v>107.4</v>
      </c>
      <c r="S354" s="1">
        <f ca="1">IFERROR(__xludf.DUMMYFUNCTION("""COMPUTED_VALUE"""),293)</f>
        <v>293</v>
      </c>
      <c r="T354" s="1" t="str">
        <f ca="1">IFERROR(__xludf.DUMMYFUNCTION("""COMPUTED_VALUE"""),"+7.67")</f>
        <v>+7.67</v>
      </c>
      <c r="U354" s="1">
        <f ca="1">IFERROR(__xludf.DUMMYFUNCTION("""COMPUTED_VALUE"""),14)</f>
        <v>14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IFERROR(__xludf.DUMMYFUNCTION("""COMPUTED_VALUE"""),"North Carolina A&amp;T")</f>
        <v>North Carolina A&amp;T</v>
      </c>
      <c r="C355" s="1" t="str">
        <f ca="1">IFERROR(__xludf.DUMMYFUNCTION("""COMPUTED_VALUE"""),"MEAC")</f>
        <v>MEAC</v>
      </c>
      <c r="D355" s="2">
        <f ca="1">IFERROR(__xludf.DUMMYFUNCTION("""COMPUTED_VALUE"""),44827)</f>
        <v>44827</v>
      </c>
      <c r="E355" s="1">
        <f ca="1">IFERROR(__xludf.DUMMYFUNCTION("""COMPUTED_VALUE"""),-19.42)</f>
        <v>-19.420000000000002</v>
      </c>
      <c r="F355" s="1">
        <f ca="1">IFERROR(__xludf.DUMMYFUNCTION("""COMPUTED_VALUE"""),93.5)</f>
        <v>93.5</v>
      </c>
      <c r="G355" s="1">
        <f ca="1">IFERROR(__xludf.DUMMYFUNCTION("""COMPUTED_VALUE"""),330)</f>
        <v>330</v>
      </c>
      <c r="H355" s="1">
        <f ca="1">IFERROR(__xludf.DUMMYFUNCTION("""COMPUTED_VALUE"""),112.9)</f>
        <v>112.9</v>
      </c>
      <c r="I355" s="1">
        <f ca="1">IFERROR(__xludf.DUMMYFUNCTION("""COMPUTED_VALUE"""),325)</f>
        <v>325</v>
      </c>
      <c r="J355" s="1">
        <f ca="1">IFERROR(__xludf.DUMMYFUNCTION("""COMPUTED_VALUE"""),61.6)</f>
        <v>61.6</v>
      </c>
      <c r="K355" s="1">
        <f ca="1">IFERROR(__xludf.DUMMYFUNCTION("""COMPUTED_VALUE"""),304)</f>
        <v>304</v>
      </c>
      <c r="L355" s="1">
        <f ca="1">IFERROR(__xludf.DUMMYFUNCTION("""COMPUTED_VALUE"""),-0.038)</f>
        <v>-3.7999999999999999E-2</v>
      </c>
      <c r="M355" s="1">
        <f ca="1">IFERROR(__xludf.DUMMYFUNCTION("""COMPUTED_VALUE"""),271)</f>
        <v>271</v>
      </c>
      <c r="N355" s="1">
        <f ca="1">IFERROR(__xludf.DUMMYFUNCTION("""COMPUTED_VALUE"""),-7.53)</f>
        <v>-7.53</v>
      </c>
      <c r="O355" s="1">
        <f ca="1">IFERROR(__xludf.DUMMYFUNCTION("""COMPUTED_VALUE"""),337)</f>
        <v>337</v>
      </c>
      <c r="P355" s="1">
        <f ca="1">IFERROR(__xludf.DUMMYFUNCTION("""COMPUTED_VALUE"""),98.9)</f>
        <v>98.9</v>
      </c>
      <c r="Q355" s="1">
        <f ca="1">IFERROR(__xludf.DUMMYFUNCTION("""COMPUTED_VALUE"""),342)</f>
        <v>342</v>
      </c>
      <c r="R355" s="1">
        <f ca="1">IFERROR(__xludf.DUMMYFUNCTION("""COMPUTED_VALUE"""),106.5)</f>
        <v>106.5</v>
      </c>
      <c r="S355" s="1">
        <f ca="1">IFERROR(__xludf.DUMMYFUNCTION("""COMPUTED_VALUE"""),251)</f>
        <v>251</v>
      </c>
      <c r="T355" s="1" t="str">
        <f ca="1">IFERROR(__xludf.DUMMYFUNCTION("""COMPUTED_VALUE"""),"+1.90")</f>
        <v>+1.90</v>
      </c>
      <c r="U355" s="1">
        <f ca="1">IFERROR(__xludf.DUMMYFUNCTION("""COMPUTED_VALUE"""),101)</f>
        <v>101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IFERROR(__xludf.DUMMYFUNCTION("""COMPUTED_VALUE"""),"Stetson")</f>
        <v>Stetson</v>
      </c>
      <c r="C356" s="1" t="str">
        <f ca="1">IFERROR(__xludf.DUMMYFUNCTION("""COMPUTED_VALUE"""),"ASun")</f>
        <v>ASun</v>
      </c>
      <c r="D356" s="2">
        <f ca="1">IFERROR(__xludf.DUMMYFUNCTION("""COMPUTED_VALUE"""),44826)</f>
        <v>44826</v>
      </c>
      <c r="E356" s="1">
        <f ca="1">IFERROR(__xludf.DUMMYFUNCTION("""COMPUTED_VALUE"""),-19.66)</f>
        <v>-19.66</v>
      </c>
      <c r="F356" s="1">
        <f ca="1">IFERROR(__xludf.DUMMYFUNCTION("""COMPUTED_VALUE"""),96.6)</f>
        <v>96.6</v>
      </c>
      <c r="G356" s="1">
        <f ca="1">IFERROR(__xludf.DUMMYFUNCTION("""COMPUTED_VALUE"""),304)</f>
        <v>304</v>
      </c>
      <c r="H356" s="1">
        <f ca="1">IFERROR(__xludf.DUMMYFUNCTION("""COMPUTED_VALUE"""),116.3)</f>
        <v>116.3</v>
      </c>
      <c r="I356" s="1">
        <f ca="1">IFERROR(__xludf.DUMMYFUNCTION("""COMPUTED_VALUE"""),343)</f>
        <v>343</v>
      </c>
      <c r="J356" s="1">
        <f ca="1">IFERROR(__xludf.DUMMYFUNCTION("""COMPUTED_VALUE"""),65.8)</f>
        <v>65.8</v>
      </c>
      <c r="K356" s="1">
        <f ca="1">IFERROR(__xludf.DUMMYFUNCTION("""COMPUTED_VALUE"""),99)</f>
        <v>99</v>
      </c>
      <c r="L356" s="1" t="str">
        <f ca="1">IFERROR(__xludf.DUMMYFUNCTION("""COMPUTED_VALUE"""),"+.006")</f>
        <v>+.006</v>
      </c>
      <c r="M356" s="1">
        <f ca="1">IFERROR(__xludf.DUMMYFUNCTION("""COMPUTED_VALUE"""),170)</f>
        <v>170</v>
      </c>
      <c r="N356" s="1">
        <f ca="1">IFERROR(__xludf.DUMMYFUNCTION("""COMPUTED_VALUE"""),-6.52)</f>
        <v>-6.52</v>
      </c>
      <c r="O356" s="1">
        <f ca="1">IFERROR(__xludf.DUMMYFUNCTION("""COMPUTED_VALUE"""),320)</f>
        <v>320</v>
      </c>
      <c r="P356" s="1">
        <f ca="1">IFERROR(__xludf.DUMMYFUNCTION("""COMPUTED_VALUE"""),101.8)</f>
        <v>101.8</v>
      </c>
      <c r="Q356" s="1">
        <f ca="1">IFERROR(__xludf.DUMMYFUNCTION("""COMPUTED_VALUE"""),281)</f>
        <v>281</v>
      </c>
      <c r="R356" s="1">
        <f ca="1">IFERROR(__xludf.DUMMYFUNCTION("""COMPUTED_VALUE"""),108.4)</f>
        <v>108.4</v>
      </c>
      <c r="S356" s="1">
        <f ca="1">IFERROR(__xludf.DUMMYFUNCTION("""COMPUTED_VALUE"""),324)</f>
        <v>324</v>
      </c>
      <c r="T356" s="1">
        <f ca="1">IFERROR(__xludf.DUMMYFUNCTION("""COMPUTED_VALUE"""),-4.52)</f>
        <v>-4.5199999999999996</v>
      </c>
      <c r="U356" s="1">
        <f ca="1">IFERROR(__xludf.DUMMYFUNCTION("""COMPUTED_VALUE"""),295)</f>
        <v>295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IFERROR(__xludf.DUMMYFUNCTION("""COMPUTED_VALUE"""),"Savannah St.")</f>
        <v>Savannah St.</v>
      </c>
      <c r="C357" s="1" t="str">
        <f ca="1">IFERROR(__xludf.DUMMYFUNCTION("""COMPUTED_VALUE"""),"MEAC")</f>
        <v>MEAC</v>
      </c>
      <c r="D357" s="2">
        <f ca="1">IFERROR(__xludf.DUMMYFUNCTION("""COMPUTED_VALUE"""),44826)</f>
        <v>44826</v>
      </c>
      <c r="E357" s="1">
        <f ca="1">IFERROR(__xludf.DUMMYFUNCTION("""COMPUTED_VALUE"""),-19.67)</f>
        <v>-19.670000000000002</v>
      </c>
      <c r="F357" s="1">
        <f ca="1">IFERROR(__xludf.DUMMYFUNCTION("""COMPUTED_VALUE"""),87.4)</f>
        <v>87.4</v>
      </c>
      <c r="G357" s="1">
        <f ca="1">IFERROR(__xludf.DUMMYFUNCTION("""COMPUTED_VALUE"""),348)</f>
        <v>348</v>
      </c>
      <c r="H357" s="1">
        <f ca="1">IFERROR(__xludf.DUMMYFUNCTION("""COMPUTED_VALUE"""),107.1)</f>
        <v>107.1</v>
      </c>
      <c r="I357" s="1">
        <f ca="1">IFERROR(__xludf.DUMMYFUNCTION("""COMPUTED_VALUE"""),224)</f>
        <v>224</v>
      </c>
      <c r="J357" s="1">
        <f ca="1">IFERROR(__xludf.DUMMYFUNCTION("""COMPUTED_VALUE"""),64.5)</f>
        <v>64.5</v>
      </c>
      <c r="K357" s="1">
        <f ca="1">IFERROR(__xludf.DUMMYFUNCTION("""COMPUTED_VALUE"""),163)</f>
        <v>163</v>
      </c>
      <c r="L357" s="1" t="str">
        <f ca="1">IFERROR(__xludf.DUMMYFUNCTION("""COMPUTED_VALUE"""),"+.013")</f>
        <v>+.013</v>
      </c>
      <c r="M357" s="1">
        <f ca="1">IFERROR(__xludf.DUMMYFUNCTION("""COMPUTED_VALUE"""),153)</f>
        <v>153</v>
      </c>
      <c r="N357" s="1">
        <f ca="1">IFERROR(__xludf.DUMMYFUNCTION("""COMPUTED_VALUE"""),-5.11)</f>
        <v>-5.1100000000000003</v>
      </c>
      <c r="O357" s="1">
        <f ca="1">IFERROR(__xludf.DUMMYFUNCTION("""COMPUTED_VALUE"""),284)</f>
        <v>284</v>
      </c>
      <c r="P357" s="1">
        <f ca="1">IFERROR(__xludf.DUMMYFUNCTION("""COMPUTED_VALUE"""),100.8)</f>
        <v>100.8</v>
      </c>
      <c r="Q357" s="1">
        <f ca="1">IFERROR(__xludf.DUMMYFUNCTION("""COMPUTED_VALUE"""),317)</f>
        <v>317</v>
      </c>
      <c r="R357" s="1">
        <f ca="1">IFERROR(__xludf.DUMMYFUNCTION("""COMPUTED_VALUE"""),105.9)</f>
        <v>105.9</v>
      </c>
      <c r="S357" s="1">
        <f ca="1">IFERROR(__xludf.DUMMYFUNCTION("""COMPUTED_VALUE"""),228)</f>
        <v>228</v>
      </c>
      <c r="T357" s="1" t="str">
        <f ca="1">IFERROR(__xludf.DUMMYFUNCTION("""COMPUTED_VALUE"""),"+7.58")</f>
        <v>+7.58</v>
      </c>
      <c r="U357" s="1">
        <f ca="1">IFERROR(__xludf.DUMMYFUNCTION("""COMPUTED_VALUE"""),16)</f>
        <v>16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IFERROR(__xludf.DUMMYFUNCTION("""COMPUTED_VALUE"""),"Jacksonville")</f>
        <v>Jacksonville</v>
      </c>
      <c r="C358" s="1" t="str">
        <f ca="1">IFERROR(__xludf.DUMMYFUNCTION("""COMPUTED_VALUE"""),"ASun")</f>
        <v>ASun</v>
      </c>
      <c r="D358" s="2">
        <f ca="1">IFERROR(__xludf.DUMMYFUNCTION("""COMPUTED_VALUE"""),44856)</f>
        <v>44856</v>
      </c>
      <c r="E358" s="1">
        <f ca="1">IFERROR(__xludf.DUMMYFUNCTION("""COMPUTED_VALUE"""),-19.74)</f>
        <v>-19.739999999999998</v>
      </c>
      <c r="F358" s="1">
        <f ca="1">IFERROR(__xludf.DUMMYFUNCTION("""COMPUTED_VALUE"""),96.3)</f>
        <v>96.3</v>
      </c>
      <c r="G358" s="1">
        <f ca="1">IFERROR(__xludf.DUMMYFUNCTION("""COMPUTED_VALUE"""),306)</f>
        <v>306</v>
      </c>
      <c r="H358" s="1">
        <f ca="1">IFERROR(__xludf.DUMMYFUNCTION("""COMPUTED_VALUE"""),116.1)</f>
        <v>116.1</v>
      </c>
      <c r="I358" s="1">
        <f ca="1">IFERROR(__xludf.DUMMYFUNCTION("""COMPUTED_VALUE"""),341)</f>
        <v>341</v>
      </c>
      <c r="J358" s="1">
        <f ca="1">IFERROR(__xludf.DUMMYFUNCTION("""COMPUTED_VALUE"""),63.8)</f>
        <v>63.8</v>
      </c>
      <c r="K358" s="1">
        <f ca="1">IFERROR(__xludf.DUMMYFUNCTION("""COMPUTED_VALUE"""),204)</f>
        <v>204</v>
      </c>
      <c r="L358" s="1">
        <f ca="1">IFERROR(__xludf.DUMMYFUNCTION("""COMPUTED_VALUE"""),-0.023)</f>
        <v>-2.3E-2</v>
      </c>
      <c r="M358" s="1">
        <f ca="1">IFERROR(__xludf.DUMMYFUNCTION("""COMPUTED_VALUE"""),234)</f>
        <v>234</v>
      </c>
      <c r="N358" s="1">
        <f ca="1">IFERROR(__xludf.DUMMYFUNCTION("""COMPUTED_VALUE"""),-7.13)</f>
        <v>-7.13</v>
      </c>
      <c r="O358" s="1">
        <f ca="1">IFERROR(__xludf.DUMMYFUNCTION("""COMPUTED_VALUE"""),330)</f>
        <v>330</v>
      </c>
      <c r="P358" s="1">
        <f ca="1">IFERROR(__xludf.DUMMYFUNCTION("""COMPUTED_VALUE"""),101.1)</f>
        <v>101.1</v>
      </c>
      <c r="Q358" s="1">
        <f ca="1">IFERROR(__xludf.DUMMYFUNCTION("""COMPUTED_VALUE"""),309)</f>
        <v>309</v>
      </c>
      <c r="R358" s="1">
        <f ca="1">IFERROR(__xludf.DUMMYFUNCTION("""COMPUTED_VALUE"""),108.2)</f>
        <v>108.2</v>
      </c>
      <c r="S358" s="1">
        <f ca="1">IFERROR(__xludf.DUMMYFUNCTION("""COMPUTED_VALUE"""),322)</f>
        <v>322</v>
      </c>
      <c r="T358" s="1">
        <f ca="1">IFERROR(__xludf.DUMMYFUNCTION("""COMPUTED_VALUE"""),-5.71)</f>
        <v>-5.71</v>
      </c>
      <c r="U358" s="1">
        <f ca="1">IFERROR(__xludf.DUMMYFUNCTION("""COMPUTED_VALUE"""),317)</f>
        <v>317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IFERROR(__xludf.DUMMYFUNCTION("""COMPUTED_VALUE"""),"Kennesaw St.")</f>
        <v>Kennesaw St.</v>
      </c>
      <c r="C359" s="1" t="str">
        <f ca="1">IFERROR(__xludf.DUMMYFUNCTION("""COMPUTED_VALUE"""),"ASun")</f>
        <v>ASun</v>
      </c>
      <c r="D359" s="2">
        <f ca="1">IFERROR(__xludf.DUMMYFUNCTION("""COMPUTED_VALUE"""),44856)</f>
        <v>44856</v>
      </c>
      <c r="E359" s="1">
        <f ca="1">IFERROR(__xludf.DUMMYFUNCTION("""COMPUTED_VALUE"""),-20.61)</f>
        <v>-20.61</v>
      </c>
      <c r="F359" s="1">
        <f ca="1">IFERROR(__xludf.DUMMYFUNCTION("""COMPUTED_VALUE"""),93.7)</f>
        <v>93.7</v>
      </c>
      <c r="G359" s="1">
        <f ca="1">IFERROR(__xludf.DUMMYFUNCTION("""COMPUTED_VALUE"""),327)</f>
        <v>327</v>
      </c>
      <c r="H359" s="1">
        <f ca="1">IFERROR(__xludf.DUMMYFUNCTION("""COMPUTED_VALUE"""),114.3)</f>
        <v>114.3</v>
      </c>
      <c r="I359" s="1">
        <f ca="1">IFERROR(__xludf.DUMMYFUNCTION("""COMPUTED_VALUE"""),334)</f>
        <v>334</v>
      </c>
      <c r="J359" s="1">
        <f ca="1">IFERROR(__xludf.DUMMYFUNCTION("""COMPUTED_VALUE"""),65.1)</f>
        <v>65.099999999999994</v>
      </c>
      <c r="K359" s="1">
        <f ca="1">IFERROR(__xludf.DUMMYFUNCTION("""COMPUTED_VALUE"""),134)</f>
        <v>134</v>
      </c>
      <c r="L359" s="1" t="str">
        <f ca="1">IFERROR(__xludf.DUMMYFUNCTION("""COMPUTED_VALUE"""),"+.039")</f>
        <v>+.039</v>
      </c>
      <c r="M359" s="1">
        <f ca="1">IFERROR(__xludf.DUMMYFUNCTION("""COMPUTED_VALUE"""),82)</f>
        <v>82</v>
      </c>
      <c r="N359" s="1">
        <f ca="1">IFERROR(__xludf.DUMMYFUNCTION("""COMPUTED_VALUE"""),-5.5)</f>
        <v>-5.5</v>
      </c>
      <c r="O359" s="1">
        <f ca="1">IFERROR(__xludf.DUMMYFUNCTION("""COMPUTED_VALUE"""),296)</f>
        <v>296</v>
      </c>
      <c r="P359" s="1">
        <f ca="1">IFERROR(__xludf.DUMMYFUNCTION("""COMPUTED_VALUE"""),101.8)</f>
        <v>101.8</v>
      </c>
      <c r="Q359" s="1">
        <f ca="1">IFERROR(__xludf.DUMMYFUNCTION("""COMPUTED_VALUE"""),291)</f>
        <v>291</v>
      </c>
      <c r="R359" s="1">
        <f ca="1">IFERROR(__xludf.DUMMYFUNCTION("""COMPUTED_VALUE"""),107.3)</f>
        <v>107.3</v>
      </c>
      <c r="S359" s="1">
        <f ca="1">IFERROR(__xludf.DUMMYFUNCTION("""COMPUTED_VALUE"""),285)</f>
        <v>285</v>
      </c>
      <c r="T359" s="1">
        <f ca="1">IFERROR(__xludf.DUMMYFUNCTION("""COMPUTED_VALUE"""),-2.41)</f>
        <v>-2.41</v>
      </c>
      <c r="U359" s="1">
        <f ca="1">IFERROR(__xludf.DUMMYFUNCTION("""COMPUTED_VALUE"""),230)</f>
        <v>230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IFERROR(__xludf.DUMMYFUNCTION("""COMPUTED_VALUE"""),"Abilene Christian")</f>
        <v>Abilene Christian</v>
      </c>
      <c r="C360" s="1" t="str">
        <f ca="1">IFERROR(__xludf.DUMMYFUNCTION("""COMPUTED_VALUE"""),"Slnd")</f>
        <v>Slnd</v>
      </c>
      <c r="D360" s="2">
        <f ca="1">IFERROR(__xludf.DUMMYFUNCTION("""COMPUTED_VALUE"""),44855)</f>
        <v>44855</v>
      </c>
      <c r="E360" s="1">
        <f ca="1">IFERROR(__xludf.DUMMYFUNCTION("""COMPUTED_VALUE"""),-20.63)</f>
        <v>-20.63</v>
      </c>
      <c r="F360" s="1">
        <f ca="1">IFERROR(__xludf.DUMMYFUNCTION("""COMPUTED_VALUE"""),93.2)</f>
        <v>93.2</v>
      </c>
      <c r="G360" s="1">
        <f ca="1">IFERROR(__xludf.DUMMYFUNCTION("""COMPUTED_VALUE"""),332)</f>
        <v>332</v>
      </c>
      <c r="H360" s="1">
        <f ca="1">IFERROR(__xludf.DUMMYFUNCTION("""COMPUTED_VALUE"""),113.8)</f>
        <v>113.8</v>
      </c>
      <c r="I360" s="1">
        <f ca="1">IFERROR(__xludf.DUMMYFUNCTION("""COMPUTED_VALUE"""),330)</f>
        <v>330</v>
      </c>
      <c r="J360" s="1">
        <f ca="1">IFERROR(__xludf.DUMMYFUNCTION("""COMPUTED_VALUE"""),63.8)</f>
        <v>63.8</v>
      </c>
      <c r="K360" s="1">
        <f ca="1">IFERROR(__xludf.DUMMYFUNCTION("""COMPUTED_VALUE"""),202)</f>
        <v>202</v>
      </c>
      <c r="L360" s="1">
        <f ca="1">IFERROR(__xludf.DUMMYFUNCTION("""COMPUTED_VALUE"""),-0.003)</f>
        <v>-3.0000000000000001E-3</v>
      </c>
      <c r="M360" s="1">
        <f ca="1">IFERROR(__xludf.DUMMYFUNCTION("""COMPUTED_VALUE"""),190)</f>
        <v>190</v>
      </c>
      <c r="N360" s="1">
        <f ca="1">IFERROR(__xludf.DUMMYFUNCTION("""COMPUTED_VALUE"""),-5.96)</f>
        <v>-5.96</v>
      </c>
      <c r="O360" s="1">
        <f ca="1">IFERROR(__xludf.DUMMYFUNCTION("""COMPUTED_VALUE"""),306)</f>
        <v>306</v>
      </c>
      <c r="P360" s="1">
        <f ca="1">IFERROR(__xludf.DUMMYFUNCTION("""COMPUTED_VALUE"""),102)</f>
        <v>102</v>
      </c>
      <c r="Q360" s="1">
        <f ca="1">IFERROR(__xludf.DUMMYFUNCTION("""COMPUTED_VALUE"""),276)</f>
        <v>276</v>
      </c>
      <c r="R360" s="1">
        <f ca="1">IFERROR(__xludf.DUMMYFUNCTION("""COMPUTED_VALUE"""),108)</f>
        <v>108</v>
      </c>
      <c r="S360" s="1">
        <f ca="1">IFERROR(__xludf.DUMMYFUNCTION("""COMPUTED_VALUE"""),316)</f>
        <v>316</v>
      </c>
      <c r="T360" s="1">
        <f ca="1">IFERROR(__xludf.DUMMYFUNCTION("""COMPUTED_VALUE"""),-1.93)</f>
        <v>-1.93</v>
      </c>
      <c r="U360" s="1">
        <f ca="1">IFERROR(__xludf.DUMMYFUNCTION("""COMPUTED_VALUE"""),217)</f>
        <v>217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IFERROR(__xludf.DUMMYFUNCTION("""COMPUTED_VALUE"""),"UMBC")</f>
        <v>UMBC</v>
      </c>
      <c r="C361" s="1" t="str">
        <f ca="1">IFERROR(__xludf.DUMMYFUNCTION("""COMPUTED_VALUE"""),"AE")</f>
        <v>AE</v>
      </c>
      <c r="D361" s="2">
        <f ca="1">IFERROR(__xludf.DUMMYFUNCTION("""COMPUTED_VALUE"""),44677)</f>
        <v>44677</v>
      </c>
      <c r="E361" s="1">
        <f ca="1">IFERROR(__xludf.DUMMYFUNCTION("""COMPUTED_VALUE"""),-20.68)</f>
        <v>-20.68</v>
      </c>
      <c r="F361" s="1">
        <f ca="1">IFERROR(__xludf.DUMMYFUNCTION("""COMPUTED_VALUE"""),89.2)</f>
        <v>89.2</v>
      </c>
      <c r="G361" s="1">
        <f ca="1">IFERROR(__xludf.DUMMYFUNCTION("""COMPUTED_VALUE"""),347)</f>
        <v>347</v>
      </c>
      <c r="H361" s="1">
        <f ca="1">IFERROR(__xludf.DUMMYFUNCTION("""COMPUTED_VALUE"""),109.9)</f>
        <v>109.9</v>
      </c>
      <c r="I361" s="1">
        <f ca="1">IFERROR(__xludf.DUMMYFUNCTION("""COMPUTED_VALUE"""),289)</f>
        <v>289</v>
      </c>
      <c r="J361" s="1">
        <f ca="1">IFERROR(__xludf.DUMMYFUNCTION("""COMPUTED_VALUE"""),64.2)</f>
        <v>64.2</v>
      </c>
      <c r="K361" s="1">
        <f ca="1">IFERROR(__xludf.DUMMYFUNCTION("""COMPUTED_VALUE"""),178)</f>
        <v>178</v>
      </c>
      <c r="L361" s="1">
        <f ca="1">IFERROR(__xludf.DUMMYFUNCTION("""COMPUTED_VALUE"""),-0.037)</f>
        <v>-3.6999999999999998E-2</v>
      </c>
      <c r="M361" s="1">
        <f ca="1">IFERROR(__xludf.DUMMYFUNCTION("""COMPUTED_VALUE"""),270)</f>
        <v>270</v>
      </c>
      <c r="N361" s="1">
        <f ca="1">IFERROR(__xludf.DUMMYFUNCTION("""COMPUTED_VALUE"""),-5.09)</f>
        <v>-5.09</v>
      </c>
      <c r="O361" s="1">
        <f ca="1">IFERROR(__xludf.DUMMYFUNCTION("""COMPUTED_VALUE"""),283)</f>
        <v>283</v>
      </c>
      <c r="P361" s="1">
        <f ca="1">IFERROR(__xludf.DUMMYFUNCTION("""COMPUTED_VALUE"""),100.3)</f>
        <v>100.3</v>
      </c>
      <c r="Q361" s="1">
        <f ca="1">IFERROR(__xludf.DUMMYFUNCTION("""COMPUTED_VALUE"""),327)</f>
        <v>327</v>
      </c>
      <c r="R361" s="1">
        <f ca="1">IFERROR(__xludf.DUMMYFUNCTION("""COMPUTED_VALUE"""),105.4)</f>
        <v>105.4</v>
      </c>
      <c r="S361" s="1">
        <f ca="1">IFERROR(__xludf.DUMMYFUNCTION("""COMPUTED_VALUE"""),203)</f>
        <v>203</v>
      </c>
      <c r="T361" s="1">
        <f ca="1">IFERROR(__xludf.DUMMYFUNCTION("""COMPUTED_VALUE"""),-3.66)</f>
        <v>-3.66</v>
      </c>
      <c r="U361" s="1">
        <f ca="1">IFERROR(__xludf.DUMMYFUNCTION("""COMPUTED_VALUE"""),270)</f>
        <v>270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IFERROR(__xludf.DUMMYFUNCTION("""COMPUTED_VALUE"""),"Central Connecticut")</f>
        <v>Central Connecticut</v>
      </c>
      <c r="C362" s="1" t="str">
        <f ca="1">IFERROR(__xludf.DUMMYFUNCTION("""COMPUTED_VALUE"""),"NEC")</f>
        <v>NEC</v>
      </c>
      <c r="D362" s="2">
        <f ca="1">IFERROR(__xludf.DUMMYFUNCTION("""COMPUTED_VALUE"""),44707)</f>
        <v>44707</v>
      </c>
      <c r="E362" s="1">
        <f ca="1">IFERROR(__xludf.DUMMYFUNCTION("""COMPUTED_VALUE"""),-20.7)</f>
        <v>-20.7</v>
      </c>
      <c r="F362" s="1">
        <f ca="1">IFERROR(__xludf.DUMMYFUNCTION("""COMPUTED_VALUE"""),92.9)</f>
        <v>92.9</v>
      </c>
      <c r="G362" s="1">
        <f ca="1">IFERROR(__xludf.DUMMYFUNCTION("""COMPUTED_VALUE"""),334)</f>
        <v>334</v>
      </c>
      <c r="H362" s="1">
        <f ca="1">IFERROR(__xludf.DUMMYFUNCTION("""COMPUTED_VALUE"""),113.6)</f>
        <v>113.6</v>
      </c>
      <c r="I362" s="1">
        <f ca="1">IFERROR(__xludf.DUMMYFUNCTION("""COMPUTED_VALUE"""),329)</f>
        <v>329</v>
      </c>
      <c r="J362" s="1">
        <f ca="1">IFERROR(__xludf.DUMMYFUNCTION("""COMPUTED_VALUE"""),62.8)</f>
        <v>62.8</v>
      </c>
      <c r="K362" s="1">
        <f ca="1">IFERROR(__xludf.DUMMYFUNCTION("""COMPUTED_VALUE"""),262)</f>
        <v>262</v>
      </c>
      <c r="L362" s="1">
        <f ca="1">IFERROR(__xludf.DUMMYFUNCTION("""COMPUTED_VALUE"""),-0.012)</f>
        <v>-1.2E-2</v>
      </c>
      <c r="M362" s="1">
        <f ca="1">IFERROR(__xludf.DUMMYFUNCTION("""COMPUTED_VALUE"""),213)</f>
        <v>213</v>
      </c>
      <c r="N362" s="1">
        <f ca="1">IFERROR(__xludf.DUMMYFUNCTION("""COMPUTED_VALUE"""),-6.19)</f>
        <v>-6.19</v>
      </c>
      <c r="O362" s="1">
        <f ca="1">IFERROR(__xludf.DUMMYFUNCTION("""COMPUTED_VALUE"""),311)</f>
        <v>311</v>
      </c>
      <c r="P362" s="1">
        <f ca="1">IFERROR(__xludf.DUMMYFUNCTION("""COMPUTED_VALUE"""),100.6)</f>
        <v>100.6</v>
      </c>
      <c r="Q362" s="1">
        <f ca="1">IFERROR(__xludf.DUMMYFUNCTION("""COMPUTED_VALUE"""),319)</f>
        <v>319</v>
      </c>
      <c r="R362" s="1">
        <f ca="1">IFERROR(__xludf.DUMMYFUNCTION("""COMPUTED_VALUE"""),106.8)</f>
        <v>106.8</v>
      </c>
      <c r="S362" s="1">
        <f ca="1">IFERROR(__xludf.DUMMYFUNCTION("""COMPUTED_VALUE"""),265)</f>
        <v>265</v>
      </c>
      <c r="T362" s="1">
        <f ca="1">IFERROR(__xludf.DUMMYFUNCTION("""COMPUTED_VALUE"""),-3.89)</f>
        <v>-3.89</v>
      </c>
      <c r="U362" s="1">
        <f ca="1">IFERROR(__xludf.DUMMYFUNCTION("""COMPUTED_VALUE"""),279)</f>
        <v>279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IFERROR(__xludf.DUMMYFUNCTION("""COMPUTED_VALUE"""),"Maine")</f>
        <v>Maine</v>
      </c>
      <c r="C363" s="1" t="str">
        <f ca="1">IFERROR(__xludf.DUMMYFUNCTION("""COMPUTED_VALUE"""),"AE")</f>
        <v>AE</v>
      </c>
      <c r="D363" s="2">
        <f ca="1">IFERROR(__xludf.DUMMYFUNCTION("""COMPUTED_VALUE"""),44647)</f>
        <v>44647</v>
      </c>
      <c r="E363" s="1">
        <f ca="1">IFERROR(__xludf.DUMMYFUNCTION("""COMPUTED_VALUE"""),-21.87)</f>
        <v>-21.87</v>
      </c>
      <c r="F363" s="1">
        <f ca="1">IFERROR(__xludf.DUMMYFUNCTION("""COMPUTED_VALUE"""),93.7)</f>
        <v>93.7</v>
      </c>
      <c r="G363" s="1">
        <f ca="1">IFERROR(__xludf.DUMMYFUNCTION("""COMPUTED_VALUE"""),328)</f>
        <v>328</v>
      </c>
      <c r="H363" s="1">
        <f ca="1">IFERROR(__xludf.DUMMYFUNCTION("""COMPUTED_VALUE"""),115.5)</f>
        <v>115.5</v>
      </c>
      <c r="I363" s="1">
        <f ca="1">IFERROR(__xludf.DUMMYFUNCTION("""COMPUTED_VALUE"""),340)</f>
        <v>340</v>
      </c>
      <c r="J363" s="1">
        <f ca="1">IFERROR(__xludf.DUMMYFUNCTION("""COMPUTED_VALUE"""),65.9)</f>
        <v>65.900000000000006</v>
      </c>
      <c r="K363" s="1">
        <f ca="1">IFERROR(__xludf.DUMMYFUNCTION("""COMPUTED_VALUE"""),95)</f>
        <v>95</v>
      </c>
      <c r="L363" s="1">
        <f ca="1">IFERROR(__xludf.DUMMYFUNCTION("""COMPUTED_VALUE"""),-0.02)</f>
        <v>-0.02</v>
      </c>
      <c r="M363" s="1">
        <f ca="1">IFERROR(__xludf.DUMMYFUNCTION("""COMPUTED_VALUE"""),226)</f>
        <v>226</v>
      </c>
      <c r="N363" s="1">
        <f ca="1">IFERROR(__xludf.DUMMYFUNCTION("""COMPUTED_VALUE"""),-1.91)</f>
        <v>-1.91</v>
      </c>
      <c r="O363" s="1">
        <f ca="1">IFERROR(__xludf.DUMMYFUNCTION("""COMPUTED_VALUE"""),185)</f>
        <v>185</v>
      </c>
      <c r="P363" s="1">
        <f ca="1">IFERROR(__xludf.DUMMYFUNCTION("""COMPUTED_VALUE"""),102.1)</f>
        <v>102.1</v>
      </c>
      <c r="Q363" s="1">
        <f ca="1">IFERROR(__xludf.DUMMYFUNCTION("""COMPUTED_VALUE"""),268)</f>
        <v>268</v>
      </c>
      <c r="R363" s="1">
        <f ca="1">IFERROR(__xludf.DUMMYFUNCTION("""COMPUTED_VALUE"""),104)</f>
        <v>104</v>
      </c>
      <c r="S363" s="1">
        <f ca="1">IFERROR(__xludf.DUMMYFUNCTION("""COMPUTED_VALUE"""),139)</f>
        <v>139</v>
      </c>
      <c r="T363" s="1" t="str">
        <f ca="1">IFERROR(__xludf.DUMMYFUNCTION("""COMPUTED_VALUE"""),"+3.44")</f>
        <v>+3.44</v>
      </c>
      <c r="U363" s="1">
        <f ca="1">IFERROR(__xludf.DUMMYFUNCTION("""COMPUTED_VALUE"""),59)</f>
        <v>59</v>
      </c>
    </row>
    <row r="364" spans="1:21" ht="13" x14ac:dyDescent="0.15">
      <c r="A364" s="1">
        <f ca="1">IFERROR(__xludf.DUMMYFUNCTION("""COMPUTED_VALUE"""),346)</f>
        <v>346</v>
      </c>
      <c r="B364" s="1" t="str">
        <f ca="1">IFERROR(__xludf.DUMMYFUNCTION("""COMPUTED_VALUE"""),"Alcorn St.")</f>
        <v>Alcorn St.</v>
      </c>
      <c r="C364" s="1" t="str">
        <f ca="1">IFERROR(__xludf.DUMMYFUNCTION("""COMPUTED_VALUE"""),"SWAC")</f>
        <v>SWAC</v>
      </c>
      <c r="D364" s="2">
        <f ca="1">IFERROR(__xludf.DUMMYFUNCTION("""COMPUTED_VALUE"""),44738)</f>
        <v>44738</v>
      </c>
      <c r="E364" s="1">
        <f ca="1">IFERROR(__xludf.DUMMYFUNCTION("""COMPUTED_VALUE"""),-24.34)</f>
        <v>-24.34</v>
      </c>
      <c r="F364" s="1">
        <f ca="1">IFERROR(__xludf.DUMMYFUNCTION("""COMPUTED_VALUE"""),92.9)</f>
        <v>92.9</v>
      </c>
      <c r="G364" s="1">
        <f ca="1">IFERROR(__xludf.DUMMYFUNCTION("""COMPUTED_VALUE"""),335)</f>
        <v>335</v>
      </c>
      <c r="H364" s="1">
        <f ca="1">IFERROR(__xludf.DUMMYFUNCTION("""COMPUTED_VALUE"""),117.3)</f>
        <v>117.3</v>
      </c>
      <c r="I364" s="1">
        <f ca="1">IFERROR(__xludf.DUMMYFUNCTION("""COMPUTED_VALUE"""),347)</f>
        <v>347</v>
      </c>
      <c r="J364" s="1">
        <f ca="1">IFERROR(__xludf.DUMMYFUNCTION("""COMPUTED_VALUE"""),66.8)</f>
        <v>66.8</v>
      </c>
      <c r="K364" s="1">
        <f ca="1">IFERROR(__xludf.DUMMYFUNCTION("""COMPUTED_VALUE"""),60)</f>
        <v>60</v>
      </c>
      <c r="L364" s="1">
        <f ca="1">IFERROR(__xludf.DUMMYFUNCTION("""COMPUTED_VALUE"""),-0.059)</f>
        <v>-5.8999999999999997E-2</v>
      </c>
      <c r="M364" s="1">
        <f ca="1">IFERROR(__xludf.DUMMYFUNCTION("""COMPUTED_VALUE"""),313)</f>
        <v>313</v>
      </c>
      <c r="N364" s="1">
        <f ca="1">IFERROR(__xludf.DUMMYFUNCTION("""COMPUTED_VALUE"""),-10.18)</f>
        <v>-10.18</v>
      </c>
      <c r="O364" s="1">
        <f ca="1">IFERROR(__xludf.DUMMYFUNCTION("""COMPUTED_VALUE"""),349)</f>
        <v>349</v>
      </c>
      <c r="P364" s="1">
        <f ca="1">IFERROR(__xludf.DUMMYFUNCTION("""COMPUTED_VALUE"""),97.5)</f>
        <v>97.5</v>
      </c>
      <c r="Q364" s="1">
        <f ca="1">IFERROR(__xludf.DUMMYFUNCTION("""COMPUTED_VALUE"""),350)</f>
        <v>350</v>
      </c>
      <c r="R364" s="1">
        <f ca="1">IFERROR(__xludf.DUMMYFUNCTION("""COMPUTED_VALUE"""),107.7)</f>
        <v>107.7</v>
      </c>
      <c r="S364" s="1">
        <f ca="1">IFERROR(__xludf.DUMMYFUNCTION("""COMPUTED_VALUE"""),303)</f>
        <v>303</v>
      </c>
      <c r="T364" s="1" t="str">
        <f ca="1">IFERROR(__xludf.DUMMYFUNCTION("""COMPUTED_VALUE"""),"+5.37")</f>
        <v>+5.37</v>
      </c>
      <c r="U364" s="1">
        <f ca="1">IFERROR(__xludf.DUMMYFUNCTION("""COMPUTED_VALUE"""),28)</f>
        <v>28</v>
      </c>
    </row>
    <row r="365" spans="1:21" ht="13" x14ac:dyDescent="0.15">
      <c r="A365" s="1">
        <f ca="1">IFERROR(__xludf.DUMMYFUNCTION("""COMPUTED_VALUE"""),347)</f>
        <v>347</v>
      </c>
      <c r="B365" s="1" t="str">
        <f ca="1">IFERROR(__xludf.DUMMYFUNCTION("""COMPUTED_VALUE"""),"San Jose St.")</f>
        <v>San Jose St.</v>
      </c>
      <c r="C365" s="1" t="str">
        <f ca="1">IFERROR(__xludf.DUMMYFUNCTION("""COMPUTED_VALUE"""),"MWC")</f>
        <v>MWC</v>
      </c>
      <c r="D365" s="2">
        <f ca="1">IFERROR(__xludf.DUMMYFUNCTION("""COMPUTED_VALUE"""),44620)</f>
        <v>44620</v>
      </c>
      <c r="E365" s="1">
        <f ca="1">IFERROR(__xludf.DUMMYFUNCTION("""COMPUTED_VALUE"""),-24.59)</f>
        <v>-24.59</v>
      </c>
      <c r="F365" s="1">
        <f ca="1">IFERROR(__xludf.DUMMYFUNCTION("""COMPUTED_VALUE"""),86.5)</f>
        <v>86.5</v>
      </c>
      <c r="G365" s="1">
        <f ca="1">IFERROR(__xludf.DUMMYFUNCTION("""COMPUTED_VALUE"""),349)</f>
        <v>349</v>
      </c>
      <c r="H365" s="1">
        <f ca="1">IFERROR(__xludf.DUMMYFUNCTION("""COMPUTED_VALUE"""),111)</f>
        <v>111</v>
      </c>
      <c r="I365" s="1">
        <f ca="1">IFERROR(__xludf.DUMMYFUNCTION("""COMPUTED_VALUE"""),302)</f>
        <v>302</v>
      </c>
      <c r="J365" s="1">
        <f ca="1">IFERROR(__xludf.DUMMYFUNCTION("""COMPUTED_VALUE"""),63.8)</f>
        <v>63.8</v>
      </c>
      <c r="K365" s="1">
        <f ca="1">IFERROR(__xludf.DUMMYFUNCTION("""COMPUTED_VALUE"""),201)</f>
        <v>201</v>
      </c>
      <c r="L365" s="1">
        <f ca="1">IFERROR(__xludf.DUMMYFUNCTION("""COMPUTED_VALUE"""),-0.03)</f>
        <v>-0.03</v>
      </c>
      <c r="M365" s="1">
        <f ca="1">IFERROR(__xludf.DUMMYFUNCTION("""COMPUTED_VALUE"""),250)</f>
        <v>250</v>
      </c>
      <c r="N365" s="1" t="str">
        <f ca="1">IFERROR(__xludf.DUMMYFUNCTION("""COMPUTED_VALUE"""),"+1.45")</f>
        <v>+1.45</v>
      </c>
      <c r="O365" s="1">
        <f ca="1">IFERROR(__xludf.DUMMYFUNCTION("""COMPUTED_VALUE"""),115)</f>
        <v>115</v>
      </c>
      <c r="P365" s="1">
        <f ca="1">IFERROR(__xludf.DUMMYFUNCTION("""COMPUTED_VALUE"""),105.6)</f>
        <v>105.6</v>
      </c>
      <c r="Q365" s="1">
        <f ca="1">IFERROR(__xludf.DUMMYFUNCTION("""COMPUTED_VALUE"""),99)</f>
        <v>99</v>
      </c>
      <c r="R365" s="1">
        <f ca="1">IFERROR(__xludf.DUMMYFUNCTION("""COMPUTED_VALUE"""),104.2)</f>
        <v>104.2</v>
      </c>
      <c r="S365" s="1">
        <f ca="1">IFERROR(__xludf.DUMMYFUNCTION("""COMPUTED_VALUE"""),148)</f>
        <v>148</v>
      </c>
      <c r="T365" s="1">
        <f ca="1">IFERROR(__xludf.DUMMYFUNCTION("""COMPUTED_VALUE"""),-1.49)</f>
        <v>-1.49</v>
      </c>
      <c r="U365" s="1">
        <f ca="1">IFERROR(__xludf.DUMMYFUNCTION("""COMPUTED_VALUE"""),203)</f>
        <v>203</v>
      </c>
    </row>
    <row r="366" spans="1:21" ht="13" x14ac:dyDescent="0.15">
      <c r="A366" s="1">
        <f ca="1">IFERROR(__xludf.DUMMYFUNCTION("""COMPUTED_VALUE"""),348)</f>
        <v>348</v>
      </c>
      <c r="B366" s="1" t="str">
        <f ca="1">IFERROR(__xludf.DUMMYFUNCTION("""COMPUTED_VALUE"""),"Mississippi Valley St.")</f>
        <v>Mississippi Valley St.</v>
      </c>
      <c r="C366" s="1" t="str">
        <f ca="1">IFERROR(__xludf.DUMMYFUNCTION("""COMPUTED_VALUE"""),"SWAC")</f>
        <v>SWAC</v>
      </c>
      <c r="D366" s="2">
        <f ca="1">IFERROR(__xludf.DUMMYFUNCTION("""COMPUTED_VALUE"""),44738)</f>
        <v>44738</v>
      </c>
      <c r="E366" s="1">
        <f ca="1">IFERROR(__xludf.DUMMYFUNCTION("""COMPUTED_VALUE"""),-25.69)</f>
        <v>-25.69</v>
      </c>
      <c r="F366" s="1">
        <f ca="1">IFERROR(__xludf.DUMMYFUNCTION("""COMPUTED_VALUE"""),91.6)</f>
        <v>91.6</v>
      </c>
      <c r="G366" s="1">
        <f ca="1">IFERROR(__xludf.DUMMYFUNCTION("""COMPUTED_VALUE"""),337)</f>
        <v>337</v>
      </c>
      <c r="H366" s="1">
        <f ca="1">IFERROR(__xludf.DUMMYFUNCTION("""COMPUTED_VALUE"""),117.3)</f>
        <v>117.3</v>
      </c>
      <c r="I366" s="1">
        <f ca="1">IFERROR(__xludf.DUMMYFUNCTION("""COMPUTED_VALUE"""),346)</f>
        <v>346</v>
      </c>
      <c r="J366" s="1">
        <f ca="1">IFERROR(__xludf.DUMMYFUNCTION("""COMPUTED_VALUE"""),70.1)</f>
        <v>70.099999999999994</v>
      </c>
      <c r="K366" s="1">
        <f ca="1">IFERROR(__xludf.DUMMYFUNCTION("""COMPUTED_VALUE"""),6)</f>
        <v>6</v>
      </c>
      <c r="L366" s="1">
        <f ca="1">IFERROR(__xludf.DUMMYFUNCTION("""COMPUTED_VALUE"""),-0.001)</f>
        <v>-1E-3</v>
      </c>
      <c r="M366" s="1">
        <f ca="1">IFERROR(__xludf.DUMMYFUNCTION("""COMPUTED_VALUE"""),187)</f>
        <v>187</v>
      </c>
      <c r="N366" s="1">
        <f ca="1">IFERROR(__xludf.DUMMYFUNCTION("""COMPUTED_VALUE"""),-7.6)</f>
        <v>-7.6</v>
      </c>
      <c r="O366" s="1">
        <f ca="1">IFERROR(__xludf.DUMMYFUNCTION("""COMPUTED_VALUE"""),338)</f>
        <v>338</v>
      </c>
      <c r="P366" s="1">
        <f ca="1">IFERROR(__xludf.DUMMYFUNCTION("""COMPUTED_VALUE"""),98.8)</f>
        <v>98.8</v>
      </c>
      <c r="Q366" s="1">
        <f ca="1">IFERROR(__xludf.DUMMYFUNCTION("""COMPUTED_VALUE"""),343)</f>
        <v>343</v>
      </c>
      <c r="R366" s="1">
        <f ca="1">IFERROR(__xludf.DUMMYFUNCTION("""COMPUTED_VALUE"""),106.4)</f>
        <v>106.4</v>
      </c>
      <c r="S366" s="1">
        <f ca="1">IFERROR(__xludf.DUMMYFUNCTION("""COMPUTED_VALUE"""),250)</f>
        <v>250</v>
      </c>
      <c r="T366" s="1" t="str">
        <f ca="1">IFERROR(__xludf.DUMMYFUNCTION("""COMPUTED_VALUE"""),"+5.71")</f>
        <v>+5.71</v>
      </c>
      <c r="U366" s="1">
        <f ca="1">IFERROR(__xludf.DUMMYFUNCTION("""COMPUTED_VALUE"""),27)</f>
        <v>27</v>
      </c>
    </row>
    <row r="367" spans="1:21" ht="13" x14ac:dyDescent="0.15">
      <c r="A367" s="1">
        <f ca="1">IFERROR(__xludf.DUMMYFUNCTION("""COMPUTED_VALUE"""),349)</f>
        <v>349</v>
      </c>
      <c r="B367" s="1" t="str">
        <f ca="1">IFERROR(__xludf.DUMMYFUNCTION("""COMPUTED_VALUE"""),"Central Arkansas")</f>
        <v>Central Arkansas</v>
      </c>
      <c r="C367" s="1" t="str">
        <f ca="1">IFERROR(__xludf.DUMMYFUNCTION("""COMPUTED_VALUE"""),"Slnd")</f>
        <v>Slnd</v>
      </c>
      <c r="D367" s="2">
        <f ca="1">IFERROR(__xludf.DUMMYFUNCTION("""COMPUTED_VALUE"""),44619)</f>
        <v>44619</v>
      </c>
      <c r="E367" s="1">
        <f ca="1">IFERROR(__xludf.DUMMYFUNCTION("""COMPUTED_VALUE"""),-27.67)</f>
        <v>-27.67</v>
      </c>
      <c r="F367" s="1">
        <f ca="1">IFERROR(__xludf.DUMMYFUNCTION("""COMPUTED_VALUE"""),91)</f>
        <v>91</v>
      </c>
      <c r="G367" s="1">
        <f ca="1">IFERROR(__xludf.DUMMYFUNCTION("""COMPUTED_VALUE"""),341)</f>
        <v>341</v>
      </c>
      <c r="H367" s="1">
        <f ca="1">IFERROR(__xludf.DUMMYFUNCTION("""COMPUTED_VALUE"""),118.7)</f>
        <v>118.7</v>
      </c>
      <c r="I367" s="1">
        <f ca="1">IFERROR(__xludf.DUMMYFUNCTION("""COMPUTED_VALUE"""),350)</f>
        <v>350</v>
      </c>
      <c r="J367" s="1">
        <f ca="1">IFERROR(__xludf.DUMMYFUNCTION("""COMPUTED_VALUE"""),69)</f>
        <v>69</v>
      </c>
      <c r="K367" s="1">
        <f ca="1">IFERROR(__xludf.DUMMYFUNCTION("""COMPUTED_VALUE"""),17)</f>
        <v>17</v>
      </c>
      <c r="L367" s="1" t="str">
        <f ca="1">IFERROR(__xludf.DUMMYFUNCTION("""COMPUTED_VALUE"""),"+.004")</f>
        <v>+.004</v>
      </c>
      <c r="M367" s="1">
        <f ca="1">IFERROR(__xludf.DUMMYFUNCTION("""COMPUTED_VALUE"""),177)</f>
        <v>177</v>
      </c>
      <c r="N367" s="1">
        <f ca="1">IFERROR(__xludf.DUMMYFUNCTION("""COMPUTED_VALUE"""),-6.32)</f>
        <v>-6.32</v>
      </c>
      <c r="O367" s="1">
        <f ca="1">IFERROR(__xludf.DUMMYFUNCTION("""COMPUTED_VALUE"""),315)</f>
        <v>315</v>
      </c>
      <c r="P367" s="1">
        <f ca="1">IFERROR(__xludf.DUMMYFUNCTION("""COMPUTED_VALUE"""),101.7)</f>
        <v>101.7</v>
      </c>
      <c r="Q367" s="1">
        <f ca="1">IFERROR(__xludf.DUMMYFUNCTION("""COMPUTED_VALUE"""),294)</f>
        <v>294</v>
      </c>
      <c r="R367" s="1">
        <f ca="1">IFERROR(__xludf.DUMMYFUNCTION("""COMPUTED_VALUE"""),108)</f>
        <v>108</v>
      </c>
      <c r="S367" s="1">
        <f ca="1">IFERROR(__xludf.DUMMYFUNCTION("""COMPUTED_VALUE"""),315)</f>
        <v>315</v>
      </c>
      <c r="T367" s="1">
        <f ca="1">IFERROR(__xludf.DUMMYFUNCTION("""COMPUTED_VALUE"""),-1.45)</f>
        <v>-1.45</v>
      </c>
      <c r="U367" s="1">
        <f ca="1">IFERROR(__xludf.DUMMYFUNCTION("""COMPUTED_VALUE"""),201)</f>
        <v>201</v>
      </c>
    </row>
    <row r="368" spans="1:21" ht="13" x14ac:dyDescent="0.15">
      <c r="A368" s="1">
        <f ca="1">IFERROR(__xludf.DUMMYFUNCTION("""COMPUTED_VALUE"""),350)</f>
        <v>350</v>
      </c>
      <c r="B368" s="1" t="str">
        <f ca="1">IFERROR(__xludf.DUMMYFUNCTION("""COMPUTED_VALUE"""),"Florida A&amp;M")</f>
        <v>Florida A&amp;M</v>
      </c>
      <c r="C368" s="1" t="str">
        <f ca="1">IFERROR(__xludf.DUMMYFUNCTION("""COMPUTED_VALUE"""),"MEAC")</f>
        <v>MEAC</v>
      </c>
      <c r="D368" s="2">
        <f ca="1">IFERROR(__xludf.DUMMYFUNCTION("""COMPUTED_VALUE"""),44619)</f>
        <v>44619</v>
      </c>
      <c r="E368" s="1">
        <f ca="1">IFERROR(__xludf.DUMMYFUNCTION("""COMPUTED_VALUE"""),-31.73)</f>
        <v>-31.73</v>
      </c>
      <c r="F368" s="1">
        <f ca="1">IFERROR(__xludf.DUMMYFUNCTION("""COMPUTED_VALUE"""),85.4)</f>
        <v>85.4</v>
      </c>
      <c r="G368" s="1">
        <f ca="1">IFERROR(__xludf.DUMMYFUNCTION("""COMPUTED_VALUE"""),350)</f>
        <v>350</v>
      </c>
      <c r="H368" s="1">
        <f ca="1">IFERROR(__xludf.DUMMYFUNCTION("""COMPUTED_VALUE"""),117.1)</f>
        <v>117.1</v>
      </c>
      <c r="I368" s="1">
        <f ca="1">IFERROR(__xludf.DUMMYFUNCTION("""COMPUTED_VALUE"""),345)</f>
        <v>345</v>
      </c>
      <c r="J368" s="1">
        <f ca="1">IFERROR(__xludf.DUMMYFUNCTION("""COMPUTED_VALUE"""),65.3)</f>
        <v>65.3</v>
      </c>
      <c r="K368" s="1">
        <f ca="1">IFERROR(__xludf.DUMMYFUNCTION("""COMPUTED_VALUE"""),122)</f>
        <v>122</v>
      </c>
      <c r="L368" s="1">
        <f ca="1">IFERROR(__xludf.DUMMYFUNCTION("""COMPUTED_VALUE"""),-0.02)</f>
        <v>-0.02</v>
      </c>
      <c r="M368" s="1">
        <f ca="1">IFERROR(__xludf.DUMMYFUNCTION("""COMPUTED_VALUE"""),228)</f>
        <v>228</v>
      </c>
      <c r="N368" s="1">
        <f ca="1">IFERROR(__xludf.DUMMYFUNCTION("""COMPUTED_VALUE"""),-8.5)</f>
        <v>-8.5</v>
      </c>
      <c r="O368" s="1">
        <f ca="1">IFERROR(__xludf.DUMMYFUNCTION("""COMPUTED_VALUE"""),342)</f>
        <v>342</v>
      </c>
      <c r="P368" s="1">
        <f ca="1">IFERROR(__xludf.DUMMYFUNCTION("""COMPUTED_VALUE"""),99.4)</f>
        <v>99.4</v>
      </c>
      <c r="Q368" s="1">
        <f ca="1">IFERROR(__xludf.DUMMYFUNCTION("""COMPUTED_VALUE"""),338)</f>
        <v>338</v>
      </c>
      <c r="R368" s="1">
        <f ca="1">IFERROR(__xludf.DUMMYFUNCTION("""COMPUTED_VALUE"""),107.9)</f>
        <v>107.9</v>
      </c>
      <c r="S368" s="1">
        <f ca="1">IFERROR(__xludf.DUMMYFUNCTION("""COMPUTED_VALUE"""),312)</f>
        <v>312</v>
      </c>
      <c r="T368" s="1">
        <f ca="1">IFERROR(__xludf.DUMMYFUNCTION("""COMPUTED_VALUE"""),-2.52)</f>
        <v>-2.52</v>
      </c>
      <c r="U368" s="1">
        <f ca="1">IFERROR(__xludf.DUMMYFUNCTION("""COMPUTED_VALUE"""),236)</f>
        <v>236</v>
      </c>
    </row>
    <row r="369" spans="1:21" ht="13" x14ac:dyDescent="0.15">
      <c r="A369" s="1">
        <f ca="1">IFERROR(__xludf.DUMMYFUNCTION("""COMPUTED_VALUE"""),351)</f>
        <v>351</v>
      </c>
      <c r="B369" s="1" t="str">
        <f ca="1">IFERROR(__xludf.DUMMYFUNCTION("""COMPUTED_VALUE"""),"Grambling St.")</f>
        <v>Grambling St.</v>
      </c>
      <c r="C369" s="1" t="str">
        <f ca="1">IFERROR(__xludf.DUMMYFUNCTION("""COMPUTED_VALUE"""),"SWAC")</f>
        <v>SWAC</v>
      </c>
      <c r="D369" s="2">
        <f ca="1">IFERROR(__xludf.DUMMYFUNCTION("""COMPUTED_VALUE"""),44619)</f>
        <v>44619</v>
      </c>
      <c r="E369" s="1">
        <f ca="1">IFERROR(__xludf.DUMMYFUNCTION("""COMPUTED_VALUE"""),-37.65)</f>
        <v>-37.65</v>
      </c>
      <c r="F369" s="1">
        <f ca="1">IFERROR(__xludf.DUMMYFUNCTION("""COMPUTED_VALUE"""),78.9)</f>
        <v>78.900000000000006</v>
      </c>
      <c r="G369" s="1">
        <f ca="1">IFERROR(__xludf.DUMMYFUNCTION("""COMPUTED_VALUE"""),351)</f>
        <v>351</v>
      </c>
      <c r="H369" s="1">
        <f ca="1">IFERROR(__xludf.DUMMYFUNCTION("""COMPUTED_VALUE"""),116.6)</f>
        <v>116.6</v>
      </c>
      <c r="I369" s="1">
        <f ca="1">IFERROR(__xludf.DUMMYFUNCTION("""COMPUTED_VALUE"""),344)</f>
        <v>344</v>
      </c>
      <c r="J369" s="1">
        <f ca="1">IFERROR(__xludf.DUMMYFUNCTION("""COMPUTED_VALUE"""),65.4)</f>
        <v>65.400000000000006</v>
      </c>
      <c r="K369" s="1">
        <f ca="1">IFERROR(__xludf.DUMMYFUNCTION("""COMPUTED_VALUE"""),117)</f>
        <v>117</v>
      </c>
      <c r="L369" s="1">
        <f ca="1">IFERROR(__xludf.DUMMYFUNCTION("""COMPUTED_VALUE"""),-0.077)</f>
        <v>-7.6999999999999999E-2</v>
      </c>
      <c r="M369" s="1">
        <f ca="1">IFERROR(__xludf.DUMMYFUNCTION("""COMPUTED_VALUE"""),327)</f>
        <v>327</v>
      </c>
      <c r="N369" s="1">
        <f ca="1">IFERROR(__xludf.DUMMYFUNCTION("""COMPUTED_VALUE"""),-8.68)</f>
        <v>-8.68</v>
      </c>
      <c r="O369" s="1">
        <f ca="1">IFERROR(__xludf.DUMMYFUNCTION("""COMPUTED_VALUE"""),343)</f>
        <v>343</v>
      </c>
      <c r="P369" s="1">
        <f ca="1">IFERROR(__xludf.DUMMYFUNCTION("""COMPUTED_VALUE"""),99.1)</f>
        <v>99.1</v>
      </c>
      <c r="Q369" s="1">
        <f ca="1">IFERROR(__xludf.DUMMYFUNCTION("""COMPUTED_VALUE"""),341)</f>
        <v>341</v>
      </c>
      <c r="R369" s="1">
        <f ca="1">IFERROR(__xludf.DUMMYFUNCTION("""COMPUTED_VALUE"""),107.8)</f>
        <v>107.8</v>
      </c>
      <c r="S369" s="1">
        <f ca="1">IFERROR(__xludf.DUMMYFUNCTION("""COMPUTED_VALUE"""),308)</f>
        <v>308</v>
      </c>
      <c r="T369" s="1" t="str">
        <f ca="1">IFERROR(__xludf.DUMMYFUNCTION("""COMPUTED_VALUE"""),"+12.83")</f>
        <v>+12.83</v>
      </c>
      <c r="U369" s="1">
        <f ca="1">IFERROR(__xludf.DUMMYFUNCTION("""COMPUTED_VALUE"""),3)</f>
        <v>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U369"/>
  <sheetViews>
    <sheetView topLeftCell="D1" workbookViewId="0">
      <selection activeCell="D2" sqref="A2:XFD2"/>
    </sheetView>
  </sheetViews>
  <sheetFormatPr baseColWidth="10" defaultColWidth="12.6640625" defaultRowHeight="15.75" customHeight="1" x14ac:dyDescent="0.15"/>
  <sheetData>
    <row r="1" spans="1:21" ht="13" x14ac:dyDescent="0.15">
      <c r="A1" s="3" t="str">
        <f ca="1">IFERROR(__xludf.DUMMYFUNCTION("IMPORThtML(""https://kenpom.com/index.php?y=2016"",""table"",1)"),"")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2</v>
      </c>
      <c r="H2" s="1" t="str">
        <f ca="1">IFERROR(__xludf.DUMMYFUNCTION("""COMPUTED_VALUE"""),"AdjD")</f>
        <v>AdjD</v>
      </c>
      <c r="I2" s="1" t="s">
        <v>3</v>
      </c>
      <c r="J2" s="1" t="str">
        <f ca="1">IFERROR(__xludf.DUMMYFUNCTION("""COMPUTED_VALUE"""),"AdjT")</f>
        <v>AdjT</v>
      </c>
      <c r="K2" s="1" t="s">
        <v>4</v>
      </c>
      <c r="L2" s="1" t="str">
        <f ca="1">IFERROR(__xludf.DUMMYFUNCTION("""COMPUTED_VALUE"""),"Luck")</f>
        <v>Luck</v>
      </c>
      <c r="M2" s="1" t="s">
        <v>5</v>
      </c>
      <c r="N2" s="1" t="s">
        <v>0</v>
      </c>
      <c r="O2" s="1" t="s">
        <v>6</v>
      </c>
      <c r="P2" s="1" t="str">
        <f ca="1">IFERROR(__xludf.DUMMYFUNCTION("""COMPUTED_VALUE"""),"OppO")</f>
        <v>OppO</v>
      </c>
      <c r="Q2" s="1" t="s">
        <v>7</v>
      </c>
      <c r="R2" s="1" t="str">
        <f ca="1">IFERROR(__xludf.DUMMYFUNCTION("""COMPUTED_VALUE"""),"OppD")</f>
        <v>OppD</v>
      </c>
      <c r="S2" s="1" t="s">
        <v>8</v>
      </c>
      <c r="T2" s="1" t="s">
        <v>1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IFERROR(__xludf.DUMMYFUNCTION("""COMPUTED_VALUE"""),"Villanova2")</f>
        <v>Villanova2</v>
      </c>
      <c r="C3" s="1" t="str">
        <f ca="1">IFERROR(__xludf.DUMMYFUNCTION("""COMPUTED_VALUE"""),"BE")</f>
        <v>BE</v>
      </c>
      <c r="D3" s="1" t="str">
        <f ca="1">IFERROR(__xludf.DUMMYFUNCTION("""COMPUTED_VALUE"""),"35-5")</f>
        <v>35-5</v>
      </c>
      <c r="E3" s="1" t="str">
        <f ca="1">IFERROR(__xludf.DUMMYFUNCTION("""COMPUTED_VALUE"""),"+32.01")</f>
        <v>+32.01</v>
      </c>
      <c r="F3" s="1">
        <f ca="1">IFERROR(__xludf.DUMMYFUNCTION("""COMPUTED_VALUE"""),122.8)</f>
        <v>122.8</v>
      </c>
      <c r="G3" s="1">
        <f ca="1">IFERROR(__xludf.DUMMYFUNCTION("""COMPUTED_VALUE"""),3)</f>
        <v>3</v>
      </c>
      <c r="H3" s="1">
        <f ca="1">IFERROR(__xludf.DUMMYFUNCTION("""COMPUTED_VALUE"""),90.8)</f>
        <v>90.8</v>
      </c>
      <c r="I3" s="1">
        <f ca="1">IFERROR(__xludf.DUMMYFUNCTION("""COMPUTED_VALUE"""),5)</f>
        <v>5</v>
      </c>
      <c r="J3" s="1">
        <f ca="1">IFERROR(__xludf.DUMMYFUNCTION("""COMPUTED_VALUE"""),66)</f>
        <v>66</v>
      </c>
      <c r="K3" s="1">
        <f ca="1">IFERROR(__xludf.DUMMYFUNCTION("""COMPUTED_VALUE"""),274)</f>
        <v>274</v>
      </c>
      <c r="L3" s="1" t="str">
        <f ca="1">IFERROR(__xludf.DUMMYFUNCTION("""COMPUTED_VALUE"""),"+.023")</f>
        <v>+.023</v>
      </c>
      <c r="M3" s="1">
        <f ca="1">IFERROR(__xludf.DUMMYFUNCTION("""COMPUTED_VALUE"""),114)</f>
        <v>114</v>
      </c>
      <c r="N3" s="1" t="str">
        <f ca="1">IFERROR(__xludf.DUMMYFUNCTION("""COMPUTED_VALUE"""),"+10.74")</f>
        <v>+10.74</v>
      </c>
      <c r="O3" s="1">
        <f ca="1">IFERROR(__xludf.DUMMYFUNCTION("""COMPUTED_VALUE"""),13)</f>
        <v>13</v>
      </c>
      <c r="P3" s="1">
        <f ca="1">IFERROR(__xludf.DUMMYFUNCTION("""COMPUTED_VALUE"""),110.5)</f>
        <v>110.5</v>
      </c>
      <c r="Q3" s="1">
        <f ca="1">IFERROR(__xludf.DUMMYFUNCTION("""COMPUTED_VALUE"""),19)</f>
        <v>19</v>
      </c>
      <c r="R3" s="1">
        <f ca="1">IFERROR(__xludf.DUMMYFUNCTION("""COMPUTED_VALUE"""),99.7)</f>
        <v>99.7</v>
      </c>
      <c r="S3" s="1">
        <f ca="1">IFERROR(__xludf.DUMMYFUNCTION("""COMPUTED_VALUE"""),9)</f>
        <v>9</v>
      </c>
      <c r="T3" s="1" t="str">
        <f ca="1">IFERROR(__xludf.DUMMYFUNCTION("""COMPUTED_VALUE"""),"+2.98")</f>
        <v>+2.98</v>
      </c>
      <c r="U3" s="1">
        <f ca="1">IFERROR(__xludf.DUMMYFUNCTION("""COMPUTED_VALUE"""),83)</f>
        <v>83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IFERROR(__xludf.DUMMYFUNCTION("""COMPUTED_VALUE"""),"North Carolina1")</f>
        <v>North Carolina1</v>
      </c>
      <c r="C4" s="1" t="str">
        <f ca="1">IFERROR(__xludf.DUMMYFUNCTION("""COMPUTED_VALUE"""),"ACC")</f>
        <v>ACC</v>
      </c>
      <c r="D4" s="1" t="str">
        <f ca="1">IFERROR(__xludf.DUMMYFUNCTION("""COMPUTED_VALUE"""),"33-7")</f>
        <v>33-7</v>
      </c>
      <c r="E4" s="1" t="str">
        <f ca="1">IFERROR(__xludf.DUMMYFUNCTION("""COMPUTED_VALUE"""),"+29.82")</f>
        <v>+29.82</v>
      </c>
      <c r="F4" s="1">
        <f ca="1">IFERROR(__xludf.DUMMYFUNCTION("""COMPUTED_VALUE"""),124.4)</f>
        <v>124.4</v>
      </c>
      <c r="G4" s="1">
        <f ca="1">IFERROR(__xludf.DUMMYFUNCTION("""COMPUTED_VALUE"""),1)</f>
        <v>1</v>
      </c>
      <c r="H4" s="1">
        <f ca="1">IFERROR(__xludf.DUMMYFUNCTION("""COMPUTED_VALUE"""),94.6)</f>
        <v>94.6</v>
      </c>
      <c r="I4" s="1">
        <f ca="1">IFERROR(__xludf.DUMMYFUNCTION("""COMPUTED_VALUE"""),21)</f>
        <v>21</v>
      </c>
      <c r="J4" s="1">
        <f ca="1">IFERROR(__xludf.DUMMYFUNCTION("""COMPUTED_VALUE"""),70.5)</f>
        <v>70.5</v>
      </c>
      <c r="K4" s="1">
        <f ca="1">IFERROR(__xludf.DUMMYFUNCTION("""COMPUTED_VALUE"""),60)</f>
        <v>60</v>
      </c>
      <c r="L4" s="1">
        <f ca="1">IFERROR(__xludf.DUMMYFUNCTION("""COMPUTED_VALUE"""),-0.055)</f>
        <v>-5.5E-2</v>
      </c>
      <c r="M4" s="1">
        <f ca="1">IFERROR(__xludf.DUMMYFUNCTION("""COMPUTED_VALUE"""),305)</f>
        <v>305</v>
      </c>
      <c r="N4" s="1" t="str">
        <f ca="1">IFERROR(__xludf.DUMMYFUNCTION("""COMPUTED_VALUE"""),"+11.45")</f>
        <v>+11.45</v>
      </c>
      <c r="O4" s="1">
        <f ca="1">IFERROR(__xludf.DUMMYFUNCTION("""COMPUTED_VALUE"""),8)</f>
        <v>8</v>
      </c>
      <c r="P4" s="1">
        <f ca="1">IFERROR(__xludf.DUMMYFUNCTION("""COMPUTED_VALUE"""),111.7)</f>
        <v>111.7</v>
      </c>
      <c r="Q4" s="1">
        <f ca="1">IFERROR(__xludf.DUMMYFUNCTION("""COMPUTED_VALUE"""),4)</f>
        <v>4</v>
      </c>
      <c r="R4" s="1">
        <f ca="1">IFERROR(__xludf.DUMMYFUNCTION("""COMPUTED_VALUE"""),100.2)</f>
        <v>100.2</v>
      </c>
      <c r="S4" s="1">
        <f ca="1">IFERROR(__xludf.DUMMYFUNCTION("""COMPUTED_VALUE"""),18)</f>
        <v>18</v>
      </c>
      <c r="T4" s="1" t="str">
        <f ca="1">IFERROR(__xludf.DUMMYFUNCTION("""COMPUTED_VALUE"""),"+3.13")</f>
        <v>+3.13</v>
      </c>
      <c r="U4" s="1">
        <f ca="1">IFERROR(__xludf.DUMMYFUNCTION("""COMPUTED_VALUE"""),77)</f>
        <v>77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IFERROR(__xludf.DUMMYFUNCTION("""COMPUTED_VALUE"""),"Kansas1")</f>
        <v>Kansas1</v>
      </c>
      <c r="C5" s="1" t="str">
        <f ca="1">IFERROR(__xludf.DUMMYFUNCTION("""COMPUTED_VALUE"""),"B12")</f>
        <v>B12</v>
      </c>
      <c r="D5" s="1" t="str">
        <f ca="1">IFERROR(__xludf.DUMMYFUNCTION("""COMPUTED_VALUE"""),"33-5")</f>
        <v>33-5</v>
      </c>
      <c r="E5" s="1" t="str">
        <f ca="1">IFERROR(__xludf.DUMMYFUNCTION("""COMPUTED_VALUE"""),"+29.67")</f>
        <v>+29.67</v>
      </c>
      <c r="F5" s="1">
        <f ca="1">IFERROR(__xludf.DUMMYFUNCTION("""COMPUTED_VALUE"""),120)</f>
        <v>120</v>
      </c>
      <c r="G5" s="1">
        <f ca="1">IFERROR(__xludf.DUMMYFUNCTION("""COMPUTED_VALUE"""),10)</f>
        <v>10</v>
      </c>
      <c r="H5" s="1">
        <f ca="1">IFERROR(__xludf.DUMMYFUNCTION("""COMPUTED_VALUE"""),90.4)</f>
        <v>90.4</v>
      </c>
      <c r="I5" s="1">
        <f ca="1">IFERROR(__xludf.DUMMYFUNCTION("""COMPUTED_VALUE"""),3)</f>
        <v>3</v>
      </c>
      <c r="J5" s="1">
        <f ca="1">IFERROR(__xludf.DUMMYFUNCTION("""COMPUTED_VALUE"""),69)</f>
        <v>69</v>
      </c>
      <c r="K5" s="1">
        <f ca="1">IFERROR(__xludf.DUMMYFUNCTION("""COMPUTED_VALUE"""),123)</f>
        <v>123</v>
      </c>
      <c r="L5" s="1" t="str">
        <f ca="1">IFERROR(__xludf.DUMMYFUNCTION("""COMPUTED_VALUE"""),"+.044")</f>
        <v>+.044</v>
      </c>
      <c r="M5" s="1">
        <f ca="1">IFERROR(__xludf.DUMMYFUNCTION("""COMPUTED_VALUE"""),75)</f>
        <v>75</v>
      </c>
      <c r="N5" s="1" t="str">
        <f ca="1">IFERROR(__xludf.DUMMYFUNCTION("""COMPUTED_VALUE"""),"+12.61")</f>
        <v>+12.61</v>
      </c>
      <c r="O5" s="1">
        <f ca="1">IFERROR(__xludf.DUMMYFUNCTION("""COMPUTED_VALUE"""),3)</f>
        <v>3</v>
      </c>
      <c r="P5" s="1">
        <f ca="1">IFERROR(__xludf.DUMMYFUNCTION("""COMPUTED_VALUE"""),111.4)</f>
        <v>111.4</v>
      </c>
      <c r="Q5" s="1">
        <f ca="1">IFERROR(__xludf.DUMMYFUNCTION("""COMPUTED_VALUE"""),8)</f>
        <v>8</v>
      </c>
      <c r="R5" s="1">
        <f ca="1">IFERROR(__xludf.DUMMYFUNCTION("""COMPUTED_VALUE"""),98.8)</f>
        <v>98.8</v>
      </c>
      <c r="S5" s="1">
        <f ca="1">IFERROR(__xludf.DUMMYFUNCTION("""COMPUTED_VALUE"""),4)</f>
        <v>4</v>
      </c>
      <c r="T5" s="1" t="str">
        <f ca="1">IFERROR(__xludf.DUMMYFUNCTION("""COMPUTED_VALUE"""),"+3.62")</f>
        <v>+3.62</v>
      </c>
      <c r="U5" s="1">
        <f ca="1">IFERROR(__xludf.DUMMYFUNCTION("""COMPUTED_VALUE"""),66)</f>
        <v>66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IFERROR(__xludf.DUMMYFUNCTION("""COMPUTED_VALUE"""),"Virginia1")</f>
        <v>Virginia1</v>
      </c>
      <c r="C6" s="1" t="str">
        <f ca="1">IFERROR(__xludf.DUMMYFUNCTION("""COMPUTED_VALUE"""),"ACC")</f>
        <v>ACC</v>
      </c>
      <c r="D6" s="1" t="str">
        <f ca="1">IFERROR(__xludf.DUMMYFUNCTION("""COMPUTED_VALUE"""),"29-8")</f>
        <v>29-8</v>
      </c>
      <c r="E6" s="1" t="str">
        <f ca="1">IFERROR(__xludf.DUMMYFUNCTION("""COMPUTED_VALUE"""),"+29.64")</f>
        <v>+29.64</v>
      </c>
      <c r="F6" s="1">
        <f ca="1">IFERROR(__xludf.DUMMYFUNCTION("""COMPUTED_VALUE"""),120.6)</f>
        <v>120.6</v>
      </c>
      <c r="G6" s="1">
        <f ca="1">IFERROR(__xludf.DUMMYFUNCTION("""COMPUTED_VALUE"""),8)</f>
        <v>8</v>
      </c>
      <c r="H6" s="1">
        <f ca="1">IFERROR(__xludf.DUMMYFUNCTION("""COMPUTED_VALUE"""),91)</f>
        <v>91</v>
      </c>
      <c r="I6" s="1">
        <f ca="1">IFERROR(__xludf.DUMMYFUNCTION("""COMPUTED_VALUE"""),7)</f>
        <v>7</v>
      </c>
      <c r="J6" s="1">
        <f ca="1">IFERROR(__xludf.DUMMYFUNCTION("""COMPUTED_VALUE"""),61.3)</f>
        <v>61.3</v>
      </c>
      <c r="K6" s="1">
        <f ca="1">IFERROR(__xludf.DUMMYFUNCTION("""COMPUTED_VALUE"""),348)</f>
        <v>348</v>
      </c>
      <c r="L6" s="1">
        <f ca="1">IFERROR(__xludf.DUMMYFUNCTION("""COMPUTED_VALUE"""),-0.04)</f>
        <v>-0.04</v>
      </c>
      <c r="M6" s="1">
        <f ca="1">IFERROR(__xludf.DUMMYFUNCTION("""COMPUTED_VALUE"""),278)</f>
        <v>278</v>
      </c>
      <c r="N6" s="1" t="str">
        <f ca="1">IFERROR(__xludf.DUMMYFUNCTION("""COMPUTED_VALUE"""),"+12.67")</f>
        <v>+12.67</v>
      </c>
      <c r="O6" s="1">
        <f ca="1">IFERROR(__xludf.DUMMYFUNCTION("""COMPUTED_VALUE"""),2)</f>
        <v>2</v>
      </c>
      <c r="P6" s="1">
        <f ca="1">IFERROR(__xludf.DUMMYFUNCTION("""COMPUTED_VALUE"""),112.1)</f>
        <v>112.1</v>
      </c>
      <c r="Q6" s="1">
        <f ca="1">IFERROR(__xludf.DUMMYFUNCTION("""COMPUTED_VALUE"""),2)</f>
        <v>2</v>
      </c>
      <c r="R6" s="1">
        <f ca="1">IFERROR(__xludf.DUMMYFUNCTION("""COMPUTED_VALUE"""),99.5)</f>
        <v>99.5</v>
      </c>
      <c r="S6" s="1">
        <f ca="1">IFERROR(__xludf.DUMMYFUNCTION("""COMPUTED_VALUE"""),6)</f>
        <v>6</v>
      </c>
      <c r="T6" s="1" t="str">
        <f ca="1">IFERROR(__xludf.DUMMYFUNCTION("""COMPUTED_VALUE"""),"+4.98")</f>
        <v>+4.98</v>
      </c>
      <c r="U6" s="1">
        <f ca="1">IFERROR(__xludf.DUMMYFUNCTION("""COMPUTED_VALUE"""),38)</f>
        <v>38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IFERROR(__xludf.DUMMYFUNCTION("""COMPUTED_VALUE"""),"Michigan St.2")</f>
        <v>Michigan St.2</v>
      </c>
      <c r="C7" s="1" t="str">
        <f ca="1">IFERROR(__xludf.DUMMYFUNCTION("""COMPUTED_VALUE"""),"B10")</f>
        <v>B10</v>
      </c>
      <c r="D7" s="1" t="str">
        <f ca="1">IFERROR(__xludf.DUMMYFUNCTION("""COMPUTED_VALUE"""),"29-6")</f>
        <v>29-6</v>
      </c>
      <c r="E7" s="1" t="str">
        <f ca="1">IFERROR(__xludf.DUMMYFUNCTION("""COMPUTED_VALUE"""),"+27.97")</f>
        <v>+27.97</v>
      </c>
      <c r="F7" s="1">
        <f ca="1">IFERROR(__xludf.DUMMYFUNCTION("""COMPUTED_VALUE"""),123.4)</f>
        <v>123.4</v>
      </c>
      <c r="G7" s="1">
        <f ca="1">IFERROR(__xludf.DUMMYFUNCTION("""COMPUTED_VALUE"""),2)</f>
        <v>2</v>
      </c>
      <c r="H7" s="1">
        <f ca="1">IFERROR(__xludf.DUMMYFUNCTION("""COMPUTED_VALUE"""),95.5)</f>
        <v>95.5</v>
      </c>
      <c r="I7" s="1">
        <f ca="1">IFERROR(__xludf.DUMMYFUNCTION("""COMPUTED_VALUE"""),26)</f>
        <v>26</v>
      </c>
      <c r="J7" s="1">
        <f ca="1">IFERROR(__xludf.DUMMYFUNCTION("""COMPUTED_VALUE"""),66.5)</f>
        <v>66.5</v>
      </c>
      <c r="K7" s="1">
        <f ca="1">IFERROR(__xludf.DUMMYFUNCTION("""COMPUTED_VALUE"""),254)</f>
        <v>254</v>
      </c>
      <c r="L7" s="1">
        <f ca="1">IFERROR(__xludf.DUMMYFUNCTION("""COMPUTED_VALUE"""),-0.012)</f>
        <v>-1.2E-2</v>
      </c>
      <c r="M7" s="1">
        <f ca="1">IFERROR(__xludf.DUMMYFUNCTION("""COMPUTED_VALUE"""),210)</f>
        <v>210</v>
      </c>
      <c r="N7" s="1" t="str">
        <f ca="1">IFERROR(__xludf.DUMMYFUNCTION("""COMPUTED_VALUE"""),"+7.19")</f>
        <v>+7.19</v>
      </c>
      <c r="O7" s="1">
        <f ca="1">IFERROR(__xludf.DUMMYFUNCTION("""COMPUTED_VALUE"""),57)</f>
        <v>57</v>
      </c>
      <c r="P7" s="1">
        <f ca="1">IFERROR(__xludf.DUMMYFUNCTION("""COMPUTED_VALUE"""),107.5)</f>
        <v>107.5</v>
      </c>
      <c r="Q7" s="1">
        <f ca="1">IFERROR(__xludf.DUMMYFUNCTION("""COMPUTED_VALUE"""),73)</f>
        <v>73</v>
      </c>
      <c r="R7" s="1">
        <f ca="1">IFERROR(__xludf.DUMMYFUNCTION("""COMPUTED_VALUE"""),100.3)</f>
        <v>100.3</v>
      </c>
      <c r="S7" s="1">
        <f ca="1">IFERROR(__xludf.DUMMYFUNCTION("""COMPUTED_VALUE"""),22)</f>
        <v>22</v>
      </c>
      <c r="T7" s="1" t="str">
        <f ca="1">IFERROR(__xludf.DUMMYFUNCTION("""COMPUTED_VALUE"""),"+0.40")</f>
        <v>+0.40</v>
      </c>
      <c r="U7" s="1">
        <f ca="1">IFERROR(__xludf.DUMMYFUNCTION("""COMPUTED_VALUE"""),157)</f>
        <v>157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IFERROR(__xludf.DUMMYFUNCTION("""COMPUTED_VALUE"""),"Kentucky4")</f>
        <v>Kentucky4</v>
      </c>
      <c r="C8" s="1" t="str">
        <f ca="1">IFERROR(__xludf.DUMMYFUNCTION("""COMPUTED_VALUE"""),"SEC")</f>
        <v>SEC</v>
      </c>
      <c r="D8" s="1" t="str">
        <f ca="1">IFERROR(__xludf.DUMMYFUNCTION("""COMPUTED_VALUE"""),"27-9")</f>
        <v>27-9</v>
      </c>
      <c r="E8" s="1" t="str">
        <f ca="1">IFERROR(__xludf.DUMMYFUNCTION("""COMPUTED_VALUE"""),"+25.14")</f>
        <v>+25.14</v>
      </c>
      <c r="F8" s="1">
        <f ca="1">IFERROR(__xludf.DUMMYFUNCTION("""COMPUTED_VALUE"""),121.8)</f>
        <v>121.8</v>
      </c>
      <c r="G8" s="1">
        <f ca="1">IFERROR(__xludf.DUMMYFUNCTION("""COMPUTED_VALUE"""),5)</f>
        <v>5</v>
      </c>
      <c r="H8" s="1">
        <f ca="1">IFERROR(__xludf.DUMMYFUNCTION("""COMPUTED_VALUE"""),96.6)</f>
        <v>96.6</v>
      </c>
      <c r="I8" s="1">
        <f ca="1">IFERROR(__xludf.DUMMYFUNCTION("""COMPUTED_VALUE"""),39)</f>
        <v>39</v>
      </c>
      <c r="J8" s="1">
        <f ca="1">IFERROR(__xludf.DUMMYFUNCTION("""COMPUTED_VALUE"""),67.4)</f>
        <v>67.400000000000006</v>
      </c>
      <c r="K8" s="1">
        <f ca="1">IFERROR(__xludf.DUMMYFUNCTION("""COMPUTED_VALUE"""),214)</f>
        <v>214</v>
      </c>
      <c r="L8" s="1">
        <f ca="1">IFERROR(__xludf.DUMMYFUNCTION("""COMPUTED_VALUE"""),-0.046)</f>
        <v>-4.5999999999999999E-2</v>
      </c>
      <c r="M8" s="1">
        <f ca="1">IFERROR(__xludf.DUMMYFUNCTION("""COMPUTED_VALUE"""),288)</f>
        <v>288</v>
      </c>
      <c r="N8" s="1" t="str">
        <f ca="1">IFERROR(__xludf.DUMMYFUNCTION("""COMPUTED_VALUE"""),"+8.37")</f>
        <v>+8.37</v>
      </c>
      <c r="O8" s="1">
        <f ca="1">IFERROR(__xludf.DUMMYFUNCTION("""COMPUTED_VALUE"""),44)</f>
        <v>44</v>
      </c>
      <c r="P8" s="1">
        <f ca="1">IFERROR(__xludf.DUMMYFUNCTION("""COMPUTED_VALUE"""),108.6)</f>
        <v>108.6</v>
      </c>
      <c r="Q8" s="1">
        <f ca="1">IFERROR(__xludf.DUMMYFUNCTION("""COMPUTED_VALUE"""),58)</f>
        <v>58</v>
      </c>
      <c r="R8" s="1">
        <f ca="1">IFERROR(__xludf.DUMMYFUNCTION("""COMPUTED_VALUE"""),100.3)</f>
        <v>100.3</v>
      </c>
      <c r="S8" s="1">
        <f ca="1">IFERROR(__xludf.DUMMYFUNCTION("""COMPUTED_VALUE"""),19)</f>
        <v>19</v>
      </c>
      <c r="T8" s="1" t="str">
        <f ca="1">IFERROR(__xludf.DUMMYFUNCTION("""COMPUTED_VALUE"""),"+3.19")</f>
        <v>+3.19</v>
      </c>
      <c r="U8" s="1">
        <f ca="1">IFERROR(__xludf.DUMMYFUNCTION("""COMPUTED_VALUE"""),75)</f>
        <v>75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IFERROR(__xludf.DUMMYFUNCTION("""COMPUTED_VALUE"""),"Louisville")</f>
        <v>Louisville</v>
      </c>
      <c r="C9" s="1" t="str">
        <f ca="1">IFERROR(__xludf.DUMMYFUNCTION("""COMPUTED_VALUE"""),"ACC")</f>
        <v>ACC</v>
      </c>
      <c r="D9" s="1" t="str">
        <f ca="1">IFERROR(__xludf.DUMMYFUNCTION("""COMPUTED_VALUE"""),"23-8")</f>
        <v>23-8</v>
      </c>
      <c r="E9" s="1" t="str">
        <f ca="1">IFERROR(__xludf.DUMMYFUNCTION("""COMPUTED_VALUE"""),"+24.68")</f>
        <v>+24.68</v>
      </c>
      <c r="F9" s="1">
        <f ca="1">IFERROR(__xludf.DUMMYFUNCTION("""COMPUTED_VALUE"""),113.4)</f>
        <v>113.4</v>
      </c>
      <c r="G9" s="1">
        <f ca="1">IFERROR(__xludf.DUMMYFUNCTION("""COMPUTED_VALUE"""),42)</f>
        <v>42</v>
      </c>
      <c r="H9" s="1">
        <f ca="1">IFERROR(__xludf.DUMMYFUNCTION("""COMPUTED_VALUE"""),88.8)</f>
        <v>88.8</v>
      </c>
      <c r="I9" s="1">
        <f ca="1">IFERROR(__xludf.DUMMYFUNCTION("""COMPUTED_VALUE"""),2)</f>
        <v>2</v>
      </c>
      <c r="J9" s="1">
        <f ca="1">IFERROR(__xludf.DUMMYFUNCTION("""COMPUTED_VALUE"""),66.1)</f>
        <v>66.099999999999994</v>
      </c>
      <c r="K9" s="1">
        <f ca="1">IFERROR(__xludf.DUMMYFUNCTION("""COMPUTED_VALUE"""),268)</f>
        <v>268</v>
      </c>
      <c r="L9" s="1">
        <f ca="1">IFERROR(__xludf.DUMMYFUNCTION("""COMPUTED_VALUE"""),-0.025)</f>
        <v>-2.5000000000000001E-2</v>
      </c>
      <c r="M9" s="1">
        <f ca="1">IFERROR(__xludf.DUMMYFUNCTION("""COMPUTED_VALUE"""),242)</f>
        <v>242</v>
      </c>
      <c r="N9" s="1" t="str">
        <f ca="1">IFERROR(__xludf.DUMMYFUNCTION("""COMPUTED_VALUE"""),"+7.49")</f>
        <v>+7.49</v>
      </c>
      <c r="O9" s="1">
        <f ca="1">IFERROR(__xludf.DUMMYFUNCTION("""COMPUTED_VALUE"""),55)</f>
        <v>55</v>
      </c>
      <c r="P9" s="1">
        <f ca="1">IFERROR(__xludf.DUMMYFUNCTION("""COMPUTED_VALUE"""),110.4)</f>
        <v>110.4</v>
      </c>
      <c r="Q9" s="1">
        <f ca="1">IFERROR(__xludf.DUMMYFUNCTION("""COMPUTED_VALUE"""),23)</f>
        <v>23</v>
      </c>
      <c r="R9" s="1">
        <f ca="1">IFERROR(__xludf.DUMMYFUNCTION("""COMPUTED_VALUE"""),102.9)</f>
        <v>102.9</v>
      </c>
      <c r="S9" s="1">
        <f ca="1">IFERROR(__xludf.DUMMYFUNCTION("""COMPUTED_VALUE"""),95)</f>
        <v>95</v>
      </c>
      <c r="T9" s="1">
        <f ca="1">IFERROR(__xludf.DUMMYFUNCTION("""COMPUTED_VALUE"""),-7.4)</f>
        <v>-7.4</v>
      </c>
      <c r="U9" s="1">
        <f ca="1">IFERROR(__xludf.DUMMYFUNCTION("""COMPUTED_VALUE"""),331)</f>
        <v>331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IFERROR(__xludf.DUMMYFUNCTION("""COMPUTED_VALUE"""),"West Virginia3")</f>
        <v>West Virginia3</v>
      </c>
      <c r="C10" s="1" t="str">
        <f ca="1">IFERROR(__xludf.DUMMYFUNCTION("""COMPUTED_VALUE"""),"B12")</f>
        <v>B12</v>
      </c>
      <c r="D10" s="1" t="str">
        <f ca="1">IFERROR(__xludf.DUMMYFUNCTION("""COMPUTED_VALUE"""),"26-9")</f>
        <v>26-9</v>
      </c>
      <c r="E10" s="1" t="str">
        <f ca="1">IFERROR(__xludf.DUMMYFUNCTION("""COMPUTED_VALUE"""),"+24.45")</f>
        <v>+24.45</v>
      </c>
      <c r="F10" s="1">
        <f ca="1">IFERROR(__xludf.DUMMYFUNCTION("""COMPUTED_VALUE"""),115.3)</f>
        <v>115.3</v>
      </c>
      <c r="G10" s="1">
        <f ca="1">IFERROR(__xludf.DUMMYFUNCTION("""COMPUTED_VALUE"""),27)</f>
        <v>27</v>
      </c>
      <c r="H10" s="1">
        <f ca="1">IFERROR(__xludf.DUMMYFUNCTION("""COMPUTED_VALUE"""),90.9)</f>
        <v>90.9</v>
      </c>
      <c r="I10" s="1">
        <f ca="1">IFERROR(__xludf.DUMMYFUNCTION("""COMPUTED_VALUE"""),6)</f>
        <v>6</v>
      </c>
      <c r="J10" s="1">
        <f ca="1">IFERROR(__xludf.DUMMYFUNCTION("""COMPUTED_VALUE"""),69.5)</f>
        <v>69.5</v>
      </c>
      <c r="K10" s="1">
        <f ca="1">IFERROR(__xludf.DUMMYFUNCTION("""COMPUTED_VALUE"""),104)</f>
        <v>104</v>
      </c>
      <c r="L10" s="1" t="str">
        <f ca="1">IFERROR(__xludf.DUMMYFUNCTION("""COMPUTED_VALUE"""),"+.003")</f>
        <v>+.003</v>
      </c>
      <c r="M10" s="1">
        <f ca="1">IFERROR(__xludf.DUMMYFUNCTION("""COMPUTED_VALUE"""),171)</f>
        <v>171</v>
      </c>
      <c r="N10" s="1" t="str">
        <f ca="1">IFERROR(__xludf.DUMMYFUNCTION("""COMPUTED_VALUE"""),"+11.24")</f>
        <v>+11.24</v>
      </c>
      <c r="O10" s="1">
        <f ca="1">IFERROR(__xludf.DUMMYFUNCTION("""COMPUTED_VALUE"""),9)</f>
        <v>9</v>
      </c>
      <c r="P10" s="1">
        <f ca="1">IFERROR(__xludf.DUMMYFUNCTION("""COMPUTED_VALUE"""),110.9)</f>
        <v>110.9</v>
      </c>
      <c r="Q10" s="1">
        <f ca="1">IFERROR(__xludf.DUMMYFUNCTION("""COMPUTED_VALUE"""),11)</f>
        <v>11</v>
      </c>
      <c r="R10" s="1">
        <f ca="1">IFERROR(__xludf.DUMMYFUNCTION("""COMPUTED_VALUE"""),99.6)</f>
        <v>99.6</v>
      </c>
      <c r="S10" s="1">
        <f ca="1">IFERROR(__xludf.DUMMYFUNCTION("""COMPUTED_VALUE"""),7)</f>
        <v>7</v>
      </c>
      <c r="T10" s="1" t="str">
        <f ca="1">IFERROR(__xludf.DUMMYFUNCTION("""COMPUTED_VALUE"""),"+0.72")</f>
        <v>+0.72</v>
      </c>
      <c r="U10" s="1">
        <f ca="1">IFERROR(__xludf.DUMMYFUNCTION("""COMPUTED_VALUE"""),149)</f>
        <v>149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IFERROR(__xludf.DUMMYFUNCTION("""COMPUTED_VALUE"""),"Purdue5")</f>
        <v>Purdue5</v>
      </c>
      <c r="C11" s="1" t="str">
        <f ca="1">IFERROR(__xludf.DUMMYFUNCTION("""COMPUTED_VALUE"""),"B10")</f>
        <v>B10</v>
      </c>
      <c r="D11" s="1" t="str">
        <f ca="1">IFERROR(__xludf.DUMMYFUNCTION("""COMPUTED_VALUE"""),"26-9")</f>
        <v>26-9</v>
      </c>
      <c r="E11" s="1" t="str">
        <f ca="1">IFERROR(__xludf.DUMMYFUNCTION("""COMPUTED_VALUE"""),"+23.85")</f>
        <v>+23.85</v>
      </c>
      <c r="F11" s="1">
        <f ca="1">IFERROR(__xludf.DUMMYFUNCTION("""COMPUTED_VALUE"""),116.9)</f>
        <v>116.9</v>
      </c>
      <c r="G11" s="1">
        <f ca="1">IFERROR(__xludf.DUMMYFUNCTION("""COMPUTED_VALUE"""),19)</f>
        <v>19</v>
      </c>
      <c r="H11" s="1">
        <f ca="1">IFERROR(__xludf.DUMMYFUNCTION("""COMPUTED_VALUE"""),93.1)</f>
        <v>93.1</v>
      </c>
      <c r="I11" s="1">
        <f ca="1">IFERROR(__xludf.DUMMYFUNCTION("""COMPUTED_VALUE"""),11)</f>
        <v>11</v>
      </c>
      <c r="J11" s="1">
        <f ca="1">IFERROR(__xludf.DUMMYFUNCTION("""COMPUTED_VALUE"""),67.9)</f>
        <v>67.900000000000006</v>
      </c>
      <c r="K11" s="1">
        <f ca="1">IFERROR(__xludf.DUMMYFUNCTION("""COMPUTED_VALUE"""),182)</f>
        <v>182</v>
      </c>
      <c r="L11" s="1">
        <f ca="1">IFERROR(__xludf.DUMMYFUNCTION("""COMPUTED_VALUE"""),-0.046)</f>
        <v>-4.5999999999999999E-2</v>
      </c>
      <c r="M11" s="1">
        <f ca="1">IFERROR(__xludf.DUMMYFUNCTION("""COMPUTED_VALUE"""),286)</f>
        <v>286</v>
      </c>
      <c r="N11" s="1" t="str">
        <f ca="1">IFERROR(__xludf.DUMMYFUNCTION("""COMPUTED_VALUE"""),"+7.43")</f>
        <v>+7.43</v>
      </c>
      <c r="O11" s="1">
        <f ca="1">IFERROR(__xludf.DUMMYFUNCTION("""COMPUTED_VALUE"""),56)</f>
        <v>56</v>
      </c>
      <c r="P11" s="1">
        <f ca="1">IFERROR(__xludf.DUMMYFUNCTION("""COMPUTED_VALUE"""),109.1)</f>
        <v>109.1</v>
      </c>
      <c r="Q11" s="1">
        <f ca="1">IFERROR(__xludf.DUMMYFUNCTION("""COMPUTED_VALUE"""),46)</f>
        <v>46</v>
      </c>
      <c r="R11" s="1">
        <f ca="1">IFERROR(__xludf.DUMMYFUNCTION("""COMPUTED_VALUE"""),101.7)</f>
        <v>101.7</v>
      </c>
      <c r="S11" s="1">
        <f ca="1">IFERROR(__xludf.DUMMYFUNCTION("""COMPUTED_VALUE"""),66)</f>
        <v>66</v>
      </c>
      <c r="T11" s="1">
        <f ca="1">IFERROR(__xludf.DUMMYFUNCTION("""COMPUTED_VALUE"""),-2.67)</f>
        <v>-2.67</v>
      </c>
      <c r="U11" s="1">
        <f ca="1">IFERROR(__xludf.DUMMYFUNCTION("""COMPUTED_VALUE"""),239)</f>
        <v>239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IFERROR(__xludf.DUMMYFUNCTION("""COMPUTED_VALUE"""),"Oklahoma2")</f>
        <v>Oklahoma2</v>
      </c>
      <c r="C12" s="1" t="str">
        <f ca="1">IFERROR(__xludf.DUMMYFUNCTION("""COMPUTED_VALUE"""),"B12")</f>
        <v>B12</v>
      </c>
      <c r="D12" s="1" t="str">
        <f ca="1">IFERROR(__xludf.DUMMYFUNCTION("""COMPUTED_VALUE"""),"29-8")</f>
        <v>29-8</v>
      </c>
      <c r="E12" s="1" t="str">
        <f ca="1">IFERROR(__xludf.DUMMYFUNCTION("""COMPUTED_VALUE"""),"+23.78")</f>
        <v>+23.78</v>
      </c>
      <c r="F12" s="1">
        <f ca="1">IFERROR(__xludf.DUMMYFUNCTION("""COMPUTED_VALUE"""),117.9)</f>
        <v>117.9</v>
      </c>
      <c r="G12" s="1">
        <f ca="1">IFERROR(__xludf.DUMMYFUNCTION("""COMPUTED_VALUE"""),16)</f>
        <v>16</v>
      </c>
      <c r="H12" s="1">
        <f ca="1">IFERROR(__xludf.DUMMYFUNCTION("""COMPUTED_VALUE"""),94.1)</f>
        <v>94.1</v>
      </c>
      <c r="I12" s="1">
        <f ca="1">IFERROR(__xludf.DUMMYFUNCTION("""COMPUTED_VALUE"""),17)</f>
        <v>17</v>
      </c>
      <c r="J12" s="1">
        <f ca="1">IFERROR(__xludf.DUMMYFUNCTION("""COMPUTED_VALUE"""),69.8)</f>
        <v>69.8</v>
      </c>
      <c r="K12" s="1">
        <f ca="1">IFERROR(__xludf.DUMMYFUNCTION("""COMPUTED_VALUE"""),88)</f>
        <v>88</v>
      </c>
      <c r="L12" s="1" t="str">
        <f ca="1">IFERROR(__xludf.DUMMYFUNCTION("""COMPUTED_VALUE"""),"+.082")</f>
        <v>+.082</v>
      </c>
      <c r="M12" s="1">
        <f ca="1">IFERROR(__xludf.DUMMYFUNCTION("""COMPUTED_VALUE"""),29)</f>
        <v>29</v>
      </c>
      <c r="N12" s="1" t="str">
        <f ca="1">IFERROR(__xludf.DUMMYFUNCTION("""COMPUTED_VALUE"""),"+13.05")</f>
        <v>+13.05</v>
      </c>
      <c r="O12" s="1">
        <f ca="1">IFERROR(__xludf.DUMMYFUNCTION("""COMPUTED_VALUE"""),1)</f>
        <v>1</v>
      </c>
      <c r="P12" s="1">
        <f ca="1">IFERROR(__xludf.DUMMYFUNCTION("""COMPUTED_VALUE"""),111.5)</f>
        <v>111.5</v>
      </c>
      <c r="Q12" s="1">
        <f ca="1">IFERROR(__xludf.DUMMYFUNCTION("""COMPUTED_VALUE"""),6)</f>
        <v>6</v>
      </c>
      <c r="R12" s="1">
        <f ca="1">IFERROR(__xludf.DUMMYFUNCTION("""COMPUTED_VALUE"""),98.5)</f>
        <v>98.5</v>
      </c>
      <c r="S12" s="1">
        <f ca="1">IFERROR(__xludf.DUMMYFUNCTION("""COMPUTED_VALUE"""),3)</f>
        <v>3</v>
      </c>
      <c r="T12" s="1" t="str">
        <f ca="1">IFERROR(__xludf.DUMMYFUNCTION("""COMPUTED_VALUE"""),"+2.70")</f>
        <v>+2.70</v>
      </c>
      <c r="U12" s="1">
        <f ca="1">IFERROR(__xludf.DUMMYFUNCTION("""COMPUTED_VALUE"""),87)</f>
        <v>87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IFERROR(__xludf.DUMMYFUNCTION("""COMPUTED_VALUE"""),"Indiana5")</f>
        <v>Indiana5</v>
      </c>
      <c r="C13" s="1" t="str">
        <f ca="1">IFERROR(__xludf.DUMMYFUNCTION("""COMPUTED_VALUE"""),"B10")</f>
        <v>B10</v>
      </c>
      <c r="D13" s="1" t="str">
        <f ca="1">IFERROR(__xludf.DUMMYFUNCTION("""COMPUTED_VALUE"""),"27-8")</f>
        <v>27-8</v>
      </c>
      <c r="E13" s="1" t="str">
        <f ca="1">IFERROR(__xludf.DUMMYFUNCTION("""COMPUTED_VALUE"""),"+23.05")</f>
        <v>+23.05</v>
      </c>
      <c r="F13" s="1">
        <f ca="1">IFERROR(__xludf.DUMMYFUNCTION("""COMPUTED_VALUE"""),121.7)</f>
        <v>121.7</v>
      </c>
      <c r="G13" s="1">
        <f ca="1">IFERROR(__xludf.DUMMYFUNCTION("""COMPUTED_VALUE"""),6)</f>
        <v>6</v>
      </c>
      <c r="H13" s="1">
        <f ca="1">IFERROR(__xludf.DUMMYFUNCTION("""COMPUTED_VALUE"""),98.7)</f>
        <v>98.7</v>
      </c>
      <c r="I13" s="1">
        <f ca="1">IFERROR(__xludf.DUMMYFUNCTION("""COMPUTED_VALUE"""),59)</f>
        <v>59</v>
      </c>
      <c r="J13" s="1">
        <f ca="1">IFERROR(__xludf.DUMMYFUNCTION("""COMPUTED_VALUE"""),68.2)</f>
        <v>68.2</v>
      </c>
      <c r="K13" s="1">
        <f ca="1">IFERROR(__xludf.DUMMYFUNCTION("""COMPUTED_VALUE"""),159)</f>
        <v>159</v>
      </c>
      <c r="L13" s="1" t="str">
        <f ca="1">IFERROR(__xludf.DUMMYFUNCTION("""COMPUTED_VALUE"""),"+.000")</f>
        <v>+.000</v>
      </c>
      <c r="M13" s="1">
        <f ca="1">IFERROR(__xludf.DUMMYFUNCTION("""COMPUTED_VALUE"""),173)</f>
        <v>173</v>
      </c>
      <c r="N13" s="1" t="str">
        <f ca="1">IFERROR(__xludf.DUMMYFUNCTION("""COMPUTED_VALUE"""),"+6.40")</f>
        <v>+6.40</v>
      </c>
      <c r="O13" s="1">
        <f ca="1">IFERROR(__xludf.DUMMYFUNCTION("""COMPUTED_VALUE"""),65)</f>
        <v>65</v>
      </c>
      <c r="P13" s="1">
        <f ca="1">IFERROR(__xludf.DUMMYFUNCTION("""COMPUTED_VALUE"""),108.8)</f>
        <v>108.8</v>
      </c>
      <c r="Q13" s="1">
        <f ca="1">IFERROR(__xludf.DUMMYFUNCTION("""COMPUTED_VALUE"""),51)</f>
        <v>51</v>
      </c>
      <c r="R13" s="1">
        <f ca="1">IFERROR(__xludf.DUMMYFUNCTION("""COMPUTED_VALUE"""),102.4)</f>
        <v>102.4</v>
      </c>
      <c r="S13" s="1">
        <f ca="1">IFERROR(__xludf.DUMMYFUNCTION("""COMPUTED_VALUE"""),87)</f>
        <v>87</v>
      </c>
      <c r="T13" s="1">
        <f ca="1">IFERROR(__xludf.DUMMYFUNCTION("""COMPUTED_VALUE"""),-3.12)</f>
        <v>-3.12</v>
      </c>
      <c r="U13" s="1">
        <f ca="1">IFERROR(__xludf.DUMMYFUNCTION("""COMPUTED_VALUE"""),258)</f>
        <v>258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IFERROR(__xludf.DUMMYFUNCTION("""COMPUTED_VALUE"""),"Oregon1")</f>
        <v>Oregon1</v>
      </c>
      <c r="C14" s="1" t="str">
        <f ca="1">IFERROR(__xludf.DUMMYFUNCTION("""COMPUTED_VALUE"""),"P12")</f>
        <v>P12</v>
      </c>
      <c r="D14" s="1" t="str">
        <f ca="1">IFERROR(__xludf.DUMMYFUNCTION("""COMPUTED_VALUE"""),"31-7")</f>
        <v>31-7</v>
      </c>
      <c r="E14" s="1" t="str">
        <f ca="1">IFERROR(__xludf.DUMMYFUNCTION("""COMPUTED_VALUE"""),"+22.68")</f>
        <v>+22.68</v>
      </c>
      <c r="F14" s="1">
        <f ca="1">IFERROR(__xludf.DUMMYFUNCTION("""COMPUTED_VALUE"""),119.1)</f>
        <v>119.1</v>
      </c>
      <c r="G14" s="1">
        <f ca="1">IFERROR(__xludf.DUMMYFUNCTION("""COMPUTED_VALUE"""),13)</f>
        <v>13</v>
      </c>
      <c r="H14" s="1">
        <f ca="1">IFERROR(__xludf.DUMMYFUNCTION("""COMPUTED_VALUE"""),96.4)</f>
        <v>96.4</v>
      </c>
      <c r="I14" s="1">
        <f ca="1">IFERROR(__xludf.DUMMYFUNCTION("""COMPUTED_VALUE"""),37)</f>
        <v>37</v>
      </c>
      <c r="J14" s="1">
        <f ca="1">IFERROR(__xludf.DUMMYFUNCTION("""COMPUTED_VALUE"""),68.1)</f>
        <v>68.099999999999994</v>
      </c>
      <c r="K14" s="1">
        <f ca="1">IFERROR(__xludf.DUMMYFUNCTION("""COMPUTED_VALUE"""),167)</f>
        <v>167</v>
      </c>
      <c r="L14" s="1" t="str">
        <f ca="1">IFERROR(__xludf.DUMMYFUNCTION("""COMPUTED_VALUE"""),"+.041")</f>
        <v>+.041</v>
      </c>
      <c r="M14" s="1">
        <f ca="1">IFERROR(__xludf.DUMMYFUNCTION("""COMPUTED_VALUE"""),81)</f>
        <v>81</v>
      </c>
      <c r="N14" s="1" t="str">
        <f ca="1">IFERROR(__xludf.DUMMYFUNCTION("""COMPUTED_VALUE"""),"+9.06")</f>
        <v>+9.06</v>
      </c>
      <c r="O14" s="1">
        <f ca="1">IFERROR(__xludf.DUMMYFUNCTION("""COMPUTED_VALUE"""),33)</f>
        <v>33</v>
      </c>
      <c r="P14" s="1">
        <f ca="1">IFERROR(__xludf.DUMMYFUNCTION("""COMPUTED_VALUE"""),109)</f>
        <v>109</v>
      </c>
      <c r="Q14" s="1">
        <f ca="1">IFERROR(__xludf.DUMMYFUNCTION("""COMPUTED_VALUE"""),47)</f>
        <v>47</v>
      </c>
      <c r="R14" s="1">
        <f ca="1">IFERROR(__xludf.DUMMYFUNCTION("""COMPUTED_VALUE"""),100)</f>
        <v>100</v>
      </c>
      <c r="S14" s="1">
        <f ca="1">IFERROR(__xludf.DUMMYFUNCTION("""COMPUTED_VALUE"""),13)</f>
        <v>13</v>
      </c>
      <c r="T14" s="1" t="str">
        <f ca="1">IFERROR(__xludf.DUMMYFUNCTION("""COMPUTED_VALUE"""),"+1.04")</f>
        <v>+1.04</v>
      </c>
      <c r="U14" s="1">
        <f ca="1">IFERROR(__xludf.DUMMYFUNCTION("""COMPUTED_VALUE"""),139)</f>
        <v>139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IFERROR(__xludf.DUMMYFUNCTION("""COMPUTED_VALUE"""),"Wichita St.11")</f>
        <v>Wichita St.11</v>
      </c>
      <c r="C15" s="1" t="str">
        <f ca="1">IFERROR(__xludf.DUMMYFUNCTION("""COMPUTED_VALUE"""),"MVC")</f>
        <v>MVC</v>
      </c>
      <c r="D15" s="1" t="str">
        <f ca="1">IFERROR(__xludf.DUMMYFUNCTION("""COMPUTED_VALUE"""),"26-9")</f>
        <v>26-9</v>
      </c>
      <c r="E15" s="1" t="str">
        <f ca="1">IFERROR(__xludf.DUMMYFUNCTION("""COMPUTED_VALUE"""),"+22.53")</f>
        <v>+22.53</v>
      </c>
      <c r="F15" s="1">
        <f ca="1">IFERROR(__xludf.DUMMYFUNCTION("""COMPUTED_VALUE"""),111.3)</f>
        <v>111.3</v>
      </c>
      <c r="G15" s="1">
        <f ca="1">IFERROR(__xludf.DUMMYFUNCTION("""COMPUTED_VALUE"""),67)</f>
        <v>67</v>
      </c>
      <c r="H15" s="1">
        <f ca="1">IFERROR(__xludf.DUMMYFUNCTION("""COMPUTED_VALUE"""),88.7)</f>
        <v>88.7</v>
      </c>
      <c r="I15" s="1">
        <f ca="1">IFERROR(__xludf.DUMMYFUNCTION("""COMPUTED_VALUE"""),1)</f>
        <v>1</v>
      </c>
      <c r="J15" s="1">
        <f ca="1">IFERROR(__xludf.DUMMYFUNCTION("""COMPUTED_VALUE"""),66)</f>
        <v>66</v>
      </c>
      <c r="K15" s="1">
        <f ca="1">IFERROR(__xludf.DUMMYFUNCTION("""COMPUTED_VALUE"""),276)</f>
        <v>276</v>
      </c>
      <c r="L15" s="1">
        <f ca="1">IFERROR(__xludf.DUMMYFUNCTION("""COMPUTED_VALUE"""),-0.079)</f>
        <v>-7.9000000000000001E-2</v>
      </c>
      <c r="M15" s="1">
        <f ca="1">IFERROR(__xludf.DUMMYFUNCTION("""COMPUTED_VALUE"""),333)</f>
        <v>333</v>
      </c>
      <c r="N15" s="1" t="str">
        <f ca="1">IFERROR(__xludf.DUMMYFUNCTION("""COMPUTED_VALUE"""),"+3.61")</f>
        <v>+3.61</v>
      </c>
      <c r="O15" s="1">
        <f ca="1">IFERROR(__xludf.DUMMYFUNCTION("""COMPUTED_VALUE"""),88)</f>
        <v>88</v>
      </c>
      <c r="P15" s="1">
        <f ca="1">IFERROR(__xludf.DUMMYFUNCTION("""COMPUTED_VALUE"""),104.8)</f>
        <v>104.8</v>
      </c>
      <c r="Q15" s="1">
        <f ca="1">IFERROR(__xludf.DUMMYFUNCTION("""COMPUTED_VALUE"""),154)</f>
        <v>154</v>
      </c>
      <c r="R15" s="1">
        <f ca="1">IFERROR(__xludf.DUMMYFUNCTION("""COMPUTED_VALUE"""),101.2)</f>
        <v>101.2</v>
      </c>
      <c r="S15" s="1">
        <f ca="1">IFERROR(__xludf.DUMMYFUNCTION("""COMPUTED_VALUE"""),51)</f>
        <v>51</v>
      </c>
      <c r="T15" s="1" t="str">
        <f ca="1">IFERROR(__xludf.DUMMYFUNCTION("""COMPUTED_VALUE"""),"+6.45")</f>
        <v>+6.45</v>
      </c>
      <c r="U15" s="1">
        <f ca="1">IFERROR(__xludf.DUMMYFUNCTION("""COMPUTED_VALUE"""),24)</f>
        <v>24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IFERROR(__xludf.DUMMYFUNCTION("""COMPUTED_VALUE"""),"Xavier2")</f>
        <v>Xavier2</v>
      </c>
      <c r="C16" s="1" t="str">
        <f ca="1">IFERROR(__xludf.DUMMYFUNCTION("""COMPUTED_VALUE"""),"BE")</f>
        <v>BE</v>
      </c>
      <c r="D16" s="1" t="str">
        <f ca="1">IFERROR(__xludf.DUMMYFUNCTION("""COMPUTED_VALUE"""),"28-6")</f>
        <v>28-6</v>
      </c>
      <c r="E16" s="1" t="str">
        <f ca="1">IFERROR(__xludf.DUMMYFUNCTION("""COMPUTED_VALUE"""),"+22.52")</f>
        <v>+22.52</v>
      </c>
      <c r="F16" s="1">
        <f ca="1">IFERROR(__xludf.DUMMYFUNCTION("""COMPUTED_VALUE"""),117.1)</f>
        <v>117.1</v>
      </c>
      <c r="G16" s="1">
        <f ca="1">IFERROR(__xludf.DUMMYFUNCTION("""COMPUTED_VALUE"""),18)</f>
        <v>18</v>
      </c>
      <c r="H16" s="1">
        <f ca="1">IFERROR(__xludf.DUMMYFUNCTION("""COMPUTED_VALUE"""),94.6)</f>
        <v>94.6</v>
      </c>
      <c r="I16" s="1">
        <f ca="1">IFERROR(__xludf.DUMMYFUNCTION("""COMPUTED_VALUE"""),22)</f>
        <v>22</v>
      </c>
      <c r="J16" s="1">
        <f ca="1">IFERROR(__xludf.DUMMYFUNCTION("""COMPUTED_VALUE"""),71.9)</f>
        <v>71.900000000000006</v>
      </c>
      <c r="K16" s="1">
        <f ca="1">IFERROR(__xludf.DUMMYFUNCTION("""COMPUTED_VALUE"""),32)</f>
        <v>32</v>
      </c>
      <c r="L16" s="1" t="str">
        <f ca="1">IFERROR(__xludf.DUMMYFUNCTION("""COMPUTED_VALUE"""),"+.047")</f>
        <v>+.047</v>
      </c>
      <c r="M16" s="1">
        <f ca="1">IFERROR(__xludf.DUMMYFUNCTION("""COMPUTED_VALUE"""),68)</f>
        <v>68</v>
      </c>
      <c r="N16" s="1" t="str">
        <f ca="1">IFERROR(__xludf.DUMMYFUNCTION("""COMPUTED_VALUE"""),"+8.16")</f>
        <v>+8.16</v>
      </c>
      <c r="O16" s="1">
        <f ca="1">IFERROR(__xludf.DUMMYFUNCTION("""COMPUTED_VALUE"""),45)</f>
        <v>45</v>
      </c>
      <c r="P16" s="1">
        <f ca="1">IFERROR(__xludf.DUMMYFUNCTION("""COMPUTED_VALUE"""),108.2)</f>
        <v>108.2</v>
      </c>
      <c r="Q16" s="1">
        <f ca="1">IFERROR(__xludf.DUMMYFUNCTION("""COMPUTED_VALUE"""),64)</f>
        <v>64</v>
      </c>
      <c r="R16" s="1">
        <f ca="1">IFERROR(__xludf.DUMMYFUNCTION("""COMPUTED_VALUE"""),100)</f>
        <v>100</v>
      </c>
      <c r="S16" s="1">
        <f ca="1">IFERROR(__xludf.DUMMYFUNCTION("""COMPUTED_VALUE"""),16)</f>
        <v>16</v>
      </c>
      <c r="T16" s="1" t="str">
        <f ca="1">IFERROR(__xludf.DUMMYFUNCTION("""COMPUTED_VALUE"""),"+1.73")</f>
        <v>+1.73</v>
      </c>
      <c r="U16" s="1">
        <f ca="1">IFERROR(__xludf.DUMMYFUNCTION("""COMPUTED_VALUE"""),116)</f>
        <v>116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IFERROR(__xludf.DUMMYFUNCTION("""COMPUTED_VALUE"""),"Miami FL3")</f>
        <v>Miami FL3</v>
      </c>
      <c r="C17" s="1" t="str">
        <f ca="1">IFERROR(__xludf.DUMMYFUNCTION("""COMPUTED_VALUE"""),"ACC")</f>
        <v>ACC</v>
      </c>
      <c r="D17" s="1" t="str">
        <f ca="1">IFERROR(__xludf.DUMMYFUNCTION("""COMPUTED_VALUE"""),"27-8")</f>
        <v>27-8</v>
      </c>
      <c r="E17" s="1" t="str">
        <f ca="1">IFERROR(__xludf.DUMMYFUNCTION("""COMPUTED_VALUE"""),"+22.44")</f>
        <v>+22.44</v>
      </c>
      <c r="F17" s="1">
        <f ca="1">IFERROR(__xludf.DUMMYFUNCTION("""COMPUTED_VALUE"""),119.4)</f>
        <v>119.4</v>
      </c>
      <c r="G17" s="1">
        <f ca="1">IFERROR(__xludf.DUMMYFUNCTION("""COMPUTED_VALUE"""),11)</f>
        <v>11</v>
      </c>
      <c r="H17" s="1">
        <f ca="1">IFERROR(__xludf.DUMMYFUNCTION("""COMPUTED_VALUE"""),96.9)</f>
        <v>96.9</v>
      </c>
      <c r="I17" s="1">
        <f ca="1">IFERROR(__xludf.DUMMYFUNCTION("""COMPUTED_VALUE"""),42)</f>
        <v>42</v>
      </c>
      <c r="J17" s="1">
        <f ca="1">IFERROR(__xludf.DUMMYFUNCTION("""COMPUTED_VALUE"""),65.9)</f>
        <v>65.900000000000006</v>
      </c>
      <c r="K17" s="1">
        <f ca="1">IFERROR(__xludf.DUMMYFUNCTION("""COMPUTED_VALUE"""),284)</f>
        <v>284</v>
      </c>
      <c r="L17" s="1" t="str">
        <f ca="1">IFERROR(__xludf.DUMMYFUNCTION("""COMPUTED_VALUE"""),"+.077")</f>
        <v>+.077</v>
      </c>
      <c r="M17" s="1">
        <f ca="1">IFERROR(__xludf.DUMMYFUNCTION("""COMPUTED_VALUE"""),33)</f>
        <v>33</v>
      </c>
      <c r="N17" s="1" t="str">
        <f ca="1">IFERROR(__xludf.DUMMYFUNCTION("""COMPUTED_VALUE"""),"+11.67")</f>
        <v>+11.67</v>
      </c>
      <c r="O17" s="1">
        <f ca="1">IFERROR(__xludf.DUMMYFUNCTION("""COMPUTED_VALUE"""),6)</f>
        <v>6</v>
      </c>
      <c r="P17" s="1">
        <f ca="1">IFERROR(__xludf.DUMMYFUNCTION("""COMPUTED_VALUE"""),111.6)</f>
        <v>111.6</v>
      </c>
      <c r="Q17" s="1">
        <f ca="1">IFERROR(__xludf.DUMMYFUNCTION("""COMPUTED_VALUE"""),5)</f>
        <v>5</v>
      </c>
      <c r="R17" s="1">
        <f ca="1">IFERROR(__xludf.DUMMYFUNCTION("""COMPUTED_VALUE"""),99.9)</f>
        <v>99.9</v>
      </c>
      <c r="S17" s="1">
        <f ca="1">IFERROR(__xludf.DUMMYFUNCTION("""COMPUTED_VALUE"""),11)</f>
        <v>11</v>
      </c>
      <c r="T17" s="1" t="str">
        <f ca="1">IFERROR(__xludf.DUMMYFUNCTION("""COMPUTED_VALUE"""),"+2.63")</f>
        <v>+2.63</v>
      </c>
      <c r="U17" s="1">
        <f ca="1">IFERROR(__xludf.DUMMYFUNCTION("""COMPUTED_VALUE"""),90)</f>
        <v>90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IFERROR(__xludf.DUMMYFUNCTION("""COMPUTED_VALUE"""),"SMU")</f>
        <v>SMU</v>
      </c>
      <c r="C18" s="1" t="str">
        <f ca="1">IFERROR(__xludf.DUMMYFUNCTION("""COMPUTED_VALUE"""),"Amer")</f>
        <v>Amer</v>
      </c>
      <c r="D18" s="1" t="str">
        <f ca="1">IFERROR(__xludf.DUMMYFUNCTION("""COMPUTED_VALUE"""),"25-5")</f>
        <v>25-5</v>
      </c>
      <c r="E18" s="1" t="str">
        <f ca="1">IFERROR(__xludf.DUMMYFUNCTION("""COMPUTED_VALUE"""),"+21.98")</f>
        <v>+21.98</v>
      </c>
      <c r="F18" s="1">
        <f ca="1">IFERROR(__xludf.DUMMYFUNCTION("""COMPUTED_VALUE"""),119.3)</f>
        <v>119.3</v>
      </c>
      <c r="G18" s="1">
        <f ca="1">IFERROR(__xludf.DUMMYFUNCTION("""COMPUTED_VALUE"""),12)</f>
        <v>12</v>
      </c>
      <c r="H18" s="1">
        <f ca="1">IFERROR(__xludf.DUMMYFUNCTION("""COMPUTED_VALUE"""),97.3)</f>
        <v>97.3</v>
      </c>
      <c r="I18" s="1">
        <f ca="1">IFERROR(__xludf.DUMMYFUNCTION("""COMPUTED_VALUE"""),45)</f>
        <v>45</v>
      </c>
      <c r="J18" s="1">
        <f ca="1">IFERROR(__xludf.DUMMYFUNCTION("""COMPUTED_VALUE"""),65.8)</f>
        <v>65.8</v>
      </c>
      <c r="K18" s="1">
        <f ca="1">IFERROR(__xludf.DUMMYFUNCTION("""COMPUTED_VALUE"""),288)</f>
        <v>288</v>
      </c>
      <c r="L18" s="1" t="str">
        <f ca="1">IFERROR(__xludf.DUMMYFUNCTION("""COMPUTED_VALUE"""),"+.014")</f>
        <v>+.014</v>
      </c>
      <c r="M18" s="1">
        <f ca="1">IFERROR(__xludf.DUMMYFUNCTION("""COMPUTED_VALUE"""),140)</f>
        <v>140</v>
      </c>
      <c r="N18" s="1" t="str">
        <f ca="1">IFERROR(__xludf.DUMMYFUNCTION("""COMPUTED_VALUE"""),"+3.37")</f>
        <v>+3.37</v>
      </c>
      <c r="O18" s="1">
        <f ca="1">IFERROR(__xludf.DUMMYFUNCTION("""COMPUTED_VALUE"""),93)</f>
        <v>93</v>
      </c>
      <c r="P18" s="1">
        <f ca="1">IFERROR(__xludf.DUMMYFUNCTION("""COMPUTED_VALUE"""),105.5)</f>
        <v>105.5</v>
      </c>
      <c r="Q18" s="1">
        <f ca="1">IFERROR(__xludf.DUMMYFUNCTION("""COMPUTED_VALUE"""),121)</f>
        <v>121</v>
      </c>
      <c r="R18" s="1">
        <f ca="1">IFERROR(__xludf.DUMMYFUNCTION("""COMPUTED_VALUE"""),102.2)</f>
        <v>102.2</v>
      </c>
      <c r="S18" s="1">
        <f ca="1">IFERROR(__xludf.DUMMYFUNCTION("""COMPUTED_VALUE"""),77)</f>
        <v>77</v>
      </c>
      <c r="T18" s="1">
        <f ca="1">IFERROR(__xludf.DUMMYFUNCTION("""COMPUTED_VALUE"""),-1.06)</f>
        <v>-1.06</v>
      </c>
      <c r="U18" s="1">
        <f ca="1">IFERROR(__xludf.DUMMYFUNCTION("""COMPUTED_VALUE"""),195)</f>
        <v>195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IFERROR(__xludf.DUMMYFUNCTION("""COMPUTED_VALUE"""),"Duke4")</f>
        <v>Duke4</v>
      </c>
      <c r="C19" s="1" t="str">
        <f ca="1">IFERROR(__xludf.DUMMYFUNCTION("""COMPUTED_VALUE"""),"ACC")</f>
        <v>ACC</v>
      </c>
      <c r="D19" s="1" t="str">
        <f ca="1">IFERROR(__xludf.DUMMYFUNCTION("""COMPUTED_VALUE"""),"25-11")</f>
        <v>25-11</v>
      </c>
      <c r="E19" s="1" t="str">
        <f ca="1">IFERROR(__xludf.DUMMYFUNCTION("""COMPUTED_VALUE"""),"+21.87")</f>
        <v>+21.87</v>
      </c>
      <c r="F19" s="1">
        <f ca="1">IFERROR(__xludf.DUMMYFUNCTION("""COMPUTED_VALUE"""),121.9)</f>
        <v>121.9</v>
      </c>
      <c r="G19" s="1">
        <f ca="1">IFERROR(__xludf.DUMMYFUNCTION("""COMPUTED_VALUE"""),4)</f>
        <v>4</v>
      </c>
      <c r="H19" s="1">
        <f ca="1">IFERROR(__xludf.DUMMYFUNCTION("""COMPUTED_VALUE"""),100)</f>
        <v>100</v>
      </c>
      <c r="I19" s="1">
        <f ca="1">IFERROR(__xludf.DUMMYFUNCTION("""COMPUTED_VALUE"""),86)</f>
        <v>86</v>
      </c>
      <c r="J19" s="1">
        <f ca="1">IFERROR(__xludf.DUMMYFUNCTION("""COMPUTED_VALUE"""),67.7)</f>
        <v>67.7</v>
      </c>
      <c r="K19" s="1">
        <f ca="1">IFERROR(__xludf.DUMMYFUNCTION("""COMPUTED_VALUE"""),194)</f>
        <v>194</v>
      </c>
      <c r="L19" s="1">
        <f ca="1">IFERROR(__xludf.DUMMYFUNCTION("""COMPUTED_VALUE"""),-0.026)</f>
        <v>-2.5999999999999999E-2</v>
      </c>
      <c r="M19" s="1">
        <f ca="1">IFERROR(__xludf.DUMMYFUNCTION("""COMPUTED_VALUE"""),248)</f>
        <v>248</v>
      </c>
      <c r="N19" s="1" t="str">
        <f ca="1">IFERROR(__xludf.DUMMYFUNCTION("""COMPUTED_VALUE"""),"+11.23")</f>
        <v>+11.23</v>
      </c>
      <c r="O19" s="1">
        <f ca="1">IFERROR(__xludf.DUMMYFUNCTION("""COMPUTED_VALUE"""),10)</f>
        <v>10</v>
      </c>
      <c r="P19" s="1">
        <f ca="1">IFERROR(__xludf.DUMMYFUNCTION("""COMPUTED_VALUE"""),112)</f>
        <v>112</v>
      </c>
      <c r="Q19" s="1">
        <f ca="1">IFERROR(__xludf.DUMMYFUNCTION("""COMPUTED_VALUE"""),3)</f>
        <v>3</v>
      </c>
      <c r="R19" s="1">
        <f ca="1">IFERROR(__xludf.DUMMYFUNCTION("""COMPUTED_VALUE"""),100.7)</f>
        <v>100.7</v>
      </c>
      <c r="S19" s="1">
        <f ca="1">IFERROR(__xludf.DUMMYFUNCTION("""COMPUTED_VALUE"""),35)</f>
        <v>35</v>
      </c>
      <c r="T19" s="1" t="str">
        <f ca="1">IFERROR(__xludf.DUMMYFUNCTION("""COMPUTED_VALUE"""),"+3.52")</f>
        <v>+3.52</v>
      </c>
      <c r="U19" s="1">
        <f ca="1">IFERROR(__xludf.DUMMYFUNCTION("""COMPUTED_VALUE"""),69)</f>
        <v>69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IFERROR(__xludf.DUMMYFUNCTION("""COMPUTED_VALUE"""),"Texas A&amp;M3")</f>
        <v>Texas A&amp;M3</v>
      </c>
      <c r="C20" s="1" t="str">
        <f ca="1">IFERROR(__xludf.DUMMYFUNCTION("""COMPUTED_VALUE"""),"SEC")</f>
        <v>SEC</v>
      </c>
      <c r="D20" s="1" t="str">
        <f ca="1">IFERROR(__xludf.DUMMYFUNCTION("""COMPUTED_VALUE"""),"28-9")</f>
        <v>28-9</v>
      </c>
      <c r="E20" s="1" t="str">
        <f ca="1">IFERROR(__xludf.DUMMYFUNCTION("""COMPUTED_VALUE"""),"+21.26")</f>
        <v>+21.26</v>
      </c>
      <c r="F20" s="1">
        <f ca="1">IFERROR(__xludf.DUMMYFUNCTION("""COMPUTED_VALUE"""),113.8)</f>
        <v>113.8</v>
      </c>
      <c r="G20" s="1">
        <f ca="1">IFERROR(__xludf.DUMMYFUNCTION("""COMPUTED_VALUE"""),37)</f>
        <v>37</v>
      </c>
      <c r="H20" s="1">
        <f ca="1">IFERROR(__xludf.DUMMYFUNCTION("""COMPUTED_VALUE"""),92.5)</f>
        <v>92.5</v>
      </c>
      <c r="I20" s="1">
        <f ca="1">IFERROR(__xludf.DUMMYFUNCTION("""COMPUTED_VALUE"""),9)</f>
        <v>9</v>
      </c>
      <c r="J20" s="1">
        <f ca="1">IFERROR(__xludf.DUMMYFUNCTION("""COMPUTED_VALUE"""),67.1)</f>
        <v>67.099999999999994</v>
      </c>
      <c r="K20" s="1">
        <f ca="1">IFERROR(__xludf.DUMMYFUNCTION("""COMPUTED_VALUE"""),230)</f>
        <v>230</v>
      </c>
      <c r="L20" s="1" t="str">
        <f ca="1">IFERROR(__xludf.DUMMYFUNCTION("""COMPUTED_VALUE"""),"+.006")</f>
        <v>+.006</v>
      </c>
      <c r="M20" s="1">
        <f ca="1">IFERROR(__xludf.DUMMYFUNCTION("""COMPUTED_VALUE"""),162)</f>
        <v>162</v>
      </c>
      <c r="N20" s="1" t="str">
        <f ca="1">IFERROR(__xludf.DUMMYFUNCTION("""COMPUTED_VALUE"""),"+8.48")</f>
        <v>+8.48</v>
      </c>
      <c r="O20" s="1">
        <f ca="1">IFERROR(__xludf.DUMMYFUNCTION("""COMPUTED_VALUE"""),42)</f>
        <v>42</v>
      </c>
      <c r="P20" s="1">
        <f ca="1">IFERROR(__xludf.DUMMYFUNCTION("""COMPUTED_VALUE"""),109.6)</f>
        <v>109.6</v>
      </c>
      <c r="Q20" s="1">
        <f ca="1">IFERROR(__xludf.DUMMYFUNCTION("""COMPUTED_VALUE"""),36)</f>
        <v>36</v>
      </c>
      <c r="R20" s="1">
        <f ca="1">IFERROR(__xludf.DUMMYFUNCTION("""COMPUTED_VALUE"""),101.1)</f>
        <v>101.1</v>
      </c>
      <c r="S20" s="1">
        <f ca="1">IFERROR(__xludf.DUMMYFUNCTION("""COMPUTED_VALUE"""),50)</f>
        <v>50</v>
      </c>
      <c r="T20" s="1" t="str">
        <f ca="1">IFERROR(__xludf.DUMMYFUNCTION("""COMPUTED_VALUE"""),"+3.15")</f>
        <v>+3.15</v>
      </c>
      <c r="U20" s="1">
        <f ca="1">IFERROR(__xludf.DUMMYFUNCTION("""COMPUTED_VALUE"""),76)</f>
        <v>76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IFERROR(__xludf.DUMMYFUNCTION("""COMPUTED_VALUE"""),"Arizona6")</f>
        <v>Arizona6</v>
      </c>
      <c r="C21" s="1" t="str">
        <f ca="1">IFERROR(__xludf.DUMMYFUNCTION("""COMPUTED_VALUE"""),"P12")</f>
        <v>P12</v>
      </c>
      <c r="D21" s="1" t="str">
        <f ca="1">IFERROR(__xludf.DUMMYFUNCTION("""COMPUTED_VALUE"""),"25-9")</f>
        <v>25-9</v>
      </c>
      <c r="E21" s="1" t="str">
        <f ca="1">IFERROR(__xludf.DUMMYFUNCTION("""COMPUTED_VALUE"""),"+20.97")</f>
        <v>+20.97</v>
      </c>
      <c r="F21" s="1">
        <f ca="1">IFERROR(__xludf.DUMMYFUNCTION("""COMPUTED_VALUE"""),116.8)</f>
        <v>116.8</v>
      </c>
      <c r="G21" s="1">
        <f ca="1">IFERROR(__xludf.DUMMYFUNCTION("""COMPUTED_VALUE"""),20)</f>
        <v>20</v>
      </c>
      <c r="H21" s="1">
        <f ca="1">IFERROR(__xludf.DUMMYFUNCTION("""COMPUTED_VALUE"""),95.8)</f>
        <v>95.8</v>
      </c>
      <c r="I21" s="1">
        <f ca="1">IFERROR(__xludf.DUMMYFUNCTION("""COMPUTED_VALUE"""),29)</f>
        <v>29</v>
      </c>
      <c r="J21" s="1">
        <f ca="1">IFERROR(__xludf.DUMMYFUNCTION("""COMPUTED_VALUE"""),68.3)</f>
        <v>68.3</v>
      </c>
      <c r="K21" s="1">
        <f ca="1">IFERROR(__xludf.DUMMYFUNCTION("""COMPUTED_VALUE"""),154)</f>
        <v>154</v>
      </c>
      <c r="L21" s="1">
        <f ca="1">IFERROR(__xludf.DUMMYFUNCTION("""COMPUTED_VALUE"""),-0.038)</f>
        <v>-3.7999999999999999E-2</v>
      </c>
      <c r="M21" s="1">
        <f ca="1">IFERROR(__xludf.DUMMYFUNCTION("""COMPUTED_VALUE"""),272)</f>
        <v>272</v>
      </c>
      <c r="N21" s="1" t="str">
        <f ca="1">IFERROR(__xludf.DUMMYFUNCTION("""COMPUTED_VALUE"""),"+6.66")</f>
        <v>+6.66</v>
      </c>
      <c r="O21" s="1">
        <f ca="1">IFERROR(__xludf.DUMMYFUNCTION("""COMPUTED_VALUE"""),63)</f>
        <v>63</v>
      </c>
      <c r="P21" s="1">
        <f ca="1">IFERROR(__xludf.DUMMYFUNCTION("""COMPUTED_VALUE"""),107.9)</f>
        <v>107.9</v>
      </c>
      <c r="Q21" s="1">
        <f ca="1">IFERROR(__xludf.DUMMYFUNCTION("""COMPUTED_VALUE"""),67)</f>
        <v>67</v>
      </c>
      <c r="R21" s="1">
        <f ca="1">IFERROR(__xludf.DUMMYFUNCTION("""COMPUTED_VALUE"""),101.3)</f>
        <v>101.3</v>
      </c>
      <c r="S21" s="1">
        <f ca="1">IFERROR(__xludf.DUMMYFUNCTION("""COMPUTED_VALUE"""),54)</f>
        <v>54</v>
      </c>
      <c r="T21" s="1">
        <f ca="1">IFERROR(__xludf.DUMMYFUNCTION("""COMPUTED_VALUE"""),-3.66)</f>
        <v>-3.66</v>
      </c>
      <c r="U21" s="1">
        <f ca="1">IFERROR(__xludf.DUMMYFUNCTION("""COMPUTED_VALUE"""),269)</f>
        <v>269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IFERROR(__xludf.DUMMYFUNCTION("""COMPUTED_VALUE"""),"Iowa St.4")</f>
        <v>Iowa St.4</v>
      </c>
      <c r="C22" s="1" t="str">
        <f ca="1">IFERROR(__xludf.DUMMYFUNCTION("""COMPUTED_VALUE"""),"B12")</f>
        <v>B12</v>
      </c>
      <c r="D22" s="1" t="str">
        <f ca="1">IFERROR(__xludf.DUMMYFUNCTION("""COMPUTED_VALUE"""),"23-12")</f>
        <v>23-12</v>
      </c>
      <c r="E22" s="1" t="str">
        <f ca="1">IFERROR(__xludf.DUMMYFUNCTION("""COMPUTED_VALUE"""),"+20.95")</f>
        <v>+20.95</v>
      </c>
      <c r="F22" s="1">
        <f ca="1">IFERROR(__xludf.DUMMYFUNCTION("""COMPUTED_VALUE"""),121.2)</f>
        <v>121.2</v>
      </c>
      <c r="G22" s="1">
        <f ca="1">IFERROR(__xludf.DUMMYFUNCTION("""COMPUTED_VALUE"""),7)</f>
        <v>7</v>
      </c>
      <c r="H22" s="1">
        <f ca="1">IFERROR(__xludf.DUMMYFUNCTION("""COMPUTED_VALUE"""),100.3)</f>
        <v>100.3</v>
      </c>
      <c r="I22" s="1">
        <f ca="1">IFERROR(__xludf.DUMMYFUNCTION("""COMPUTED_VALUE"""),91)</f>
        <v>91</v>
      </c>
      <c r="J22" s="1">
        <f ca="1">IFERROR(__xludf.DUMMYFUNCTION("""COMPUTED_VALUE"""),71.2)</f>
        <v>71.2</v>
      </c>
      <c r="K22" s="1">
        <f ca="1">IFERROR(__xludf.DUMMYFUNCTION("""COMPUTED_VALUE"""),49)</f>
        <v>49</v>
      </c>
      <c r="L22" s="1">
        <f ca="1">IFERROR(__xludf.DUMMYFUNCTION("""COMPUTED_VALUE"""),-0.062)</f>
        <v>-6.2E-2</v>
      </c>
      <c r="M22" s="1">
        <f ca="1">IFERROR(__xludf.DUMMYFUNCTION("""COMPUTED_VALUE"""),318)</f>
        <v>318</v>
      </c>
      <c r="N22" s="1" t="str">
        <f ca="1">IFERROR(__xludf.DUMMYFUNCTION("""COMPUTED_VALUE"""),"+12.05")</f>
        <v>+12.05</v>
      </c>
      <c r="O22" s="1">
        <f ca="1">IFERROR(__xludf.DUMMYFUNCTION("""COMPUTED_VALUE"""),5)</f>
        <v>5</v>
      </c>
      <c r="P22" s="1">
        <f ca="1">IFERROR(__xludf.DUMMYFUNCTION("""COMPUTED_VALUE"""),110.2)</f>
        <v>110.2</v>
      </c>
      <c r="Q22" s="1">
        <f ca="1">IFERROR(__xludf.DUMMYFUNCTION("""COMPUTED_VALUE"""),28)</f>
        <v>28</v>
      </c>
      <c r="R22" s="1">
        <f ca="1">IFERROR(__xludf.DUMMYFUNCTION("""COMPUTED_VALUE"""),98.1)</f>
        <v>98.1</v>
      </c>
      <c r="S22" s="1">
        <f ca="1">IFERROR(__xludf.DUMMYFUNCTION("""COMPUTED_VALUE"""),1)</f>
        <v>1</v>
      </c>
      <c r="T22" s="1" t="str">
        <f ca="1">IFERROR(__xludf.DUMMYFUNCTION("""COMPUTED_VALUE"""),"+2.54")</f>
        <v>+2.54</v>
      </c>
      <c r="U22" s="1">
        <f ca="1">IFERROR(__xludf.DUMMYFUNCTION("""COMPUTED_VALUE"""),92)</f>
        <v>92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IFERROR(__xludf.DUMMYFUNCTION("""COMPUTED_VALUE"""),"Gonzaga11")</f>
        <v>Gonzaga11</v>
      </c>
      <c r="C23" s="1" t="str">
        <f ca="1">IFERROR(__xludf.DUMMYFUNCTION("""COMPUTED_VALUE"""),"WCC")</f>
        <v>WCC</v>
      </c>
      <c r="D23" s="1" t="str">
        <f ca="1">IFERROR(__xludf.DUMMYFUNCTION("""COMPUTED_VALUE"""),"28-8")</f>
        <v>28-8</v>
      </c>
      <c r="E23" s="1" t="str">
        <f ca="1">IFERROR(__xludf.DUMMYFUNCTION("""COMPUTED_VALUE"""),"+20.82")</f>
        <v>+20.82</v>
      </c>
      <c r="F23" s="1">
        <f ca="1">IFERROR(__xludf.DUMMYFUNCTION("""COMPUTED_VALUE"""),116.3)</f>
        <v>116.3</v>
      </c>
      <c r="G23" s="1">
        <f ca="1">IFERROR(__xludf.DUMMYFUNCTION("""COMPUTED_VALUE"""),22)</f>
        <v>22</v>
      </c>
      <c r="H23" s="1">
        <f ca="1">IFERROR(__xludf.DUMMYFUNCTION("""COMPUTED_VALUE"""),95.5)</f>
        <v>95.5</v>
      </c>
      <c r="I23" s="1">
        <f ca="1">IFERROR(__xludf.DUMMYFUNCTION("""COMPUTED_VALUE"""),27)</f>
        <v>27</v>
      </c>
      <c r="J23" s="1">
        <f ca="1">IFERROR(__xludf.DUMMYFUNCTION("""COMPUTED_VALUE"""),67.3)</f>
        <v>67.3</v>
      </c>
      <c r="K23" s="1">
        <f ca="1">IFERROR(__xludf.DUMMYFUNCTION("""COMPUTED_VALUE"""),218)</f>
        <v>218</v>
      </c>
      <c r="L23" s="1">
        <f ca="1">IFERROR(__xludf.DUMMYFUNCTION("""COMPUTED_VALUE"""),-0.038)</f>
        <v>-3.7999999999999999E-2</v>
      </c>
      <c r="M23" s="1">
        <f ca="1">IFERROR(__xludf.DUMMYFUNCTION("""COMPUTED_VALUE"""),273)</f>
        <v>273</v>
      </c>
      <c r="N23" s="1" t="str">
        <f ca="1">IFERROR(__xludf.DUMMYFUNCTION("""COMPUTED_VALUE"""),"+3.51")</f>
        <v>+3.51</v>
      </c>
      <c r="O23" s="1">
        <f ca="1">IFERROR(__xludf.DUMMYFUNCTION("""COMPUTED_VALUE"""),90)</f>
        <v>90</v>
      </c>
      <c r="P23" s="1">
        <f ca="1">IFERROR(__xludf.DUMMYFUNCTION("""COMPUTED_VALUE"""),107.3)</f>
        <v>107.3</v>
      </c>
      <c r="Q23" s="1">
        <f ca="1">IFERROR(__xludf.DUMMYFUNCTION("""COMPUTED_VALUE"""),77)</f>
        <v>77</v>
      </c>
      <c r="R23" s="1">
        <f ca="1">IFERROR(__xludf.DUMMYFUNCTION("""COMPUTED_VALUE"""),103.8)</f>
        <v>103.8</v>
      </c>
      <c r="S23" s="1">
        <f ca="1">IFERROR(__xludf.DUMMYFUNCTION("""COMPUTED_VALUE"""),118)</f>
        <v>118</v>
      </c>
      <c r="T23" s="1" t="str">
        <f ca="1">IFERROR(__xludf.DUMMYFUNCTION("""COMPUTED_VALUE"""),"+6.12")</f>
        <v>+6.12</v>
      </c>
      <c r="U23" s="1">
        <f ca="1">IFERROR(__xludf.DUMMYFUNCTION("""COMPUTED_VALUE"""),25)</f>
        <v>25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IFERROR(__xludf.DUMMYFUNCTION("""COMPUTED_VALUE"""),"Maryland5")</f>
        <v>Maryland5</v>
      </c>
      <c r="C24" s="1" t="str">
        <f ca="1">IFERROR(__xludf.DUMMYFUNCTION("""COMPUTED_VALUE"""),"B10")</f>
        <v>B10</v>
      </c>
      <c r="D24" s="1" t="str">
        <f ca="1">IFERROR(__xludf.DUMMYFUNCTION("""COMPUTED_VALUE"""),"27-9")</f>
        <v>27-9</v>
      </c>
      <c r="E24" s="1" t="str">
        <f ca="1">IFERROR(__xludf.DUMMYFUNCTION("""COMPUTED_VALUE"""),"+20.25")</f>
        <v>+20.25</v>
      </c>
      <c r="F24" s="1">
        <f ca="1">IFERROR(__xludf.DUMMYFUNCTION("""COMPUTED_VALUE"""),116.2)</f>
        <v>116.2</v>
      </c>
      <c r="G24" s="1">
        <f ca="1">IFERROR(__xludf.DUMMYFUNCTION("""COMPUTED_VALUE"""),24)</f>
        <v>24</v>
      </c>
      <c r="H24" s="1">
        <f ca="1">IFERROR(__xludf.DUMMYFUNCTION("""COMPUTED_VALUE"""),95.9)</f>
        <v>95.9</v>
      </c>
      <c r="I24" s="1">
        <f ca="1">IFERROR(__xludf.DUMMYFUNCTION("""COMPUTED_VALUE"""),32)</f>
        <v>32</v>
      </c>
      <c r="J24" s="1">
        <f ca="1">IFERROR(__xludf.DUMMYFUNCTION("""COMPUTED_VALUE"""),67.4)</f>
        <v>67.400000000000006</v>
      </c>
      <c r="K24" s="1">
        <f ca="1">IFERROR(__xludf.DUMMYFUNCTION("""COMPUTED_VALUE"""),213)</f>
        <v>213</v>
      </c>
      <c r="L24" s="1" t="str">
        <f ca="1">IFERROR(__xludf.DUMMYFUNCTION("""COMPUTED_VALUE"""),"+.016")</f>
        <v>+.016</v>
      </c>
      <c r="M24" s="1">
        <f ca="1">IFERROR(__xludf.DUMMYFUNCTION("""COMPUTED_VALUE"""),129)</f>
        <v>129</v>
      </c>
      <c r="N24" s="1" t="str">
        <f ca="1">IFERROR(__xludf.DUMMYFUNCTION("""COMPUTED_VALUE"""),"+8.60")</f>
        <v>+8.60</v>
      </c>
      <c r="O24" s="1">
        <f ca="1">IFERROR(__xludf.DUMMYFUNCTION("""COMPUTED_VALUE"""),39)</f>
        <v>39</v>
      </c>
      <c r="P24" s="1">
        <f ca="1">IFERROR(__xludf.DUMMYFUNCTION("""COMPUTED_VALUE"""),109.2)</f>
        <v>109.2</v>
      </c>
      <c r="Q24" s="1">
        <f ca="1">IFERROR(__xludf.DUMMYFUNCTION("""COMPUTED_VALUE"""),45)</f>
        <v>45</v>
      </c>
      <c r="R24" s="1">
        <f ca="1">IFERROR(__xludf.DUMMYFUNCTION("""COMPUTED_VALUE"""),100.6)</f>
        <v>100.6</v>
      </c>
      <c r="S24" s="1">
        <f ca="1">IFERROR(__xludf.DUMMYFUNCTION("""COMPUTED_VALUE"""),30)</f>
        <v>30</v>
      </c>
      <c r="T24" s="1">
        <f ca="1">IFERROR(__xludf.DUMMYFUNCTION("""COMPUTED_VALUE"""),-1.86)</f>
        <v>-1.86</v>
      </c>
      <c r="U24" s="1">
        <f ca="1">IFERROR(__xludf.DUMMYFUNCTION("""COMPUTED_VALUE"""),218)</f>
        <v>218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IFERROR(__xludf.DUMMYFUNCTION("""COMPUTED_VALUE"""),"Iowa7")</f>
        <v>Iowa7</v>
      </c>
      <c r="C25" s="1" t="str">
        <f ca="1">IFERROR(__xludf.DUMMYFUNCTION("""COMPUTED_VALUE"""),"B10")</f>
        <v>B10</v>
      </c>
      <c r="D25" s="1" t="str">
        <f ca="1">IFERROR(__xludf.DUMMYFUNCTION("""COMPUTED_VALUE"""),"22-11")</f>
        <v>22-11</v>
      </c>
      <c r="E25" s="1" t="str">
        <f ca="1">IFERROR(__xludf.DUMMYFUNCTION("""COMPUTED_VALUE"""),"+20.24")</f>
        <v>+20.24</v>
      </c>
      <c r="F25" s="1">
        <f ca="1">IFERROR(__xludf.DUMMYFUNCTION("""COMPUTED_VALUE"""),116.1)</f>
        <v>116.1</v>
      </c>
      <c r="G25" s="1">
        <f ca="1">IFERROR(__xludf.DUMMYFUNCTION("""COMPUTED_VALUE"""),25)</f>
        <v>25</v>
      </c>
      <c r="H25" s="1">
        <f ca="1">IFERROR(__xludf.DUMMYFUNCTION("""COMPUTED_VALUE"""),95.9)</f>
        <v>95.9</v>
      </c>
      <c r="I25" s="1">
        <f ca="1">IFERROR(__xludf.DUMMYFUNCTION("""COMPUTED_VALUE"""),30)</f>
        <v>30</v>
      </c>
      <c r="J25" s="1">
        <f ca="1">IFERROR(__xludf.DUMMYFUNCTION("""COMPUTED_VALUE"""),68.8)</f>
        <v>68.8</v>
      </c>
      <c r="K25" s="1">
        <f ca="1">IFERROR(__xludf.DUMMYFUNCTION("""COMPUTED_VALUE"""),131)</f>
        <v>131</v>
      </c>
      <c r="L25" s="1">
        <f ca="1">IFERROR(__xludf.DUMMYFUNCTION("""COMPUTED_VALUE"""),-0.071)</f>
        <v>-7.0999999999999994E-2</v>
      </c>
      <c r="M25" s="1">
        <f ca="1">IFERROR(__xludf.DUMMYFUNCTION("""COMPUTED_VALUE"""),327)</f>
        <v>327</v>
      </c>
      <c r="N25" s="1" t="str">
        <f ca="1">IFERROR(__xludf.DUMMYFUNCTION("""COMPUTED_VALUE"""),"+9.12")</f>
        <v>+9.12</v>
      </c>
      <c r="O25" s="1">
        <f ca="1">IFERROR(__xludf.DUMMYFUNCTION("""COMPUTED_VALUE"""),30)</f>
        <v>30</v>
      </c>
      <c r="P25" s="1">
        <f ca="1">IFERROR(__xludf.DUMMYFUNCTION("""COMPUTED_VALUE"""),110.2)</f>
        <v>110.2</v>
      </c>
      <c r="Q25" s="1">
        <f ca="1">IFERROR(__xludf.DUMMYFUNCTION("""COMPUTED_VALUE"""),26)</f>
        <v>26</v>
      </c>
      <c r="R25" s="1">
        <f ca="1">IFERROR(__xludf.DUMMYFUNCTION("""COMPUTED_VALUE"""),101.1)</f>
        <v>101.1</v>
      </c>
      <c r="S25" s="1">
        <f ca="1">IFERROR(__xludf.DUMMYFUNCTION("""COMPUTED_VALUE"""),49)</f>
        <v>49</v>
      </c>
      <c r="T25" s="1" t="str">
        <f ca="1">IFERROR(__xludf.DUMMYFUNCTION("""COMPUTED_VALUE"""),"+1.28")</f>
        <v>+1.28</v>
      </c>
      <c r="U25" s="1">
        <f ca="1">IFERROR(__xludf.DUMMYFUNCTION("""COMPUTED_VALUE"""),132)</f>
        <v>132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IFERROR(__xludf.DUMMYFUNCTION("""COMPUTED_VALUE"""),"Baylor5")</f>
        <v>Baylor5</v>
      </c>
      <c r="C26" s="1" t="str">
        <f ca="1">IFERROR(__xludf.DUMMYFUNCTION("""COMPUTED_VALUE"""),"B12")</f>
        <v>B12</v>
      </c>
      <c r="D26" s="1" t="str">
        <f ca="1">IFERROR(__xludf.DUMMYFUNCTION("""COMPUTED_VALUE"""),"22-12")</f>
        <v>22-12</v>
      </c>
      <c r="E26" s="1" t="str">
        <f ca="1">IFERROR(__xludf.DUMMYFUNCTION("""COMPUTED_VALUE"""),"+19.06")</f>
        <v>+19.06</v>
      </c>
      <c r="F26" s="1">
        <f ca="1">IFERROR(__xludf.DUMMYFUNCTION("""COMPUTED_VALUE"""),118.9)</f>
        <v>118.9</v>
      </c>
      <c r="G26" s="1">
        <f ca="1">IFERROR(__xludf.DUMMYFUNCTION("""COMPUTED_VALUE"""),14)</f>
        <v>14</v>
      </c>
      <c r="H26" s="1">
        <f ca="1">IFERROR(__xludf.DUMMYFUNCTION("""COMPUTED_VALUE"""),99.8)</f>
        <v>99.8</v>
      </c>
      <c r="I26" s="1">
        <f ca="1">IFERROR(__xludf.DUMMYFUNCTION("""COMPUTED_VALUE"""),84)</f>
        <v>84</v>
      </c>
      <c r="J26" s="1">
        <f ca="1">IFERROR(__xludf.DUMMYFUNCTION("""COMPUTED_VALUE"""),66.6)</f>
        <v>66.599999999999994</v>
      </c>
      <c r="K26" s="1">
        <f ca="1">IFERROR(__xludf.DUMMYFUNCTION("""COMPUTED_VALUE"""),252)</f>
        <v>252</v>
      </c>
      <c r="L26" s="1">
        <f ca="1">IFERROR(__xludf.DUMMYFUNCTION("""COMPUTED_VALUE"""),-0.012)</f>
        <v>-1.2E-2</v>
      </c>
      <c r="M26" s="1">
        <f ca="1">IFERROR(__xludf.DUMMYFUNCTION("""COMPUTED_VALUE"""),211)</f>
        <v>211</v>
      </c>
      <c r="N26" s="1" t="str">
        <f ca="1">IFERROR(__xludf.DUMMYFUNCTION("""COMPUTED_VALUE"""),"+11.21")</f>
        <v>+11.21</v>
      </c>
      <c r="O26" s="1">
        <f ca="1">IFERROR(__xludf.DUMMYFUNCTION("""COMPUTED_VALUE"""),11)</f>
        <v>11</v>
      </c>
      <c r="P26" s="1">
        <f ca="1">IFERROR(__xludf.DUMMYFUNCTION("""COMPUTED_VALUE"""),109.7)</f>
        <v>109.7</v>
      </c>
      <c r="Q26" s="1">
        <f ca="1">IFERROR(__xludf.DUMMYFUNCTION("""COMPUTED_VALUE"""),34)</f>
        <v>34</v>
      </c>
      <c r="R26" s="1">
        <f ca="1">IFERROR(__xludf.DUMMYFUNCTION("""COMPUTED_VALUE"""),98.4)</f>
        <v>98.4</v>
      </c>
      <c r="S26" s="1">
        <f ca="1">IFERROR(__xludf.DUMMYFUNCTION("""COMPUTED_VALUE"""),2)</f>
        <v>2</v>
      </c>
      <c r="T26" s="1">
        <f ca="1">IFERROR(__xludf.DUMMYFUNCTION("""COMPUTED_VALUE"""),-3.12)</f>
        <v>-3.12</v>
      </c>
      <c r="U26" s="1">
        <f ca="1">IFERROR(__xludf.DUMMYFUNCTION("""COMPUTED_VALUE"""),257)</f>
        <v>257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IFERROR(__xludf.DUMMYFUNCTION("""COMPUTED_VALUE"""),"Vanderbilt11")</f>
        <v>Vanderbilt11</v>
      </c>
      <c r="C27" s="1" t="str">
        <f ca="1">IFERROR(__xludf.DUMMYFUNCTION("""COMPUTED_VALUE"""),"SEC")</f>
        <v>SEC</v>
      </c>
      <c r="D27" s="1" t="str">
        <f ca="1">IFERROR(__xludf.DUMMYFUNCTION("""COMPUTED_VALUE"""),"19-14")</f>
        <v>19-14</v>
      </c>
      <c r="E27" s="1" t="str">
        <f ca="1">IFERROR(__xludf.DUMMYFUNCTION("""COMPUTED_VALUE"""),"+18.76")</f>
        <v>+18.76</v>
      </c>
      <c r="F27" s="1">
        <f ca="1">IFERROR(__xludf.DUMMYFUNCTION("""COMPUTED_VALUE"""),113.6)</f>
        <v>113.6</v>
      </c>
      <c r="G27" s="1">
        <f ca="1">IFERROR(__xludf.DUMMYFUNCTION("""COMPUTED_VALUE"""),40)</f>
        <v>40</v>
      </c>
      <c r="H27" s="1">
        <f ca="1">IFERROR(__xludf.DUMMYFUNCTION("""COMPUTED_VALUE"""),94.9)</f>
        <v>94.9</v>
      </c>
      <c r="I27" s="1">
        <f ca="1">IFERROR(__xludf.DUMMYFUNCTION("""COMPUTED_VALUE"""),23)</f>
        <v>23</v>
      </c>
      <c r="J27" s="1">
        <f ca="1">IFERROR(__xludf.DUMMYFUNCTION("""COMPUTED_VALUE"""),67.8)</f>
        <v>67.8</v>
      </c>
      <c r="K27" s="1">
        <f ca="1">IFERROR(__xludf.DUMMYFUNCTION("""COMPUTED_VALUE"""),184)</f>
        <v>184</v>
      </c>
      <c r="L27" s="1">
        <f ca="1">IFERROR(__xludf.DUMMYFUNCTION("""COMPUTED_VALUE"""),-0.106)</f>
        <v>-0.106</v>
      </c>
      <c r="M27" s="1">
        <f ca="1">IFERROR(__xludf.DUMMYFUNCTION("""COMPUTED_VALUE"""),346)</f>
        <v>346</v>
      </c>
      <c r="N27" s="1" t="str">
        <f ca="1">IFERROR(__xludf.DUMMYFUNCTION("""COMPUTED_VALUE"""),"+8.60")</f>
        <v>+8.60</v>
      </c>
      <c r="O27" s="1">
        <f ca="1">IFERROR(__xludf.DUMMYFUNCTION("""COMPUTED_VALUE"""),40)</f>
        <v>40</v>
      </c>
      <c r="P27" s="1">
        <f ca="1">IFERROR(__xludf.DUMMYFUNCTION("""COMPUTED_VALUE"""),109.2)</f>
        <v>109.2</v>
      </c>
      <c r="Q27" s="1">
        <f ca="1">IFERROR(__xludf.DUMMYFUNCTION("""COMPUTED_VALUE"""),44)</f>
        <v>44</v>
      </c>
      <c r="R27" s="1">
        <f ca="1">IFERROR(__xludf.DUMMYFUNCTION("""COMPUTED_VALUE"""),100.6)</f>
        <v>100.6</v>
      </c>
      <c r="S27" s="1">
        <f ca="1">IFERROR(__xludf.DUMMYFUNCTION("""COMPUTED_VALUE"""),31)</f>
        <v>31</v>
      </c>
      <c r="T27" s="1" t="str">
        <f ca="1">IFERROR(__xludf.DUMMYFUNCTION("""COMPUTED_VALUE"""),"+3.68")</f>
        <v>+3.68</v>
      </c>
      <c r="U27" s="1">
        <f ca="1">IFERROR(__xludf.DUMMYFUNCTION("""COMPUTED_VALUE"""),65)</f>
        <v>65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IFERROR(__xludf.DUMMYFUNCTION("""COMPUTED_VALUE"""),"Connecticut9")</f>
        <v>Connecticut9</v>
      </c>
      <c r="C28" s="1" t="str">
        <f ca="1">IFERROR(__xludf.DUMMYFUNCTION("""COMPUTED_VALUE"""),"Amer")</f>
        <v>Amer</v>
      </c>
      <c r="D28" s="1" t="str">
        <f ca="1">IFERROR(__xludf.DUMMYFUNCTION("""COMPUTED_VALUE"""),"25-11")</f>
        <v>25-11</v>
      </c>
      <c r="E28" s="1" t="str">
        <f ca="1">IFERROR(__xludf.DUMMYFUNCTION("""COMPUTED_VALUE"""),"+18.71")</f>
        <v>+18.71</v>
      </c>
      <c r="F28" s="1">
        <f ca="1">IFERROR(__xludf.DUMMYFUNCTION("""COMPUTED_VALUE"""),111.9)</f>
        <v>111.9</v>
      </c>
      <c r="G28" s="1">
        <f ca="1">IFERROR(__xludf.DUMMYFUNCTION("""COMPUTED_VALUE"""),59)</f>
        <v>59</v>
      </c>
      <c r="H28" s="1">
        <f ca="1">IFERROR(__xludf.DUMMYFUNCTION("""COMPUTED_VALUE"""),93.2)</f>
        <v>93.2</v>
      </c>
      <c r="I28" s="1">
        <f ca="1">IFERROR(__xludf.DUMMYFUNCTION("""COMPUTED_VALUE"""),12)</f>
        <v>12</v>
      </c>
      <c r="J28" s="1">
        <f ca="1">IFERROR(__xludf.DUMMYFUNCTION("""COMPUTED_VALUE"""),65.9)</f>
        <v>65.900000000000006</v>
      </c>
      <c r="K28" s="1">
        <f ca="1">IFERROR(__xludf.DUMMYFUNCTION("""COMPUTED_VALUE"""),277)</f>
        <v>277</v>
      </c>
      <c r="L28" s="1">
        <f ca="1">IFERROR(__xludf.DUMMYFUNCTION("""COMPUTED_VALUE"""),-0.036)</f>
        <v>-3.5999999999999997E-2</v>
      </c>
      <c r="M28" s="1">
        <f ca="1">IFERROR(__xludf.DUMMYFUNCTION("""COMPUTED_VALUE"""),270)</f>
        <v>270</v>
      </c>
      <c r="N28" s="1" t="str">
        <f ca="1">IFERROR(__xludf.DUMMYFUNCTION("""COMPUTED_VALUE"""),"+6.17")</f>
        <v>+6.17</v>
      </c>
      <c r="O28" s="1">
        <f ca="1">IFERROR(__xludf.DUMMYFUNCTION("""COMPUTED_VALUE"""),71)</f>
        <v>71</v>
      </c>
      <c r="P28" s="1">
        <f ca="1">IFERROR(__xludf.DUMMYFUNCTION("""COMPUTED_VALUE"""),107.6)</f>
        <v>107.6</v>
      </c>
      <c r="Q28" s="1">
        <f ca="1">IFERROR(__xludf.DUMMYFUNCTION("""COMPUTED_VALUE"""),72)</f>
        <v>72</v>
      </c>
      <c r="R28" s="1">
        <f ca="1">IFERROR(__xludf.DUMMYFUNCTION("""COMPUTED_VALUE"""),101.4)</f>
        <v>101.4</v>
      </c>
      <c r="S28" s="1">
        <f ca="1">IFERROR(__xludf.DUMMYFUNCTION("""COMPUTED_VALUE"""),56)</f>
        <v>56</v>
      </c>
      <c r="T28" s="1">
        <f ca="1">IFERROR(__xludf.DUMMYFUNCTION("""COMPUTED_VALUE"""),-0.91)</f>
        <v>-0.91</v>
      </c>
      <c r="U28" s="1">
        <f ca="1">IFERROR(__xludf.DUMMYFUNCTION("""COMPUTED_VALUE"""),187)</f>
        <v>187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IFERROR(__xludf.DUMMYFUNCTION("""COMPUTED_VALUE"""),"Syracuse10")</f>
        <v>Syracuse10</v>
      </c>
      <c r="C29" s="1" t="str">
        <f ca="1">IFERROR(__xludf.DUMMYFUNCTION("""COMPUTED_VALUE"""),"ACC")</f>
        <v>ACC</v>
      </c>
      <c r="D29" s="1" t="str">
        <f ca="1">IFERROR(__xludf.DUMMYFUNCTION("""COMPUTED_VALUE"""),"23-14")</f>
        <v>23-14</v>
      </c>
      <c r="E29" s="1" t="str">
        <f ca="1">IFERROR(__xludf.DUMMYFUNCTION("""COMPUTED_VALUE"""),"+18.57")</f>
        <v>+18.57</v>
      </c>
      <c r="F29" s="1">
        <f ca="1">IFERROR(__xludf.DUMMYFUNCTION("""COMPUTED_VALUE"""),112.7)</f>
        <v>112.7</v>
      </c>
      <c r="G29" s="1">
        <f ca="1">IFERROR(__xludf.DUMMYFUNCTION("""COMPUTED_VALUE"""),50)</f>
        <v>50</v>
      </c>
      <c r="H29" s="1">
        <f ca="1">IFERROR(__xludf.DUMMYFUNCTION("""COMPUTED_VALUE"""),94.1)</f>
        <v>94.1</v>
      </c>
      <c r="I29" s="1">
        <f ca="1">IFERROR(__xludf.DUMMYFUNCTION("""COMPUTED_VALUE"""),18)</f>
        <v>18</v>
      </c>
      <c r="J29" s="1">
        <f ca="1">IFERROR(__xludf.DUMMYFUNCTION("""COMPUTED_VALUE"""),65)</f>
        <v>65</v>
      </c>
      <c r="K29" s="1">
        <f ca="1">IFERROR(__xludf.DUMMYFUNCTION("""COMPUTED_VALUE"""),314)</f>
        <v>314</v>
      </c>
      <c r="L29" s="1">
        <f ca="1">IFERROR(__xludf.DUMMYFUNCTION("""COMPUTED_VALUE"""),-0.027)</f>
        <v>-2.7E-2</v>
      </c>
      <c r="M29" s="1">
        <f ca="1">IFERROR(__xludf.DUMMYFUNCTION("""COMPUTED_VALUE"""),249)</f>
        <v>249</v>
      </c>
      <c r="N29" s="1" t="str">
        <f ca="1">IFERROR(__xludf.DUMMYFUNCTION("""COMPUTED_VALUE"""),"+10.21")</f>
        <v>+10.21</v>
      </c>
      <c r="O29" s="1">
        <f ca="1">IFERROR(__xludf.DUMMYFUNCTION("""COMPUTED_VALUE"""),18)</f>
        <v>18</v>
      </c>
      <c r="P29" s="1">
        <f ca="1">IFERROR(__xludf.DUMMYFUNCTION("""COMPUTED_VALUE"""),110.9)</f>
        <v>110.9</v>
      </c>
      <c r="Q29" s="1">
        <f ca="1">IFERROR(__xludf.DUMMYFUNCTION("""COMPUTED_VALUE"""),12)</f>
        <v>12</v>
      </c>
      <c r="R29" s="1">
        <f ca="1">IFERROR(__xludf.DUMMYFUNCTION("""COMPUTED_VALUE"""),100.7)</f>
        <v>100.7</v>
      </c>
      <c r="S29" s="1">
        <f ca="1">IFERROR(__xludf.DUMMYFUNCTION("""COMPUTED_VALUE"""),33)</f>
        <v>33</v>
      </c>
      <c r="T29" s="1">
        <f ca="1">IFERROR(__xludf.DUMMYFUNCTION("""COMPUTED_VALUE"""),-0.82)</f>
        <v>-0.82</v>
      </c>
      <c r="U29" s="1">
        <f ca="1">IFERROR(__xludf.DUMMYFUNCTION("""COMPUTED_VALUE"""),180)</f>
        <v>180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IFERROR(__xludf.DUMMYFUNCTION("""COMPUTED_VALUE"""),"California4")</f>
        <v>California4</v>
      </c>
      <c r="C30" s="1" t="str">
        <f ca="1">IFERROR(__xludf.DUMMYFUNCTION("""COMPUTED_VALUE"""),"P12")</f>
        <v>P12</v>
      </c>
      <c r="D30" s="1" t="str">
        <f ca="1">IFERROR(__xludf.DUMMYFUNCTION("""COMPUTED_VALUE"""),"23-11")</f>
        <v>23-11</v>
      </c>
      <c r="E30" s="1" t="str">
        <f ca="1">IFERROR(__xludf.DUMMYFUNCTION("""COMPUTED_VALUE"""),"+18.32")</f>
        <v>+18.32</v>
      </c>
      <c r="F30" s="1">
        <f ca="1">IFERROR(__xludf.DUMMYFUNCTION("""COMPUTED_VALUE"""),112.5)</f>
        <v>112.5</v>
      </c>
      <c r="G30" s="1">
        <f ca="1">IFERROR(__xludf.DUMMYFUNCTION("""COMPUTED_VALUE"""),53)</f>
        <v>53</v>
      </c>
      <c r="H30" s="1">
        <f ca="1">IFERROR(__xludf.DUMMYFUNCTION("""COMPUTED_VALUE"""),94.2)</f>
        <v>94.2</v>
      </c>
      <c r="I30" s="1">
        <f ca="1">IFERROR(__xludf.DUMMYFUNCTION("""COMPUTED_VALUE"""),19)</f>
        <v>19</v>
      </c>
      <c r="J30" s="1">
        <f ca="1">IFERROR(__xludf.DUMMYFUNCTION("""COMPUTED_VALUE"""),68.1)</f>
        <v>68.099999999999994</v>
      </c>
      <c r="K30" s="1">
        <f ca="1">IFERROR(__xludf.DUMMYFUNCTION("""COMPUTED_VALUE"""),162)</f>
        <v>162</v>
      </c>
      <c r="L30" s="1">
        <f ca="1">IFERROR(__xludf.DUMMYFUNCTION("""COMPUTED_VALUE"""),-0.053)</f>
        <v>-5.2999999999999999E-2</v>
      </c>
      <c r="M30" s="1">
        <f ca="1">IFERROR(__xludf.DUMMYFUNCTION("""COMPUTED_VALUE"""),300)</f>
        <v>300</v>
      </c>
      <c r="N30" s="1" t="str">
        <f ca="1">IFERROR(__xludf.DUMMYFUNCTION("""COMPUTED_VALUE"""),"+7.65")</f>
        <v>+7.65</v>
      </c>
      <c r="O30" s="1">
        <f ca="1">IFERROR(__xludf.DUMMYFUNCTION("""COMPUTED_VALUE"""),52)</f>
        <v>52</v>
      </c>
      <c r="P30" s="1">
        <f ca="1">IFERROR(__xludf.DUMMYFUNCTION("""COMPUTED_VALUE"""),109.4)</f>
        <v>109.4</v>
      </c>
      <c r="Q30" s="1">
        <f ca="1">IFERROR(__xludf.DUMMYFUNCTION("""COMPUTED_VALUE"""),40)</f>
        <v>40</v>
      </c>
      <c r="R30" s="1">
        <f ca="1">IFERROR(__xludf.DUMMYFUNCTION("""COMPUTED_VALUE"""),101.8)</f>
        <v>101.8</v>
      </c>
      <c r="S30" s="1">
        <f ca="1">IFERROR(__xludf.DUMMYFUNCTION("""COMPUTED_VALUE"""),70)</f>
        <v>70</v>
      </c>
      <c r="T30" s="1">
        <f ca="1">IFERROR(__xludf.DUMMYFUNCTION("""COMPUTED_VALUE"""),-2.58)</f>
        <v>-2.58</v>
      </c>
      <c r="U30" s="1">
        <f ca="1">IFERROR(__xludf.DUMMYFUNCTION("""COMPUTED_VALUE"""),234)</f>
        <v>234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IFERROR(__xludf.DUMMYFUNCTION("""COMPUTED_VALUE"""),"Seton Hall6")</f>
        <v>Seton Hall6</v>
      </c>
      <c r="C31" s="1" t="str">
        <f ca="1">IFERROR(__xludf.DUMMYFUNCTION("""COMPUTED_VALUE"""),"BE")</f>
        <v>BE</v>
      </c>
      <c r="D31" s="1" t="str">
        <f ca="1">IFERROR(__xludf.DUMMYFUNCTION("""COMPUTED_VALUE"""),"25-9")</f>
        <v>25-9</v>
      </c>
      <c r="E31" s="1" t="str">
        <f ca="1">IFERROR(__xludf.DUMMYFUNCTION("""COMPUTED_VALUE"""),"+18.27")</f>
        <v>+18.27</v>
      </c>
      <c r="F31" s="1">
        <f ca="1">IFERROR(__xludf.DUMMYFUNCTION("""COMPUTED_VALUE"""),111.1)</f>
        <v>111.1</v>
      </c>
      <c r="G31" s="1">
        <f ca="1">IFERROR(__xludf.DUMMYFUNCTION("""COMPUTED_VALUE"""),72)</f>
        <v>72</v>
      </c>
      <c r="H31" s="1">
        <f ca="1">IFERROR(__xludf.DUMMYFUNCTION("""COMPUTED_VALUE"""),92.9)</f>
        <v>92.9</v>
      </c>
      <c r="I31" s="1">
        <f ca="1">IFERROR(__xludf.DUMMYFUNCTION("""COMPUTED_VALUE"""),10)</f>
        <v>10</v>
      </c>
      <c r="J31" s="1">
        <f ca="1">IFERROR(__xludf.DUMMYFUNCTION("""COMPUTED_VALUE"""),69.7)</f>
        <v>69.7</v>
      </c>
      <c r="K31" s="1">
        <f ca="1">IFERROR(__xludf.DUMMYFUNCTION("""COMPUTED_VALUE"""),92)</f>
        <v>92</v>
      </c>
      <c r="L31" s="1" t="str">
        <f ca="1">IFERROR(__xludf.DUMMYFUNCTION("""COMPUTED_VALUE"""),"+.016")</f>
        <v>+.016</v>
      </c>
      <c r="M31" s="1">
        <f ca="1">IFERROR(__xludf.DUMMYFUNCTION("""COMPUTED_VALUE"""),132)</f>
        <v>132</v>
      </c>
      <c r="N31" s="1" t="str">
        <f ca="1">IFERROR(__xludf.DUMMYFUNCTION("""COMPUTED_VALUE"""),"+8.55")</f>
        <v>+8.55</v>
      </c>
      <c r="O31" s="1">
        <f ca="1">IFERROR(__xludf.DUMMYFUNCTION("""COMPUTED_VALUE"""),41)</f>
        <v>41</v>
      </c>
      <c r="P31" s="1">
        <f ca="1">IFERROR(__xludf.DUMMYFUNCTION("""COMPUTED_VALUE"""),108.5)</f>
        <v>108.5</v>
      </c>
      <c r="Q31" s="1">
        <f ca="1">IFERROR(__xludf.DUMMYFUNCTION("""COMPUTED_VALUE"""),61)</f>
        <v>61</v>
      </c>
      <c r="R31" s="1">
        <f ca="1">IFERROR(__xludf.DUMMYFUNCTION("""COMPUTED_VALUE"""),100)</f>
        <v>100</v>
      </c>
      <c r="S31" s="1">
        <f ca="1">IFERROR(__xludf.DUMMYFUNCTION("""COMPUTED_VALUE"""),14)</f>
        <v>14</v>
      </c>
      <c r="T31" s="1">
        <f ca="1">IFERROR(__xludf.DUMMYFUNCTION("""COMPUTED_VALUE"""),-2.92)</f>
        <v>-2.92</v>
      </c>
      <c r="U31" s="1">
        <f ca="1">IFERROR(__xludf.DUMMYFUNCTION("""COMPUTED_VALUE"""),247)</f>
        <v>247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IFERROR(__xludf.DUMMYFUNCTION("""COMPUTED_VALUE"""),"Butler9")</f>
        <v>Butler9</v>
      </c>
      <c r="C32" s="1" t="str">
        <f ca="1">IFERROR(__xludf.DUMMYFUNCTION("""COMPUTED_VALUE"""),"BE")</f>
        <v>BE</v>
      </c>
      <c r="D32" s="1" t="str">
        <f ca="1">IFERROR(__xludf.DUMMYFUNCTION("""COMPUTED_VALUE"""),"22-11")</f>
        <v>22-11</v>
      </c>
      <c r="E32" s="1" t="str">
        <f ca="1">IFERROR(__xludf.DUMMYFUNCTION("""COMPUTED_VALUE"""),"+17.27")</f>
        <v>+17.27</v>
      </c>
      <c r="F32" s="1">
        <f ca="1">IFERROR(__xludf.DUMMYFUNCTION("""COMPUTED_VALUE"""),118)</f>
        <v>118</v>
      </c>
      <c r="G32" s="1">
        <f ca="1">IFERROR(__xludf.DUMMYFUNCTION("""COMPUTED_VALUE"""),15)</f>
        <v>15</v>
      </c>
      <c r="H32" s="1">
        <f ca="1">IFERROR(__xludf.DUMMYFUNCTION("""COMPUTED_VALUE"""),100.7)</f>
        <v>100.7</v>
      </c>
      <c r="I32" s="1">
        <f ca="1">IFERROR(__xludf.DUMMYFUNCTION("""COMPUTED_VALUE"""),97)</f>
        <v>97</v>
      </c>
      <c r="J32" s="1">
        <f ca="1">IFERROR(__xludf.DUMMYFUNCTION("""COMPUTED_VALUE"""),67.9)</f>
        <v>67.900000000000006</v>
      </c>
      <c r="K32" s="1">
        <f ca="1">IFERROR(__xludf.DUMMYFUNCTION("""COMPUTED_VALUE"""),178)</f>
        <v>178</v>
      </c>
      <c r="L32" s="1">
        <f ca="1">IFERROR(__xludf.DUMMYFUNCTION("""COMPUTED_VALUE"""),-0.009)</f>
        <v>-8.9999999999999993E-3</v>
      </c>
      <c r="M32" s="1">
        <f ca="1">IFERROR(__xludf.DUMMYFUNCTION("""COMPUTED_VALUE"""),201)</f>
        <v>201</v>
      </c>
      <c r="N32" s="1" t="str">
        <f ca="1">IFERROR(__xludf.DUMMYFUNCTION("""COMPUTED_VALUE"""),"+8.10")</f>
        <v>+8.10</v>
      </c>
      <c r="O32" s="1">
        <f ca="1">IFERROR(__xludf.DUMMYFUNCTION("""COMPUTED_VALUE"""),47)</f>
        <v>47</v>
      </c>
      <c r="P32" s="1">
        <f ca="1">IFERROR(__xludf.DUMMYFUNCTION("""COMPUTED_VALUE"""),108.5)</f>
        <v>108.5</v>
      </c>
      <c r="Q32" s="1">
        <f ca="1">IFERROR(__xludf.DUMMYFUNCTION("""COMPUTED_VALUE"""),62)</f>
        <v>62</v>
      </c>
      <c r="R32" s="1">
        <f ca="1">IFERROR(__xludf.DUMMYFUNCTION("""COMPUTED_VALUE"""),100.4)</f>
        <v>100.4</v>
      </c>
      <c r="S32" s="1">
        <f ca="1">IFERROR(__xludf.DUMMYFUNCTION("""COMPUTED_VALUE"""),25)</f>
        <v>25</v>
      </c>
      <c r="T32" s="1">
        <f ca="1">IFERROR(__xludf.DUMMYFUNCTION("""COMPUTED_VALUE"""),-4.1)</f>
        <v>-4.0999999999999996</v>
      </c>
      <c r="U32" s="1">
        <f ca="1">IFERROR(__xludf.DUMMYFUNCTION("""COMPUTED_VALUE"""),282)</f>
        <v>282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IFERROR(__xludf.DUMMYFUNCTION("""COMPUTED_VALUE"""),"VCU10")</f>
        <v>VCU10</v>
      </c>
      <c r="C33" s="1" t="str">
        <f ca="1">IFERROR(__xludf.DUMMYFUNCTION("""COMPUTED_VALUE"""),"A10")</f>
        <v>A10</v>
      </c>
      <c r="D33" s="1" t="str">
        <f ca="1">IFERROR(__xludf.DUMMYFUNCTION("""COMPUTED_VALUE"""),"25-11")</f>
        <v>25-11</v>
      </c>
      <c r="E33" s="1" t="str">
        <f ca="1">IFERROR(__xludf.DUMMYFUNCTION("""COMPUTED_VALUE"""),"+17.07")</f>
        <v>+17.07</v>
      </c>
      <c r="F33" s="1">
        <f ca="1">IFERROR(__xludf.DUMMYFUNCTION("""COMPUTED_VALUE"""),112.1)</f>
        <v>112.1</v>
      </c>
      <c r="G33" s="1">
        <f ca="1">IFERROR(__xludf.DUMMYFUNCTION("""COMPUTED_VALUE"""),58)</f>
        <v>58</v>
      </c>
      <c r="H33" s="1">
        <f ca="1">IFERROR(__xludf.DUMMYFUNCTION("""COMPUTED_VALUE"""),95)</f>
        <v>95</v>
      </c>
      <c r="I33" s="1">
        <f ca="1">IFERROR(__xludf.DUMMYFUNCTION("""COMPUTED_VALUE"""),24)</f>
        <v>24</v>
      </c>
      <c r="J33" s="1">
        <f ca="1">IFERROR(__xludf.DUMMYFUNCTION("""COMPUTED_VALUE"""),69.6)</f>
        <v>69.599999999999994</v>
      </c>
      <c r="K33" s="1">
        <f ca="1">IFERROR(__xludf.DUMMYFUNCTION("""COMPUTED_VALUE"""),96)</f>
        <v>96</v>
      </c>
      <c r="L33" s="1">
        <f ca="1">IFERROR(__xludf.DUMMYFUNCTION("""COMPUTED_VALUE"""),-0.07)</f>
        <v>-7.0000000000000007E-2</v>
      </c>
      <c r="M33" s="1">
        <f ca="1">IFERROR(__xludf.DUMMYFUNCTION("""COMPUTED_VALUE"""),326)</f>
        <v>326</v>
      </c>
      <c r="N33" s="1" t="str">
        <f ca="1">IFERROR(__xludf.DUMMYFUNCTION("""COMPUTED_VALUE"""),"+3.82")</f>
        <v>+3.82</v>
      </c>
      <c r="O33" s="1">
        <f ca="1">IFERROR(__xludf.DUMMYFUNCTION("""COMPUTED_VALUE"""),87)</f>
        <v>87</v>
      </c>
      <c r="P33" s="1">
        <f ca="1">IFERROR(__xludf.DUMMYFUNCTION("""COMPUTED_VALUE"""),107.3)</f>
        <v>107.3</v>
      </c>
      <c r="Q33" s="1">
        <f ca="1">IFERROR(__xludf.DUMMYFUNCTION("""COMPUTED_VALUE"""),76)</f>
        <v>76</v>
      </c>
      <c r="R33" s="1">
        <f ca="1">IFERROR(__xludf.DUMMYFUNCTION("""COMPUTED_VALUE"""),103.5)</f>
        <v>103.5</v>
      </c>
      <c r="S33" s="1">
        <f ca="1">IFERROR(__xludf.DUMMYFUNCTION("""COMPUTED_VALUE"""),111)</f>
        <v>111</v>
      </c>
      <c r="T33" s="1" t="str">
        <f ca="1">IFERROR(__xludf.DUMMYFUNCTION("""COMPUTED_VALUE"""),"+0.95")</f>
        <v>+0.95</v>
      </c>
      <c r="U33" s="1">
        <f ca="1">IFERROR(__xludf.DUMMYFUNCTION("""COMPUTED_VALUE"""),142)</f>
        <v>142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IFERROR(__xludf.DUMMYFUNCTION("""COMPUTED_VALUE"""),"Cincinnati9")</f>
        <v>Cincinnati9</v>
      </c>
      <c r="C34" s="1" t="str">
        <f ca="1">IFERROR(__xludf.DUMMYFUNCTION("""COMPUTED_VALUE"""),"Amer")</f>
        <v>Amer</v>
      </c>
      <c r="D34" s="1" t="str">
        <f ca="1">IFERROR(__xludf.DUMMYFUNCTION("""COMPUTED_VALUE"""),"22-11")</f>
        <v>22-11</v>
      </c>
      <c r="E34" s="1" t="str">
        <f ca="1">IFERROR(__xludf.DUMMYFUNCTION("""COMPUTED_VALUE"""),"+17.06")</f>
        <v>+17.06</v>
      </c>
      <c r="F34" s="1">
        <f ca="1">IFERROR(__xludf.DUMMYFUNCTION("""COMPUTED_VALUE"""),111.2)</f>
        <v>111.2</v>
      </c>
      <c r="G34" s="1">
        <f ca="1">IFERROR(__xludf.DUMMYFUNCTION("""COMPUTED_VALUE"""),70)</f>
        <v>70</v>
      </c>
      <c r="H34" s="1">
        <f ca="1">IFERROR(__xludf.DUMMYFUNCTION("""COMPUTED_VALUE"""),94.1)</f>
        <v>94.1</v>
      </c>
      <c r="I34" s="1">
        <f ca="1">IFERROR(__xludf.DUMMYFUNCTION("""COMPUTED_VALUE"""),16)</f>
        <v>16</v>
      </c>
      <c r="J34" s="1">
        <f ca="1">IFERROR(__xludf.DUMMYFUNCTION("""COMPUTED_VALUE"""),64)</f>
        <v>64</v>
      </c>
      <c r="K34" s="1">
        <f ca="1">IFERROR(__xludf.DUMMYFUNCTION("""COMPUTED_VALUE"""),333)</f>
        <v>333</v>
      </c>
      <c r="L34" s="1">
        <f ca="1">IFERROR(__xludf.DUMMYFUNCTION("""COMPUTED_VALUE"""),-0.067)</f>
        <v>-6.7000000000000004E-2</v>
      </c>
      <c r="M34" s="1">
        <f ca="1">IFERROR(__xludf.DUMMYFUNCTION("""COMPUTED_VALUE"""),322)</f>
        <v>322</v>
      </c>
      <c r="N34" s="1" t="str">
        <f ca="1">IFERROR(__xludf.DUMMYFUNCTION("""COMPUTED_VALUE"""),"+5.20")</f>
        <v>+5.20</v>
      </c>
      <c r="O34" s="1">
        <f ca="1">IFERROR(__xludf.DUMMYFUNCTION("""COMPUTED_VALUE"""),77)</f>
        <v>77</v>
      </c>
      <c r="P34" s="1">
        <f ca="1">IFERROR(__xludf.DUMMYFUNCTION("""COMPUTED_VALUE"""),107.3)</f>
        <v>107.3</v>
      </c>
      <c r="Q34" s="1">
        <f ca="1">IFERROR(__xludf.DUMMYFUNCTION("""COMPUTED_VALUE"""),79)</f>
        <v>79</v>
      </c>
      <c r="R34" s="1">
        <f ca="1">IFERROR(__xludf.DUMMYFUNCTION("""COMPUTED_VALUE"""),102.1)</f>
        <v>102.1</v>
      </c>
      <c r="S34" s="1">
        <f ca="1">IFERROR(__xludf.DUMMYFUNCTION("""COMPUTED_VALUE"""),75)</f>
        <v>75</v>
      </c>
      <c r="T34" s="1">
        <f ca="1">IFERROR(__xludf.DUMMYFUNCTION("""COMPUTED_VALUE"""),-1.21)</f>
        <v>-1.21</v>
      </c>
      <c r="U34" s="1">
        <f ca="1">IFERROR(__xludf.DUMMYFUNCTION("""COMPUTED_VALUE"""),197)</f>
        <v>197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IFERROR(__xludf.DUMMYFUNCTION("""COMPUTED_VALUE"""),"Utah3")</f>
        <v>Utah3</v>
      </c>
      <c r="C35" s="1" t="str">
        <f ca="1">IFERROR(__xludf.DUMMYFUNCTION("""COMPUTED_VALUE"""),"P12")</f>
        <v>P12</v>
      </c>
      <c r="D35" s="1" t="str">
        <f ca="1">IFERROR(__xludf.DUMMYFUNCTION("""COMPUTED_VALUE"""),"27-9")</f>
        <v>27-9</v>
      </c>
      <c r="E35" s="1" t="str">
        <f ca="1">IFERROR(__xludf.DUMMYFUNCTION("""COMPUTED_VALUE"""),"+16.79")</f>
        <v>+16.79</v>
      </c>
      <c r="F35" s="1">
        <f ca="1">IFERROR(__xludf.DUMMYFUNCTION("""COMPUTED_VALUE"""),115.6)</f>
        <v>115.6</v>
      </c>
      <c r="G35" s="1">
        <f ca="1">IFERROR(__xludf.DUMMYFUNCTION("""COMPUTED_VALUE"""),26)</f>
        <v>26</v>
      </c>
      <c r="H35" s="1">
        <f ca="1">IFERROR(__xludf.DUMMYFUNCTION("""COMPUTED_VALUE"""),98.8)</f>
        <v>98.8</v>
      </c>
      <c r="I35" s="1">
        <f ca="1">IFERROR(__xludf.DUMMYFUNCTION("""COMPUTED_VALUE"""),60)</f>
        <v>60</v>
      </c>
      <c r="J35" s="1">
        <f ca="1">IFERROR(__xludf.DUMMYFUNCTION("""COMPUTED_VALUE"""),65.3)</f>
        <v>65.3</v>
      </c>
      <c r="K35" s="1">
        <f ca="1">IFERROR(__xludf.DUMMYFUNCTION("""COMPUTED_VALUE"""),305)</f>
        <v>305</v>
      </c>
      <c r="L35" s="1" t="str">
        <f ca="1">IFERROR(__xludf.DUMMYFUNCTION("""COMPUTED_VALUE"""),"+.112")</f>
        <v>+.112</v>
      </c>
      <c r="M35" s="1">
        <f ca="1">IFERROR(__xludf.DUMMYFUNCTION("""COMPUTED_VALUE"""),9)</f>
        <v>9</v>
      </c>
      <c r="N35" s="1" t="str">
        <f ca="1">IFERROR(__xludf.DUMMYFUNCTION("""COMPUTED_VALUE"""),"+9.79")</f>
        <v>+9.79</v>
      </c>
      <c r="O35" s="1">
        <f ca="1">IFERROR(__xludf.DUMMYFUNCTION("""COMPUTED_VALUE"""),21)</f>
        <v>21</v>
      </c>
      <c r="P35" s="1">
        <f ca="1">IFERROR(__xludf.DUMMYFUNCTION("""COMPUTED_VALUE"""),109.8)</f>
        <v>109.8</v>
      </c>
      <c r="Q35" s="1">
        <f ca="1">IFERROR(__xludf.DUMMYFUNCTION("""COMPUTED_VALUE"""),33)</f>
        <v>33</v>
      </c>
      <c r="R35" s="1">
        <f ca="1">IFERROR(__xludf.DUMMYFUNCTION("""COMPUTED_VALUE"""),100)</f>
        <v>100</v>
      </c>
      <c r="S35" s="1">
        <f ca="1">IFERROR(__xludf.DUMMYFUNCTION("""COMPUTED_VALUE"""),12)</f>
        <v>12</v>
      </c>
      <c r="T35" s="1" t="str">
        <f ca="1">IFERROR(__xludf.DUMMYFUNCTION("""COMPUTED_VALUE"""),"+1.90")</f>
        <v>+1.90</v>
      </c>
      <c r="U35" s="1">
        <f ca="1">IFERROR(__xludf.DUMMYFUNCTION("""COMPUTED_VALUE"""),114)</f>
        <v>114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IFERROR(__xludf.DUMMYFUNCTION("""COMPUTED_VALUE"""),"Saint Mary's2")</f>
        <v>Saint Mary's2</v>
      </c>
      <c r="C36" s="1" t="str">
        <f ca="1">IFERROR(__xludf.DUMMYFUNCTION("""COMPUTED_VALUE"""),"WCC")</f>
        <v>WCC</v>
      </c>
      <c r="D36" s="1" t="str">
        <f ca="1">IFERROR(__xludf.DUMMYFUNCTION("""COMPUTED_VALUE"""),"29-6")</f>
        <v>29-6</v>
      </c>
      <c r="E36" s="1" t="str">
        <f ca="1">IFERROR(__xludf.DUMMYFUNCTION("""COMPUTED_VALUE"""),"+16.74")</f>
        <v>+16.74</v>
      </c>
      <c r="F36" s="1">
        <f ca="1">IFERROR(__xludf.DUMMYFUNCTION("""COMPUTED_VALUE"""),117.3)</f>
        <v>117.3</v>
      </c>
      <c r="G36" s="1">
        <f ca="1">IFERROR(__xludf.DUMMYFUNCTION("""COMPUTED_VALUE"""),17)</f>
        <v>17</v>
      </c>
      <c r="H36" s="1">
        <f ca="1">IFERROR(__xludf.DUMMYFUNCTION("""COMPUTED_VALUE"""),100.6)</f>
        <v>100.6</v>
      </c>
      <c r="I36" s="1">
        <f ca="1">IFERROR(__xludf.DUMMYFUNCTION("""COMPUTED_VALUE"""),96)</f>
        <v>96</v>
      </c>
      <c r="J36" s="1">
        <f ca="1">IFERROR(__xludf.DUMMYFUNCTION("""COMPUTED_VALUE"""),61.8)</f>
        <v>61.8</v>
      </c>
      <c r="K36" s="1">
        <f ca="1">IFERROR(__xludf.DUMMYFUNCTION("""COMPUTED_VALUE"""),347)</f>
        <v>347</v>
      </c>
      <c r="L36" s="1" t="str">
        <f ca="1">IFERROR(__xludf.DUMMYFUNCTION("""COMPUTED_VALUE"""),"+.025")</f>
        <v>+.025</v>
      </c>
      <c r="M36" s="1">
        <f ca="1">IFERROR(__xludf.DUMMYFUNCTION("""COMPUTED_VALUE"""),107)</f>
        <v>107</v>
      </c>
      <c r="N36" s="1">
        <f ca="1">IFERROR(__xludf.DUMMYFUNCTION("""COMPUTED_VALUE"""),-1.09)</f>
        <v>-1.0900000000000001</v>
      </c>
      <c r="O36" s="1">
        <f ca="1">IFERROR(__xludf.DUMMYFUNCTION("""COMPUTED_VALUE"""),174)</f>
        <v>174</v>
      </c>
      <c r="P36" s="1">
        <f ca="1">IFERROR(__xludf.DUMMYFUNCTION("""COMPUTED_VALUE"""),104)</f>
        <v>104</v>
      </c>
      <c r="Q36" s="1">
        <f ca="1">IFERROR(__xludf.DUMMYFUNCTION("""COMPUTED_VALUE"""),197)</f>
        <v>197</v>
      </c>
      <c r="R36" s="1">
        <f ca="1">IFERROR(__xludf.DUMMYFUNCTION("""COMPUTED_VALUE"""),105.1)</f>
        <v>105.1</v>
      </c>
      <c r="S36" s="1">
        <f ca="1">IFERROR(__xludf.DUMMYFUNCTION("""COMPUTED_VALUE"""),158)</f>
        <v>158</v>
      </c>
      <c r="T36" s="1">
        <f ca="1">IFERROR(__xludf.DUMMYFUNCTION("""COMPUTED_VALUE"""),-6.66)</f>
        <v>-6.66</v>
      </c>
      <c r="U36" s="1">
        <f ca="1">IFERROR(__xludf.DUMMYFUNCTION("""COMPUTED_VALUE"""),320)</f>
        <v>320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IFERROR(__xludf.DUMMYFUNCTION("""COMPUTED_VALUE"""),"Florida2")</f>
        <v>Florida2</v>
      </c>
      <c r="C37" s="1" t="str">
        <f ca="1">IFERROR(__xludf.DUMMYFUNCTION("""COMPUTED_VALUE"""),"SEC")</f>
        <v>SEC</v>
      </c>
      <c r="D37" s="1" t="str">
        <f ca="1">IFERROR(__xludf.DUMMYFUNCTION("""COMPUTED_VALUE"""),"21-15")</f>
        <v>21-15</v>
      </c>
      <c r="E37" s="1" t="str">
        <f ca="1">IFERROR(__xludf.DUMMYFUNCTION("""COMPUTED_VALUE"""),"+16.64")</f>
        <v>+16.64</v>
      </c>
      <c r="F37" s="1">
        <f ca="1">IFERROR(__xludf.DUMMYFUNCTION("""COMPUTED_VALUE"""),110.5)</f>
        <v>110.5</v>
      </c>
      <c r="G37" s="1">
        <f ca="1">IFERROR(__xludf.DUMMYFUNCTION("""COMPUTED_VALUE"""),85)</f>
        <v>85</v>
      </c>
      <c r="H37" s="1">
        <f ca="1">IFERROR(__xludf.DUMMYFUNCTION("""COMPUTED_VALUE"""),93.9)</f>
        <v>93.9</v>
      </c>
      <c r="I37" s="1">
        <f ca="1">IFERROR(__xludf.DUMMYFUNCTION("""COMPUTED_VALUE"""),14)</f>
        <v>14</v>
      </c>
      <c r="J37" s="1">
        <f ca="1">IFERROR(__xludf.DUMMYFUNCTION("""COMPUTED_VALUE"""),69.2)</f>
        <v>69.2</v>
      </c>
      <c r="K37" s="1">
        <f ca="1">IFERROR(__xludf.DUMMYFUNCTION("""COMPUTED_VALUE"""),110)</f>
        <v>110</v>
      </c>
      <c r="L37" s="1">
        <f ca="1">IFERROR(__xludf.DUMMYFUNCTION("""COMPUTED_VALUE"""),-0.056)</f>
        <v>-5.6000000000000001E-2</v>
      </c>
      <c r="M37" s="1">
        <f ca="1">IFERROR(__xludf.DUMMYFUNCTION("""COMPUTED_VALUE"""),306)</f>
        <v>306</v>
      </c>
      <c r="N37" s="1" t="str">
        <f ca="1">IFERROR(__xludf.DUMMYFUNCTION("""COMPUTED_VALUE"""),"+10.21")</f>
        <v>+10.21</v>
      </c>
      <c r="O37" s="1">
        <f ca="1">IFERROR(__xludf.DUMMYFUNCTION("""COMPUTED_VALUE"""),19)</f>
        <v>19</v>
      </c>
      <c r="P37" s="1">
        <f ca="1">IFERROR(__xludf.DUMMYFUNCTION("""COMPUTED_VALUE"""),110.7)</f>
        <v>110.7</v>
      </c>
      <c r="Q37" s="1">
        <f ca="1">IFERROR(__xludf.DUMMYFUNCTION("""COMPUTED_VALUE"""),16)</f>
        <v>16</v>
      </c>
      <c r="R37" s="1">
        <f ca="1">IFERROR(__xludf.DUMMYFUNCTION("""COMPUTED_VALUE"""),100.5)</f>
        <v>100.5</v>
      </c>
      <c r="S37" s="1">
        <f ca="1">IFERROR(__xludf.DUMMYFUNCTION("""COMPUTED_VALUE"""),27)</f>
        <v>27</v>
      </c>
      <c r="T37" s="1" t="str">
        <f ca="1">IFERROR(__xludf.DUMMYFUNCTION("""COMPUTED_VALUE"""),"+6.76")</f>
        <v>+6.76</v>
      </c>
      <c r="U37" s="1">
        <f ca="1">IFERROR(__xludf.DUMMYFUNCTION("""COMPUTED_VALUE"""),20)</f>
        <v>20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IFERROR(__xludf.DUMMYFUNCTION("""COMPUTED_VALUE"""),"Notre Dame6")</f>
        <v>Notre Dame6</v>
      </c>
      <c r="C38" s="1" t="str">
        <f ca="1">IFERROR(__xludf.DUMMYFUNCTION("""COMPUTED_VALUE"""),"ACC")</f>
        <v>ACC</v>
      </c>
      <c r="D38" s="1" t="str">
        <f ca="1">IFERROR(__xludf.DUMMYFUNCTION("""COMPUTED_VALUE"""),"24-12")</f>
        <v>24-12</v>
      </c>
      <c r="E38" s="1" t="str">
        <f ca="1">IFERROR(__xludf.DUMMYFUNCTION("""COMPUTED_VALUE"""),"+16.60")</f>
        <v>+16.60</v>
      </c>
      <c r="F38" s="1">
        <f ca="1">IFERROR(__xludf.DUMMYFUNCTION("""COMPUTED_VALUE"""),120.6)</f>
        <v>120.6</v>
      </c>
      <c r="G38" s="1">
        <f ca="1">IFERROR(__xludf.DUMMYFUNCTION("""COMPUTED_VALUE"""),9)</f>
        <v>9</v>
      </c>
      <c r="H38" s="1">
        <f ca="1">IFERROR(__xludf.DUMMYFUNCTION("""COMPUTED_VALUE"""),104)</f>
        <v>104</v>
      </c>
      <c r="I38" s="1">
        <f ca="1">IFERROR(__xludf.DUMMYFUNCTION("""COMPUTED_VALUE"""),158)</f>
        <v>158</v>
      </c>
      <c r="J38" s="1">
        <f ca="1">IFERROR(__xludf.DUMMYFUNCTION("""COMPUTED_VALUE"""),64.6)</f>
        <v>64.599999999999994</v>
      </c>
      <c r="K38" s="1">
        <f ca="1">IFERROR(__xludf.DUMMYFUNCTION("""COMPUTED_VALUE"""),324)</f>
        <v>324</v>
      </c>
      <c r="L38" s="1" t="str">
        <f ca="1">IFERROR(__xludf.DUMMYFUNCTION("""COMPUTED_VALUE"""),"+.054")</f>
        <v>+.054</v>
      </c>
      <c r="M38" s="1">
        <f ca="1">IFERROR(__xludf.DUMMYFUNCTION("""COMPUTED_VALUE"""),54)</f>
        <v>54</v>
      </c>
      <c r="N38" s="1" t="str">
        <f ca="1">IFERROR(__xludf.DUMMYFUNCTION("""COMPUTED_VALUE"""),"+10.75")</f>
        <v>+10.75</v>
      </c>
      <c r="O38" s="1">
        <f ca="1">IFERROR(__xludf.DUMMYFUNCTION("""COMPUTED_VALUE"""),12)</f>
        <v>12</v>
      </c>
      <c r="P38" s="1">
        <f ca="1">IFERROR(__xludf.DUMMYFUNCTION("""COMPUTED_VALUE"""),111.3)</f>
        <v>111.3</v>
      </c>
      <c r="Q38" s="1">
        <f ca="1">IFERROR(__xludf.DUMMYFUNCTION("""COMPUTED_VALUE"""),9)</f>
        <v>9</v>
      </c>
      <c r="R38" s="1">
        <f ca="1">IFERROR(__xludf.DUMMYFUNCTION("""COMPUTED_VALUE"""),100.5)</f>
        <v>100.5</v>
      </c>
      <c r="S38" s="1">
        <f ca="1">IFERROR(__xludf.DUMMYFUNCTION("""COMPUTED_VALUE"""),29)</f>
        <v>29</v>
      </c>
      <c r="T38" s="1">
        <f ca="1">IFERROR(__xludf.DUMMYFUNCTION("""COMPUTED_VALUE"""),-1.64)</f>
        <v>-1.64</v>
      </c>
      <c r="U38" s="1">
        <f ca="1">IFERROR(__xludf.DUMMYFUNCTION("""COMPUTED_VALUE"""),210)</f>
        <v>210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IFERROR(__xludf.DUMMYFUNCTION("""COMPUTED_VALUE"""),"Pittsburgh10")</f>
        <v>Pittsburgh10</v>
      </c>
      <c r="C39" s="1" t="str">
        <f ca="1">IFERROR(__xludf.DUMMYFUNCTION("""COMPUTED_VALUE"""),"ACC")</f>
        <v>ACC</v>
      </c>
      <c r="D39" s="1" t="str">
        <f ca="1">IFERROR(__xludf.DUMMYFUNCTION("""COMPUTED_VALUE"""),"21-12")</f>
        <v>21-12</v>
      </c>
      <c r="E39" s="1" t="str">
        <f ca="1">IFERROR(__xludf.DUMMYFUNCTION("""COMPUTED_VALUE"""),"+16.60")</f>
        <v>+16.60</v>
      </c>
      <c r="F39" s="1">
        <f ca="1">IFERROR(__xludf.DUMMYFUNCTION("""COMPUTED_VALUE"""),114.9)</f>
        <v>114.9</v>
      </c>
      <c r="G39" s="1">
        <f ca="1">IFERROR(__xludf.DUMMYFUNCTION("""COMPUTED_VALUE"""),28)</f>
        <v>28</v>
      </c>
      <c r="H39" s="1">
        <f ca="1">IFERROR(__xludf.DUMMYFUNCTION("""COMPUTED_VALUE"""),98.3)</f>
        <v>98.3</v>
      </c>
      <c r="I39" s="1">
        <f ca="1">IFERROR(__xludf.DUMMYFUNCTION("""COMPUTED_VALUE"""),53)</f>
        <v>53</v>
      </c>
      <c r="J39" s="1">
        <f ca="1">IFERROR(__xludf.DUMMYFUNCTION("""COMPUTED_VALUE"""),65.3)</f>
        <v>65.3</v>
      </c>
      <c r="K39" s="1">
        <f ca="1">IFERROR(__xludf.DUMMYFUNCTION("""COMPUTED_VALUE"""),303)</f>
        <v>303</v>
      </c>
      <c r="L39" s="1">
        <f ca="1">IFERROR(__xludf.DUMMYFUNCTION("""COMPUTED_VALUE"""),-0.011)</f>
        <v>-1.0999999999999999E-2</v>
      </c>
      <c r="M39" s="1">
        <f ca="1">IFERROR(__xludf.DUMMYFUNCTION("""COMPUTED_VALUE"""),206)</f>
        <v>206</v>
      </c>
      <c r="N39" s="1" t="str">
        <f ca="1">IFERROR(__xludf.DUMMYFUNCTION("""COMPUTED_VALUE"""),"+9.06")</f>
        <v>+9.06</v>
      </c>
      <c r="O39" s="1">
        <f ca="1">IFERROR(__xludf.DUMMYFUNCTION("""COMPUTED_VALUE"""),34)</f>
        <v>34</v>
      </c>
      <c r="P39" s="1">
        <f ca="1">IFERROR(__xludf.DUMMYFUNCTION("""COMPUTED_VALUE"""),110.8)</f>
        <v>110.8</v>
      </c>
      <c r="Q39" s="1">
        <f ca="1">IFERROR(__xludf.DUMMYFUNCTION("""COMPUTED_VALUE"""),14)</f>
        <v>14</v>
      </c>
      <c r="R39" s="1">
        <f ca="1">IFERROR(__xludf.DUMMYFUNCTION("""COMPUTED_VALUE"""),101.7)</f>
        <v>101.7</v>
      </c>
      <c r="S39" s="1">
        <f ca="1">IFERROR(__xludf.DUMMYFUNCTION("""COMPUTED_VALUE"""),68)</f>
        <v>68</v>
      </c>
      <c r="T39" s="1">
        <f ca="1">IFERROR(__xludf.DUMMYFUNCTION("""COMPUTED_VALUE"""),-7.02)</f>
        <v>-7.02</v>
      </c>
      <c r="U39" s="1">
        <f ca="1">IFERROR(__xludf.DUMMYFUNCTION("""COMPUTED_VALUE"""),324)</f>
        <v>324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IFERROR(__xludf.DUMMYFUNCTION("""COMPUTED_VALUE"""),"Wisconsin7")</f>
        <v>Wisconsin7</v>
      </c>
      <c r="C40" s="1" t="str">
        <f ca="1">IFERROR(__xludf.DUMMYFUNCTION("""COMPUTED_VALUE"""),"B10")</f>
        <v>B10</v>
      </c>
      <c r="D40" s="1" t="str">
        <f ca="1">IFERROR(__xludf.DUMMYFUNCTION("""COMPUTED_VALUE"""),"22-13")</f>
        <v>22-13</v>
      </c>
      <c r="E40" s="1" t="str">
        <f ca="1">IFERROR(__xludf.DUMMYFUNCTION("""COMPUTED_VALUE"""),"+16.55")</f>
        <v>+16.55</v>
      </c>
      <c r="F40" s="1">
        <f ca="1">IFERROR(__xludf.DUMMYFUNCTION("""COMPUTED_VALUE"""),110.1)</f>
        <v>110.1</v>
      </c>
      <c r="G40" s="1">
        <f ca="1">IFERROR(__xludf.DUMMYFUNCTION("""COMPUTED_VALUE"""),89)</f>
        <v>89</v>
      </c>
      <c r="H40" s="1">
        <f ca="1">IFERROR(__xludf.DUMMYFUNCTION("""COMPUTED_VALUE"""),93.6)</f>
        <v>93.6</v>
      </c>
      <c r="I40" s="1">
        <f ca="1">IFERROR(__xludf.DUMMYFUNCTION("""COMPUTED_VALUE"""),13)</f>
        <v>13</v>
      </c>
      <c r="J40" s="1">
        <f ca="1">IFERROR(__xludf.DUMMYFUNCTION("""COMPUTED_VALUE"""),63.3)</f>
        <v>63.3</v>
      </c>
      <c r="K40" s="1">
        <f ca="1">IFERROR(__xludf.DUMMYFUNCTION("""COMPUTED_VALUE"""),344)</f>
        <v>344</v>
      </c>
      <c r="L40" s="1">
        <f ca="1">IFERROR(__xludf.DUMMYFUNCTION("""COMPUTED_VALUE"""),-0.022)</f>
        <v>-2.1999999999999999E-2</v>
      </c>
      <c r="M40" s="1">
        <f ca="1">IFERROR(__xludf.DUMMYFUNCTION("""COMPUTED_VALUE"""),235)</f>
        <v>235</v>
      </c>
      <c r="N40" s="1" t="str">
        <f ca="1">IFERROR(__xludf.DUMMYFUNCTION("""COMPUTED_VALUE"""),"+9.57")</f>
        <v>+9.57</v>
      </c>
      <c r="O40" s="1">
        <f ca="1">IFERROR(__xludf.DUMMYFUNCTION("""COMPUTED_VALUE"""),25)</f>
        <v>25</v>
      </c>
      <c r="P40" s="1">
        <f ca="1">IFERROR(__xludf.DUMMYFUNCTION("""COMPUTED_VALUE"""),110.3)</f>
        <v>110.3</v>
      </c>
      <c r="Q40" s="1">
        <f ca="1">IFERROR(__xludf.DUMMYFUNCTION("""COMPUTED_VALUE"""),24)</f>
        <v>24</v>
      </c>
      <c r="R40" s="1">
        <f ca="1">IFERROR(__xludf.DUMMYFUNCTION("""COMPUTED_VALUE"""),100.7)</f>
        <v>100.7</v>
      </c>
      <c r="S40" s="1">
        <f ca="1">IFERROR(__xludf.DUMMYFUNCTION("""COMPUTED_VALUE"""),36)</f>
        <v>36</v>
      </c>
      <c r="T40" s="1" t="str">
        <f ca="1">IFERROR(__xludf.DUMMYFUNCTION("""COMPUTED_VALUE"""),"+1.24")</f>
        <v>+1.24</v>
      </c>
      <c r="U40" s="1">
        <f ca="1">IFERROR(__xludf.DUMMYFUNCTION("""COMPUTED_VALUE"""),134)</f>
        <v>134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IFERROR(__xludf.DUMMYFUNCTION("""COMPUTED_VALUE"""),"Texas6")</f>
        <v>Texas6</v>
      </c>
      <c r="C41" s="1" t="str">
        <f ca="1">IFERROR(__xludf.DUMMYFUNCTION("""COMPUTED_VALUE"""),"B12")</f>
        <v>B12</v>
      </c>
      <c r="D41" s="1" t="str">
        <f ca="1">IFERROR(__xludf.DUMMYFUNCTION("""COMPUTED_VALUE"""),"20-13")</f>
        <v>20-13</v>
      </c>
      <c r="E41" s="1" t="str">
        <f ca="1">IFERROR(__xludf.DUMMYFUNCTION("""COMPUTED_VALUE"""),"+16.19")</f>
        <v>+16.19</v>
      </c>
      <c r="F41" s="1">
        <f ca="1">IFERROR(__xludf.DUMMYFUNCTION("""COMPUTED_VALUE"""),113)</f>
        <v>113</v>
      </c>
      <c r="G41" s="1">
        <f ca="1">IFERROR(__xludf.DUMMYFUNCTION("""COMPUTED_VALUE"""),49)</f>
        <v>49</v>
      </c>
      <c r="H41" s="1">
        <f ca="1">IFERROR(__xludf.DUMMYFUNCTION("""COMPUTED_VALUE"""),96.8)</f>
        <v>96.8</v>
      </c>
      <c r="I41" s="1">
        <f ca="1">IFERROR(__xludf.DUMMYFUNCTION("""COMPUTED_VALUE"""),40)</f>
        <v>40</v>
      </c>
      <c r="J41" s="1">
        <f ca="1">IFERROR(__xludf.DUMMYFUNCTION("""COMPUTED_VALUE"""),65.3)</f>
        <v>65.3</v>
      </c>
      <c r="K41" s="1">
        <f ca="1">IFERROR(__xludf.DUMMYFUNCTION("""COMPUTED_VALUE"""),306)</f>
        <v>306</v>
      </c>
      <c r="L41" s="1" t="str">
        <f ca="1">IFERROR(__xludf.DUMMYFUNCTION("""COMPUTED_VALUE"""),"+.022")</f>
        <v>+.022</v>
      </c>
      <c r="M41" s="1">
        <f ca="1">IFERROR(__xludf.DUMMYFUNCTION("""COMPUTED_VALUE"""),118)</f>
        <v>118</v>
      </c>
      <c r="N41" s="1" t="str">
        <f ca="1">IFERROR(__xludf.DUMMYFUNCTION("""COMPUTED_VALUE"""),"+12.54")</f>
        <v>+12.54</v>
      </c>
      <c r="O41" s="1">
        <f ca="1">IFERROR(__xludf.DUMMYFUNCTION("""COMPUTED_VALUE"""),4)</f>
        <v>4</v>
      </c>
      <c r="P41" s="1">
        <f ca="1">IFERROR(__xludf.DUMMYFUNCTION("""COMPUTED_VALUE"""),111.5)</f>
        <v>111.5</v>
      </c>
      <c r="Q41" s="1">
        <f ca="1">IFERROR(__xludf.DUMMYFUNCTION("""COMPUTED_VALUE"""),7)</f>
        <v>7</v>
      </c>
      <c r="R41" s="1">
        <f ca="1">IFERROR(__xludf.DUMMYFUNCTION("""COMPUTED_VALUE"""),99)</f>
        <v>99</v>
      </c>
      <c r="S41" s="1">
        <f ca="1">IFERROR(__xludf.DUMMYFUNCTION("""COMPUTED_VALUE"""),5)</f>
        <v>5</v>
      </c>
      <c r="T41" s="1" t="str">
        <f ca="1">IFERROR(__xludf.DUMMYFUNCTION("""COMPUTED_VALUE"""),"+5.55")</f>
        <v>+5.55</v>
      </c>
      <c r="U41" s="1">
        <f ca="1">IFERROR(__xludf.DUMMYFUNCTION("""COMPUTED_VALUE"""),31)</f>
        <v>31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IFERROR(__xludf.DUMMYFUNCTION("""COMPUTED_VALUE"""),"Creighton4")</f>
        <v>Creighton4</v>
      </c>
      <c r="C42" s="1" t="str">
        <f ca="1">IFERROR(__xludf.DUMMYFUNCTION("""COMPUTED_VALUE"""),"BE")</f>
        <v>BE</v>
      </c>
      <c r="D42" s="1" t="str">
        <f ca="1">IFERROR(__xludf.DUMMYFUNCTION("""COMPUTED_VALUE"""),"20-15")</f>
        <v>20-15</v>
      </c>
      <c r="E42" s="1" t="str">
        <f ca="1">IFERROR(__xludf.DUMMYFUNCTION("""COMPUTED_VALUE"""),"+15.82")</f>
        <v>+15.82</v>
      </c>
      <c r="F42" s="1">
        <f ca="1">IFERROR(__xludf.DUMMYFUNCTION("""COMPUTED_VALUE"""),113.4)</f>
        <v>113.4</v>
      </c>
      <c r="G42" s="1">
        <f ca="1">IFERROR(__xludf.DUMMYFUNCTION("""COMPUTED_VALUE"""),43)</f>
        <v>43</v>
      </c>
      <c r="H42" s="1">
        <f ca="1">IFERROR(__xludf.DUMMYFUNCTION("""COMPUTED_VALUE"""),97.6)</f>
        <v>97.6</v>
      </c>
      <c r="I42" s="1">
        <f ca="1">IFERROR(__xludf.DUMMYFUNCTION("""COMPUTED_VALUE"""),49)</f>
        <v>49</v>
      </c>
      <c r="J42" s="1">
        <f ca="1">IFERROR(__xludf.DUMMYFUNCTION("""COMPUTED_VALUE"""),70.2)</f>
        <v>70.2</v>
      </c>
      <c r="K42" s="1">
        <f ca="1">IFERROR(__xludf.DUMMYFUNCTION("""COMPUTED_VALUE"""),76)</f>
        <v>76</v>
      </c>
      <c r="L42" s="1">
        <f ca="1">IFERROR(__xludf.DUMMYFUNCTION("""COMPUTED_VALUE"""),-0.095)</f>
        <v>-9.5000000000000001E-2</v>
      </c>
      <c r="M42" s="1">
        <f ca="1">IFERROR(__xludf.DUMMYFUNCTION("""COMPUTED_VALUE"""),338)</f>
        <v>338</v>
      </c>
      <c r="N42" s="1" t="str">
        <f ca="1">IFERROR(__xludf.DUMMYFUNCTION("""COMPUTED_VALUE"""),"+6.22")</f>
        <v>+6.22</v>
      </c>
      <c r="O42" s="1">
        <f ca="1">IFERROR(__xludf.DUMMYFUNCTION("""COMPUTED_VALUE"""),69)</f>
        <v>69</v>
      </c>
      <c r="P42" s="1">
        <f ca="1">IFERROR(__xludf.DUMMYFUNCTION("""COMPUTED_VALUE"""),107.8)</f>
        <v>107.8</v>
      </c>
      <c r="Q42" s="1">
        <f ca="1">IFERROR(__xludf.DUMMYFUNCTION("""COMPUTED_VALUE"""),70)</f>
        <v>70</v>
      </c>
      <c r="R42" s="1">
        <f ca="1">IFERROR(__xludf.DUMMYFUNCTION("""COMPUTED_VALUE"""),101.6)</f>
        <v>101.6</v>
      </c>
      <c r="S42" s="1">
        <f ca="1">IFERROR(__xludf.DUMMYFUNCTION("""COMPUTED_VALUE"""),62)</f>
        <v>62</v>
      </c>
      <c r="T42" s="1">
        <f ca="1">IFERROR(__xludf.DUMMYFUNCTION("""COMPUTED_VALUE"""),-4.84)</f>
        <v>-4.84</v>
      </c>
      <c r="U42" s="1">
        <f ca="1">IFERROR(__xludf.DUMMYFUNCTION("""COMPUTED_VALUE"""),298)</f>
        <v>298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IFERROR(__xludf.DUMMYFUNCTION("""COMPUTED_VALUE"""),"Stephen F. Austin14")</f>
        <v>Stephen F. Austin14</v>
      </c>
      <c r="C45" s="1" t="str">
        <f ca="1">IFERROR(__xludf.DUMMYFUNCTION("""COMPUTED_VALUE"""),"Slnd")</f>
        <v>Slnd</v>
      </c>
      <c r="D45" s="1" t="str">
        <f ca="1">IFERROR(__xludf.DUMMYFUNCTION("""COMPUTED_VALUE"""),"28-6")</f>
        <v>28-6</v>
      </c>
      <c r="E45" s="1" t="str">
        <f ca="1">IFERROR(__xludf.DUMMYFUNCTION("""COMPUTED_VALUE"""),"+15.62")</f>
        <v>+15.62</v>
      </c>
      <c r="F45" s="1">
        <f ca="1">IFERROR(__xludf.DUMMYFUNCTION("""COMPUTED_VALUE"""),112.2)</f>
        <v>112.2</v>
      </c>
      <c r="G45" s="1">
        <f ca="1">IFERROR(__xludf.DUMMYFUNCTION("""COMPUTED_VALUE"""),57)</f>
        <v>57</v>
      </c>
      <c r="H45" s="1">
        <f ca="1">IFERROR(__xludf.DUMMYFUNCTION("""COMPUTED_VALUE"""),96.6)</f>
        <v>96.6</v>
      </c>
      <c r="I45" s="1">
        <f ca="1">IFERROR(__xludf.DUMMYFUNCTION("""COMPUTED_VALUE"""),38)</f>
        <v>38</v>
      </c>
      <c r="J45" s="1">
        <f ca="1">IFERROR(__xludf.DUMMYFUNCTION("""COMPUTED_VALUE"""),67.3)</f>
        <v>67.3</v>
      </c>
      <c r="K45" s="1">
        <f ca="1">IFERROR(__xludf.DUMMYFUNCTION("""COMPUTED_VALUE"""),217)</f>
        <v>217</v>
      </c>
      <c r="L45" s="1" t="str">
        <f ca="1">IFERROR(__xludf.DUMMYFUNCTION("""COMPUTED_VALUE"""),"+.007")</f>
        <v>+.007</v>
      </c>
      <c r="M45" s="1">
        <f ca="1">IFERROR(__xludf.DUMMYFUNCTION("""COMPUTED_VALUE"""),159)</f>
        <v>159</v>
      </c>
      <c r="N45" s="1">
        <f ca="1">IFERROR(__xludf.DUMMYFUNCTION("""COMPUTED_VALUE"""),-5.88)</f>
        <v>-5.88</v>
      </c>
      <c r="O45" s="1">
        <f ca="1">IFERROR(__xludf.DUMMYFUNCTION("""COMPUTED_VALUE"""),286)</f>
        <v>286</v>
      </c>
      <c r="P45" s="1">
        <f ca="1">IFERROR(__xludf.DUMMYFUNCTION("""COMPUTED_VALUE"""),102.7)</f>
        <v>102.7</v>
      </c>
      <c r="Q45" s="1">
        <f ca="1">IFERROR(__xludf.DUMMYFUNCTION("""COMPUTED_VALUE"""),251)</f>
        <v>251</v>
      </c>
      <c r="R45" s="1">
        <f ca="1">IFERROR(__xludf.DUMMYFUNCTION("""COMPUTED_VALUE"""),108.6)</f>
        <v>108.6</v>
      </c>
      <c r="S45" s="1">
        <f ca="1">IFERROR(__xludf.DUMMYFUNCTION("""COMPUTED_VALUE"""),321)</f>
        <v>321</v>
      </c>
      <c r="T45" s="1" t="str">
        <f ca="1">IFERROR(__xludf.DUMMYFUNCTION("""COMPUTED_VALUE"""),"+4.79")</f>
        <v>+4.79</v>
      </c>
      <c r="U45" s="1">
        <f ca="1">IFERROR(__xludf.DUMMYFUNCTION("""COMPUTED_VALUE"""),42)</f>
        <v>42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IFERROR(__xludf.DUMMYFUNCTION("""COMPUTED_VALUE"""),"Valparaiso1")</f>
        <v>Valparaiso1</v>
      </c>
      <c r="C46" s="1" t="str">
        <f ca="1">IFERROR(__xludf.DUMMYFUNCTION("""COMPUTED_VALUE"""),"Horz")</f>
        <v>Horz</v>
      </c>
      <c r="D46" s="1" t="str">
        <f ca="1">IFERROR(__xludf.DUMMYFUNCTION("""COMPUTED_VALUE"""),"30-7")</f>
        <v>30-7</v>
      </c>
      <c r="E46" s="1" t="str">
        <f ca="1">IFERROR(__xludf.DUMMYFUNCTION("""COMPUTED_VALUE"""),"+15.46")</f>
        <v>+15.46</v>
      </c>
      <c r="F46" s="1">
        <f ca="1">IFERROR(__xludf.DUMMYFUNCTION("""COMPUTED_VALUE"""),107.5)</f>
        <v>107.5</v>
      </c>
      <c r="G46" s="1">
        <f ca="1">IFERROR(__xludf.DUMMYFUNCTION("""COMPUTED_VALUE"""),125)</f>
        <v>125</v>
      </c>
      <c r="H46" s="1">
        <f ca="1">IFERROR(__xludf.DUMMYFUNCTION("""COMPUTED_VALUE"""),92)</f>
        <v>92</v>
      </c>
      <c r="I46" s="1">
        <f ca="1">IFERROR(__xludf.DUMMYFUNCTION("""COMPUTED_VALUE"""),8)</f>
        <v>8</v>
      </c>
      <c r="J46" s="1">
        <f ca="1">IFERROR(__xludf.DUMMYFUNCTION("""COMPUTED_VALUE"""),66.8)</f>
        <v>66.8</v>
      </c>
      <c r="K46" s="1">
        <f ca="1">IFERROR(__xludf.DUMMYFUNCTION("""COMPUTED_VALUE"""),245)</f>
        <v>245</v>
      </c>
      <c r="L46" s="1">
        <f ca="1">IFERROR(__xludf.DUMMYFUNCTION("""COMPUTED_VALUE"""),-0.007)</f>
        <v>-7.0000000000000001E-3</v>
      </c>
      <c r="M46" s="1">
        <f ca="1">IFERROR(__xludf.DUMMYFUNCTION("""COMPUTED_VALUE"""),196)</f>
        <v>196</v>
      </c>
      <c r="N46" s="1" t="str">
        <f ca="1">IFERROR(__xludf.DUMMYFUNCTION("""COMPUTED_VALUE"""),"+0.55")</f>
        <v>+0.55</v>
      </c>
      <c r="O46" s="1">
        <f ca="1">IFERROR(__xludf.DUMMYFUNCTION("""COMPUTED_VALUE"""),138)</f>
        <v>138</v>
      </c>
      <c r="P46" s="1">
        <f ca="1">IFERROR(__xludf.DUMMYFUNCTION("""COMPUTED_VALUE"""),106.2)</f>
        <v>106.2</v>
      </c>
      <c r="Q46" s="1">
        <f ca="1">IFERROR(__xludf.DUMMYFUNCTION("""COMPUTED_VALUE"""),100)</f>
        <v>100</v>
      </c>
      <c r="R46" s="1">
        <f ca="1">IFERROR(__xludf.DUMMYFUNCTION("""COMPUTED_VALUE"""),105.7)</f>
        <v>105.7</v>
      </c>
      <c r="S46" s="1">
        <f ca="1">IFERROR(__xludf.DUMMYFUNCTION("""COMPUTED_VALUE"""),180)</f>
        <v>180</v>
      </c>
      <c r="T46" s="1" t="str">
        <f ca="1">IFERROR(__xludf.DUMMYFUNCTION("""COMPUTED_VALUE"""),"+3.83")</f>
        <v>+3.83</v>
      </c>
      <c r="U46" s="1">
        <f ca="1">IFERROR(__xludf.DUMMYFUNCTION("""COMPUTED_VALUE"""),59)</f>
        <v>59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IFERROR(__xludf.DUMMYFUNCTION("""COMPUTED_VALUE"""),"Saint Joseph's8")</f>
        <v>Saint Joseph's8</v>
      </c>
      <c r="C47" s="1" t="str">
        <f ca="1">IFERROR(__xludf.DUMMYFUNCTION("""COMPUTED_VALUE"""),"A10")</f>
        <v>A10</v>
      </c>
      <c r="D47" s="1" t="str">
        <f ca="1">IFERROR(__xludf.DUMMYFUNCTION("""COMPUTED_VALUE"""),"28-8")</f>
        <v>28-8</v>
      </c>
      <c r="E47" s="1" t="str">
        <f ca="1">IFERROR(__xludf.DUMMYFUNCTION("""COMPUTED_VALUE"""),"+15.37")</f>
        <v>+15.37</v>
      </c>
      <c r="F47" s="1">
        <f ca="1">IFERROR(__xludf.DUMMYFUNCTION("""COMPUTED_VALUE"""),114.3)</f>
        <v>114.3</v>
      </c>
      <c r="G47" s="1">
        <f ca="1">IFERROR(__xludf.DUMMYFUNCTION("""COMPUTED_VALUE"""),32)</f>
        <v>32</v>
      </c>
      <c r="H47" s="1">
        <f ca="1">IFERROR(__xludf.DUMMYFUNCTION("""COMPUTED_VALUE"""),98.9)</f>
        <v>98.9</v>
      </c>
      <c r="I47" s="1">
        <f ca="1">IFERROR(__xludf.DUMMYFUNCTION("""COMPUTED_VALUE"""),63)</f>
        <v>63</v>
      </c>
      <c r="J47" s="1">
        <f ca="1">IFERROR(__xludf.DUMMYFUNCTION("""COMPUTED_VALUE"""),70.2)</f>
        <v>70.2</v>
      </c>
      <c r="K47" s="1">
        <f ca="1">IFERROR(__xludf.DUMMYFUNCTION("""COMPUTED_VALUE"""),78)</f>
        <v>78</v>
      </c>
      <c r="L47" s="1" t="str">
        <f ca="1">IFERROR(__xludf.DUMMYFUNCTION("""COMPUTED_VALUE"""),"+.030")</f>
        <v>+.030</v>
      </c>
      <c r="M47" s="1">
        <f ca="1">IFERROR(__xludf.DUMMYFUNCTION("""COMPUTED_VALUE"""),95)</f>
        <v>95</v>
      </c>
      <c r="N47" s="1" t="str">
        <f ca="1">IFERROR(__xludf.DUMMYFUNCTION("""COMPUTED_VALUE"""),"+4.66")</f>
        <v>+4.66</v>
      </c>
      <c r="O47" s="1">
        <f ca="1">IFERROR(__xludf.DUMMYFUNCTION("""COMPUTED_VALUE"""),80)</f>
        <v>80</v>
      </c>
      <c r="P47" s="1">
        <f ca="1">IFERROR(__xludf.DUMMYFUNCTION("""COMPUTED_VALUE"""),107)</f>
        <v>107</v>
      </c>
      <c r="Q47" s="1">
        <f ca="1">IFERROR(__xludf.DUMMYFUNCTION("""COMPUTED_VALUE"""),85)</f>
        <v>85</v>
      </c>
      <c r="R47" s="1">
        <f ca="1">IFERROR(__xludf.DUMMYFUNCTION("""COMPUTED_VALUE"""),102.3)</f>
        <v>102.3</v>
      </c>
      <c r="S47" s="1">
        <f ca="1">IFERROR(__xludf.DUMMYFUNCTION("""COMPUTED_VALUE"""),82)</f>
        <v>82</v>
      </c>
      <c r="T47" s="1" t="str">
        <f ca="1">IFERROR(__xludf.DUMMYFUNCTION("""COMPUTED_VALUE"""),"+1.97")</f>
        <v>+1.97</v>
      </c>
      <c r="U47" s="1">
        <f ca="1">IFERROR(__xludf.DUMMYFUNCTION("""COMPUTED_VALUE"""),109)</f>
        <v>109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IFERROR(__xludf.DUMMYFUNCTION("""COMPUTED_VALUE"""),"Providence9")</f>
        <v>Providence9</v>
      </c>
      <c r="C48" s="1" t="str">
        <f ca="1">IFERROR(__xludf.DUMMYFUNCTION("""COMPUTED_VALUE"""),"BE")</f>
        <v>BE</v>
      </c>
      <c r="D48" s="1" t="str">
        <f ca="1">IFERROR(__xludf.DUMMYFUNCTION("""COMPUTED_VALUE"""),"24-11")</f>
        <v>24-11</v>
      </c>
      <c r="E48" s="1" t="str">
        <f ca="1">IFERROR(__xludf.DUMMYFUNCTION("""COMPUTED_VALUE"""),"+14.49")</f>
        <v>+14.49</v>
      </c>
      <c r="F48" s="1">
        <f ca="1">IFERROR(__xludf.DUMMYFUNCTION("""COMPUTED_VALUE"""),110)</f>
        <v>110</v>
      </c>
      <c r="G48" s="1">
        <f ca="1">IFERROR(__xludf.DUMMYFUNCTION("""COMPUTED_VALUE"""),92)</f>
        <v>92</v>
      </c>
      <c r="H48" s="1">
        <f ca="1">IFERROR(__xludf.DUMMYFUNCTION("""COMPUTED_VALUE"""),95.5)</f>
        <v>95.5</v>
      </c>
      <c r="I48" s="1">
        <f ca="1">IFERROR(__xludf.DUMMYFUNCTION("""COMPUTED_VALUE"""),28)</f>
        <v>28</v>
      </c>
      <c r="J48" s="1">
        <f ca="1">IFERROR(__xludf.DUMMYFUNCTION("""COMPUTED_VALUE"""),68.4)</f>
        <v>68.400000000000006</v>
      </c>
      <c r="K48" s="1">
        <f ca="1">IFERROR(__xludf.DUMMYFUNCTION("""COMPUTED_VALUE"""),150)</f>
        <v>150</v>
      </c>
      <c r="L48" s="1" t="str">
        <f ca="1">IFERROR(__xludf.DUMMYFUNCTION("""COMPUTED_VALUE"""),"+.062")</f>
        <v>+.062</v>
      </c>
      <c r="M48" s="1">
        <f ca="1">IFERROR(__xludf.DUMMYFUNCTION("""COMPUTED_VALUE"""),42)</f>
        <v>42</v>
      </c>
      <c r="N48" s="1" t="str">
        <f ca="1">IFERROR(__xludf.DUMMYFUNCTION("""COMPUTED_VALUE"""),"+8.93")</f>
        <v>+8.93</v>
      </c>
      <c r="O48" s="1">
        <f ca="1">IFERROR(__xludf.DUMMYFUNCTION("""COMPUTED_VALUE"""),36)</f>
        <v>36</v>
      </c>
      <c r="P48" s="1">
        <f ca="1">IFERROR(__xludf.DUMMYFUNCTION("""COMPUTED_VALUE"""),109.5)</f>
        <v>109.5</v>
      </c>
      <c r="Q48" s="1">
        <f ca="1">IFERROR(__xludf.DUMMYFUNCTION("""COMPUTED_VALUE"""),39)</f>
        <v>39</v>
      </c>
      <c r="R48" s="1">
        <f ca="1">IFERROR(__xludf.DUMMYFUNCTION("""COMPUTED_VALUE"""),100.6)</f>
        <v>100.6</v>
      </c>
      <c r="S48" s="1">
        <f ca="1">IFERROR(__xludf.DUMMYFUNCTION("""COMPUTED_VALUE"""),32)</f>
        <v>32</v>
      </c>
      <c r="T48" s="1">
        <f ca="1">IFERROR(__xludf.DUMMYFUNCTION("""COMPUTED_VALUE"""),-3.13)</f>
        <v>-3.13</v>
      </c>
      <c r="U48" s="1">
        <f ca="1">IFERROR(__xludf.DUMMYFUNCTION("""COMPUTED_VALUE"""),259)</f>
        <v>259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IFERROR(__xludf.DUMMYFUNCTION("""COMPUTED_VALUE"""),"Clemson")</f>
        <v>Clemson</v>
      </c>
      <c r="C49" s="1" t="str">
        <f ca="1">IFERROR(__xludf.DUMMYFUNCTION("""COMPUTED_VALUE"""),"ACC")</f>
        <v>ACC</v>
      </c>
      <c r="D49" s="1" t="str">
        <f ca="1">IFERROR(__xludf.DUMMYFUNCTION("""COMPUTED_VALUE"""),"17-14")</f>
        <v>17-14</v>
      </c>
      <c r="E49" s="1" t="str">
        <f ca="1">IFERROR(__xludf.DUMMYFUNCTION("""COMPUTED_VALUE"""),"+14.38")</f>
        <v>+14.38</v>
      </c>
      <c r="F49" s="1">
        <f ca="1">IFERROR(__xludf.DUMMYFUNCTION("""COMPUTED_VALUE"""),113.3)</f>
        <v>113.3</v>
      </c>
      <c r="G49" s="1">
        <f ca="1">IFERROR(__xludf.DUMMYFUNCTION("""COMPUTED_VALUE"""),45)</f>
        <v>45</v>
      </c>
      <c r="H49" s="1">
        <f ca="1">IFERROR(__xludf.DUMMYFUNCTION("""COMPUTED_VALUE"""),98.9)</f>
        <v>98.9</v>
      </c>
      <c r="I49" s="1">
        <f ca="1">IFERROR(__xludf.DUMMYFUNCTION("""COMPUTED_VALUE"""),62)</f>
        <v>62</v>
      </c>
      <c r="J49" s="1">
        <f ca="1">IFERROR(__xludf.DUMMYFUNCTION("""COMPUTED_VALUE"""),63.7)</f>
        <v>63.7</v>
      </c>
      <c r="K49" s="1">
        <f ca="1">IFERROR(__xludf.DUMMYFUNCTION("""COMPUTED_VALUE"""),337)</f>
        <v>337</v>
      </c>
      <c r="L49" s="1">
        <f ca="1">IFERROR(__xludf.DUMMYFUNCTION("""COMPUTED_VALUE"""),-0.095)</f>
        <v>-9.5000000000000001E-2</v>
      </c>
      <c r="M49" s="1">
        <f ca="1">IFERROR(__xludf.DUMMYFUNCTION("""COMPUTED_VALUE"""),339)</f>
        <v>339</v>
      </c>
      <c r="N49" s="1" t="str">
        <f ca="1">IFERROR(__xludf.DUMMYFUNCTION("""COMPUTED_VALUE"""),"+6.74")</f>
        <v>+6.74</v>
      </c>
      <c r="O49" s="1">
        <f ca="1">IFERROR(__xludf.DUMMYFUNCTION("""COMPUTED_VALUE"""),61)</f>
        <v>61</v>
      </c>
      <c r="P49" s="1">
        <f ca="1">IFERROR(__xludf.DUMMYFUNCTION("""COMPUTED_VALUE"""),108.7)</f>
        <v>108.7</v>
      </c>
      <c r="Q49" s="1">
        <f ca="1">IFERROR(__xludf.DUMMYFUNCTION("""COMPUTED_VALUE"""),56)</f>
        <v>56</v>
      </c>
      <c r="R49" s="1">
        <f ca="1">IFERROR(__xludf.DUMMYFUNCTION("""COMPUTED_VALUE"""),102)</f>
        <v>102</v>
      </c>
      <c r="S49" s="1">
        <f ca="1">IFERROR(__xludf.DUMMYFUNCTION("""COMPUTED_VALUE"""),72)</f>
        <v>72</v>
      </c>
      <c r="T49" s="1">
        <f ca="1">IFERROR(__xludf.DUMMYFUNCTION("""COMPUTED_VALUE"""),-7.97)</f>
        <v>-7.97</v>
      </c>
      <c r="U49" s="1">
        <f ca="1">IFERROR(__xludf.DUMMYFUNCTION("""COMPUTED_VALUE"""),335)</f>
        <v>335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IFERROR(__xludf.DUMMYFUNCTION("""COMPUTED_VALUE"""),"San Diego St.2")</f>
        <v>San Diego St.2</v>
      </c>
      <c r="C50" s="1" t="str">
        <f ca="1">IFERROR(__xludf.DUMMYFUNCTION("""COMPUTED_VALUE"""),"MWC")</f>
        <v>MWC</v>
      </c>
      <c r="D50" s="1" t="str">
        <f ca="1">IFERROR(__xludf.DUMMYFUNCTION("""COMPUTED_VALUE"""),"28-10")</f>
        <v>28-10</v>
      </c>
      <c r="E50" s="1" t="str">
        <f ca="1">IFERROR(__xludf.DUMMYFUNCTION("""COMPUTED_VALUE"""),"+14.35")</f>
        <v>+14.35</v>
      </c>
      <c r="F50" s="1">
        <f ca="1">IFERROR(__xludf.DUMMYFUNCTION("""COMPUTED_VALUE"""),104.8)</f>
        <v>104.8</v>
      </c>
      <c r="G50" s="1">
        <f ca="1">IFERROR(__xludf.DUMMYFUNCTION("""COMPUTED_VALUE"""),171)</f>
        <v>171</v>
      </c>
      <c r="H50" s="1">
        <f ca="1">IFERROR(__xludf.DUMMYFUNCTION("""COMPUTED_VALUE"""),90.5)</f>
        <v>90.5</v>
      </c>
      <c r="I50" s="1">
        <f ca="1">IFERROR(__xludf.DUMMYFUNCTION("""COMPUTED_VALUE"""),4)</f>
        <v>4</v>
      </c>
      <c r="J50" s="1">
        <f ca="1">IFERROR(__xludf.DUMMYFUNCTION("""COMPUTED_VALUE"""),64.8)</f>
        <v>64.8</v>
      </c>
      <c r="K50" s="1">
        <f ca="1">IFERROR(__xludf.DUMMYFUNCTION("""COMPUTED_VALUE"""),321)</f>
        <v>321</v>
      </c>
      <c r="L50" s="1" t="str">
        <f ca="1">IFERROR(__xludf.DUMMYFUNCTION("""COMPUTED_VALUE"""),"+.015")</f>
        <v>+.015</v>
      </c>
      <c r="M50" s="1">
        <f ca="1">IFERROR(__xludf.DUMMYFUNCTION("""COMPUTED_VALUE"""),135)</f>
        <v>135</v>
      </c>
      <c r="N50" s="1" t="str">
        <f ca="1">IFERROR(__xludf.DUMMYFUNCTION("""COMPUTED_VALUE"""),"+3.56")</f>
        <v>+3.56</v>
      </c>
      <c r="O50" s="1">
        <f ca="1">IFERROR(__xludf.DUMMYFUNCTION("""COMPUTED_VALUE"""),89)</f>
        <v>89</v>
      </c>
      <c r="P50" s="1">
        <f ca="1">IFERROR(__xludf.DUMMYFUNCTION("""COMPUTED_VALUE"""),106.7)</f>
        <v>106.7</v>
      </c>
      <c r="Q50" s="1">
        <f ca="1">IFERROR(__xludf.DUMMYFUNCTION("""COMPUTED_VALUE"""),91)</f>
        <v>91</v>
      </c>
      <c r="R50" s="1">
        <f ca="1">IFERROR(__xludf.DUMMYFUNCTION("""COMPUTED_VALUE"""),103.1)</f>
        <v>103.1</v>
      </c>
      <c r="S50" s="1">
        <f ca="1">IFERROR(__xludf.DUMMYFUNCTION("""COMPUTED_VALUE"""),103)</f>
        <v>103</v>
      </c>
      <c r="T50" s="1" t="str">
        <f ca="1">IFERROR(__xludf.DUMMYFUNCTION("""COMPUTED_VALUE"""),"+5.73")</f>
        <v>+5.73</v>
      </c>
      <c r="U50" s="1">
        <f ca="1">IFERROR(__xludf.DUMMYFUNCTION("""COMPUTED_VALUE"""),28)</f>
        <v>28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IFERROR(__xludf.DUMMYFUNCTION("""COMPUTED_VALUE"""),"Yale12")</f>
        <v>Yale12</v>
      </c>
      <c r="C51" s="1" t="str">
        <f ca="1">IFERROR(__xludf.DUMMYFUNCTION("""COMPUTED_VALUE"""),"Ivy")</f>
        <v>Ivy</v>
      </c>
      <c r="D51" s="1" t="str">
        <f ca="1">IFERROR(__xludf.DUMMYFUNCTION("""COMPUTED_VALUE"""),"23-7")</f>
        <v>23-7</v>
      </c>
      <c r="E51" s="1" t="str">
        <f ca="1">IFERROR(__xludf.DUMMYFUNCTION("""COMPUTED_VALUE"""),"+14.33")</f>
        <v>+14.33</v>
      </c>
      <c r="F51" s="1">
        <f ca="1">IFERROR(__xludf.DUMMYFUNCTION("""COMPUTED_VALUE"""),110.4)</f>
        <v>110.4</v>
      </c>
      <c r="G51" s="1">
        <f ca="1">IFERROR(__xludf.DUMMYFUNCTION("""COMPUTED_VALUE"""),88)</f>
        <v>88</v>
      </c>
      <c r="H51" s="1">
        <f ca="1">IFERROR(__xludf.DUMMYFUNCTION("""COMPUTED_VALUE"""),96)</f>
        <v>96</v>
      </c>
      <c r="I51" s="1">
        <f ca="1">IFERROR(__xludf.DUMMYFUNCTION("""COMPUTED_VALUE"""),34)</f>
        <v>34</v>
      </c>
      <c r="J51" s="1">
        <f ca="1">IFERROR(__xludf.DUMMYFUNCTION("""COMPUTED_VALUE"""),66)</f>
        <v>66</v>
      </c>
      <c r="K51" s="1">
        <f ca="1">IFERROR(__xludf.DUMMYFUNCTION("""COMPUTED_VALUE"""),275)</f>
        <v>275</v>
      </c>
      <c r="L51" s="1" t="str">
        <f ca="1">IFERROR(__xludf.DUMMYFUNCTION("""COMPUTED_VALUE"""),"+.026")</f>
        <v>+.026</v>
      </c>
      <c r="M51" s="1">
        <f ca="1">IFERROR(__xludf.DUMMYFUNCTION("""COMPUTED_VALUE"""),105)</f>
        <v>105</v>
      </c>
      <c r="N51" s="1">
        <f ca="1">IFERROR(__xludf.DUMMYFUNCTION("""COMPUTED_VALUE"""),-0.85)</f>
        <v>-0.85</v>
      </c>
      <c r="O51" s="1">
        <f ca="1">IFERROR(__xludf.DUMMYFUNCTION("""COMPUTED_VALUE"""),169)</f>
        <v>169</v>
      </c>
      <c r="P51" s="1">
        <f ca="1">IFERROR(__xludf.DUMMYFUNCTION("""COMPUTED_VALUE"""),105.5)</f>
        <v>105.5</v>
      </c>
      <c r="Q51" s="1">
        <f ca="1">IFERROR(__xludf.DUMMYFUNCTION("""COMPUTED_VALUE"""),122)</f>
        <v>122</v>
      </c>
      <c r="R51" s="1">
        <f ca="1">IFERROR(__xludf.DUMMYFUNCTION("""COMPUTED_VALUE"""),106.4)</f>
        <v>106.4</v>
      </c>
      <c r="S51" s="1">
        <f ca="1">IFERROR(__xludf.DUMMYFUNCTION("""COMPUTED_VALUE"""),209)</f>
        <v>209</v>
      </c>
      <c r="T51" s="1">
        <f ca="1">IFERROR(__xludf.DUMMYFUNCTION("""COMPUTED_VALUE"""),-1)</f>
        <v>-1</v>
      </c>
      <c r="U51" s="1">
        <f ca="1">IFERROR(__xludf.DUMMYFUNCTION("""COMPUTED_VALUE"""),193)</f>
        <v>193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IFERROR(__xludf.DUMMYFUNCTION("""COMPUTED_VALUE"""),"Florida St.4")</f>
        <v>Florida St.4</v>
      </c>
      <c r="C52" s="1" t="str">
        <f ca="1">IFERROR(__xludf.DUMMYFUNCTION("""COMPUTED_VALUE"""),"ACC")</f>
        <v>ACC</v>
      </c>
      <c r="D52" s="1" t="str">
        <f ca="1">IFERROR(__xludf.DUMMYFUNCTION("""COMPUTED_VALUE"""),"20-14")</f>
        <v>20-14</v>
      </c>
      <c r="E52" s="1" t="str">
        <f ca="1">IFERROR(__xludf.DUMMYFUNCTION("""COMPUTED_VALUE"""),"+14.26")</f>
        <v>+14.26</v>
      </c>
      <c r="F52" s="1">
        <f ca="1">IFERROR(__xludf.DUMMYFUNCTION("""COMPUTED_VALUE"""),113.1)</f>
        <v>113.1</v>
      </c>
      <c r="G52" s="1">
        <f ca="1">IFERROR(__xludf.DUMMYFUNCTION("""COMPUTED_VALUE"""),47)</f>
        <v>47</v>
      </c>
      <c r="H52" s="1">
        <f ca="1">IFERROR(__xludf.DUMMYFUNCTION("""COMPUTED_VALUE"""),98.9)</f>
        <v>98.9</v>
      </c>
      <c r="I52" s="1">
        <f ca="1">IFERROR(__xludf.DUMMYFUNCTION("""COMPUTED_VALUE"""),61)</f>
        <v>61</v>
      </c>
      <c r="J52" s="1">
        <f ca="1">IFERROR(__xludf.DUMMYFUNCTION("""COMPUTED_VALUE"""),71.6)</f>
        <v>71.599999999999994</v>
      </c>
      <c r="K52" s="1">
        <f ca="1">IFERROR(__xludf.DUMMYFUNCTION("""COMPUTED_VALUE"""),42)</f>
        <v>42</v>
      </c>
      <c r="L52" s="1">
        <f ca="1">IFERROR(__xludf.DUMMYFUNCTION("""COMPUTED_VALUE"""),-0.02)</f>
        <v>-0.02</v>
      </c>
      <c r="M52" s="1">
        <f ca="1">IFERROR(__xludf.DUMMYFUNCTION("""COMPUTED_VALUE"""),231)</f>
        <v>231</v>
      </c>
      <c r="N52" s="1" t="str">
        <f ca="1">IFERROR(__xludf.DUMMYFUNCTION("""COMPUTED_VALUE"""),"+9.52")</f>
        <v>+9.52</v>
      </c>
      <c r="O52" s="1">
        <f ca="1">IFERROR(__xludf.DUMMYFUNCTION("""COMPUTED_VALUE"""),26)</f>
        <v>26</v>
      </c>
      <c r="P52" s="1">
        <f ca="1">IFERROR(__xludf.DUMMYFUNCTION("""COMPUTED_VALUE"""),110.2)</f>
        <v>110.2</v>
      </c>
      <c r="Q52" s="1">
        <f ca="1">IFERROR(__xludf.DUMMYFUNCTION("""COMPUTED_VALUE"""),27)</f>
        <v>27</v>
      </c>
      <c r="R52" s="1">
        <f ca="1">IFERROR(__xludf.DUMMYFUNCTION("""COMPUTED_VALUE"""),100.7)</f>
        <v>100.7</v>
      </c>
      <c r="S52" s="1">
        <f ca="1">IFERROR(__xludf.DUMMYFUNCTION("""COMPUTED_VALUE"""),34)</f>
        <v>34</v>
      </c>
      <c r="T52" s="1">
        <f ca="1">IFERROR(__xludf.DUMMYFUNCTION("""COMPUTED_VALUE"""),-1.82)</f>
        <v>-1.82</v>
      </c>
      <c r="U52" s="1">
        <f ca="1">IFERROR(__xludf.DUMMYFUNCTION("""COMPUTED_VALUE"""),216)</f>
        <v>216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IFERROR(__xludf.DUMMYFUNCTION("""COMPUTED_VALUE"""),"USC8")</f>
        <v>USC8</v>
      </c>
      <c r="C53" s="1" t="str">
        <f ca="1">IFERROR(__xludf.DUMMYFUNCTION("""COMPUTED_VALUE"""),"P12")</f>
        <v>P12</v>
      </c>
      <c r="D53" s="1" t="str">
        <f ca="1">IFERROR(__xludf.DUMMYFUNCTION("""COMPUTED_VALUE"""),"21-13")</f>
        <v>21-13</v>
      </c>
      <c r="E53" s="1" t="str">
        <f ca="1">IFERROR(__xludf.DUMMYFUNCTION("""COMPUTED_VALUE"""),"+14.25")</f>
        <v>+14.25</v>
      </c>
      <c r="F53" s="1">
        <f ca="1">IFERROR(__xludf.DUMMYFUNCTION("""COMPUTED_VALUE"""),113.9)</f>
        <v>113.9</v>
      </c>
      <c r="G53" s="1">
        <f ca="1">IFERROR(__xludf.DUMMYFUNCTION("""COMPUTED_VALUE"""),35)</f>
        <v>35</v>
      </c>
      <c r="H53" s="1">
        <f ca="1">IFERROR(__xludf.DUMMYFUNCTION("""COMPUTED_VALUE"""),99.7)</f>
        <v>99.7</v>
      </c>
      <c r="I53" s="1">
        <f ca="1">IFERROR(__xludf.DUMMYFUNCTION("""COMPUTED_VALUE"""),80)</f>
        <v>80</v>
      </c>
      <c r="J53" s="1">
        <f ca="1">IFERROR(__xludf.DUMMYFUNCTION("""COMPUTED_VALUE"""),71)</f>
        <v>71</v>
      </c>
      <c r="K53" s="1">
        <f ca="1">IFERROR(__xludf.DUMMYFUNCTION("""COMPUTED_VALUE"""),54)</f>
        <v>54</v>
      </c>
      <c r="L53" s="1">
        <f ca="1">IFERROR(__xludf.DUMMYFUNCTION("""COMPUTED_VALUE"""),-0.028)</f>
        <v>-2.8000000000000001E-2</v>
      </c>
      <c r="M53" s="1">
        <f ca="1">IFERROR(__xludf.DUMMYFUNCTION("""COMPUTED_VALUE"""),251)</f>
        <v>251</v>
      </c>
      <c r="N53" s="1" t="str">
        <f ca="1">IFERROR(__xludf.DUMMYFUNCTION("""COMPUTED_VALUE"""),"+7.61")</f>
        <v>+7.61</v>
      </c>
      <c r="O53" s="1">
        <f ca="1">IFERROR(__xludf.DUMMYFUNCTION("""COMPUTED_VALUE"""),53)</f>
        <v>53</v>
      </c>
      <c r="P53" s="1">
        <f ca="1">IFERROR(__xludf.DUMMYFUNCTION("""COMPUTED_VALUE"""),108.7)</f>
        <v>108.7</v>
      </c>
      <c r="Q53" s="1">
        <f ca="1">IFERROR(__xludf.DUMMYFUNCTION("""COMPUTED_VALUE"""),57)</f>
        <v>57</v>
      </c>
      <c r="R53" s="1">
        <f ca="1">IFERROR(__xludf.DUMMYFUNCTION("""COMPUTED_VALUE"""),101.1)</f>
        <v>101.1</v>
      </c>
      <c r="S53" s="1">
        <f ca="1">IFERROR(__xludf.DUMMYFUNCTION("""COMPUTED_VALUE"""),46)</f>
        <v>46</v>
      </c>
      <c r="T53" s="1">
        <f ca="1">IFERROR(__xludf.DUMMYFUNCTION("""COMPUTED_VALUE"""),-1.65)</f>
        <v>-1.65</v>
      </c>
      <c r="U53" s="1">
        <f ca="1">IFERROR(__xludf.DUMMYFUNCTION("""COMPUTED_VALUE"""),211)</f>
        <v>211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IFERROR(__xludf.DUMMYFUNCTION("""COMPUTED_VALUE"""),"Michigan11")</f>
        <v>Michigan11</v>
      </c>
      <c r="C54" s="1" t="str">
        <f ca="1">IFERROR(__xludf.DUMMYFUNCTION("""COMPUTED_VALUE"""),"B10")</f>
        <v>B10</v>
      </c>
      <c r="D54" s="1" t="str">
        <f ca="1">IFERROR(__xludf.DUMMYFUNCTION("""COMPUTED_VALUE"""),"23-13")</f>
        <v>23-13</v>
      </c>
      <c r="E54" s="1" t="str">
        <f ca="1">IFERROR(__xludf.DUMMYFUNCTION("""COMPUTED_VALUE"""),"+14.15")</f>
        <v>+14.15</v>
      </c>
      <c r="F54" s="1">
        <f ca="1">IFERROR(__xludf.DUMMYFUNCTION("""COMPUTED_VALUE"""),114.6)</f>
        <v>114.6</v>
      </c>
      <c r="G54" s="1">
        <f ca="1">IFERROR(__xludf.DUMMYFUNCTION("""COMPUTED_VALUE"""),30)</f>
        <v>30</v>
      </c>
      <c r="H54" s="1">
        <f ca="1">IFERROR(__xludf.DUMMYFUNCTION("""COMPUTED_VALUE"""),100.5)</f>
        <v>100.5</v>
      </c>
      <c r="I54" s="1">
        <f ca="1">IFERROR(__xludf.DUMMYFUNCTION("""COMPUTED_VALUE"""),92)</f>
        <v>92</v>
      </c>
      <c r="J54" s="1">
        <f ca="1">IFERROR(__xludf.DUMMYFUNCTION("""COMPUTED_VALUE"""),65.8)</f>
        <v>65.8</v>
      </c>
      <c r="K54" s="1">
        <f ca="1">IFERROR(__xludf.DUMMYFUNCTION("""COMPUTED_VALUE"""),289)</f>
        <v>289</v>
      </c>
      <c r="L54" s="1" t="str">
        <f ca="1">IFERROR(__xludf.DUMMYFUNCTION("""COMPUTED_VALUE"""),"+.013")</f>
        <v>+.013</v>
      </c>
      <c r="M54" s="1">
        <f ca="1">IFERROR(__xludf.DUMMYFUNCTION("""COMPUTED_VALUE"""),146)</f>
        <v>146</v>
      </c>
      <c r="N54" s="1" t="str">
        <f ca="1">IFERROR(__xludf.DUMMYFUNCTION("""COMPUTED_VALUE"""),"+8.96")</f>
        <v>+8.96</v>
      </c>
      <c r="O54" s="1">
        <f ca="1">IFERROR(__xludf.DUMMYFUNCTION("""COMPUTED_VALUE"""),35)</f>
        <v>35</v>
      </c>
      <c r="P54" s="1">
        <f ca="1">IFERROR(__xludf.DUMMYFUNCTION("""COMPUTED_VALUE"""),110.1)</f>
        <v>110.1</v>
      </c>
      <c r="Q54" s="1">
        <f ca="1">IFERROR(__xludf.DUMMYFUNCTION("""COMPUTED_VALUE"""),29)</f>
        <v>29</v>
      </c>
      <c r="R54" s="1">
        <f ca="1">IFERROR(__xludf.DUMMYFUNCTION("""COMPUTED_VALUE"""),101.1)</f>
        <v>101.1</v>
      </c>
      <c r="S54" s="1">
        <f ca="1">IFERROR(__xludf.DUMMYFUNCTION("""COMPUTED_VALUE"""),48)</f>
        <v>48</v>
      </c>
      <c r="T54" s="1">
        <f ca="1">IFERROR(__xludf.DUMMYFUNCTION("""COMPUTED_VALUE"""),-2.15)</f>
        <v>-2.15</v>
      </c>
      <c r="U54" s="1">
        <f ca="1">IFERROR(__xludf.DUMMYFUNCTION("""COMPUTED_VALUE"""),226)</f>
        <v>226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IFERROR(__xludf.DUMMYFUNCTION("""COMPUTED_VALUE"""),"Georgia Tech4")</f>
        <v>Georgia Tech4</v>
      </c>
      <c r="C55" s="1" t="str">
        <f ca="1">IFERROR(__xludf.DUMMYFUNCTION("""COMPUTED_VALUE"""),"ACC")</f>
        <v>ACC</v>
      </c>
      <c r="D55" s="1" t="str">
        <f ca="1">IFERROR(__xludf.DUMMYFUNCTION("""COMPUTED_VALUE"""),"21-15")</f>
        <v>21-15</v>
      </c>
      <c r="E55" s="1" t="str">
        <f ca="1">IFERROR(__xludf.DUMMYFUNCTION("""COMPUTED_VALUE"""),"+14.13")</f>
        <v>+14.13</v>
      </c>
      <c r="F55" s="1">
        <f ca="1">IFERROR(__xludf.DUMMYFUNCTION("""COMPUTED_VALUE"""),113.8)</f>
        <v>113.8</v>
      </c>
      <c r="G55" s="1">
        <f ca="1">IFERROR(__xludf.DUMMYFUNCTION("""COMPUTED_VALUE"""),38)</f>
        <v>38</v>
      </c>
      <c r="H55" s="1">
        <f ca="1">IFERROR(__xludf.DUMMYFUNCTION("""COMPUTED_VALUE"""),99.6)</f>
        <v>99.6</v>
      </c>
      <c r="I55" s="1">
        <f ca="1">IFERROR(__xludf.DUMMYFUNCTION("""COMPUTED_VALUE"""),78)</f>
        <v>78</v>
      </c>
      <c r="J55" s="1">
        <f ca="1">IFERROR(__xludf.DUMMYFUNCTION("""COMPUTED_VALUE"""),67.1)</f>
        <v>67.099999999999994</v>
      </c>
      <c r="K55" s="1">
        <f ca="1">IFERROR(__xludf.DUMMYFUNCTION("""COMPUTED_VALUE"""),232)</f>
        <v>232</v>
      </c>
      <c r="L55" s="1" t="str">
        <f ca="1">IFERROR(__xludf.DUMMYFUNCTION("""COMPUTED_VALUE"""),"+.015")</f>
        <v>+.015</v>
      </c>
      <c r="M55" s="1">
        <f ca="1">IFERROR(__xludf.DUMMYFUNCTION("""COMPUTED_VALUE"""),134)</f>
        <v>134</v>
      </c>
      <c r="N55" s="1" t="str">
        <f ca="1">IFERROR(__xludf.DUMMYFUNCTION("""COMPUTED_VALUE"""),"+10.67")</f>
        <v>+10.67</v>
      </c>
      <c r="O55" s="1">
        <f ca="1">IFERROR(__xludf.DUMMYFUNCTION("""COMPUTED_VALUE"""),14)</f>
        <v>14</v>
      </c>
      <c r="P55" s="1">
        <f ca="1">IFERROR(__xludf.DUMMYFUNCTION("""COMPUTED_VALUE"""),111.1)</f>
        <v>111.1</v>
      </c>
      <c r="Q55" s="1">
        <f ca="1">IFERROR(__xludf.DUMMYFUNCTION("""COMPUTED_VALUE"""),10)</f>
        <v>10</v>
      </c>
      <c r="R55" s="1">
        <f ca="1">IFERROR(__xludf.DUMMYFUNCTION("""COMPUTED_VALUE"""),100.4)</f>
        <v>100.4</v>
      </c>
      <c r="S55" s="1">
        <f ca="1">IFERROR(__xludf.DUMMYFUNCTION("""COMPUTED_VALUE"""),26)</f>
        <v>26</v>
      </c>
      <c r="T55" s="1">
        <f ca="1">IFERROR(__xludf.DUMMYFUNCTION("""COMPUTED_VALUE"""),-0.84)</f>
        <v>-0.84</v>
      </c>
      <c r="U55" s="1">
        <f ca="1">IFERROR(__xludf.DUMMYFUNCTION("""COMPUTED_VALUE"""),182)</f>
        <v>182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IFERROR(__xludf.DUMMYFUNCTION("""COMPUTED_VALUE"""),"BYU2")</f>
        <v>BYU2</v>
      </c>
      <c r="C56" s="1" t="str">
        <f ca="1">IFERROR(__xludf.DUMMYFUNCTION("""COMPUTED_VALUE"""),"WCC")</f>
        <v>WCC</v>
      </c>
      <c r="D56" s="1" t="str">
        <f ca="1">IFERROR(__xludf.DUMMYFUNCTION("""COMPUTED_VALUE"""),"26-11")</f>
        <v>26-11</v>
      </c>
      <c r="E56" s="1" t="str">
        <f ca="1">IFERROR(__xludf.DUMMYFUNCTION("""COMPUTED_VALUE"""),"+13.89")</f>
        <v>+13.89</v>
      </c>
      <c r="F56" s="1">
        <f ca="1">IFERROR(__xludf.DUMMYFUNCTION("""COMPUTED_VALUE"""),113.1)</f>
        <v>113.1</v>
      </c>
      <c r="G56" s="1">
        <f ca="1">IFERROR(__xludf.DUMMYFUNCTION("""COMPUTED_VALUE"""),48)</f>
        <v>48</v>
      </c>
      <c r="H56" s="1">
        <f ca="1">IFERROR(__xludf.DUMMYFUNCTION("""COMPUTED_VALUE"""),99.2)</f>
        <v>99.2</v>
      </c>
      <c r="I56" s="1">
        <f ca="1">IFERROR(__xludf.DUMMYFUNCTION("""COMPUTED_VALUE"""),68)</f>
        <v>68</v>
      </c>
      <c r="J56" s="1">
        <f ca="1">IFERROR(__xludf.DUMMYFUNCTION("""COMPUTED_VALUE"""),73.7)</f>
        <v>73.7</v>
      </c>
      <c r="K56" s="1">
        <f ca="1">IFERROR(__xludf.DUMMYFUNCTION("""COMPUTED_VALUE"""),10)</f>
        <v>10</v>
      </c>
      <c r="L56" s="1">
        <f ca="1">IFERROR(__xludf.DUMMYFUNCTION("""COMPUTED_VALUE"""),-0.05)</f>
        <v>-0.05</v>
      </c>
      <c r="M56" s="1">
        <f ca="1">IFERROR(__xludf.DUMMYFUNCTION("""COMPUTED_VALUE"""),291)</f>
        <v>291</v>
      </c>
      <c r="N56" s="1" t="str">
        <f ca="1">IFERROR(__xludf.DUMMYFUNCTION("""COMPUTED_VALUE"""),"+1.32")</f>
        <v>+1.32</v>
      </c>
      <c r="O56" s="1">
        <f ca="1">IFERROR(__xludf.DUMMYFUNCTION("""COMPUTED_VALUE"""),126)</f>
        <v>126</v>
      </c>
      <c r="P56" s="1">
        <f ca="1">IFERROR(__xludf.DUMMYFUNCTION("""COMPUTED_VALUE"""),106.2)</f>
        <v>106.2</v>
      </c>
      <c r="Q56" s="1">
        <f ca="1">IFERROR(__xludf.DUMMYFUNCTION("""COMPUTED_VALUE"""),105)</f>
        <v>105</v>
      </c>
      <c r="R56" s="1">
        <f ca="1">IFERROR(__xludf.DUMMYFUNCTION("""COMPUTED_VALUE"""),104.9)</f>
        <v>104.9</v>
      </c>
      <c r="S56" s="1">
        <f ca="1">IFERROR(__xludf.DUMMYFUNCTION("""COMPUTED_VALUE"""),148)</f>
        <v>148</v>
      </c>
      <c r="T56" s="1" t="str">
        <f ca="1">IFERROR(__xludf.DUMMYFUNCTION("""COMPUTED_VALUE"""),"+1.46")</f>
        <v>+1.46</v>
      </c>
      <c r="U56" s="1">
        <f ca="1">IFERROR(__xludf.DUMMYFUNCTION("""COMPUTED_VALUE"""),125)</f>
        <v>125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IFERROR(__xludf.DUMMYFUNCTION("""COMPUTED_VALUE"""),"George Washington4")</f>
        <v>George Washington4</v>
      </c>
      <c r="C57" s="1" t="str">
        <f ca="1">IFERROR(__xludf.DUMMYFUNCTION("""COMPUTED_VALUE"""),"A10")</f>
        <v>A10</v>
      </c>
      <c r="D57" s="1" t="str">
        <f ca="1">IFERROR(__xludf.DUMMYFUNCTION("""COMPUTED_VALUE"""),"28-10")</f>
        <v>28-10</v>
      </c>
      <c r="E57" s="1" t="str">
        <f ca="1">IFERROR(__xludf.DUMMYFUNCTION("""COMPUTED_VALUE"""),"+13.86")</f>
        <v>+13.86</v>
      </c>
      <c r="F57" s="1">
        <f ca="1">IFERROR(__xludf.DUMMYFUNCTION("""COMPUTED_VALUE"""),114.8)</f>
        <v>114.8</v>
      </c>
      <c r="G57" s="1">
        <f ca="1">IFERROR(__xludf.DUMMYFUNCTION("""COMPUTED_VALUE"""),29)</f>
        <v>29</v>
      </c>
      <c r="H57" s="1">
        <f ca="1">IFERROR(__xludf.DUMMYFUNCTION("""COMPUTED_VALUE"""),101)</f>
        <v>101</v>
      </c>
      <c r="I57" s="1">
        <f ca="1">IFERROR(__xludf.DUMMYFUNCTION("""COMPUTED_VALUE"""),103)</f>
        <v>103</v>
      </c>
      <c r="J57" s="1">
        <f ca="1">IFERROR(__xludf.DUMMYFUNCTION("""COMPUTED_VALUE"""),66.2)</f>
        <v>66.2</v>
      </c>
      <c r="K57" s="1">
        <f ca="1">IFERROR(__xludf.DUMMYFUNCTION("""COMPUTED_VALUE"""),265)</f>
        <v>265</v>
      </c>
      <c r="L57" s="1" t="str">
        <f ca="1">IFERROR(__xludf.DUMMYFUNCTION("""COMPUTED_VALUE"""),"+.031")</f>
        <v>+.031</v>
      </c>
      <c r="M57" s="1">
        <f ca="1">IFERROR(__xludf.DUMMYFUNCTION("""COMPUTED_VALUE"""),94)</f>
        <v>94</v>
      </c>
      <c r="N57" s="1" t="str">
        <f ca="1">IFERROR(__xludf.DUMMYFUNCTION("""COMPUTED_VALUE"""),"+3.43")</f>
        <v>+3.43</v>
      </c>
      <c r="O57" s="1">
        <f ca="1">IFERROR(__xludf.DUMMYFUNCTION("""COMPUTED_VALUE"""),91)</f>
        <v>91</v>
      </c>
      <c r="P57" s="1">
        <f ca="1">IFERROR(__xludf.DUMMYFUNCTION("""COMPUTED_VALUE"""),106)</f>
        <v>106</v>
      </c>
      <c r="Q57" s="1">
        <f ca="1">IFERROR(__xludf.DUMMYFUNCTION("""COMPUTED_VALUE"""),108)</f>
        <v>108</v>
      </c>
      <c r="R57" s="1">
        <f ca="1">IFERROR(__xludf.DUMMYFUNCTION("""COMPUTED_VALUE"""),102.6)</f>
        <v>102.6</v>
      </c>
      <c r="S57" s="1">
        <f ca="1">IFERROR(__xludf.DUMMYFUNCTION("""COMPUTED_VALUE"""),90)</f>
        <v>90</v>
      </c>
      <c r="T57" s="1">
        <f ca="1">IFERROR(__xludf.DUMMYFUNCTION("""COMPUTED_VALUE"""),-1.77)</f>
        <v>-1.77</v>
      </c>
      <c r="U57" s="1">
        <f ca="1">IFERROR(__xludf.DUMMYFUNCTION("""COMPUTED_VALUE"""),215)</f>
        <v>215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IFERROR(__xludf.DUMMYFUNCTION("""COMPUTED_VALUE"""),"Texas Tech8")</f>
        <v>Texas Tech8</v>
      </c>
      <c r="C58" s="1" t="str">
        <f ca="1">IFERROR(__xludf.DUMMYFUNCTION("""COMPUTED_VALUE"""),"B12")</f>
        <v>B12</v>
      </c>
      <c r="D58" s="1" t="str">
        <f ca="1">IFERROR(__xludf.DUMMYFUNCTION("""COMPUTED_VALUE"""),"19-13")</f>
        <v>19-13</v>
      </c>
      <c r="E58" s="1" t="str">
        <f ca="1">IFERROR(__xludf.DUMMYFUNCTION("""COMPUTED_VALUE"""),"+13.78")</f>
        <v>+13.78</v>
      </c>
      <c r="F58" s="1">
        <f ca="1">IFERROR(__xludf.DUMMYFUNCTION("""COMPUTED_VALUE"""),113.2)</f>
        <v>113.2</v>
      </c>
      <c r="G58" s="1">
        <f ca="1">IFERROR(__xludf.DUMMYFUNCTION("""COMPUTED_VALUE"""),46)</f>
        <v>46</v>
      </c>
      <c r="H58" s="1">
        <f ca="1">IFERROR(__xludf.DUMMYFUNCTION("""COMPUTED_VALUE"""),99.4)</f>
        <v>99.4</v>
      </c>
      <c r="I58" s="1">
        <f ca="1">IFERROR(__xludf.DUMMYFUNCTION("""COMPUTED_VALUE"""),72)</f>
        <v>72</v>
      </c>
      <c r="J58" s="1">
        <f ca="1">IFERROR(__xludf.DUMMYFUNCTION("""COMPUTED_VALUE"""),66)</f>
        <v>66</v>
      </c>
      <c r="K58" s="1">
        <f ca="1">IFERROR(__xludf.DUMMYFUNCTION("""COMPUTED_VALUE"""),273)</f>
        <v>273</v>
      </c>
      <c r="L58" s="1" t="str">
        <f ca="1">IFERROR(__xludf.DUMMYFUNCTION("""COMPUTED_VALUE"""),"+.028")</f>
        <v>+.028</v>
      </c>
      <c r="M58" s="1">
        <f ca="1">IFERROR(__xludf.DUMMYFUNCTION("""COMPUTED_VALUE"""),101)</f>
        <v>101</v>
      </c>
      <c r="N58" s="1" t="str">
        <f ca="1">IFERROR(__xludf.DUMMYFUNCTION("""COMPUTED_VALUE"""),"+10.66")</f>
        <v>+10.66</v>
      </c>
      <c r="O58" s="1">
        <f ca="1">IFERROR(__xludf.DUMMYFUNCTION("""COMPUTED_VALUE"""),15)</f>
        <v>15</v>
      </c>
      <c r="P58" s="1">
        <f ca="1">IFERROR(__xludf.DUMMYFUNCTION("""COMPUTED_VALUE"""),110.4)</f>
        <v>110.4</v>
      </c>
      <c r="Q58" s="1">
        <f ca="1">IFERROR(__xludf.DUMMYFUNCTION("""COMPUTED_VALUE"""),22)</f>
        <v>22</v>
      </c>
      <c r="R58" s="1">
        <f ca="1">IFERROR(__xludf.DUMMYFUNCTION("""COMPUTED_VALUE"""),99.7)</f>
        <v>99.7</v>
      </c>
      <c r="S58" s="1">
        <f ca="1">IFERROR(__xludf.DUMMYFUNCTION("""COMPUTED_VALUE"""),8)</f>
        <v>8</v>
      </c>
      <c r="T58" s="1" t="str">
        <f ca="1">IFERROR(__xludf.DUMMYFUNCTION("""COMPUTED_VALUE"""),"+0.62")</f>
        <v>+0.62</v>
      </c>
      <c r="U58" s="1">
        <f ca="1">IFERROR(__xludf.DUMMYFUNCTION("""COMPUTED_VALUE"""),151)</f>
        <v>151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IFERROR(__xludf.DUMMYFUNCTION("""COMPUTED_VALUE"""),"Kansas St.")</f>
        <v>Kansas St.</v>
      </c>
      <c r="C59" s="1" t="str">
        <f ca="1">IFERROR(__xludf.DUMMYFUNCTION("""COMPUTED_VALUE"""),"B12")</f>
        <v>B12</v>
      </c>
      <c r="D59" s="1" t="str">
        <f ca="1">IFERROR(__xludf.DUMMYFUNCTION("""COMPUTED_VALUE"""),"17-16")</f>
        <v>17-16</v>
      </c>
      <c r="E59" s="1" t="str">
        <f ca="1">IFERROR(__xludf.DUMMYFUNCTION("""COMPUTED_VALUE"""),"+13.46")</f>
        <v>+13.46</v>
      </c>
      <c r="F59" s="1">
        <f ca="1">IFERROR(__xludf.DUMMYFUNCTION("""COMPUTED_VALUE"""),108.8)</f>
        <v>108.8</v>
      </c>
      <c r="G59" s="1">
        <f ca="1">IFERROR(__xludf.DUMMYFUNCTION("""COMPUTED_VALUE"""),101)</f>
        <v>101</v>
      </c>
      <c r="H59" s="1">
        <f ca="1">IFERROR(__xludf.DUMMYFUNCTION("""COMPUTED_VALUE"""),95.4)</f>
        <v>95.4</v>
      </c>
      <c r="I59" s="1">
        <f ca="1">IFERROR(__xludf.DUMMYFUNCTION("""COMPUTED_VALUE"""),25)</f>
        <v>25</v>
      </c>
      <c r="J59" s="1">
        <f ca="1">IFERROR(__xludf.DUMMYFUNCTION("""COMPUTED_VALUE"""),66.7)</f>
        <v>66.7</v>
      </c>
      <c r="K59" s="1">
        <f ca="1">IFERROR(__xludf.DUMMYFUNCTION("""COMPUTED_VALUE"""),250)</f>
        <v>250</v>
      </c>
      <c r="L59" s="1">
        <f ca="1">IFERROR(__xludf.DUMMYFUNCTION("""COMPUTED_VALUE"""),-0.052)</f>
        <v>-5.1999999999999998E-2</v>
      </c>
      <c r="M59" s="1">
        <f ca="1">IFERROR(__xludf.DUMMYFUNCTION("""COMPUTED_VALUE"""),298)</f>
        <v>298</v>
      </c>
      <c r="N59" s="1" t="str">
        <f ca="1">IFERROR(__xludf.DUMMYFUNCTION("""COMPUTED_VALUE"""),"+10.42")</f>
        <v>+10.42</v>
      </c>
      <c r="O59" s="1">
        <f ca="1">IFERROR(__xludf.DUMMYFUNCTION("""COMPUTED_VALUE"""),16)</f>
        <v>16</v>
      </c>
      <c r="P59" s="1">
        <f ca="1">IFERROR(__xludf.DUMMYFUNCTION("""COMPUTED_VALUE"""),110.7)</f>
        <v>110.7</v>
      </c>
      <c r="Q59" s="1">
        <f ca="1">IFERROR(__xludf.DUMMYFUNCTION("""COMPUTED_VALUE"""),15)</f>
        <v>15</v>
      </c>
      <c r="R59" s="1">
        <f ca="1">IFERROR(__xludf.DUMMYFUNCTION("""COMPUTED_VALUE"""),100.3)</f>
        <v>100.3</v>
      </c>
      <c r="S59" s="1">
        <f ca="1">IFERROR(__xludf.DUMMYFUNCTION("""COMPUTED_VALUE"""),21)</f>
        <v>21</v>
      </c>
      <c r="T59" s="1">
        <f ca="1">IFERROR(__xludf.DUMMYFUNCTION("""COMPUTED_VALUE"""),-2.92)</f>
        <v>-2.92</v>
      </c>
      <c r="U59" s="1">
        <f ca="1">IFERROR(__xludf.DUMMYFUNCTION("""COMPUTED_VALUE"""),246)</f>
        <v>246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IFERROR(__xludf.DUMMYFUNCTION("""COMPUTED_VALUE"""),"Arkansas Little Rock12")</f>
        <v>Arkansas Little Rock12</v>
      </c>
      <c r="C60" s="1" t="str">
        <f ca="1">IFERROR(__xludf.DUMMYFUNCTION("""COMPUTED_VALUE"""),"SB")</f>
        <v>SB</v>
      </c>
      <c r="D60" s="1" t="str">
        <f ca="1">IFERROR(__xludf.DUMMYFUNCTION("""COMPUTED_VALUE"""),"30-5")</f>
        <v>30-5</v>
      </c>
      <c r="E60" s="1" t="str">
        <f ca="1">IFERROR(__xludf.DUMMYFUNCTION("""COMPUTED_VALUE"""),"+13.24")</f>
        <v>+13.24</v>
      </c>
      <c r="F60" s="1">
        <f ca="1">IFERROR(__xludf.DUMMYFUNCTION("""COMPUTED_VALUE"""),109.2)</f>
        <v>109.2</v>
      </c>
      <c r="G60" s="1">
        <f ca="1">IFERROR(__xludf.DUMMYFUNCTION("""COMPUTED_VALUE"""),98)</f>
        <v>98</v>
      </c>
      <c r="H60" s="1">
        <f ca="1">IFERROR(__xludf.DUMMYFUNCTION("""COMPUTED_VALUE"""),96)</f>
        <v>96</v>
      </c>
      <c r="I60" s="1">
        <f ca="1">IFERROR(__xludf.DUMMYFUNCTION("""COMPUTED_VALUE"""),33)</f>
        <v>33</v>
      </c>
      <c r="J60" s="1">
        <f ca="1">IFERROR(__xludf.DUMMYFUNCTION("""COMPUTED_VALUE"""),63.4)</f>
        <v>63.4</v>
      </c>
      <c r="K60" s="1">
        <f ca="1">IFERROR(__xludf.DUMMYFUNCTION("""COMPUTED_VALUE"""),342)</f>
        <v>342</v>
      </c>
      <c r="L60" s="1" t="str">
        <f ca="1">IFERROR(__xludf.DUMMYFUNCTION("""COMPUTED_VALUE"""),"+.056")</f>
        <v>+.056</v>
      </c>
      <c r="M60" s="1">
        <f ca="1">IFERROR(__xludf.DUMMYFUNCTION("""COMPUTED_VALUE"""),52)</f>
        <v>52</v>
      </c>
      <c r="N60" s="1">
        <f ca="1">IFERROR(__xludf.DUMMYFUNCTION("""COMPUTED_VALUE"""),-0.77)</f>
        <v>-0.77</v>
      </c>
      <c r="O60" s="1">
        <f ca="1">IFERROR(__xludf.DUMMYFUNCTION("""COMPUTED_VALUE"""),167)</f>
        <v>167</v>
      </c>
      <c r="P60" s="1">
        <f ca="1">IFERROR(__xludf.DUMMYFUNCTION("""COMPUTED_VALUE"""),104.2)</f>
        <v>104.2</v>
      </c>
      <c r="Q60" s="1">
        <f ca="1">IFERROR(__xludf.DUMMYFUNCTION("""COMPUTED_VALUE"""),188)</f>
        <v>188</v>
      </c>
      <c r="R60" s="1">
        <f ca="1">IFERROR(__xludf.DUMMYFUNCTION("""COMPUTED_VALUE"""),104.9)</f>
        <v>104.9</v>
      </c>
      <c r="S60" s="1">
        <f ca="1">IFERROR(__xludf.DUMMYFUNCTION("""COMPUTED_VALUE"""),155)</f>
        <v>155</v>
      </c>
      <c r="T60" s="1">
        <f ca="1">IFERROR(__xludf.DUMMYFUNCTION("""COMPUTED_VALUE"""),-0.2)</f>
        <v>-0.2</v>
      </c>
      <c r="U60" s="1">
        <f ca="1">IFERROR(__xludf.DUMMYFUNCTION("""COMPUTED_VALUE"""),171)</f>
        <v>171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IFERROR(__xludf.DUMMYFUNCTION("""COMPUTED_VALUE"""),"Colorado8")</f>
        <v>Colorado8</v>
      </c>
      <c r="C61" s="1" t="str">
        <f ca="1">IFERROR(__xludf.DUMMYFUNCTION("""COMPUTED_VALUE"""),"P12")</f>
        <v>P12</v>
      </c>
      <c r="D61" s="1" t="str">
        <f ca="1">IFERROR(__xludf.DUMMYFUNCTION("""COMPUTED_VALUE"""),"22-12")</f>
        <v>22-12</v>
      </c>
      <c r="E61" s="1" t="str">
        <f ca="1">IFERROR(__xludf.DUMMYFUNCTION("""COMPUTED_VALUE"""),"+12.91")</f>
        <v>+12.91</v>
      </c>
      <c r="F61" s="1">
        <f ca="1">IFERROR(__xludf.DUMMYFUNCTION("""COMPUTED_VALUE"""),108.8)</f>
        <v>108.8</v>
      </c>
      <c r="G61" s="1">
        <f ca="1">IFERROR(__xludf.DUMMYFUNCTION("""COMPUTED_VALUE"""),100)</f>
        <v>100</v>
      </c>
      <c r="H61" s="1">
        <f ca="1">IFERROR(__xludf.DUMMYFUNCTION("""COMPUTED_VALUE"""),95.9)</f>
        <v>95.9</v>
      </c>
      <c r="I61" s="1">
        <f ca="1">IFERROR(__xludf.DUMMYFUNCTION("""COMPUTED_VALUE"""),31)</f>
        <v>31</v>
      </c>
      <c r="J61" s="1">
        <f ca="1">IFERROR(__xludf.DUMMYFUNCTION("""COMPUTED_VALUE"""),69)</f>
        <v>69</v>
      </c>
      <c r="K61" s="1">
        <f ca="1">IFERROR(__xludf.DUMMYFUNCTION("""COMPUTED_VALUE"""),120)</f>
        <v>120</v>
      </c>
      <c r="L61" s="1" t="str">
        <f ca="1">IFERROR(__xludf.DUMMYFUNCTION("""COMPUTED_VALUE"""),"+.015")</f>
        <v>+.015</v>
      </c>
      <c r="M61" s="1">
        <f ca="1">IFERROR(__xludf.DUMMYFUNCTION("""COMPUTED_VALUE"""),136)</f>
        <v>136</v>
      </c>
      <c r="N61" s="1" t="str">
        <f ca="1">IFERROR(__xludf.DUMMYFUNCTION("""COMPUTED_VALUE"""),"+7.51")</f>
        <v>+7.51</v>
      </c>
      <c r="O61" s="1">
        <f ca="1">IFERROR(__xludf.DUMMYFUNCTION("""COMPUTED_VALUE"""),54)</f>
        <v>54</v>
      </c>
      <c r="P61" s="1">
        <f ca="1">IFERROR(__xludf.DUMMYFUNCTION("""COMPUTED_VALUE"""),109.5)</f>
        <v>109.5</v>
      </c>
      <c r="Q61" s="1">
        <f ca="1">IFERROR(__xludf.DUMMYFUNCTION("""COMPUTED_VALUE"""),37)</f>
        <v>37</v>
      </c>
      <c r="R61" s="1">
        <f ca="1">IFERROR(__xludf.DUMMYFUNCTION("""COMPUTED_VALUE"""),102)</f>
        <v>102</v>
      </c>
      <c r="S61" s="1">
        <f ca="1">IFERROR(__xludf.DUMMYFUNCTION("""COMPUTED_VALUE"""),74)</f>
        <v>74</v>
      </c>
      <c r="T61" s="1">
        <f ca="1">IFERROR(__xludf.DUMMYFUNCTION("""COMPUTED_VALUE"""),-2.15)</f>
        <v>-2.15</v>
      </c>
      <c r="U61" s="1">
        <f ca="1">IFERROR(__xludf.DUMMYFUNCTION("""COMPUTED_VALUE"""),227)</f>
        <v>227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IFERROR(__xludf.DUMMYFUNCTION("""COMPUTED_VALUE"""),"South Carolina1")</f>
        <v>South Carolina1</v>
      </c>
      <c r="C62" s="1" t="str">
        <f ca="1">IFERROR(__xludf.DUMMYFUNCTION("""COMPUTED_VALUE"""),"SEC")</f>
        <v>SEC</v>
      </c>
      <c r="D62" s="1" t="str">
        <f ca="1">IFERROR(__xludf.DUMMYFUNCTION("""COMPUTED_VALUE"""),"25-9")</f>
        <v>25-9</v>
      </c>
      <c r="E62" s="1" t="str">
        <f ca="1">IFERROR(__xludf.DUMMYFUNCTION("""COMPUTED_VALUE"""),"+12.87")</f>
        <v>+12.87</v>
      </c>
      <c r="F62" s="1">
        <f ca="1">IFERROR(__xludf.DUMMYFUNCTION("""COMPUTED_VALUE"""),109)</f>
        <v>109</v>
      </c>
      <c r="G62" s="1">
        <f ca="1">IFERROR(__xludf.DUMMYFUNCTION("""COMPUTED_VALUE"""),99)</f>
        <v>99</v>
      </c>
      <c r="H62" s="1">
        <f ca="1">IFERROR(__xludf.DUMMYFUNCTION("""COMPUTED_VALUE"""),96.2)</f>
        <v>96.2</v>
      </c>
      <c r="I62" s="1">
        <f ca="1">IFERROR(__xludf.DUMMYFUNCTION("""COMPUTED_VALUE"""),36)</f>
        <v>36</v>
      </c>
      <c r="J62" s="1">
        <f ca="1">IFERROR(__xludf.DUMMYFUNCTION("""COMPUTED_VALUE"""),70.1)</f>
        <v>70.099999999999994</v>
      </c>
      <c r="K62" s="1">
        <f ca="1">IFERROR(__xludf.DUMMYFUNCTION("""COMPUTED_VALUE"""),84)</f>
        <v>84</v>
      </c>
      <c r="L62" s="1" t="str">
        <f ca="1">IFERROR(__xludf.DUMMYFUNCTION("""COMPUTED_VALUE"""),"+.060")</f>
        <v>+.060</v>
      </c>
      <c r="M62" s="1">
        <f ca="1">IFERROR(__xludf.DUMMYFUNCTION("""COMPUTED_VALUE"""),45)</f>
        <v>45</v>
      </c>
      <c r="N62" s="1" t="str">
        <f ca="1">IFERROR(__xludf.DUMMYFUNCTION("""COMPUTED_VALUE"""),"+4.58")</f>
        <v>+4.58</v>
      </c>
      <c r="O62" s="1">
        <f ca="1">IFERROR(__xludf.DUMMYFUNCTION("""COMPUTED_VALUE"""),81)</f>
        <v>81</v>
      </c>
      <c r="P62" s="1">
        <f ca="1">IFERROR(__xludf.DUMMYFUNCTION("""COMPUTED_VALUE"""),107.2)</f>
        <v>107.2</v>
      </c>
      <c r="Q62" s="1">
        <f ca="1">IFERROR(__xludf.DUMMYFUNCTION("""COMPUTED_VALUE"""),80)</f>
        <v>80</v>
      </c>
      <c r="R62" s="1">
        <f ca="1">IFERROR(__xludf.DUMMYFUNCTION("""COMPUTED_VALUE"""),102.6)</f>
        <v>102.6</v>
      </c>
      <c r="S62" s="1">
        <f ca="1">IFERROR(__xludf.DUMMYFUNCTION("""COMPUTED_VALUE"""),93)</f>
        <v>93</v>
      </c>
      <c r="T62" s="1">
        <f ca="1">IFERROR(__xludf.DUMMYFUNCTION("""COMPUTED_VALUE"""),-3.49)</f>
        <v>-3.49</v>
      </c>
      <c r="U62" s="1">
        <f ca="1">IFERROR(__xludf.DUMMYFUNCTION("""COMPUTED_VALUE"""),265)</f>
        <v>265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IFERROR(__xludf.DUMMYFUNCTION("""COMPUTED_VALUE"""),"Dayton7")</f>
        <v>Dayton7</v>
      </c>
      <c r="C63" s="1" t="str">
        <f ca="1">IFERROR(__xludf.DUMMYFUNCTION("""COMPUTED_VALUE"""),"A10")</f>
        <v>A10</v>
      </c>
      <c r="D63" s="1" t="str">
        <f ca="1">IFERROR(__xludf.DUMMYFUNCTION("""COMPUTED_VALUE"""),"25-8")</f>
        <v>25-8</v>
      </c>
      <c r="E63" s="1" t="str">
        <f ca="1">IFERROR(__xludf.DUMMYFUNCTION("""COMPUTED_VALUE"""),"+12.63")</f>
        <v>+12.63</v>
      </c>
      <c r="F63" s="1">
        <f ca="1">IFERROR(__xludf.DUMMYFUNCTION("""COMPUTED_VALUE"""),106.6)</f>
        <v>106.6</v>
      </c>
      <c r="G63" s="1">
        <f ca="1">IFERROR(__xludf.DUMMYFUNCTION("""COMPUTED_VALUE"""),146)</f>
        <v>146</v>
      </c>
      <c r="H63" s="1">
        <f ca="1">IFERROR(__xludf.DUMMYFUNCTION("""COMPUTED_VALUE"""),94)</f>
        <v>94</v>
      </c>
      <c r="I63" s="1">
        <f ca="1">IFERROR(__xludf.DUMMYFUNCTION("""COMPUTED_VALUE"""),15)</f>
        <v>15</v>
      </c>
      <c r="J63" s="1">
        <f ca="1">IFERROR(__xludf.DUMMYFUNCTION("""COMPUTED_VALUE"""),67.8)</f>
        <v>67.8</v>
      </c>
      <c r="K63" s="1">
        <f ca="1">IFERROR(__xludf.DUMMYFUNCTION("""COMPUTED_VALUE"""),183)</f>
        <v>183</v>
      </c>
      <c r="L63" s="1" t="str">
        <f ca="1">IFERROR(__xludf.DUMMYFUNCTION("""COMPUTED_VALUE"""),"+.082")</f>
        <v>+.082</v>
      </c>
      <c r="M63" s="1">
        <f ca="1">IFERROR(__xludf.DUMMYFUNCTION("""COMPUTED_VALUE"""),28)</f>
        <v>28</v>
      </c>
      <c r="N63" s="1" t="str">
        <f ca="1">IFERROR(__xludf.DUMMYFUNCTION("""COMPUTED_VALUE"""),"+3.89")</f>
        <v>+3.89</v>
      </c>
      <c r="O63" s="1">
        <f ca="1">IFERROR(__xludf.DUMMYFUNCTION("""COMPUTED_VALUE"""),86)</f>
        <v>86</v>
      </c>
      <c r="P63" s="1">
        <f ca="1">IFERROR(__xludf.DUMMYFUNCTION("""COMPUTED_VALUE"""),107.3)</f>
        <v>107.3</v>
      </c>
      <c r="Q63" s="1">
        <f ca="1">IFERROR(__xludf.DUMMYFUNCTION("""COMPUTED_VALUE"""),75)</f>
        <v>75</v>
      </c>
      <c r="R63" s="1">
        <f ca="1">IFERROR(__xludf.DUMMYFUNCTION("""COMPUTED_VALUE"""),103.4)</f>
        <v>103.4</v>
      </c>
      <c r="S63" s="1">
        <f ca="1">IFERROR(__xludf.DUMMYFUNCTION("""COMPUTED_VALUE"""),109)</f>
        <v>109</v>
      </c>
      <c r="T63" s="1" t="str">
        <f ca="1">IFERROR(__xludf.DUMMYFUNCTION("""COMPUTED_VALUE"""),"+2.58")</f>
        <v>+2.58</v>
      </c>
      <c r="U63" s="1">
        <f ca="1">IFERROR(__xludf.DUMMYFUNCTION("""COMPUTED_VALUE"""),91)</f>
        <v>91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IFERROR(__xludf.DUMMYFUNCTION("""COMPUTED_VALUE"""),"Hawaii13")</f>
        <v>Hawaii13</v>
      </c>
      <c r="C64" s="1" t="str">
        <f ca="1">IFERROR(__xludf.DUMMYFUNCTION("""COMPUTED_VALUE"""),"BW")</f>
        <v>BW</v>
      </c>
      <c r="D64" s="1" t="str">
        <f ca="1">IFERROR(__xludf.DUMMYFUNCTION("""COMPUTED_VALUE"""),"28-6")</f>
        <v>28-6</v>
      </c>
      <c r="E64" s="1" t="str">
        <f ca="1">IFERROR(__xludf.DUMMYFUNCTION("""COMPUTED_VALUE"""),"+12.16")</f>
        <v>+12.16</v>
      </c>
      <c r="F64" s="1">
        <f ca="1">IFERROR(__xludf.DUMMYFUNCTION("""COMPUTED_VALUE"""),108.2)</f>
        <v>108.2</v>
      </c>
      <c r="G64" s="1">
        <f ca="1">IFERROR(__xludf.DUMMYFUNCTION("""COMPUTED_VALUE"""),112)</f>
        <v>112</v>
      </c>
      <c r="H64" s="1">
        <f ca="1">IFERROR(__xludf.DUMMYFUNCTION("""COMPUTED_VALUE"""),96.1)</f>
        <v>96.1</v>
      </c>
      <c r="I64" s="1">
        <f ca="1">IFERROR(__xludf.DUMMYFUNCTION("""COMPUTED_VALUE"""),35)</f>
        <v>35</v>
      </c>
      <c r="J64" s="1">
        <f ca="1">IFERROR(__xludf.DUMMYFUNCTION("""COMPUTED_VALUE"""),70.6)</f>
        <v>70.599999999999994</v>
      </c>
      <c r="K64" s="1">
        <f ca="1">IFERROR(__xludf.DUMMYFUNCTION("""COMPUTED_VALUE"""),58)</f>
        <v>58</v>
      </c>
      <c r="L64" s="1" t="str">
        <f ca="1">IFERROR(__xludf.DUMMYFUNCTION("""COMPUTED_VALUE"""),"+.013")</f>
        <v>+.013</v>
      </c>
      <c r="M64" s="1">
        <f ca="1">IFERROR(__xludf.DUMMYFUNCTION("""COMPUTED_VALUE"""),142)</f>
        <v>142</v>
      </c>
      <c r="N64" s="1">
        <f ca="1">IFERROR(__xludf.DUMMYFUNCTION("""COMPUTED_VALUE"""),-2.32)</f>
        <v>-2.3199999999999998</v>
      </c>
      <c r="O64" s="1">
        <f ca="1">IFERROR(__xludf.DUMMYFUNCTION("""COMPUTED_VALUE"""),204)</f>
        <v>204</v>
      </c>
      <c r="P64" s="1">
        <f ca="1">IFERROR(__xludf.DUMMYFUNCTION("""COMPUTED_VALUE"""),102.5)</f>
        <v>102.5</v>
      </c>
      <c r="Q64" s="1">
        <f ca="1">IFERROR(__xludf.DUMMYFUNCTION("""COMPUTED_VALUE"""),258)</f>
        <v>258</v>
      </c>
      <c r="R64" s="1">
        <f ca="1">IFERROR(__xludf.DUMMYFUNCTION("""COMPUTED_VALUE"""),104.9)</f>
        <v>104.9</v>
      </c>
      <c r="S64" s="1">
        <f ca="1">IFERROR(__xludf.DUMMYFUNCTION("""COMPUTED_VALUE"""),149)</f>
        <v>149</v>
      </c>
      <c r="T64" s="1">
        <f ca="1">IFERROR(__xludf.DUMMYFUNCTION("""COMPUTED_VALUE"""),-8.92)</f>
        <v>-8.92</v>
      </c>
      <c r="U64" s="1">
        <f ca="1">IFERROR(__xludf.DUMMYFUNCTION("""COMPUTED_VALUE"""),341)</f>
        <v>341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IFERROR(__xludf.DUMMYFUNCTION("""COMPUTED_VALUE"""),"Houston5")</f>
        <v>Houston5</v>
      </c>
      <c r="C65" s="1" t="str">
        <f ca="1">IFERROR(__xludf.DUMMYFUNCTION("""COMPUTED_VALUE"""),"Amer")</f>
        <v>Amer</v>
      </c>
      <c r="D65" s="1" t="str">
        <f ca="1">IFERROR(__xludf.DUMMYFUNCTION("""COMPUTED_VALUE"""),"22-10")</f>
        <v>22-10</v>
      </c>
      <c r="E65" s="1" t="str">
        <f ca="1">IFERROR(__xludf.DUMMYFUNCTION("""COMPUTED_VALUE"""),"+11.81")</f>
        <v>+11.81</v>
      </c>
      <c r="F65" s="1">
        <f ca="1">IFERROR(__xludf.DUMMYFUNCTION("""COMPUTED_VALUE"""),116.7)</f>
        <v>116.7</v>
      </c>
      <c r="G65" s="1">
        <f ca="1">IFERROR(__xludf.DUMMYFUNCTION("""COMPUTED_VALUE"""),21)</f>
        <v>21</v>
      </c>
      <c r="H65" s="1">
        <f ca="1">IFERROR(__xludf.DUMMYFUNCTION("""COMPUTED_VALUE"""),104.9)</f>
        <v>104.9</v>
      </c>
      <c r="I65" s="1">
        <f ca="1">IFERROR(__xludf.DUMMYFUNCTION("""COMPUTED_VALUE"""),179)</f>
        <v>179</v>
      </c>
      <c r="J65" s="1">
        <f ca="1">IFERROR(__xludf.DUMMYFUNCTION("""COMPUTED_VALUE"""),66.3)</f>
        <v>66.3</v>
      </c>
      <c r="K65" s="1">
        <f ca="1">IFERROR(__xludf.DUMMYFUNCTION("""COMPUTED_VALUE"""),259)</f>
        <v>259</v>
      </c>
      <c r="L65" s="1">
        <f ca="1">IFERROR(__xludf.DUMMYFUNCTION("""COMPUTED_VALUE"""),-0.006)</f>
        <v>-6.0000000000000001E-3</v>
      </c>
      <c r="M65" s="1">
        <f ca="1">IFERROR(__xludf.DUMMYFUNCTION("""COMPUTED_VALUE"""),192)</f>
        <v>192</v>
      </c>
      <c r="N65" s="1" t="str">
        <f ca="1">IFERROR(__xludf.DUMMYFUNCTION("""COMPUTED_VALUE"""),"+0.81")</f>
        <v>+0.81</v>
      </c>
      <c r="O65" s="1">
        <f ca="1">IFERROR(__xludf.DUMMYFUNCTION("""COMPUTED_VALUE"""),134)</f>
        <v>134</v>
      </c>
      <c r="P65" s="1">
        <f ca="1">IFERROR(__xludf.DUMMYFUNCTION("""COMPUTED_VALUE"""),103.9)</f>
        <v>103.9</v>
      </c>
      <c r="Q65" s="1">
        <f ca="1">IFERROR(__xludf.DUMMYFUNCTION("""COMPUTED_VALUE"""),202)</f>
        <v>202</v>
      </c>
      <c r="R65" s="1">
        <f ca="1">IFERROR(__xludf.DUMMYFUNCTION("""COMPUTED_VALUE"""),103.1)</f>
        <v>103.1</v>
      </c>
      <c r="S65" s="1">
        <f ca="1">IFERROR(__xludf.DUMMYFUNCTION("""COMPUTED_VALUE"""),102)</f>
        <v>102</v>
      </c>
      <c r="T65" s="1">
        <f ca="1">IFERROR(__xludf.DUMMYFUNCTION("""COMPUTED_VALUE"""),-11.35)</f>
        <v>-11.35</v>
      </c>
      <c r="U65" s="1">
        <f ca="1">IFERROR(__xludf.DUMMYFUNCTION("""COMPUTED_VALUE"""),350)</f>
        <v>350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IFERROR(__xludf.DUMMYFUNCTION("""COMPUTED_VALUE"""),"Georgetown")</f>
        <v>Georgetown</v>
      </c>
      <c r="C66" s="1" t="str">
        <f ca="1">IFERROR(__xludf.DUMMYFUNCTION("""COMPUTED_VALUE"""),"BE")</f>
        <v>BE</v>
      </c>
      <c r="D66" s="1" t="str">
        <f ca="1">IFERROR(__xludf.DUMMYFUNCTION("""COMPUTED_VALUE"""),"15-18")</f>
        <v>15-18</v>
      </c>
      <c r="E66" s="1" t="str">
        <f ca="1">IFERROR(__xludf.DUMMYFUNCTION("""COMPUTED_VALUE"""),"+11.71")</f>
        <v>+11.71</v>
      </c>
      <c r="F66" s="1">
        <f ca="1">IFERROR(__xludf.DUMMYFUNCTION("""COMPUTED_VALUE"""),111.4)</f>
        <v>111.4</v>
      </c>
      <c r="G66" s="1">
        <f ca="1">IFERROR(__xludf.DUMMYFUNCTION("""COMPUTED_VALUE"""),65)</f>
        <v>65</v>
      </c>
      <c r="H66" s="1">
        <f ca="1">IFERROR(__xludf.DUMMYFUNCTION("""COMPUTED_VALUE"""),99.7)</f>
        <v>99.7</v>
      </c>
      <c r="I66" s="1">
        <f ca="1">IFERROR(__xludf.DUMMYFUNCTION("""COMPUTED_VALUE"""),81)</f>
        <v>81</v>
      </c>
      <c r="J66" s="1">
        <f ca="1">IFERROR(__xludf.DUMMYFUNCTION("""COMPUTED_VALUE"""),67.9)</f>
        <v>67.900000000000006</v>
      </c>
      <c r="K66" s="1">
        <f ca="1">IFERROR(__xludf.DUMMYFUNCTION("""COMPUTED_VALUE"""),180)</f>
        <v>180</v>
      </c>
      <c r="L66" s="1">
        <f ca="1">IFERROR(__xludf.DUMMYFUNCTION("""COMPUTED_VALUE"""),-0.102)</f>
        <v>-0.10199999999999999</v>
      </c>
      <c r="M66" s="1">
        <f ca="1">IFERROR(__xludf.DUMMYFUNCTION("""COMPUTED_VALUE"""),344)</f>
        <v>344</v>
      </c>
      <c r="N66" s="1" t="str">
        <f ca="1">IFERROR(__xludf.DUMMYFUNCTION("""COMPUTED_VALUE"""),"+9.34")</f>
        <v>+9.34</v>
      </c>
      <c r="O66" s="1">
        <f ca="1">IFERROR(__xludf.DUMMYFUNCTION("""COMPUTED_VALUE"""),28)</f>
        <v>28</v>
      </c>
      <c r="P66" s="1">
        <f ca="1">IFERROR(__xludf.DUMMYFUNCTION("""COMPUTED_VALUE"""),109.6)</f>
        <v>109.6</v>
      </c>
      <c r="Q66" s="1">
        <f ca="1">IFERROR(__xludf.DUMMYFUNCTION("""COMPUTED_VALUE"""),35)</f>
        <v>35</v>
      </c>
      <c r="R66" s="1">
        <f ca="1">IFERROR(__xludf.DUMMYFUNCTION("""COMPUTED_VALUE"""),100.3)</f>
        <v>100.3</v>
      </c>
      <c r="S66" s="1">
        <f ca="1">IFERROR(__xludf.DUMMYFUNCTION("""COMPUTED_VALUE"""),23)</f>
        <v>23</v>
      </c>
      <c r="T66" s="1" t="str">
        <f ca="1">IFERROR(__xludf.DUMMYFUNCTION("""COMPUTED_VALUE"""),"+2.43")</f>
        <v>+2.43</v>
      </c>
      <c r="U66" s="1">
        <f ca="1">IFERROR(__xludf.DUMMYFUNCTION("""COMPUTED_VALUE"""),93)</f>
        <v>93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IFERROR(__xludf.DUMMYFUNCTION("""COMPUTED_VALUE"""),"Virginia Tech3")</f>
        <v>Virginia Tech3</v>
      </c>
      <c r="C67" s="1" t="str">
        <f ca="1">IFERROR(__xludf.DUMMYFUNCTION("""COMPUTED_VALUE"""),"ACC")</f>
        <v>ACC</v>
      </c>
      <c r="D67" s="1" t="str">
        <f ca="1">IFERROR(__xludf.DUMMYFUNCTION("""COMPUTED_VALUE"""),"20-15")</f>
        <v>20-15</v>
      </c>
      <c r="E67" s="1" t="str">
        <f ca="1">IFERROR(__xludf.DUMMYFUNCTION("""COMPUTED_VALUE"""),"+11.68")</f>
        <v>+11.68</v>
      </c>
      <c r="F67" s="1">
        <f ca="1">IFERROR(__xludf.DUMMYFUNCTION("""COMPUTED_VALUE"""),110.6)</f>
        <v>110.6</v>
      </c>
      <c r="G67" s="1">
        <f ca="1">IFERROR(__xludf.DUMMYFUNCTION("""COMPUTED_VALUE"""),81)</f>
        <v>81</v>
      </c>
      <c r="H67" s="1">
        <f ca="1">IFERROR(__xludf.DUMMYFUNCTION("""COMPUTED_VALUE"""),98.9)</f>
        <v>98.9</v>
      </c>
      <c r="I67" s="1">
        <f ca="1">IFERROR(__xludf.DUMMYFUNCTION("""COMPUTED_VALUE"""),64)</f>
        <v>64</v>
      </c>
      <c r="J67" s="1">
        <f ca="1">IFERROR(__xludf.DUMMYFUNCTION("""COMPUTED_VALUE"""),69.5)</f>
        <v>69.5</v>
      </c>
      <c r="K67" s="1">
        <f ca="1">IFERROR(__xludf.DUMMYFUNCTION("""COMPUTED_VALUE"""),102)</f>
        <v>102</v>
      </c>
      <c r="L67" s="1" t="str">
        <f ca="1">IFERROR(__xludf.DUMMYFUNCTION("""COMPUTED_VALUE"""),"+.015")</f>
        <v>+.015</v>
      </c>
      <c r="M67" s="1">
        <f ca="1">IFERROR(__xludf.DUMMYFUNCTION("""COMPUTED_VALUE"""),139)</f>
        <v>139</v>
      </c>
      <c r="N67" s="1" t="str">
        <f ca="1">IFERROR(__xludf.DUMMYFUNCTION("""COMPUTED_VALUE"""),"+9.21")</f>
        <v>+9.21</v>
      </c>
      <c r="O67" s="1">
        <f ca="1">IFERROR(__xludf.DUMMYFUNCTION("""COMPUTED_VALUE"""),29)</f>
        <v>29</v>
      </c>
      <c r="P67" s="1">
        <f ca="1">IFERROR(__xludf.DUMMYFUNCTION("""COMPUTED_VALUE"""),110.5)</f>
        <v>110.5</v>
      </c>
      <c r="Q67" s="1">
        <f ca="1">IFERROR(__xludf.DUMMYFUNCTION("""COMPUTED_VALUE"""),21)</f>
        <v>21</v>
      </c>
      <c r="R67" s="1">
        <f ca="1">IFERROR(__xludf.DUMMYFUNCTION("""COMPUTED_VALUE"""),101.2)</f>
        <v>101.2</v>
      </c>
      <c r="S67" s="1">
        <f ca="1">IFERROR(__xludf.DUMMYFUNCTION("""COMPUTED_VALUE"""),52)</f>
        <v>52</v>
      </c>
      <c r="T67" s="1">
        <f ca="1">IFERROR(__xludf.DUMMYFUNCTION("""COMPUTED_VALUE"""),-8.44)</f>
        <v>-8.44</v>
      </c>
      <c r="U67" s="1">
        <f ca="1">IFERROR(__xludf.DUMMYFUNCTION("""COMPUTED_VALUE"""),339)</f>
        <v>339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IFERROR(__xludf.DUMMYFUNCTION("""COMPUTED_VALUE"""),"Oregon St.7")</f>
        <v>Oregon St.7</v>
      </c>
      <c r="C68" s="1" t="str">
        <f ca="1">IFERROR(__xludf.DUMMYFUNCTION("""COMPUTED_VALUE"""),"P12")</f>
        <v>P12</v>
      </c>
      <c r="D68" s="1" t="str">
        <f ca="1">IFERROR(__xludf.DUMMYFUNCTION("""COMPUTED_VALUE"""),"19-13")</f>
        <v>19-13</v>
      </c>
      <c r="E68" s="1" t="str">
        <f ca="1">IFERROR(__xludf.DUMMYFUNCTION("""COMPUTED_VALUE"""),"+11.65")</f>
        <v>+11.65</v>
      </c>
      <c r="F68" s="1">
        <f ca="1">IFERROR(__xludf.DUMMYFUNCTION("""COMPUTED_VALUE"""),110.7)</f>
        <v>110.7</v>
      </c>
      <c r="G68" s="1">
        <f ca="1">IFERROR(__xludf.DUMMYFUNCTION("""COMPUTED_VALUE"""),77)</f>
        <v>77</v>
      </c>
      <c r="H68" s="1">
        <f ca="1">IFERROR(__xludf.DUMMYFUNCTION("""COMPUTED_VALUE"""),99.1)</f>
        <v>99.1</v>
      </c>
      <c r="I68" s="1">
        <f ca="1">IFERROR(__xludf.DUMMYFUNCTION("""COMPUTED_VALUE"""),66)</f>
        <v>66</v>
      </c>
      <c r="J68" s="1">
        <f ca="1">IFERROR(__xludf.DUMMYFUNCTION("""COMPUTED_VALUE"""),67.1)</f>
        <v>67.099999999999994</v>
      </c>
      <c r="K68" s="1">
        <f ca="1">IFERROR(__xludf.DUMMYFUNCTION("""COMPUTED_VALUE"""),229)</f>
        <v>229</v>
      </c>
      <c r="L68" s="1" t="str">
        <f ca="1">IFERROR(__xludf.DUMMYFUNCTION("""COMPUTED_VALUE"""),"+.043")</f>
        <v>+.043</v>
      </c>
      <c r="M68" s="1">
        <f ca="1">IFERROR(__xludf.DUMMYFUNCTION("""COMPUTED_VALUE"""),78)</f>
        <v>78</v>
      </c>
      <c r="N68" s="1" t="str">
        <f ca="1">IFERROR(__xludf.DUMMYFUNCTION("""COMPUTED_VALUE"""),"+9.61")</f>
        <v>+9.61</v>
      </c>
      <c r="O68" s="1">
        <f ca="1">IFERROR(__xludf.DUMMYFUNCTION("""COMPUTED_VALUE"""),24)</f>
        <v>24</v>
      </c>
      <c r="P68" s="1">
        <f ca="1">IFERROR(__xludf.DUMMYFUNCTION("""COMPUTED_VALUE"""),109.8)</f>
        <v>109.8</v>
      </c>
      <c r="Q68" s="1">
        <f ca="1">IFERROR(__xludf.DUMMYFUNCTION("""COMPUTED_VALUE"""),32)</f>
        <v>32</v>
      </c>
      <c r="R68" s="1">
        <f ca="1">IFERROR(__xludf.DUMMYFUNCTION("""COMPUTED_VALUE"""),100.2)</f>
        <v>100.2</v>
      </c>
      <c r="S68" s="1">
        <f ca="1">IFERROR(__xludf.DUMMYFUNCTION("""COMPUTED_VALUE"""),17)</f>
        <v>17</v>
      </c>
      <c r="T68" s="1" t="str">
        <f ca="1">IFERROR(__xludf.DUMMYFUNCTION("""COMPUTED_VALUE"""),"+0.46")</f>
        <v>+0.46</v>
      </c>
      <c r="U68" s="1">
        <f ca="1">IFERROR(__xludf.DUMMYFUNCTION("""COMPUTED_VALUE"""),155)</f>
        <v>155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IFERROR(__xludf.DUMMYFUNCTION("""COMPUTED_VALUE"""),"Tulsa11")</f>
        <v>Tulsa11</v>
      </c>
      <c r="C69" s="1" t="str">
        <f ca="1">IFERROR(__xludf.DUMMYFUNCTION("""COMPUTED_VALUE"""),"Amer")</f>
        <v>Amer</v>
      </c>
      <c r="D69" s="1" t="str">
        <f ca="1">IFERROR(__xludf.DUMMYFUNCTION("""COMPUTED_VALUE"""),"20-12")</f>
        <v>20-12</v>
      </c>
      <c r="E69" s="1" t="str">
        <f ca="1">IFERROR(__xludf.DUMMYFUNCTION("""COMPUTED_VALUE"""),"+11.50")</f>
        <v>+11.50</v>
      </c>
      <c r="F69" s="1">
        <f ca="1">IFERROR(__xludf.DUMMYFUNCTION("""COMPUTED_VALUE"""),111.2)</f>
        <v>111.2</v>
      </c>
      <c r="G69" s="1">
        <f ca="1">IFERROR(__xludf.DUMMYFUNCTION("""COMPUTED_VALUE"""),69)</f>
        <v>69</v>
      </c>
      <c r="H69" s="1">
        <f ca="1">IFERROR(__xludf.DUMMYFUNCTION("""COMPUTED_VALUE"""),99.7)</f>
        <v>99.7</v>
      </c>
      <c r="I69" s="1">
        <f ca="1">IFERROR(__xludf.DUMMYFUNCTION("""COMPUTED_VALUE"""),79)</f>
        <v>79</v>
      </c>
      <c r="J69" s="1">
        <f ca="1">IFERROR(__xludf.DUMMYFUNCTION("""COMPUTED_VALUE"""),68.4)</f>
        <v>68.400000000000006</v>
      </c>
      <c r="K69" s="1">
        <f ca="1">IFERROR(__xludf.DUMMYFUNCTION("""COMPUTED_VALUE"""),149)</f>
        <v>149</v>
      </c>
      <c r="L69" s="1">
        <f ca="1">IFERROR(__xludf.DUMMYFUNCTION("""COMPUTED_VALUE"""),-0.003)</f>
        <v>-3.0000000000000001E-3</v>
      </c>
      <c r="M69" s="1">
        <f ca="1">IFERROR(__xludf.DUMMYFUNCTION("""COMPUTED_VALUE"""),181)</f>
        <v>181</v>
      </c>
      <c r="N69" s="1" t="str">
        <f ca="1">IFERROR(__xludf.DUMMYFUNCTION("""COMPUTED_VALUE"""),"+5.54")</f>
        <v>+5.54</v>
      </c>
      <c r="O69" s="1">
        <f ca="1">IFERROR(__xludf.DUMMYFUNCTION("""COMPUTED_VALUE"""),76)</f>
        <v>76</v>
      </c>
      <c r="P69" s="1">
        <f ca="1">IFERROR(__xludf.DUMMYFUNCTION("""COMPUTED_VALUE"""),107)</f>
        <v>107</v>
      </c>
      <c r="Q69" s="1">
        <f ca="1">IFERROR(__xludf.DUMMYFUNCTION("""COMPUTED_VALUE"""),84)</f>
        <v>84</v>
      </c>
      <c r="R69" s="1">
        <f ca="1">IFERROR(__xludf.DUMMYFUNCTION("""COMPUTED_VALUE"""),101.4)</f>
        <v>101.4</v>
      </c>
      <c r="S69" s="1">
        <f ca="1">IFERROR(__xludf.DUMMYFUNCTION("""COMPUTED_VALUE"""),60)</f>
        <v>60</v>
      </c>
      <c r="T69" s="1" t="str">
        <f ca="1">IFERROR(__xludf.DUMMYFUNCTION("""COMPUTED_VALUE"""),"+1.46")</f>
        <v>+1.46</v>
      </c>
      <c r="U69" s="1">
        <f ca="1">IFERROR(__xludf.DUMMYFUNCTION("""COMPUTED_VALUE"""),127)</f>
        <v>127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IFERROR(__xludf.DUMMYFUNCTION("""COMPUTED_VALUE"""),"Washington3")</f>
        <v>Washington3</v>
      </c>
      <c r="C70" s="1" t="str">
        <f ca="1">IFERROR(__xludf.DUMMYFUNCTION("""COMPUTED_VALUE"""),"P12")</f>
        <v>P12</v>
      </c>
      <c r="D70" s="1" t="str">
        <f ca="1">IFERROR(__xludf.DUMMYFUNCTION("""COMPUTED_VALUE"""),"19-15")</f>
        <v>19-15</v>
      </c>
      <c r="E70" s="1" t="str">
        <f ca="1">IFERROR(__xludf.DUMMYFUNCTION("""COMPUTED_VALUE"""),"+11.22")</f>
        <v>+11.22</v>
      </c>
      <c r="F70" s="1">
        <f ca="1">IFERROR(__xludf.DUMMYFUNCTION("""COMPUTED_VALUE"""),110.4)</f>
        <v>110.4</v>
      </c>
      <c r="G70" s="1">
        <f ca="1">IFERROR(__xludf.DUMMYFUNCTION("""COMPUTED_VALUE"""),87)</f>
        <v>87</v>
      </c>
      <c r="H70" s="1">
        <f ca="1">IFERROR(__xludf.DUMMYFUNCTION("""COMPUTED_VALUE"""),99.2)</f>
        <v>99.2</v>
      </c>
      <c r="I70" s="1">
        <f ca="1">IFERROR(__xludf.DUMMYFUNCTION("""COMPUTED_VALUE"""),70)</f>
        <v>70</v>
      </c>
      <c r="J70" s="1">
        <f ca="1">IFERROR(__xludf.DUMMYFUNCTION("""COMPUTED_VALUE"""),77.5)</f>
        <v>77.5</v>
      </c>
      <c r="K70" s="1">
        <f ca="1">IFERROR(__xludf.DUMMYFUNCTION("""COMPUTED_VALUE"""),2)</f>
        <v>2</v>
      </c>
      <c r="L70" s="1">
        <f ca="1">IFERROR(__xludf.DUMMYFUNCTION("""COMPUTED_VALUE"""),-0.016)</f>
        <v>-1.6E-2</v>
      </c>
      <c r="M70" s="1">
        <f ca="1">IFERROR(__xludf.DUMMYFUNCTION("""COMPUTED_VALUE"""),220)</f>
        <v>220</v>
      </c>
      <c r="N70" s="1" t="str">
        <f ca="1">IFERROR(__xludf.DUMMYFUNCTION("""COMPUTED_VALUE"""),"+7.78")</f>
        <v>+7.78</v>
      </c>
      <c r="O70" s="1">
        <f ca="1">IFERROR(__xludf.DUMMYFUNCTION("""COMPUTED_VALUE"""),51)</f>
        <v>51</v>
      </c>
      <c r="P70" s="1">
        <f ca="1">IFERROR(__xludf.DUMMYFUNCTION("""COMPUTED_VALUE"""),108.8)</f>
        <v>108.8</v>
      </c>
      <c r="Q70" s="1">
        <f ca="1">IFERROR(__xludf.DUMMYFUNCTION("""COMPUTED_VALUE"""),50)</f>
        <v>50</v>
      </c>
      <c r="R70" s="1">
        <f ca="1">IFERROR(__xludf.DUMMYFUNCTION("""COMPUTED_VALUE"""),101.1)</f>
        <v>101.1</v>
      </c>
      <c r="S70" s="1">
        <f ca="1">IFERROR(__xludf.DUMMYFUNCTION("""COMPUTED_VALUE"""),45)</f>
        <v>45</v>
      </c>
      <c r="T70" s="1">
        <f ca="1">IFERROR(__xludf.DUMMYFUNCTION("""COMPUTED_VALUE"""),-1.46)</f>
        <v>-1.46</v>
      </c>
      <c r="U70" s="1">
        <f ca="1">IFERROR(__xludf.DUMMYFUNCTION("""COMPUTED_VALUE"""),205)</f>
        <v>205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IFERROR(__xludf.DUMMYFUNCTION("""COMPUTED_VALUE"""),"Northern Iowa11")</f>
        <v>Northern Iowa11</v>
      </c>
      <c r="C71" s="1" t="str">
        <f ca="1">IFERROR(__xludf.DUMMYFUNCTION("""COMPUTED_VALUE"""),"MVC")</f>
        <v>MVC</v>
      </c>
      <c r="D71" s="1" t="str">
        <f ca="1">IFERROR(__xludf.DUMMYFUNCTION("""COMPUTED_VALUE"""),"23-13")</f>
        <v>23-13</v>
      </c>
      <c r="E71" s="1" t="str">
        <f ca="1">IFERROR(__xludf.DUMMYFUNCTION("""COMPUTED_VALUE"""),"+11.13")</f>
        <v>+11.13</v>
      </c>
      <c r="F71" s="1">
        <f ca="1">IFERROR(__xludf.DUMMYFUNCTION("""COMPUTED_VALUE"""),109.6)</f>
        <v>109.6</v>
      </c>
      <c r="G71" s="1">
        <f ca="1">IFERROR(__xludf.DUMMYFUNCTION("""COMPUTED_VALUE"""),94)</f>
        <v>94</v>
      </c>
      <c r="H71" s="1">
        <f ca="1">IFERROR(__xludf.DUMMYFUNCTION("""COMPUTED_VALUE"""),98.5)</f>
        <v>98.5</v>
      </c>
      <c r="I71" s="1">
        <f ca="1">IFERROR(__xludf.DUMMYFUNCTION("""COMPUTED_VALUE"""),56)</f>
        <v>56</v>
      </c>
      <c r="J71" s="1">
        <f ca="1">IFERROR(__xludf.DUMMYFUNCTION("""COMPUTED_VALUE"""),62.9)</f>
        <v>62.9</v>
      </c>
      <c r="K71" s="1">
        <f ca="1">IFERROR(__xludf.DUMMYFUNCTION("""COMPUTED_VALUE"""),346)</f>
        <v>346</v>
      </c>
      <c r="L71" s="1" t="str">
        <f ca="1">IFERROR(__xludf.DUMMYFUNCTION("""COMPUTED_VALUE"""),"+.013")</f>
        <v>+.013</v>
      </c>
      <c r="M71" s="1">
        <f ca="1">IFERROR(__xludf.DUMMYFUNCTION("""COMPUTED_VALUE"""),148)</f>
        <v>148</v>
      </c>
      <c r="N71" s="1" t="str">
        <f ca="1">IFERROR(__xludf.DUMMYFUNCTION("""COMPUTED_VALUE"""),"+4.80")</f>
        <v>+4.80</v>
      </c>
      <c r="O71" s="1">
        <f ca="1">IFERROR(__xludf.DUMMYFUNCTION("""COMPUTED_VALUE"""),79)</f>
        <v>79</v>
      </c>
      <c r="P71" s="1">
        <f ca="1">IFERROR(__xludf.DUMMYFUNCTION("""COMPUTED_VALUE"""),106.1)</f>
        <v>106.1</v>
      </c>
      <c r="Q71" s="1">
        <f ca="1">IFERROR(__xludf.DUMMYFUNCTION("""COMPUTED_VALUE"""),107)</f>
        <v>107</v>
      </c>
      <c r="R71" s="1">
        <f ca="1">IFERROR(__xludf.DUMMYFUNCTION("""COMPUTED_VALUE"""),101.3)</f>
        <v>101.3</v>
      </c>
      <c r="S71" s="1">
        <f ca="1">IFERROR(__xludf.DUMMYFUNCTION("""COMPUTED_VALUE"""),53)</f>
        <v>53</v>
      </c>
      <c r="T71" s="1" t="str">
        <f ca="1">IFERROR(__xludf.DUMMYFUNCTION("""COMPUTED_VALUE"""),"+7.57")</f>
        <v>+7.57</v>
      </c>
      <c r="U71" s="1">
        <f ca="1">IFERROR(__xludf.DUMMYFUNCTION("""COMPUTED_VALUE"""),17)</f>
        <v>17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IFERROR(__xludf.DUMMYFUNCTION("""COMPUTED_VALUE"""),"Northwestern")</f>
        <v>Northwestern</v>
      </c>
      <c r="C72" s="1" t="str">
        <f ca="1">IFERROR(__xludf.DUMMYFUNCTION("""COMPUTED_VALUE"""),"B10")</f>
        <v>B10</v>
      </c>
      <c r="D72" s="1" t="str">
        <f ca="1">IFERROR(__xludf.DUMMYFUNCTION("""COMPUTED_VALUE"""),"20-12")</f>
        <v>20-12</v>
      </c>
      <c r="E72" s="1" t="str">
        <f ca="1">IFERROR(__xludf.DUMMYFUNCTION("""COMPUTED_VALUE"""),"+11.04")</f>
        <v>+11.04</v>
      </c>
      <c r="F72" s="1">
        <f ca="1">IFERROR(__xludf.DUMMYFUNCTION("""COMPUTED_VALUE"""),111.1)</f>
        <v>111.1</v>
      </c>
      <c r="G72" s="1">
        <f ca="1">IFERROR(__xludf.DUMMYFUNCTION("""COMPUTED_VALUE"""),71)</f>
        <v>71</v>
      </c>
      <c r="H72" s="1">
        <f ca="1">IFERROR(__xludf.DUMMYFUNCTION("""COMPUTED_VALUE"""),100.1)</f>
        <v>100.1</v>
      </c>
      <c r="I72" s="1">
        <f ca="1">IFERROR(__xludf.DUMMYFUNCTION("""COMPUTED_VALUE"""),87)</f>
        <v>87</v>
      </c>
      <c r="J72" s="1">
        <f ca="1">IFERROR(__xludf.DUMMYFUNCTION("""COMPUTED_VALUE"""),63.7)</f>
        <v>63.7</v>
      </c>
      <c r="K72" s="1">
        <f ca="1">IFERROR(__xludf.DUMMYFUNCTION("""COMPUTED_VALUE"""),338)</f>
        <v>338</v>
      </c>
      <c r="L72" s="1">
        <f ca="1">IFERROR(__xludf.DUMMYFUNCTION("""COMPUTED_VALUE"""),-0.002)</f>
        <v>-2E-3</v>
      </c>
      <c r="M72" s="1">
        <f ca="1">IFERROR(__xludf.DUMMYFUNCTION("""COMPUTED_VALUE"""),178)</f>
        <v>178</v>
      </c>
      <c r="N72" s="1" t="str">
        <f ca="1">IFERROR(__xludf.DUMMYFUNCTION("""COMPUTED_VALUE"""),"+2.73")</f>
        <v>+2.73</v>
      </c>
      <c r="O72" s="1">
        <f ca="1">IFERROR(__xludf.DUMMYFUNCTION("""COMPUTED_VALUE"""),100)</f>
        <v>100</v>
      </c>
      <c r="P72" s="1">
        <f ca="1">IFERROR(__xludf.DUMMYFUNCTION("""COMPUTED_VALUE"""),106.5)</f>
        <v>106.5</v>
      </c>
      <c r="Q72" s="1">
        <f ca="1">IFERROR(__xludf.DUMMYFUNCTION("""COMPUTED_VALUE"""),94)</f>
        <v>94</v>
      </c>
      <c r="R72" s="1">
        <f ca="1">IFERROR(__xludf.DUMMYFUNCTION("""COMPUTED_VALUE"""),103.8)</f>
        <v>103.8</v>
      </c>
      <c r="S72" s="1">
        <f ca="1">IFERROR(__xludf.DUMMYFUNCTION("""COMPUTED_VALUE"""),119)</f>
        <v>119</v>
      </c>
      <c r="T72" s="1">
        <f ca="1">IFERROR(__xludf.DUMMYFUNCTION("""COMPUTED_VALUE"""),-11.07)</f>
        <v>-11.07</v>
      </c>
      <c r="U72" s="1">
        <f ca="1">IFERROR(__xludf.DUMMYFUNCTION("""COMPUTED_VALUE"""),349)</f>
        <v>349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IFERROR(__xludf.DUMMYFUNCTION("""COMPUTED_VALUE"""),"UCLA")</f>
        <v>UCLA</v>
      </c>
      <c r="C73" s="1" t="str">
        <f ca="1">IFERROR(__xludf.DUMMYFUNCTION("""COMPUTED_VALUE"""),"P12")</f>
        <v>P12</v>
      </c>
      <c r="D73" s="1" t="str">
        <f ca="1">IFERROR(__xludf.DUMMYFUNCTION("""COMPUTED_VALUE"""),"15-17")</f>
        <v>15-17</v>
      </c>
      <c r="E73" s="1" t="str">
        <f ca="1">IFERROR(__xludf.DUMMYFUNCTION("""COMPUTED_VALUE"""),"+10.75")</f>
        <v>+10.75</v>
      </c>
      <c r="F73" s="1">
        <f ca="1">IFERROR(__xludf.DUMMYFUNCTION("""COMPUTED_VALUE"""),112.6)</f>
        <v>112.6</v>
      </c>
      <c r="G73" s="1">
        <f ca="1">IFERROR(__xludf.DUMMYFUNCTION("""COMPUTED_VALUE"""),51)</f>
        <v>51</v>
      </c>
      <c r="H73" s="1">
        <f ca="1">IFERROR(__xludf.DUMMYFUNCTION("""COMPUTED_VALUE"""),101.9)</f>
        <v>101.9</v>
      </c>
      <c r="I73" s="1">
        <f ca="1">IFERROR(__xludf.DUMMYFUNCTION("""COMPUTED_VALUE"""),118)</f>
        <v>118</v>
      </c>
      <c r="J73" s="1">
        <f ca="1">IFERROR(__xludf.DUMMYFUNCTION("""COMPUTED_VALUE"""),69.5)</f>
        <v>69.5</v>
      </c>
      <c r="K73" s="1">
        <f ca="1">IFERROR(__xludf.DUMMYFUNCTION("""COMPUTED_VALUE"""),98)</f>
        <v>98</v>
      </c>
      <c r="L73" s="1">
        <f ca="1">IFERROR(__xludf.DUMMYFUNCTION("""COMPUTED_VALUE"""),-0.056)</f>
        <v>-5.6000000000000001E-2</v>
      </c>
      <c r="M73" s="1">
        <f ca="1">IFERROR(__xludf.DUMMYFUNCTION("""COMPUTED_VALUE"""),307)</f>
        <v>307</v>
      </c>
      <c r="N73" s="1" t="str">
        <f ca="1">IFERROR(__xludf.DUMMYFUNCTION("""COMPUTED_VALUE"""),"+9.61")</f>
        <v>+9.61</v>
      </c>
      <c r="O73" s="1">
        <f ca="1">IFERROR(__xludf.DUMMYFUNCTION("""COMPUTED_VALUE"""),23)</f>
        <v>23</v>
      </c>
      <c r="P73" s="1">
        <f ca="1">IFERROR(__xludf.DUMMYFUNCTION("""COMPUTED_VALUE"""),110.5)</f>
        <v>110.5</v>
      </c>
      <c r="Q73" s="1">
        <f ca="1">IFERROR(__xludf.DUMMYFUNCTION("""COMPUTED_VALUE"""),18)</f>
        <v>18</v>
      </c>
      <c r="R73" s="1">
        <f ca="1">IFERROR(__xludf.DUMMYFUNCTION("""COMPUTED_VALUE"""),100.9)</f>
        <v>100.9</v>
      </c>
      <c r="S73" s="1">
        <f ca="1">IFERROR(__xludf.DUMMYFUNCTION("""COMPUTED_VALUE"""),42)</f>
        <v>42</v>
      </c>
      <c r="T73" s="1" t="str">
        <f ca="1">IFERROR(__xludf.DUMMYFUNCTION("""COMPUTED_VALUE"""),"+4.60")</f>
        <v>+4.60</v>
      </c>
      <c r="U73" s="1">
        <f ca="1">IFERROR(__xludf.DUMMYFUNCTION("""COMPUTED_VALUE"""),44)</f>
        <v>44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IFERROR(__xludf.DUMMYFUNCTION("""COMPUTED_VALUE"""),"Princeton6")</f>
        <v>Princeton6</v>
      </c>
      <c r="C74" s="1" t="str">
        <f ca="1">IFERROR(__xludf.DUMMYFUNCTION("""COMPUTED_VALUE"""),"Ivy")</f>
        <v>Ivy</v>
      </c>
      <c r="D74" s="1" t="str">
        <f ca="1">IFERROR(__xludf.DUMMYFUNCTION("""COMPUTED_VALUE"""),"22-7")</f>
        <v>22-7</v>
      </c>
      <c r="E74" s="1" t="str">
        <f ca="1">IFERROR(__xludf.DUMMYFUNCTION("""COMPUTED_VALUE"""),"+10.63")</f>
        <v>+10.63</v>
      </c>
      <c r="F74" s="1">
        <f ca="1">IFERROR(__xludf.DUMMYFUNCTION("""COMPUTED_VALUE"""),112.3)</f>
        <v>112.3</v>
      </c>
      <c r="G74" s="1">
        <f ca="1">IFERROR(__xludf.DUMMYFUNCTION("""COMPUTED_VALUE"""),56)</f>
        <v>56</v>
      </c>
      <c r="H74" s="1">
        <f ca="1">IFERROR(__xludf.DUMMYFUNCTION("""COMPUTED_VALUE"""),101.7)</f>
        <v>101.7</v>
      </c>
      <c r="I74" s="1">
        <f ca="1">IFERROR(__xludf.DUMMYFUNCTION("""COMPUTED_VALUE"""),114)</f>
        <v>114</v>
      </c>
      <c r="J74" s="1">
        <f ca="1">IFERROR(__xludf.DUMMYFUNCTION("""COMPUTED_VALUE"""),68.6)</f>
        <v>68.599999999999994</v>
      </c>
      <c r="K74" s="1">
        <f ca="1">IFERROR(__xludf.DUMMYFUNCTION("""COMPUTED_VALUE"""),138)</f>
        <v>138</v>
      </c>
      <c r="L74" s="1" t="str">
        <f ca="1">IFERROR(__xludf.DUMMYFUNCTION("""COMPUTED_VALUE"""),"+.036")</f>
        <v>+.036</v>
      </c>
      <c r="M74" s="1">
        <f ca="1">IFERROR(__xludf.DUMMYFUNCTION("""COMPUTED_VALUE"""),90)</f>
        <v>90</v>
      </c>
      <c r="N74" s="1">
        <f ca="1">IFERROR(__xludf.DUMMYFUNCTION("""COMPUTED_VALUE"""),-1.6)</f>
        <v>-1.6</v>
      </c>
      <c r="O74" s="1">
        <f ca="1">IFERROR(__xludf.DUMMYFUNCTION("""COMPUTED_VALUE"""),190)</f>
        <v>190</v>
      </c>
      <c r="P74" s="1">
        <f ca="1">IFERROR(__xludf.DUMMYFUNCTION("""COMPUTED_VALUE"""),104.2)</f>
        <v>104.2</v>
      </c>
      <c r="Q74" s="1">
        <f ca="1">IFERROR(__xludf.DUMMYFUNCTION("""COMPUTED_VALUE"""),189)</f>
        <v>189</v>
      </c>
      <c r="R74" s="1">
        <f ca="1">IFERROR(__xludf.DUMMYFUNCTION("""COMPUTED_VALUE"""),105.8)</f>
        <v>105.8</v>
      </c>
      <c r="S74" s="1">
        <f ca="1">IFERROR(__xludf.DUMMYFUNCTION("""COMPUTED_VALUE"""),185)</f>
        <v>185</v>
      </c>
      <c r="T74" s="1">
        <f ca="1">IFERROR(__xludf.DUMMYFUNCTION("""COMPUTED_VALUE"""),-1.32)</f>
        <v>-1.32</v>
      </c>
      <c r="U74" s="1">
        <f ca="1">IFERROR(__xludf.DUMMYFUNCTION("""COMPUTED_VALUE"""),199)</f>
        <v>199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IFERROR(__xludf.DUMMYFUNCTION("""COMPUTED_VALUE"""),"Georgia3")</f>
        <v>Georgia3</v>
      </c>
      <c r="C75" s="1" t="str">
        <f ca="1">IFERROR(__xludf.DUMMYFUNCTION("""COMPUTED_VALUE"""),"SEC")</f>
        <v>SEC</v>
      </c>
      <c r="D75" s="1" t="str">
        <f ca="1">IFERROR(__xludf.DUMMYFUNCTION("""COMPUTED_VALUE"""),"20-14")</f>
        <v>20-14</v>
      </c>
      <c r="E75" s="1" t="str">
        <f ca="1">IFERROR(__xludf.DUMMYFUNCTION("""COMPUTED_VALUE"""),"+10.59")</f>
        <v>+10.59</v>
      </c>
      <c r="F75" s="1">
        <f ca="1">IFERROR(__xludf.DUMMYFUNCTION("""COMPUTED_VALUE"""),107.9)</f>
        <v>107.9</v>
      </c>
      <c r="G75" s="1">
        <f ca="1">IFERROR(__xludf.DUMMYFUNCTION("""COMPUTED_VALUE"""),118)</f>
        <v>118</v>
      </c>
      <c r="H75" s="1">
        <f ca="1">IFERROR(__xludf.DUMMYFUNCTION("""COMPUTED_VALUE"""),97.3)</f>
        <v>97.3</v>
      </c>
      <c r="I75" s="1">
        <f ca="1">IFERROR(__xludf.DUMMYFUNCTION("""COMPUTED_VALUE"""),46)</f>
        <v>46</v>
      </c>
      <c r="J75" s="1">
        <f ca="1">IFERROR(__xludf.DUMMYFUNCTION("""COMPUTED_VALUE"""),67.3)</f>
        <v>67.3</v>
      </c>
      <c r="K75" s="1">
        <f ca="1">IFERROR(__xludf.DUMMYFUNCTION("""COMPUTED_VALUE"""),216)</f>
        <v>216</v>
      </c>
      <c r="L75" s="1" t="str">
        <f ca="1">IFERROR(__xludf.DUMMYFUNCTION("""COMPUTED_VALUE"""),"+.065")</f>
        <v>+.065</v>
      </c>
      <c r="M75" s="1">
        <f ca="1">IFERROR(__xludf.DUMMYFUNCTION("""COMPUTED_VALUE"""),40)</f>
        <v>40</v>
      </c>
      <c r="N75" s="1" t="str">
        <f ca="1">IFERROR(__xludf.DUMMYFUNCTION("""COMPUTED_VALUE"""),"+8.10")</f>
        <v>+8.10</v>
      </c>
      <c r="O75" s="1">
        <f ca="1">IFERROR(__xludf.DUMMYFUNCTION("""COMPUTED_VALUE"""),48)</f>
        <v>48</v>
      </c>
      <c r="P75" s="1">
        <f ca="1">IFERROR(__xludf.DUMMYFUNCTION("""COMPUTED_VALUE"""),109.5)</f>
        <v>109.5</v>
      </c>
      <c r="Q75" s="1">
        <f ca="1">IFERROR(__xludf.DUMMYFUNCTION("""COMPUTED_VALUE"""),38)</f>
        <v>38</v>
      </c>
      <c r="R75" s="1">
        <f ca="1">IFERROR(__xludf.DUMMYFUNCTION("""COMPUTED_VALUE"""),101.4)</f>
        <v>101.4</v>
      </c>
      <c r="S75" s="1">
        <f ca="1">IFERROR(__xludf.DUMMYFUNCTION("""COMPUTED_VALUE"""),57)</f>
        <v>57</v>
      </c>
      <c r="T75" s="1" t="str">
        <f ca="1">IFERROR(__xludf.DUMMYFUNCTION("""COMPUTED_VALUE"""),"+3.26")</f>
        <v>+3.26</v>
      </c>
      <c r="U75" s="1">
        <f ca="1">IFERROR(__xludf.DUMMYFUNCTION("""COMPUTED_VALUE"""),73)</f>
        <v>73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IFERROR(__xludf.DUMMYFUNCTION("""COMPUTED_VALUE"""),"Evansville")</f>
        <v>Evansville</v>
      </c>
      <c r="C76" s="1" t="str">
        <f ca="1">IFERROR(__xludf.DUMMYFUNCTION("""COMPUTED_VALUE"""),"MVC")</f>
        <v>MVC</v>
      </c>
      <c r="D76" s="1" t="str">
        <f ca="1">IFERROR(__xludf.DUMMYFUNCTION("""COMPUTED_VALUE"""),"25-9")</f>
        <v>25-9</v>
      </c>
      <c r="E76" s="1" t="str">
        <f ca="1">IFERROR(__xludf.DUMMYFUNCTION("""COMPUTED_VALUE"""),"+10.56")</f>
        <v>+10.56</v>
      </c>
      <c r="F76" s="1">
        <f ca="1">IFERROR(__xludf.DUMMYFUNCTION("""COMPUTED_VALUE"""),108.3)</f>
        <v>108.3</v>
      </c>
      <c r="G76" s="1">
        <f ca="1">IFERROR(__xludf.DUMMYFUNCTION("""COMPUTED_VALUE"""),110)</f>
        <v>110</v>
      </c>
      <c r="H76" s="1">
        <f ca="1">IFERROR(__xludf.DUMMYFUNCTION("""COMPUTED_VALUE"""),97.8)</f>
        <v>97.8</v>
      </c>
      <c r="I76" s="1">
        <f ca="1">IFERROR(__xludf.DUMMYFUNCTION("""COMPUTED_VALUE"""),51)</f>
        <v>51</v>
      </c>
      <c r="J76" s="1">
        <f ca="1">IFERROR(__xludf.DUMMYFUNCTION("""COMPUTED_VALUE"""),68.6)</f>
        <v>68.599999999999994</v>
      </c>
      <c r="K76" s="1">
        <f ca="1">IFERROR(__xludf.DUMMYFUNCTION("""COMPUTED_VALUE"""),140)</f>
        <v>140</v>
      </c>
      <c r="L76" s="1">
        <f ca="1">IFERROR(__xludf.DUMMYFUNCTION("""COMPUTED_VALUE"""),-0.011)</f>
        <v>-1.0999999999999999E-2</v>
      </c>
      <c r="M76" s="1">
        <f ca="1">IFERROR(__xludf.DUMMYFUNCTION("""COMPUTED_VALUE"""),205)</f>
        <v>205</v>
      </c>
      <c r="N76" s="1">
        <f ca="1">IFERROR(__xludf.DUMMYFUNCTION("""COMPUTED_VALUE"""),-1.44)</f>
        <v>-1.44</v>
      </c>
      <c r="O76" s="1">
        <f ca="1">IFERROR(__xludf.DUMMYFUNCTION("""COMPUTED_VALUE"""),181)</f>
        <v>181</v>
      </c>
      <c r="P76" s="1">
        <f ca="1">IFERROR(__xludf.DUMMYFUNCTION("""COMPUTED_VALUE"""),102.5)</f>
        <v>102.5</v>
      </c>
      <c r="Q76" s="1">
        <f ca="1">IFERROR(__xludf.DUMMYFUNCTION("""COMPUTED_VALUE"""),263)</f>
        <v>263</v>
      </c>
      <c r="R76" s="1">
        <f ca="1">IFERROR(__xludf.DUMMYFUNCTION("""COMPUTED_VALUE"""),103.9)</f>
        <v>103.9</v>
      </c>
      <c r="S76" s="1">
        <f ca="1">IFERROR(__xludf.DUMMYFUNCTION("""COMPUTED_VALUE"""),123)</f>
        <v>123</v>
      </c>
      <c r="T76" s="1">
        <f ca="1">IFERROR(__xludf.DUMMYFUNCTION("""COMPUTED_VALUE"""),-4.77)</f>
        <v>-4.7699999999999996</v>
      </c>
      <c r="U76" s="1">
        <f ca="1">IFERROR(__xludf.DUMMYFUNCTION("""COMPUTED_VALUE"""),297)</f>
        <v>297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IFERROR(__xludf.DUMMYFUNCTION("""COMPUTED_VALUE"""),"Arkansas")</f>
        <v>Arkansas</v>
      </c>
      <c r="C77" s="1" t="str">
        <f ca="1">IFERROR(__xludf.DUMMYFUNCTION("""COMPUTED_VALUE"""),"SEC")</f>
        <v>SEC</v>
      </c>
      <c r="D77" s="1" t="str">
        <f ca="1">IFERROR(__xludf.DUMMYFUNCTION("""COMPUTED_VALUE"""),"16-16")</f>
        <v>16-16</v>
      </c>
      <c r="E77" s="1" t="str">
        <f ca="1">IFERROR(__xludf.DUMMYFUNCTION("""COMPUTED_VALUE"""),"+10.45")</f>
        <v>+10.45</v>
      </c>
      <c r="F77" s="1">
        <f ca="1">IFERROR(__xludf.DUMMYFUNCTION("""COMPUTED_VALUE"""),110.7)</f>
        <v>110.7</v>
      </c>
      <c r="G77" s="1">
        <f ca="1">IFERROR(__xludf.DUMMYFUNCTION("""COMPUTED_VALUE"""),78)</f>
        <v>78</v>
      </c>
      <c r="H77" s="1">
        <f ca="1">IFERROR(__xludf.DUMMYFUNCTION("""COMPUTED_VALUE"""),100.3)</f>
        <v>100.3</v>
      </c>
      <c r="I77" s="1">
        <f ca="1">IFERROR(__xludf.DUMMYFUNCTION("""COMPUTED_VALUE"""),90)</f>
        <v>90</v>
      </c>
      <c r="J77" s="1">
        <f ca="1">IFERROR(__xludf.DUMMYFUNCTION("""COMPUTED_VALUE"""),69.7)</f>
        <v>69.7</v>
      </c>
      <c r="K77" s="1">
        <f ca="1">IFERROR(__xludf.DUMMYFUNCTION("""COMPUTED_VALUE"""),94)</f>
        <v>94</v>
      </c>
      <c r="L77" s="1">
        <f ca="1">IFERROR(__xludf.DUMMYFUNCTION("""COMPUTED_VALUE"""),-0.08)</f>
        <v>-0.08</v>
      </c>
      <c r="M77" s="1">
        <f ca="1">IFERROR(__xludf.DUMMYFUNCTION("""COMPUTED_VALUE"""),334)</f>
        <v>334</v>
      </c>
      <c r="N77" s="1" t="str">
        <f ca="1">IFERROR(__xludf.DUMMYFUNCTION("""COMPUTED_VALUE"""),"+6.40")</f>
        <v>+6.40</v>
      </c>
      <c r="O77" s="1">
        <f ca="1">IFERROR(__xludf.DUMMYFUNCTION("""COMPUTED_VALUE"""),66)</f>
        <v>66</v>
      </c>
      <c r="P77" s="1">
        <f ca="1">IFERROR(__xludf.DUMMYFUNCTION("""COMPUTED_VALUE"""),108.6)</f>
        <v>108.6</v>
      </c>
      <c r="Q77" s="1">
        <f ca="1">IFERROR(__xludf.DUMMYFUNCTION("""COMPUTED_VALUE"""),60)</f>
        <v>60</v>
      </c>
      <c r="R77" s="1">
        <f ca="1">IFERROR(__xludf.DUMMYFUNCTION("""COMPUTED_VALUE"""),102.2)</f>
        <v>102.2</v>
      </c>
      <c r="S77" s="1">
        <f ca="1">IFERROR(__xludf.DUMMYFUNCTION("""COMPUTED_VALUE"""),78)</f>
        <v>78</v>
      </c>
      <c r="T77" s="1">
        <f ca="1">IFERROR(__xludf.DUMMYFUNCTION("""COMPUTED_VALUE"""),-0.79)</f>
        <v>-0.79</v>
      </c>
      <c r="U77" s="1">
        <f ca="1">IFERROR(__xludf.DUMMYFUNCTION("""COMPUTED_VALUE"""),179)</f>
        <v>179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IFERROR(__xludf.DUMMYFUNCTION("""COMPUTED_VALUE"""),"N.C. State")</f>
        <v>N.C. State</v>
      </c>
      <c r="C78" s="1" t="str">
        <f ca="1">IFERROR(__xludf.DUMMYFUNCTION("""COMPUTED_VALUE"""),"ACC")</f>
        <v>ACC</v>
      </c>
      <c r="D78" s="1" t="str">
        <f ca="1">IFERROR(__xludf.DUMMYFUNCTION("""COMPUTED_VALUE"""),"16-17")</f>
        <v>16-17</v>
      </c>
      <c r="E78" s="1" t="str">
        <f ca="1">IFERROR(__xludf.DUMMYFUNCTION("""COMPUTED_VALUE"""),"+10.44")</f>
        <v>+10.44</v>
      </c>
      <c r="F78" s="1">
        <f ca="1">IFERROR(__xludf.DUMMYFUNCTION("""COMPUTED_VALUE"""),114.1)</f>
        <v>114.1</v>
      </c>
      <c r="G78" s="1">
        <f ca="1">IFERROR(__xludf.DUMMYFUNCTION("""COMPUTED_VALUE"""),33)</f>
        <v>33</v>
      </c>
      <c r="H78" s="1">
        <f ca="1">IFERROR(__xludf.DUMMYFUNCTION("""COMPUTED_VALUE"""),103.7)</f>
        <v>103.7</v>
      </c>
      <c r="I78" s="1">
        <f ca="1">IFERROR(__xludf.DUMMYFUNCTION("""COMPUTED_VALUE"""),152)</f>
        <v>152</v>
      </c>
      <c r="J78" s="1">
        <f ca="1">IFERROR(__xludf.DUMMYFUNCTION("""COMPUTED_VALUE"""),67.7)</f>
        <v>67.7</v>
      </c>
      <c r="K78" s="1">
        <f ca="1">IFERROR(__xludf.DUMMYFUNCTION("""COMPUTED_VALUE"""),195)</f>
        <v>195</v>
      </c>
      <c r="L78" s="1">
        <f ca="1">IFERROR(__xludf.DUMMYFUNCTION("""COMPUTED_VALUE"""),-0.037)</f>
        <v>-3.6999999999999998E-2</v>
      </c>
      <c r="M78" s="1">
        <f ca="1">IFERROR(__xludf.DUMMYFUNCTION("""COMPUTED_VALUE"""),271)</f>
        <v>271</v>
      </c>
      <c r="N78" s="1" t="str">
        <f ca="1">IFERROR(__xludf.DUMMYFUNCTION("""COMPUTED_VALUE"""),"+8.75")</f>
        <v>+8.75</v>
      </c>
      <c r="O78" s="1">
        <f ca="1">IFERROR(__xludf.DUMMYFUNCTION("""COMPUTED_VALUE"""),38)</f>
        <v>38</v>
      </c>
      <c r="P78" s="1">
        <f ca="1">IFERROR(__xludf.DUMMYFUNCTION("""COMPUTED_VALUE"""),110.6)</f>
        <v>110.6</v>
      </c>
      <c r="Q78" s="1">
        <f ca="1">IFERROR(__xludf.DUMMYFUNCTION("""COMPUTED_VALUE"""),17)</f>
        <v>17</v>
      </c>
      <c r="R78" s="1">
        <f ca="1">IFERROR(__xludf.DUMMYFUNCTION("""COMPUTED_VALUE"""),101.8)</f>
        <v>101.8</v>
      </c>
      <c r="S78" s="1">
        <f ca="1">IFERROR(__xludf.DUMMYFUNCTION("""COMPUTED_VALUE"""),71)</f>
        <v>71</v>
      </c>
      <c r="T78" s="1">
        <f ca="1">IFERROR(__xludf.DUMMYFUNCTION("""COMPUTED_VALUE"""),-1.96)</f>
        <v>-1.96</v>
      </c>
      <c r="U78" s="1">
        <f ca="1">IFERROR(__xludf.DUMMYFUNCTION("""COMPUTED_VALUE"""),223)</f>
        <v>223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IFERROR(__xludf.DUMMYFUNCTION("""COMPUTED_VALUE"""),"Memphis")</f>
        <v>Memphis</v>
      </c>
      <c r="C79" s="1" t="str">
        <f ca="1">IFERROR(__xludf.DUMMYFUNCTION("""COMPUTED_VALUE"""),"Amer")</f>
        <v>Amer</v>
      </c>
      <c r="D79" s="1" t="str">
        <f ca="1">IFERROR(__xludf.DUMMYFUNCTION("""COMPUTED_VALUE"""),"19-15")</f>
        <v>19-15</v>
      </c>
      <c r="E79" s="1" t="str">
        <f ca="1">IFERROR(__xludf.DUMMYFUNCTION("""COMPUTED_VALUE"""),"+10.10")</f>
        <v>+10.10</v>
      </c>
      <c r="F79" s="1">
        <f ca="1">IFERROR(__xludf.DUMMYFUNCTION("""COMPUTED_VALUE"""),107.5)</f>
        <v>107.5</v>
      </c>
      <c r="G79" s="1">
        <f ca="1">IFERROR(__xludf.DUMMYFUNCTION("""COMPUTED_VALUE"""),124)</f>
        <v>124</v>
      </c>
      <c r="H79" s="1">
        <f ca="1">IFERROR(__xludf.DUMMYFUNCTION("""COMPUTED_VALUE"""),97.4)</f>
        <v>97.4</v>
      </c>
      <c r="I79" s="1">
        <f ca="1">IFERROR(__xludf.DUMMYFUNCTION("""COMPUTED_VALUE"""),47)</f>
        <v>47</v>
      </c>
      <c r="J79" s="1">
        <f ca="1">IFERROR(__xludf.DUMMYFUNCTION("""COMPUTED_VALUE"""),73.4)</f>
        <v>73.400000000000006</v>
      </c>
      <c r="K79" s="1">
        <f ca="1">IFERROR(__xludf.DUMMYFUNCTION("""COMPUTED_VALUE"""),12)</f>
        <v>12</v>
      </c>
      <c r="L79" s="1">
        <f ca="1">IFERROR(__xludf.DUMMYFUNCTION("""COMPUTED_VALUE"""),-0.098)</f>
        <v>-9.8000000000000004E-2</v>
      </c>
      <c r="M79" s="1">
        <f ca="1">IFERROR(__xludf.DUMMYFUNCTION("""COMPUTED_VALUE"""),341)</f>
        <v>341</v>
      </c>
      <c r="N79" s="1" t="str">
        <f ca="1">IFERROR(__xludf.DUMMYFUNCTION("""COMPUTED_VALUE"""),"+2.01")</f>
        <v>+2.01</v>
      </c>
      <c r="O79" s="1">
        <f ca="1">IFERROR(__xludf.DUMMYFUNCTION("""COMPUTED_VALUE"""),110)</f>
        <v>110</v>
      </c>
      <c r="P79" s="1">
        <f ca="1">IFERROR(__xludf.DUMMYFUNCTION("""COMPUTED_VALUE"""),104.3)</f>
        <v>104.3</v>
      </c>
      <c r="Q79" s="1">
        <f ca="1">IFERROR(__xludf.DUMMYFUNCTION("""COMPUTED_VALUE"""),186)</f>
        <v>186</v>
      </c>
      <c r="R79" s="1">
        <f ca="1">IFERROR(__xludf.DUMMYFUNCTION("""COMPUTED_VALUE"""),102.3)</f>
        <v>102.3</v>
      </c>
      <c r="S79" s="1">
        <f ca="1">IFERROR(__xludf.DUMMYFUNCTION("""COMPUTED_VALUE"""),80)</f>
        <v>80</v>
      </c>
      <c r="T79" s="1">
        <f ca="1">IFERROR(__xludf.DUMMYFUNCTION("""COMPUTED_VALUE"""),-6.79)</f>
        <v>-6.79</v>
      </c>
      <c r="U79" s="1">
        <f ca="1">IFERROR(__xludf.DUMMYFUNCTION("""COMPUTED_VALUE"""),322)</f>
        <v>322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IFERROR(__xludf.DUMMYFUNCTION("""COMPUTED_VALUE"""),"Ohio St.3")</f>
        <v>Ohio St.3</v>
      </c>
      <c r="C80" s="1" t="str">
        <f ca="1">IFERROR(__xludf.DUMMYFUNCTION("""COMPUTED_VALUE"""),"B10")</f>
        <v>B10</v>
      </c>
      <c r="D80" s="1" t="str">
        <f ca="1">IFERROR(__xludf.DUMMYFUNCTION("""COMPUTED_VALUE"""),"21-14")</f>
        <v>21-14</v>
      </c>
      <c r="E80" s="1" t="str">
        <f ca="1">IFERROR(__xludf.DUMMYFUNCTION("""COMPUTED_VALUE"""),"+10.00")</f>
        <v>+10.00</v>
      </c>
      <c r="F80" s="1">
        <f ca="1">IFERROR(__xludf.DUMMYFUNCTION("""COMPUTED_VALUE"""),107)</f>
        <v>107</v>
      </c>
      <c r="G80" s="1">
        <f ca="1">IFERROR(__xludf.DUMMYFUNCTION("""COMPUTED_VALUE"""),138)</f>
        <v>138</v>
      </c>
      <c r="H80" s="1">
        <f ca="1">IFERROR(__xludf.DUMMYFUNCTION("""COMPUTED_VALUE"""),97)</f>
        <v>97</v>
      </c>
      <c r="I80" s="1">
        <f ca="1">IFERROR(__xludf.DUMMYFUNCTION("""COMPUTED_VALUE"""),43)</f>
        <v>43</v>
      </c>
      <c r="J80" s="1">
        <f ca="1">IFERROR(__xludf.DUMMYFUNCTION("""COMPUTED_VALUE"""),67.5)</f>
        <v>67.5</v>
      </c>
      <c r="K80" s="1">
        <f ca="1">IFERROR(__xludf.DUMMYFUNCTION("""COMPUTED_VALUE"""),203)</f>
        <v>203</v>
      </c>
      <c r="L80" s="1" t="str">
        <f ca="1">IFERROR(__xludf.DUMMYFUNCTION("""COMPUTED_VALUE"""),"+.049")</f>
        <v>+.049</v>
      </c>
      <c r="M80" s="1">
        <f ca="1">IFERROR(__xludf.DUMMYFUNCTION("""COMPUTED_VALUE"""),65)</f>
        <v>65</v>
      </c>
      <c r="N80" s="1" t="str">
        <f ca="1">IFERROR(__xludf.DUMMYFUNCTION("""COMPUTED_VALUE"""),"+6.23")</f>
        <v>+6.23</v>
      </c>
      <c r="O80" s="1">
        <f ca="1">IFERROR(__xludf.DUMMYFUNCTION("""COMPUTED_VALUE"""),68)</f>
        <v>68</v>
      </c>
      <c r="P80" s="1">
        <f ca="1">IFERROR(__xludf.DUMMYFUNCTION("""COMPUTED_VALUE"""),107.9)</f>
        <v>107.9</v>
      </c>
      <c r="Q80" s="1">
        <f ca="1">IFERROR(__xludf.DUMMYFUNCTION("""COMPUTED_VALUE"""),68)</f>
        <v>68</v>
      </c>
      <c r="R80" s="1">
        <f ca="1">IFERROR(__xludf.DUMMYFUNCTION("""COMPUTED_VALUE"""),101.7)</f>
        <v>101.7</v>
      </c>
      <c r="S80" s="1">
        <f ca="1">IFERROR(__xludf.DUMMYFUNCTION("""COMPUTED_VALUE"""),65)</f>
        <v>65</v>
      </c>
      <c r="T80" s="1">
        <f ca="1">IFERROR(__xludf.DUMMYFUNCTION("""COMPUTED_VALUE"""),-3.41)</f>
        <v>-3.41</v>
      </c>
      <c r="U80" s="1">
        <f ca="1">IFERROR(__xludf.DUMMYFUNCTION("""COMPUTED_VALUE"""),264)</f>
        <v>264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IFERROR(__xludf.DUMMYFUNCTION("""COMPUTED_VALUE"""),"Mississippi")</f>
        <v>Mississippi</v>
      </c>
      <c r="C81" s="1" t="str">
        <f ca="1">IFERROR(__xludf.DUMMYFUNCTION("""COMPUTED_VALUE"""),"SEC")</f>
        <v>SEC</v>
      </c>
      <c r="D81" s="1" t="str">
        <f ca="1">IFERROR(__xludf.DUMMYFUNCTION("""COMPUTED_VALUE"""),"20-12")</f>
        <v>20-12</v>
      </c>
      <c r="E81" s="1" t="str">
        <f ca="1">IFERROR(__xludf.DUMMYFUNCTION("""COMPUTED_VALUE"""),"+9.88")</f>
        <v>+9.88</v>
      </c>
      <c r="F81" s="1">
        <f ca="1">IFERROR(__xludf.DUMMYFUNCTION("""COMPUTED_VALUE"""),111.9)</f>
        <v>111.9</v>
      </c>
      <c r="G81" s="1">
        <f ca="1">IFERROR(__xludf.DUMMYFUNCTION("""COMPUTED_VALUE"""),61)</f>
        <v>61</v>
      </c>
      <c r="H81" s="1">
        <f ca="1">IFERROR(__xludf.DUMMYFUNCTION("""COMPUTED_VALUE"""),102)</f>
        <v>102</v>
      </c>
      <c r="I81" s="1">
        <f ca="1">IFERROR(__xludf.DUMMYFUNCTION("""COMPUTED_VALUE"""),121)</f>
        <v>121</v>
      </c>
      <c r="J81" s="1">
        <f ca="1">IFERROR(__xludf.DUMMYFUNCTION("""COMPUTED_VALUE"""),68.5)</f>
        <v>68.5</v>
      </c>
      <c r="K81" s="1">
        <f ca="1">IFERROR(__xludf.DUMMYFUNCTION("""COMPUTED_VALUE"""),144)</f>
        <v>144</v>
      </c>
      <c r="L81" s="1" t="str">
        <f ca="1">IFERROR(__xludf.DUMMYFUNCTION("""COMPUTED_VALUE"""),"+.022")</f>
        <v>+.022</v>
      </c>
      <c r="M81" s="1">
        <f ca="1">IFERROR(__xludf.DUMMYFUNCTION("""COMPUTED_VALUE"""),117)</f>
        <v>117</v>
      </c>
      <c r="N81" s="1" t="str">
        <f ca="1">IFERROR(__xludf.DUMMYFUNCTION("""COMPUTED_VALUE"""),"+4.44")</f>
        <v>+4.44</v>
      </c>
      <c r="O81" s="1">
        <f ca="1">IFERROR(__xludf.DUMMYFUNCTION("""COMPUTED_VALUE"""),82)</f>
        <v>82</v>
      </c>
      <c r="P81" s="1">
        <f ca="1">IFERROR(__xludf.DUMMYFUNCTION("""COMPUTED_VALUE"""),105.9)</f>
        <v>105.9</v>
      </c>
      <c r="Q81" s="1">
        <f ca="1">IFERROR(__xludf.DUMMYFUNCTION("""COMPUTED_VALUE"""),110)</f>
        <v>110</v>
      </c>
      <c r="R81" s="1">
        <f ca="1">IFERROR(__xludf.DUMMYFUNCTION("""COMPUTED_VALUE"""),101.4)</f>
        <v>101.4</v>
      </c>
      <c r="S81" s="1">
        <f ca="1">IFERROR(__xludf.DUMMYFUNCTION("""COMPUTED_VALUE"""),58)</f>
        <v>58</v>
      </c>
      <c r="T81" s="1">
        <f ca="1">IFERROR(__xludf.DUMMYFUNCTION("""COMPUTED_VALUE"""),-3.59)</f>
        <v>-3.59</v>
      </c>
      <c r="U81" s="1">
        <f ca="1">IFERROR(__xludf.DUMMYFUNCTION("""COMPUTED_VALUE"""),267)</f>
        <v>267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IFERROR(__xludf.DUMMYFUNCTION("""COMPUTED_VALUE"""),"Mississippi St.")</f>
        <v>Mississippi St.</v>
      </c>
      <c r="C82" s="1" t="str">
        <f ca="1">IFERROR(__xludf.DUMMYFUNCTION("""COMPUTED_VALUE"""),"SEC")</f>
        <v>SEC</v>
      </c>
      <c r="D82" s="1" t="str">
        <f ca="1">IFERROR(__xludf.DUMMYFUNCTION("""COMPUTED_VALUE"""),"14-17")</f>
        <v>14-17</v>
      </c>
      <c r="E82" s="1" t="str">
        <f ca="1">IFERROR(__xludf.DUMMYFUNCTION("""COMPUTED_VALUE"""),"+9.62")</f>
        <v>+9.62</v>
      </c>
      <c r="F82" s="1">
        <f ca="1">IFERROR(__xludf.DUMMYFUNCTION("""COMPUTED_VALUE"""),110.1)</f>
        <v>110.1</v>
      </c>
      <c r="G82" s="1">
        <f ca="1">IFERROR(__xludf.DUMMYFUNCTION("""COMPUTED_VALUE"""),91)</f>
        <v>91</v>
      </c>
      <c r="H82" s="1">
        <f ca="1">IFERROR(__xludf.DUMMYFUNCTION("""COMPUTED_VALUE"""),100.5)</f>
        <v>100.5</v>
      </c>
      <c r="I82" s="1">
        <f ca="1">IFERROR(__xludf.DUMMYFUNCTION("""COMPUTED_VALUE"""),93)</f>
        <v>93</v>
      </c>
      <c r="J82" s="1">
        <f ca="1">IFERROR(__xludf.DUMMYFUNCTION("""COMPUTED_VALUE"""),69.3)</f>
        <v>69.3</v>
      </c>
      <c r="K82" s="1">
        <f ca="1">IFERROR(__xludf.DUMMYFUNCTION("""COMPUTED_VALUE"""),108)</f>
        <v>108</v>
      </c>
      <c r="L82" s="1">
        <f ca="1">IFERROR(__xludf.DUMMYFUNCTION("""COMPUTED_VALUE"""),-0.12)</f>
        <v>-0.12</v>
      </c>
      <c r="M82" s="1">
        <f ca="1">IFERROR(__xludf.DUMMYFUNCTION("""COMPUTED_VALUE"""),349)</f>
        <v>349</v>
      </c>
      <c r="N82" s="1" t="str">
        <f ca="1">IFERROR(__xludf.DUMMYFUNCTION("""COMPUTED_VALUE"""),"+5.66")</f>
        <v>+5.66</v>
      </c>
      <c r="O82" s="1">
        <f ca="1">IFERROR(__xludf.DUMMYFUNCTION("""COMPUTED_VALUE"""),74)</f>
        <v>74</v>
      </c>
      <c r="P82" s="1">
        <f ca="1">IFERROR(__xludf.DUMMYFUNCTION("""COMPUTED_VALUE"""),108)</f>
        <v>108</v>
      </c>
      <c r="Q82" s="1">
        <f ca="1">IFERROR(__xludf.DUMMYFUNCTION("""COMPUTED_VALUE"""),65)</f>
        <v>65</v>
      </c>
      <c r="R82" s="1">
        <f ca="1">IFERROR(__xludf.DUMMYFUNCTION("""COMPUTED_VALUE"""),102.4)</f>
        <v>102.4</v>
      </c>
      <c r="S82" s="1">
        <f ca="1">IFERROR(__xludf.DUMMYFUNCTION("""COMPUTED_VALUE"""),86)</f>
        <v>86</v>
      </c>
      <c r="T82" s="1">
        <f ca="1">IFERROR(__xludf.DUMMYFUNCTION("""COMPUTED_VALUE"""),-4.51)</f>
        <v>-4.51</v>
      </c>
      <c r="U82" s="1">
        <f ca="1">IFERROR(__xludf.DUMMYFUNCTION("""COMPUTED_VALUE"""),292)</f>
        <v>292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IFERROR(__xludf.DUMMYFUNCTION("""COMPUTED_VALUE"""),"Oakland")</f>
        <v>Oakland</v>
      </c>
      <c r="C83" s="1" t="str">
        <f ca="1">IFERROR(__xludf.DUMMYFUNCTION("""COMPUTED_VALUE"""),"Horz")</f>
        <v>Horz</v>
      </c>
      <c r="D83" s="1" t="str">
        <f ca="1">IFERROR(__xludf.DUMMYFUNCTION("""COMPUTED_VALUE"""),"23-12")</f>
        <v>23-12</v>
      </c>
      <c r="E83" s="1" t="str">
        <f ca="1">IFERROR(__xludf.DUMMYFUNCTION("""COMPUTED_VALUE"""),"+9.60")</f>
        <v>+9.60</v>
      </c>
      <c r="F83" s="1">
        <f ca="1">IFERROR(__xludf.DUMMYFUNCTION("""COMPUTED_VALUE"""),116.3)</f>
        <v>116.3</v>
      </c>
      <c r="G83" s="1">
        <f ca="1">IFERROR(__xludf.DUMMYFUNCTION("""COMPUTED_VALUE"""),23)</f>
        <v>23</v>
      </c>
      <c r="H83" s="1">
        <f ca="1">IFERROR(__xludf.DUMMYFUNCTION("""COMPUTED_VALUE"""),106.7)</f>
        <v>106.7</v>
      </c>
      <c r="I83" s="1">
        <f ca="1">IFERROR(__xludf.DUMMYFUNCTION("""COMPUTED_VALUE"""),208)</f>
        <v>208</v>
      </c>
      <c r="J83" s="1">
        <f ca="1">IFERROR(__xludf.DUMMYFUNCTION("""COMPUTED_VALUE"""),73.8)</f>
        <v>73.8</v>
      </c>
      <c r="K83" s="1">
        <f ca="1">IFERROR(__xludf.DUMMYFUNCTION("""COMPUTED_VALUE"""),9)</f>
        <v>9</v>
      </c>
      <c r="L83" s="1">
        <f ca="1">IFERROR(__xludf.DUMMYFUNCTION("""COMPUTED_VALUE"""),-0.058)</f>
        <v>-5.8000000000000003E-2</v>
      </c>
      <c r="M83" s="1">
        <f ca="1">IFERROR(__xludf.DUMMYFUNCTION("""COMPUTED_VALUE"""),312)</f>
        <v>312</v>
      </c>
      <c r="N83" s="1">
        <f ca="1">IFERROR(__xludf.DUMMYFUNCTION("""COMPUTED_VALUE"""),-1.06)</f>
        <v>-1.06</v>
      </c>
      <c r="O83" s="1">
        <f ca="1">IFERROR(__xludf.DUMMYFUNCTION("""COMPUTED_VALUE"""),172)</f>
        <v>172</v>
      </c>
      <c r="P83" s="1">
        <f ca="1">IFERROR(__xludf.DUMMYFUNCTION("""COMPUTED_VALUE"""),103.8)</f>
        <v>103.8</v>
      </c>
      <c r="Q83" s="1">
        <f ca="1">IFERROR(__xludf.DUMMYFUNCTION("""COMPUTED_VALUE"""),203)</f>
        <v>203</v>
      </c>
      <c r="R83" s="1">
        <f ca="1">IFERROR(__xludf.DUMMYFUNCTION("""COMPUTED_VALUE"""),104.8)</f>
        <v>104.8</v>
      </c>
      <c r="S83" s="1">
        <f ca="1">IFERROR(__xludf.DUMMYFUNCTION("""COMPUTED_VALUE"""),147)</f>
        <v>147</v>
      </c>
      <c r="T83" s="1" t="str">
        <f ca="1">IFERROR(__xludf.DUMMYFUNCTION("""COMPUTED_VALUE"""),"+1.52")</f>
        <v>+1.52</v>
      </c>
      <c r="U83" s="1">
        <f ca="1">IFERROR(__xludf.DUMMYFUNCTION("""COMPUTED_VALUE"""),124)</f>
        <v>124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IFERROR(__xludf.DUMMYFUNCTION("""COMPUTED_VALUE"""),"South Dakota St.12")</f>
        <v>South Dakota St.12</v>
      </c>
      <c r="C84" s="1" t="str">
        <f ca="1">IFERROR(__xludf.DUMMYFUNCTION("""COMPUTED_VALUE"""),"Sum")</f>
        <v>Sum</v>
      </c>
      <c r="D84" s="1" t="str">
        <f ca="1">IFERROR(__xludf.DUMMYFUNCTION("""COMPUTED_VALUE"""),"26-8")</f>
        <v>26-8</v>
      </c>
      <c r="E84" s="1" t="str">
        <f ca="1">IFERROR(__xludf.DUMMYFUNCTION("""COMPUTED_VALUE"""),"+9.57")</f>
        <v>+9.57</v>
      </c>
      <c r="F84" s="1">
        <f ca="1">IFERROR(__xludf.DUMMYFUNCTION("""COMPUTED_VALUE"""),111.4)</f>
        <v>111.4</v>
      </c>
      <c r="G84" s="1">
        <f ca="1">IFERROR(__xludf.DUMMYFUNCTION("""COMPUTED_VALUE"""),66)</f>
        <v>66</v>
      </c>
      <c r="H84" s="1">
        <f ca="1">IFERROR(__xludf.DUMMYFUNCTION("""COMPUTED_VALUE"""),101.8)</f>
        <v>101.8</v>
      </c>
      <c r="I84" s="1">
        <f ca="1">IFERROR(__xludf.DUMMYFUNCTION("""COMPUTED_VALUE"""),117)</f>
        <v>117</v>
      </c>
      <c r="J84" s="1">
        <f ca="1">IFERROR(__xludf.DUMMYFUNCTION("""COMPUTED_VALUE"""),68.3)</f>
        <v>68.3</v>
      </c>
      <c r="K84" s="1">
        <f ca="1">IFERROR(__xludf.DUMMYFUNCTION("""COMPUTED_VALUE"""),157)</f>
        <v>157</v>
      </c>
      <c r="L84" s="1" t="str">
        <f ca="1">IFERROR(__xludf.DUMMYFUNCTION("""COMPUTED_VALUE"""),"+.004")</f>
        <v>+.004</v>
      </c>
      <c r="M84" s="1">
        <f ca="1">IFERROR(__xludf.DUMMYFUNCTION("""COMPUTED_VALUE"""),168)</f>
        <v>168</v>
      </c>
      <c r="N84" s="1">
        <f ca="1">IFERROR(__xludf.DUMMYFUNCTION("""COMPUTED_VALUE"""),-0.23)</f>
        <v>-0.23</v>
      </c>
      <c r="O84" s="1">
        <f ca="1">IFERROR(__xludf.DUMMYFUNCTION("""COMPUTED_VALUE"""),155)</f>
        <v>155</v>
      </c>
      <c r="P84" s="1">
        <f ca="1">IFERROR(__xludf.DUMMYFUNCTION("""COMPUTED_VALUE"""),104.6)</f>
        <v>104.6</v>
      </c>
      <c r="Q84" s="1">
        <f ca="1">IFERROR(__xludf.DUMMYFUNCTION("""COMPUTED_VALUE"""),168)</f>
        <v>168</v>
      </c>
      <c r="R84" s="1">
        <f ca="1">IFERROR(__xludf.DUMMYFUNCTION("""COMPUTED_VALUE"""),104.8)</f>
        <v>104.8</v>
      </c>
      <c r="S84" s="1">
        <f ca="1">IFERROR(__xludf.DUMMYFUNCTION("""COMPUTED_VALUE"""),146)</f>
        <v>146</v>
      </c>
      <c r="T84" s="1" t="str">
        <f ca="1">IFERROR(__xludf.DUMMYFUNCTION("""COMPUTED_VALUE"""),"+1.91")</f>
        <v>+1.91</v>
      </c>
      <c r="U84" s="1">
        <f ca="1">IFERROR(__xludf.DUMMYFUNCTION("""COMPUTED_VALUE"""),113)</f>
        <v>113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IFERROR(__xludf.DUMMYFUNCTION("""COMPUTED_VALUE"""),"LSU")</f>
        <v>LSU</v>
      </c>
      <c r="C87" s="1" t="str">
        <f ca="1">IFERROR(__xludf.DUMMYFUNCTION("""COMPUTED_VALUE"""),"SEC")</f>
        <v>SEC</v>
      </c>
      <c r="D87" s="1" t="str">
        <f ca="1">IFERROR(__xludf.DUMMYFUNCTION("""COMPUTED_VALUE"""),"19-14")</f>
        <v>19-14</v>
      </c>
      <c r="E87" s="1" t="str">
        <f ca="1">IFERROR(__xludf.DUMMYFUNCTION("""COMPUTED_VALUE"""),"+9.56")</f>
        <v>+9.56</v>
      </c>
      <c r="F87" s="1">
        <f ca="1">IFERROR(__xludf.DUMMYFUNCTION("""COMPUTED_VALUE"""),111.9)</f>
        <v>111.9</v>
      </c>
      <c r="G87" s="1">
        <f ca="1">IFERROR(__xludf.DUMMYFUNCTION("""COMPUTED_VALUE"""),60)</f>
        <v>60</v>
      </c>
      <c r="H87" s="1">
        <f ca="1">IFERROR(__xludf.DUMMYFUNCTION("""COMPUTED_VALUE"""),102.3)</f>
        <v>102.3</v>
      </c>
      <c r="I87" s="1">
        <f ca="1">IFERROR(__xludf.DUMMYFUNCTION("""COMPUTED_VALUE"""),124)</f>
        <v>124</v>
      </c>
      <c r="J87" s="1">
        <f ca="1">IFERROR(__xludf.DUMMYFUNCTION("""COMPUTED_VALUE"""),72.3)</f>
        <v>72.3</v>
      </c>
      <c r="K87" s="1">
        <f ca="1">IFERROR(__xludf.DUMMYFUNCTION("""COMPUTED_VALUE"""),22)</f>
        <v>22</v>
      </c>
      <c r="L87" s="1" t="str">
        <f ca="1">IFERROR(__xludf.DUMMYFUNCTION("""COMPUTED_VALUE"""),"+.022")</f>
        <v>+.022</v>
      </c>
      <c r="M87" s="1">
        <f ca="1">IFERROR(__xludf.DUMMYFUNCTION("""COMPUTED_VALUE"""),116)</f>
        <v>116</v>
      </c>
      <c r="N87" s="1" t="str">
        <f ca="1">IFERROR(__xludf.DUMMYFUNCTION("""COMPUTED_VALUE"""),"+6.85")</f>
        <v>+6.85</v>
      </c>
      <c r="O87" s="1">
        <f ca="1">IFERROR(__xludf.DUMMYFUNCTION("""COMPUTED_VALUE"""),59)</f>
        <v>59</v>
      </c>
      <c r="P87" s="1">
        <f ca="1">IFERROR(__xludf.DUMMYFUNCTION("""COMPUTED_VALUE"""),108.3)</f>
        <v>108.3</v>
      </c>
      <c r="Q87" s="1">
        <f ca="1">IFERROR(__xludf.DUMMYFUNCTION("""COMPUTED_VALUE"""),63)</f>
        <v>63</v>
      </c>
      <c r="R87" s="1">
        <f ca="1">IFERROR(__xludf.DUMMYFUNCTION("""COMPUTED_VALUE"""),101.4)</f>
        <v>101.4</v>
      </c>
      <c r="S87" s="1">
        <f ca="1">IFERROR(__xludf.DUMMYFUNCTION("""COMPUTED_VALUE"""),59)</f>
        <v>59</v>
      </c>
      <c r="T87" s="1">
        <f ca="1">IFERROR(__xludf.DUMMYFUNCTION("""COMPUTED_VALUE"""),-3.11)</f>
        <v>-3.11</v>
      </c>
      <c r="U87" s="1">
        <f ca="1">IFERROR(__xludf.DUMMYFUNCTION("""COMPUTED_VALUE"""),256)</f>
        <v>256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IFERROR(__xludf.DUMMYFUNCTION("""COMPUTED_VALUE"""),"Rhode Island")</f>
        <v>Rhode Island</v>
      </c>
      <c r="C88" s="1" t="str">
        <f ca="1">IFERROR(__xludf.DUMMYFUNCTION("""COMPUTED_VALUE"""),"A10")</f>
        <v>A10</v>
      </c>
      <c r="D88" s="1" t="str">
        <f ca="1">IFERROR(__xludf.DUMMYFUNCTION("""COMPUTED_VALUE"""),"17-15")</f>
        <v>17-15</v>
      </c>
      <c r="E88" s="1" t="str">
        <f ca="1">IFERROR(__xludf.DUMMYFUNCTION("""COMPUTED_VALUE"""),"+9.37")</f>
        <v>+9.37</v>
      </c>
      <c r="F88" s="1">
        <f ca="1">IFERROR(__xludf.DUMMYFUNCTION("""COMPUTED_VALUE"""),108.4)</f>
        <v>108.4</v>
      </c>
      <c r="G88" s="1">
        <f ca="1">IFERROR(__xludf.DUMMYFUNCTION("""COMPUTED_VALUE"""),106)</f>
        <v>106</v>
      </c>
      <c r="H88" s="1">
        <f ca="1">IFERROR(__xludf.DUMMYFUNCTION("""COMPUTED_VALUE"""),99)</f>
        <v>99</v>
      </c>
      <c r="I88" s="1">
        <f ca="1">IFERROR(__xludf.DUMMYFUNCTION("""COMPUTED_VALUE"""),65)</f>
        <v>65</v>
      </c>
      <c r="J88" s="1">
        <f ca="1">IFERROR(__xludf.DUMMYFUNCTION("""COMPUTED_VALUE"""),64.4)</f>
        <v>64.400000000000006</v>
      </c>
      <c r="K88" s="1">
        <f ca="1">IFERROR(__xludf.DUMMYFUNCTION("""COMPUTED_VALUE"""),328)</f>
        <v>328</v>
      </c>
      <c r="L88" s="1">
        <f ca="1">IFERROR(__xludf.DUMMYFUNCTION("""COMPUTED_VALUE"""),-0.115)</f>
        <v>-0.115</v>
      </c>
      <c r="M88" s="1">
        <f ca="1">IFERROR(__xludf.DUMMYFUNCTION("""COMPUTED_VALUE"""),348)</f>
        <v>348</v>
      </c>
      <c r="N88" s="1" t="str">
        <f ca="1">IFERROR(__xludf.DUMMYFUNCTION("""COMPUTED_VALUE"""),"+2.36")</f>
        <v>+2.36</v>
      </c>
      <c r="O88" s="1">
        <f ca="1">IFERROR(__xludf.DUMMYFUNCTION("""COMPUTED_VALUE"""),105)</f>
        <v>105</v>
      </c>
      <c r="P88" s="1">
        <f ca="1">IFERROR(__xludf.DUMMYFUNCTION("""COMPUTED_VALUE"""),105.3)</f>
        <v>105.3</v>
      </c>
      <c r="Q88" s="1">
        <f ca="1">IFERROR(__xludf.DUMMYFUNCTION("""COMPUTED_VALUE"""),134)</f>
        <v>134</v>
      </c>
      <c r="R88" s="1">
        <f ca="1">IFERROR(__xludf.DUMMYFUNCTION("""COMPUTED_VALUE"""),103)</f>
        <v>103</v>
      </c>
      <c r="S88" s="1">
        <f ca="1">IFERROR(__xludf.DUMMYFUNCTION("""COMPUTED_VALUE"""),100)</f>
        <v>100</v>
      </c>
      <c r="T88" s="1" t="str">
        <f ca="1">IFERROR(__xludf.DUMMYFUNCTION("""COMPUTED_VALUE"""),"+0.33")</f>
        <v>+0.33</v>
      </c>
      <c r="U88" s="1">
        <f ca="1">IFERROR(__xludf.DUMMYFUNCTION("""COMPUTED_VALUE"""),159)</f>
        <v>159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IFERROR(__xludf.DUMMYFUNCTION("""COMPUTED_VALUE"""),"UNC Wilmington13")</f>
        <v>UNC Wilmington13</v>
      </c>
      <c r="C89" s="1" t="str">
        <f ca="1">IFERROR(__xludf.DUMMYFUNCTION("""COMPUTED_VALUE"""),"CAA")</f>
        <v>CAA</v>
      </c>
      <c r="D89" s="1" t="str">
        <f ca="1">IFERROR(__xludf.DUMMYFUNCTION("""COMPUTED_VALUE"""),"25-8")</f>
        <v>25-8</v>
      </c>
      <c r="E89" s="1" t="str">
        <f ca="1">IFERROR(__xludf.DUMMYFUNCTION("""COMPUTED_VALUE"""),"+9.21")</f>
        <v>+9.21</v>
      </c>
      <c r="F89" s="1">
        <f ca="1">IFERROR(__xludf.DUMMYFUNCTION("""COMPUTED_VALUE"""),110.7)</f>
        <v>110.7</v>
      </c>
      <c r="G89" s="1">
        <f ca="1">IFERROR(__xludf.DUMMYFUNCTION("""COMPUTED_VALUE"""),79)</f>
        <v>79</v>
      </c>
      <c r="H89" s="1">
        <f ca="1">IFERROR(__xludf.DUMMYFUNCTION("""COMPUTED_VALUE"""),101.5)</f>
        <v>101.5</v>
      </c>
      <c r="I89" s="1">
        <f ca="1">IFERROR(__xludf.DUMMYFUNCTION("""COMPUTED_VALUE"""),110)</f>
        <v>110</v>
      </c>
      <c r="J89" s="1">
        <f ca="1">IFERROR(__xludf.DUMMYFUNCTION("""COMPUTED_VALUE"""),70.3)</f>
        <v>70.3</v>
      </c>
      <c r="K89" s="1">
        <f ca="1">IFERROR(__xludf.DUMMYFUNCTION("""COMPUTED_VALUE"""),73)</f>
        <v>73</v>
      </c>
      <c r="L89" s="1" t="str">
        <f ca="1">IFERROR(__xludf.DUMMYFUNCTION("""COMPUTED_VALUE"""),"+.033")</f>
        <v>+.033</v>
      </c>
      <c r="M89" s="1">
        <f ca="1">IFERROR(__xludf.DUMMYFUNCTION("""COMPUTED_VALUE"""),93)</f>
        <v>93</v>
      </c>
      <c r="N89" s="1" t="str">
        <f ca="1">IFERROR(__xludf.DUMMYFUNCTION("""COMPUTED_VALUE"""),"+0.85")</f>
        <v>+0.85</v>
      </c>
      <c r="O89" s="1">
        <f ca="1">IFERROR(__xludf.DUMMYFUNCTION("""COMPUTED_VALUE"""),132)</f>
        <v>132</v>
      </c>
      <c r="P89" s="1">
        <f ca="1">IFERROR(__xludf.DUMMYFUNCTION("""COMPUTED_VALUE"""),105.7)</f>
        <v>105.7</v>
      </c>
      <c r="Q89" s="1">
        <f ca="1">IFERROR(__xludf.DUMMYFUNCTION("""COMPUTED_VALUE"""),115)</f>
        <v>115</v>
      </c>
      <c r="R89" s="1">
        <f ca="1">IFERROR(__xludf.DUMMYFUNCTION("""COMPUTED_VALUE"""),104.9)</f>
        <v>104.9</v>
      </c>
      <c r="S89" s="1">
        <f ca="1">IFERROR(__xludf.DUMMYFUNCTION("""COMPUTED_VALUE"""),151)</f>
        <v>151</v>
      </c>
      <c r="T89" s="1">
        <f ca="1">IFERROR(__xludf.DUMMYFUNCTION("""COMPUTED_VALUE"""),-3.9)</f>
        <v>-3.9</v>
      </c>
      <c r="U89" s="1">
        <f ca="1">IFERROR(__xludf.DUMMYFUNCTION("""COMPUTED_VALUE"""),271)</f>
        <v>271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IFERROR(__xludf.DUMMYFUNCTION("""COMPUTED_VALUE"""),"UC Irvine")</f>
        <v>UC Irvine</v>
      </c>
      <c r="C90" s="1" t="str">
        <f ca="1">IFERROR(__xludf.DUMMYFUNCTION("""COMPUTED_VALUE"""),"BW")</f>
        <v>BW</v>
      </c>
      <c r="D90" s="1" t="str">
        <f ca="1">IFERROR(__xludf.DUMMYFUNCTION("""COMPUTED_VALUE"""),"28-10")</f>
        <v>28-10</v>
      </c>
      <c r="E90" s="1" t="str">
        <f ca="1">IFERROR(__xludf.DUMMYFUNCTION("""COMPUTED_VALUE"""),"+9.10")</f>
        <v>+9.10</v>
      </c>
      <c r="F90" s="1">
        <f ca="1">IFERROR(__xludf.DUMMYFUNCTION("""COMPUTED_VALUE"""),106)</f>
        <v>106</v>
      </c>
      <c r="G90" s="1">
        <f ca="1">IFERROR(__xludf.DUMMYFUNCTION("""COMPUTED_VALUE"""),157)</f>
        <v>157</v>
      </c>
      <c r="H90" s="1">
        <f ca="1">IFERROR(__xludf.DUMMYFUNCTION("""COMPUTED_VALUE"""),96.9)</f>
        <v>96.9</v>
      </c>
      <c r="I90" s="1">
        <f ca="1">IFERROR(__xludf.DUMMYFUNCTION("""COMPUTED_VALUE"""),41)</f>
        <v>41</v>
      </c>
      <c r="J90" s="1">
        <f ca="1">IFERROR(__xludf.DUMMYFUNCTION("""COMPUTED_VALUE"""),67.5)</f>
        <v>67.5</v>
      </c>
      <c r="K90" s="1">
        <f ca="1">IFERROR(__xludf.DUMMYFUNCTION("""COMPUTED_VALUE"""),205)</f>
        <v>205</v>
      </c>
      <c r="L90" s="1" t="str">
        <f ca="1">IFERROR(__xludf.DUMMYFUNCTION("""COMPUTED_VALUE"""),"+.093")</f>
        <v>+.093</v>
      </c>
      <c r="M90" s="1">
        <f ca="1">IFERROR(__xludf.DUMMYFUNCTION("""COMPUTED_VALUE"""),19)</f>
        <v>19</v>
      </c>
      <c r="N90" s="1" t="str">
        <f ca="1">IFERROR(__xludf.DUMMYFUNCTION("""COMPUTED_VALUE"""),"+1.62")</f>
        <v>+1.62</v>
      </c>
      <c r="O90" s="1">
        <f ca="1">IFERROR(__xludf.DUMMYFUNCTION("""COMPUTED_VALUE"""),122)</f>
        <v>122</v>
      </c>
      <c r="P90" s="1">
        <f ca="1">IFERROR(__xludf.DUMMYFUNCTION("""COMPUTED_VALUE"""),105.5)</f>
        <v>105.5</v>
      </c>
      <c r="Q90" s="1">
        <f ca="1">IFERROR(__xludf.DUMMYFUNCTION("""COMPUTED_VALUE"""),125)</f>
        <v>125</v>
      </c>
      <c r="R90" s="1">
        <f ca="1">IFERROR(__xludf.DUMMYFUNCTION("""COMPUTED_VALUE"""),103.9)</f>
        <v>103.9</v>
      </c>
      <c r="S90" s="1">
        <f ca="1">IFERROR(__xludf.DUMMYFUNCTION("""COMPUTED_VALUE"""),121)</f>
        <v>121</v>
      </c>
      <c r="T90" s="1" t="str">
        <f ca="1">IFERROR(__xludf.DUMMYFUNCTION("""COMPUTED_VALUE"""),"+3.88")</f>
        <v>+3.88</v>
      </c>
      <c r="U90" s="1">
        <f ca="1">IFERROR(__xludf.DUMMYFUNCTION("""COMPUTED_VALUE"""),58)</f>
        <v>58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IFERROR(__xludf.DUMMYFUNCTION("""COMPUTED_VALUE"""),"Nebraska")</f>
        <v>Nebraska</v>
      </c>
      <c r="C91" s="1" t="str">
        <f ca="1">IFERROR(__xludf.DUMMYFUNCTION("""COMPUTED_VALUE"""),"B10")</f>
        <v>B10</v>
      </c>
      <c r="D91" s="1" t="str">
        <f ca="1">IFERROR(__xludf.DUMMYFUNCTION("""COMPUTED_VALUE"""),"16-18")</f>
        <v>16-18</v>
      </c>
      <c r="E91" s="1" t="str">
        <f ca="1">IFERROR(__xludf.DUMMYFUNCTION("""COMPUTED_VALUE"""),"+8.82")</f>
        <v>+8.82</v>
      </c>
      <c r="F91" s="1">
        <f ca="1">IFERROR(__xludf.DUMMYFUNCTION("""COMPUTED_VALUE"""),110.4)</f>
        <v>110.4</v>
      </c>
      <c r="G91" s="1">
        <f ca="1">IFERROR(__xludf.DUMMYFUNCTION("""COMPUTED_VALUE"""),86)</f>
        <v>86</v>
      </c>
      <c r="H91" s="1">
        <f ca="1">IFERROR(__xludf.DUMMYFUNCTION("""COMPUTED_VALUE"""),101.6)</f>
        <v>101.6</v>
      </c>
      <c r="I91" s="1">
        <f ca="1">IFERROR(__xludf.DUMMYFUNCTION("""COMPUTED_VALUE"""),113)</f>
        <v>113</v>
      </c>
      <c r="J91" s="1">
        <f ca="1">IFERROR(__xludf.DUMMYFUNCTION("""COMPUTED_VALUE"""),67.1)</f>
        <v>67.099999999999994</v>
      </c>
      <c r="K91" s="1">
        <f ca="1">IFERROR(__xludf.DUMMYFUNCTION("""COMPUTED_VALUE"""),231)</f>
        <v>231</v>
      </c>
      <c r="L91" s="1">
        <f ca="1">IFERROR(__xludf.DUMMYFUNCTION("""COMPUTED_VALUE"""),-0.097)</f>
        <v>-9.7000000000000003E-2</v>
      </c>
      <c r="M91" s="1">
        <f ca="1">IFERROR(__xludf.DUMMYFUNCTION("""COMPUTED_VALUE"""),340)</f>
        <v>340</v>
      </c>
      <c r="N91" s="1" t="str">
        <f ca="1">IFERROR(__xludf.DUMMYFUNCTION("""COMPUTED_VALUE"""),"+5.74")</f>
        <v>+5.74</v>
      </c>
      <c r="O91" s="1">
        <f ca="1">IFERROR(__xludf.DUMMYFUNCTION("""COMPUTED_VALUE"""),73)</f>
        <v>73</v>
      </c>
      <c r="P91" s="1">
        <f ca="1">IFERROR(__xludf.DUMMYFUNCTION("""COMPUTED_VALUE"""),107.4)</f>
        <v>107.4</v>
      </c>
      <c r="Q91" s="1">
        <f ca="1">IFERROR(__xludf.DUMMYFUNCTION("""COMPUTED_VALUE"""),74)</f>
        <v>74</v>
      </c>
      <c r="R91" s="1">
        <f ca="1">IFERROR(__xludf.DUMMYFUNCTION("""COMPUTED_VALUE"""),101.6)</f>
        <v>101.6</v>
      </c>
      <c r="S91" s="1">
        <f ca="1">IFERROR(__xludf.DUMMYFUNCTION("""COMPUTED_VALUE"""),64)</f>
        <v>64</v>
      </c>
      <c r="T91" s="1">
        <f ca="1">IFERROR(__xludf.DUMMYFUNCTION("""COMPUTED_VALUE"""),-6.8)</f>
        <v>-6.8</v>
      </c>
      <c r="U91" s="1">
        <f ca="1">IFERROR(__xludf.DUMMYFUNCTION("""COMPUTED_VALUE"""),323)</f>
        <v>323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IFERROR(__xludf.DUMMYFUNCTION("""COMPUTED_VALUE"""),"Temple10")</f>
        <v>Temple10</v>
      </c>
      <c r="C92" s="1" t="str">
        <f ca="1">IFERROR(__xludf.DUMMYFUNCTION("""COMPUTED_VALUE"""),"Amer")</f>
        <v>Amer</v>
      </c>
      <c r="D92" s="1" t="str">
        <f ca="1">IFERROR(__xludf.DUMMYFUNCTION("""COMPUTED_VALUE"""),"21-12")</f>
        <v>21-12</v>
      </c>
      <c r="E92" s="1" t="str">
        <f ca="1">IFERROR(__xludf.DUMMYFUNCTION("""COMPUTED_VALUE"""),"+8.82")</f>
        <v>+8.82</v>
      </c>
      <c r="F92" s="1">
        <f ca="1">IFERROR(__xludf.DUMMYFUNCTION("""COMPUTED_VALUE"""),107)</f>
        <v>107</v>
      </c>
      <c r="G92" s="1">
        <f ca="1">IFERROR(__xludf.DUMMYFUNCTION("""COMPUTED_VALUE"""),139)</f>
        <v>139</v>
      </c>
      <c r="H92" s="1">
        <f ca="1">IFERROR(__xludf.DUMMYFUNCTION("""COMPUTED_VALUE"""),98.1)</f>
        <v>98.1</v>
      </c>
      <c r="I92" s="1">
        <f ca="1">IFERROR(__xludf.DUMMYFUNCTION("""COMPUTED_VALUE"""),52)</f>
        <v>52</v>
      </c>
      <c r="J92" s="1">
        <f ca="1">IFERROR(__xludf.DUMMYFUNCTION("""COMPUTED_VALUE"""),65.9)</f>
        <v>65.900000000000006</v>
      </c>
      <c r="K92" s="1">
        <f ca="1">IFERROR(__xludf.DUMMYFUNCTION("""COMPUTED_VALUE"""),283)</f>
        <v>283</v>
      </c>
      <c r="L92" s="1" t="str">
        <f ca="1">IFERROR(__xludf.DUMMYFUNCTION("""COMPUTED_VALUE"""),"+.095")</f>
        <v>+.095</v>
      </c>
      <c r="M92" s="1">
        <f ca="1">IFERROR(__xludf.DUMMYFUNCTION("""COMPUTED_VALUE"""),17)</f>
        <v>17</v>
      </c>
      <c r="N92" s="1" t="str">
        <f ca="1">IFERROR(__xludf.DUMMYFUNCTION("""COMPUTED_VALUE"""),"+6.33")</f>
        <v>+6.33</v>
      </c>
      <c r="O92" s="1">
        <f ca="1">IFERROR(__xludf.DUMMYFUNCTION("""COMPUTED_VALUE"""),67)</f>
        <v>67</v>
      </c>
      <c r="P92" s="1">
        <f ca="1">IFERROR(__xludf.DUMMYFUNCTION("""COMPUTED_VALUE"""),107.8)</f>
        <v>107.8</v>
      </c>
      <c r="Q92" s="1">
        <f ca="1">IFERROR(__xludf.DUMMYFUNCTION("""COMPUTED_VALUE"""),69)</f>
        <v>69</v>
      </c>
      <c r="R92" s="1">
        <f ca="1">IFERROR(__xludf.DUMMYFUNCTION("""COMPUTED_VALUE"""),101.5)</f>
        <v>101.5</v>
      </c>
      <c r="S92" s="1">
        <f ca="1">IFERROR(__xludf.DUMMYFUNCTION("""COMPUTED_VALUE"""),61)</f>
        <v>61</v>
      </c>
      <c r="T92" s="1" t="str">
        <f ca="1">IFERROR(__xludf.DUMMYFUNCTION("""COMPUTED_VALUE"""),"+3.70")</f>
        <v>+3.70</v>
      </c>
      <c r="U92" s="1">
        <f ca="1">IFERROR(__xludf.DUMMYFUNCTION("""COMPUTED_VALUE"""),63)</f>
        <v>63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IFERROR(__xludf.DUMMYFUNCTION("""COMPUTED_VALUE"""),"William &amp; Mary")</f>
        <v>William &amp; Mary</v>
      </c>
      <c r="C93" s="1" t="str">
        <f ca="1">IFERROR(__xludf.DUMMYFUNCTION("""COMPUTED_VALUE"""),"CAA")</f>
        <v>CAA</v>
      </c>
      <c r="D93" s="1" t="str">
        <f ca="1">IFERROR(__xludf.DUMMYFUNCTION("""COMPUTED_VALUE"""),"20-11")</f>
        <v>20-11</v>
      </c>
      <c r="E93" s="1" t="str">
        <f ca="1">IFERROR(__xludf.DUMMYFUNCTION("""COMPUTED_VALUE"""),"+8.79")</f>
        <v>+8.79</v>
      </c>
      <c r="F93" s="1">
        <f ca="1">IFERROR(__xludf.DUMMYFUNCTION("""COMPUTED_VALUE"""),113.3)</f>
        <v>113.3</v>
      </c>
      <c r="G93" s="1">
        <f ca="1">IFERROR(__xludf.DUMMYFUNCTION("""COMPUTED_VALUE"""),44)</f>
        <v>44</v>
      </c>
      <c r="H93" s="1">
        <f ca="1">IFERROR(__xludf.DUMMYFUNCTION("""COMPUTED_VALUE"""),104.5)</f>
        <v>104.5</v>
      </c>
      <c r="I93" s="1">
        <f ca="1">IFERROR(__xludf.DUMMYFUNCTION("""COMPUTED_VALUE"""),171)</f>
        <v>171</v>
      </c>
      <c r="J93" s="1">
        <f ca="1">IFERROR(__xludf.DUMMYFUNCTION("""COMPUTED_VALUE"""),68.3)</f>
        <v>68.3</v>
      </c>
      <c r="K93" s="1">
        <f ca="1">IFERROR(__xludf.DUMMYFUNCTION("""COMPUTED_VALUE"""),153)</f>
        <v>153</v>
      </c>
      <c r="L93" s="1">
        <f ca="1">IFERROR(__xludf.DUMMYFUNCTION("""COMPUTED_VALUE"""),-0.015)</f>
        <v>-1.4999999999999999E-2</v>
      </c>
      <c r="M93" s="1">
        <f ca="1">IFERROR(__xludf.DUMMYFUNCTION("""COMPUTED_VALUE"""),217)</f>
        <v>217</v>
      </c>
      <c r="N93" s="1" t="str">
        <f ca="1">IFERROR(__xludf.DUMMYFUNCTION("""COMPUTED_VALUE"""),"+1.93")</f>
        <v>+1.93</v>
      </c>
      <c r="O93" s="1">
        <f ca="1">IFERROR(__xludf.DUMMYFUNCTION("""COMPUTED_VALUE"""),114)</f>
        <v>114</v>
      </c>
      <c r="P93" s="1">
        <f ca="1">IFERROR(__xludf.DUMMYFUNCTION("""COMPUTED_VALUE"""),105.9)</f>
        <v>105.9</v>
      </c>
      <c r="Q93" s="1">
        <f ca="1">IFERROR(__xludf.DUMMYFUNCTION("""COMPUTED_VALUE"""),111)</f>
        <v>111</v>
      </c>
      <c r="R93" s="1">
        <f ca="1">IFERROR(__xludf.DUMMYFUNCTION("""COMPUTED_VALUE"""),103.9)</f>
        <v>103.9</v>
      </c>
      <c r="S93" s="1">
        <f ca="1">IFERROR(__xludf.DUMMYFUNCTION("""COMPUTED_VALUE"""),124)</f>
        <v>124</v>
      </c>
      <c r="T93" s="1" t="str">
        <f ca="1">IFERROR(__xludf.DUMMYFUNCTION("""COMPUTED_VALUE"""),"+1.24")</f>
        <v>+1.24</v>
      </c>
      <c r="U93" s="1">
        <f ca="1">IFERROR(__xludf.DUMMYFUNCTION("""COMPUTED_VALUE"""),135)</f>
        <v>135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IFERROR(__xludf.DUMMYFUNCTION("""COMPUTED_VALUE"""),"Akron6")</f>
        <v>Akron6</v>
      </c>
      <c r="C94" s="1" t="str">
        <f ca="1">IFERROR(__xludf.DUMMYFUNCTION("""COMPUTED_VALUE"""),"MAC")</f>
        <v>MAC</v>
      </c>
      <c r="D94" s="1" t="str">
        <f ca="1">IFERROR(__xludf.DUMMYFUNCTION("""COMPUTED_VALUE"""),"26-9")</f>
        <v>26-9</v>
      </c>
      <c r="E94" s="1" t="str">
        <f ca="1">IFERROR(__xludf.DUMMYFUNCTION("""COMPUTED_VALUE"""),"+8.63")</f>
        <v>+8.63</v>
      </c>
      <c r="F94" s="1">
        <f ca="1">IFERROR(__xludf.DUMMYFUNCTION("""COMPUTED_VALUE"""),110.1)</f>
        <v>110.1</v>
      </c>
      <c r="G94" s="1">
        <f ca="1">IFERROR(__xludf.DUMMYFUNCTION("""COMPUTED_VALUE"""),90)</f>
        <v>90</v>
      </c>
      <c r="H94" s="1">
        <f ca="1">IFERROR(__xludf.DUMMYFUNCTION("""COMPUTED_VALUE"""),101.5)</f>
        <v>101.5</v>
      </c>
      <c r="I94" s="1">
        <f ca="1">IFERROR(__xludf.DUMMYFUNCTION("""COMPUTED_VALUE"""),109)</f>
        <v>109</v>
      </c>
      <c r="J94" s="1">
        <f ca="1">IFERROR(__xludf.DUMMYFUNCTION("""COMPUTED_VALUE"""),67.5)</f>
        <v>67.5</v>
      </c>
      <c r="K94" s="1">
        <f ca="1">IFERROR(__xludf.DUMMYFUNCTION("""COMPUTED_VALUE"""),210)</f>
        <v>210</v>
      </c>
      <c r="L94" s="1" t="str">
        <f ca="1">IFERROR(__xludf.DUMMYFUNCTION("""COMPUTED_VALUE"""),"+.025")</f>
        <v>+.025</v>
      </c>
      <c r="M94" s="1">
        <f ca="1">IFERROR(__xludf.DUMMYFUNCTION("""COMPUTED_VALUE"""),109)</f>
        <v>109</v>
      </c>
      <c r="N94" s="1">
        <f ca="1">IFERROR(__xludf.DUMMYFUNCTION("""COMPUTED_VALUE"""),-1.32)</f>
        <v>-1.32</v>
      </c>
      <c r="O94" s="1">
        <f ca="1">IFERROR(__xludf.DUMMYFUNCTION("""COMPUTED_VALUE"""),179)</f>
        <v>179</v>
      </c>
      <c r="P94" s="1">
        <f ca="1">IFERROR(__xludf.DUMMYFUNCTION("""COMPUTED_VALUE"""),104.6)</f>
        <v>104.6</v>
      </c>
      <c r="Q94" s="1">
        <f ca="1">IFERROR(__xludf.DUMMYFUNCTION("""COMPUTED_VALUE"""),166)</f>
        <v>166</v>
      </c>
      <c r="R94" s="1">
        <f ca="1">IFERROR(__xludf.DUMMYFUNCTION("""COMPUTED_VALUE"""),105.9)</f>
        <v>105.9</v>
      </c>
      <c r="S94" s="1">
        <f ca="1">IFERROR(__xludf.DUMMYFUNCTION("""COMPUTED_VALUE"""),194)</f>
        <v>194</v>
      </c>
      <c r="T94" s="1">
        <f ca="1">IFERROR(__xludf.DUMMYFUNCTION("""COMPUTED_VALUE"""),-3.29)</f>
        <v>-3.29</v>
      </c>
      <c r="U94" s="1">
        <f ca="1">IFERROR(__xludf.DUMMYFUNCTION("""COMPUTED_VALUE"""),262)</f>
        <v>262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IFERROR(__xludf.DUMMYFUNCTION("""COMPUTED_VALUE"""),"St. Bonaventure1")</f>
        <v>St. Bonaventure1</v>
      </c>
      <c r="C95" s="1" t="str">
        <f ca="1">IFERROR(__xludf.DUMMYFUNCTION("""COMPUTED_VALUE"""),"A10")</f>
        <v>A10</v>
      </c>
      <c r="D95" s="1" t="str">
        <f ca="1">IFERROR(__xludf.DUMMYFUNCTION("""COMPUTED_VALUE"""),"22-9")</f>
        <v>22-9</v>
      </c>
      <c r="E95" s="1" t="str">
        <f ca="1">IFERROR(__xludf.DUMMYFUNCTION("""COMPUTED_VALUE"""),"+8.63")</f>
        <v>+8.63</v>
      </c>
      <c r="F95" s="1">
        <f ca="1">IFERROR(__xludf.DUMMYFUNCTION("""COMPUTED_VALUE"""),113.7)</f>
        <v>113.7</v>
      </c>
      <c r="G95" s="1">
        <f ca="1">IFERROR(__xludf.DUMMYFUNCTION("""COMPUTED_VALUE"""),39)</f>
        <v>39</v>
      </c>
      <c r="H95" s="1">
        <f ca="1">IFERROR(__xludf.DUMMYFUNCTION("""COMPUTED_VALUE"""),105.1)</f>
        <v>105.1</v>
      </c>
      <c r="I95" s="1">
        <f ca="1">IFERROR(__xludf.DUMMYFUNCTION("""COMPUTED_VALUE"""),181)</f>
        <v>181</v>
      </c>
      <c r="J95" s="1">
        <f ca="1">IFERROR(__xludf.DUMMYFUNCTION("""COMPUTED_VALUE"""),68)</f>
        <v>68</v>
      </c>
      <c r="K95" s="1">
        <f ca="1">IFERROR(__xludf.DUMMYFUNCTION("""COMPUTED_VALUE"""),172)</f>
        <v>172</v>
      </c>
      <c r="L95" s="1">
        <f ca="1">IFERROR(__xludf.DUMMYFUNCTION("""COMPUTED_VALUE"""),-0.001)</f>
        <v>-1E-3</v>
      </c>
      <c r="M95" s="1">
        <f ca="1">IFERROR(__xludf.DUMMYFUNCTION("""COMPUTED_VALUE"""),177)</f>
        <v>177</v>
      </c>
      <c r="N95" s="1" t="str">
        <f ca="1">IFERROR(__xludf.DUMMYFUNCTION("""COMPUTED_VALUE"""),"+1.16")</f>
        <v>+1.16</v>
      </c>
      <c r="O95" s="1">
        <f ca="1">IFERROR(__xludf.DUMMYFUNCTION("""COMPUTED_VALUE"""),128)</f>
        <v>128</v>
      </c>
      <c r="P95" s="1">
        <f ca="1">IFERROR(__xludf.DUMMYFUNCTION("""COMPUTED_VALUE"""),105.6)</f>
        <v>105.6</v>
      </c>
      <c r="Q95" s="1">
        <f ca="1">IFERROR(__xludf.DUMMYFUNCTION("""COMPUTED_VALUE"""),118)</f>
        <v>118</v>
      </c>
      <c r="R95" s="1">
        <f ca="1">IFERROR(__xludf.DUMMYFUNCTION("""COMPUTED_VALUE"""),104.4)</f>
        <v>104.4</v>
      </c>
      <c r="S95" s="1">
        <f ca="1">IFERROR(__xludf.DUMMYFUNCTION("""COMPUTED_VALUE"""),135)</f>
        <v>135</v>
      </c>
      <c r="T95" s="1">
        <f ca="1">IFERROR(__xludf.DUMMYFUNCTION("""COMPUTED_VALUE"""),-4.24)</f>
        <v>-4.24</v>
      </c>
      <c r="U95" s="1">
        <f ca="1">IFERROR(__xludf.DUMMYFUNCTION("""COMPUTED_VALUE"""),286)</f>
        <v>286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IFERROR(__xludf.DUMMYFUNCTION("""COMPUTED_VALUE"""),"Boise St.")</f>
        <v>Boise St.</v>
      </c>
      <c r="C96" s="1" t="str">
        <f ca="1">IFERROR(__xludf.DUMMYFUNCTION("""COMPUTED_VALUE"""),"MWC")</f>
        <v>MWC</v>
      </c>
      <c r="D96" s="1" t="str">
        <f ca="1">IFERROR(__xludf.DUMMYFUNCTION("""COMPUTED_VALUE"""),"20-12")</f>
        <v>20-12</v>
      </c>
      <c r="E96" s="1" t="str">
        <f ca="1">IFERROR(__xludf.DUMMYFUNCTION("""COMPUTED_VALUE"""),"+8.61")</f>
        <v>+8.61</v>
      </c>
      <c r="F96" s="1">
        <f ca="1">IFERROR(__xludf.DUMMYFUNCTION("""COMPUTED_VALUE"""),109.5)</f>
        <v>109.5</v>
      </c>
      <c r="G96" s="1">
        <f ca="1">IFERROR(__xludf.DUMMYFUNCTION("""COMPUTED_VALUE"""),96)</f>
        <v>96</v>
      </c>
      <c r="H96" s="1">
        <f ca="1">IFERROR(__xludf.DUMMYFUNCTION("""COMPUTED_VALUE"""),100.9)</f>
        <v>100.9</v>
      </c>
      <c r="I96" s="1">
        <f ca="1">IFERROR(__xludf.DUMMYFUNCTION("""COMPUTED_VALUE"""),101)</f>
        <v>101</v>
      </c>
      <c r="J96" s="1">
        <f ca="1">IFERROR(__xludf.DUMMYFUNCTION("""COMPUTED_VALUE"""),69.2)</f>
        <v>69.2</v>
      </c>
      <c r="K96" s="1">
        <f ca="1">IFERROR(__xludf.DUMMYFUNCTION("""COMPUTED_VALUE"""),112)</f>
        <v>112</v>
      </c>
      <c r="L96" s="1">
        <f ca="1">IFERROR(__xludf.DUMMYFUNCTION("""COMPUTED_VALUE"""),-0.05)</f>
        <v>-0.05</v>
      </c>
      <c r="M96" s="1">
        <f ca="1">IFERROR(__xludf.DUMMYFUNCTION("""COMPUTED_VALUE"""),292)</f>
        <v>292</v>
      </c>
      <c r="N96" s="1" t="str">
        <f ca="1">IFERROR(__xludf.DUMMYFUNCTION("""COMPUTED_VALUE"""),"+2.63")</f>
        <v>+2.63</v>
      </c>
      <c r="O96" s="1">
        <f ca="1">IFERROR(__xludf.DUMMYFUNCTION("""COMPUTED_VALUE"""),101)</f>
        <v>101</v>
      </c>
      <c r="P96" s="1">
        <f ca="1">IFERROR(__xludf.DUMMYFUNCTION("""COMPUTED_VALUE"""),105.8)</f>
        <v>105.8</v>
      </c>
      <c r="Q96" s="1">
        <f ca="1">IFERROR(__xludf.DUMMYFUNCTION("""COMPUTED_VALUE"""),113)</f>
        <v>113</v>
      </c>
      <c r="R96" s="1">
        <f ca="1">IFERROR(__xludf.DUMMYFUNCTION("""COMPUTED_VALUE"""),103.2)</f>
        <v>103.2</v>
      </c>
      <c r="S96" s="1">
        <f ca="1">IFERROR(__xludf.DUMMYFUNCTION("""COMPUTED_VALUE"""),105)</f>
        <v>105</v>
      </c>
      <c r="T96" s="1" t="str">
        <f ca="1">IFERROR(__xludf.DUMMYFUNCTION("""COMPUTED_VALUE"""),"+3.81")</f>
        <v>+3.81</v>
      </c>
      <c r="U96" s="1">
        <f ca="1">IFERROR(__xludf.DUMMYFUNCTION("""COMPUTED_VALUE"""),60)</f>
        <v>60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IFERROR(__xludf.DUMMYFUNCTION("""COMPUTED_VALUE"""),"James Madison")</f>
        <v>James Madison</v>
      </c>
      <c r="C97" s="1" t="str">
        <f ca="1">IFERROR(__xludf.DUMMYFUNCTION("""COMPUTED_VALUE"""),"CAA")</f>
        <v>CAA</v>
      </c>
      <c r="D97" s="1" t="str">
        <f ca="1">IFERROR(__xludf.DUMMYFUNCTION("""COMPUTED_VALUE"""),"21-11")</f>
        <v>21-11</v>
      </c>
      <c r="E97" s="1" t="str">
        <f ca="1">IFERROR(__xludf.DUMMYFUNCTION("""COMPUTED_VALUE"""),"+8.50")</f>
        <v>+8.50</v>
      </c>
      <c r="F97" s="1">
        <f ca="1">IFERROR(__xludf.DUMMYFUNCTION("""COMPUTED_VALUE"""),108.1)</f>
        <v>108.1</v>
      </c>
      <c r="G97" s="1">
        <f ca="1">IFERROR(__xludf.DUMMYFUNCTION("""COMPUTED_VALUE"""),114)</f>
        <v>114</v>
      </c>
      <c r="H97" s="1">
        <f ca="1">IFERROR(__xludf.DUMMYFUNCTION("""COMPUTED_VALUE"""),99.6)</f>
        <v>99.6</v>
      </c>
      <c r="I97" s="1">
        <f ca="1">IFERROR(__xludf.DUMMYFUNCTION("""COMPUTED_VALUE"""),77)</f>
        <v>77</v>
      </c>
      <c r="J97" s="1">
        <f ca="1">IFERROR(__xludf.DUMMYFUNCTION("""COMPUTED_VALUE"""),66.8)</f>
        <v>66.8</v>
      </c>
      <c r="K97" s="1">
        <f ca="1">IFERROR(__xludf.DUMMYFUNCTION("""COMPUTED_VALUE"""),244)</f>
        <v>244</v>
      </c>
      <c r="L97" s="1">
        <f ca="1">IFERROR(__xludf.DUMMYFUNCTION("""COMPUTED_VALUE"""),-0.043)</f>
        <v>-4.2999999999999997E-2</v>
      </c>
      <c r="M97" s="1">
        <f ca="1">IFERROR(__xludf.DUMMYFUNCTION("""COMPUTED_VALUE"""),282)</f>
        <v>282</v>
      </c>
      <c r="N97" s="1">
        <f ca="1">IFERROR(__xludf.DUMMYFUNCTION("""COMPUTED_VALUE"""),-0.06)</f>
        <v>-0.06</v>
      </c>
      <c r="O97" s="1">
        <f ca="1">IFERROR(__xludf.DUMMYFUNCTION("""COMPUTED_VALUE"""),151)</f>
        <v>151</v>
      </c>
      <c r="P97" s="1">
        <f ca="1">IFERROR(__xludf.DUMMYFUNCTION("""COMPUTED_VALUE"""),105.5)</f>
        <v>105.5</v>
      </c>
      <c r="Q97" s="1">
        <f ca="1">IFERROR(__xludf.DUMMYFUNCTION("""COMPUTED_VALUE"""),120)</f>
        <v>120</v>
      </c>
      <c r="R97" s="1">
        <f ca="1">IFERROR(__xludf.DUMMYFUNCTION("""COMPUTED_VALUE"""),105.6)</f>
        <v>105.6</v>
      </c>
      <c r="S97" s="1">
        <f ca="1">IFERROR(__xludf.DUMMYFUNCTION("""COMPUTED_VALUE"""),178)</f>
        <v>178</v>
      </c>
      <c r="T97" s="1">
        <f ca="1">IFERROR(__xludf.DUMMYFUNCTION("""COMPUTED_VALUE"""),-3.33)</f>
        <v>-3.33</v>
      </c>
      <c r="U97" s="1">
        <f ca="1">IFERROR(__xludf.DUMMYFUNCTION("""COMPUTED_VALUE"""),263)</f>
        <v>263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IFERROR(__xludf.DUMMYFUNCTION("""COMPUTED_VALUE"""),"Hofstra5")</f>
        <v>Hofstra5</v>
      </c>
      <c r="C98" s="1" t="str">
        <f ca="1">IFERROR(__xludf.DUMMYFUNCTION("""COMPUTED_VALUE"""),"CAA")</f>
        <v>CAA</v>
      </c>
      <c r="D98" s="1" t="str">
        <f ca="1">IFERROR(__xludf.DUMMYFUNCTION("""COMPUTED_VALUE"""),"24-10")</f>
        <v>24-10</v>
      </c>
      <c r="E98" s="1" t="str">
        <f ca="1">IFERROR(__xludf.DUMMYFUNCTION("""COMPUTED_VALUE"""),"+8.43")</f>
        <v>+8.43</v>
      </c>
      <c r="F98" s="1">
        <f ca="1">IFERROR(__xludf.DUMMYFUNCTION("""COMPUTED_VALUE"""),111.6)</f>
        <v>111.6</v>
      </c>
      <c r="G98" s="1">
        <f ca="1">IFERROR(__xludf.DUMMYFUNCTION("""COMPUTED_VALUE"""),64)</f>
        <v>64</v>
      </c>
      <c r="H98" s="1">
        <f ca="1">IFERROR(__xludf.DUMMYFUNCTION("""COMPUTED_VALUE"""),103.2)</f>
        <v>103.2</v>
      </c>
      <c r="I98" s="1">
        <f ca="1">IFERROR(__xludf.DUMMYFUNCTION("""COMPUTED_VALUE"""),142)</f>
        <v>142</v>
      </c>
      <c r="J98" s="1">
        <f ca="1">IFERROR(__xludf.DUMMYFUNCTION("""COMPUTED_VALUE"""),69.5)</f>
        <v>69.5</v>
      </c>
      <c r="K98" s="1">
        <f ca="1">IFERROR(__xludf.DUMMYFUNCTION("""COMPUTED_VALUE"""),103)</f>
        <v>103</v>
      </c>
      <c r="L98" s="1" t="str">
        <f ca="1">IFERROR(__xludf.DUMMYFUNCTION("""COMPUTED_VALUE"""),"+.024")</f>
        <v>+.024</v>
      </c>
      <c r="M98" s="1">
        <f ca="1">IFERROR(__xludf.DUMMYFUNCTION("""COMPUTED_VALUE"""),112)</f>
        <v>112</v>
      </c>
      <c r="N98" s="1" t="str">
        <f ca="1">IFERROR(__xludf.DUMMYFUNCTION("""COMPUTED_VALUE"""),"+1.68")</f>
        <v>+1.68</v>
      </c>
      <c r="O98" s="1">
        <f ca="1">IFERROR(__xludf.DUMMYFUNCTION("""COMPUTED_VALUE"""),119)</f>
        <v>119</v>
      </c>
      <c r="P98" s="1">
        <f ca="1">IFERROR(__xludf.DUMMYFUNCTION("""COMPUTED_VALUE"""),105.9)</f>
        <v>105.9</v>
      </c>
      <c r="Q98" s="1">
        <f ca="1">IFERROR(__xludf.DUMMYFUNCTION("""COMPUTED_VALUE"""),109)</f>
        <v>109</v>
      </c>
      <c r="R98" s="1">
        <f ca="1">IFERROR(__xludf.DUMMYFUNCTION("""COMPUTED_VALUE"""),104.3)</f>
        <v>104.3</v>
      </c>
      <c r="S98" s="1">
        <f ca="1">IFERROR(__xludf.DUMMYFUNCTION("""COMPUTED_VALUE"""),132)</f>
        <v>132</v>
      </c>
      <c r="T98" s="1">
        <f ca="1">IFERROR(__xludf.DUMMYFUNCTION("""COMPUTED_VALUE"""),-0.26)</f>
        <v>-0.26</v>
      </c>
      <c r="U98" s="1">
        <f ca="1">IFERROR(__xludf.DUMMYFUNCTION("""COMPUTED_VALUE"""),172)</f>
        <v>172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IFERROR(__xludf.DUMMYFUNCTION("""COMPUTED_VALUE"""),"Arizona St.")</f>
        <v>Arizona St.</v>
      </c>
      <c r="C99" s="1" t="str">
        <f ca="1">IFERROR(__xludf.DUMMYFUNCTION("""COMPUTED_VALUE"""),"P12")</f>
        <v>P12</v>
      </c>
      <c r="D99" s="1" t="str">
        <f ca="1">IFERROR(__xludf.DUMMYFUNCTION("""COMPUTED_VALUE"""),"15-17")</f>
        <v>15-17</v>
      </c>
      <c r="E99" s="1" t="str">
        <f ca="1">IFERROR(__xludf.DUMMYFUNCTION("""COMPUTED_VALUE"""),"+8.38")</f>
        <v>+8.38</v>
      </c>
      <c r="F99" s="1">
        <f ca="1">IFERROR(__xludf.DUMMYFUNCTION("""COMPUTED_VALUE"""),109.6)</f>
        <v>109.6</v>
      </c>
      <c r="G99" s="1">
        <f ca="1">IFERROR(__xludf.DUMMYFUNCTION("""COMPUTED_VALUE"""),95)</f>
        <v>95</v>
      </c>
      <c r="H99" s="1">
        <f ca="1">IFERROR(__xludf.DUMMYFUNCTION("""COMPUTED_VALUE"""),101.2)</f>
        <v>101.2</v>
      </c>
      <c r="I99" s="1">
        <f ca="1">IFERROR(__xludf.DUMMYFUNCTION("""COMPUTED_VALUE"""),106)</f>
        <v>106</v>
      </c>
      <c r="J99" s="1">
        <f ca="1">IFERROR(__xludf.DUMMYFUNCTION("""COMPUTED_VALUE"""),67.9)</f>
        <v>67.900000000000006</v>
      </c>
      <c r="K99" s="1">
        <f ca="1">IFERROR(__xludf.DUMMYFUNCTION("""COMPUTED_VALUE"""),181)</f>
        <v>181</v>
      </c>
      <c r="L99" s="1">
        <f ca="1">IFERROR(__xludf.DUMMYFUNCTION("""COMPUTED_VALUE"""),-0.015)</f>
        <v>-1.4999999999999999E-2</v>
      </c>
      <c r="M99" s="1">
        <f ca="1">IFERROR(__xludf.DUMMYFUNCTION("""COMPUTED_VALUE"""),216)</f>
        <v>216</v>
      </c>
      <c r="N99" s="1" t="str">
        <f ca="1">IFERROR(__xludf.DUMMYFUNCTION("""COMPUTED_VALUE"""),"+9.11")</f>
        <v>+9.11</v>
      </c>
      <c r="O99" s="1">
        <f ca="1">IFERROR(__xludf.DUMMYFUNCTION("""COMPUTED_VALUE"""),32)</f>
        <v>32</v>
      </c>
      <c r="P99" s="1">
        <f ca="1">IFERROR(__xludf.DUMMYFUNCTION("""COMPUTED_VALUE"""),109.9)</f>
        <v>109.9</v>
      </c>
      <c r="Q99" s="1">
        <f ca="1">IFERROR(__xludf.DUMMYFUNCTION("""COMPUTED_VALUE"""),31)</f>
        <v>31</v>
      </c>
      <c r="R99" s="1">
        <f ca="1">IFERROR(__xludf.DUMMYFUNCTION("""COMPUTED_VALUE"""),100.8)</f>
        <v>100.8</v>
      </c>
      <c r="S99" s="1">
        <f ca="1">IFERROR(__xludf.DUMMYFUNCTION("""COMPUTED_VALUE"""),39)</f>
        <v>39</v>
      </c>
      <c r="T99" s="1" t="str">
        <f ca="1">IFERROR(__xludf.DUMMYFUNCTION("""COMPUTED_VALUE"""),"+4.11")</f>
        <v>+4.11</v>
      </c>
      <c r="U99" s="1">
        <f ca="1">IFERROR(__xludf.DUMMYFUNCTION("""COMPUTED_VALUE"""),56)</f>
        <v>56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IFERROR(__xludf.DUMMYFUNCTION("""COMPUTED_VALUE"""),"Stony Brook13")</f>
        <v>Stony Brook13</v>
      </c>
      <c r="C100" s="1" t="str">
        <f ca="1">IFERROR(__xludf.DUMMYFUNCTION("""COMPUTED_VALUE"""),"AE")</f>
        <v>AE</v>
      </c>
      <c r="D100" s="1" t="str">
        <f ca="1">IFERROR(__xludf.DUMMYFUNCTION("""COMPUTED_VALUE"""),"26-7")</f>
        <v>26-7</v>
      </c>
      <c r="E100" s="1" t="str">
        <f ca="1">IFERROR(__xludf.DUMMYFUNCTION("""COMPUTED_VALUE"""),"+8.13")</f>
        <v>+8.13</v>
      </c>
      <c r="F100" s="1">
        <f ca="1">IFERROR(__xludf.DUMMYFUNCTION("""COMPUTED_VALUE"""),107.3)</f>
        <v>107.3</v>
      </c>
      <c r="G100" s="1">
        <f ca="1">IFERROR(__xludf.DUMMYFUNCTION("""COMPUTED_VALUE"""),132)</f>
        <v>132</v>
      </c>
      <c r="H100" s="1">
        <f ca="1">IFERROR(__xludf.DUMMYFUNCTION("""COMPUTED_VALUE"""),99.1)</f>
        <v>99.1</v>
      </c>
      <c r="I100" s="1">
        <f ca="1">IFERROR(__xludf.DUMMYFUNCTION("""COMPUTED_VALUE"""),67)</f>
        <v>67</v>
      </c>
      <c r="J100" s="1">
        <f ca="1">IFERROR(__xludf.DUMMYFUNCTION("""COMPUTED_VALUE"""),67.2)</f>
        <v>67.2</v>
      </c>
      <c r="K100" s="1">
        <f ca="1">IFERROR(__xludf.DUMMYFUNCTION("""COMPUTED_VALUE"""),228)</f>
        <v>228</v>
      </c>
      <c r="L100" s="1" t="str">
        <f ca="1">IFERROR(__xludf.DUMMYFUNCTION("""COMPUTED_VALUE"""),"+.049")</f>
        <v>+.049</v>
      </c>
      <c r="M100" s="1">
        <f ca="1">IFERROR(__xludf.DUMMYFUNCTION("""COMPUTED_VALUE"""),63)</f>
        <v>63</v>
      </c>
      <c r="N100" s="1">
        <f ca="1">IFERROR(__xludf.DUMMYFUNCTION("""COMPUTED_VALUE"""),-5.6)</f>
        <v>-5.6</v>
      </c>
      <c r="O100" s="1">
        <f ca="1">IFERROR(__xludf.DUMMYFUNCTION("""COMPUTED_VALUE"""),280)</f>
        <v>280</v>
      </c>
      <c r="P100" s="1">
        <f ca="1">IFERROR(__xludf.DUMMYFUNCTION("""COMPUTED_VALUE"""),103.3)</f>
        <v>103.3</v>
      </c>
      <c r="Q100" s="1">
        <f ca="1">IFERROR(__xludf.DUMMYFUNCTION("""COMPUTED_VALUE"""),232)</f>
        <v>232</v>
      </c>
      <c r="R100" s="1">
        <f ca="1">IFERROR(__xludf.DUMMYFUNCTION("""COMPUTED_VALUE"""),108.9)</f>
        <v>108.9</v>
      </c>
      <c r="S100" s="1">
        <f ca="1">IFERROR(__xludf.DUMMYFUNCTION("""COMPUTED_VALUE"""),329)</f>
        <v>329</v>
      </c>
      <c r="T100" s="1" t="str">
        <f ca="1">IFERROR(__xludf.DUMMYFUNCTION("""COMPUTED_VALUE"""),"+4.38")</f>
        <v>+4.38</v>
      </c>
      <c r="U100" s="1">
        <f ca="1">IFERROR(__xludf.DUMMYFUNCTION("""COMPUTED_VALUE"""),49)</f>
        <v>49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IFERROR(__xludf.DUMMYFUNCTION("""COMPUTED_VALUE"""),"Monmouth1")</f>
        <v>Monmouth1</v>
      </c>
      <c r="C101" s="1" t="str">
        <f ca="1">IFERROR(__xludf.DUMMYFUNCTION("""COMPUTED_VALUE"""),"MAAC")</f>
        <v>MAAC</v>
      </c>
      <c r="D101" s="1" t="str">
        <f ca="1">IFERROR(__xludf.DUMMYFUNCTION("""COMPUTED_VALUE"""),"28-8")</f>
        <v>28-8</v>
      </c>
      <c r="E101" s="1" t="str">
        <f ca="1">IFERROR(__xludf.DUMMYFUNCTION("""COMPUTED_VALUE"""),"+8.10")</f>
        <v>+8.10</v>
      </c>
      <c r="F101" s="1">
        <f ca="1">IFERROR(__xludf.DUMMYFUNCTION("""COMPUTED_VALUE"""),107.3)</f>
        <v>107.3</v>
      </c>
      <c r="G101" s="1">
        <f ca="1">IFERROR(__xludf.DUMMYFUNCTION("""COMPUTED_VALUE"""),130)</f>
        <v>130</v>
      </c>
      <c r="H101" s="1">
        <f ca="1">IFERROR(__xludf.DUMMYFUNCTION("""COMPUTED_VALUE"""),99.2)</f>
        <v>99.2</v>
      </c>
      <c r="I101" s="1">
        <f ca="1">IFERROR(__xludf.DUMMYFUNCTION("""COMPUTED_VALUE"""),69)</f>
        <v>69</v>
      </c>
      <c r="J101" s="1">
        <f ca="1">IFERROR(__xludf.DUMMYFUNCTION("""COMPUTED_VALUE"""),73)</f>
        <v>73</v>
      </c>
      <c r="K101" s="1">
        <f ca="1">IFERROR(__xludf.DUMMYFUNCTION("""COMPUTED_VALUE"""),15)</f>
        <v>15</v>
      </c>
      <c r="L101" s="1" t="str">
        <f ca="1">IFERROR(__xludf.DUMMYFUNCTION("""COMPUTED_VALUE"""),"+.021")</f>
        <v>+.021</v>
      </c>
      <c r="M101" s="1">
        <f ca="1">IFERROR(__xludf.DUMMYFUNCTION("""COMPUTED_VALUE"""),120)</f>
        <v>120</v>
      </c>
      <c r="N101" s="1">
        <f ca="1">IFERROR(__xludf.DUMMYFUNCTION("""COMPUTED_VALUE"""),-2.03)</f>
        <v>-2.0299999999999998</v>
      </c>
      <c r="O101" s="1">
        <f ca="1">IFERROR(__xludf.DUMMYFUNCTION("""COMPUTED_VALUE"""),199)</f>
        <v>199</v>
      </c>
      <c r="P101" s="1">
        <f ca="1">IFERROR(__xludf.DUMMYFUNCTION("""COMPUTED_VALUE"""),103.7)</f>
        <v>103.7</v>
      </c>
      <c r="Q101" s="1">
        <f ca="1">IFERROR(__xludf.DUMMYFUNCTION("""COMPUTED_VALUE"""),208)</f>
        <v>208</v>
      </c>
      <c r="R101" s="1">
        <f ca="1">IFERROR(__xludf.DUMMYFUNCTION("""COMPUTED_VALUE"""),105.7)</f>
        <v>105.7</v>
      </c>
      <c r="S101" s="1">
        <f ca="1">IFERROR(__xludf.DUMMYFUNCTION("""COMPUTED_VALUE"""),182)</f>
        <v>182</v>
      </c>
      <c r="T101" s="1" t="str">
        <f ca="1">IFERROR(__xludf.DUMMYFUNCTION("""COMPUTED_VALUE"""),"+6.06")</f>
        <v>+6.06</v>
      </c>
      <c r="U101" s="1">
        <f ca="1">IFERROR(__xludf.DUMMYFUNCTION("""COMPUTED_VALUE"""),27)</f>
        <v>27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IFERROR(__xludf.DUMMYFUNCTION("""COMPUTED_VALUE"""),"Alabama5")</f>
        <v>Alabama5</v>
      </c>
      <c r="C102" s="1" t="str">
        <f ca="1">IFERROR(__xludf.DUMMYFUNCTION("""COMPUTED_VALUE"""),"SEC")</f>
        <v>SEC</v>
      </c>
      <c r="D102" s="1" t="str">
        <f ca="1">IFERROR(__xludf.DUMMYFUNCTION("""COMPUTED_VALUE"""),"18-15")</f>
        <v>18-15</v>
      </c>
      <c r="E102" s="1" t="str">
        <f ca="1">IFERROR(__xludf.DUMMYFUNCTION("""COMPUTED_VALUE"""),"+8.07")</f>
        <v>+8.07</v>
      </c>
      <c r="F102" s="1">
        <f ca="1">IFERROR(__xludf.DUMMYFUNCTION("""COMPUTED_VALUE"""),105.5)</f>
        <v>105.5</v>
      </c>
      <c r="G102" s="1">
        <f ca="1">IFERROR(__xludf.DUMMYFUNCTION("""COMPUTED_VALUE"""),164)</f>
        <v>164</v>
      </c>
      <c r="H102" s="1">
        <f ca="1">IFERROR(__xludf.DUMMYFUNCTION("""COMPUTED_VALUE"""),97.4)</f>
        <v>97.4</v>
      </c>
      <c r="I102" s="1">
        <f ca="1">IFERROR(__xludf.DUMMYFUNCTION("""COMPUTED_VALUE"""),48)</f>
        <v>48</v>
      </c>
      <c r="J102" s="1">
        <f ca="1">IFERROR(__xludf.DUMMYFUNCTION("""COMPUTED_VALUE"""),64.8)</f>
        <v>64.8</v>
      </c>
      <c r="K102" s="1">
        <f ca="1">IFERROR(__xludf.DUMMYFUNCTION("""COMPUTED_VALUE"""),322)</f>
        <v>322</v>
      </c>
      <c r="L102" s="1" t="str">
        <f ca="1">IFERROR(__xludf.DUMMYFUNCTION("""COMPUTED_VALUE"""),"+.093")</f>
        <v>+.093</v>
      </c>
      <c r="M102" s="1">
        <f ca="1">IFERROR(__xludf.DUMMYFUNCTION("""COMPUTED_VALUE"""),18)</f>
        <v>18</v>
      </c>
      <c r="N102" s="1" t="str">
        <f ca="1">IFERROR(__xludf.DUMMYFUNCTION("""COMPUTED_VALUE"""),"+9.70")</f>
        <v>+9.70</v>
      </c>
      <c r="O102" s="1">
        <f ca="1">IFERROR(__xludf.DUMMYFUNCTION("""COMPUTED_VALUE"""),22)</f>
        <v>22</v>
      </c>
      <c r="P102" s="1">
        <f ca="1">IFERROR(__xludf.DUMMYFUNCTION("""COMPUTED_VALUE"""),110.5)</f>
        <v>110.5</v>
      </c>
      <c r="Q102" s="1">
        <f ca="1">IFERROR(__xludf.DUMMYFUNCTION("""COMPUTED_VALUE"""),20)</f>
        <v>20</v>
      </c>
      <c r="R102" s="1">
        <f ca="1">IFERROR(__xludf.DUMMYFUNCTION("""COMPUTED_VALUE"""),100.8)</f>
        <v>100.8</v>
      </c>
      <c r="S102" s="1">
        <f ca="1">IFERROR(__xludf.DUMMYFUNCTION("""COMPUTED_VALUE"""),37)</f>
        <v>37</v>
      </c>
      <c r="T102" s="1" t="str">
        <f ca="1">IFERROR(__xludf.DUMMYFUNCTION("""COMPUTED_VALUE"""),"+4.92")</f>
        <v>+4.92</v>
      </c>
      <c r="U102" s="1">
        <f ca="1">IFERROR(__xludf.DUMMYFUNCTION("""COMPUTED_VALUE"""),40)</f>
        <v>40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IFERROR(__xludf.DUMMYFUNCTION("""COMPUTED_VALUE"""),"Marquette")</f>
        <v>Marquette</v>
      </c>
      <c r="C103" s="1" t="str">
        <f ca="1">IFERROR(__xludf.DUMMYFUNCTION("""COMPUTED_VALUE"""),"BE")</f>
        <v>BE</v>
      </c>
      <c r="D103" s="1" t="str">
        <f ca="1">IFERROR(__xludf.DUMMYFUNCTION("""COMPUTED_VALUE"""),"20-13")</f>
        <v>20-13</v>
      </c>
      <c r="E103" s="1" t="str">
        <f ca="1">IFERROR(__xludf.DUMMYFUNCTION("""COMPUTED_VALUE"""),"+7.91")</f>
        <v>+7.91</v>
      </c>
      <c r="F103" s="1">
        <f ca="1">IFERROR(__xludf.DUMMYFUNCTION("""COMPUTED_VALUE"""),108)</f>
        <v>108</v>
      </c>
      <c r="G103" s="1">
        <f ca="1">IFERROR(__xludf.DUMMYFUNCTION("""COMPUTED_VALUE"""),116)</f>
        <v>116</v>
      </c>
      <c r="H103" s="1">
        <f ca="1">IFERROR(__xludf.DUMMYFUNCTION("""COMPUTED_VALUE"""),100.1)</f>
        <v>100.1</v>
      </c>
      <c r="I103" s="1">
        <f ca="1">IFERROR(__xludf.DUMMYFUNCTION("""COMPUTED_VALUE"""),88)</f>
        <v>88</v>
      </c>
      <c r="J103" s="1">
        <f ca="1">IFERROR(__xludf.DUMMYFUNCTION("""COMPUTED_VALUE"""),70.1)</f>
        <v>70.099999999999994</v>
      </c>
      <c r="K103" s="1">
        <f ca="1">IFERROR(__xludf.DUMMYFUNCTION("""COMPUTED_VALUE"""),83)</f>
        <v>83</v>
      </c>
      <c r="L103" s="1" t="str">
        <f ca="1">IFERROR(__xludf.DUMMYFUNCTION("""COMPUTED_VALUE"""),"+.055")</f>
        <v>+.055</v>
      </c>
      <c r="M103" s="1">
        <f ca="1">IFERROR(__xludf.DUMMYFUNCTION("""COMPUTED_VALUE"""),53)</f>
        <v>53</v>
      </c>
      <c r="N103" s="1" t="str">
        <f ca="1">IFERROR(__xludf.DUMMYFUNCTION("""COMPUTED_VALUE"""),"+5.64")</f>
        <v>+5.64</v>
      </c>
      <c r="O103" s="1">
        <f ca="1">IFERROR(__xludf.DUMMYFUNCTION("""COMPUTED_VALUE"""),75)</f>
        <v>75</v>
      </c>
      <c r="P103" s="1">
        <f ca="1">IFERROR(__xludf.DUMMYFUNCTION("""COMPUTED_VALUE"""),107.3)</f>
        <v>107.3</v>
      </c>
      <c r="Q103" s="1">
        <f ca="1">IFERROR(__xludf.DUMMYFUNCTION("""COMPUTED_VALUE"""),78)</f>
        <v>78</v>
      </c>
      <c r="R103" s="1">
        <f ca="1">IFERROR(__xludf.DUMMYFUNCTION("""COMPUTED_VALUE"""),101.6)</f>
        <v>101.6</v>
      </c>
      <c r="S103" s="1">
        <f ca="1">IFERROR(__xludf.DUMMYFUNCTION("""COMPUTED_VALUE"""),63)</f>
        <v>63</v>
      </c>
      <c r="T103" s="1">
        <f ca="1">IFERROR(__xludf.DUMMYFUNCTION("""COMPUTED_VALUE"""),-9.07)</f>
        <v>-9.07</v>
      </c>
      <c r="U103" s="1">
        <f ca="1">IFERROR(__xludf.DUMMYFUNCTION("""COMPUTED_VALUE"""),342)</f>
        <v>342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IFERROR(__xludf.DUMMYFUNCTION("""COMPUTED_VALUE"""),"Oklahoma St.")</f>
        <v>Oklahoma St.</v>
      </c>
      <c r="C104" s="1" t="str">
        <f ca="1">IFERROR(__xludf.DUMMYFUNCTION("""COMPUTED_VALUE"""),"B12")</f>
        <v>B12</v>
      </c>
      <c r="D104" s="2">
        <f ca="1">IFERROR(__xludf.DUMMYFUNCTION("""COMPUTED_VALUE"""),44915)</f>
        <v>44915</v>
      </c>
      <c r="E104" s="1" t="str">
        <f ca="1">IFERROR(__xludf.DUMMYFUNCTION("""COMPUTED_VALUE"""),"+7.75")</f>
        <v>+7.75</v>
      </c>
      <c r="F104" s="1">
        <f ca="1">IFERROR(__xludf.DUMMYFUNCTION("""COMPUTED_VALUE"""),106.4)</f>
        <v>106.4</v>
      </c>
      <c r="G104" s="1">
        <f ca="1">IFERROR(__xludf.DUMMYFUNCTION("""COMPUTED_VALUE"""),151)</f>
        <v>151</v>
      </c>
      <c r="H104" s="1">
        <f ca="1">IFERROR(__xludf.DUMMYFUNCTION("""COMPUTED_VALUE"""),98.6)</f>
        <v>98.6</v>
      </c>
      <c r="I104" s="1">
        <f ca="1">IFERROR(__xludf.DUMMYFUNCTION("""COMPUTED_VALUE"""),58)</f>
        <v>58</v>
      </c>
      <c r="J104" s="1">
        <f ca="1">IFERROR(__xludf.DUMMYFUNCTION("""COMPUTED_VALUE"""),63.9)</f>
        <v>63.9</v>
      </c>
      <c r="K104" s="1">
        <f ca="1">IFERROR(__xludf.DUMMYFUNCTION("""COMPUTED_VALUE"""),334)</f>
        <v>334</v>
      </c>
      <c r="L104" s="1">
        <f ca="1">IFERROR(__xludf.DUMMYFUNCTION("""COMPUTED_VALUE"""),-0.103)</f>
        <v>-0.10299999999999999</v>
      </c>
      <c r="M104" s="1">
        <f ca="1">IFERROR(__xludf.DUMMYFUNCTION("""COMPUTED_VALUE"""),345)</f>
        <v>345</v>
      </c>
      <c r="N104" s="1" t="str">
        <f ca="1">IFERROR(__xludf.DUMMYFUNCTION("""COMPUTED_VALUE"""),"+9.11")</f>
        <v>+9.11</v>
      </c>
      <c r="O104" s="1">
        <f ca="1">IFERROR(__xludf.DUMMYFUNCTION("""COMPUTED_VALUE"""),31)</f>
        <v>31</v>
      </c>
      <c r="P104" s="1">
        <f ca="1">IFERROR(__xludf.DUMMYFUNCTION("""COMPUTED_VALUE"""),109.4)</f>
        <v>109.4</v>
      </c>
      <c r="Q104" s="1">
        <f ca="1">IFERROR(__xludf.DUMMYFUNCTION("""COMPUTED_VALUE"""),42)</f>
        <v>42</v>
      </c>
      <c r="R104" s="1">
        <f ca="1">IFERROR(__xludf.DUMMYFUNCTION("""COMPUTED_VALUE"""),100.3)</f>
        <v>100.3</v>
      </c>
      <c r="S104" s="1">
        <f ca="1">IFERROR(__xludf.DUMMYFUNCTION("""COMPUTED_VALUE"""),20)</f>
        <v>20</v>
      </c>
      <c r="T104" s="1">
        <f ca="1">IFERROR(__xludf.DUMMYFUNCTION("""COMPUTED_VALUE"""),-4.34)</f>
        <v>-4.34</v>
      </c>
      <c r="U104" s="1">
        <f ca="1">IFERROR(__xludf.DUMMYFUNCTION("""COMPUTED_VALUE"""),289)</f>
        <v>289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IFERROR(__xludf.DUMMYFUNCTION("""COMPUTED_VALUE"""),"Richmond")</f>
        <v>Richmond</v>
      </c>
      <c r="C105" s="1" t="str">
        <f ca="1">IFERROR(__xludf.DUMMYFUNCTION("""COMPUTED_VALUE"""),"A10")</f>
        <v>A10</v>
      </c>
      <c r="D105" s="1" t="str">
        <f ca="1">IFERROR(__xludf.DUMMYFUNCTION("""COMPUTED_VALUE"""),"16-16")</f>
        <v>16-16</v>
      </c>
      <c r="E105" s="1" t="str">
        <f ca="1">IFERROR(__xludf.DUMMYFUNCTION("""COMPUTED_VALUE"""),"+7.70")</f>
        <v>+7.70</v>
      </c>
      <c r="F105" s="1">
        <f ca="1">IFERROR(__xludf.DUMMYFUNCTION("""COMPUTED_VALUE"""),113.6)</f>
        <v>113.6</v>
      </c>
      <c r="G105" s="1">
        <f ca="1">IFERROR(__xludf.DUMMYFUNCTION("""COMPUTED_VALUE"""),41)</f>
        <v>41</v>
      </c>
      <c r="H105" s="1">
        <f ca="1">IFERROR(__xludf.DUMMYFUNCTION("""COMPUTED_VALUE"""),105.9)</f>
        <v>105.9</v>
      </c>
      <c r="I105" s="1">
        <f ca="1">IFERROR(__xludf.DUMMYFUNCTION("""COMPUTED_VALUE"""),193)</f>
        <v>193</v>
      </c>
      <c r="J105" s="1">
        <f ca="1">IFERROR(__xludf.DUMMYFUNCTION("""COMPUTED_VALUE"""),68)</f>
        <v>68</v>
      </c>
      <c r="K105" s="1">
        <f ca="1">IFERROR(__xludf.DUMMYFUNCTION("""COMPUTED_VALUE"""),170)</f>
        <v>170</v>
      </c>
      <c r="L105" s="1">
        <f ca="1">IFERROR(__xludf.DUMMYFUNCTION("""COMPUTED_VALUE"""),-0.075)</f>
        <v>-7.4999999999999997E-2</v>
      </c>
      <c r="M105" s="1">
        <f ca="1">IFERROR(__xludf.DUMMYFUNCTION("""COMPUTED_VALUE"""),329)</f>
        <v>329</v>
      </c>
      <c r="N105" s="1" t="str">
        <f ca="1">IFERROR(__xludf.DUMMYFUNCTION("""COMPUTED_VALUE"""),"+4.31")</f>
        <v>+4.31</v>
      </c>
      <c r="O105" s="1">
        <f ca="1">IFERROR(__xludf.DUMMYFUNCTION("""COMPUTED_VALUE"""),83)</f>
        <v>83</v>
      </c>
      <c r="P105" s="1">
        <f ca="1">IFERROR(__xludf.DUMMYFUNCTION("""COMPUTED_VALUE"""),106.8)</f>
        <v>106.8</v>
      </c>
      <c r="Q105" s="1">
        <f ca="1">IFERROR(__xludf.DUMMYFUNCTION("""COMPUTED_VALUE"""),89)</f>
        <v>89</v>
      </c>
      <c r="R105" s="1">
        <f ca="1">IFERROR(__xludf.DUMMYFUNCTION("""COMPUTED_VALUE"""),102.4)</f>
        <v>102.4</v>
      </c>
      <c r="S105" s="1">
        <f ca="1">IFERROR(__xludf.DUMMYFUNCTION("""COMPUTED_VALUE"""),88)</f>
        <v>88</v>
      </c>
      <c r="T105" s="1" t="str">
        <f ca="1">IFERROR(__xludf.DUMMYFUNCTION("""COMPUTED_VALUE"""),"+2.39")</f>
        <v>+2.39</v>
      </c>
      <c r="U105" s="1">
        <f ca="1">IFERROR(__xludf.DUMMYFUNCTION("""COMPUTED_VALUE"""),98)</f>
        <v>98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IFERROR(__xludf.DUMMYFUNCTION("""COMPUTED_VALUE"""),"Old Dominion")</f>
        <v>Old Dominion</v>
      </c>
      <c r="C106" s="1" t="str">
        <f ca="1">IFERROR(__xludf.DUMMYFUNCTION("""COMPUTED_VALUE"""),"CUSA")</f>
        <v>CUSA</v>
      </c>
      <c r="D106" s="1" t="str">
        <f ca="1">IFERROR(__xludf.DUMMYFUNCTION("""COMPUTED_VALUE"""),"25-13")</f>
        <v>25-13</v>
      </c>
      <c r="E106" s="1" t="str">
        <f ca="1">IFERROR(__xludf.DUMMYFUNCTION("""COMPUTED_VALUE"""),"+7.52")</f>
        <v>+7.52</v>
      </c>
      <c r="F106" s="1">
        <f ca="1">IFERROR(__xludf.DUMMYFUNCTION("""COMPUTED_VALUE"""),107)</f>
        <v>107</v>
      </c>
      <c r="G106" s="1">
        <f ca="1">IFERROR(__xludf.DUMMYFUNCTION("""COMPUTED_VALUE"""),137)</f>
        <v>137</v>
      </c>
      <c r="H106" s="1">
        <f ca="1">IFERROR(__xludf.DUMMYFUNCTION("""COMPUTED_VALUE"""),99.5)</f>
        <v>99.5</v>
      </c>
      <c r="I106" s="1">
        <f ca="1">IFERROR(__xludf.DUMMYFUNCTION("""COMPUTED_VALUE"""),76)</f>
        <v>76</v>
      </c>
      <c r="J106" s="1">
        <f ca="1">IFERROR(__xludf.DUMMYFUNCTION("""COMPUTED_VALUE"""),61.1)</f>
        <v>61.1</v>
      </c>
      <c r="K106" s="1">
        <f ca="1">IFERROR(__xludf.DUMMYFUNCTION("""COMPUTED_VALUE"""),350)</f>
        <v>350</v>
      </c>
      <c r="L106" s="1">
        <f ca="1">IFERROR(__xludf.DUMMYFUNCTION("""COMPUTED_VALUE"""),-0.032)</f>
        <v>-3.2000000000000001E-2</v>
      </c>
      <c r="M106" s="1">
        <f ca="1">IFERROR(__xludf.DUMMYFUNCTION("""COMPUTED_VALUE"""),260)</f>
        <v>260</v>
      </c>
      <c r="N106" s="1">
        <f ca="1">IFERROR(__xludf.DUMMYFUNCTION("""COMPUTED_VALUE"""),-3.03)</f>
        <v>-3.03</v>
      </c>
      <c r="O106" s="1">
        <f ca="1">IFERROR(__xludf.DUMMYFUNCTION("""COMPUTED_VALUE"""),216)</f>
        <v>216</v>
      </c>
      <c r="P106" s="1">
        <f ca="1">IFERROR(__xludf.DUMMYFUNCTION("""COMPUTED_VALUE"""),104.5)</f>
        <v>104.5</v>
      </c>
      <c r="Q106" s="1">
        <f ca="1">IFERROR(__xludf.DUMMYFUNCTION("""COMPUTED_VALUE"""),171)</f>
        <v>171</v>
      </c>
      <c r="R106" s="1">
        <f ca="1">IFERROR(__xludf.DUMMYFUNCTION("""COMPUTED_VALUE"""),107.6)</f>
        <v>107.6</v>
      </c>
      <c r="S106" s="1">
        <f ca="1">IFERROR(__xludf.DUMMYFUNCTION("""COMPUTED_VALUE"""),268)</f>
        <v>268</v>
      </c>
      <c r="T106" s="1">
        <f ca="1">IFERROR(__xludf.DUMMYFUNCTION("""COMPUTED_VALUE"""),-0.86)</f>
        <v>-0.86</v>
      </c>
      <c r="U106" s="1">
        <f ca="1">IFERROR(__xludf.DUMMYFUNCTION("""COMPUTED_VALUE"""),185)</f>
        <v>185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IFERROR(__xludf.DUMMYFUNCTION("""COMPUTED_VALUE"""),"Stanford")</f>
        <v>Stanford</v>
      </c>
      <c r="C107" s="1" t="str">
        <f ca="1">IFERROR(__xludf.DUMMYFUNCTION("""COMPUTED_VALUE"""),"P12")</f>
        <v>P12</v>
      </c>
      <c r="D107" s="1" t="str">
        <f ca="1">IFERROR(__xludf.DUMMYFUNCTION("""COMPUTED_VALUE"""),"15-15")</f>
        <v>15-15</v>
      </c>
      <c r="E107" s="1" t="str">
        <f ca="1">IFERROR(__xludf.DUMMYFUNCTION("""COMPUTED_VALUE"""),"+7.46")</f>
        <v>+7.46</v>
      </c>
      <c r="F107" s="1">
        <f ca="1">IFERROR(__xludf.DUMMYFUNCTION("""COMPUTED_VALUE"""),108)</f>
        <v>108</v>
      </c>
      <c r="G107" s="1">
        <f ca="1">IFERROR(__xludf.DUMMYFUNCTION("""COMPUTED_VALUE"""),117)</f>
        <v>117</v>
      </c>
      <c r="H107" s="1">
        <f ca="1">IFERROR(__xludf.DUMMYFUNCTION("""COMPUTED_VALUE"""),100.5)</f>
        <v>100.5</v>
      </c>
      <c r="I107" s="1">
        <f ca="1">IFERROR(__xludf.DUMMYFUNCTION("""COMPUTED_VALUE"""),94)</f>
        <v>94</v>
      </c>
      <c r="J107" s="1">
        <f ca="1">IFERROR(__xludf.DUMMYFUNCTION("""COMPUTED_VALUE"""),65.8)</f>
        <v>65.8</v>
      </c>
      <c r="K107" s="1">
        <f ca="1">IFERROR(__xludf.DUMMYFUNCTION("""COMPUTED_VALUE"""),293)</f>
        <v>293</v>
      </c>
      <c r="L107" s="1" t="str">
        <f ca="1">IFERROR(__xludf.DUMMYFUNCTION("""COMPUTED_VALUE"""),"+.040")</f>
        <v>+.040</v>
      </c>
      <c r="M107" s="1">
        <f ca="1">IFERROR(__xludf.DUMMYFUNCTION("""COMPUTED_VALUE"""),82)</f>
        <v>82</v>
      </c>
      <c r="N107" s="1" t="str">
        <f ca="1">IFERROR(__xludf.DUMMYFUNCTION("""COMPUTED_VALUE"""),"+10.41")</f>
        <v>+10.41</v>
      </c>
      <c r="O107" s="1">
        <f ca="1">IFERROR(__xludf.DUMMYFUNCTION("""COMPUTED_VALUE"""),17)</f>
        <v>17</v>
      </c>
      <c r="P107" s="1">
        <f ca="1">IFERROR(__xludf.DUMMYFUNCTION("""COMPUTED_VALUE"""),110.8)</f>
        <v>110.8</v>
      </c>
      <c r="Q107" s="1">
        <f ca="1">IFERROR(__xludf.DUMMYFUNCTION("""COMPUTED_VALUE"""),13)</f>
        <v>13</v>
      </c>
      <c r="R107" s="1">
        <f ca="1">IFERROR(__xludf.DUMMYFUNCTION("""COMPUTED_VALUE"""),100.4)</f>
        <v>100.4</v>
      </c>
      <c r="S107" s="1">
        <f ca="1">IFERROR(__xludf.DUMMYFUNCTION("""COMPUTED_VALUE"""),24)</f>
        <v>24</v>
      </c>
      <c r="T107" s="1" t="str">
        <f ca="1">IFERROR(__xludf.DUMMYFUNCTION("""COMPUTED_VALUE"""),"+2.43")</f>
        <v>+2.43</v>
      </c>
      <c r="U107" s="1">
        <f ca="1">IFERROR(__xludf.DUMMYFUNCTION("""COMPUTED_VALUE"""),94)</f>
        <v>94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IFERROR(__xludf.DUMMYFUNCTION("""COMPUTED_VALUE"""),"UT Arlington")</f>
        <v>UT Arlington</v>
      </c>
      <c r="C108" s="1" t="str">
        <f ca="1">IFERROR(__xludf.DUMMYFUNCTION("""COMPUTED_VALUE"""),"SB")</f>
        <v>SB</v>
      </c>
      <c r="D108" s="1" t="str">
        <f ca="1">IFERROR(__xludf.DUMMYFUNCTION("""COMPUTED_VALUE"""),"24-11")</f>
        <v>24-11</v>
      </c>
      <c r="E108" s="1" t="str">
        <f ca="1">IFERROR(__xludf.DUMMYFUNCTION("""COMPUTED_VALUE"""),"+7.45")</f>
        <v>+7.45</v>
      </c>
      <c r="F108" s="1">
        <f ca="1">IFERROR(__xludf.DUMMYFUNCTION("""COMPUTED_VALUE"""),106.9)</f>
        <v>106.9</v>
      </c>
      <c r="G108" s="1">
        <f ca="1">IFERROR(__xludf.DUMMYFUNCTION("""COMPUTED_VALUE"""),140)</f>
        <v>140</v>
      </c>
      <c r="H108" s="1">
        <f ca="1">IFERROR(__xludf.DUMMYFUNCTION("""COMPUTED_VALUE"""),99.5)</f>
        <v>99.5</v>
      </c>
      <c r="I108" s="1">
        <f ca="1">IFERROR(__xludf.DUMMYFUNCTION("""COMPUTED_VALUE"""),75)</f>
        <v>75</v>
      </c>
      <c r="J108" s="1">
        <f ca="1">IFERROR(__xludf.DUMMYFUNCTION("""COMPUTED_VALUE"""),72.2)</f>
        <v>72.2</v>
      </c>
      <c r="K108" s="1">
        <f ca="1">IFERROR(__xludf.DUMMYFUNCTION("""COMPUTED_VALUE"""),23)</f>
        <v>23</v>
      </c>
      <c r="L108" s="1">
        <f ca="1">IFERROR(__xludf.DUMMYFUNCTION("""COMPUTED_VALUE"""),-0.036)</f>
        <v>-3.5999999999999997E-2</v>
      </c>
      <c r="M108" s="1">
        <f ca="1">IFERROR(__xludf.DUMMYFUNCTION("""COMPUTED_VALUE"""),268)</f>
        <v>268</v>
      </c>
      <c r="N108" s="1">
        <f ca="1">IFERROR(__xludf.DUMMYFUNCTION("""COMPUTED_VALUE"""),-2.91)</f>
        <v>-2.91</v>
      </c>
      <c r="O108" s="1">
        <f ca="1">IFERROR(__xludf.DUMMYFUNCTION("""COMPUTED_VALUE"""),212)</f>
        <v>212</v>
      </c>
      <c r="P108" s="1">
        <f ca="1">IFERROR(__xludf.DUMMYFUNCTION("""COMPUTED_VALUE"""),102)</f>
        <v>102</v>
      </c>
      <c r="Q108" s="1">
        <f ca="1">IFERROR(__xludf.DUMMYFUNCTION("""COMPUTED_VALUE"""),285)</f>
        <v>285</v>
      </c>
      <c r="R108" s="1">
        <f ca="1">IFERROR(__xludf.DUMMYFUNCTION("""COMPUTED_VALUE"""),104.9)</f>
        <v>104.9</v>
      </c>
      <c r="S108" s="1">
        <f ca="1">IFERROR(__xludf.DUMMYFUNCTION("""COMPUTED_VALUE"""),154)</f>
        <v>154</v>
      </c>
      <c r="T108" s="1">
        <f ca="1">IFERROR(__xludf.DUMMYFUNCTION("""COMPUTED_VALUE"""),-2.05)</f>
        <v>-2.0499999999999998</v>
      </c>
      <c r="U108" s="1">
        <f ca="1">IFERROR(__xludf.DUMMYFUNCTION("""COMPUTED_VALUE"""),225)</f>
        <v>225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IFERROR(__xludf.DUMMYFUNCTION("""COMPUTED_VALUE"""),"Tennessee")</f>
        <v>Tennessee</v>
      </c>
      <c r="C109" s="1" t="str">
        <f ca="1">IFERROR(__xludf.DUMMYFUNCTION("""COMPUTED_VALUE"""),"SEC")</f>
        <v>SEC</v>
      </c>
      <c r="D109" s="1" t="str">
        <f ca="1">IFERROR(__xludf.DUMMYFUNCTION("""COMPUTED_VALUE"""),"15-19")</f>
        <v>15-19</v>
      </c>
      <c r="E109" s="1" t="str">
        <f ca="1">IFERROR(__xludf.DUMMYFUNCTION("""COMPUTED_VALUE"""),"+7.31")</f>
        <v>+7.31</v>
      </c>
      <c r="F109" s="1">
        <f ca="1">IFERROR(__xludf.DUMMYFUNCTION("""COMPUTED_VALUE"""),111)</f>
        <v>111</v>
      </c>
      <c r="G109" s="1">
        <f ca="1">IFERROR(__xludf.DUMMYFUNCTION("""COMPUTED_VALUE"""),74)</f>
        <v>74</v>
      </c>
      <c r="H109" s="1">
        <f ca="1">IFERROR(__xludf.DUMMYFUNCTION("""COMPUTED_VALUE"""),103.7)</f>
        <v>103.7</v>
      </c>
      <c r="I109" s="1">
        <f ca="1">IFERROR(__xludf.DUMMYFUNCTION("""COMPUTED_VALUE"""),150)</f>
        <v>150</v>
      </c>
      <c r="J109" s="1">
        <f ca="1">IFERROR(__xludf.DUMMYFUNCTION("""COMPUTED_VALUE"""),68.8)</f>
        <v>68.8</v>
      </c>
      <c r="K109" s="1">
        <f ca="1">IFERROR(__xludf.DUMMYFUNCTION("""COMPUTED_VALUE"""),128)</f>
        <v>128</v>
      </c>
      <c r="L109" s="1">
        <f ca="1">IFERROR(__xludf.DUMMYFUNCTION("""COMPUTED_VALUE"""),-0.051)</f>
        <v>-5.0999999999999997E-2</v>
      </c>
      <c r="M109" s="1">
        <f ca="1">IFERROR(__xludf.DUMMYFUNCTION("""COMPUTED_VALUE"""),295)</f>
        <v>295</v>
      </c>
      <c r="N109" s="1" t="str">
        <f ca="1">IFERROR(__xludf.DUMMYFUNCTION("""COMPUTED_VALUE"""),"+7.81")</f>
        <v>+7.81</v>
      </c>
      <c r="O109" s="1">
        <f ca="1">IFERROR(__xludf.DUMMYFUNCTION("""COMPUTED_VALUE"""),50)</f>
        <v>50</v>
      </c>
      <c r="P109" s="1">
        <f ca="1">IFERROR(__xludf.DUMMYFUNCTION("""COMPUTED_VALUE"""),108.7)</f>
        <v>108.7</v>
      </c>
      <c r="Q109" s="1">
        <f ca="1">IFERROR(__xludf.DUMMYFUNCTION("""COMPUTED_VALUE"""),54)</f>
        <v>54</v>
      </c>
      <c r="R109" s="1">
        <f ca="1">IFERROR(__xludf.DUMMYFUNCTION("""COMPUTED_VALUE"""),100.9)</f>
        <v>100.9</v>
      </c>
      <c r="S109" s="1">
        <f ca="1">IFERROR(__xludf.DUMMYFUNCTION("""COMPUTED_VALUE"""),41)</f>
        <v>41</v>
      </c>
      <c r="T109" s="1" t="str">
        <f ca="1">IFERROR(__xludf.DUMMYFUNCTION("""COMPUTED_VALUE"""),"+1.99")</f>
        <v>+1.99</v>
      </c>
      <c r="U109" s="1">
        <f ca="1">IFERROR(__xludf.DUMMYFUNCTION("""COMPUTED_VALUE"""),108)</f>
        <v>108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IFERROR(__xludf.DUMMYFUNCTION("""COMPUTED_VALUE"""),"Iona13")</f>
        <v>Iona13</v>
      </c>
      <c r="C110" s="1" t="str">
        <f ca="1">IFERROR(__xludf.DUMMYFUNCTION("""COMPUTED_VALUE"""),"MAAC")</f>
        <v>MAAC</v>
      </c>
      <c r="D110" s="1" t="str">
        <f ca="1">IFERROR(__xludf.DUMMYFUNCTION("""COMPUTED_VALUE"""),"22-11")</f>
        <v>22-11</v>
      </c>
      <c r="E110" s="1" t="str">
        <f ca="1">IFERROR(__xludf.DUMMYFUNCTION("""COMPUTED_VALUE"""),"+7.13")</f>
        <v>+7.13</v>
      </c>
      <c r="F110" s="1">
        <f ca="1">IFERROR(__xludf.DUMMYFUNCTION("""COMPUTED_VALUE"""),110.5)</f>
        <v>110.5</v>
      </c>
      <c r="G110" s="1">
        <f ca="1">IFERROR(__xludf.DUMMYFUNCTION("""COMPUTED_VALUE"""),84)</f>
        <v>84</v>
      </c>
      <c r="H110" s="1">
        <f ca="1">IFERROR(__xludf.DUMMYFUNCTION("""COMPUTED_VALUE"""),103.4)</f>
        <v>103.4</v>
      </c>
      <c r="I110" s="1">
        <f ca="1">IFERROR(__xludf.DUMMYFUNCTION("""COMPUTED_VALUE"""),145)</f>
        <v>145</v>
      </c>
      <c r="J110" s="1">
        <f ca="1">IFERROR(__xludf.DUMMYFUNCTION("""COMPUTED_VALUE"""),71.9)</f>
        <v>71.900000000000006</v>
      </c>
      <c r="K110" s="1">
        <f ca="1">IFERROR(__xludf.DUMMYFUNCTION("""COMPUTED_VALUE"""),33)</f>
        <v>33</v>
      </c>
      <c r="L110" s="1">
        <f ca="1">IFERROR(__xludf.DUMMYFUNCTION("""COMPUTED_VALUE"""),-0.005)</f>
        <v>-5.0000000000000001E-3</v>
      </c>
      <c r="M110" s="1">
        <f ca="1">IFERROR(__xludf.DUMMYFUNCTION("""COMPUTED_VALUE"""),190)</f>
        <v>190</v>
      </c>
      <c r="N110" s="1">
        <f ca="1">IFERROR(__xludf.DUMMYFUNCTION("""COMPUTED_VALUE"""),-1.78)</f>
        <v>-1.78</v>
      </c>
      <c r="O110" s="1">
        <f ca="1">IFERROR(__xludf.DUMMYFUNCTION("""COMPUTED_VALUE"""),194)</f>
        <v>194</v>
      </c>
      <c r="P110" s="1">
        <f ca="1">IFERROR(__xludf.DUMMYFUNCTION("""COMPUTED_VALUE"""),103.7)</f>
        <v>103.7</v>
      </c>
      <c r="Q110" s="1">
        <f ca="1">IFERROR(__xludf.DUMMYFUNCTION("""COMPUTED_VALUE"""),207)</f>
        <v>207</v>
      </c>
      <c r="R110" s="1">
        <f ca="1">IFERROR(__xludf.DUMMYFUNCTION("""COMPUTED_VALUE"""),105.5)</f>
        <v>105.5</v>
      </c>
      <c r="S110" s="1">
        <f ca="1">IFERROR(__xludf.DUMMYFUNCTION("""COMPUTED_VALUE"""),174)</f>
        <v>174</v>
      </c>
      <c r="T110" s="1" t="str">
        <f ca="1">IFERROR(__xludf.DUMMYFUNCTION("""COMPUTED_VALUE"""),"+5.71")</f>
        <v>+5.71</v>
      </c>
      <c r="U110" s="1">
        <f ca="1">IFERROR(__xludf.DUMMYFUNCTION("""COMPUTED_VALUE"""),29)</f>
        <v>29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IFERROR(__xludf.DUMMYFUNCTION("""COMPUTED_VALUE"""),"UC Santa Barbara")</f>
        <v>UC Santa Barbara</v>
      </c>
      <c r="C111" s="1" t="str">
        <f ca="1">IFERROR(__xludf.DUMMYFUNCTION("""COMPUTED_VALUE"""),"BW")</f>
        <v>BW</v>
      </c>
      <c r="D111" s="1" t="str">
        <f ca="1">IFERROR(__xludf.DUMMYFUNCTION("""COMPUTED_VALUE"""),"19-14")</f>
        <v>19-14</v>
      </c>
      <c r="E111" s="1" t="str">
        <f ca="1">IFERROR(__xludf.DUMMYFUNCTION("""COMPUTED_VALUE"""),"+6.83")</f>
        <v>+6.83</v>
      </c>
      <c r="F111" s="1">
        <f ca="1">IFERROR(__xludf.DUMMYFUNCTION("""COMPUTED_VALUE"""),106.3)</f>
        <v>106.3</v>
      </c>
      <c r="G111" s="1">
        <f ca="1">IFERROR(__xludf.DUMMYFUNCTION("""COMPUTED_VALUE"""),153)</f>
        <v>153</v>
      </c>
      <c r="H111" s="1">
        <f ca="1">IFERROR(__xludf.DUMMYFUNCTION("""COMPUTED_VALUE"""),99.5)</f>
        <v>99.5</v>
      </c>
      <c r="I111" s="1">
        <f ca="1">IFERROR(__xludf.DUMMYFUNCTION("""COMPUTED_VALUE"""),74)</f>
        <v>74</v>
      </c>
      <c r="J111" s="1">
        <f ca="1">IFERROR(__xludf.DUMMYFUNCTION("""COMPUTED_VALUE"""),66.9)</f>
        <v>66.900000000000006</v>
      </c>
      <c r="K111" s="1">
        <f ca="1">IFERROR(__xludf.DUMMYFUNCTION("""COMPUTED_VALUE"""),242)</f>
        <v>242</v>
      </c>
      <c r="L111" s="1">
        <f ca="1">IFERROR(__xludf.DUMMYFUNCTION("""COMPUTED_VALUE"""),-0.006)</f>
        <v>-6.0000000000000001E-3</v>
      </c>
      <c r="M111" s="1">
        <f ca="1">IFERROR(__xludf.DUMMYFUNCTION("""COMPUTED_VALUE"""),195)</f>
        <v>195</v>
      </c>
      <c r="N111" s="1" t="str">
        <f ca="1">IFERROR(__xludf.DUMMYFUNCTION("""COMPUTED_VALUE"""),"+3.12")</f>
        <v>+3.12</v>
      </c>
      <c r="O111" s="1">
        <f ca="1">IFERROR(__xludf.DUMMYFUNCTION("""COMPUTED_VALUE"""),96)</f>
        <v>96</v>
      </c>
      <c r="P111" s="1">
        <f ca="1">IFERROR(__xludf.DUMMYFUNCTION("""COMPUTED_VALUE"""),105.7)</f>
        <v>105.7</v>
      </c>
      <c r="Q111" s="1">
        <f ca="1">IFERROR(__xludf.DUMMYFUNCTION("""COMPUTED_VALUE"""),116)</f>
        <v>116</v>
      </c>
      <c r="R111" s="1">
        <f ca="1">IFERROR(__xludf.DUMMYFUNCTION("""COMPUTED_VALUE"""),102.6)</f>
        <v>102.6</v>
      </c>
      <c r="S111" s="1">
        <f ca="1">IFERROR(__xludf.DUMMYFUNCTION("""COMPUTED_VALUE"""),91)</f>
        <v>91</v>
      </c>
      <c r="T111" s="1" t="str">
        <f ca="1">IFERROR(__xludf.DUMMYFUNCTION("""COMPUTED_VALUE"""),"+8.50")</f>
        <v>+8.50</v>
      </c>
      <c r="U111" s="1">
        <f ca="1">IFERROR(__xludf.DUMMYFUNCTION("""COMPUTED_VALUE"""),13)</f>
        <v>13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IFERROR(__xludf.DUMMYFUNCTION("""COMPUTED_VALUE"""),"Davidson5")</f>
        <v>Davidson5</v>
      </c>
      <c r="C112" s="1" t="str">
        <f ca="1">IFERROR(__xludf.DUMMYFUNCTION("""COMPUTED_VALUE"""),"A10")</f>
        <v>A10</v>
      </c>
      <c r="D112" s="1" t="str">
        <f ca="1">IFERROR(__xludf.DUMMYFUNCTION("""COMPUTED_VALUE"""),"20-13")</f>
        <v>20-13</v>
      </c>
      <c r="E112" s="1" t="str">
        <f ca="1">IFERROR(__xludf.DUMMYFUNCTION("""COMPUTED_VALUE"""),"+6.73")</f>
        <v>+6.73</v>
      </c>
      <c r="F112" s="1">
        <f ca="1">IFERROR(__xludf.DUMMYFUNCTION("""COMPUTED_VALUE"""),114.3)</f>
        <v>114.3</v>
      </c>
      <c r="G112" s="1">
        <f ca="1">IFERROR(__xludf.DUMMYFUNCTION("""COMPUTED_VALUE"""),31)</f>
        <v>31</v>
      </c>
      <c r="H112" s="1">
        <f ca="1">IFERROR(__xludf.DUMMYFUNCTION("""COMPUTED_VALUE"""),107.6)</f>
        <v>107.6</v>
      </c>
      <c r="I112" s="1">
        <f ca="1">IFERROR(__xludf.DUMMYFUNCTION("""COMPUTED_VALUE"""),223)</f>
        <v>223</v>
      </c>
      <c r="J112" s="1">
        <f ca="1">IFERROR(__xludf.DUMMYFUNCTION("""COMPUTED_VALUE"""),70.2)</f>
        <v>70.2</v>
      </c>
      <c r="K112" s="1">
        <f ca="1">IFERROR(__xludf.DUMMYFUNCTION("""COMPUTED_VALUE"""),77)</f>
        <v>77</v>
      </c>
      <c r="L112" s="1" t="str">
        <f ca="1">IFERROR(__xludf.DUMMYFUNCTION("""COMPUTED_VALUE"""),"+.078")</f>
        <v>+.078</v>
      </c>
      <c r="M112" s="1">
        <f ca="1">IFERROR(__xludf.DUMMYFUNCTION("""COMPUTED_VALUE"""),30)</f>
        <v>30</v>
      </c>
      <c r="N112" s="1" t="str">
        <f ca="1">IFERROR(__xludf.DUMMYFUNCTION("""COMPUTED_VALUE"""),"+4.81")</f>
        <v>+4.81</v>
      </c>
      <c r="O112" s="1">
        <f ca="1">IFERROR(__xludf.DUMMYFUNCTION("""COMPUTED_VALUE"""),78)</f>
        <v>78</v>
      </c>
      <c r="P112" s="1">
        <f ca="1">IFERROR(__xludf.DUMMYFUNCTION("""COMPUTED_VALUE"""),107.7)</f>
        <v>107.7</v>
      </c>
      <c r="Q112" s="1">
        <f ca="1">IFERROR(__xludf.DUMMYFUNCTION("""COMPUTED_VALUE"""),71)</f>
        <v>71</v>
      </c>
      <c r="R112" s="1">
        <f ca="1">IFERROR(__xludf.DUMMYFUNCTION("""COMPUTED_VALUE"""),102.9)</f>
        <v>102.9</v>
      </c>
      <c r="S112" s="1">
        <f ca="1">IFERROR(__xludf.DUMMYFUNCTION("""COMPUTED_VALUE"""),97)</f>
        <v>97</v>
      </c>
      <c r="T112" s="1" t="str">
        <f ca="1">IFERROR(__xludf.DUMMYFUNCTION("""COMPUTED_VALUE"""),"+2.02")</f>
        <v>+2.02</v>
      </c>
      <c r="U112" s="1">
        <f ca="1">IFERROR(__xludf.DUMMYFUNCTION("""COMPUTED_VALUE"""),106)</f>
        <v>106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IFERROR(__xludf.DUMMYFUNCTION("""COMPUTED_VALUE"""),"Long Beach St.6")</f>
        <v>Long Beach St.6</v>
      </c>
      <c r="C113" s="1" t="str">
        <f ca="1">IFERROR(__xludf.DUMMYFUNCTION("""COMPUTED_VALUE"""),"BW")</f>
        <v>BW</v>
      </c>
      <c r="D113" s="1" t="str">
        <f ca="1">IFERROR(__xludf.DUMMYFUNCTION("""COMPUTED_VALUE"""),"20-15")</f>
        <v>20-15</v>
      </c>
      <c r="E113" s="1" t="str">
        <f ca="1">IFERROR(__xludf.DUMMYFUNCTION("""COMPUTED_VALUE"""),"+6.64")</f>
        <v>+6.64</v>
      </c>
      <c r="F113" s="1">
        <f ca="1">IFERROR(__xludf.DUMMYFUNCTION("""COMPUTED_VALUE"""),108.5)</f>
        <v>108.5</v>
      </c>
      <c r="G113" s="1">
        <f ca="1">IFERROR(__xludf.DUMMYFUNCTION("""COMPUTED_VALUE"""),104)</f>
        <v>104</v>
      </c>
      <c r="H113" s="1">
        <f ca="1">IFERROR(__xludf.DUMMYFUNCTION("""COMPUTED_VALUE"""),101.9)</f>
        <v>101.9</v>
      </c>
      <c r="I113" s="1">
        <f ca="1">IFERROR(__xludf.DUMMYFUNCTION("""COMPUTED_VALUE"""),119)</f>
        <v>119</v>
      </c>
      <c r="J113" s="1">
        <f ca="1">IFERROR(__xludf.DUMMYFUNCTION("""COMPUTED_VALUE"""),70.2)</f>
        <v>70.2</v>
      </c>
      <c r="K113" s="1">
        <f ca="1">IFERROR(__xludf.DUMMYFUNCTION("""COMPUTED_VALUE"""),80)</f>
        <v>80</v>
      </c>
      <c r="L113" s="1" t="str">
        <f ca="1">IFERROR(__xludf.DUMMYFUNCTION("""COMPUTED_VALUE"""),"+.063")</f>
        <v>+.063</v>
      </c>
      <c r="M113" s="1">
        <f ca="1">IFERROR(__xludf.DUMMYFUNCTION("""COMPUTED_VALUE"""),41)</f>
        <v>41</v>
      </c>
      <c r="N113" s="1" t="str">
        <f ca="1">IFERROR(__xludf.DUMMYFUNCTION("""COMPUTED_VALUE"""),"+6.18")</f>
        <v>+6.18</v>
      </c>
      <c r="O113" s="1">
        <f ca="1">IFERROR(__xludf.DUMMYFUNCTION("""COMPUTED_VALUE"""),70)</f>
        <v>70</v>
      </c>
      <c r="P113" s="1">
        <f ca="1">IFERROR(__xludf.DUMMYFUNCTION("""COMPUTED_VALUE"""),107)</f>
        <v>107</v>
      </c>
      <c r="Q113" s="1">
        <f ca="1">IFERROR(__xludf.DUMMYFUNCTION("""COMPUTED_VALUE"""),83)</f>
        <v>83</v>
      </c>
      <c r="R113" s="1">
        <f ca="1">IFERROR(__xludf.DUMMYFUNCTION("""COMPUTED_VALUE"""),100.9)</f>
        <v>100.9</v>
      </c>
      <c r="S113" s="1">
        <f ca="1">IFERROR(__xludf.DUMMYFUNCTION("""COMPUTED_VALUE"""),40)</f>
        <v>40</v>
      </c>
      <c r="T113" s="1" t="str">
        <f ca="1">IFERROR(__xludf.DUMMYFUNCTION("""COMPUTED_VALUE"""),"+14.67")</f>
        <v>+14.67</v>
      </c>
      <c r="U113" s="1">
        <f ca="1">IFERROR(__xludf.DUMMYFUNCTION("""COMPUTED_VALUE"""),1)</f>
        <v>1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IFERROR(__xludf.DUMMYFUNCTION("""COMPUTED_VALUE"""),"Fresno St.14")</f>
        <v>Fresno St.14</v>
      </c>
      <c r="C114" s="1" t="str">
        <f ca="1">IFERROR(__xludf.DUMMYFUNCTION("""COMPUTED_VALUE"""),"MWC")</f>
        <v>MWC</v>
      </c>
      <c r="D114" s="1" t="str">
        <f ca="1">IFERROR(__xludf.DUMMYFUNCTION("""COMPUTED_VALUE"""),"25-10")</f>
        <v>25-10</v>
      </c>
      <c r="E114" s="1" t="str">
        <f ca="1">IFERROR(__xludf.DUMMYFUNCTION("""COMPUTED_VALUE"""),"+6.63")</f>
        <v>+6.63</v>
      </c>
      <c r="F114" s="1">
        <f ca="1">IFERROR(__xludf.DUMMYFUNCTION("""COMPUTED_VALUE"""),107.4)</f>
        <v>107.4</v>
      </c>
      <c r="G114" s="1">
        <f ca="1">IFERROR(__xludf.DUMMYFUNCTION("""COMPUTED_VALUE"""),127)</f>
        <v>127</v>
      </c>
      <c r="H114" s="1">
        <f ca="1">IFERROR(__xludf.DUMMYFUNCTION("""COMPUTED_VALUE"""),100.8)</f>
        <v>100.8</v>
      </c>
      <c r="I114" s="1">
        <f ca="1">IFERROR(__xludf.DUMMYFUNCTION("""COMPUTED_VALUE"""),99)</f>
        <v>99</v>
      </c>
      <c r="J114" s="1">
        <f ca="1">IFERROR(__xludf.DUMMYFUNCTION("""COMPUTED_VALUE"""),69)</f>
        <v>69</v>
      </c>
      <c r="K114" s="1">
        <f ca="1">IFERROR(__xludf.DUMMYFUNCTION("""COMPUTED_VALUE"""),121)</f>
        <v>121</v>
      </c>
      <c r="L114" s="1" t="str">
        <f ca="1">IFERROR(__xludf.DUMMYFUNCTION("""COMPUTED_VALUE"""),"+.085")</f>
        <v>+.085</v>
      </c>
      <c r="M114" s="1">
        <f ca="1">IFERROR(__xludf.DUMMYFUNCTION("""COMPUTED_VALUE"""),23)</f>
        <v>23</v>
      </c>
      <c r="N114" s="1" t="str">
        <f ca="1">IFERROR(__xludf.DUMMYFUNCTION("""COMPUTED_VALUE"""),"+1.65")</f>
        <v>+1.65</v>
      </c>
      <c r="O114" s="1">
        <f ca="1">IFERROR(__xludf.DUMMYFUNCTION("""COMPUTED_VALUE"""),121)</f>
        <v>121</v>
      </c>
      <c r="P114" s="1">
        <f ca="1">IFERROR(__xludf.DUMMYFUNCTION("""COMPUTED_VALUE"""),105.3)</f>
        <v>105.3</v>
      </c>
      <c r="Q114" s="1">
        <f ca="1">IFERROR(__xludf.DUMMYFUNCTION("""COMPUTED_VALUE"""),135)</f>
        <v>135</v>
      </c>
      <c r="R114" s="1">
        <f ca="1">IFERROR(__xludf.DUMMYFUNCTION("""COMPUTED_VALUE"""),103.7)</f>
        <v>103.7</v>
      </c>
      <c r="S114" s="1">
        <f ca="1">IFERROR(__xludf.DUMMYFUNCTION("""COMPUTED_VALUE"""),114)</f>
        <v>114</v>
      </c>
      <c r="T114" s="1">
        <f ca="1">IFERROR(__xludf.DUMMYFUNCTION("""COMPUTED_VALUE"""),-2.89)</f>
        <v>-2.89</v>
      </c>
      <c r="U114" s="1">
        <f ca="1">IFERROR(__xludf.DUMMYFUNCTION("""COMPUTED_VALUE"""),244)</f>
        <v>244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IFERROR(__xludf.DUMMYFUNCTION("""COMPUTED_VALUE"""),"Chattanooga12")</f>
        <v>Chattanooga12</v>
      </c>
      <c r="C115" s="1" t="str">
        <f ca="1">IFERROR(__xludf.DUMMYFUNCTION("""COMPUTED_VALUE"""),"SC")</f>
        <v>SC</v>
      </c>
      <c r="D115" s="1" t="str">
        <f ca="1">IFERROR(__xludf.DUMMYFUNCTION("""COMPUTED_VALUE"""),"29-6")</f>
        <v>29-6</v>
      </c>
      <c r="E115" s="1" t="str">
        <f ca="1">IFERROR(__xludf.DUMMYFUNCTION("""COMPUTED_VALUE"""),"+6.50")</f>
        <v>+6.50</v>
      </c>
      <c r="F115" s="1">
        <f ca="1">IFERROR(__xludf.DUMMYFUNCTION("""COMPUTED_VALUE"""),107.5)</f>
        <v>107.5</v>
      </c>
      <c r="G115" s="1">
        <f ca="1">IFERROR(__xludf.DUMMYFUNCTION("""COMPUTED_VALUE"""),126)</f>
        <v>126</v>
      </c>
      <c r="H115" s="1">
        <f ca="1">IFERROR(__xludf.DUMMYFUNCTION("""COMPUTED_VALUE"""),101)</f>
        <v>101</v>
      </c>
      <c r="I115" s="1">
        <f ca="1">IFERROR(__xludf.DUMMYFUNCTION("""COMPUTED_VALUE"""),104)</f>
        <v>104</v>
      </c>
      <c r="J115" s="1">
        <f ca="1">IFERROR(__xludf.DUMMYFUNCTION("""COMPUTED_VALUE"""),66.3)</f>
        <v>66.3</v>
      </c>
      <c r="K115" s="1">
        <f ca="1">IFERROR(__xludf.DUMMYFUNCTION("""COMPUTED_VALUE"""),260)</f>
        <v>260</v>
      </c>
      <c r="L115" s="1" t="str">
        <f ca="1">IFERROR(__xludf.DUMMYFUNCTION("""COMPUTED_VALUE"""),"+.132")</f>
        <v>+.132</v>
      </c>
      <c r="M115" s="1">
        <f ca="1">IFERROR(__xludf.DUMMYFUNCTION("""COMPUTED_VALUE"""),4)</f>
        <v>4</v>
      </c>
      <c r="N115" s="1">
        <f ca="1">IFERROR(__xludf.DUMMYFUNCTION("""COMPUTED_VALUE"""),-3.18)</f>
        <v>-3.18</v>
      </c>
      <c r="O115" s="1">
        <f ca="1">IFERROR(__xludf.DUMMYFUNCTION("""COMPUTED_VALUE"""),219)</f>
        <v>219</v>
      </c>
      <c r="P115" s="1">
        <f ca="1">IFERROR(__xludf.DUMMYFUNCTION("""COMPUTED_VALUE"""),104.4)</f>
        <v>104.4</v>
      </c>
      <c r="Q115" s="1">
        <f ca="1">IFERROR(__xludf.DUMMYFUNCTION("""COMPUTED_VALUE"""),174)</f>
        <v>174</v>
      </c>
      <c r="R115" s="1">
        <f ca="1">IFERROR(__xludf.DUMMYFUNCTION("""COMPUTED_VALUE"""),107.6)</f>
        <v>107.6</v>
      </c>
      <c r="S115" s="1">
        <f ca="1">IFERROR(__xludf.DUMMYFUNCTION("""COMPUTED_VALUE"""),274)</f>
        <v>274</v>
      </c>
      <c r="T115" s="1">
        <f ca="1">IFERROR(__xludf.DUMMYFUNCTION("""COMPUTED_VALUE"""),-0.04)</f>
        <v>-0.04</v>
      </c>
      <c r="U115" s="1">
        <f ca="1">IFERROR(__xludf.DUMMYFUNCTION("""COMPUTED_VALUE"""),167)</f>
        <v>167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IFERROR(__xludf.DUMMYFUNCTION("""COMPUTED_VALUE"""),"Cal St. Bakersfield15")</f>
        <v>Cal St. Bakersfield15</v>
      </c>
      <c r="C116" s="1" t="str">
        <f ca="1">IFERROR(__xludf.DUMMYFUNCTION("""COMPUTED_VALUE"""),"WAC")</f>
        <v>WAC</v>
      </c>
      <c r="D116" s="1" t="str">
        <f ca="1">IFERROR(__xludf.DUMMYFUNCTION("""COMPUTED_VALUE"""),"24-9")</f>
        <v>24-9</v>
      </c>
      <c r="E116" s="1" t="str">
        <f ca="1">IFERROR(__xludf.DUMMYFUNCTION("""COMPUTED_VALUE"""),"+6.26")</f>
        <v>+6.26</v>
      </c>
      <c r="F116" s="1">
        <f ca="1">IFERROR(__xludf.DUMMYFUNCTION("""COMPUTED_VALUE"""),104)</f>
        <v>104</v>
      </c>
      <c r="G116" s="1">
        <f ca="1">IFERROR(__xludf.DUMMYFUNCTION("""COMPUTED_VALUE"""),181)</f>
        <v>181</v>
      </c>
      <c r="H116" s="1">
        <f ca="1">IFERROR(__xludf.DUMMYFUNCTION("""COMPUTED_VALUE"""),97.8)</f>
        <v>97.8</v>
      </c>
      <c r="I116" s="1">
        <f ca="1">IFERROR(__xludf.DUMMYFUNCTION("""COMPUTED_VALUE"""),50)</f>
        <v>50</v>
      </c>
      <c r="J116" s="1">
        <f ca="1">IFERROR(__xludf.DUMMYFUNCTION("""COMPUTED_VALUE"""),67.6)</f>
        <v>67.599999999999994</v>
      </c>
      <c r="K116" s="1">
        <f ca="1">IFERROR(__xludf.DUMMYFUNCTION("""COMPUTED_VALUE"""),201)</f>
        <v>201</v>
      </c>
      <c r="L116" s="1">
        <f ca="1">IFERROR(__xludf.DUMMYFUNCTION("""COMPUTED_VALUE"""),-0.003)</f>
        <v>-3.0000000000000001E-3</v>
      </c>
      <c r="M116" s="1">
        <f ca="1">IFERROR(__xludf.DUMMYFUNCTION("""COMPUTED_VALUE"""),179)</f>
        <v>179</v>
      </c>
      <c r="N116" s="1">
        <f ca="1">IFERROR(__xludf.DUMMYFUNCTION("""COMPUTED_VALUE"""),-6.5)</f>
        <v>-6.5</v>
      </c>
      <c r="O116" s="1">
        <f ca="1">IFERROR(__xludf.DUMMYFUNCTION("""COMPUTED_VALUE"""),302)</f>
        <v>302</v>
      </c>
      <c r="P116" s="1">
        <f ca="1">IFERROR(__xludf.DUMMYFUNCTION("""COMPUTED_VALUE"""),100.6)</f>
        <v>100.6</v>
      </c>
      <c r="Q116" s="1">
        <f ca="1">IFERROR(__xludf.DUMMYFUNCTION("""COMPUTED_VALUE"""),316)</f>
        <v>316</v>
      </c>
      <c r="R116" s="1">
        <f ca="1">IFERROR(__xludf.DUMMYFUNCTION("""COMPUTED_VALUE"""),107.1)</f>
        <v>107.1</v>
      </c>
      <c r="S116" s="1">
        <f ca="1">IFERROR(__xludf.DUMMYFUNCTION("""COMPUTED_VALUE"""),242)</f>
        <v>242</v>
      </c>
      <c r="T116" s="1">
        <f ca="1">IFERROR(__xludf.DUMMYFUNCTION("""COMPUTED_VALUE"""),-2.99)</f>
        <v>-2.99</v>
      </c>
      <c r="U116" s="1">
        <f ca="1">IFERROR(__xludf.DUMMYFUNCTION("""COMPUTED_VALUE"""),249)</f>
        <v>249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IFERROR(__xludf.DUMMYFUNCTION("""COMPUTED_VALUE"""),"New Mexico St.7")</f>
        <v>New Mexico St.7</v>
      </c>
      <c r="C117" s="1" t="str">
        <f ca="1">IFERROR(__xludf.DUMMYFUNCTION("""COMPUTED_VALUE"""),"WAC")</f>
        <v>WAC</v>
      </c>
      <c r="D117" s="1" t="str">
        <f ca="1">IFERROR(__xludf.DUMMYFUNCTION("""COMPUTED_VALUE"""),"23-11")</f>
        <v>23-11</v>
      </c>
      <c r="E117" s="1" t="str">
        <f ca="1">IFERROR(__xludf.DUMMYFUNCTION("""COMPUTED_VALUE"""),"+6.13")</f>
        <v>+6.13</v>
      </c>
      <c r="F117" s="1">
        <f ca="1">IFERROR(__xludf.DUMMYFUNCTION("""COMPUTED_VALUE"""),103.3)</f>
        <v>103.3</v>
      </c>
      <c r="G117" s="1">
        <f ca="1">IFERROR(__xludf.DUMMYFUNCTION("""COMPUTED_VALUE"""),196)</f>
        <v>196</v>
      </c>
      <c r="H117" s="1">
        <f ca="1">IFERROR(__xludf.DUMMYFUNCTION("""COMPUTED_VALUE"""),97.2)</f>
        <v>97.2</v>
      </c>
      <c r="I117" s="1">
        <f ca="1">IFERROR(__xludf.DUMMYFUNCTION("""COMPUTED_VALUE"""),44)</f>
        <v>44</v>
      </c>
      <c r="J117" s="1">
        <f ca="1">IFERROR(__xludf.DUMMYFUNCTION("""COMPUTED_VALUE"""),65.3)</f>
        <v>65.3</v>
      </c>
      <c r="K117" s="1">
        <f ca="1">IFERROR(__xludf.DUMMYFUNCTION("""COMPUTED_VALUE"""),302)</f>
        <v>302</v>
      </c>
      <c r="L117" s="1">
        <f ca="1">IFERROR(__xludf.DUMMYFUNCTION("""COMPUTED_VALUE"""),-0.014)</f>
        <v>-1.4E-2</v>
      </c>
      <c r="M117" s="1">
        <f ca="1">IFERROR(__xludf.DUMMYFUNCTION("""COMPUTED_VALUE"""),215)</f>
        <v>215</v>
      </c>
      <c r="N117" s="1">
        <f ca="1">IFERROR(__xludf.DUMMYFUNCTION("""COMPUTED_VALUE"""),-4.68)</f>
        <v>-4.68</v>
      </c>
      <c r="O117" s="1">
        <f ca="1">IFERROR(__xludf.DUMMYFUNCTION("""COMPUTED_VALUE"""),256)</f>
        <v>256</v>
      </c>
      <c r="P117" s="1">
        <f ca="1">IFERROR(__xludf.DUMMYFUNCTION("""COMPUTED_VALUE"""),102.1)</f>
        <v>102.1</v>
      </c>
      <c r="Q117" s="1">
        <f ca="1">IFERROR(__xludf.DUMMYFUNCTION("""COMPUTED_VALUE"""),280)</f>
        <v>280</v>
      </c>
      <c r="R117" s="1">
        <f ca="1">IFERROR(__xludf.DUMMYFUNCTION("""COMPUTED_VALUE"""),106.8)</f>
        <v>106.8</v>
      </c>
      <c r="S117" s="1">
        <f ca="1">IFERROR(__xludf.DUMMYFUNCTION("""COMPUTED_VALUE"""),230)</f>
        <v>230</v>
      </c>
      <c r="T117" s="1">
        <f ca="1">IFERROR(__xludf.DUMMYFUNCTION("""COMPUTED_VALUE"""),-1.4)</f>
        <v>-1.4</v>
      </c>
      <c r="U117" s="1">
        <f ca="1">IFERROR(__xludf.DUMMYFUNCTION("""COMPUTED_VALUE"""),201)</f>
        <v>201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IFERROR(__xludf.DUMMYFUNCTION("""COMPUTED_VALUE"""),"Louisiana Lafayette")</f>
        <v>Louisiana Lafayette</v>
      </c>
      <c r="C118" s="1" t="str">
        <f ca="1">IFERROR(__xludf.DUMMYFUNCTION("""COMPUTED_VALUE"""),"SB")</f>
        <v>SB</v>
      </c>
      <c r="D118" s="1" t="str">
        <f ca="1">IFERROR(__xludf.DUMMYFUNCTION("""COMPUTED_VALUE"""),"19-15")</f>
        <v>19-15</v>
      </c>
      <c r="E118" s="1" t="str">
        <f ca="1">IFERROR(__xludf.DUMMYFUNCTION("""COMPUTED_VALUE"""),"+5.96")</f>
        <v>+5.96</v>
      </c>
      <c r="F118" s="1">
        <f ca="1">IFERROR(__xludf.DUMMYFUNCTION("""COMPUTED_VALUE"""),111)</f>
        <v>111</v>
      </c>
      <c r="G118" s="1">
        <f ca="1">IFERROR(__xludf.DUMMYFUNCTION("""COMPUTED_VALUE"""),73)</f>
        <v>73</v>
      </c>
      <c r="H118" s="1">
        <f ca="1">IFERROR(__xludf.DUMMYFUNCTION("""COMPUTED_VALUE"""),105.1)</f>
        <v>105.1</v>
      </c>
      <c r="I118" s="1">
        <f ca="1">IFERROR(__xludf.DUMMYFUNCTION("""COMPUTED_VALUE"""),180)</f>
        <v>180</v>
      </c>
      <c r="J118" s="1">
        <f ca="1">IFERROR(__xludf.DUMMYFUNCTION("""COMPUTED_VALUE"""),70.3)</f>
        <v>70.3</v>
      </c>
      <c r="K118" s="1">
        <f ca="1">IFERROR(__xludf.DUMMYFUNCTION("""COMPUTED_VALUE"""),75)</f>
        <v>75</v>
      </c>
      <c r="L118" s="1">
        <f ca="1">IFERROR(__xludf.DUMMYFUNCTION("""COMPUTED_VALUE"""),-0.089)</f>
        <v>-8.8999999999999996E-2</v>
      </c>
      <c r="M118" s="1">
        <f ca="1">IFERROR(__xludf.DUMMYFUNCTION("""COMPUTED_VALUE"""),337)</f>
        <v>337</v>
      </c>
      <c r="N118" s="1">
        <f ca="1">IFERROR(__xludf.DUMMYFUNCTION("""COMPUTED_VALUE"""),-1.03)</f>
        <v>-1.03</v>
      </c>
      <c r="O118" s="1">
        <f ca="1">IFERROR(__xludf.DUMMYFUNCTION("""COMPUTED_VALUE"""),171)</f>
        <v>171</v>
      </c>
      <c r="P118" s="1">
        <f ca="1">IFERROR(__xludf.DUMMYFUNCTION("""COMPUTED_VALUE"""),103.2)</f>
        <v>103.2</v>
      </c>
      <c r="Q118" s="1">
        <f ca="1">IFERROR(__xludf.DUMMYFUNCTION("""COMPUTED_VALUE"""),235)</f>
        <v>235</v>
      </c>
      <c r="R118" s="1">
        <f ca="1">IFERROR(__xludf.DUMMYFUNCTION("""COMPUTED_VALUE"""),104.2)</f>
        <v>104.2</v>
      </c>
      <c r="S118" s="1">
        <f ca="1">IFERROR(__xludf.DUMMYFUNCTION("""COMPUTED_VALUE"""),129)</f>
        <v>129</v>
      </c>
      <c r="T118" s="1" t="str">
        <f ca="1">IFERROR(__xludf.DUMMYFUNCTION("""COMPUTED_VALUE"""),"+5.12")</f>
        <v>+5.12</v>
      </c>
      <c r="U118" s="1">
        <f ca="1">IFERROR(__xludf.DUMMYFUNCTION("""COMPUTED_VALUE"""),35)</f>
        <v>35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IFERROR(__xludf.DUMMYFUNCTION("""COMPUTED_VALUE"""),"Columbia")</f>
        <v>Columbia</v>
      </c>
      <c r="C119" s="1" t="str">
        <f ca="1">IFERROR(__xludf.DUMMYFUNCTION("""COMPUTED_VALUE"""),"Ivy")</f>
        <v>Ivy</v>
      </c>
      <c r="D119" s="1" t="str">
        <f ca="1">IFERROR(__xludf.DUMMYFUNCTION("""COMPUTED_VALUE"""),"25-10")</f>
        <v>25-10</v>
      </c>
      <c r="E119" s="1" t="str">
        <f ca="1">IFERROR(__xludf.DUMMYFUNCTION("""COMPUTED_VALUE"""),"+5.67")</f>
        <v>+5.67</v>
      </c>
      <c r="F119" s="1">
        <f ca="1">IFERROR(__xludf.DUMMYFUNCTION("""COMPUTED_VALUE"""),112.4)</f>
        <v>112.4</v>
      </c>
      <c r="G119" s="1">
        <f ca="1">IFERROR(__xludf.DUMMYFUNCTION("""COMPUTED_VALUE"""),54)</f>
        <v>54</v>
      </c>
      <c r="H119" s="1">
        <f ca="1">IFERROR(__xludf.DUMMYFUNCTION("""COMPUTED_VALUE"""),106.7)</f>
        <v>106.7</v>
      </c>
      <c r="I119" s="1">
        <f ca="1">IFERROR(__xludf.DUMMYFUNCTION("""COMPUTED_VALUE"""),209)</f>
        <v>209</v>
      </c>
      <c r="J119" s="1">
        <f ca="1">IFERROR(__xludf.DUMMYFUNCTION("""COMPUTED_VALUE"""),65.1)</f>
        <v>65.099999999999994</v>
      </c>
      <c r="K119" s="1">
        <f ca="1">IFERROR(__xludf.DUMMYFUNCTION("""COMPUTED_VALUE"""),313)</f>
        <v>313</v>
      </c>
      <c r="L119" s="1">
        <f ca="1">IFERROR(__xludf.DUMMYFUNCTION("""COMPUTED_VALUE"""),-0.001)</f>
        <v>-1E-3</v>
      </c>
      <c r="M119" s="1">
        <f ca="1">IFERROR(__xludf.DUMMYFUNCTION("""COMPUTED_VALUE"""),175)</f>
        <v>175</v>
      </c>
      <c r="N119" s="1">
        <f ca="1">IFERROR(__xludf.DUMMYFUNCTION("""COMPUTED_VALUE"""),-4.07)</f>
        <v>-4.07</v>
      </c>
      <c r="O119" s="1">
        <f ca="1">IFERROR(__xludf.DUMMYFUNCTION("""COMPUTED_VALUE"""),245)</f>
        <v>245</v>
      </c>
      <c r="P119" s="1">
        <f ca="1">IFERROR(__xludf.DUMMYFUNCTION("""COMPUTED_VALUE"""),102.3)</f>
        <v>102.3</v>
      </c>
      <c r="Q119" s="1">
        <f ca="1">IFERROR(__xludf.DUMMYFUNCTION("""COMPUTED_VALUE"""),270)</f>
        <v>270</v>
      </c>
      <c r="R119" s="1">
        <f ca="1">IFERROR(__xludf.DUMMYFUNCTION("""COMPUTED_VALUE"""),106.4)</f>
        <v>106.4</v>
      </c>
      <c r="S119" s="1">
        <f ca="1">IFERROR(__xludf.DUMMYFUNCTION("""COMPUTED_VALUE"""),212)</f>
        <v>212</v>
      </c>
      <c r="T119" s="1">
        <f ca="1">IFERROR(__xludf.DUMMYFUNCTION("""COMPUTED_VALUE"""),-4.95)</f>
        <v>-4.95</v>
      </c>
      <c r="U119" s="1">
        <f ca="1">IFERROR(__xludf.DUMMYFUNCTION("""COMPUTED_VALUE"""),300)</f>
        <v>300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IFERROR(__xludf.DUMMYFUNCTION("""COMPUTED_VALUE"""),"Milwaukee")</f>
        <v>Milwaukee</v>
      </c>
      <c r="C120" s="1" t="str">
        <f ca="1">IFERROR(__xludf.DUMMYFUNCTION("""COMPUTED_VALUE"""),"Horz")</f>
        <v>Horz</v>
      </c>
      <c r="D120" s="1" t="str">
        <f ca="1">IFERROR(__xludf.DUMMYFUNCTION("""COMPUTED_VALUE"""),"20-13")</f>
        <v>20-13</v>
      </c>
      <c r="E120" s="1" t="str">
        <f ca="1">IFERROR(__xludf.DUMMYFUNCTION("""COMPUTED_VALUE"""),"+5.20")</f>
        <v>+5.20</v>
      </c>
      <c r="F120" s="1">
        <f ca="1">IFERROR(__xludf.DUMMYFUNCTION("""COMPUTED_VALUE"""),112.5)</f>
        <v>112.5</v>
      </c>
      <c r="G120" s="1">
        <f ca="1">IFERROR(__xludf.DUMMYFUNCTION("""COMPUTED_VALUE"""),52)</f>
        <v>52</v>
      </c>
      <c r="H120" s="1">
        <f ca="1">IFERROR(__xludf.DUMMYFUNCTION("""COMPUTED_VALUE"""),107.3)</f>
        <v>107.3</v>
      </c>
      <c r="I120" s="1">
        <f ca="1">IFERROR(__xludf.DUMMYFUNCTION("""COMPUTED_VALUE"""),217)</f>
        <v>217</v>
      </c>
      <c r="J120" s="1">
        <f ca="1">IFERROR(__xludf.DUMMYFUNCTION("""COMPUTED_VALUE"""),65.9)</f>
        <v>65.900000000000006</v>
      </c>
      <c r="K120" s="1">
        <f ca="1">IFERROR(__xludf.DUMMYFUNCTION("""COMPUTED_VALUE"""),280)</f>
        <v>280</v>
      </c>
      <c r="L120" s="1">
        <f ca="1">IFERROR(__xludf.DUMMYFUNCTION("""COMPUTED_VALUE"""),-0.077)</f>
        <v>-7.6999999999999999E-2</v>
      </c>
      <c r="M120" s="1">
        <f ca="1">IFERROR(__xludf.DUMMYFUNCTION("""COMPUTED_VALUE"""),331)</f>
        <v>331</v>
      </c>
      <c r="N120" s="1">
        <f ca="1">IFERROR(__xludf.DUMMYFUNCTION("""COMPUTED_VALUE"""),-2.01)</f>
        <v>-2.0099999999999998</v>
      </c>
      <c r="O120" s="1">
        <f ca="1">IFERROR(__xludf.DUMMYFUNCTION("""COMPUTED_VALUE"""),198)</f>
        <v>198</v>
      </c>
      <c r="P120" s="1">
        <f ca="1">IFERROR(__xludf.DUMMYFUNCTION("""COMPUTED_VALUE"""),104.1)</f>
        <v>104.1</v>
      </c>
      <c r="Q120" s="1">
        <f ca="1">IFERROR(__xludf.DUMMYFUNCTION("""COMPUTED_VALUE"""),194)</f>
        <v>194</v>
      </c>
      <c r="R120" s="1">
        <f ca="1">IFERROR(__xludf.DUMMYFUNCTION("""COMPUTED_VALUE"""),106.1)</f>
        <v>106.1</v>
      </c>
      <c r="S120" s="1">
        <f ca="1">IFERROR(__xludf.DUMMYFUNCTION("""COMPUTED_VALUE"""),199)</f>
        <v>199</v>
      </c>
      <c r="T120" s="1">
        <f ca="1">IFERROR(__xludf.DUMMYFUNCTION("""COMPUTED_VALUE"""),-0.91)</f>
        <v>-0.91</v>
      </c>
      <c r="U120" s="1">
        <f ca="1">IFERROR(__xludf.DUMMYFUNCTION("""COMPUTED_VALUE"""),188)</f>
        <v>188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IFERROR(__xludf.DUMMYFUNCTION("""COMPUTED_VALUE"""),"New Mexico")</f>
        <v>New Mexico</v>
      </c>
      <c r="C121" s="1" t="str">
        <f ca="1">IFERROR(__xludf.DUMMYFUNCTION("""COMPUTED_VALUE"""),"MWC")</f>
        <v>MWC</v>
      </c>
      <c r="D121" s="1" t="str">
        <f ca="1">IFERROR(__xludf.DUMMYFUNCTION("""COMPUTED_VALUE"""),"17-15")</f>
        <v>17-15</v>
      </c>
      <c r="E121" s="1" t="str">
        <f ca="1">IFERROR(__xludf.DUMMYFUNCTION("""COMPUTED_VALUE"""),"+5.14")</f>
        <v>+5.14</v>
      </c>
      <c r="F121" s="1">
        <f ca="1">IFERROR(__xludf.DUMMYFUNCTION("""COMPUTED_VALUE"""),108.3)</f>
        <v>108.3</v>
      </c>
      <c r="G121" s="1">
        <f ca="1">IFERROR(__xludf.DUMMYFUNCTION("""COMPUTED_VALUE"""),109)</f>
        <v>109</v>
      </c>
      <c r="H121" s="1">
        <f ca="1">IFERROR(__xludf.DUMMYFUNCTION("""COMPUTED_VALUE"""),103.2)</f>
        <v>103.2</v>
      </c>
      <c r="I121" s="1">
        <f ca="1">IFERROR(__xludf.DUMMYFUNCTION("""COMPUTED_VALUE"""),143)</f>
        <v>143</v>
      </c>
      <c r="J121" s="1">
        <f ca="1">IFERROR(__xludf.DUMMYFUNCTION("""COMPUTED_VALUE"""),70.9)</f>
        <v>70.900000000000006</v>
      </c>
      <c r="K121" s="1">
        <f ca="1">IFERROR(__xludf.DUMMYFUNCTION("""COMPUTED_VALUE"""),55)</f>
        <v>55</v>
      </c>
      <c r="L121" s="1">
        <f ca="1">IFERROR(__xludf.DUMMYFUNCTION("""COMPUTED_VALUE"""),-0.035)</f>
        <v>-3.5000000000000003E-2</v>
      </c>
      <c r="M121" s="1">
        <f ca="1">IFERROR(__xludf.DUMMYFUNCTION("""COMPUTED_VALUE"""),267)</f>
        <v>267</v>
      </c>
      <c r="N121" s="1" t="str">
        <f ca="1">IFERROR(__xludf.DUMMYFUNCTION("""COMPUTED_VALUE"""),"+1.77")</f>
        <v>+1.77</v>
      </c>
      <c r="O121" s="1">
        <f ca="1">IFERROR(__xludf.DUMMYFUNCTION("""COMPUTED_VALUE"""),118)</f>
        <v>118</v>
      </c>
      <c r="P121" s="1">
        <f ca="1">IFERROR(__xludf.DUMMYFUNCTION("""COMPUTED_VALUE"""),104.7)</f>
        <v>104.7</v>
      </c>
      <c r="Q121" s="1">
        <f ca="1">IFERROR(__xludf.DUMMYFUNCTION("""COMPUTED_VALUE"""),160)</f>
        <v>160</v>
      </c>
      <c r="R121" s="1">
        <f ca="1">IFERROR(__xludf.DUMMYFUNCTION("""COMPUTED_VALUE"""),102.9)</f>
        <v>102.9</v>
      </c>
      <c r="S121" s="1">
        <f ca="1">IFERROR(__xludf.DUMMYFUNCTION("""COMPUTED_VALUE"""),99)</f>
        <v>99</v>
      </c>
      <c r="T121" s="1" t="str">
        <f ca="1">IFERROR(__xludf.DUMMYFUNCTION("""COMPUTED_VALUE"""),"+0.28")</f>
        <v>+0.28</v>
      </c>
      <c r="U121" s="1">
        <f ca="1">IFERROR(__xludf.DUMMYFUNCTION("""COMPUTED_VALUE"""),161)</f>
        <v>161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IFERROR(__xludf.DUMMYFUNCTION("""COMPUTED_VALUE"""),"UAB7")</f>
        <v>UAB7</v>
      </c>
      <c r="C122" s="1" t="str">
        <f ca="1">IFERROR(__xludf.DUMMYFUNCTION("""COMPUTED_VALUE"""),"CUSA")</f>
        <v>CUSA</v>
      </c>
      <c r="D122" s="1" t="str">
        <f ca="1">IFERROR(__xludf.DUMMYFUNCTION("""COMPUTED_VALUE"""),"26-7")</f>
        <v>26-7</v>
      </c>
      <c r="E122" s="1" t="str">
        <f ca="1">IFERROR(__xludf.DUMMYFUNCTION("""COMPUTED_VALUE"""),"+5.12")</f>
        <v>+5.12</v>
      </c>
      <c r="F122" s="1">
        <f ca="1">IFERROR(__xludf.DUMMYFUNCTION("""COMPUTED_VALUE"""),109.3)</f>
        <v>109.3</v>
      </c>
      <c r="G122" s="1">
        <f ca="1">IFERROR(__xludf.DUMMYFUNCTION("""COMPUTED_VALUE"""),97)</f>
        <v>97</v>
      </c>
      <c r="H122" s="1">
        <f ca="1">IFERROR(__xludf.DUMMYFUNCTION("""COMPUTED_VALUE"""),104.2)</f>
        <v>104.2</v>
      </c>
      <c r="I122" s="1">
        <f ca="1">IFERROR(__xludf.DUMMYFUNCTION("""COMPUTED_VALUE"""),160)</f>
        <v>160</v>
      </c>
      <c r="J122" s="1">
        <f ca="1">IFERROR(__xludf.DUMMYFUNCTION("""COMPUTED_VALUE"""),68.2)</f>
        <v>68.2</v>
      </c>
      <c r="K122" s="1">
        <f ca="1">IFERROR(__xludf.DUMMYFUNCTION("""COMPUTED_VALUE"""),160)</f>
        <v>160</v>
      </c>
      <c r="L122" s="1" t="str">
        <f ca="1">IFERROR(__xludf.DUMMYFUNCTION("""COMPUTED_VALUE"""),"+.083")</f>
        <v>+.083</v>
      </c>
      <c r="M122" s="1">
        <f ca="1">IFERROR(__xludf.DUMMYFUNCTION("""COMPUTED_VALUE"""),25)</f>
        <v>25</v>
      </c>
      <c r="N122" s="1">
        <f ca="1">IFERROR(__xludf.DUMMYFUNCTION("""COMPUTED_VALUE"""),-4)</f>
        <v>-4</v>
      </c>
      <c r="O122" s="1">
        <f ca="1">IFERROR(__xludf.DUMMYFUNCTION("""COMPUTED_VALUE"""),241)</f>
        <v>241</v>
      </c>
      <c r="P122" s="1">
        <f ca="1">IFERROR(__xludf.DUMMYFUNCTION("""COMPUTED_VALUE"""),103.2)</f>
        <v>103.2</v>
      </c>
      <c r="Q122" s="1">
        <f ca="1">IFERROR(__xludf.DUMMYFUNCTION("""COMPUTED_VALUE"""),234)</f>
        <v>234</v>
      </c>
      <c r="R122" s="1">
        <f ca="1">IFERROR(__xludf.DUMMYFUNCTION("""COMPUTED_VALUE"""),107.2)</f>
        <v>107.2</v>
      </c>
      <c r="S122" s="1">
        <f ca="1">IFERROR(__xludf.DUMMYFUNCTION("""COMPUTED_VALUE"""),248)</f>
        <v>248</v>
      </c>
      <c r="T122" s="1">
        <f ca="1">IFERROR(__xludf.DUMMYFUNCTION("""COMPUTED_VALUE"""),-4.51)</f>
        <v>-4.51</v>
      </c>
      <c r="U122" s="1">
        <f ca="1">IFERROR(__xludf.DUMMYFUNCTION("""COMPUTED_VALUE"""),291)</f>
        <v>291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IFERROR(__xludf.DUMMYFUNCTION("""COMPUTED_VALUE"""),"UNLV")</f>
        <v>UNLV</v>
      </c>
      <c r="C123" s="1" t="str">
        <f ca="1">IFERROR(__xludf.DUMMYFUNCTION("""COMPUTED_VALUE"""),"MWC")</f>
        <v>MWC</v>
      </c>
      <c r="D123" s="1" t="str">
        <f ca="1">IFERROR(__xludf.DUMMYFUNCTION("""COMPUTED_VALUE"""),"18-15")</f>
        <v>18-15</v>
      </c>
      <c r="E123" s="1" t="str">
        <f ca="1">IFERROR(__xludf.DUMMYFUNCTION("""COMPUTED_VALUE"""),"+5.09")</f>
        <v>+5.09</v>
      </c>
      <c r="F123" s="1">
        <f ca="1">IFERROR(__xludf.DUMMYFUNCTION("""COMPUTED_VALUE"""),103.4)</f>
        <v>103.4</v>
      </c>
      <c r="G123" s="1">
        <f ca="1">IFERROR(__xludf.DUMMYFUNCTION("""COMPUTED_VALUE"""),192)</f>
        <v>192</v>
      </c>
      <c r="H123" s="1">
        <f ca="1">IFERROR(__xludf.DUMMYFUNCTION("""COMPUTED_VALUE"""),98.3)</f>
        <v>98.3</v>
      </c>
      <c r="I123" s="1">
        <f ca="1">IFERROR(__xludf.DUMMYFUNCTION("""COMPUTED_VALUE"""),54)</f>
        <v>54</v>
      </c>
      <c r="J123" s="1">
        <f ca="1">IFERROR(__xludf.DUMMYFUNCTION("""COMPUTED_VALUE"""),73)</f>
        <v>73</v>
      </c>
      <c r="K123" s="1">
        <f ca="1">IFERROR(__xludf.DUMMYFUNCTION("""COMPUTED_VALUE"""),14)</f>
        <v>14</v>
      </c>
      <c r="L123" s="1">
        <f ca="1">IFERROR(__xludf.DUMMYFUNCTION("""COMPUTED_VALUE"""),-0.044)</f>
        <v>-4.3999999999999997E-2</v>
      </c>
      <c r="M123" s="1">
        <f ca="1">IFERROR(__xludf.DUMMYFUNCTION("""COMPUTED_VALUE"""),283)</f>
        <v>283</v>
      </c>
      <c r="N123" s="1" t="str">
        <f ca="1">IFERROR(__xludf.DUMMYFUNCTION("""COMPUTED_VALUE"""),"+2.51")</f>
        <v>+2.51</v>
      </c>
      <c r="O123" s="1">
        <f ca="1">IFERROR(__xludf.DUMMYFUNCTION("""COMPUTED_VALUE"""),103)</f>
        <v>103</v>
      </c>
      <c r="P123" s="1">
        <f ca="1">IFERROR(__xludf.DUMMYFUNCTION("""COMPUTED_VALUE"""),106.2)</f>
        <v>106.2</v>
      </c>
      <c r="Q123" s="1">
        <f ca="1">IFERROR(__xludf.DUMMYFUNCTION("""COMPUTED_VALUE"""),102)</f>
        <v>102</v>
      </c>
      <c r="R123" s="1">
        <f ca="1">IFERROR(__xludf.DUMMYFUNCTION("""COMPUTED_VALUE"""),103.7)</f>
        <v>103.7</v>
      </c>
      <c r="S123" s="1">
        <f ca="1">IFERROR(__xludf.DUMMYFUNCTION("""COMPUTED_VALUE"""),115)</f>
        <v>115</v>
      </c>
      <c r="T123" s="1" t="str">
        <f ca="1">IFERROR(__xludf.DUMMYFUNCTION("""COMPUTED_VALUE"""),"+3.62")</f>
        <v>+3.62</v>
      </c>
      <c r="U123" s="1">
        <f ca="1">IFERROR(__xludf.DUMMYFUNCTION("""COMPUTED_VALUE"""),67)</f>
        <v>67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IFERROR(__xludf.DUMMYFUNCTION("""COMPUTED_VALUE"""),"Wake Forest")</f>
        <v>Wake Forest</v>
      </c>
      <c r="C124" s="1" t="str">
        <f ca="1">IFERROR(__xludf.DUMMYFUNCTION("""COMPUTED_VALUE"""),"ACC")</f>
        <v>ACC</v>
      </c>
      <c r="D124" s="2">
        <f ca="1">IFERROR(__xludf.DUMMYFUNCTION("""COMPUTED_VALUE"""),44885)</f>
        <v>44885</v>
      </c>
      <c r="E124" s="1" t="str">
        <f ca="1">IFERROR(__xludf.DUMMYFUNCTION("""COMPUTED_VALUE"""),"+4.78")</f>
        <v>+4.78</v>
      </c>
      <c r="F124" s="1">
        <f ca="1">IFERROR(__xludf.DUMMYFUNCTION("""COMPUTED_VALUE"""),107.3)</f>
        <v>107.3</v>
      </c>
      <c r="G124" s="1">
        <f ca="1">IFERROR(__xludf.DUMMYFUNCTION("""COMPUTED_VALUE"""),131)</f>
        <v>131</v>
      </c>
      <c r="H124" s="1">
        <f ca="1">IFERROR(__xludf.DUMMYFUNCTION("""COMPUTED_VALUE"""),102.5)</f>
        <v>102.5</v>
      </c>
      <c r="I124" s="1">
        <f ca="1">IFERROR(__xludf.DUMMYFUNCTION("""COMPUTED_VALUE"""),128)</f>
        <v>128</v>
      </c>
      <c r="J124" s="1">
        <f ca="1">IFERROR(__xludf.DUMMYFUNCTION("""COMPUTED_VALUE"""),71.4)</f>
        <v>71.400000000000006</v>
      </c>
      <c r="K124" s="1">
        <f ca="1">IFERROR(__xludf.DUMMYFUNCTION("""COMPUTED_VALUE"""),45)</f>
        <v>45</v>
      </c>
      <c r="L124" s="1" t="str">
        <f ca="1">IFERROR(__xludf.DUMMYFUNCTION("""COMPUTED_VALUE"""),"+.026")</f>
        <v>+.026</v>
      </c>
      <c r="M124" s="1">
        <f ca="1">IFERROR(__xludf.DUMMYFUNCTION("""COMPUTED_VALUE"""),106)</f>
        <v>106</v>
      </c>
      <c r="N124" s="1" t="str">
        <f ca="1">IFERROR(__xludf.DUMMYFUNCTION("""COMPUTED_VALUE"""),"+11.59")</f>
        <v>+11.59</v>
      </c>
      <c r="O124" s="1">
        <f ca="1">IFERROR(__xludf.DUMMYFUNCTION("""COMPUTED_VALUE"""),7)</f>
        <v>7</v>
      </c>
      <c r="P124" s="1">
        <f ca="1">IFERROR(__xludf.DUMMYFUNCTION("""COMPUTED_VALUE"""),112.6)</f>
        <v>112.6</v>
      </c>
      <c r="Q124" s="1">
        <f ca="1">IFERROR(__xludf.DUMMYFUNCTION("""COMPUTED_VALUE"""),1)</f>
        <v>1</v>
      </c>
      <c r="R124" s="1">
        <f ca="1">IFERROR(__xludf.DUMMYFUNCTION("""COMPUTED_VALUE"""),101)</f>
        <v>101</v>
      </c>
      <c r="S124" s="1">
        <f ca="1">IFERROR(__xludf.DUMMYFUNCTION("""COMPUTED_VALUE"""),43)</f>
        <v>43</v>
      </c>
      <c r="T124" s="1" t="str">
        <f ca="1">IFERROR(__xludf.DUMMYFUNCTION("""COMPUTED_VALUE"""),"+4.24")</f>
        <v>+4.24</v>
      </c>
      <c r="U124" s="1">
        <f ca="1">IFERROR(__xludf.DUMMYFUNCTION("""COMPUTED_VALUE"""),55)</f>
        <v>55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IFERROR(__xludf.DUMMYFUNCTION("""COMPUTED_VALUE"""),"Middle Tennessee15")</f>
        <v>Middle Tennessee15</v>
      </c>
      <c r="C125" s="1" t="str">
        <f ca="1">IFERROR(__xludf.DUMMYFUNCTION("""COMPUTED_VALUE"""),"CUSA")</f>
        <v>CUSA</v>
      </c>
      <c r="D125" s="1" t="str">
        <f ca="1">IFERROR(__xludf.DUMMYFUNCTION("""COMPUTED_VALUE"""),"25-10")</f>
        <v>25-10</v>
      </c>
      <c r="E125" s="1" t="str">
        <f ca="1">IFERROR(__xludf.DUMMYFUNCTION("""COMPUTED_VALUE"""),"+4.76")</f>
        <v>+4.76</v>
      </c>
      <c r="F125" s="1">
        <f ca="1">IFERROR(__xludf.DUMMYFUNCTION("""COMPUTED_VALUE"""),104.6)</f>
        <v>104.6</v>
      </c>
      <c r="G125" s="1">
        <f ca="1">IFERROR(__xludf.DUMMYFUNCTION("""COMPUTED_VALUE"""),173)</f>
        <v>173</v>
      </c>
      <c r="H125" s="1">
        <f ca="1">IFERROR(__xludf.DUMMYFUNCTION("""COMPUTED_VALUE"""),99.9)</f>
        <v>99.9</v>
      </c>
      <c r="I125" s="1">
        <f ca="1">IFERROR(__xludf.DUMMYFUNCTION("""COMPUTED_VALUE"""),85)</f>
        <v>85</v>
      </c>
      <c r="J125" s="1">
        <f ca="1">IFERROR(__xludf.DUMMYFUNCTION("""COMPUTED_VALUE"""),67.6)</f>
        <v>67.599999999999994</v>
      </c>
      <c r="K125" s="1">
        <f ca="1">IFERROR(__xludf.DUMMYFUNCTION("""COMPUTED_VALUE"""),200)</f>
        <v>200</v>
      </c>
      <c r="L125" s="1" t="str">
        <f ca="1">IFERROR(__xludf.DUMMYFUNCTION("""COMPUTED_VALUE"""),"+.088")</f>
        <v>+.088</v>
      </c>
      <c r="M125" s="1">
        <f ca="1">IFERROR(__xludf.DUMMYFUNCTION("""COMPUTED_VALUE"""),21)</f>
        <v>21</v>
      </c>
      <c r="N125" s="1">
        <f ca="1">IFERROR(__xludf.DUMMYFUNCTION("""COMPUTED_VALUE"""),-0.58)</f>
        <v>-0.57999999999999996</v>
      </c>
      <c r="O125" s="1">
        <f ca="1">IFERROR(__xludf.DUMMYFUNCTION("""COMPUTED_VALUE"""),162)</f>
        <v>162</v>
      </c>
      <c r="P125" s="1">
        <f ca="1">IFERROR(__xludf.DUMMYFUNCTION("""COMPUTED_VALUE"""),105.5)</f>
        <v>105.5</v>
      </c>
      <c r="Q125" s="1">
        <f ca="1">IFERROR(__xludf.DUMMYFUNCTION("""COMPUTED_VALUE"""),119)</f>
        <v>119</v>
      </c>
      <c r="R125" s="1">
        <f ca="1">IFERROR(__xludf.DUMMYFUNCTION("""COMPUTED_VALUE"""),106.1)</f>
        <v>106.1</v>
      </c>
      <c r="S125" s="1">
        <f ca="1">IFERROR(__xludf.DUMMYFUNCTION("""COMPUTED_VALUE"""),201)</f>
        <v>201</v>
      </c>
      <c r="T125" s="1" t="str">
        <f ca="1">IFERROR(__xludf.DUMMYFUNCTION("""COMPUTED_VALUE"""),"+2.11")</f>
        <v>+2.11</v>
      </c>
      <c r="U125" s="1">
        <f ca="1">IFERROR(__xludf.DUMMYFUNCTION("""COMPUTED_VALUE"""),104)</f>
        <v>104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IFERROR(__xludf.DUMMYFUNCTION("""COMPUTED_VALUE"""),"Illinois St.")</f>
        <v>Illinois St.</v>
      </c>
      <c r="C126" s="1" t="str">
        <f ca="1">IFERROR(__xludf.DUMMYFUNCTION("""COMPUTED_VALUE"""),"MVC")</f>
        <v>MVC</v>
      </c>
      <c r="D126" s="1" t="str">
        <f ca="1">IFERROR(__xludf.DUMMYFUNCTION("""COMPUTED_VALUE"""),"18-14")</f>
        <v>18-14</v>
      </c>
      <c r="E126" s="1" t="str">
        <f ca="1">IFERROR(__xludf.DUMMYFUNCTION("""COMPUTED_VALUE"""),"+4.63")</f>
        <v>+4.63</v>
      </c>
      <c r="F126" s="1">
        <f ca="1">IFERROR(__xludf.DUMMYFUNCTION("""COMPUTED_VALUE"""),104)</f>
        <v>104</v>
      </c>
      <c r="G126" s="1">
        <f ca="1">IFERROR(__xludf.DUMMYFUNCTION("""COMPUTED_VALUE"""),180)</f>
        <v>180</v>
      </c>
      <c r="H126" s="1">
        <f ca="1">IFERROR(__xludf.DUMMYFUNCTION("""COMPUTED_VALUE"""),99.4)</f>
        <v>99.4</v>
      </c>
      <c r="I126" s="1">
        <f ca="1">IFERROR(__xludf.DUMMYFUNCTION("""COMPUTED_VALUE"""),73)</f>
        <v>73</v>
      </c>
      <c r="J126" s="1">
        <f ca="1">IFERROR(__xludf.DUMMYFUNCTION("""COMPUTED_VALUE"""),67.2)</f>
        <v>67.2</v>
      </c>
      <c r="K126" s="1">
        <f ca="1">IFERROR(__xludf.DUMMYFUNCTION("""COMPUTED_VALUE"""),226)</f>
        <v>226</v>
      </c>
      <c r="L126" s="1" t="str">
        <f ca="1">IFERROR(__xludf.DUMMYFUNCTION("""COMPUTED_VALUE"""),"+.010")</f>
        <v>+.010</v>
      </c>
      <c r="M126" s="1">
        <f ca="1">IFERROR(__xludf.DUMMYFUNCTION("""COMPUTED_VALUE"""),153)</f>
        <v>153</v>
      </c>
      <c r="N126" s="1" t="str">
        <f ca="1">IFERROR(__xludf.DUMMYFUNCTION("""COMPUTED_VALUE"""),"+1.65")</f>
        <v>+1.65</v>
      </c>
      <c r="O126" s="1">
        <f ca="1">IFERROR(__xludf.DUMMYFUNCTION("""COMPUTED_VALUE"""),120)</f>
        <v>120</v>
      </c>
      <c r="P126" s="1">
        <f ca="1">IFERROR(__xludf.DUMMYFUNCTION("""COMPUTED_VALUE"""),103.8)</f>
        <v>103.8</v>
      </c>
      <c r="Q126" s="1">
        <f ca="1">IFERROR(__xludf.DUMMYFUNCTION("""COMPUTED_VALUE"""),206)</f>
        <v>206</v>
      </c>
      <c r="R126" s="1">
        <f ca="1">IFERROR(__xludf.DUMMYFUNCTION("""COMPUTED_VALUE"""),102.1)</f>
        <v>102.1</v>
      </c>
      <c r="S126" s="1">
        <f ca="1">IFERROR(__xludf.DUMMYFUNCTION("""COMPUTED_VALUE"""),76)</f>
        <v>76</v>
      </c>
      <c r="T126" s="1" t="str">
        <f ca="1">IFERROR(__xludf.DUMMYFUNCTION("""COMPUTED_VALUE"""),"+3.39")</f>
        <v>+3.39</v>
      </c>
      <c r="U126" s="1">
        <f ca="1">IFERROR(__xludf.DUMMYFUNCTION("""COMPUTED_VALUE"""),71)</f>
        <v>71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IFERROR(__xludf.DUMMYFUNCTION("""COMPUTED_VALUE"""),"Albany")</f>
        <v>Albany</v>
      </c>
      <c r="C129" s="1" t="str">
        <f ca="1">IFERROR(__xludf.DUMMYFUNCTION("""COMPUTED_VALUE"""),"AE")</f>
        <v>AE</v>
      </c>
      <c r="D129" s="1" t="str">
        <f ca="1">IFERROR(__xludf.DUMMYFUNCTION("""COMPUTED_VALUE"""),"24-9")</f>
        <v>24-9</v>
      </c>
      <c r="E129" s="1" t="str">
        <f ca="1">IFERROR(__xludf.DUMMYFUNCTION("""COMPUTED_VALUE"""),"+4.25")</f>
        <v>+4.25</v>
      </c>
      <c r="F129" s="1">
        <f ca="1">IFERROR(__xludf.DUMMYFUNCTION("""COMPUTED_VALUE"""),106.9)</f>
        <v>106.9</v>
      </c>
      <c r="G129" s="1">
        <f ca="1">IFERROR(__xludf.DUMMYFUNCTION("""COMPUTED_VALUE"""),141)</f>
        <v>141</v>
      </c>
      <c r="H129" s="1">
        <f ca="1">IFERROR(__xludf.DUMMYFUNCTION("""COMPUTED_VALUE"""),102.7)</f>
        <v>102.7</v>
      </c>
      <c r="I129" s="1">
        <f ca="1">IFERROR(__xludf.DUMMYFUNCTION("""COMPUTED_VALUE"""),131)</f>
        <v>131</v>
      </c>
      <c r="J129" s="1">
        <f ca="1">IFERROR(__xludf.DUMMYFUNCTION("""COMPUTED_VALUE"""),66.2)</f>
        <v>66.2</v>
      </c>
      <c r="K129" s="1">
        <f ca="1">IFERROR(__xludf.DUMMYFUNCTION("""COMPUTED_VALUE"""),264)</f>
        <v>264</v>
      </c>
      <c r="L129" s="1">
        <f ca="1">IFERROR(__xludf.DUMMYFUNCTION("""COMPUTED_VALUE"""),-0.03)</f>
        <v>-0.03</v>
      </c>
      <c r="M129" s="1">
        <f ca="1">IFERROR(__xludf.DUMMYFUNCTION("""COMPUTED_VALUE"""),255)</f>
        <v>255</v>
      </c>
      <c r="N129" s="1">
        <f ca="1">IFERROR(__xludf.DUMMYFUNCTION("""COMPUTED_VALUE"""),-8.12)</f>
        <v>-8.1199999999999992</v>
      </c>
      <c r="O129" s="1">
        <f ca="1">IFERROR(__xludf.DUMMYFUNCTION("""COMPUTED_VALUE"""),328)</f>
        <v>328</v>
      </c>
      <c r="P129" s="1">
        <f ca="1">IFERROR(__xludf.DUMMYFUNCTION("""COMPUTED_VALUE"""),100.8)</f>
        <v>100.8</v>
      </c>
      <c r="Q129" s="1">
        <f ca="1">IFERROR(__xludf.DUMMYFUNCTION("""COMPUTED_VALUE"""),313)</f>
        <v>313</v>
      </c>
      <c r="R129" s="1">
        <f ca="1">IFERROR(__xludf.DUMMYFUNCTION("""COMPUTED_VALUE"""),108.9)</f>
        <v>108.9</v>
      </c>
      <c r="S129" s="1">
        <f ca="1">IFERROR(__xludf.DUMMYFUNCTION("""COMPUTED_VALUE"""),330)</f>
        <v>330</v>
      </c>
      <c r="T129" s="1">
        <f ca="1">IFERROR(__xludf.DUMMYFUNCTION("""COMPUTED_VALUE"""),-4.63)</f>
        <v>-4.63</v>
      </c>
      <c r="U129" s="1">
        <f ca="1">IFERROR(__xludf.DUMMYFUNCTION("""COMPUTED_VALUE"""),293)</f>
        <v>293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IFERROR(__xludf.DUMMYFUNCTION("""COMPUTED_VALUE"""),"College of Charleston")</f>
        <v>College of Charleston</v>
      </c>
      <c r="C130" s="1" t="str">
        <f ca="1">IFERROR(__xludf.DUMMYFUNCTION("""COMPUTED_VALUE"""),"CAA")</f>
        <v>CAA</v>
      </c>
      <c r="D130" s="1" t="str">
        <f ca="1">IFERROR(__xludf.DUMMYFUNCTION("""COMPUTED_VALUE"""),"17-14")</f>
        <v>17-14</v>
      </c>
      <c r="E130" s="1" t="str">
        <f ca="1">IFERROR(__xludf.DUMMYFUNCTION("""COMPUTED_VALUE"""),"+4.16")</f>
        <v>+4.16</v>
      </c>
      <c r="F130" s="1">
        <f ca="1">IFERROR(__xludf.DUMMYFUNCTION("""COMPUTED_VALUE"""),98.6)</f>
        <v>98.6</v>
      </c>
      <c r="G130" s="1">
        <f ca="1">IFERROR(__xludf.DUMMYFUNCTION("""COMPUTED_VALUE"""),288)</f>
        <v>288</v>
      </c>
      <c r="H130" s="1">
        <f ca="1">IFERROR(__xludf.DUMMYFUNCTION("""COMPUTED_VALUE"""),94.4)</f>
        <v>94.4</v>
      </c>
      <c r="I130" s="1">
        <f ca="1">IFERROR(__xludf.DUMMYFUNCTION("""COMPUTED_VALUE"""),20)</f>
        <v>20</v>
      </c>
      <c r="J130" s="1">
        <f ca="1">IFERROR(__xludf.DUMMYFUNCTION("""COMPUTED_VALUE"""),63.8)</f>
        <v>63.8</v>
      </c>
      <c r="K130" s="1">
        <f ca="1">IFERROR(__xludf.DUMMYFUNCTION("""COMPUTED_VALUE"""),335)</f>
        <v>335</v>
      </c>
      <c r="L130" s="1">
        <f ca="1">IFERROR(__xludf.DUMMYFUNCTION("""COMPUTED_VALUE"""),-0.058)</f>
        <v>-5.8000000000000003E-2</v>
      </c>
      <c r="M130" s="1">
        <f ca="1">IFERROR(__xludf.DUMMYFUNCTION("""COMPUTED_VALUE"""),311)</f>
        <v>311</v>
      </c>
      <c r="N130" s="1" t="str">
        <f ca="1">IFERROR(__xludf.DUMMYFUNCTION("""COMPUTED_VALUE"""),"+0.33")</f>
        <v>+0.33</v>
      </c>
      <c r="O130" s="1">
        <f ca="1">IFERROR(__xludf.DUMMYFUNCTION("""COMPUTED_VALUE"""),142)</f>
        <v>142</v>
      </c>
      <c r="P130" s="1">
        <f ca="1">IFERROR(__xludf.DUMMYFUNCTION("""COMPUTED_VALUE"""),106.2)</f>
        <v>106.2</v>
      </c>
      <c r="Q130" s="1">
        <f ca="1">IFERROR(__xludf.DUMMYFUNCTION("""COMPUTED_VALUE"""),101)</f>
        <v>101</v>
      </c>
      <c r="R130" s="1">
        <f ca="1">IFERROR(__xludf.DUMMYFUNCTION("""COMPUTED_VALUE"""),105.9)</f>
        <v>105.9</v>
      </c>
      <c r="S130" s="1">
        <f ca="1">IFERROR(__xludf.DUMMYFUNCTION("""COMPUTED_VALUE"""),191)</f>
        <v>191</v>
      </c>
      <c r="T130" s="1">
        <f ca="1">IFERROR(__xludf.DUMMYFUNCTION("""COMPUTED_VALUE"""),-2.63)</f>
        <v>-2.63</v>
      </c>
      <c r="U130" s="1">
        <f ca="1">IFERROR(__xludf.DUMMYFUNCTION("""COMPUTED_VALUE"""),236)</f>
        <v>236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IFERROR(__xludf.DUMMYFUNCTION("""COMPUTED_VALUE"""),"Toledo")</f>
        <v>Toledo</v>
      </c>
      <c r="C131" s="1" t="str">
        <f ca="1">IFERROR(__xludf.DUMMYFUNCTION("""COMPUTED_VALUE"""),"MAC")</f>
        <v>MAC</v>
      </c>
      <c r="D131" s="1" t="str">
        <f ca="1">IFERROR(__xludf.DUMMYFUNCTION("""COMPUTED_VALUE"""),"17-15")</f>
        <v>17-15</v>
      </c>
      <c r="E131" s="1" t="str">
        <f ca="1">IFERROR(__xludf.DUMMYFUNCTION("""COMPUTED_VALUE"""),"+4.02")</f>
        <v>+4.02</v>
      </c>
      <c r="F131" s="1">
        <f ca="1">IFERROR(__xludf.DUMMYFUNCTION("""COMPUTED_VALUE"""),108.6)</f>
        <v>108.6</v>
      </c>
      <c r="G131" s="1">
        <f ca="1">IFERROR(__xludf.DUMMYFUNCTION("""COMPUTED_VALUE"""),103)</f>
        <v>103</v>
      </c>
      <c r="H131" s="1">
        <f ca="1">IFERROR(__xludf.DUMMYFUNCTION("""COMPUTED_VALUE"""),104.5)</f>
        <v>104.5</v>
      </c>
      <c r="I131" s="1">
        <f ca="1">IFERROR(__xludf.DUMMYFUNCTION("""COMPUTED_VALUE"""),170)</f>
        <v>170</v>
      </c>
      <c r="J131" s="1">
        <f ca="1">IFERROR(__xludf.DUMMYFUNCTION("""COMPUTED_VALUE"""),68.9)</f>
        <v>68.900000000000006</v>
      </c>
      <c r="K131" s="1">
        <f ca="1">IFERROR(__xludf.DUMMYFUNCTION("""COMPUTED_VALUE"""),127)</f>
        <v>127</v>
      </c>
      <c r="L131" s="1">
        <f ca="1">IFERROR(__xludf.DUMMYFUNCTION("""COMPUTED_VALUE"""),-0.121)</f>
        <v>-0.121</v>
      </c>
      <c r="M131" s="1">
        <f ca="1">IFERROR(__xludf.DUMMYFUNCTION("""COMPUTED_VALUE"""),350)</f>
        <v>350</v>
      </c>
      <c r="N131" s="1">
        <f ca="1">IFERROR(__xludf.DUMMYFUNCTION("""COMPUTED_VALUE"""),-2.13)</f>
        <v>-2.13</v>
      </c>
      <c r="O131" s="1">
        <f ca="1">IFERROR(__xludf.DUMMYFUNCTION("""COMPUTED_VALUE"""),200)</f>
        <v>200</v>
      </c>
      <c r="P131" s="1">
        <f ca="1">IFERROR(__xludf.DUMMYFUNCTION("""COMPUTED_VALUE"""),103.8)</f>
        <v>103.8</v>
      </c>
      <c r="Q131" s="1">
        <f ca="1">IFERROR(__xludf.DUMMYFUNCTION("""COMPUTED_VALUE"""),204)</f>
        <v>204</v>
      </c>
      <c r="R131" s="1">
        <f ca="1">IFERROR(__xludf.DUMMYFUNCTION("""COMPUTED_VALUE"""),105.9)</f>
        <v>105.9</v>
      </c>
      <c r="S131" s="1">
        <f ca="1">IFERROR(__xludf.DUMMYFUNCTION("""COMPUTED_VALUE"""),193)</f>
        <v>193</v>
      </c>
      <c r="T131" s="1">
        <f ca="1">IFERROR(__xludf.DUMMYFUNCTION("""COMPUTED_VALUE"""),-5.35)</f>
        <v>-5.35</v>
      </c>
      <c r="U131" s="1">
        <f ca="1">IFERROR(__xludf.DUMMYFUNCTION("""COMPUTED_VALUE"""),304)</f>
        <v>304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IFERROR(__xludf.DUMMYFUNCTION("""COMPUTED_VALUE"""),"Nevada")</f>
        <v>Nevada</v>
      </c>
      <c r="C132" s="1" t="str">
        <f ca="1">IFERROR(__xludf.DUMMYFUNCTION("""COMPUTED_VALUE"""),"MWC")</f>
        <v>MWC</v>
      </c>
      <c r="D132" s="1" t="str">
        <f ca="1">IFERROR(__xludf.DUMMYFUNCTION("""COMPUTED_VALUE"""),"24-14")</f>
        <v>24-14</v>
      </c>
      <c r="E132" s="1" t="str">
        <f ca="1">IFERROR(__xludf.DUMMYFUNCTION("""COMPUTED_VALUE"""),"+3.94")</f>
        <v>+3.94</v>
      </c>
      <c r="F132" s="1">
        <f ca="1">IFERROR(__xludf.DUMMYFUNCTION("""COMPUTED_VALUE"""),102.4)</f>
        <v>102.4</v>
      </c>
      <c r="G132" s="1">
        <f ca="1">IFERROR(__xludf.DUMMYFUNCTION("""COMPUTED_VALUE"""),210)</f>
        <v>210</v>
      </c>
      <c r="H132" s="1">
        <f ca="1">IFERROR(__xludf.DUMMYFUNCTION("""COMPUTED_VALUE"""),98.5)</f>
        <v>98.5</v>
      </c>
      <c r="I132" s="1">
        <f ca="1">IFERROR(__xludf.DUMMYFUNCTION("""COMPUTED_VALUE"""),55)</f>
        <v>55</v>
      </c>
      <c r="J132" s="1">
        <f ca="1">IFERROR(__xludf.DUMMYFUNCTION("""COMPUTED_VALUE"""),71.3)</f>
        <v>71.3</v>
      </c>
      <c r="K132" s="1">
        <f ca="1">IFERROR(__xludf.DUMMYFUNCTION("""COMPUTED_VALUE"""),47)</f>
        <v>47</v>
      </c>
      <c r="L132" s="1" t="str">
        <f ca="1">IFERROR(__xludf.DUMMYFUNCTION("""COMPUTED_VALUE"""),"+.065")</f>
        <v>+.065</v>
      </c>
      <c r="M132" s="1">
        <f ca="1">IFERROR(__xludf.DUMMYFUNCTION("""COMPUTED_VALUE"""),38)</f>
        <v>38</v>
      </c>
      <c r="N132" s="1" t="str">
        <f ca="1">IFERROR(__xludf.DUMMYFUNCTION("""COMPUTED_VALUE"""),"+1.25")</f>
        <v>+1.25</v>
      </c>
      <c r="O132" s="1">
        <f ca="1">IFERROR(__xludf.DUMMYFUNCTION("""COMPUTED_VALUE"""),127)</f>
        <v>127</v>
      </c>
      <c r="P132" s="1">
        <f ca="1">IFERROR(__xludf.DUMMYFUNCTION("""COMPUTED_VALUE"""),105.9)</f>
        <v>105.9</v>
      </c>
      <c r="Q132" s="1">
        <f ca="1">IFERROR(__xludf.DUMMYFUNCTION("""COMPUTED_VALUE"""),112)</f>
        <v>112</v>
      </c>
      <c r="R132" s="1">
        <f ca="1">IFERROR(__xludf.DUMMYFUNCTION("""COMPUTED_VALUE"""),104.6)</f>
        <v>104.6</v>
      </c>
      <c r="S132" s="1">
        <f ca="1">IFERROR(__xludf.DUMMYFUNCTION("""COMPUTED_VALUE"""),139)</f>
        <v>139</v>
      </c>
      <c r="T132" s="1">
        <f ca="1">IFERROR(__xludf.DUMMYFUNCTION("""COMPUTED_VALUE"""),-0.73)</f>
        <v>-0.73</v>
      </c>
      <c r="U132" s="1">
        <f ca="1">IFERROR(__xludf.DUMMYFUNCTION("""COMPUTED_VALUE"""),178)</f>
        <v>178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IFERROR(__xludf.DUMMYFUNCTION("""COMPUTED_VALUE"""),"Illinois")</f>
        <v>Illinois</v>
      </c>
      <c r="C133" s="1" t="str">
        <f ca="1">IFERROR(__xludf.DUMMYFUNCTION("""COMPUTED_VALUE"""),"B10")</f>
        <v>B10</v>
      </c>
      <c r="D133" s="1" t="str">
        <f ca="1">IFERROR(__xludf.DUMMYFUNCTION("""COMPUTED_VALUE"""),"15-19")</f>
        <v>15-19</v>
      </c>
      <c r="E133" s="1" t="str">
        <f ca="1">IFERROR(__xludf.DUMMYFUNCTION("""COMPUTED_VALUE"""),"+3.91")</f>
        <v>+3.91</v>
      </c>
      <c r="F133" s="1">
        <f ca="1">IFERROR(__xludf.DUMMYFUNCTION("""COMPUTED_VALUE"""),106.9)</f>
        <v>106.9</v>
      </c>
      <c r="G133" s="1">
        <f ca="1">IFERROR(__xludf.DUMMYFUNCTION("""COMPUTED_VALUE"""),142)</f>
        <v>142</v>
      </c>
      <c r="H133" s="1">
        <f ca="1">IFERROR(__xludf.DUMMYFUNCTION("""COMPUTED_VALUE"""),103)</f>
        <v>103</v>
      </c>
      <c r="I133" s="1">
        <f ca="1">IFERROR(__xludf.DUMMYFUNCTION("""COMPUTED_VALUE"""),136)</f>
        <v>136</v>
      </c>
      <c r="J133" s="1">
        <f ca="1">IFERROR(__xludf.DUMMYFUNCTION("""COMPUTED_VALUE"""),68.1)</f>
        <v>68.099999999999994</v>
      </c>
      <c r="K133" s="1">
        <f ca="1">IFERROR(__xludf.DUMMYFUNCTION("""COMPUTED_VALUE"""),169)</f>
        <v>169</v>
      </c>
      <c r="L133" s="1" t="str">
        <f ca="1">IFERROR(__xludf.DUMMYFUNCTION("""COMPUTED_VALUE"""),"+.020")</f>
        <v>+.020</v>
      </c>
      <c r="M133" s="1">
        <f ca="1">IFERROR(__xludf.DUMMYFUNCTION("""COMPUTED_VALUE"""),123)</f>
        <v>123</v>
      </c>
      <c r="N133" s="1" t="str">
        <f ca="1">IFERROR(__xludf.DUMMYFUNCTION("""COMPUTED_VALUE"""),"+6.85")</f>
        <v>+6.85</v>
      </c>
      <c r="O133" s="1">
        <f ca="1">IFERROR(__xludf.DUMMYFUNCTION("""COMPUTED_VALUE"""),60)</f>
        <v>60</v>
      </c>
      <c r="P133" s="1">
        <f ca="1">IFERROR(__xludf.DUMMYFUNCTION("""COMPUTED_VALUE"""),108.6)</f>
        <v>108.6</v>
      </c>
      <c r="Q133" s="1">
        <f ca="1">IFERROR(__xludf.DUMMYFUNCTION("""COMPUTED_VALUE"""),59)</f>
        <v>59</v>
      </c>
      <c r="R133" s="1">
        <f ca="1">IFERROR(__xludf.DUMMYFUNCTION("""COMPUTED_VALUE"""),101.7)</f>
        <v>101.7</v>
      </c>
      <c r="S133" s="1">
        <f ca="1">IFERROR(__xludf.DUMMYFUNCTION("""COMPUTED_VALUE"""),69)</f>
        <v>69</v>
      </c>
      <c r="T133" s="1">
        <f ca="1">IFERROR(__xludf.DUMMYFUNCTION("""COMPUTED_VALUE"""),-0.33)</f>
        <v>-0.33</v>
      </c>
      <c r="U133" s="1">
        <f ca="1">IFERROR(__xludf.DUMMYFUNCTION("""COMPUTED_VALUE"""),176)</f>
        <v>176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IFERROR(__xludf.DUMMYFUNCTION("""COMPUTED_VALUE"""),"Morehead St.")</f>
        <v>Morehead St.</v>
      </c>
      <c r="C134" s="1" t="str">
        <f ca="1">IFERROR(__xludf.DUMMYFUNCTION("""COMPUTED_VALUE"""),"OVC")</f>
        <v>OVC</v>
      </c>
      <c r="D134" s="1" t="str">
        <f ca="1">IFERROR(__xludf.DUMMYFUNCTION("""COMPUTED_VALUE"""),"23-14")</f>
        <v>23-14</v>
      </c>
      <c r="E134" s="1" t="str">
        <f ca="1">IFERROR(__xludf.DUMMYFUNCTION("""COMPUTED_VALUE"""),"+3.78")</f>
        <v>+3.78</v>
      </c>
      <c r="F134" s="1">
        <f ca="1">IFERROR(__xludf.DUMMYFUNCTION("""COMPUTED_VALUE"""),106.6)</f>
        <v>106.6</v>
      </c>
      <c r="G134" s="1">
        <f ca="1">IFERROR(__xludf.DUMMYFUNCTION("""COMPUTED_VALUE"""),145)</f>
        <v>145</v>
      </c>
      <c r="H134" s="1">
        <f ca="1">IFERROR(__xludf.DUMMYFUNCTION("""COMPUTED_VALUE"""),102.8)</f>
        <v>102.8</v>
      </c>
      <c r="I134" s="1">
        <f ca="1">IFERROR(__xludf.DUMMYFUNCTION("""COMPUTED_VALUE"""),133)</f>
        <v>133</v>
      </c>
      <c r="J134" s="1">
        <f ca="1">IFERROR(__xludf.DUMMYFUNCTION("""COMPUTED_VALUE"""),65.7)</f>
        <v>65.7</v>
      </c>
      <c r="K134" s="1">
        <f ca="1">IFERROR(__xludf.DUMMYFUNCTION("""COMPUTED_VALUE"""),295)</f>
        <v>295</v>
      </c>
      <c r="L134" s="1">
        <f ca="1">IFERROR(__xludf.DUMMYFUNCTION("""COMPUTED_VALUE"""),-0.006)</f>
        <v>-6.0000000000000001E-3</v>
      </c>
      <c r="M134" s="1">
        <f ca="1">IFERROR(__xludf.DUMMYFUNCTION("""COMPUTED_VALUE"""),191)</f>
        <v>191</v>
      </c>
      <c r="N134" s="1">
        <f ca="1">IFERROR(__xludf.DUMMYFUNCTION("""COMPUTED_VALUE"""),-1.06)</f>
        <v>-1.06</v>
      </c>
      <c r="O134" s="1">
        <f ca="1">IFERROR(__xludf.DUMMYFUNCTION("""COMPUTED_VALUE"""),173)</f>
        <v>173</v>
      </c>
      <c r="P134" s="1">
        <f ca="1">IFERROR(__xludf.DUMMYFUNCTION("""COMPUTED_VALUE"""),105.4)</f>
        <v>105.4</v>
      </c>
      <c r="Q134" s="1">
        <f ca="1">IFERROR(__xludf.DUMMYFUNCTION("""COMPUTED_VALUE"""),132)</f>
        <v>132</v>
      </c>
      <c r="R134" s="1">
        <f ca="1">IFERROR(__xludf.DUMMYFUNCTION("""COMPUTED_VALUE"""),106.4)</f>
        <v>106.4</v>
      </c>
      <c r="S134" s="1">
        <f ca="1">IFERROR(__xludf.DUMMYFUNCTION("""COMPUTED_VALUE"""),217)</f>
        <v>217</v>
      </c>
      <c r="T134" s="1" t="str">
        <f ca="1">IFERROR(__xludf.DUMMYFUNCTION("""COMPUTED_VALUE"""),"+3.12")</f>
        <v>+3.12</v>
      </c>
      <c r="U134" s="1">
        <f ca="1">IFERROR(__xludf.DUMMYFUNCTION("""COMPUTED_VALUE"""),78)</f>
        <v>78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IFERROR(__xludf.DUMMYFUNCTION("""COMPUTED_VALUE"""),"Green Bay14")</f>
        <v>Green Bay14</v>
      </c>
      <c r="C135" s="1" t="str">
        <f ca="1">IFERROR(__xludf.DUMMYFUNCTION("""COMPUTED_VALUE"""),"Horz")</f>
        <v>Horz</v>
      </c>
      <c r="D135" s="1" t="str">
        <f ca="1">IFERROR(__xludf.DUMMYFUNCTION("""COMPUTED_VALUE"""),"23-13")</f>
        <v>23-13</v>
      </c>
      <c r="E135" s="1" t="str">
        <f ca="1">IFERROR(__xludf.DUMMYFUNCTION("""COMPUTED_VALUE"""),"+3.74")</f>
        <v>+3.74</v>
      </c>
      <c r="F135" s="1">
        <f ca="1">IFERROR(__xludf.DUMMYFUNCTION("""COMPUTED_VALUE"""),108.3)</f>
        <v>108.3</v>
      </c>
      <c r="G135" s="1">
        <f ca="1">IFERROR(__xludf.DUMMYFUNCTION("""COMPUTED_VALUE"""),111)</f>
        <v>111</v>
      </c>
      <c r="H135" s="1">
        <f ca="1">IFERROR(__xludf.DUMMYFUNCTION("""COMPUTED_VALUE"""),104.6)</f>
        <v>104.6</v>
      </c>
      <c r="I135" s="1">
        <f ca="1">IFERROR(__xludf.DUMMYFUNCTION("""COMPUTED_VALUE"""),172)</f>
        <v>172</v>
      </c>
      <c r="J135" s="1">
        <f ca="1">IFERROR(__xludf.DUMMYFUNCTION("""COMPUTED_VALUE"""),76.2)</f>
        <v>76.2</v>
      </c>
      <c r="K135" s="1">
        <f ca="1">IFERROR(__xludf.DUMMYFUNCTION("""COMPUTED_VALUE"""),6)</f>
        <v>6</v>
      </c>
      <c r="L135" s="1" t="str">
        <f ca="1">IFERROR(__xludf.DUMMYFUNCTION("""COMPUTED_VALUE"""),"+.057")</f>
        <v>+.057</v>
      </c>
      <c r="M135" s="1">
        <f ca="1">IFERROR(__xludf.DUMMYFUNCTION("""COMPUTED_VALUE"""),51)</f>
        <v>51</v>
      </c>
      <c r="N135" s="1" t="str">
        <f ca="1">IFERROR(__xludf.DUMMYFUNCTION("""COMPUTED_VALUE"""),"+0.11")</f>
        <v>+0.11</v>
      </c>
      <c r="O135" s="1">
        <f ca="1">IFERROR(__xludf.DUMMYFUNCTION("""COMPUTED_VALUE"""),146)</f>
        <v>146</v>
      </c>
      <c r="P135" s="1">
        <f ca="1">IFERROR(__xludf.DUMMYFUNCTION("""COMPUTED_VALUE"""),104.4)</f>
        <v>104.4</v>
      </c>
      <c r="Q135" s="1">
        <f ca="1">IFERROR(__xludf.DUMMYFUNCTION("""COMPUTED_VALUE"""),180)</f>
        <v>180</v>
      </c>
      <c r="R135" s="1">
        <f ca="1">IFERROR(__xludf.DUMMYFUNCTION("""COMPUTED_VALUE"""),104.3)</f>
        <v>104.3</v>
      </c>
      <c r="S135" s="1">
        <f ca="1">IFERROR(__xludf.DUMMYFUNCTION("""COMPUTED_VALUE"""),133)</f>
        <v>133</v>
      </c>
      <c r="T135" s="1" t="str">
        <f ca="1">IFERROR(__xludf.DUMMYFUNCTION("""COMPUTED_VALUE"""),"+1.92")</f>
        <v>+1.92</v>
      </c>
      <c r="U135" s="1">
        <f ca="1">IFERROR(__xludf.DUMMYFUNCTION("""COMPUTED_VALUE"""),110)</f>
        <v>110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IFERROR(__xludf.DUMMYFUNCTION("""COMPUTED_VALUE"""),"Siena")</f>
        <v>Siena</v>
      </c>
      <c r="C136" s="1" t="str">
        <f ca="1">IFERROR(__xludf.DUMMYFUNCTION("""COMPUTED_VALUE"""),"MAAC")</f>
        <v>MAAC</v>
      </c>
      <c r="D136" s="1" t="str">
        <f ca="1">IFERROR(__xludf.DUMMYFUNCTION("""COMPUTED_VALUE"""),"21-13")</f>
        <v>21-13</v>
      </c>
      <c r="E136" s="1" t="str">
        <f ca="1">IFERROR(__xludf.DUMMYFUNCTION("""COMPUTED_VALUE"""),"+3.67")</f>
        <v>+3.67</v>
      </c>
      <c r="F136" s="1">
        <f ca="1">IFERROR(__xludf.DUMMYFUNCTION("""COMPUTED_VALUE"""),108.1)</f>
        <v>108.1</v>
      </c>
      <c r="G136" s="1">
        <f ca="1">IFERROR(__xludf.DUMMYFUNCTION("""COMPUTED_VALUE"""),113)</f>
        <v>113</v>
      </c>
      <c r="H136" s="1">
        <f ca="1">IFERROR(__xludf.DUMMYFUNCTION("""COMPUTED_VALUE"""),104.5)</f>
        <v>104.5</v>
      </c>
      <c r="I136" s="1">
        <f ca="1">IFERROR(__xludf.DUMMYFUNCTION("""COMPUTED_VALUE"""),168)</f>
        <v>168</v>
      </c>
      <c r="J136" s="1">
        <f ca="1">IFERROR(__xludf.DUMMYFUNCTION("""COMPUTED_VALUE"""),70.1)</f>
        <v>70.099999999999994</v>
      </c>
      <c r="K136" s="1">
        <f ca="1">IFERROR(__xludf.DUMMYFUNCTION("""COMPUTED_VALUE"""),82)</f>
        <v>82</v>
      </c>
      <c r="L136" s="1">
        <f ca="1">IFERROR(__xludf.DUMMYFUNCTION("""COMPUTED_VALUE"""),-0.028)</f>
        <v>-2.8000000000000001E-2</v>
      </c>
      <c r="M136" s="1">
        <f ca="1">IFERROR(__xludf.DUMMYFUNCTION("""COMPUTED_VALUE"""),250)</f>
        <v>250</v>
      </c>
      <c r="N136" s="1">
        <f ca="1">IFERROR(__xludf.DUMMYFUNCTION("""COMPUTED_VALUE"""),-3.85)</f>
        <v>-3.85</v>
      </c>
      <c r="O136" s="1">
        <f ca="1">IFERROR(__xludf.DUMMYFUNCTION("""COMPUTED_VALUE"""),233)</f>
        <v>233</v>
      </c>
      <c r="P136" s="1">
        <f ca="1">IFERROR(__xludf.DUMMYFUNCTION("""COMPUTED_VALUE"""),102.9)</f>
        <v>102.9</v>
      </c>
      <c r="Q136" s="1">
        <f ca="1">IFERROR(__xludf.DUMMYFUNCTION("""COMPUTED_VALUE"""),248)</f>
        <v>248</v>
      </c>
      <c r="R136" s="1">
        <f ca="1">IFERROR(__xludf.DUMMYFUNCTION("""COMPUTED_VALUE"""),106.7)</f>
        <v>106.7</v>
      </c>
      <c r="S136" s="1">
        <f ca="1">IFERROR(__xludf.DUMMYFUNCTION("""COMPUTED_VALUE"""),225)</f>
        <v>225</v>
      </c>
      <c r="T136" s="1" t="str">
        <f ca="1">IFERROR(__xludf.DUMMYFUNCTION("""COMPUTED_VALUE"""),"+0.73")</f>
        <v>+0.73</v>
      </c>
      <c r="U136" s="1">
        <f ca="1">IFERROR(__xludf.DUMMYFUNCTION("""COMPUTED_VALUE"""),148)</f>
        <v>148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IFERROR(__xludf.DUMMYFUNCTION("""COMPUTED_VALUE"""),"Belmont6")</f>
        <v>Belmont6</v>
      </c>
      <c r="C137" s="1" t="str">
        <f ca="1">IFERROR(__xludf.DUMMYFUNCTION("""COMPUTED_VALUE"""),"OVC")</f>
        <v>OVC</v>
      </c>
      <c r="D137" s="1" t="str">
        <f ca="1">IFERROR(__xludf.DUMMYFUNCTION("""COMPUTED_VALUE"""),"20-12")</f>
        <v>20-12</v>
      </c>
      <c r="E137" s="1" t="str">
        <f ca="1">IFERROR(__xludf.DUMMYFUNCTION("""COMPUTED_VALUE"""),"+3.51")</f>
        <v>+3.51</v>
      </c>
      <c r="F137" s="1">
        <f ca="1">IFERROR(__xludf.DUMMYFUNCTION("""COMPUTED_VALUE"""),114)</f>
        <v>114</v>
      </c>
      <c r="G137" s="1">
        <f ca="1">IFERROR(__xludf.DUMMYFUNCTION("""COMPUTED_VALUE"""),34)</f>
        <v>34</v>
      </c>
      <c r="H137" s="1">
        <f ca="1">IFERROR(__xludf.DUMMYFUNCTION("""COMPUTED_VALUE"""),110.5)</f>
        <v>110.5</v>
      </c>
      <c r="I137" s="1">
        <f ca="1">IFERROR(__xludf.DUMMYFUNCTION("""COMPUTED_VALUE"""),282)</f>
        <v>282</v>
      </c>
      <c r="J137" s="1">
        <f ca="1">IFERROR(__xludf.DUMMYFUNCTION("""COMPUTED_VALUE"""),71.6)</f>
        <v>71.599999999999994</v>
      </c>
      <c r="K137" s="1">
        <f ca="1">IFERROR(__xludf.DUMMYFUNCTION("""COMPUTED_VALUE"""),41)</f>
        <v>41</v>
      </c>
      <c r="L137" s="1">
        <f ca="1">IFERROR(__xludf.DUMMYFUNCTION("""COMPUTED_VALUE"""),-0.009)</f>
        <v>-8.9999999999999993E-3</v>
      </c>
      <c r="M137" s="1">
        <f ca="1">IFERROR(__xludf.DUMMYFUNCTION("""COMPUTED_VALUE"""),200)</f>
        <v>200</v>
      </c>
      <c r="N137" s="1">
        <f ca="1">IFERROR(__xludf.DUMMYFUNCTION("""COMPUTED_VALUE"""),-1.57)</f>
        <v>-1.57</v>
      </c>
      <c r="O137" s="1">
        <f ca="1">IFERROR(__xludf.DUMMYFUNCTION("""COMPUTED_VALUE"""),188)</f>
        <v>188</v>
      </c>
      <c r="P137" s="1">
        <f ca="1">IFERROR(__xludf.DUMMYFUNCTION("""COMPUTED_VALUE"""),103.9)</f>
        <v>103.9</v>
      </c>
      <c r="Q137" s="1">
        <f ca="1">IFERROR(__xludf.DUMMYFUNCTION("""COMPUTED_VALUE"""),199)</f>
        <v>199</v>
      </c>
      <c r="R137" s="1">
        <f ca="1">IFERROR(__xludf.DUMMYFUNCTION("""COMPUTED_VALUE"""),105.5)</f>
        <v>105.5</v>
      </c>
      <c r="S137" s="1">
        <f ca="1">IFERROR(__xludf.DUMMYFUNCTION("""COMPUTED_VALUE"""),175)</f>
        <v>175</v>
      </c>
      <c r="T137" s="1" t="str">
        <f ca="1">IFERROR(__xludf.DUMMYFUNCTION("""COMPUTED_VALUE"""),"+3.98")</f>
        <v>+3.98</v>
      </c>
      <c r="U137" s="1">
        <f ca="1">IFERROR(__xludf.DUMMYFUNCTION("""COMPUTED_VALUE"""),57)</f>
        <v>57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IFERROR(__xludf.DUMMYFUNCTION("""COMPUTED_VALUE"""),"Grand Canyon")</f>
        <v>Grand Canyon</v>
      </c>
      <c r="C138" s="1" t="str">
        <f ca="1">IFERROR(__xludf.DUMMYFUNCTION("""COMPUTED_VALUE"""),"WAC")</f>
        <v>WAC</v>
      </c>
      <c r="D138" s="1" t="str">
        <f ca="1">IFERROR(__xludf.DUMMYFUNCTION("""COMPUTED_VALUE"""),"27-7")</f>
        <v>27-7</v>
      </c>
      <c r="E138" s="1" t="str">
        <f ca="1">IFERROR(__xludf.DUMMYFUNCTION("""COMPUTED_VALUE"""),"+3.49")</f>
        <v>+3.49</v>
      </c>
      <c r="F138" s="1">
        <f ca="1">IFERROR(__xludf.DUMMYFUNCTION("""COMPUTED_VALUE"""),105)</f>
        <v>105</v>
      </c>
      <c r="G138" s="1">
        <f ca="1">IFERROR(__xludf.DUMMYFUNCTION("""COMPUTED_VALUE"""),166)</f>
        <v>166</v>
      </c>
      <c r="H138" s="1">
        <f ca="1">IFERROR(__xludf.DUMMYFUNCTION("""COMPUTED_VALUE"""),101.5)</f>
        <v>101.5</v>
      </c>
      <c r="I138" s="1">
        <f ca="1">IFERROR(__xludf.DUMMYFUNCTION("""COMPUTED_VALUE"""),111)</f>
        <v>111</v>
      </c>
      <c r="J138" s="1">
        <f ca="1">IFERROR(__xludf.DUMMYFUNCTION("""COMPUTED_VALUE"""),68.8)</f>
        <v>68.8</v>
      </c>
      <c r="K138" s="1">
        <f ca="1">IFERROR(__xludf.DUMMYFUNCTION("""COMPUTED_VALUE"""),129)</f>
        <v>129</v>
      </c>
      <c r="L138" s="1" t="str">
        <f ca="1">IFERROR(__xludf.DUMMYFUNCTION("""COMPUTED_VALUE"""),"+.100")</f>
        <v>+.100</v>
      </c>
      <c r="M138" s="1">
        <f ca="1">IFERROR(__xludf.DUMMYFUNCTION("""COMPUTED_VALUE"""),15)</f>
        <v>15</v>
      </c>
      <c r="N138" s="1">
        <f ca="1">IFERROR(__xludf.DUMMYFUNCTION("""COMPUTED_VALUE"""),-8.19)</f>
        <v>-8.19</v>
      </c>
      <c r="O138" s="1">
        <f ca="1">IFERROR(__xludf.DUMMYFUNCTION("""COMPUTED_VALUE"""),329)</f>
        <v>329</v>
      </c>
      <c r="P138" s="1">
        <f ca="1">IFERROR(__xludf.DUMMYFUNCTION("""COMPUTED_VALUE"""),100)</f>
        <v>100</v>
      </c>
      <c r="Q138" s="1">
        <f ca="1">IFERROR(__xludf.DUMMYFUNCTION("""COMPUTED_VALUE"""),329)</f>
        <v>329</v>
      </c>
      <c r="R138" s="1">
        <f ca="1">IFERROR(__xludf.DUMMYFUNCTION("""COMPUTED_VALUE"""),108.2)</f>
        <v>108.2</v>
      </c>
      <c r="S138" s="1">
        <f ca="1">IFERROR(__xludf.DUMMYFUNCTION("""COMPUTED_VALUE"""),305)</f>
        <v>305</v>
      </c>
      <c r="T138" s="1">
        <f ca="1">IFERROR(__xludf.DUMMYFUNCTION("""COMPUTED_VALUE"""),-6.32)</f>
        <v>-6.32</v>
      </c>
      <c r="U138" s="1">
        <f ca="1">IFERROR(__xludf.DUMMYFUNCTION("""COMPUTED_VALUE"""),315)</f>
        <v>315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IFERROR(__xludf.DUMMYFUNCTION("""COMPUTED_VALUE"""),"UNC Asheville15")</f>
        <v>UNC Asheville15</v>
      </c>
      <c r="C139" s="1" t="str">
        <f ca="1">IFERROR(__xludf.DUMMYFUNCTION("""COMPUTED_VALUE"""),"BSth")</f>
        <v>BSth</v>
      </c>
      <c r="D139" s="1" t="str">
        <f ca="1">IFERROR(__xludf.DUMMYFUNCTION("""COMPUTED_VALUE"""),"22-12")</f>
        <v>22-12</v>
      </c>
      <c r="E139" s="1" t="str">
        <f ca="1">IFERROR(__xludf.DUMMYFUNCTION("""COMPUTED_VALUE"""),"+3.44")</f>
        <v>+3.44</v>
      </c>
      <c r="F139" s="1">
        <f ca="1">IFERROR(__xludf.DUMMYFUNCTION("""COMPUTED_VALUE"""),103.6)</f>
        <v>103.6</v>
      </c>
      <c r="G139" s="1">
        <f ca="1">IFERROR(__xludf.DUMMYFUNCTION("""COMPUTED_VALUE"""),188)</f>
        <v>188</v>
      </c>
      <c r="H139" s="1">
        <f ca="1">IFERROR(__xludf.DUMMYFUNCTION("""COMPUTED_VALUE"""),100.1)</f>
        <v>100.1</v>
      </c>
      <c r="I139" s="1">
        <f ca="1">IFERROR(__xludf.DUMMYFUNCTION("""COMPUTED_VALUE"""),89)</f>
        <v>89</v>
      </c>
      <c r="J139" s="1">
        <f ca="1">IFERROR(__xludf.DUMMYFUNCTION("""COMPUTED_VALUE"""),70.1)</f>
        <v>70.099999999999994</v>
      </c>
      <c r="K139" s="1">
        <f ca="1">IFERROR(__xludf.DUMMYFUNCTION("""COMPUTED_VALUE"""),81)</f>
        <v>81</v>
      </c>
      <c r="L139" s="1">
        <f ca="1">IFERROR(__xludf.DUMMYFUNCTION("""COMPUTED_VALUE"""),-0.008)</f>
        <v>-8.0000000000000002E-3</v>
      </c>
      <c r="M139" s="1">
        <f ca="1">IFERROR(__xludf.DUMMYFUNCTION("""COMPUTED_VALUE"""),197)</f>
        <v>197</v>
      </c>
      <c r="N139" s="1">
        <f ca="1">IFERROR(__xludf.DUMMYFUNCTION("""COMPUTED_VALUE"""),-4.12)</f>
        <v>-4.12</v>
      </c>
      <c r="O139" s="1">
        <f ca="1">IFERROR(__xludf.DUMMYFUNCTION("""COMPUTED_VALUE"""),248)</f>
        <v>248</v>
      </c>
      <c r="P139" s="1">
        <f ca="1">IFERROR(__xludf.DUMMYFUNCTION("""COMPUTED_VALUE"""),103.4)</f>
        <v>103.4</v>
      </c>
      <c r="Q139" s="1">
        <f ca="1">IFERROR(__xludf.DUMMYFUNCTION("""COMPUTED_VALUE"""),222)</f>
        <v>222</v>
      </c>
      <c r="R139" s="1">
        <f ca="1">IFERROR(__xludf.DUMMYFUNCTION("""COMPUTED_VALUE"""),107.5)</f>
        <v>107.5</v>
      </c>
      <c r="S139" s="1">
        <f ca="1">IFERROR(__xludf.DUMMYFUNCTION("""COMPUTED_VALUE"""),264)</f>
        <v>264</v>
      </c>
      <c r="T139" s="1" t="str">
        <f ca="1">IFERROR(__xludf.DUMMYFUNCTION("""COMPUTED_VALUE"""),"+2.64")</f>
        <v>+2.64</v>
      </c>
      <c r="U139" s="1">
        <f ca="1">IFERROR(__xludf.DUMMYFUNCTION("""COMPUTED_VALUE"""),89)</f>
        <v>89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IFERROR(__xludf.DUMMYFUNCTION("""COMPUTED_VALUE"""),"Northeastern")</f>
        <v>Northeastern</v>
      </c>
      <c r="C140" s="1" t="str">
        <f ca="1">IFERROR(__xludf.DUMMYFUNCTION("""COMPUTED_VALUE"""),"CAA")</f>
        <v>CAA</v>
      </c>
      <c r="D140" s="1" t="str">
        <f ca="1">IFERROR(__xludf.DUMMYFUNCTION("""COMPUTED_VALUE"""),"18-15")</f>
        <v>18-15</v>
      </c>
      <c r="E140" s="1" t="str">
        <f ca="1">IFERROR(__xludf.DUMMYFUNCTION("""COMPUTED_VALUE"""),"+3.38")</f>
        <v>+3.38</v>
      </c>
      <c r="F140" s="1">
        <f ca="1">IFERROR(__xludf.DUMMYFUNCTION("""COMPUTED_VALUE"""),107)</f>
        <v>107</v>
      </c>
      <c r="G140" s="1">
        <f ca="1">IFERROR(__xludf.DUMMYFUNCTION("""COMPUTED_VALUE"""),136)</f>
        <v>136</v>
      </c>
      <c r="H140" s="1">
        <f ca="1">IFERROR(__xludf.DUMMYFUNCTION("""COMPUTED_VALUE"""),103.7)</f>
        <v>103.7</v>
      </c>
      <c r="I140" s="1">
        <f ca="1">IFERROR(__xludf.DUMMYFUNCTION("""COMPUTED_VALUE"""),149)</f>
        <v>149</v>
      </c>
      <c r="J140" s="1">
        <f ca="1">IFERROR(__xludf.DUMMYFUNCTION("""COMPUTED_VALUE"""),65.2)</f>
        <v>65.2</v>
      </c>
      <c r="K140" s="1">
        <f ca="1">IFERROR(__xludf.DUMMYFUNCTION("""COMPUTED_VALUE"""),311)</f>
        <v>311</v>
      </c>
      <c r="L140" s="1" t="str">
        <f ca="1">IFERROR(__xludf.DUMMYFUNCTION("""COMPUTED_VALUE"""),"+.016")</f>
        <v>+.016</v>
      </c>
      <c r="M140" s="1">
        <f ca="1">IFERROR(__xludf.DUMMYFUNCTION("""COMPUTED_VALUE"""),130)</f>
        <v>130</v>
      </c>
      <c r="N140" s="1" t="str">
        <f ca="1">IFERROR(__xludf.DUMMYFUNCTION("""COMPUTED_VALUE"""),"+2.31")</f>
        <v>+2.31</v>
      </c>
      <c r="O140" s="1">
        <f ca="1">IFERROR(__xludf.DUMMYFUNCTION("""COMPUTED_VALUE"""),106)</f>
        <v>106</v>
      </c>
      <c r="P140" s="1">
        <f ca="1">IFERROR(__xludf.DUMMYFUNCTION("""COMPUTED_VALUE"""),106.4)</f>
        <v>106.4</v>
      </c>
      <c r="Q140" s="1">
        <f ca="1">IFERROR(__xludf.DUMMYFUNCTION("""COMPUTED_VALUE"""),97)</f>
        <v>97</v>
      </c>
      <c r="R140" s="1">
        <f ca="1">IFERROR(__xludf.DUMMYFUNCTION("""COMPUTED_VALUE"""),104.1)</f>
        <v>104.1</v>
      </c>
      <c r="S140" s="1">
        <f ca="1">IFERROR(__xludf.DUMMYFUNCTION("""COMPUTED_VALUE"""),127)</f>
        <v>127</v>
      </c>
      <c r="T140" s="1" t="str">
        <f ca="1">IFERROR(__xludf.DUMMYFUNCTION("""COMPUTED_VALUE"""),"+2.17")</f>
        <v>+2.17</v>
      </c>
      <c r="U140" s="1">
        <f ca="1">IFERROR(__xludf.DUMMYFUNCTION("""COMPUTED_VALUE"""),101)</f>
        <v>101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IFERROR(__xludf.DUMMYFUNCTION("""COMPUTED_VALUE"""),"Louisiana Monroe")</f>
        <v>Louisiana Monroe</v>
      </c>
      <c r="C141" s="1" t="str">
        <f ca="1">IFERROR(__xludf.DUMMYFUNCTION("""COMPUTED_VALUE"""),"SB")</f>
        <v>SB</v>
      </c>
      <c r="D141" s="1" t="str">
        <f ca="1">IFERROR(__xludf.DUMMYFUNCTION("""COMPUTED_VALUE"""),"20-14")</f>
        <v>20-14</v>
      </c>
      <c r="E141" s="1" t="str">
        <f ca="1">IFERROR(__xludf.DUMMYFUNCTION("""COMPUTED_VALUE"""),"+3.31")</f>
        <v>+3.31</v>
      </c>
      <c r="F141" s="1">
        <f ca="1">IFERROR(__xludf.DUMMYFUNCTION("""COMPUTED_VALUE"""),106.5)</f>
        <v>106.5</v>
      </c>
      <c r="G141" s="1">
        <f ca="1">IFERROR(__xludf.DUMMYFUNCTION("""COMPUTED_VALUE"""),149)</f>
        <v>149</v>
      </c>
      <c r="H141" s="1">
        <f ca="1">IFERROR(__xludf.DUMMYFUNCTION("""COMPUTED_VALUE"""),103.1)</f>
        <v>103.1</v>
      </c>
      <c r="I141" s="1">
        <f ca="1">IFERROR(__xludf.DUMMYFUNCTION("""COMPUTED_VALUE"""),141)</f>
        <v>141</v>
      </c>
      <c r="J141" s="1">
        <f ca="1">IFERROR(__xludf.DUMMYFUNCTION("""COMPUTED_VALUE"""),65.8)</f>
        <v>65.8</v>
      </c>
      <c r="K141" s="1">
        <f ca="1">IFERROR(__xludf.DUMMYFUNCTION("""COMPUTED_VALUE"""),286)</f>
        <v>286</v>
      </c>
      <c r="L141" s="1" t="str">
        <f ca="1">IFERROR(__xludf.DUMMYFUNCTION("""COMPUTED_VALUE"""),"+.028")</f>
        <v>+.028</v>
      </c>
      <c r="M141" s="1">
        <f ca="1">IFERROR(__xludf.DUMMYFUNCTION("""COMPUTED_VALUE"""),102)</f>
        <v>102</v>
      </c>
      <c r="N141" s="1">
        <f ca="1">IFERROR(__xludf.DUMMYFUNCTION("""COMPUTED_VALUE"""),-0.14)</f>
        <v>-0.14000000000000001</v>
      </c>
      <c r="O141" s="1">
        <f ca="1">IFERROR(__xludf.DUMMYFUNCTION("""COMPUTED_VALUE"""),153)</f>
        <v>153</v>
      </c>
      <c r="P141" s="1">
        <f ca="1">IFERROR(__xludf.DUMMYFUNCTION("""COMPUTED_VALUE"""),104.4)</f>
        <v>104.4</v>
      </c>
      <c r="Q141" s="1">
        <f ca="1">IFERROR(__xludf.DUMMYFUNCTION("""COMPUTED_VALUE"""),178)</f>
        <v>178</v>
      </c>
      <c r="R141" s="1">
        <f ca="1">IFERROR(__xludf.DUMMYFUNCTION("""COMPUTED_VALUE"""),104.5)</f>
        <v>104.5</v>
      </c>
      <c r="S141" s="1">
        <f ca="1">IFERROR(__xludf.DUMMYFUNCTION("""COMPUTED_VALUE"""),138)</f>
        <v>138</v>
      </c>
      <c r="T141" s="1" t="str">
        <f ca="1">IFERROR(__xludf.DUMMYFUNCTION("""COMPUTED_VALUE"""),"+2.83")</f>
        <v>+2.83</v>
      </c>
      <c r="U141" s="1">
        <f ca="1">IFERROR(__xludf.DUMMYFUNCTION("""COMPUTED_VALUE"""),86)</f>
        <v>86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IFERROR(__xludf.DUMMYFUNCTION("""COMPUTED_VALUE"""),"Utah St.")</f>
        <v>Utah St.</v>
      </c>
      <c r="C142" s="1" t="str">
        <f ca="1">IFERROR(__xludf.DUMMYFUNCTION("""COMPUTED_VALUE"""),"MWC")</f>
        <v>MWC</v>
      </c>
      <c r="D142" s="1" t="str">
        <f ca="1">IFERROR(__xludf.DUMMYFUNCTION("""COMPUTED_VALUE"""),"16-15")</f>
        <v>16-15</v>
      </c>
      <c r="E142" s="1" t="str">
        <f ca="1">IFERROR(__xludf.DUMMYFUNCTION("""COMPUTED_VALUE"""),"+3.25")</f>
        <v>+3.25</v>
      </c>
      <c r="F142" s="1">
        <f ca="1">IFERROR(__xludf.DUMMYFUNCTION("""COMPUTED_VALUE"""),111.2)</f>
        <v>111.2</v>
      </c>
      <c r="G142" s="1">
        <f ca="1">IFERROR(__xludf.DUMMYFUNCTION("""COMPUTED_VALUE"""),68)</f>
        <v>68</v>
      </c>
      <c r="H142" s="1">
        <f ca="1">IFERROR(__xludf.DUMMYFUNCTION("""COMPUTED_VALUE"""),108)</f>
        <v>108</v>
      </c>
      <c r="I142" s="1">
        <f ca="1">IFERROR(__xludf.DUMMYFUNCTION("""COMPUTED_VALUE"""),233)</f>
        <v>233</v>
      </c>
      <c r="J142" s="1">
        <f ca="1">IFERROR(__xludf.DUMMYFUNCTION("""COMPUTED_VALUE"""),67)</f>
        <v>67</v>
      </c>
      <c r="K142" s="1">
        <f ca="1">IFERROR(__xludf.DUMMYFUNCTION("""COMPUTED_VALUE"""),238)</f>
        <v>238</v>
      </c>
      <c r="L142" s="1">
        <f ca="1">IFERROR(__xludf.DUMMYFUNCTION("""COMPUTED_VALUE"""),-0.032)</f>
        <v>-3.2000000000000001E-2</v>
      </c>
      <c r="M142" s="1">
        <f ca="1">IFERROR(__xludf.DUMMYFUNCTION("""COMPUTED_VALUE"""),261)</f>
        <v>261</v>
      </c>
      <c r="N142" s="1" t="str">
        <f ca="1">IFERROR(__xludf.DUMMYFUNCTION("""COMPUTED_VALUE"""),"+1.89")</f>
        <v>+1.89</v>
      </c>
      <c r="O142" s="1">
        <f ca="1">IFERROR(__xludf.DUMMYFUNCTION("""COMPUTED_VALUE"""),116)</f>
        <v>116</v>
      </c>
      <c r="P142" s="1">
        <f ca="1">IFERROR(__xludf.DUMMYFUNCTION("""COMPUTED_VALUE"""),104.8)</f>
        <v>104.8</v>
      </c>
      <c r="Q142" s="1">
        <f ca="1">IFERROR(__xludf.DUMMYFUNCTION("""COMPUTED_VALUE"""),156)</f>
        <v>156</v>
      </c>
      <c r="R142" s="1">
        <f ca="1">IFERROR(__xludf.DUMMYFUNCTION("""COMPUTED_VALUE"""),102.9)</f>
        <v>102.9</v>
      </c>
      <c r="S142" s="1">
        <f ca="1">IFERROR(__xludf.DUMMYFUNCTION("""COMPUTED_VALUE"""),98)</f>
        <v>98</v>
      </c>
      <c r="T142" s="1">
        <f ca="1">IFERROR(__xludf.DUMMYFUNCTION("""COMPUTED_VALUE"""),-1.36)</f>
        <v>-1.36</v>
      </c>
      <c r="U142" s="1">
        <f ca="1">IFERROR(__xludf.DUMMYFUNCTION("""COMPUTED_VALUE"""),200)</f>
        <v>200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IFERROR(__xludf.DUMMYFUNCTION("""COMPUTED_VALUE"""),"IPFW7")</f>
        <v>IPFW7</v>
      </c>
      <c r="C143" s="1" t="str">
        <f ca="1">IFERROR(__xludf.DUMMYFUNCTION("""COMPUTED_VALUE"""),"Sum")</f>
        <v>Sum</v>
      </c>
      <c r="D143" s="1" t="str">
        <f ca="1">IFERROR(__xludf.DUMMYFUNCTION("""COMPUTED_VALUE"""),"24-10")</f>
        <v>24-10</v>
      </c>
      <c r="E143" s="1" t="str">
        <f ca="1">IFERROR(__xludf.DUMMYFUNCTION("""COMPUTED_VALUE"""),"+3.17")</f>
        <v>+3.17</v>
      </c>
      <c r="F143" s="1">
        <f ca="1">IFERROR(__xludf.DUMMYFUNCTION("""COMPUTED_VALUE"""),111.7)</f>
        <v>111.7</v>
      </c>
      <c r="G143" s="1">
        <f ca="1">IFERROR(__xludf.DUMMYFUNCTION("""COMPUTED_VALUE"""),63)</f>
        <v>63</v>
      </c>
      <c r="H143" s="1">
        <f ca="1">IFERROR(__xludf.DUMMYFUNCTION("""COMPUTED_VALUE"""),108.6)</f>
        <v>108.6</v>
      </c>
      <c r="I143" s="1">
        <f ca="1">IFERROR(__xludf.DUMMYFUNCTION("""COMPUTED_VALUE"""),248)</f>
        <v>248</v>
      </c>
      <c r="J143" s="1">
        <f ca="1">IFERROR(__xludf.DUMMYFUNCTION("""COMPUTED_VALUE"""),69.5)</f>
        <v>69.5</v>
      </c>
      <c r="K143" s="1">
        <f ca="1">IFERROR(__xludf.DUMMYFUNCTION("""COMPUTED_VALUE"""),105)</f>
        <v>105</v>
      </c>
      <c r="L143" s="1" t="str">
        <f ca="1">IFERROR(__xludf.DUMMYFUNCTION("""COMPUTED_VALUE"""),"+.139")</f>
        <v>+.139</v>
      </c>
      <c r="M143" s="1">
        <f ca="1">IFERROR(__xludf.DUMMYFUNCTION("""COMPUTED_VALUE"""),3)</f>
        <v>3</v>
      </c>
      <c r="N143" s="1">
        <f ca="1">IFERROR(__xludf.DUMMYFUNCTION("""COMPUTED_VALUE"""),-0.33)</f>
        <v>-0.33</v>
      </c>
      <c r="O143" s="1">
        <f ca="1">IFERROR(__xludf.DUMMYFUNCTION("""COMPUTED_VALUE"""),157)</f>
        <v>157</v>
      </c>
      <c r="P143" s="1">
        <f ca="1">IFERROR(__xludf.DUMMYFUNCTION("""COMPUTED_VALUE"""),105)</f>
        <v>105</v>
      </c>
      <c r="Q143" s="1">
        <f ca="1">IFERROR(__xludf.DUMMYFUNCTION("""COMPUTED_VALUE"""),151)</f>
        <v>151</v>
      </c>
      <c r="R143" s="1">
        <f ca="1">IFERROR(__xludf.DUMMYFUNCTION("""COMPUTED_VALUE"""),105.3)</f>
        <v>105.3</v>
      </c>
      <c r="S143" s="1">
        <f ca="1">IFERROR(__xludf.DUMMYFUNCTION("""COMPUTED_VALUE"""),166)</f>
        <v>166</v>
      </c>
      <c r="T143" s="1">
        <f ca="1">IFERROR(__xludf.DUMMYFUNCTION("""COMPUTED_VALUE"""),-0.29)</f>
        <v>-0.28999999999999998</v>
      </c>
      <c r="U143" s="1">
        <f ca="1">IFERROR(__xludf.DUMMYFUNCTION("""COMPUTED_VALUE"""),174)</f>
        <v>174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IFERROR(__xludf.DUMMYFUNCTION("""COMPUTED_VALUE"""),"TCU")</f>
        <v>TCU</v>
      </c>
      <c r="C144" s="1" t="str">
        <f ca="1">IFERROR(__xludf.DUMMYFUNCTION("""COMPUTED_VALUE"""),"B12")</f>
        <v>B12</v>
      </c>
      <c r="D144" s="2">
        <f ca="1">IFERROR(__xludf.DUMMYFUNCTION("""COMPUTED_VALUE"""),44916)</f>
        <v>44916</v>
      </c>
      <c r="E144" s="1" t="str">
        <f ca="1">IFERROR(__xludf.DUMMYFUNCTION("""COMPUTED_VALUE"""),"+3.02")</f>
        <v>+3.02</v>
      </c>
      <c r="F144" s="1">
        <f ca="1">IFERROR(__xludf.DUMMYFUNCTION("""COMPUTED_VALUE"""),101.6)</f>
        <v>101.6</v>
      </c>
      <c r="G144" s="1">
        <f ca="1">IFERROR(__xludf.DUMMYFUNCTION("""COMPUTED_VALUE"""),226)</f>
        <v>226</v>
      </c>
      <c r="H144" s="1">
        <f ca="1">IFERROR(__xludf.DUMMYFUNCTION("""COMPUTED_VALUE"""),98.5)</f>
        <v>98.5</v>
      </c>
      <c r="I144" s="1">
        <f ca="1">IFERROR(__xludf.DUMMYFUNCTION("""COMPUTED_VALUE"""),57)</f>
        <v>57</v>
      </c>
      <c r="J144" s="1">
        <f ca="1">IFERROR(__xludf.DUMMYFUNCTION("""COMPUTED_VALUE"""),69.6)</f>
        <v>69.599999999999994</v>
      </c>
      <c r="K144" s="1">
        <f ca="1">IFERROR(__xludf.DUMMYFUNCTION("""COMPUTED_VALUE"""),97)</f>
        <v>97</v>
      </c>
      <c r="L144" s="1">
        <f ca="1">IFERROR(__xludf.DUMMYFUNCTION("""COMPUTED_VALUE"""),-0.031)</f>
        <v>-3.1E-2</v>
      </c>
      <c r="M144" s="1">
        <f ca="1">IFERROR(__xludf.DUMMYFUNCTION("""COMPUTED_VALUE"""),257)</f>
        <v>257</v>
      </c>
      <c r="N144" s="1" t="str">
        <f ca="1">IFERROR(__xludf.DUMMYFUNCTION("""COMPUTED_VALUE"""),"+10.16")</f>
        <v>+10.16</v>
      </c>
      <c r="O144" s="1">
        <f ca="1">IFERROR(__xludf.DUMMYFUNCTION("""COMPUTED_VALUE"""),20)</f>
        <v>20</v>
      </c>
      <c r="P144" s="1">
        <f ca="1">IFERROR(__xludf.DUMMYFUNCTION("""COMPUTED_VALUE"""),110)</f>
        <v>110</v>
      </c>
      <c r="Q144" s="1">
        <f ca="1">IFERROR(__xludf.DUMMYFUNCTION("""COMPUTED_VALUE"""),30)</f>
        <v>30</v>
      </c>
      <c r="R144" s="1">
        <f ca="1">IFERROR(__xludf.DUMMYFUNCTION("""COMPUTED_VALUE"""),99.8)</f>
        <v>99.8</v>
      </c>
      <c r="S144" s="1">
        <f ca="1">IFERROR(__xludf.DUMMYFUNCTION("""COMPUTED_VALUE"""),10)</f>
        <v>10</v>
      </c>
      <c r="T144" s="1">
        <f ca="1">IFERROR(__xludf.DUMMYFUNCTION("""COMPUTED_VALUE"""),-7.07)</f>
        <v>-7.07</v>
      </c>
      <c r="U144" s="1">
        <f ca="1">IFERROR(__xludf.DUMMYFUNCTION("""COMPUTED_VALUE"""),326)</f>
        <v>326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IFERROR(__xludf.DUMMYFUNCTION("""COMPUTED_VALUE"""),"Pepperdine")</f>
        <v>Pepperdine</v>
      </c>
      <c r="C145" s="1" t="str">
        <f ca="1">IFERROR(__xludf.DUMMYFUNCTION("""COMPUTED_VALUE"""),"WCC")</f>
        <v>WCC</v>
      </c>
      <c r="D145" s="1" t="str">
        <f ca="1">IFERROR(__xludf.DUMMYFUNCTION("""COMPUTED_VALUE"""),"18-14")</f>
        <v>18-14</v>
      </c>
      <c r="E145" s="1" t="str">
        <f ca="1">IFERROR(__xludf.DUMMYFUNCTION("""COMPUTED_VALUE"""),"+3.02")</f>
        <v>+3.02</v>
      </c>
      <c r="F145" s="1">
        <f ca="1">IFERROR(__xludf.DUMMYFUNCTION("""COMPUTED_VALUE"""),106.1)</f>
        <v>106.1</v>
      </c>
      <c r="G145" s="1">
        <f ca="1">IFERROR(__xludf.DUMMYFUNCTION("""COMPUTED_VALUE"""),155)</f>
        <v>155</v>
      </c>
      <c r="H145" s="1">
        <f ca="1">IFERROR(__xludf.DUMMYFUNCTION("""COMPUTED_VALUE"""),103)</f>
        <v>103</v>
      </c>
      <c r="I145" s="1">
        <f ca="1">IFERROR(__xludf.DUMMYFUNCTION("""COMPUTED_VALUE"""),137)</f>
        <v>137</v>
      </c>
      <c r="J145" s="1">
        <f ca="1">IFERROR(__xludf.DUMMYFUNCTION("""COMPUTED_VALUE"""),67.5)</f>
        <v>67.5</v>
      </c>
      <c r="K145" s="1">
        <f ca="1">IFERROR(__xludf.DUMMYFUNCTION("""COMPUTED_VALUE"""),207)</f>
        <v>207</v>
      </c>
      <c r="L145" s="1" t="str">
        <f ca="1">IFERROR(__xludf.DUMMYFUNCTION("""COMPUTED_VALUE"""),"+.030")</f>
        <v>+.030</v>
      </c>
      <c r="M145" s="1">
        <f ca="1">IFERROR(__xludf.DUMMYFUNCTION("""COMPUTED_VALUE"""),97)</f>
        <v>97</v>
      </c>
      <c r="N145" s="1" t="str">
        <f ca="1">IFERROR(__xludf.DUMMYFUNCTION("""COMPUTED_VALUE"""),"+1.33")</f>
        <v>+1.33</v>
      </c>
      <c r="O145" s="1">
        <f ca="1">IFERROR(__xludf.DUMMYFUNCTION("""COMPUTED_VALUE"""),125)</f>
        <v>125</v>
      </c>
      <c r="P145" s="1">
        <f ca="1">IFERROR(__xludf.DUMMYFUNCTION("""COMPUTED_VALUE"""),107.1)</f>
        <v>107.1</v>
      </c>
      <c r="Q145" s="1">
        <f ca="1">IFERROR(__xludf.DUMMYFUNCTION("""COMPUTED_VALUE"""),82)</f>
        <v>82</v>
      </c>
      <c r="R145" s="1">
        <f ca="1">IFERROR(__xludf.DUMMYFUNCTION("""COMPUTED_VALUE"""),105.8)</f>
        <v>105.8</v>
      </c>
      <c r="S145" s="1">
        <f ca="1">IFERROR(__xludf.DUMMYFUNCTION("""COMPUTED_VALUE"""),184)</f>
        <v>184</v>
      </c>
      <c r="T145" s="1" t="str">
        <f ca="1">IFERROR(__xludf.DUMMYFUNCTION("""COMPUTED_VALUE"""),"+1.72")</f>
        <v>+1.72</v>
      </c>
      <c r="U145" s="1">
        <f ca="1">IFERROR(__xludf.DUMMYFUNCTION("""COMPUTED_VALUE"""),117)</f>
        <v>117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IFERROR(__xludf.DUMMYFUNCTION("""COMPUTED_VALUE"""),"Buffalo14")</f>
        <v>Buffalo14</v>
      </c>
      <c r="C146" s="1" t="str">
        <f ca="1">IFERROR(__xludf.DUMMYFUNCTION("""COMPUTED_VALUE"""),"MAC")</f>
        <v>MAC</v>
      </c>
      <c r="D146" s="1" t="str">
        <f ca="1">IFERROR(__xludf.DUMMYFUNCTION("""COMPUTED_VALUE"""),"20-15")</f>
        <v>20-15</v>
      </c>
      <c r="E146" s="1" t="str">
        <f ca="1">IFERROR(__xludf.DUMMYFUNCTION("""COMPUTED_VALUE"""),"+2.95")</f>
        <v>+2.95</v>
      </c>
      <c r="F146" s="1">
        <f ca="1">IFERROR(__xludf.DUMMYFUNCTION("""COMPUTED_VALUE"""),105.9)</f>
        <v>105.9</v>
      </c>
      <c r="G146" s="1">
        <f ca="1">IFERROR(__xludf.DUMMYFUNCTION("""COMPUTED_VALUE"""),158)</f>
        <v>158</v>
      </c>
      <c r="H146" s="1">
        <f ca="1">IFERROR(__xludf.DUMMYFUNCTION("""COMPUTED_VALUE"""),102.9)</f>
        <v>102.9</v>
      </c>
      <c r="I146" s="1">
        <f ca="1">IFERROR(__xludf.DUMMYFUNCTION("""COMPUTED_VALUE"""),134)</f>
        <v>134</v>
      </c>
      <c r="J146" s="1">
        <f ca="1">IFERROR(__xludf.DUMMYFUNCTION("""COMPUTED_VALUE"""),72.1)</f>
        <v>72.099999999999994</v>
      </c>
      <c r="K146" s="1">
        <f ca="1">IFERROR(__xludf.DUMMYFUNCTION("""COMPUTED_VALUE"""),27)</f>
        <v>27</v>
      </c>
      <c r="L146" s="1" t="str">
        <f ca="1">IFERROR(__xludf.DUMMYFUNCTION("""COMPUTED_VALUE"""),"+.044")</f>
        <v>+.044</v>
      </c>
      <c r="M146" s="1">
        <f ca="1">IFERROR(__xludf.DUMMYFUNCTION("""COMPUTED_VALUE"""),76)</f>
        <v>76</v>
      </c>
      <c r="N146" s="1" t="str">
        <f ca="1">IFERROR(__xludf.DUMMYFUNCTION("""COMPUTED_VALUE"""),"+0.97")</f>
        <v>+0.97</v>
      </c>
      <c r="O146" s="1">
        <f ca="1">IFERROR(__xludf.DUMMYFUNCTION("""COMPUTED_VALUE"""),131)</f>
        <v>131</v>
      </c>
      <c r="P146" s="1">
        <f ca="1">IFERROR(__xludf.DUMMYFUNCTION("""COMPUTED_VALUE"""),106.5)</f>
        <v>106.5</v>
      </c>
      <c r="Q146" s="1">
        <f ca="1">IFERROR(__xludf.DUMMYFUNCTION("""COMPUTED_VALUE"""),95)</f>
        <v>95</v>
      </c>
      <c r="R146" s="1">
        <f ca="1">IFERROR(__xludf.DUMMYFUNCTION("""COMPUTED_VALUE"""),105.6)</f>
        <v>105.6</v>
      </c>
      <c r="S146" s="1">
        <f ca="1">IFERROR(__xludf.DUMMYFUNCTION("""COMPUTED_VALUE"""),177)</f>
        <v>177</v>
      </c>
      <c r="T146" s="1" t="str">
        <f ca="1">IFERROR(__xludf.DUMMYFUNCTION("""COMPUTED_VALUE"""),"+2.00")</f>
        <v>+2.00</v>
      </c>
      <c r="U146" s="1">
        <f ca="1">IFERROR(__xludf.DUMMYFUNCTION("""COMPUTED_VALUE"""),107)</f>
        <v>107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IFERROR(__xludf.DUMMYFUNCTION("""COMPUTED_VALUE"""),"Southern Illinois")</f>
        <v>Southern Illinois</v>
      </c>
      <c r="C147" s="1" t="str">
        <f ca="1">IFERROR(__xludf.DUMMYFUNCTION("""COMPUTED_VALUE"""),"MVC")</f>
        <v>MVC</v>
      </c>
      <c r="D147" s="1" t="str">
        <f ca="1">IFERROR(__xludf.DUMMYFUNCTION("""COMPUTED_VALUE"""),"22-10")</f>
        <v>22-10</v>
      </c>
      <c r="E147" s="1" t="str">
        <f ca="1">IFERROR(__xludf.DUMMYFUNCTION("""COMPUTED_VALUE"""),"+2.80")</f>
        <v>+2.80</v>
      </c>
      <c r="F147" s="1">
        <f ca="1">IFERROR(__xludf.DUMMYFUNCTION("""COMPUTED_VALUE"""),107.2)</f>
        <v>107.2</v>
      </c>
      <c r="G147" s="1">
        <f ca="1">IFERROR(__xludf.DUMMYFUNCTION("""COMPUTED_VALUE"""),134)</f>
        <v>134</v>
      </c>
      <c r="H147" s="1">
        <f ca="1">IFERROR(__xludf.DUMMYFUNCTION("""COMPUTED_VALUE"""),104.4)</f>
        <v>104.4</v>
      </c>
      <c r="I147" s="1">
        <f ca="1">IFERROR(__xludf.DUMMYFUNCTION("""COMPUTED_VALUE"""),166)</f>
        <v>166</v>
      </c>
      <c r="J147" s="1">
        <f ca="1">IFERROR(__xludf.DUMMYFUNCTION("""COMPUTED_VALUE"""),69.3)</f>
        <v>69.3</v>
      </c>
      <c r="K147" s="1">
        <f ca="1">IFERROR(__xludf.DUMMYFUNCTION("""COMPUTED_VALUE"""),109)</f>
        <v>109</v>
      </c>
      <c r="L147" s="1" t="str">
        <f ca="1">IFERROR(__xludf.DUMMYFUNCTION("""COMPUTED_VALUE"""),"+.082")</f>
        <v>+.082</v>
      </c>
      <c r="M147" s="1">
        <f ca="1">IFERROR(__xludf.DUMMYFUNCTION("""COMPUTED_VALUE"""),26)</f>
        <v>26</v>
      </c>
      <c r="N147" s="1">
        <f ca="1">IFERROR(__xludf.DUMMYFUNCTION("""COMPUTED_VALUE"""),-2.93)</f>
        <v>-2.93</v>
      </c>
      <c r="O147" s="1">
        <f ca="1">IFERROR(__xludf.DUMMYFUNCTION("""COMPUTED_VALUE"""),214)</f>
        <v>214</v>
      </c>
      <c r="P147" s="1">
        <f ca="1">IFERROR(__xludf.DUMMYFUNCTION("""COMPUTED_VALUE"""),101.5)</f>
        <v>101.5</v>
      </c>
      <c r="Q147" s="1">
        <f ca="1">IFERROR(__xludf.DUMMYFUNCTION("""COMPUTED_VALUE"""),298)</f>
        <v>298</v>
      </c>
      <c r="R147" s="1">
        <f ca="1">IFERROR(__xludf.DUMMYFUNCTION("""COMPUTED_VALUE"""),104.4)</f>
        <v>104.4</v>
      </c>
      <c r="S147" s="1">
        <f ca="1">IFERROR(__xludf.DUMMYFUNCTION("""COMPUTED_VALUE"""),137)</f>
        <v>137</v>
      </c>
      <c r="T147" s="1">
        <f ca="1">IFERROR(__xludf.DUMMYFUNCTION("""COMPUTED_VALUE"""),-9.14)</f>
        <v>-9.14</v>
      </c>
      <c r="U147" s="1">
        <f ca="1">IFERROR(__xludf.DUMMYFUNCTION("""COMPUTED_VALUE"""),343)</f>
        <v>343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IFERROR(__xludf.DUMMYFUNCTION("""COMPUTED_VALUE"""),"Penn St.")</f>
        <v>Penn St.</v>
      </c>
      <c r="C148" s="1" t="str">
        <f ca="1">IFERROR(__xludf.DUMMYFUNCTION("""COMPUTED_VALUE"""),"B10")</f>
        <v>B10</v>
      </c>
      <c r="D148" s="1" t="str">
        <f ca="1">IFERROR(__xludf.DUMMYFUNCTION("""COMPUTED_VALUE"""),"16-16")</f>
        <v>16-16</v>
      </c>
      <c r="E148" s="1" t="str">
        <f ca="1">IFERROR(__xludf.DUMMYFUNCTION("""COMPUTED_VALUE"""),"+2.58")</f>
        <v>+2.58</v>
      </c>
      <c r="F148" s="1">
        <f ca="1">IFERROR(__xludf.DUMMYFUNCTION("""COMPUTED_VALUE"""),103.4)</f>
        <v>103.4</v>
      </c>
      <c r="G148" s="1">
        <f ca="1">IFERROR(__xludf.DUMMYFUNCTION("""COMPUTED_VALUE"""),193)</f>
        <v>193</v>
      </c>
      <c r="H148" s="1">
        <f ca="1">IFERROR(__xludf.DUMMYFUNCTION("""COMPUTED_VALUE"""),100.8)</f>
        <v>100.8</v>
      </c>
      <c r="I148" s="1">
        <f ca="1">IFERROR(__xludf.DUMMYFUNCTION("""COMPUTED_VALUE"""),98)</f>
        <v>98</v>
      </c>
      <c r="J148" s="1">
        <f ca="1">IFERROR(__xludf.DUMMYFUNCTION("""COMPUTED_VALUE"""),66.1)</f>
        <v>66.099999999999994</v>
      </c>
      <c r="K148" s="1">
        <f ca="1">IFERROR(__xludf.DUMMYFUNCTION("""COMPUTED_VALUE"""),270)</f>
        <v>270</v>
      </c>
      <c r="L148" s="1" t="str">
        <f ca="1">IFERROR(__xludf.DUMMYFUNCTION("""COMPUTED_VALUE"""),"+.112")</f>
        <v>+.112</v>
      </c>
      <c r="M148" s="1">
        <f ca="1">IFERROR(__xludf.DUMMYFUNCTION("""COMPUTED_VALUE"""),8)</f>
        <v>8</v>
      </c>
      <c r="N148" s="1" t="str">
        <f ca="1">IFERROR(__xludf.DUMMYFUNCTION("""COMPUTED_VALUE"""),"+6.56")</f>
        <v>+6.56</v>
      </c>
      <c r="O148" s="1">
        <f ca="1">IFERROR(__xludf.DUMMYFUNCTION("""COMPUTED_VALUE"""),64)</f>
        <v>64</v>
      </c>
      <c r="P148" s="1">
        <f ca="1">IFERROR(__xludf.DUMMYFUNCTION("""COMPUTED_VALUE"""),108.9)</f>
        <v>108.9</v>
      </c>
      <c r="Q148" s="1">
        <f ca="1">IFERROR(__xludf.DUMMYFUNCTION("""COMPUTED_VALUE"""),49)</f>
        <v>49</v>
      </c>
      <c r="R148" s="1">
        <f ca="1">IFERROR(__xludf.DUMMYFUNCTION("""COMPUTED_VALUE"""),102.3)</f>
        <v>102.3</v>
      </c>
      <c r="S148" s="1">
        <f ca="1">IFERROR(__xludf.DUMMYFUNCTION("""COMPUTED_VALUE"""),81)</f>
        <v>81</v>
      </c>
      <c r="T148" s="1">
        <f ca="1">IFERROR(__xludf.DUMMYFUNCTION("""COMPUTED_VALUE"""),-2.97)</f>
        <v>-2.97</v>
      </c>
      <c r="U148" s="1">
        <f ca="1">IFERROR(__xludf.DUMMYFUNCTION("""COMPUTED_VALUE"""),248)</f>
        <v>248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IFERROR(__xludf.DUMMYFUNCTION("""COMPUTED_VALUE"""),"Ohio")</f>
        <v>Ohio</v>
      </c>
      <c r="C149" s="1" t="str">
        <f ca="1">IFERROR(__xludf.DUMMYFUNCTION("""COMPUTED_VALUE"""),"MAC")</f>
        <v>MAC</v>
      </c>
      <c r="D149" s="1" t="str">
        <f ca="1">IFERROR(__xludf.DUMMYFUNCTION("""COMPUTED_VALUE"""),"23-12")</f>
        <v>23-12</v>
      </c>
      <c r="E149" s="1" t="str">
        <f ca="1">IFERROR(__xludf.DUMMYFUNCTION("""COMPUTED_VALUE"""),"+2.56")</f>
        <v>+2.56</v>
      </c>
      <c r="F149" s="1">
        <f ca="1">IFERROR(__xludf.DUMMYFUNCTION("""COMPUTED_VALUE"""),110.6)</f>
        <v>110.6</v>
      </c>
      <c r="G149" s="1">
        <f ca="1">IFERROR(__xludf.DUMMYFUNCTION("""COMPUTED_VALUE"""),80)</f>
        <v>80</v>
      </c>
      <c r="H149" s="1">
        <f ca="1">IFERROR(__xludf.DUMMYFUNCTION("""COMPUTED_VALUE"""),108.1)</f>
        <v>108.1</v>
      </c>
      <c r="I149" s="1">
        <f ca="1">IFERROR(__xludf.DUMMYFUNCTION("""COMPUTED_VALUE"""),234)</f>
        <v>234</v>
      </c>
      <c r="J149" s="1">
        <f ca="1">IFERROR(__xludf.DUMMYFUNCTION("""COMPUTED_VALUE"""),70)</f>
        <v>70</v>
      </c>
      <c r="K149" s="1">
        <f ca="1">IFERROR(__xludf.DUMMYFUNCTION("""COMPUTED_VALUE"""),86)</f>
        <v>86</v>
      </c>
      <c r="L149" s="1" t="str">
        <f ca="1">IFERROR(__xludf.DUMMYFUNCTION("""COMPUTED_VALUE"""),"+.052")</f>
        <v>+.052</v>
      </c>
      <c r="M149" s="1">
        <f ca="1">IFERROR(__xludf.DUMMYFUNCTION("""COMPUTED_VALUE"""),57)</f>
        <v>57</v>
      </c>
      <c r="N149" s="1">
        <f ca="1">IFERROR(__xludf.DUMMYFUNCTION("""COMPUTED_VALUE"""),-1.95)</f>
        <v>-1.95</v>
      </c>
      <c r="O149" s="1">
        <f ca="1">IFERROR(__xludf.DUMMYFUNCTION("""COMPUTED_VALUE"""),197)</f>
        <v>197</v>
      </c>
      <c r="P149" s="1">
        <f ca="1">IFERROR(__xludf.DUMMYFUNCTION("""COMPUTED_VALUE"""),103.4)</f>
        <v>103.4</v>
      </c>
      <c r="Q149" s="1">
        <f ca="1">IFERROR(__xludf.DUMMYFUNCTION("""COMPUTED_VALUE"""),226)</f>
        <v>226</v>
      </c>
      <c r="R149" s="1">
        <f ca="1">IFERROR(__xludf.DUMMYFUNCTION("""COMPUTED_VALUE"""),105.3)</f>
        <v>105.3</v>
      </c>
      <c r="S149" s="1">
        <f ca="1">IFERROR(__xludf.DUMMYFUNCTION("""COMPUTED_VALUE"""),167)</f>
        <v>167</v>
      </c>
      <c r="T149" s="1">
        <f ca="1">IFERROR(__xludf.DUMMYFUNCTION("""COMPUTED_VALUE"""),-4.02)</f>
        <v>-4.0199999999999996</v>
      </c>
      <c r="U149" s="1">
        <f ca="1">IFERROR(__xludf.DUMMYFUNCTION("""COMPUTED_VALUE"""),277)</f>
        <v>277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IFERROR(__xludf.DUMMYFUNCTION("""COMPUTED_VALUE"""),"Weber St.15")</f>
        <v>Weber St.15</v>
      </c>
      <c r="C150" s="1" t="str">
        <f ca="1">IFERROR(__xludf.DUMMYFUNCTION("""COMPUTED_VALUE"""),"BSky")</f>
        <v>BSky</v>
      </c>
      <c r="D150" s="1" t="str">
        <f ca="1">IFERROR(__xludf.DUMMYFUNCTION("""COMPUTED_VALUE"""),"26-9")</f>
        <v>26-9</v>
      </c>
      <c r="E150" s="1" t="str">
        <f ca="1">IFERROR(__xludf.DUMMYFUNCTION("""COMPUTED_VALUE"""),"+2.45")</f>
        <v>+2.45</v>
      </c>
      <c r="F150" s="1">
        <f ca="1">IFERROR(__xludf.DUMMYFUNCTION("""COMPUTED_VALUE"""),103.4)</f>
        <v>103.4</v>
      </c>
      <c r="G150" s="1">
        <f ca="1">IFERROR(__xludf.DUMMYFUNCTION("""COMPUTED_VALUE"""),191)</f>
        <v>191</v>
      </c>
      <c r="H150" s="1">
        <f ca="1">IFERROR(__xludf.DUMMYFUNCTION("""COMPUTED_VALUE"""),100.9)</f>
        <v>100.9</v>
      </c>
      <c r="I150" s="1">
        <f ca="1">IFERROR(__xludf.DUMMYFUNCTION("""COMPUTED_VALUE"""),102)</f>
        <v>102</v>
      </c>
      <c r="J150" s="1">
        <f ca="1">IFERROR(__xludf.DUMMYFUNCTION("""COMPUTED_VALUE"""),66.8)</f>
        <v>66.8</v>
      </c>
      <c r="K150" s="1">
        <f ca="1">IFERROR(__xludf.DUMMYFUNCTION("""COMPUTED_VALUE"""),243)</f>
        <v>243</v>
      </c>
      <c r="L150" s="1" t="str">
        <f ca="1">IFERROR(__xludf.DUMMYFUNCTION("""COMPUTED_VALUE"""),"+.019")</f>
        <v>+.019</v>
      </c>
      <c r="M150" s="1">
        <f ca="1">IFERROR(__xludf.DUMMYFUNCTION("""COMPUTED_VALUE"""),124)</f>
        <v>124</v>
      </c>
      <c r="N150" s="1">
        <f ca="1">IFERROR(__xludf.DUMMYFUNCTION("""COMPUTED_VALUE"""),-5.67)</f>
        <v>-5.67</v>
      </c>
      <c r="O150" s="1">
        <f ca="1">IFERROR(__xludf.DUMMYFUNCTION("""COMPUTED_VALUE"""),282)</f>
        <v>282</v>
      </c>
      <c r="P150" s="1">
        <f ca="1">IFERROR(__xludf.DUMMYFUNCTION("""COMPUTED_VALUE"""),103.3)</f>
        <v>103.3</v>
      </c>
      <c r="Q150" s="1">
        <f ca="1">IFERROR(__xludf.DUMMYFUNCTION("""COMPUTED_VALUE"""),228)</f>
        <v>228</v>
      </c>
      <c r="R150" s="1">
        <f ca="1">IFERROR(__xludf.DUMMYFUNCTION("""COMPUTED_VALUE"""),109)</f>
        <v>109</v>
      </c>
      <c r="S150" s="1">
        <f ca="1">IFERROR(__xludf.DUMMYFUNCTION("""COMPUTED_VALUE"""),333)</f>
        <v>333</v>
      </c>
      <c r="T150" s="1" t="str">
        <f ca="1">IFERROR(__xludf.DUMMYFUNCTION("""COMPUTED_VALUE"""),"+1.16")</f>
        <v>+1.16</v>
      </c>
      <c r="U150" s="1">
        <f ca="1">IFERROR(__xludf.DUMMYFUNCTION("""COMPUTED_VALUE"""),137)</f>
        <v>137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IFERROR(__xludf.DUMMYFUNCTION("""COMPUTED_VALUE"""),"Montana")</f>
        <v>Montana</v>
      </c>
      <c r="C151" s="1" t="str">
        <f ca="1">IFERROR(__xludf.DUMMYFUNCTION("""COMPUTED_VALUE"""),"BSky")</f>
        <v>BSky</v>
      </c>
      <c r="D151" s="1" t="str">
        <f ca="1">IFERROR(__xludf.DUMMYFUNCTION("""COMPUTED_VALUE"""),"21-12")</f>
        <v>21-12</v>
      </c>
      <c r="E151" s="1" t="str">
        <f ca="1">IFERROR(__xludf.DUMMYFUNCTION("""COMPUTED_VALUE"""),"+2.28")</f>
        <v>+2.28</v>
      </c>
      <c r="F151" s="1">
        <f ca="1">IFERROR(__xludf.DUMMYFUNCTION("""COMPUTED_VALUE"""),106.9)</f>
        <v>106.9</v>
      </c>
      <c r="G151" s="1">
        <f ca="1">IFERROR(__xludf.DUMMYFUNCTION("""COMPUTED_VALUE"""),143)</f>
        <v>143</v>
      </c>
      <c r="H151" s="1">
        <f ca="1">IFERROR(__xludf.DUMMYFUNCTION("""COMPUTED_VALUE"""),104.6)</f>
        <v>104.6</v>
      </c>
      <c r="I151" s="1">
        <f ca="1">IFERROR(__xludf.DUMMYFUNCTION("""COMPUTED_VALUE"""),173)</f>
        <v>173</v>
      </c>
      <c r="J151" s="1">
        <f ca="1">IFERROR(__xludf.DUMMYFUNCTION("""COMPUTED_VALUE"""),65.4)</f>
        <v>65.400000000000006</v>
      </c>
      <c r="K151" s="1">
        <f ca="1">IFERROR(__xludf.DUMMYFUNCTION("""COMPUTED_VALUE"""),301)</f>
        <v>301</v>
      </c>
      <c r="L151" s="1" t="str">
        <f ca="1">IFERROR(__xludf.DUMMYFUNCTION("""COMPUTED_VALUE"""),"+.005")</f>
        <v>+.005</v>
      </c>
      <c r="M151" s="1">
        <f ca="1">IFERROR(__xludf.DUMMYFUNCTION("""COMPUTED_VALUE"""),165)</f>
        <v>165</v>
      </c>
      <c r="N151" s="1">
        <f ca="1">IFERROR(__xludf.DUMMYFUNCTION("""COMPUTED_VALUE"""),-4.78)</f>
        <v>-4.78</v>
      </c>
      <c r="O151" s="1">
        <f ca="1">IFERROR(__xludf.DUMMYFUNCTION("""COMPUTED_VALUE"""),262)</f>
        <v>262</v>
      </c>
      <c r="P151" s="1">
        <f ca="1">IFERROR(__xludf.DUMMYFUNCTION("""COMPUTED_VALUE"""),102.7)</f>
        <v>102.7</v>
      </c>
      <c r="Q151" s="1">
        <f ca="1">IFERROR(__xludf.DUMMYFUNCTION("""COMPUTED_VALUE"""),252)</f>
        <v>252</v>
      </c>
      <c r="R151" s="1">
        <f ca="1">IFERROR(__xludf.DUMMYFUNCTION("""COMPUTED_VALUE"""),107.5)</f>
        <v>107.5</v>
      </c>
      <c r="S151" s="1">
        <f ca="1">IFERROR(__xludf.DUMMYFUNCTION("""COMPUTED_VALUE"""),261)</f>
        <v>261</v>
      </c>
      <c r="T151" s="1" t="str">
        <f ca="1">IFERROR(__xludf.DUMMYFUNCTION("""COMPUTED_VALUE"""),"+9.77")</f>
        <v>+9.77</v>
      </c>
      <c r="U151" s="1">
        <f ca="1">IFERROR(__xludf.DUMMYFUNCTION("""COMPUTED_VALUE"""),10)</f>
        <v>10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IFERROR(__xludf.DUMMYFUNCTION("""COMPUTED_VALUE"""),"Colorado St.")</f>
        <v>Colorado St.</v>
      </c>
      <c r="C152" s="1" t="str">
        <f ca="1">IFERROR(__xludf.DUMMYFUNCTION("""COMPUTED_VALUE"""),"MWC")</f>
        <v>MWC</v>
      </c>
      <c r="D152" s="1" t="str">
        <f ca="1">IFERROR(__xludf.DUMMYFUNCTION("""COMPUTED_VALUE"""),"18-16")</f>
        <v>18-16</v>
      </c>
      <c r="E152" s="1" t="str">
        <f ca="1">IFERROR(__xludf.DUMMYFUNCTION("""COMPUTED_VALUE"""),"+2.17")</f>
        <v>+2.17</v>
      </c>
      <c r="F152" s="1">
        <f ca="1">IFERROR(__xludf.DUMMYFUNCTION("""COMPUTED_VALUE"""),112.3)</f>
        <v>112.3</v>
      </c>
      <c r="G152" s="1">
        <f ca="1">IFERROR(__xludf.DUMMYFUNCTION("""COMPUTED_VALUE"""),55)</f>
        <v>55</v>
      </c>
      <c r="H152" s="1">
        <f ca="1">IFERROR(__xludf.DUMMYFUNCTION("""COMPUTED_VALUE"""),110.2)</f>
        <v>110.2</v>
      </c>
      <c r="I152" s="1">
        <f ca="1">IFERROR(__xludf.DUMMYFUNCTION("""COMPUTED_VALUE"""),274)</f>
        <v>274</v>
      </c>
      <c r="J152" s="1">
        <f ca="1">IFERROR(__xludf.DUMMYFUNCTION("""COMPUTED_VALUE"""),68.1)</f>
        <v>68.099999999999994</v>
      </c>
      <c r="K152" s="1">
        <f ca="1">IFERROR(__xludf.DUMMYFUNCTION("""COMPUTED_VALUE"""),165)</f>
        <v>165</v>
      </c>
      <c r="L152" s="1">
        <f ca="1">IFERROR(__xludf.DUMMYFUNCTION("""COMPUTED_VALUE"""),-0.031)</f>
        <v>-3.1E-2</v>
      </c>
      <c r="M152" s="1">
        <f ca="1">IFERROR(__xludf.DUMMYFUNCTION("""COMPUTED_VALUE"""),258)</f>
        <v>258</v>
      </c>
      <c r="N152" s="1" t="str">
        <f ca="1">IFERROR(__xludf.DUMMYFUNCTION("""COMPUTED_VALUE"""),"+0.65")</f>
        <v>+0.65</v>
      </c>
      <c r="O152" s="1">
        <f ca="1">IFERROR(__xludf.DUMMYFUNCTION("""COMPUTED_VALUE"""),136)</f>
        <v>136</v>
      </c>
      <c r="P152" s="1">
        <f ca="1">IFERROR(__xludf.DUMMYFUNCTION("""COMPUTED_VALUE"""),104.8)</f>
        <v>104.8</v>
      </c>
      <c r="Q152" s="1">
        <f ca="1">IFERROR(__xludf.DUMMYFUNCTION("""COMPUTED_VALUE"""),157)</f>
        <v>157</v>
      </c>
      <c r="R152" s="1">
        <f ca="1">IFERROR(__xludf.DUMMYFUNCTION("""COMPUTED_VALUE"""),104.1)</f>
        <v>104.1</v>
      </c>
      <c r="S152" s="1">
        <f ca="1">IFERROR(__xludf.DUMMYFUNCTION("""COMPUTED_VALUE"""),128)</f>
        <v>128</v>
      </c>
      <c r="T152" s="1">
        <f ca="1">IFERROR(__xludf.DUMMYFUNCTION("""COMPUTED_VALUE"""),-2.91)</f>
        <v>-2.91</v>
      </c>
      <c r="U152" s="1">
        <f ca="1">IFERROR(__xludf.DUMMYFUNCTION("""COMPUTED_VALUE"""),245)</f>
        <v>245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IFERROR(__xludf.DUMMYFUNCTION("""COMPUTED_VALUE"""),"North Dakota St.")</f>
        <v>North Dakota St.</v>
      </c>
      <c r="C153" s="1" t="str">
        <f ca="1">IFERROR(__xludf.DUMMYFUNCTION("""COMPUTED_VALUE"""),"Sum")</f>
        <v>Sum</v>
      </c>
      <c r="D153" s="1" t="str">
        <f ca="1">IFERROR(__xludf.DUMMYFUNCTION("""COMPUTED_VALUE"""),"20-13")</f>
        <v>20-13</v>
      </c>
      <c r="E153" s="1" t="str">
        <f ca="1">IFERROR(__xludf.DUMMYFUNCTION("""COMPUTED_VALUE"""),"+2.07")</f>
        <v>+2.07</v>
      </c>
      <c r="F153" s="1">
        <f ca="1">IFERROR(__xludf.DUMMYFUNCTION("""COMPUTED_VALUE"""),101.9)</f>
        <v>101.9</v>
      </c>
      <c r="G153" s="1">
        <f ca="1">IFERROR(__xludf.DUMMYFUNCTION("""COMPUTED_VALUE"""),219)</f>
        <v>219</v>
      </c>
      <c r="H153" s="1">
        <f ca="1">IFERROR(__xludf.DUMMYFUNCTION("""COMPUTED_VALUE"""),99.8)</f>
        <v>99.8</v>
      </c>
      <c r="I153" s="1">
        <f ca="1">IFERROR(__xludf.DUMMYFUNCTION("""COMPUTED_VALUE"""),82)</f>
        <v>82</v>
      </c>
      <c r="J153" s="1">
        <f ca="1">IFERROR(__xludf.DUMMYFUNCTION("""COMPUTED_VALUE"""),64.5)</f>
        <v>64.5</v>
      </c>
      <c r="K153" s="1">
        <f ca="1">IFERROR(__xludf.DUMMYFUNCTION("""COMPUTED_VALUE"""),325)</f>
        <v>325</v>
      </c>
      <c r="L153" s="1" t="str">
        <f ca="1">IFERROR(__xludf.DUMMYFUNCTION("""COMPUTED_VALUE"""),"+.003")</f>
        <v>+.003</v>
      </c>
      <c r="M153" s="1">
        <f ca="1">IFERROR(__xludf.DUMMYFUNCTION("""COMPUTED_VALUE"""),170)</f>
        <v>170</v>
      </c>
      <c r="N153" s="1">
        <f ca="1">IFERROR(__xludf.DUMMYFUNCTION("""COMPUTED_VALUE"""),-1.76)</f>
        <v>-1.76</v>
      </c>
      <c r="O153" s="1">
        <f ca="1">IFERROR(__xludf.DUMMYFUNCTION("""COMPUTED_VALUE"""),193)</f>
        <v>193</v>
      </c>
      <c r="P153" s="1">
        <f ca="1">IFERROR(__xludf.DUMMYFUNCTION("""COMPUTED_VALUE"""),105.2)</f>
        <v>105.2</v>
      </c>
      <c r="Q153" s="1">
        <f ca="1">IFERROR(__xludf.DUMMYFUNCTION("""COMPUTED_VALUE"""),144)</f>
        <v>144</v>
      </c>
      <c r="R153" s="1">
        <f ca="1">IFERROR(__xludf.DUMMYFUNCTION("""COMPUTED_VALUE"""),106.9)</f>
        <v>106.9</v>
      </c>
      <c r="S153" s="1">
        <f ca="1">IFERROR(__xludf.DUMMYFUNCTION("""COMPUTED_VALUE"""),235)</f>
        <v>235</v>
      </c>
      <c r="T153" s="1">
        <f ca="1">IFERROR(__xludf.DUMMYFUNCTION("""COMPUTED_VALUE"""),-4.17)</f>
        <v>-4.17</v>
      </c>
      <c r="U153" s="1">
        <f ca="1">IFERROR(__xludf.DUMMYFUNCTION("""COMPUTED_VALUE"""),284)</f>
        <v>284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IFERROR(__xludf.DUMMYFUNCTION("""COMPUTED_VALUE"""),"Wright St.")</f>
        <v>Wright St.</v>
      </c>
      <c r="C154" s="1" t="str">
        <f ca="1">IFERROR(__xludf.DUMMYFUNCTION("""COMPUTED_VALUE"""),"Horz")</f>
        <v>Horz</v>
      </c>
      <c r="D154" s="1" t="str">
        <f ca="1">IFERROR(__xludf.DUMMYFUNCTION("""COMPUTED_VALUE"""),"22-13")</f>
        <v>22-13</v>
      </c>
      <c r="E154" s="1" t="str">
        <f ca="1">IFERROR(__xludf.DUMMYFUNCTION("""COMPUTED_VALUE"""),"+2.01")</f>
        <v>+2.01</v>
      </c>
      <c r="F154" s="1">
        <f ca="1">IFERROR(__xludf.DUMMYFUNCTION("""COMPUTED_VALUE"""),101.4)</f>
        <v>101.4</v>
      </c>
      <c r="G154" s="1">
        <f ca="1">IFERROR(__xludf.DUMMYFUNCTION("""COMPUTED_VALUE"""),235)</f>
        <v>235</v>
      </c>
      <c r="H154" s="1">
        <f ca="1">IFERROR(__xludf.DUMMYFUNCTION("""COMPUTED_VALUE"""),99.4)</f>
        <v>99.4</v>
      </c>
      <c r="I154" s="1">
        <f ca="1">IFERROR(__xludf.DUMMYFUNCTION("""COMPUTED_VALUE"""),71)</f>
        <v>71</v>
      </c>
      <c r="J154" s="1">
        <f ca="1">IFERROR(__xludf.DUMMYFUNCTION("""COMPUTED_VALUE"""),65.1)</f>
        <v>65.099999999999994</v>
      </c>
      <c r="K154" s="1">
        <f ca="1">IFERROR(__xludf.DUMMYFUNCTION("""COMPUTED_VALUE"""),312)</f>
        <v>312</v>
      </c>
      <c r="L154" s="1" t="str">
        <f ca="1">IFERROR(__xludf.DUMMYFUNCTION("""COMPUTED_VALUE"""),"+.057")</f>
        <v>+.057</v>
      </c>
      <c r="M154" s="1">
        <f ca="1">IFERROR(__xludf.DUMMYFUNCTION("""COMPUTED_VALUE"""),50)</f>
        <v>50</v>
      </c>
      <c r="N154" s="1">
        <f ca="1">IFERROR(__xludf.DUMMYFUNCTION("""COMPUTED_VALUE"""),-1.68)</f>
        <v>-1.68</v>
      </c>
      <c r="O154" s="1">
        <f ca="1">IFERROR(__xludf.DUMMYFUNCTION("""COMPUTED_VALUE"""),191)</f>
        <v>191</v>
      </c>
      <c r="P154" s="1">
        <f ca="1">IFERROR(__xludf.DUMMYFUNCTION("""COMPUTED_VALUE"""),104.5)</f>
        <v>104.5</v>
      </c>
      <c r="Q154" s="1">
        <f ca="1">IFERROR(__xludf.DUMMYFUNCTION("""COMPUTED_VALUE"""),172)</f>
        <v>172</v>
      </c>
      <c r="R154" s="1">
        <f ca="1">IFERROR(__xludf.DUMMYFUNCTION("""COMPUTED_VALUE"""),106.1)</f>
        <v>106.1</v>
      </c>
      <c r="S154" s="1">
        <f ca="1">IFERROR(__xludf.DUMMYFUNCTION("""COMPUTED_VALUE"""),203)</f>
        <v>203</v>
      </c>
      <c r="T154" s="1">
        <f ca="1">IFERROR(__xludf.DUMMYFUNCTION("""COMPUTED_VALUE"""),-1.15)</f>
        <v>-1.1499999999999999</v>
      </c>
      <c r="U154" s="1">
        <f ca="1">IFERROR(__xludf.DUMMYFUNCTION("""COMPUTED_VALUE"""),196)</f>
        <v>196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IFERROR(__xludf.DUMMYFUNCTION("""COMPUTED_VALUE"""),"Marshall")</f>
        <v>Marshall</v>
      </c>
      <c r="C155" s="1" t="str">
        <f ca="1">IFERROR(__xludf.DUMMYFUNCTION("""COMPUTED_VALUE"""),"CUSA")</f>
        <v>CUSA</v>
      </c>
      <c r="D155" s="1" t="str">
        <f ca="1">IFERROR(__xludf.DUMMYFUNCTION("""COMPUTED_VALUE"""),"17-16")</f>
        <v>17-16</v>
      </c>
      <c r="E155" s="1" t="str">
        <f ca="1">IFERROR(__xludf.DUMMYFUNCTION("""COMPUTED_VALUE"""),"+1.84")</f>
        <v>+1.84</v>
      </c>
      <c r="F155" s="1">
        <f ca="1">IFERROR(__xludf.DUMMYFUNCTION("""COMPUTED_VALUE"""),111)</f>
        <v>111</v>
      </c>
      <c r="G155" s="1">
        <f ca="1">IFERROR(__xludf.DUMMYFUNCTION("""COMPUTED_VALUE"""),75)</f>
        <v>75</v>
      </c>
      <c r="H155" s="1">
        <f ca="1">IFERROR(__xludf.DUMMYFUNCTION("""COMPUTED_VALUE"""),109.1)</f>
        <v>109.1</v>
      </c>
      <c r="I155" s="1">
        <f ca="1">IFERROR(__xludf.DUMMYFUNCTION("""COMPUTED_VALUE"""),260)</f>
        <v>260</v>
      </c>
      <c r="J155" s="1">
        <f ca="1">IFERROR(__xludf.DUMMYFUNCTION("""COMPUTED_VALUE"""),77.3)</f>
        <v>77.3</v>
      </c>
      <c r="K155" s="1">
        <f ca="1">IFERROR(__xludf.DUMMYFUNCTION("""COMPUTED_VALUE"""),3)</f>
        <v>3</v>
      </c>
      <c r="L155" s="1">
        <f ca="1">IFERROR(__xludf.DUMMYFUNCTION("""COMPUTED_VALUE"""),-0.018)</f>
        <v>-1.7999999999999999E-2</v>
      </c>
      <c r="M155" s="1">
        <f ca="1">IFERROR(__xludf.DUMMYFUNCTION("""COMPUTED_VALUE"""),228)</f>
        <v>228</v>
      </c>
      <c r="N155" s="1">
        <f ca="1">IFERROR(__xludf.DUMMYFUNCTION("""COMPUTED_VALUE"""),-0.49)</f>
        <v>-0.49</v>
      </c>
      <c r="O155" s="1">
        <f ca="1">IFERROR(__xludf.DUMMYFUNCTION("""COMPUTED_VALUE"""),160)</f>
        <v>160</v>
      </c>
      <c r="P155" s="1">
        <f ca="1">IFERROR(__xludf.DUMMYFUNCTION("""COMPUTED_VALUE"""),105.4)</f>
        <v>105.4</v>
      </c>
      <c r="Q155" s="1">
        <f ca="1">IFERROR(__xludf.DUMMYFUNCTION("""COMPUTED_VALUE"""),129)</f>
        <v>129</v>
      </c>
      <c r="R155" s="1">
        <f ca="1">IFERROR(__xludf.DUMMYFUNCTION("""COMPUTED_VALUE"""),105.9)</f>
        <v>105.9</v>
      </c>
      <c r="S155" s="1">
        <f ca="1">IFERROR(__xludf.DUMMYFUNCTION("""COMPUTED_VALUE"""),190)</f>
        <v>190</v>
      </c>
      <c r="T155" s="1" t="str">
        <f ca="1">IFERROR(__xludf.DUMMYFUNCTION("""COMPUTED_VALUE"""),"+4.28")</f>
        <v>+4.28</v>
      </c>
      <c r="U155" s="1">
        <f ca="1">IFERROR(__xludf.DUMMYFUNCTION("""COMPUTED_VALUE"""),53)</f>
        <v>53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IFERROR(__xludf.DUMMYFUNCTION("""COMPUTED_VALUE"""),"Nebraska Omaha")</f>
        <v>Nebraska Omaha</v>
      </c>
      <c r="C156" s="1" t="str">
        <f ca="1">IFERROR(__xludf.DUMMYFUNCTION("""COMPUTED_VALUE"""),"Sum")</f>
        <v>Sum</v>
      </c>
      <c r="D156" s="1" t="str">
        <f ca="1">IFERROR(__xludf.DUMMYFUNCTION("""COMPUTED_VALUE"""),"18-14")</f>
        <v>18-14</v>
      </c>
      <c r="E156" s="1" t="str">
        <f ca="1">IFERROR(__xludf.DUMMYFUNCTION("""COMPUTED_VALUE"""),"+1.83")</f>
        <v>+1.83</v>
      </c>
      <c r="F156" s="1">
        <f ca="1">IFERROR(__xludf.DUMMYFUNCTION("""COMPUTED_VALUE"""),109.7)</f>
        <v>109.7</v>
      </c>
      <c r="G156" s="1">
        <f ca="1">IFERROR(__xludf.DUMMYFUNCTION("""COMPUTED_VALUE"""),93)</f>
        <v>93</v>
      </c>
      <c r="H156" s="1">
        <f ca="1">IFERROR(__xludf.DUMMYFUNCTION("""COMPUTED_VALUE"""),107.9)</f>
        <v>107.9</v>
      </c>
      <c r="I156" s="1">
        <f ca="1">IFERROR(__xludf.DUMMYFUNCTION("""COMPUTED_VALUE"""),231)</f>
        <v>231</v>
      </c>
      <c r="J156" s="1">
        <f ca="1">IFERROR(__xludf.DUMMYFUNCTION("""COMPUTED_VALUE"""),76.2)</f>
        <v>76.2</v>
      </c>
      <c r="K156" s="1">
        <f ca="1">IFERROR(__xludf.DUMMYFUNCTION("""COMPUTED_VALUE"""),5)</f>
        <v>5</v>
      </c>
      <c r="L156" s="1">
        <f ca="1">IFERROR(__xludf.DUMMYFUNCTION("""COMPUTED_VALUE"""),-0.052)</f>
        <v>-5.1999999999999998E-2</v>
      </c>
      <c r="M156" s="1">
        <f ca="1">IFERROR(__xludf.DUMMYFUNCTION("""COMPUTED_VALUE"""),296)</f>
        <v>296</v>
      </c>
      <c r="N156" s="1">
        <f ca="1">IFERROR(__xludf.DUMMYFUNCTION("""COMPUTED_VALUE"""),-0.98)</f>
        <v>-0.98</v>
      </c>
      <c r="O156" s="1">
        <f ca="1">IFERROR(__xludf.DUMMYFUNCTION("""COMPUTED_VALUE"""),170)</f>
        <v>170</v>
      </c>
      <c r="P156" s="1">
        <f ca="1">IFERROR(__xludf.DUMMYFUNCTION("""COMPUTED_VALUE"""),105.1)</f>
        <v>105.1</v>
      </c>
      <c r="Q156" s="1">
        <f ca="1">IFERROR(__xludf.DUMMYFUNCTION("""COMPUTED_VALUE"""),146)</f>
        <v>146</v>
      </c>
      <c r="R156" s="1">
        <f ca="1">IFERROR(__xludf.DUMMYFUNCTION("""COMPUTED_VALUE"""),106.1)</f>
        <v>106.1</v>
      </c>
      <c r="S156" s="1">
        <f ca="1">IFERROR(__xludf.DUMMYFUNCTION("""COMPUTED_VALUE"""),202)</f>
        <v>202</v>
      </c>
      <c r="T156" s="1">
        <f ca="1">IFERROR(__xludf.DUMMYFUNCTION("""COMPUTED_VALUE"""),-1.05)</f>
        <v>-1.05</v>
      </c>
      <c r="U156" s="1">
        <f ca="1">IFERROR(__xludf.DUMMYFUNCTION("""COMPUTED_VALUE"""),194)</f>
        <v>194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IFERROR(__xludf.DUMMYFUNCTION("""COMPUTED_VALUE"""),"High Point8")</f>
        <v>High Point8</v>
      </c>
      <c r="C157" s="1" t="str">
        <f ca="1">IFERROR(__xludf.DUMMYFUNCTION("""COMPUTED_VALUE"""),"BSth")</f>
        <v>BSth</v>
      </c>
      <c r="D157" s="1" t="str">
        <f ca="1">IFERROR(__xludf.DUMMYFUNCTION("""COMPUTED_VALUE"""),"21-11")</f>
        <v>21-11</v>
      </c>
      <c r="E157" s="1" t="str">
        <f ca="1">IFERROR(__xludf.DUMMYFUNCTION("""COMPUTED_VALUE"""),"+1.54")</f>
        <v>+1.54</v>
      </c>
      <c r="F157" s="1">
        <f ca="1">IFERROR(__xludf.DUMMYFUNCTION("""COMPUTED_VALUE"""),110.8)</f>
        <v>110.8</v>
      </c>
      <c r="G157" s="1">
        <f ca="1">IFERROR(__xludf.DUMMYFUNCTION("""COMPUTED_VALUE"""),76)</f>
        <v>76</v>
      </c>
      <c r="H157" s="1">
        <f ca="1">IFERROR(__xludf.DUMMYFUNCTION("""COMPUTED_VALUE"""),109.2)</f>
        <v>109.2</v>
      </c>
      <c r="I157" s="1">
        <f ca="1">IFERROR(__xludf.DUMMYFUNCTION("""COMPUTED_VALUE"""),262)</f>
        <v>262</v>
      </c>
      <c r="J157" s="1">
        <f ca="1">IFERROR(__xludf.DUMMYFUNCTION("""COMPUTED_VALUE"""),66.1)</f>
        <v>66.099999999999994</v>
      </c>
      <c r="K157" s="1">
        <f ca="1">IFERROR(__xludf.DUMMYFUNCTION("""COMPUTED_VALUE"""),269)</f>
        <v>269</v>
      </c>
      <c r="L157" s="1">
        <f ca="1">IFERROR(__xludf.DUMMYFUNCTION("""COMPUTED_VALUE"""),-0.012)</f>
        <v>-1.2E-2</v>
      </c>
      <c r="M157" s="1">
        <f ca="1">IFERROR(__xludf.DUMMYFUNCTION("""COMPUTED_VALUE"""),209)</f>
        <v>209</v>
      </c>
      <c r="N157" s="1">
        <f ca="1">IFERROR(__xludf.DUMMYFUNCTION("""COMPUTED_VALUE"""),-4.65)</f>
        <v>-4.6500000000000004</v>
      </c>
      <c r="O157" s="1">
        <f ca="1">IFERROR(__xludf.DUMMYFUNCTION("""COMPUTED_VALUE"""),255)</f>
        <v>255</v>
      </c>
      <c r="P157" s="1">
        <f ca="1">IFERROR(__xludf.DUMMYFUNCTION("""COMPUTED_VALUE"""),102.5)</f>
        <v>102.5</v>
      </c>
      <c r="Q157" s="1">
        <f ca="1">IFERROR(__xludf.DUMMYFUNCTION("""COMPUTED_VALUE"""),261)</f>
        <v>261</v>
      </c>
      <c r="R157" s="1">
        <f ca="1">IFERROR(__xludf.DUMMYFUNCTION("""COMPUTED_VALUE"""),107.2)</f>
        <v>107.2</v>
      </c>
      <c r="S157" s="1">
        <f ca="1">IFERROR(__xludf.DUMMYFUNCTION("""COMPUTED_VALUE"""),246)</f>
        <v>246</v>
      </c>
      <c r="T157" s="1" t="str">
        <f ca="1">IFERROR(__xludf.DUMMYFUNCTION("""COMPUTED_VALUE"""),"+3.08")</f>
        <v>+3.08</v>
      </c>
      <c r="U157" s="1">
        <f ca="1">IFERROR(__xludf.DUMMYFUNCTION("""COMPUTED_VALUE"""),81)</f>
        <v>81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IFERROR(__xludf.DUMMYFUNCTION("""COMPUTED_VALUE"""),"Eastern Michigan")</f>
        <v>Eastern Michigan</v>
      </c>
      <c r="C158" s="1" t="str">
        <f ca="1">IFERROR(__xludf.DUMMYFUNCTION("""COMPUTED_VALUE"""),"MAC")</f>
        <v>MAC</v>
      </c>
      <c r="D158" s="1" t="str">
        <f ca="1">IFERROR(__xludf.DUMMYFUNCTION("""COMPUTED_VALUE"""),"18-15")</f>
        <v>18-15</v>
      </c>
      <c r="E158" s="1" t="str">
        <f ca="1">IFERROR(__xludf.DUMMYFUNCTION("""COMPUTED_VALUE"""),"+1.27")</f>
        <v>+1.27</v>
      </c>
      <c r="F158" s="1">
        <f ca="1">IFERROR(__xludf.DUMMYFUNCTION("""COMPUTED_VALUE"""),106.7)</f>
        <v>106.7</v>
      </c>
      <c r="G158" s="1">
        <f ca="1">IFERROR(__xludf.DUMMYFUNCTION("""COMPUTED_VALUE"""),144)</f>
        <v>144</v>
      </c>
      <c r="H158" s="1">
        <f ca="1">IFERROR(__xludf.DUMMYFUNCTION("""COMPUTED_VALUE"""),105.4)</f>
        <v>105.4</v>
      </c>
      <c r="I158" s="1">
        <f ca="1">IFERROR(__xludf.DUMMYFUNCTION("""COMPUTED_VALUE"""),185)</f>
        <v>185</v>
      </c>
      <c r="J158" s="1">
        <f ca="1">IFERROR(__xludf.DUMMYFUNCTION("""COMPUTED_VALUE"""),70.3)</f>
        <v>70.3</v>
      </c>
      <c r="K158" s="1">
        <f ca="1">IFERROR(__xludf.DUMMYFUNCTION("""COMPUTED_VALUE"""),70)</f>
        <v>70</v>
      </c>
      <c r="L158" s="1" t="str">
        <f ca="1">IFERROR(__xludf.DUMMYFUNCTION("""COMPUTED_VALUE"""),"+.013")</f>
        <v>+.013</v>
      </c>
      <c r="M158" s="1">
        <f ca="1">IFERROR(__xludf.DUMMYFUNCTION("""COMPUTED_VALUE"""),145)</f>
        <v>145</v>
      </c>
      <c r="N158" s="1" t="str">
        <f ca="1">IFERROR(__xludf.DUMMYFUNCTION("""COMPUTED_VALUE"""),"+1.54")</f>
        <v>+1.54</v>
      </c>
      <c r="O158" s="1">
        <f ca="1">IFERROR(__xludf.DUMMYFUNCTION("""COMPUTED_VALUE"""),123)</f>
        <v>123</v>
      </c>
      <c r="P158" s="1">
        <f ca="1">IFERROR(__xludf.DUMMYFUNCTION("""COMPUTED_VALUE"""),106.9)</f>
        <v>106.9</v>
      </c>
      <c r="Q158" s="1">
        <f ca="1">IFERROR(__xludf.DUMMYFUNCTION("""COMPUTED_VALUE"""),86)</f>
        <v>86</v>
      </c>
      <c r="R158" s="1">
        <f ca="1">IFERROR(__xludf.DUMMYFUNCTION("""COMPUTED_VALUE"""),105.4)</f>
        <v>105.4</v>
      </c>
      <c r="S158" s="1">
        <f ca="1">IFERROR(__xludf.DUMMYFUNCTION("""COMPUTED_VALUE"""),170)</f>
        <v>170</v>
      </c>
      <c r="T158" s="1" t="str">
        <f ca="1">IFERROR(__xludf.DUMMYFUNCTION("""COMPUTED_VALUE"""),"+5.22")</f>
        <v>+5.22</v>
      </c>
      <c r="U158" s="1">
        <f ca="1">IFERROR(__xludf.DUMMYFUNCTION("""COMPUTED_VALUE"""),34)</f>
        <v>34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IFERROR(__xludf.DUMMYFUNCTION("""COMPUTED_VALUE"""),"Vermont")</f>
        <v>Vermont</v>
      </c>
      <c r="C159" s="1" t="str">
        <f ca="1">IFERROR(__xludf.DUMMYFUNCTION("""COMPUTED_VALUE"""),"AE")</f>
        <v>AE</v>
      </c>
      <c r="D159" s="1" t="str">
        <f ca="1">IFERROR(__xludf.DUMMYFUNCTION("""COMPUTED_VALUE"""),"23-14")</f>
        <v>23-14</v>
      </c>
      <c r="E159" s="1" t="str">
        <f ca="1">IFERROR(__xludf.DUMMYFUNCTION("""COMPUTED_VALUE"""),"+1.19")</f>
        <v>+1.19</v>
      </c>
      <c r="F159" s="1">
        <f ca="1">IFERROR(__xludf.DUMMYFUNCTION("""COMPUTED_VALUE"""),107.8)</f>
        <v>107.8</v>
      </c>
      <c r="G159" s="1">
        <f ca="1">IFERROR(__xludf.DUMMYFUNCTION("""COMPUTED_VALUE"""),119)</f>
        <v>119</v>
      </c>
      <c r="H159" s="1">
        <f ca="1">IFERROR(__xludf.DUMMYFUNCTION("""COMPUTED_VALUE"""),106.6)</f>
        <v>106.6</v>
      </c>
      <c r="I159" s="1">
        <f ca="1">IFERROR(__xludf.DUMMYFUNCTION("""COMPUTED_VALUE"""),203)</f>
        <v>203</v>
      </c>
      <c r="J159" s="1">
        <f ca="1">IFERROR(__xludf.DUMMYFUNCTION("""COMPUTED_VALUE"""),67.6)</f>
        <v>67.599999999999994</v>
      </c>
      <c r="K159" s="1">
        <f ca="1">IFERROR(__xludf.DUMMYFUNCTION("""COMPUTED_VALUE"""),197)</f>
        <v>197</v>
      </c>
      <c r="L159" s="1" t="str">
        <f ca="1">IFERROR(__xludf.DUMMYFUNCTION("""COMPUTED_VALUE"""),"+.028")</f>
        <v>+.028</v>
      </c>
      <c r="M159" s="1">
        <f ca="1">IFERROR(__xludf.DUMMYFUNCTION("""COMPUTED_VALUE"""),103)</f>
        <v>103</v>
      </c>
      <c r="N159" s="1">
        <f ca="1">IFERROR(__xludf.DUMMYFUNCTION("""COMPUTED_VALUE"""),-4.68)</f>
        <v>-4.68</v>
      </c>
      <c r="O159" s="1">
        <f ca="1">IFERROR(__xludf.DUMMYFUNCTION("""COMPUTED_VALUE"""),257)</f>
        <v>257</v>
      </c>
      <c r="P159" s="1">
        <f ca="1">IFERROR(__xludf.DUMMYFUNCTION("""COMPUTED_VALUE"""),101.7)</f>
        <v>101.7</v>
      </c>
      <c r="Q159" s="1">
        <f ca="1">IFERROR(__xludf.DUMMYFUNCTION("""COMPUTED_VALUE"""),292)</f>
        <v>292</v>
      </c>
      <c r="R159" s="1">
        <f ca="1">IFERROR(__xludf.DUMMYFUNCTION("""COMPUTED_VALUE"""),106.4)</f>
        <v>106.4</v>
      </c>
      <c r="S159" s="1">
        <f ca="1">IFERROR(__xludf.DUMMYFUNCTION("""COMPUTED_VALUE"""),216)</f>
        <v>216</v>
      </c>
      <c r="T159" s="1" t="str">
        <f ca="1">IFERROR(__xludf.DUMMYFUNCTION("""COMPUTED_VALUE"""),"+3.58")</f>
        <v>+3.58</v>
      </c>
      <c r="U159" s="1">
        <f ca="1">IFERROR(__xludf.DUMMYFUNCTION("""COMPUTED_VALUE"""),68)</f>
        <v>68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IFERROR(__xludf.DUMMYFUNCTION("""COMPUTED_VALUE"""),"Towson")</f>
        <v>Towson</v>
      </c>
      <c r="C160" s="1" t="str">
        <f ca="1">IFERROR(__xludf.DUMMYFUNCTION("""COMPUTED_VALUE"""),"CAA")</f>
        <v>CAA</v>
      </c>
      <c r="D160" s="1" t="str">
        <f ca="1">IFERROR(__xludf.DUMMYFUNCTION("""COMPUTED_VALUE"""),"20-13")</f>
        <v>20-13</v>
      </c>
      <c r="E160" s="1" t="str">
        <f ca="1">IFERROR(__xludf.DUMMYFUNCTION("""COMPUTED_VALUE"""),"+0.98")</f>
        <v>+0.98</v>
      </c>
      <c r="F160" s="1">
        <f ca="1">IFERROR(__xludf.DUMMYFUNCTION("""COMPUTED_VALUE"""),105.4)</f>
        <v>105.4</v>
      </c>
      <c r="G160" s="1">
        <f ca="1">IFERROR(__xludf.DUMMYFUNCTION("""COMPUTED_VALUE"""),165)</f>
        <v>165</v>
      </c>
      <c r="H160" s="1">
        <f ca="1">IFERROR(__xludf.DUMMYFUNCTION("""COMPUTED_VALUE"""),104.4)</f>
        <v>104.4</v>
      </c>
      <c r="I160" s="1">
        <f ca="1">IFERROR(__xludf.DUMMYFUNCTION("""COMPUTED_VALUE"""),167)</f>
        <v>167</v>
      </c>
      <c r="J160" s="1">
        <f ca="1">IFERROR(__xludf.DUMMYFUNCTION("""COMPUTED_VALUE"""),65.7)</f>
        <v>65.7</v>
      </c>
      <c r="K160" s="1">
        <f ca="1">IFERROR(__xludf.DUMMYFUNCTION("""COMPUTED_VALUE"""),297)</f>
        <v>297</v>
      </c>
      <c r="L160" s="1" t="str">
        <f ca="1">IFERROR(__xludf.DUMMYFUNCTION("""COMPUTED_VALUE"""),"+.043")</f>
        <v>+.043</v>
      </c>
      <c r="M160" s="1">
        <f ca="1">IFERROR(__xludf.DUMMYFUNCTION("""COMPUTED_VALUE"""),77)</f>
        <v>77</v>
      </c>
      <c r="N160" s="1">
        <f ca="1">IFERROR(__xludf.DUMMYFUNCTION("""COMPUTED_VALUE"""),-1.44)</f>
        <v>-1.44</v>
      </c>
      <c r="O160" s="1">
        <f ca="1">IFERROR(__xludf.DUMMYFUNCTION("""COMPUTED_VALUE"""),183)</f>
        <v>183</v>
      </c>
      <c r="P160" s="1">
        <f ca="1">IFERROR(__xludf.DUMMYFUNCTION("""COMPUTED_VALUE"""),104.3)</f>
        <v>104.3</v>
      </c>
      <c r="Q160" s="1">
        <f ca="1">IFERROR(__xludf.DUMMYFUNCTION("""COMPUTED_VALUE"""),185)</f>
        <v>185</v>
      </c>
      <c r="R160" s="1">
        <f ca="1">IFERROR(__xludf.DUMMYFUNCTION("""COMPUTED_VALUE"""),105.7)</f>
        <v>105.7</v>
      </c>
      <c r="S160" s="1">
        <f ca="1">IFERROR(__xludf.DUMMYFUNCTION("""COMPUTED_VALUE"""),183)</f>
        <v>183</v>
      </c>
      <c r="T160" s="1">
        <f ca="1">IFERROR(__xludf.DUMMYFUNCTION("""COMPUTED_VALUE"""),-9.65)</f>
        <v>-9.65</v>
      </c>
      <c r="U160" s="1">
        <f ca="1">IFERROR(__xludf.DUMMYFUNCTION("""COMPUTED_VALUE"""),345)</f>
        <v>345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IFERROR(__xludf.DUMMYFUNCTION("""COMPUTED_VALUE"""),"East Tennessee St.")</f>
        <v>East Tennessee St.</v>
      </c>
      <c r="C161" s="1" t="str">
        <f ca="1">IFERROR(__xludf.DUMMYFUNCTION("""COMPUTED_VALUE"""),"SC")</f>
        <v>SC</v>
      </c>
      <c r="D161" s="1" t="str">
        <f ca="1">IFERROR(__xludf.DUMMYFUNCTION("""COMPUTED_VALUE"""),"24-12")</f>
        <v>24-12</v>
      </c>
      <c r="E161" s="1" t="str">
        <f ca="1">IFERROR(__xludf.DUMMYFUNCTION("""COMPUTED_VALUE"""),"+0.88")</f>
        <v>+0.88</v>
      </c>
      <c r="F161" s="1">
        <f ca="1">IFERROR(__xludf.DUMMYFUNCTION("""COMPUTED_VALUE"""),107.7)</f>
        <v>107.7</v>
      </c>
      <c r="G161" s="1">
        <f ca="1">IFERROR(__xludf.DUMMYFUNCTION("""COMPUTED_VALUE"""),120)</f>
        <v>120</v>
      </c>
      <c r="H161" s="1">
        <f ca="1">IFERROR(__xludf.DUMMYFUNCTION("""COMPUTED_VALUE"""),106.8)</f>
        <v>106.8</v>
      </c>
      <c r="I161" s="1">
        <f ca="1">IFERROR(__xludf.DUMMYFUNCTION("""COMPUTED_VALUE"""),211)</f>
        <v>211</v>
      </c>
      <c r="J161" s="1">
        <f ca="1">IFERROR(__xludf.DUMMYFUNCTION("""COMPUTED_VALUE"""),69.7)</f>
        <v>69.7</v>
      </c>
      <c r="K161" s="1">
        <f ca="1">IFERROR(__xludf.DUMMYFUNCTION("""COMPUTED_VALUE"""),91)</f>
        <v>91</v>
      </c>
      <c r="L161" s="1" t="str">
        <f ca="1">IFERROR(__xludf.DUMMYFUNCTION("""COMPUTED_VALUE"""),"+.124")</f>
        <v>+.124</v>
      </c>
      <c r="M161" s="1">
        <f ca="1">IFERROR(__xludf.DUMMYFUNCTION("""COMPUTED_VALUE"""),5)</f>
        <v>5</v>
      </c>
      <c r="N161" s="1">
        <f ca="1">IFERROR(__xludf.DUMMYFUNCTION("""COMPUTED_VALUE"""),-1.48)</f>
        <v>-1.48</v>
      </c>
      <c r="O161" s="1">
        <f ca="1">IFERROR(__xludf.DUMMYFUNCTION("""COMPUTED_VALUE"""),184)</f>
        <v>184</v>
      </c>
      <c r="P161" s="1">
        <f ca="1">IFERROR(__xludf.DUMMYFUNCTION("""COMPUTED_VALUE"""),105.3)</f>
        <v>105.3</v>
      </c>
      <c r="Q161" s="1">
        <f ca="1">IFERROR(__xludf.DUMMYFUNCTION("""COMPUTED_VALUE"""),136)</f>
        <v>136</v>
      </c>
      <c r="R161" s="1">
        <f ca="1">IFERROR(__xludf.DUMMYFUNCTION("""COMPUTED_VALUE"""),106.8)</f>
        <v>106.8</v>
      </c>
      <c r="S161" s="1">
        <f ca="1">IFERROR(__xludf.DUMMYFUNCTION("""COMPUTED_VALUE"""),231)</f>
        <v>231</v>
      </c>
      <c r="T161" s="1" t="str">
        <f ca="1">IFERROR(__xludf.DUMMYFUNCTION("""COMPUTED_VALUE"""),"+3.30")</f>
        <v>+3.30</v>
      </c>
      <c r="U161" s="1">
        <f ca="1">IFERROR(__xludf.DUMMYFUNCTION("""COMPUTED_VALUE"""),72)</f>
        <v>72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IFERROR(__xludf.DUMMYFUNCTION("""COMPUTED_VALUE"""),"Louisiana Tech")</f>
        <v>Louisiana Tech</v>
      </c>
      <c r="C162" s="1" t="str">
        <f ca="1">IFERROR(__xludf.DUMMYFUNCTION("""COMPUTED_VALUE"""),"CUSA")</f>
        <v>CUSA</v>
      </c>
      <c r="D162" s="1" t="str">
        <f ca="1">IFERROR(__xludf.DUMMYFUNCTION("""COMPUTED_VALUE"""),"23-10")</f>
        <v>23-10</v>
      </c>
      <c r="E162" s="1" t="str">
        <f ca="1">IFERROR(__xludf.DUMMYFUNCTION("""COMPUTED_VALUE"""),"+0.87")</f>
        <v>+0.87</v>
      </c>
      <c r="F162" s="1">
        <f ca="1">IFERROR(__xludf.DUMMYFUNCTION("""COMPUTED_VALUE"""),104.6)</f>
        <v>104.6</v>
      </c>
      <c r="G162" s="1">
        <f ca="1">IFERROR(__xludf.DUMMYFUNCTION("""COMPUTED_VALUE"""),174)</f>
        <v>174</v>
      </c>
      <c r="H162" s="1">
        <f ca="1">IFERROR(__xludf.DUMMYFUNCTION("""COMPUTED_VALUE"""),103.7)</f>
        <v>103.7</v>
      </c>
      <c r="I162" s="1">
        <f ca="1">IFERROR(__xludf.DUMMYFUNCTION("""COMPUTED_VALUE"""),153)</f>
        <v>153</v>
      </c>
      <c r="J162" s="1">
        <f ca="1">IFERROR(__xludf.DUMMYFUNCTION("""COMPUTED_VALUE"""),71.7)</f>
        <v>71.7</v>
      </c>
      <c r="K162" s="1">
        <f ca="1">IFERROR(__xludf.DUMMYFUNCTION("""COMPUTED_VALUE"""),37)</f>
        <v>37</v>
      </c>
      <c r="L162" s="1" t="str">
        <f ca="1">IFERROR(__xludf.DUMMYFUNCTION("""COMPUTED_VALUE"""),"+.047")</f>
        <v>+.047</v>
      </c>
      <c r="M162" s="1">
        <f ca="1">IFERROR(__xludf.DUMMYFUNCTION("""COMPUTED_VALUE"""),67)</f>
        <v>67</v>
      </c>
      <c r="N162" s="1">
        <f ca="1">IFERROR(__xludf.DUMMYFUNCTION("""COMPUTED_VALUE"""),-5.2)</f>
        <v>-5.2</v>
      </c>
      <c r="O162" s="1">
        <f ca="1">IFERROR(__xludf.DUMMYFUNCTION("""COMPUTED_VALUE"""),271)</f>
        <v>271</v>
      </c>
      <c r="P162" s="1">
        <f ca="1">IFERROR(__xludf.DUMMYFUNCTION("""COMPUTED_VALUE"""),102.4)</f>
        <v>102.4</v>
      </c>
      <c r="Q162" s="1">
        <f ca="1">IFERROR(__xludf.DUMMYFUNCTION("""COMPUTED_VALUE"""),265)</f>
        <v>265</v>
      </c>
      <c r="R162" s="1">
        <f ca="1">IFERROR(__xludf.DUMMYFUNCTION("""COMPUTED_VALUE"""),107.6)</f>
        <v>107.6</v>
      </c>
      <c r="S162" s="1">
        <f ca="1">IFERROR(__xludf.DUMMYFUNCTION("""COMPUTED_VALUE"""),276)</f>
        <v>276</v>
      </c>
      <c r="T162" s="1">
        <f ca="1">IFERROR(__xludf.DUMMYFUNCTION("""COMPUTED_VALUE"""),-2.88)</f>
        <v>-2.88</v>
      </c>
      <c r="U162" s="1">
        <f ca="1">IFERROR(__xludf.DUMMYFUNCTION("""COMPUTED_VALUE"""),243)</f>
        <v>243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IFERROR(__xludf.DUMMYFUNCTION("""COMPUTED_VALUE"""),"Ball St.")</f>
        <v>Ball St.</v>
      </c>
      <c r="C163" s="1" t="str">
        <f ca="1">IFERROR(__xludf.DUMMYFUNCTION("""COMPUTED_VALUE"""),"MAC")</f>
        <v>MAC</v>
      </c>
      <c r="D163" s="1" t="str">
        <f ca="1">IFERROR(__xludf.DUMMYFUNCTION("""COMPUTED_VALUE"""),"21-14")</f>
        <v>21-14</v>
      </c>
      <c r="E163" s="1" t="str">
        <f ca="1">IFERROR(__xludf.DUMMYFUNCTION("""COMPUTED_VALUE"""),"+0.84")</f>
        <v>+0.84</v>
      </c>
      <c r="F163" s="1">
        <f ca="1">IFERROR(__xludf.DUMMYFUNCTION("""COMPUTED_VALUE"""),103.5)</f>
        <v>103.5</v>
      </c>
      <c r="G163" s="1">
        <f ca="1">IFERROR(__xludf.DUMMYFUNCTION("""COMPUTED_VALUE"""),190)</f>
        <v>190</v>
      </c>
      <c r="H163" s="1">
        <f ca="1">IFERROR(__xludf.DUMMYFUNCTION("""COMPUTED_VALUE"""),102.6)</f>
        <v>102.6</v>
      </c>
      <c r="I163" s="1">
        <f ca="1">IFERROR(__xludf.DUMMYFUNCTION("""COMPUTED_VALUE"""),130)</f>
        <v>130</v>
      </c>
      <c r="J163" s="1">
        <f ca="1">IFERROR(__xludf.DUMMYFUNCTION("""COMPUTED_VALUE"""),65.3)</f>
        <v>65.3</v>
      </c>
      <c r="K163" s="1">
        <f ca="1">IFERROR(__xludf.DUMMYFUNCTION("""COMPUTED_VALUE"""),304)</f>
        <v>304</v>
      </c>
      <c r="L163" s="1">
        <f ca="1">IFERROR(__xludf.DUMMYFUNCTION("""COMPUTED_VALUE"""),-0.017)</f>
        <v>-1.7000000000000001E-2</v>
      </c>
      <c r="M163" s="1">
        <f ca="1">IFERROR(__xludf.DUMMYFUNCTION("""COMPUTED_VALUE"""),226)</f>
        <v>226</v>
      </c>
      <c r="N163" s="1">
        <f ca="1">IFERROR(__xludf.DUMMYFUNCTION("""COMPUTED_VALUE"""),-3.75)</f>
        <v>-3.75</v>
      </c>
      <c r="O163" s="1">
        <f ca="1">IFERROR(__xludf.DUMMYFUNCTION("""COMPUTED_VALUE"""),231)</f>
        <v>231</v>
      </c>
      <c r="P163" s="1">
        <f ca="1">IFERROR(__xludf.DUMMYFUNCTION("""COMPUTED_VALUE"""),102.9)</f>
        <v>102.9</v>
      </c>
      <c r="Q163" s="1">
        <f ca="1">IFERROR(__xludf.DUMMYFUNCTION("""COMPUTED_VALUE"""),247)</f>
        <v>247</v>
      </c>
      <c r="R163" s="1">
        <f ca="1">IFERROR(__xludf.DUMMYFUNCTION("""COMPUTED_VALUE"""),106.7)</f>
        <v>106.7</v>
      </c>
      <c r="S163" s="1">
        <f ca="1">IFERROR(__xludf.DUMMYFUNCTION("""COMPUTED_VALUE"""),224)</f>
        <v>224</v>
      </c>
      <c r="T163" s="1">
        <f ca="1">IFERROR(__xludf.DUMMYFUNCTION("""COMPUTED_VALUE"""),-9.95)</f>
        <v>-9.9499999999999993</v>
      </c>
      <c r="U163" s="1">
        <f ca="1">IFERROR(__xludf.DUMMYFUNCTION("""COMPUTED_VALUE"""),347)</f>
        <v>347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IFERROR(__xludf.DUMMYFUNCTION("""COMPUTED_VALUE"""),"Duquesne")</f>
        <v>Duquesne</v>
      </c>
      <c r="C164" s="1" t="str">
        <f ca="1">IFERROR(__xludf.DUMMYFUNCTION("""COMPUTED_VALUE"""),"A10")</f>
        <v>A10</v>
      </c>
      <c r="D164" s="1" t="str">
        <f ca="1">IFERROR(__xludf.DUMMYFUNCTION("""COMPUTED_VALUE"""),"17-17")</f>
        <v>17-17</v>
      </c>
      <c r="E164" s="1" t="str">
        <f ca="1">IFERROR(__xludf.DUMMYFUNCTION("""COMPUTED_VALUE"""),"+0.72")</f>
        <v>+0.72</v>
      </c>
      <c r="F164" s="1">
        <f ca="1">IFERROR(__xludf.DUMMYFUNCTION("""COMPUTED_VALUE"""),107.6)</f>
        <v>107.6</v>
      </c>
      <c r="G164" s="1">
        <f ca="1">IFERROR(__xludf.DUMMYFUNCTION("""COMPUTED_VALUE"""),123)</f>
        <v>123</v>
      </c>
      <c r="H164" s="1">
        <f ca="1">IFERROR(__xludf.DUMMYFUNCTION("""COMPUTED_VALUE"""),106.9)</f>
        <v>106.9</v>
      </c>
      <c r="I164" s="1">
        <f ca="1">IFERROR(__xludf.DUMMYFUNCTION("""COMPUTED_VALUE"""),212)</f>
        <v>212</v>
      </c>
      <c r="J164" s="1">
        <f ca="1">IFERROR(__xludf.DUMMYFUNCTION("""COMPUTED_VALUE"""),72.9)</f>
        <v>72.900000000000006</v>
      </c>
      <c r="K164" s="1">
        <f ca="1">IFERROR(__xludf.DUMMYFUNCTION("""COMPUTED_VALUE"""),16)</f>
        <v>16</v>
      </c>
      <c r="L164" s="1">
        <f ca="1">IFERROR(__xludf.DUMMYFUNCTION("""COMPUTED_VALUE"""),-0.01)</f>
        <v>-0.01</v>
      </c>
      <c r="M164" s="1">
        <f ca="1">IFERROR(__xludf.DUMMYFUNCTION("""COMPUTED_VALUE"""),204)</f>
        <v>204</v>
      </c>
      <c r="N164" s="1" t="str">
        <f ca="1">IFERROR(__xludf.DUMMYFUNCTION("""COMPUTED_VALUE"""),"+0.59")</f>
        <v>+0.59</v>
      </c>
      <c r="O164" s="1">
        <f ca="1">IFERROR(__xludf.DUMMYFUNCTION("""COMPUTED_VALUE"""),137)</f>
        <v>137</v>
      </c>
      <c r="P164" s="1">
        <f ca="1">IFERROR(__xludf.DUMMYFUNCTION("""COMPUTED_VALUE"""),105.7)</f>
        <v>105.7</v>
      </c>
      <c r="Q164" s="1">
        <f ca="1">IFERROR(__xludf.DUMMYFUNCTION("""COMPUTED_VALUE"""),117)</f>
        <v>117</v>
      </c>
      <c r="R164" s="1">
        <f ca="1">IFERROR(__xludf.DUMMYFUNCTION("""COMPUTED_VALUE"""),105.1)</f>
        <v>105.1</v>
      </c>
      <c r="S164" s="1">
        <f ca="1">IFERROR(__xludf.DUMMYFUNCTION("""COMPUTED_VALUE"""),157)</f>
        <v>157</v>
      </c>
      <c r="T164" s="1">
        <f ca="1">IFERROR(__xludf.DUMMYFUNCTION("""COMPUTED_VALUE"""),-7.59)</f>
        <v>-7.59</v>
      </c>
      <c r="U164" s="1">
        <f ca="1">IFERROR(__xludf.DUMMYFUNCTION("""COMPUTED_VALUE"""),332)</f>
        <v>332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IFERROR(__xludf.DUMMYFUNCTION("""COMPUTED_VALUE"""),"Winthrop")</f>
        <v>Winthrop</v>
      </c>
      <c r="C165" s="1" t="str">
        <f ca="1">IFERROR(__xludf.DUMMYFUNCTION("""COMPUTED_VALUE"""),"BSth")</f>
        <v>BSth</v>
      </c>
      <c r="D165" s="1" t="str">
        <f ca="1">IFERROR(__xludf.DUMMYFUNCTION("""COMPUTED_VALUE"""),"23-9")</f>
        <v>23-9</v>
      </c>
      <c r="E165" s="1" t="str">
        <f ca="1">IFERROR(__xludf.DUMMYFUNCTION("""COMPUTED_VALUE"""),"+0.69")</f>
        <v>+0.69</v>
      </c>
      <c r="F165" s="1">
        <f ca="1">IFERROR(__xludf.DUMMYFUNCTION("""COMPUTED_VALUE"""),108.4)</f>
        <v>108.4</v>
      </c>
      <c r="G165" s="1">
        <f ca="1">IFERROR(__xludf.DUMMYFUNCTION("""COMPUTED_VALUE"""),107)</f>
        <v>107</v>
      </c>
      <c r="H165" s="1">
        <f ca="1">IFERROR(__xludf.DUMMYFUNCTION("""COMPUTED_VALUE"""),107.7)</f>
        <v>107.7</v>
      </c>
      <c r="I165" s="1">
        <f ca="1">IFERROR(__xludf.DUMMYFUNCTION("""COMPUTED_VALUE"""),228)</f>
        <v>228</v>
      </c>
      <c r="J165" s="1">
        <f ca="1">IFERROR(__xludf.DUMMYFUNCTION("""COMPUTED_VALUE"""),72.8)</f>
        <v>72.8</v>
      </c>
      <c r="K165" s="1">
        <f ca="1">IFERROR(__xludf.DUMMYFUNCTION("""COMPUTED_VALUE"""),18)</f>
        <v>18</v>
      </c>
      <c r="L165" s="1" t="str">
        <f ca="1">IFERROR(__xludf.DUMMYFUNCTION("""COMPUTED_VALUE"""),"+.034")</f>
        <v>+.034</v>
      </c>
      <c r="M165" s="1">
        <f ca="1">IFERROR(__xludf.DUMMYFUNCTION("""COMPUTED_VALUE"""),92)</f>
        <v>92</v>
      </c>
      <c r="N165" s="1">
        <f ca="1">IFERROR(__xludf.DUMMYFUNCTION("""COMPUTED_VALUE"""),-6.36)</f>
        <v>-6.36</v>
      </c>
      <c r="O165" s="1">
        <f ca="1">IFERROR(__xludf.DUMMYFUNCTION("""COMPUTED_VALUE"""),298)</f>
        <v>298</v>
      </c>
      <c r="P165" s="1">
        <f ca="1">IFERROR(__xludf.DUMMYFUNCTION("""COMPUTED_VALUE"""),101.8)</f>
        <v>101.8</v>
      </c>
      <c r="Q165" s="1">
        <f ca="1">IFERROR(__xludf.DUMMYFUNCTION("""COMPUTED_VALUE"""),291)</f>
        <v>291</v>
      </c>
      <c r="R165" s="1">
        <f ca="1">IFERROR(__xludf.DUMMYFUNCTION("""COMPUTED_VALUE"""),108.2)</f>
        <v>108.2</v>
      </c>
      <c r="S165" s="1">
        <f ca="1">IFERROR(__xludf.DUMMYFUNCTION("""COMPUTED_VALUE"""),304)</f>
        <v>304</v>
      </c>
      <c r="T165" s="1">
        <f ca="1">IFERROR(__xludf.DUMMYFUNCTION("""COMPUTED_VALUE"""),-2.57)</f>
        <v>-2.57</v>
      </c>
      <c r="U165" s="1">
        <f ca="1">IFERROR(__xludf.DUMMYFUNCTION("""COMPUTED_VALUE"""),233)</f>
        <v>233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IFERROR(__xludf.DUMMYFUNCTION("""COMPUTED_VALUE"""),"Central Michigan")</f>
        <v>Central Michigan</v>
      </c>
      <c r="C166" s="1" t="str">
        <f ca="1">IFERROR(__xludf.DUMMYFUNCTION("""COMPUTED_VALUE"""),"MAC")</f>
        <v>MAC</v>
      </c>
      <c r="D166" s="1" t="str">
        <f ca="1">IFERROR(__xludf.DUMMYFUNCTION("""COMPUTED_VALUE"""),"17-16")</f>
        <v>17-16</v>
      </c>
      <c r="E166" s="1" t="str">
        <f ca="1">IFERROR(__xludf.DUMMYFUNCTION("""COMPUTED_VALUE"""),"+0.51")</f>
        <v>+0.51</v>
      </c>
      <c r="F166" s="1">
        <f ca="1">IFERROR(__xludf.DUMMYFUNCTION("""COMPUTED_VALUE"""),110.5)</f>
        <v>110.5</v>
      </c>
      <c r="G166" s="1">
        <f ca="1">IFERROR(__xludf.DUMMYFUNCTION("""COMPUTED_VALUE"""),83)</f>
        <v>83</v>
      </c>
      <c r="H166" s="1">
        <f ca="1">IFERROR(__xludf.DUMMYFUNCTION("""COMPUTED_VALUE"""),110)</f>
        <v>110</v>
      </c>
      <c r="I166" s="1">
        <f ca="1">IFERROR(__xludf.DUMMYFUNCTION("""COMPUTED_VALUE"""),271)</f>
        <v>271</v>
      </c>
      <c r="J166" s="1">
        <f ca="1">IFERROR(__xludf.DUMMYFUNCTION("""COMPUTED_VALUE"""),66.7)</f>
        <v>66.7</v>
      </c>
      <c r="K166" s="1">
        <f ca="1">IFERROR(__xludf.DUMMYFUNCTION("""COMPUTED_VALUE"""),249)</f>
        <v>249</v>
      </c>
      <c r="L166" s="1">
        <f ca="1">IFERROR(__xludf.DUMMYFUNCTION("""COMPUTED_VALUE"""),-0.062)</f>
        <v>-6.2E-2</v>
      </c>
      <c r="M166" s="1">
        <f ca="1">IFERROR(__xludf.DUMMYFUNCTION("""COMPUTED_VALUE"""),317)</f>
        <v>317</v>
      </c>
      <c r="N166" s="1">
        <f ca="1">IFERROR(__xludf.DUMMYFUNCTION("""COMPUTED_VALUE"""),-1.25)</f>
        <v>-1.25</v>
      </c>
      <c r="O166" s="1">
        <f ca="1">IFERROR(__xludf.DUMMYFUNCTION("""COMPUTED_VALUE"""),176)</f>
        <v>176</v>
      </c>
      <c r="P166" s="1">
        <f ca="1">IFERROR(__xludf.DUMMYFUNCTION("""COMPUTED_VALUE"""),104.6)</f>
        <v>104.6</v>
      </c>
      <c r="Q166" s="1">
        <f ca="1">IFERROR(__xludf.DUMMYFUNCTION("""COMPUTED_VALUE"""),167)</f>
        <v>167</v>
      </c>
      <c r="R166" s="1">
        <f ca="1">IFERROR(__xludf.DUMMYFUNCTION("""COMPUTED_VALUE"""),105.8)</f>
        <v>105.8</v>
      </c>
      <c r="S166" s="1">
        <f ca="1">IFERROR(__xludf.DUMMYFUNCTION("""COMPUTED_VALUE"""),187)</f>
        <v>187</v>
      </c>
      <c r="T166" s="1">
        <f ca="1">IFERROR(__xludf.DUMMYFUNCTION("""COMPUTED_VALUE"""),-2.18)</f>
        <v>-2.1800000000000002</v>
      </c>
      <c r="U166" s="1">
        <f ca="1">IFERROR(__xludf.DUMMYFUNCTION("""COMPUTED_VALUE"""),228)</f>
        <v>228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IFERROR(__xludf.DUMMYFUNCTION("""COMPUTED_VALUE"""),"Missouri")</f>
        <v>Missouri</v>
      </c>
      <c r="C167" s="1" t="str">
        <f ca="1">IFERROR(__xludf.DUMMYFUNCTION("""COMPUTED_VALUE"""),"SEC")</f>
        <v>SEC</v>
      </c>
      <c r="D167" s="2">
        <f ca="1">IFERROR(__xludf.DUMMYFUNCTION("""COMPUTED_VALUE"""),44855)</f>
        <v>44855</v>
      </c>
      <c r="E167" s="1" t="str">
        <f ca="1">IFERROR(__xludf.DUMMYFUNCTION("""COMPUTED_VALUE"""),"+0.20")</f>
        <v>+0.20</v>
      </c>
      <c r="F167" s="1">
        <f ca="1">IFERROR(__xludf.DUMMYFUNCTION("""COMPUTED_VALUE"""),104.7)</f>
        <v>104.7</v>
      </c>
      <c r="G167" s="1">
        <f ca="1">IFERROR(__xludf.DUMMYFUNCTION("""COMPUTED_VALUE"""),172)</f>
        <v>172</v>
      </c>
      <c r="H167" s="1">
        <f ca="1">IFERROR(__xludf.DUMMYFUNCTION("""COMPUTED_VALUE"""),104.5)</f>
        <v>104.5</v>
      </c>
      <c r="I167" s="1">
        <f ca="1">IFERROR(__xludf.DUMMYFUNCTION("""COMPUTED_VALUE"""),169)</f>
        <v>169</v>
      </c>
      <c r="J167" s="1">
        <f ca="1">IFERROR(__xludf.DUMMYFUNCTION("""COMPUTED_VALUE"""),68)</f>
        <v>68</v>
      </c>
      <c r="K167" s="1">
        <f ca="1">IFERROR(__xludf.DUMMYFUNCTION("""COMPUTED_VALUE"""),173)</f>
        <v>173</v>
      </c>
      <c r="L167" s="1">
        <f ca="1">IFERROR(__xludf.DUMMYFUNCTION("""COMPUTED_VALUE"""),-0.088)</f>
        <v>-8.7999999999999995E-2</v>
      </c>
      <c r="M167" s="1">
        <f ca="1">IFERROR(__xludf.DUMMYFUNCTION("""COMPUTED_VALUE"""),336)</f>
        <v>336</v>
      </c>
      <c r="N167" s="1" t="str">
        <f ca="1">IFERROR(__xludf.DUMMYFUNCTION("""COMPUTED_VALUE"""),"+6.90")</f>
        <v>+6.90</v>
      </c>
      <c r="O167" s="1">
        <f ca="1">IFERROR(__xludf.DUMMYFUNCTION("""COMPUTED_VALUE"""),58)</f>
        <v>58</v>
      </c>
      <c r="P167" s="1">
        <f ca="1">IFERROR(__xludf.DUMMYFUNCTION("""COMPUTED_VALUE"""),108)</f>
        <v>108</v>
      </c>
      <c r="Q167" s="1">
        <f ca="1">IFERROR(__xludf.DUMMYFUNCTION("""COMPUTED_VALUE"""),66)</f>
        <v>66</v>
      </c>
      <c r="R167" s="1">
        <f ca="1">IFERROR(__xludf.DUMMYFUNCTION("""COMPUTED_VALUE"""),101.1)</f>
        <v>101.1</v>
      </c>
      <c r="S167" s="1">
        <f ca="1">IFERROR(__xludf.DUMMYFUNCTION("""COMPUTED_VALUE"""),44)</f>
        <v>44</v>
      </c>
      <c r="T167" s="1">
        <f ca="1">IFERROR(__xludf.DUMMYFUNCTION("""COMPUTED_VALUE"""),-2.01)</f>
        <v>-2.0099999999999998</v>
      </c>
      <c r="U167" s="1">
        <f ca="1">IFERROR(__xludf.DUMMYFUNCTION("""COMPUTED_VALUE"""),224)</f>
        <v>224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IFERROR(__xludf.DUMMYFUNCTION("""COMPUTED_VALUE"""),"Elon")</f>
        <v>Elon</v>
      </c>
      <c r="C168" s="1" t="str">
        <f ca="1">IFERROR(__xludf.DUMMYFUNCTION("""COMPUTED_VALUE"""),"CAA")</f>
        <v>CAA</v>
      </c>
      <c r="D168" s="1" t="str">
        <f ca="1">IFERROR(__xludf.DUMMYFUNCTION("""COMPUTED_VALUE"""),"16-16")</f>
        <v>16-16</v>
      </c>
      <c r="E168" s="1" t="str">
        <f ca="1">IFERROR(__xludf.DUMMYFUNCTION("""COMPUTED_VALUE"""),"+0.20")</f>
        <v>+0.20</v>
      </c>
      <c r="F168" s="1">
        <f ca="1">IFERROR(__xludf.DUMMYFUNCTION("""COMPUTED_VALUE"""),106.6)</f>
        <v>106.6</v>
      </c>
      <c r="G168" s="1">
        <f ca="1">IFERROR(__xludf.DUMMYFUNCTION("""COMPUTED_VALUE"""),147)</f>
        <v>147</v>
      </c>
      <c r="H168" s="1">
        <f ca="1">IFERROR(__xludf.DUMMYFUNCTION("""COMPUTED_VALUE"""),106.4)</f>
        <v>106.4</v>
      </c>
      <c r="I168" s="1">
        <f ca="1">IFERROR(__xludf.DUMMYFUNCTION("""COMPUTED_VALUE"""),200)</f>
        <v>200</v>
      </c>
      <c r="J168" s="1">
        <f ca="1">IFERROR(__xludf.DUMMYFUNCTION("""COMPUTED_VALUE"""),71.1)</f>
        <v>71.099999999999994</v>
      </c>
      <c r="K168" s="1">
        <f ca="1">IFERROR(__xludf.DUMMYFUNCTION("""COMPUTED_VALUE"""),53)</f>
        <v>53</v>
      </c>
      <c r="L168" s="1" t="str">
        <f ca="1">IFERROR(__xludf.DUMMYFUNCTION("""COMPUTED_VALUE"""),"+.018")</f>
        <v>+.018</v>
      </c>
      <c r="M168" s="1">
        <f ca="1">IFERROR(__xludf.DUMMYFUNCTION("""COMPUTED_VALUE"""),127)</f>
        <v>127</v>
      </c>
      <c r="N168" s="1" t="str">
        <f ca="1">IFERROR(__xludf.DUMMYFUNCTION("""COMPUTED_VALUE"""),"+1.40")</f>
        <v>+1.40</v>
      </c>
      <c r="O168" s="1">
        <f ca="1">IFERROR(__xludf.DUMMYFUNCTION("""COMPUTED_VALUE"""),124)</f>
        <v>124</v>
      </c>
      <c r="P168" s="1">
        <f ca="1">IFERROR(__xludf.DUMMYFUNCTION("""COMPUTED_VALUE"""),105.5)</f>
        <v>105.5</v>
      </c>
      <c r="Q168" s="1">
        <f ca="1">IFERROR(__xludf.DUMMYFUNCTION("""COMPUTED_VALUE"""),124)</f>
        <v>124</v>
      </c>
      <c r="R168" s="1">
        <f ca="1">IFERROR(__xludf.DUMMYFUNCTION("""COMPUTED_VALUE"""),104.1)</f>
        <v>104.1</v>
      </c>
      <c r="S168" s="1">
        <f ca="1">IFERROR(__xludf.DUMMYFUNCTION("""COMPUTED_VALUE"""),125)</f>
        <v>125</v>
      </c>
      <c r="T168" s="1" t="str">
        <f ca="1">IFERROR(__xludf.DUMMYFUNCTION("""COMPUTED_VALUE"""),"+0.17")</f>
        <v>+0.17</v>
      </c>
      <c r="U168" s="1">
        <f ca="1">IFERROR(__xludf.DUMMYFUNCTION("""COMPUTED_VALUE"""),164)</f>
        <v>164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IFERROR(__xludf.DUMMYFUNCTION("""COMPUTED_VALUE"""),"Fordham")</f>
        <v>Fordham</v>
      </c>
      <c r="C171" s="1" t="str">
        <f ca="1">IFERROR(__xludf.DUMMYFUNCTION("""COMPUTED_VALUE"""),"A10")</f>
        <v>A10</v>
      </c>
      <c r="D171" s="1" t="str">
        <f ca="1">IFERROR(__xludf.DUMMYFUNCTION("""COMPUTED_VALUE"""),"17-14")</f>
        <v>17-14</v>
      </c>
      <c r="E171" s="1">
        <f ca="1">IFERROR(__xludf.DUMMYFUNCTION("""COMPUTED_VALUE"""),-0.06)</f>
        <v>-0.06</v>
      </c>
      <c r="F171" s="1">
        <f ca="1">IFERROR(__xludf.DUMMYFUNCTION("""COMPUTED_VALUE"""),102.3)</f>
        <v>102.3</v>
      </c>
      <c r="G171" s="1">
        <f ca="1">IFERROR(__xludf.DUMMYFUNCTION("""COMPUTED_VALUE"""),212)</f>
        <v>212</v>
      </c>
      <c r="H171" s="1">
        <f ca="1">IFERROR(__xludf.DUMMYFUNCTION("""COMPUTED_VALUE"""),102.4)</f>
        <v>102.4</v>
      </c>
      <c r="I171" s="1">
        <f ca="1">IFERROR(__xludf.DUMMYFUNCTION("""COMPUTED_VALUE"""),125)</f>
        <v>125</v>
      </c>
      <c r="J171" s="1">
        <f ca="1">IFERROR(__xludf.DUMMYFUNCTION("""COMPUTED_VALUE"""),66.4)</f>
        <v>66.400000000000006</v>
      </c>
      <c r="K171" s="1">
        <f ca="1">IFERROR(__xludf.DUMMYFUNCTION("""COMPUTED_VALUE"""),257)</f>
        <v>257</v>
      </c>
      <c r="L171" s="1">
        <f ca="1">IFERROR(__xludf.DUMMYFUNCTION("""COMPUTED_VALUE"""),0)</f>
        <v>0</v>
      </c>
      <c r="M171" s="1">
        <f ca="1">IFERROR(__xludf.DUMMYFUNCTION("""COMPUTED_VALUE"""),174)</f>
        <v>174</v>
      </c>
      <c r="N171" s="1">
        <f ca="1">IFERROR(__xludf.DUMMYFUNCTION("""COMPUTED_VALUE"""),-2.26)</f>
        <v>-2.2599999999999998</v>
      </c>
      <c r="O171" s="1">
        <f ca="1">IFERROR(__xludf.DUMMYFUNCTION("""COMPUTED_VALUE"""),203)</f>
        <v>203</v>
      </c>
      <c r="P171" s="1">
        <f ca="1">IFERROR(__xludf.DUMMYFUNCTION("""COMPUTED_VALUE"""),104.1)</f>
        <v>104.1</v>
      </c>
      <c r="Q171" s="1">
        <f ca="1">IFERROR(__xludf.DUMMYFUNCTION("""COMPUTED_VALUE"""),193)</f>
        <v>193</v>
      </c>
      <c r="R171" s="1">
        <f ca="1">IFERROR(__xludf.DUMMYFUNCTION("""COMPUTED_VALUE"""),106.3)</f>
        <v>106.3</v>
      </c>
      <c r="S171" s="1">
        <f ca="1">IFERROR(__xludf.DUMMYFUNCTION("""COMPUTED_VALUE"""),206)</f>
        <v>206</v>
      </c>
      <c r="T171" s="1">
        <f ca="1">IFERROR(__xludf.DUMMYFUNCTION("""COMPUTED_VALUE"""),-15.7)</f>
        <v>-15.7</v>
      </c>
      <c r="U171" s="1">
        <f ca="1">IFERROR(__xludf.DUMMYFUNCTION("""COMPUTED_VALUE"""),351)</f>
        <v>351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IFERROR(__xludf.DUMMYFUNCTION("""COMPUTED_VALUE"""),"Florida Gulf Coast16")</f>
        <v>Florida Gulf Coast16</v>
      </c>
      <c r="C172" s="1" t="str">
        <f ca="1">IFERROR(__xludf.DUMMYFUNCTION("""COMPUTED_VALUE"""),"ASun")</f>
        <v>ASun</v>
      </c>
      <c r="D172" s="1" t="str">
        <f ca="1">IFERROR(__xludf.DUMMYFUNCTION("""COMPUTED_VALUE"""),"21-14")</f>
        <v>21-14</v>
      </c>
      <c r="E172" s="1">
        <f ca="1">IFERROR(__xludf.DUMMYFUNCTION("""COMPUTED_VALUE"""),-0.08)</f>
        <v>-0.08</v>
      </c>
      <c r="F172" s="1">
        <f ca="1">IFERROR(__xludf.DUMMYFUNCTION("""COMPUTED_VALUE"""),103.6)</f>
        <v>103.6</v>
      </c>
      <c r="G172" s="1">
        <f ca="1">IFERROR(__xludf.DUMMYFUNCTION("""COMPUTED_VALUE"""),189)</f>
        <v>189</v>
      </c>
      <c r="H172" s="1">
        <f ca="1">IFERROR(__xludf.DUMMYFUNCTION("""COMPUTED_VALUE"""),103.7)</f>
        <v>103.7</v>
      </c>
      <c r="I172" s="1">
        <f ca="1">IFERROR(__xludf.DUMMYFUNCTION("""COMPUTED_VALUE"""),148)</f>
        <v>148</v>
      </c>
      <c r="J172" s="1">
        <f ca="1">IFERROR(__xludf.DUMMYFUNCTION("""COMPUTED_VALUE"""),67)</f>
        <v>67</v>
      </c>
      <c r="K172" s="1">
        <f ca="1">IFERROR(__xludf.DUMMYFUNCTION("""COMPUTED_VALUE"""),240)</f>
        <v>240</v>
      </c>
      <c r="L172" s="1">
        <f ca="1">IFERROR(__xludf.DUMMYFUNCTION("""COMPUTED_VALUE"""),-0.038)</f>
        <v>-3.7999999999999999E-2</v>
      </c>
      <c r="M172" s="1">
        <f ca="1">IFERROR(__xludf.DUMMYFUNCTION("""COMPUTED_VALUE"""),274)</f>
        <v>274</v>
      </c>
      <c r="N172" s="1">
        <f ca="1">IFERROR(__xludf.DUMMYFUNCTION("""COMPUTED_VALUE"""),-5.83)</f>
        <v>-5.83</v>
      </c>
      <c r="O172" s="1">
        <f ca="1">IFERROR(__xludf.DUMMYFUNCTION("""COMPUTED_VALUE"""),285)</f>
        <v>285</v>
      </c>
      <c r="P172" s="1">
        <f ca="1">IFERROR(__xludf.DUMMYFUNCTION("""COMPUTED_VALUE"""),104.1)</f>
        <v>104.1</v>
      </c>
      <c r="Q172" s="1">
        <f ca="1">IFERROR(__xludf.DUMMYFUNCTION("""COMPUTED_VALUE"""),191)</f>
        <v>191</v>
      </c>
      <c r="R172" s="1">
        <f ca="1">IFERROR(__xludf.DUMMYFUNCTION("""COMPUTED_VALUE"""),110)</f>
        <v>110</v>
      </c>
      <c r="S172" s="1">
        <f ca="1">IFERROR(__xludf.DUMMYFUNCTION("""COMPUTED_VALUE"""),349)</f>
        <v>349</v>
      </c>
      <c r="T172" s="1">
        <f ca="1">IFERROR(__xludf.DUMMYFUNCTION("""COMPUTED_VALUE"""),-1.87)</f>
        <v>-1.87</v>
      </c>
      <c r="U172" s="1">
        <f ca="1">IFERROR(__xludf.DUMMYFUNCTION("""COMPUTED_VALUE"""),219)</f>
        <v>219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IFERROR(__xludf.DUMMYFUNCTION("""COMPUTED_VALUE"""),"Murray St.")</f>
        <v>Murray St.</v>
      </c>
      <c r="C173" s="1" t="str">
        <f ca="1">IFERROR(__xludf.DUMMYFUNCTION("""COMPUTED_VALUE"""),"OVC")</f>
        <v>OVC</v>
      </c>
      <c r="D173" s="1" t="str">
        <f ca="1">IFERROR(__xludf.DUMMYFUNCTION("""COMPUTED_VALUE"""),"17-14")</f>
        <v>17-14</v>
      </c>
      <c r="E173" s="1">
        <f ca="1">IFERROR(__xludf.DUMMYFUNCTION("""COMPUTED_VALUE"""),-0.1)</f>
        <v>-0.1</v>
      </c>
      <c r="F173" s="1">
        <f ca="1">IFERROR(__xludf.DUMMYFUNCTION("""COMPUTED_VALUE"""),106.3)</f>
        <v>106.3</v>
      </c>
      <c r="G173" s="1">
        <f ca="1">IFERROR(__xludf.DUMMYFUNCTION("""COMPUTED_VALUE"""),154)</f>
        <v>154</v>
      </c>
      <c r="H173" s="1">
        <f ca="1">IFERROR(__xludf.DUMMYFUNCTION("""COMPUTED_VALUE"""),106.4)</f>
        <v>106.4</v>
      </c>
      <c r="I173" s="1">
        <f ca="1">IFERROR(__xludf.DUMMYFUNCTION("""COMPUTED_VALUE"""),201)</f>
        <v>201</v>
      </c>
      <c r="J173" s="1">
        <f ca="1">IFERROR(__xludf.DUMMYFUNCTION("""COMPUTED_VALUE"""),64.3)</f>
        <v>64.3</v>
      </c>
      <c r="K173" s="1">
        <f ca="1">IFERROR(__xludf.DUMMYFUNCTION("""COMPUTED_VALUE"""),329)</f>
        <v>329</v>
      </c>
      <c r="L173" s="1">
        <f ca="1">IFERROR(__xludf.DUMMYFUNCTION("""COMPUTED_VALUE"""),-0.041)</f>
        <v>-4.1000000000000002E-2</v>
      </c>
      <c r="M173" s="1">
        <f ca="1">IFERROR(__xludf.DUMMYFUNCTION("""COMPUTED_VALUE"""),280)</f>
        <v>280</v>
      </c>
      <c r="N173" s="1">
        <f ca="1">IFERROR(__xludf.DUMMYFUNCTION("""COMPUTED_VALUE"""),-3.21)</f>
        <v>-3.21</v>
      </c>
      <c r="O173" s="1">
        <f ca="1">IFERROR(__xludf.DUMMYFUNCTION("""COMPUTED_VALUE"""),220)</f>
        <v>220</v>
      </c>
      <c r="P173" s="1">
        <f ca="1">IFERROR(__xludf.DUMMYFUNCTION("""COMPUTED_VALUE"""),103.5)</f>
        <v>103.5</v>
      </c>
      <c r="Q173" s="1">
        <f ca="1">IFERROR(__xludf.DUMMYFUNCTION("""COMPUTED_VALUE"""),217)</f>
        <v>217</v>
      </c>
      <c r="R173" s="1">
        <f ca="1">IFERROR(__xludf.DUMMYFUNCTION("""COMPUTED_VALUE"""),106.7)</f>
        <v>106.7</v>
      </c>
      <c r="S173" s="1">
        <f ca="1">IFERROR(__xludf.DUMMYFUNCTION("""COMPUTED_VALUE"""),226)</f>
        <v>226</v>
      </c>
      <c r="T173" s="1" t="str">
        <f ca="1">IFERROR(__xludf.DUMMYFUNCTION("""COMPUTED_VALUE"""),"+3.78")</f>
        <v>+3.78</v>
      </c>
      <c r="U173" s="1">
        <f ca="1">IFERROR(__xludf.DUMMYFUNCTION("""COMPUTED_VALUE"""),62)</f>
        <v>62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IFERROR(__xludf.DUMMYFUNCTION("""COMPUTED_VALUE"""),"Tennessee St.")</f>
        <v>Tennessee St.</v>
      </c>
      <c r="C174" s="1" t="str">
        <f ca="1">IFERROR(__xludf.DUMMYFUNCTION("""COMPUTED_VALUE"""),"OVC")</f>
        <v>OVC</v>
      </c>
      <c r="D174" s="1" t="str">
        <f ca="1">IFERROR(__xludf.DUMMYFUNCTION("""COMPUTED_VALUE"""),"20-11")</f>
        <v>20-11</v>
      </c>
      <c r="E174" s="1">
        <f ca="1">IFERROR(__xludf.DUMMYFUNCTION("""COMPUTED_VALUE"""),-0.11)</f>
        <v>-0.11</v>
      </c>
      <c r="F174" s="1">
        <f ca="1">IFERROR(__xludf.DUMMYFUNCTION("""COMPUTED_VALUE"""),101.5)</f>
        <v>101.5</v>
      </c>
      <c r="G174" s="1">
        <f ca="1">IFERROR(__xludf.DUMMYFUNCTION("""COMPUTED_VALUE"""),231)</f>
        <v>231</v>
      </c>
      <c r="H174" s="1">
        <f ca="1">IFERROR(__xludf.DUMMYFUNCTION("""COMPUTED_VALUE"""),101.6)</f>
        <v>101.6</v>
      </c>
      <c r="I174" s="1">
        <f ca="1">IFERROR(__xludf.DUMMYFUNCTION("""COMPUTED_VALUE"""),112)</f>
        <v>112</v>
      </c>
      <c r="J174" s="1">
        <f ca="1">IFERROR(__xludf.DUMMYFUNCTION("""COMPUTED_VALUE"""),68.1)</f>
        <v>68.099999999999994</v>
      </c>
      <c r="K174" s="1">
        <f ca="1">IFERROR(__xludf.DUMMYFUNCTION("""COMPUTED_VALUE"""),164)</f>
        <v>164</v>
      </c>
      <c r="L174" s="1">
        <f ca="1">IFERROR(__xludf.DUMMYFUNCTION("""COMPUTED_VALUE"""),-0.003)</f>
        <v>-3.0000000000000001E-3</v>
      </c>
      <c r="M174" s="1">
        <f ca="1">IFERROR(__xludf.DUMMYFUNCTION("""COMPUTED_VALUE"""),180)</f>
        <v>180</v>
      </c>
      <c r="N174" s="1">
        <f ca="1">IFERROR(__xludf.DUMMYFUNCTION("""COMPUTED_VALUE"""),-5.51)</f>
        <v>-5.51</v>
      </c>
      <c r="O174" s="1">
        <f ca="1">IFERROR(__xludf.DUMMYFUNCTION("""COMPUTED_VALUE"""),274)</f>
        <v>274</v>
      </c>
      <c r="P174" s="1">
        <f ca="1">IFERROR(__xludf.DUMMYFUNCTION("""COMPUTED_VALUE"""),103.6)</f>
        <v>103.6</v>
      </c>
      <c r="Q174" s="1">
        <f ca="1">IFERROR(__xludf.DUMMYFUNCTION("""COMPUTED_VALUE"""),211)</f>
        <v>211</v>
      </c>
      <c r="R174" s="1">
        <f ca="1">IFERROR(__xludf.DUMMYFUNCTION("""COMPUTED_VALUE"""),109.1)</f>
        <v>109.1</v>
      </c>
      <c r="S174" s="1">
        <f ca="1">IFERROR(__xludf.DUMMYFUNCTION("""COMPUTED_VALUE"""),335)</f>
        <v>335</v>
      </c>
      <c r="T174" s="1">
        <f ca="1">IFERROR(__xludf.DUMMYFUNCTION("""COMPUTED_VALUE"""),-5.43)</f>
        <v>-5.43</v>
      </c>
      <c r="U174" s="1">
        <f ca="1">IFERROR(__xludf.DUMMYFUNCTION("""COMPUTED_VALUE"""),305)</f>
        <v>305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IFERROR(__xludf.DUMMYFUNCTION("""COMPUTED_VALUE"""),"Northern Illinois")</f>
        <v>Northern Illinois</v>
      </c>
      <c r="C175" s="1" t="str">
        <f ca="1">IFERROR(__xludf.DUMMYFUNCTION("""COMPUTED_VALUE"""),"MAC")</f>
        <v>MAC</v>
      </c>
      <c r="D175" s="1" t="str">
        <f ca="1">IFERROR(__xludf.DUMMYFUNCTION("""COMPUTED_VALUE"""),"21-13")</f>
        <v>21-13</v>
      </c>
      <c r="E175" s="1">
        <f ca="1">IFERROR(__xludf.DUMMYFUNCTION("""COMPUTED_VALUE"""),-0.18)</f>
        <v>-0.18</v>
      </c>
      <c r="F175" s="1">
        <f ca="1">IFERROR(__xludf.DUMMYFUNCTION("""COMPUTED_VALUE"""),101.6)</f>
        <v>101.6</v>
      </c>
      <c r="G175" s="1">
        <f ca="1">IFERROR(__xludf.DUMMYFUNCTION("""COMPUTED_VALUE"""),228)</f>
        <v>228</v>
      </c>
      <c r="H175" s="1">
        <f ca="1">IFERROR(__xludf.DUMMYFUNCTION("""COMPUTED_VALUE"""),101.7)</f>
        <v>101.7</v>
      </c>
      <c r="I175" s="1">
        <f ca="1">IFERROR(__xludf.DUMMYFUNCTION("""COMPUTED_VALUE"""),115)</f>
        <v>115</v>
      </c>
      <c r="J175" s="1">
        <f ca="1">IFERROR(__xludf.DUMMYFUNCTION("""COMPUTED_VALUE"""),67.9)</f>
        <v>67.900000000000006</v>
      </c>
      <c r="K175" s="1">
        <f ca="1">IFERROR(__xludf.DUMMYFUNCTION("""COMPUTED_VALUE"""),177)</f>
        <v>177</v>
      </c>
      <c r="L175" s="1" t="str">
        <f ca="1">IFERROR(__xludf.DUMMYFUNCTION("""COMPUTED_VALUE"""),"+.038")</f>
        <v>+.038</v>
      </c>
      <c r="M175" s="1">
        <f ca="1">IFERROR(__xludf.DUMMYFUNCTION("""COMPUTED_VALUE"""),85)</f>
        <v>85</v>
      </c>
      <c r="N175" s="1">
        <f ca="1">IFERROR(__xludf.DUMMYFUNCTION("""COMPUTED_VALUE"""),-1.53)</f>
        <v>-1.53</v>
      </c>
      <c r="O175" s="1">
        <f ca="1">IFERROR(__xludf.DUMMYFUNCTION("""COMPUTED_VALUE"""),187)</f>
        <v>187</v>
      </c>
      <c r="P175" s="1">
        <f ca="1">IFERROR(__xludf.DUMMYFUNCTION("""COMPUTED_VALUE"""),104.4)</f>
        <v>104.4</v>
      </c>
      <c r="Q175" s="1">
        <f ca="1">IFERROR(__xludf.DUMMYFUNCTION("""COMPUTED_VALUE"""),181)</f>
        <v>181</v>
      </c>
      <c r="R175" s="1">
        <f ca="1">IFERROR(__xludf.DUMMYFUNCTION("""COMPUTED_VALUE"""),105.9)</f>
        <v>105.9</v>
      </c>
      <c r="S175" s="1">
        <f ca="1">IFERROR(__xludf.DUMMYFUNCTION("""COMPUTED_VALUE"""),192)</f>
        <v>192</v>
      </c>
      <c r="T175" s="1">
        <f ca="1">IFERROR(__xludf.DUMMYFUNCTION("""COMPUTED_VALUE"""),-7.05)</f>
        <v>-7.05</v>
      </c>
      <c r="U175" s="1">
        <f ca="1">IFERROR(__xludf.DUMMYFUNCTION("""COMPUTED_VALUE"""),325)</f>
        <v>325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IFERROR(__xludf.DUMMYFUNCTION("""COMPUTED_VALUE"""),"Wyoming")</f>
        <v>Wyoming</v>
      </c>
      <c r="C176" s="1" t="str">
        <f ca="1">IFERROR(__xludf.DUMMYFUNCTION("""COMPUTED_VALUE"""),"MWC")</f>
        <v>MWC</v>
      </c>
      <c r="D176" s="1" t="str">
        <f ca="1">IFERROR(__xludf.DUMMYFUNCTION("""COMPUTED_VALUE"""),"14-18")</f>
        <v>14-18</v>
      </c>
      <c r="E176" s="1">
        <f ca="1">IFERROR(__xludf.DUMMYFUNCTION("""COMPUTED_VALUE"""),-0.19)</f>
        <v>-0.19</v>
      </c>
      <c r="F176" s="1">
        <f ca="1">IFERROR(__xludf.DUMMYFUNCTION("""COMPUTED_VALUE"""),108.3)</f>
        <v>108.3</v>
      </c>
      <c r="G176" s="1">
        <f ca="1">IFERROR(__xludf.DUMMYFUNCTION("""COMPUTED_VALUE"""),108)</f>
        <v>108</v>
      </c>
      <c r="H176" s="1">
        <f ca="1">IFERROR(__xludf.DUMMYFUNCTION("""COMPUTED_VALUE"""),108.5)</f>
        <v>108.5</v>
      </c>
      <c r="I176" s="1">
        <f ca="1">IFERROR(__xludf.DUMMYFUNCTION("""COMPUTED_VALUE"""),245)</f>
        <v>245</v>
      </c>
      <c r="J176" s="1">
        <f ca="1">IFERROR(__xludf.DUMMYFUNCTION("""COMPUTED_VALUE"""),64.6)</f>
        <v>64.599999999999994</v>
      </c>
      <c r="K176" s="1">
        <f ca="1">IFERROR(__xludf.DUMMYFUNCTION("""COMPUTED_VALUE"""),323)</f>
        <v>323</v>
      </c>
      <c r="L176" s="1">
        <f ca="1">IFERROR(__xludf.DUMMYFUNCTION("""COMPUTED_VALUE"""),-0.033)</f>
        <v>-3.3000000000000002E-2</v>
      </c>
      <c r="M176" s="1">
        <f ca="1">IFERROR(__xludf.DUMMYFUNCTION("""COMPUTED_VALUE"""),264)</f>
        <v>264</v>
      </c>
      <c r="N176" s="1" t="str">
        <f ca="1">IFERROR(__xludf.DUMMYFUNCTION("""COMPUTED_VALUE"""),"+1.93")</f>
        <v>+1.93</v>
      </c>
      <c r="O176" s="1">
        <f ca="1">IFERROR(__xludf.DUMMYFUNCTION("""COMPUTED_VALUE"""),113)</f>
        <v>113</v>
      </c>
      <c r="P176" s="1">
        <f ca="1">IFERROR(__xludf.DUMMYFUNCTION("""COMPUTED_VALUE"""),105.4)</f>
        <v>105.4</v>
      </c>
      <c r="Q176" s="1">
        <f ca="1">IFERROR(__xludf.DUMMYFUNCTION("""COMPUTED_VALUE"""),126)</f>
        <v>126</v>
      </c>
      <c r="R176" s="1">
        <f ca="1">IFERROR(__xludf.DUMMYFUNCTION("""COMPUTED_VALUE"""),103.5)</f>
        <v>103.5</v>
      </c>
      <c r="S176" s="1">
        <f ca="1">IFERROR(__xludf.DUMMYFUNCTION("""COMPUTED_VALUE"""),112)</f>
        <v>112</v>
      </c>
      <c r="T176" s="1" t="str">
        <f ca="1">IFERROR(__xludf.DUMMYFUNCTION("""COMPUTED_VALUE"""),"+0.44")</f>
        <v>+0.44</v>
      </c>
      <c r="U176" s="1">
        <f ca="1">IFERROR(__xludf.DUMMYFUNCTION("""COMPUTED_VALUE"""),156)</f>
        <v>156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IFERROR(__xludf.DUMMYFUNCTION("""COMPUTED_VALUE"""),"Massachusetts")</f>
        <v>Massachusetts</v>
      </c>
      <c r="C177" s="1" t="str">
        <f ca="1">IFERROR(__xludf.DUMMYFUNCTION("""COMPUTED_VALUE"""),"A10")</f>
        <v>A10</v>
      </c>
      <c r="D177" s="1" t="str">
        <f ca="1">IFERROR(__xludf.DUMMYFUNCTION("""COMPUTED_VALUE"""),"14-18")</f>
        <v>14-18</v>
      </c>
      <c r="E177" s="1">
        <f ca="1">IFERROR(__xludf.DUMMYFUNCTION("""COMPUTED_VALUE"""),-0.29)</f>
        <v>-0.28999999999999998</v>
      </c>
      <c r="F177" s="1">
        <f ca="1">IFERROR(__xludf.DUMMYFUNCTION("""COMPUTED_VALUE"""),102.8)</f>
        <v>102.8</v>
      </c>
      <c r="G177" s="1">
        <f ca="1">IFERROR(__xludf.DUMMYFUNCTION("""COMPUTED_VALUE"""),204)</f>
        <v>204</v>
      </c>
      <c r="H177" s="1">
        <f ca="1">IFERROR(__xludf.DUMMYFUNCTION("""COMPUTED_VALUE"""),103.1)</f>
        <v>103.1</v>
      </c>
      <c r="I177" s="1">
        <f ca="1">IFERROR(__xludf.DUMMYFUNCTION("""COMPUTED_VALUE"""),140)</f>
        <v>140</v>
      </c>
      <c r="J177" s="1">
        <f ca="1">IFERROR(__xludf.DUMMYFUNCTION("""COMPUTED_VALUE"""),70.8)</f>
        <v>70.8</v>
      </c>
      <c r="K177" s="1">
        <f ca="1">IFERROR(__xludf.DUMMYFUNCTION("""COMPUTED_VALUE"""),57)</f>
        <v>57</v>
      </c>
      <c r="L177" s="1" t="str">
        <f ca="1">IFERROR(__xludf.DUMMYFUNCTION("""COMPUTED_VALUE"""),"+.008")</f>
        <v>+.008</v>
      </c>
      <c r="M177" s="1">
        <f ca="1">IFERROR(__xludf.DUMMYFUNCTION("""COMPUTED_VALUE"""),158)</f>
        <v>158</v>
      </c>
      <c r="N177" s="1" t="str">
        <f ca="1">IFERROR(__xludf.DUMMYFUNCTION("""COMPUTED_VALUE"""),"+3.00")</f>
        <v>+3.00</v>
      </c>
      <c r="O177" s="1">
        <f ca="1">IFERROR(__xludf.DUMMYFUNCTION("""COMPUTED_VALUE"""),97)</f>
        <v>97</v>
      </c>
      <c r="P177" s="1">
        <f ca="1">IFERROR(__xludf.DUMMYFUNCTION("""COMPUTED_VALUE"""),106.4)</f>
        <v>106.4</v>
      </c>
      <c r="Q177" s="1">
        <f ca="1">IFERROR(__xludf.DUMMYFUNCTION("""COMPUTED_VALUE"""),96)</f>
        <v>96</v>
      </c>
      <c r="R177" s="1">
        <f ca="1">IFERROR(__xludf.DUMMYFUNCTION("""COMPUTED_VALUE"""),103.4)</f>
        <v>103.4</v>
      </c>
      <c r="S177" s="1">
        <f ca="1">IFERROR(__xludf.DUMMYFUNCTION("""COMPUTED_VALUE"""),110)</f>
        <v>110</v>
      </c>
      <c r="T177" s="1">
        <f ca="1">IFERROR(__xludf.DUMMYFUNCTION("""COMPUTED_VALUE"""),-2.99)</f>
        <v>-2.99</v>
      </c>
      <c r="U177" s="1">
        <f ca="1">IFERROR(__xludf.DUMMYFUNCTION("""COMPUTED_VALUE"""),250)</f>
        <v>250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IFERROR(__xludf.DUMMYFUNCTION("""COMPUTED_VALUE"""),"Indiana St.")</f>
        <v>Indiana St.</v>
      </c>
      <c r="C178" s="1" t="str">
        <f ca="1">IFERROR(__xludf.DUMMYFUNCTION("""COMPUTED_VALUE"""),"MVC")</f>
        <v>MVC</v>
      </c>
      <c r="D178" s="1" t="str">
        <f ca="1">IFERROR(__xludf.DUMMYFUNCTION("""COMPUTED_VALUE"""),"15-17")</f>
        <v>15-17</v>
      </c>
      <c r="E178" s="1">
        <f ca="1">IFERROR(__xludf.DUMMYFUNCTION("""COMPUTED_VALUE"""),-0.37)</f>
        <v>-0.37</v>
      </c>
      <c r="F178" s="1">
        <f ca="1">IFERROR(__xludf.DUMMYFUNCTION("""COMPUTED_VALUE"""),99.4)</f>
        <v>99.4</v>
      </c>
      <c r="G178" s="1">
        <f ca="1">IFERROR(__xludf.DUMMYFUNCTION("""COMPUTED_VALUE"""),276)</f>
        <v>276</v>
      </c>
      <c r="H178" s="1">
        <f ca="1">IFERROR(__xludf.DUMMYFUNCTION("""COMPUTED_VALUE"""),99.8)</f>
        <v>99.8</v>
      </c>
      <c r="I178" s="1">
        <f ca="1">IFERROR(__xludf.DUMMYFUNCTION("""COMPUTED_VALUE"""),83)</f>
        <v>83</v>
      </c>
      <c r="J178" s="1">
        <f ca="1">IFERROR(__xludf.DUMMYFUNCTION("""COMPUTED_VALUE"""),70.2)</f>
        <v>70.2</v>
      </c>
      <c r="K178" s="1">
        <f ca="1">IFERROR(__xludf.DUMMYFUNCTION("""COMPUTED_VALUE"""),79)</f>
        <v>79</v>
      </c>
      <c r="L178" s="1" t="str">
        <f ca="1">IFERROR(__xludf.DUMMYFUNCTION("""COMPUTED_VALUE"""),"+.013")</f>
        <v>+.013</v>
      </c>
      <c r="M178" s="1">
        <f ca="1">IFERROR(__xludf.DUMMYFUNCTION("""COMPUTED_VALUE"""),147)</f>
        <v>147</v>
      </c>
      <c r="N178" s="1" t="str">
        <f ca="1">IFERROR(__xludf.DUMMYFUNCTION("""COMPUTED_VALUE"""),"+1.87")</f>
        <v>+1.87</v>
      </c>
      <c r="O178" s="1">
        <f ca="1">IFERROR(__xludf.DUMMYFUNCTION("""COMPUTED_VALUE"""),117)</f>
        <v>117</v>
      </c>
      <c r="P178" s="1">
        <f ca="1">IFERROR(__xludf.DUMMYFUNCTION("""COMPUTED_VALUE"""),104.4)</f>
        <v>104.4</v>
      </c>
      <c r="Q178" s="1">
        <f ca="1">IFERROR(__xludf.DUMMYFUNCTION("""COMPUTED_VALUE"""),177)</f>
        <v>177</v>
      </c>
      <c r="R178" s="1">
        <f ca="1">IFERROR(__xludf.DUMMYFUNCTION("""COMPUTED_VALUE"""),102.5)</f>
        <v>102.5</v>
      </c>
      <c r="S178" s="1">
        <f ca="1">IFERROR(__xludf.DUMMYFUNCTION("""COMPUTED_VALUE"""),89)</f>
        <v>89</v>
      </c>
      <c r="T178" s="1" t="str">
        <f ca="1">IFERROR(__xludf.DUMMYFUNCTION("""COMPUTED_VALUE"""),"+1.44")</f>
        <v>+1.44</v>
      </c>
      <c r="U178" s="1">
        <f ca="1">IFERROR(__xludf.DUMMYFUNCTION("""COMPUTED_VALUE"""),130)</f>
        <v>130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IFERROR(__xludf.DUMMYFUNCTION("""COMPUTED_VALUE"""),"Western Kentucky")</f>
        <v>Western Kentucky</v>
      </c>
      <c r="C179" s="1" t="str">
        <f ca="1">IFERROR(__xludf.DUMMYFUNCTION("""COMPUTED_VALUE"""),"CUSA")</f>
        <v>CUSA</v>
      </c>
      <c r="D179" s="1" t="str">
        <f ca="1">IFERROR(__xludf.DUMMYFUNCTION("""COMPUTED_VALUE"""),"18-16")</f>
        <v>18-16</v>
      </c>
      <c r="E179" s="1">
        <f ca="1">IFERROR(__xludf.DUMMYFUNCTION("""COMPUTED_VALUE"""),-0.66)</f>
        <v>-0.66</v>
      </c>
      <c r="F179" s="1">
        <f ca="1">IFERROR(__xludf.DUMMYFUNCTION("""COMPUTED_VALUE"""),108.6)</f>
        <v>108.6</v>
      </c>
      <c r="G179" s="1">
        <f ca="1">IFERROR(__xludf.DUMMYFUNCTION("""COMPUTED_VALUE"""),102)</f>
        <v>102</v>
      </c>
      <c r="H179" s="1">
        <f ca="1">IFERROR(__xludf.DUMMYFUNCTION("""COMPUTED_VALUE"""),109.2)</f>
        <v>109.2</v>
      </c>
      <c r="I179" s="1">
        <f ca="1">IFERROR(__xludf.DUMMYFUNCTION("""COMPUTED_VALUE"""),263)</f>
        <v>263</v>
      </c>
      <c r="J179" s="1">
        <f ca="1">IFERROR(__xludf.DUMMYFUNCTION("""COMPUTED_VALUE"""),67)</f>
        <v>67</v>
      </c>
      <c r="K179" s="1">
        <f ca="1">IFERROR(__xludf.DUMMYFUNCTION("""COMPUTED_VALUE"""),233)</f>
        <v>233</v>
      </c>
      <c r="L179" s="1" t="str">
        <f ca="1">IFERROR(__xludf.DUMMYFUNCTION("""COMPUTED_VALUE"""),"+.010")</f>
        <v>+.010</v>
      </c>
      <c r="M179" s="1">
        <f ca="1">IFERROR(__xludf.DUMMYFUNCTION("""COMPUTED_VALUE"""),152)</f>
        <v>152</v>
      </c>
      <c r="N179" s="1">
        <f ca="1">IFERROR(__xludf.DUMMYFUNCTION("""COMPUTED_VALUE"""),-1.73)</f>
        <v>-1.73</v>
      </c>
      <c r="O179" s="1">
        <f ca="1">IFERROR(__xludf.DUMMYFUNCTION("""COMPUTED_VALUE"""),192)</f>
        <v>192</v>
      </c>
      <c r="P179" s="1">
        <f ca="1">IFERROR(__xludf.DUMMYFUNCTION("""COMPUTED_VALUE"""),105.3)</f>
        <v>105.3</v>
      </c>
      <c r="Q179" s="1">
        <f ca="1">IFERROR(__xludf.DUMMYFUNCTION("""COMPUTED_VALUE"""),137)</f>
        <v>137</v>
      </c>
      <c r="R179" s="1">
        <f ca="1">IFERROR(__xludf.DUMMYFUNCTION("""COMPUTED_VALUE"""),107)</f>
        <v>107</v>
      </c>
      <c r="S179" s="1">
        <f ca="1">IFERROR(__xludf.DUMMYFUNCTION("""COMPUTED_VALUE"""),240)</f>
        <v>240</v>
      </c>
      <c r="T179" s="1" t="str">
        <f ca="1">IFERROR(__xludf.DUMMYFUNCTION("""COMPUTED_VALUE"""),"+0.13")</f>
        <v>+0.13</v>
      </c>
      <c r="U179" s="1">
        <f ca="1">IFERROR(__xludf.DUMMYFUNCTION("""COMPUTED_VALUE"""),166)</f>
        <v>166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IFERROR(__xludf.DUMMYFUNCTION("""COMPUTED_VALUE"""),"Texas A&amp;M Corpus Chris")</f>
        <v>Texas A&amp;M Corpus Chris</v>
      </c>
      <c r="C180" s="1" t="str">
        <f ca="1">IFERROR(__xludf.DUMMYFUNCTION("""COMPUTED_VALUE"""),"Slnd")</f>
        <v>Slnd</v>
      </c>
      <c r="D180" s="1" t="str">
        <f ca="1">IFERROR(__xludf.DUMMYFUNCTION("""COMPUTED_VALUE"""),"25-8")</f>
        <v>25-8</v>
      </c>
      <c r="E180" s="1">
        <f ca="1">IFERROR(__xludf.DUMMYFUNCTION("""COMPUTED_VALUE"""),-0.66)</f>
        <v>-0.66</v>
      </c>
      <c r="F180" s="1">
        <f ca="1">IFERROR(__xludf.DUMMYFUNCTION("""COMPUTED_VALUE"""),102.6)</f>
        <v>102.6</v>
      </c>
      <c r="G180" s="1">
        <f ca="1">IFERROR(__xludf.DUMMYFUNCTION("""COMPUTED_VALUE"""),208)</f>
        <v>208</v>
      </c>
      <c r="H180" s="1">
        <f ca="1">IFERROR(__xludf.DUMMYFUNCTION("""COMPUTED_VALUE"""),103.3)</f>
        <v>103.3</v>
      </c>
      <c r="I180" s="1">
        <f ca="1">IFERROR(__xludf.DUMMYFUNCTION("""COMPUTED_VALUE"""),144)</f>
        <v>144</v>
      </c>
      <c r="J180" s="1">
        <f ca="1">IFERROR(__xludf.DUMMYFUNCTION("""COMPUTED_VALUE"""),68.5)</f>
        <v>68.5</v>
      </c>
      <c r="K180" s="1">
        <f ca="1">IFERROR(__xludf.DUMMYFUNCTION("""COMPUTED_VALUE"""),141)</f>
        <v>141</v>
      </c>
      <c r="L180" s="1" t="str">
        <f ca="1">IFERROR(__xludf.DUMMYFUNCTION("""COMPUTED_VALUE"""),"+.169")</f>
        <v>+.169</v>
      </c>
      <c r="M180" s="1">
        <f ca="1">IFERROR(__xludf.DUMMYFUNCTION("""COMPUTED_VALUE"""),1)</f>
        <v>1</v>
      </c>
      <c r="N180" s="1">
        <f ca="1">IFERROR(__xludf.DUMMYFUNCTION("""COMPUTED_VALUE"""),-5.53)</f>
        <v>-5.53</v>
      </c>
      <c r="O180" s="1">
        <f ca="1">IFERROR(__xludf.DUMMYFUNCTION("""COMPUTED_VALUE"""),275)</f>
        <v>275</v>
      </c>
      <c r="P180" s="1">
        <f ca="1">IFERROR(__xludf.DUMMYFUNCTION("""COMPUTED_VALUE"""),102.7)</f>
        <v>102.7</v>
      </c>
      <c r="Q180" s="1">
        <f ca="1">IFERROR(__xludf.DUMMYFUNCTION("""COMPUTED_VALUE"""),254)</f>
        <v>254</v>
      </c>
      <c r="R180" s="1">
        <f ca="1">IFERROR(__xludf.DUMMYFUNCTION("""COMPUTED_VALUE"""),108.2)</f>
        <v>108.2</v>
      </c>
      <c r="S180" s="1">
        <f ca="1">IFERROR(__xludf.DUMMYFUNCTION("""COMPUTED_VALUE"""),306)</f>
        <v>306</v>
      </c>
      <c r="T180" s="1" t="str">
        <f ca="1">IFERROR(__xludf.DUMMYFUNCTION("""COMPUTED_VALUE"""),"+1.52")</f>
        <v>+1.52</v>
      </c>
      <c r="U180" s="1">
        <f ca="1">IFERROR(__xludf.DUMMYFUNCTION("""COMPUTED_VALUE"""),123)</f>
        <v>123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IFERROR(__xludf.DUMMYFUNCTION("""COMPUTED_VALUE"""),"Harvard")</f>
        <v>Harvard</v>
      </c>
      <c r="C181" s="1" t="str">
        <f ca="1">IFERROR(__xludf.DUMMYFUNCTION("""COMPUTED_VALUE"""),"Ivy")</f>
        <v>Ivy</v>
      </c>
      <c r="D181" s="1" t="str">
        <f ca="1">IFERROR(__xludf.DUMMYFUNCTION("""COMPUTED_VALUE"""),"14-16")</f>
        <v>14-16</v>
      </c>
      <c r="E181" s="1">
        <f ca="1">IFERROR(__xludf.DUMMYFUNCTION("""COMPUTED_VALUE"""),-0.69)</f>
        <v>-0.69</v>
      </c>
      <c r="F181" s="1">
        <f ca="1">IFERROR(__xludf.DUMMYFUNCTION("""COMPUTED_VALUE"""),100.3)</f>
        <v>100.3</v>
      </c>
      <c r="G181" s="1">
        <f ca="1">IFERROR(__xludf.DUMMYFUNCTION("""COMPUTED_VALUE"""),253)</f>
        <v>253</v>
      </c>
      <c r="H181" s="1">
        <f ca="1">IFERROR(__xludf.DUMMYFUNCTION("""COMPUTED_VALUE"""),101)</f>
        <v>101</v>
      </c>
      <c r="I181" s="1">
        <f ca="1">IFERROR(__xludf.DUMMYFUNCTION("""COMPUTED_VALUE"""),105)</f>
        <v>105</v>
      </c>
      <c r="J181" s="1">
        <f ca="1">IFERROR(__xludf.DUMMYFUNCTION("""COMPUTED_VALUE"""),65.9)</f>
        <v>65.900000000000006</v>
      </c>
      <c r="K181" s="1">
        <f ca="1">IFERROR(__xludf.DUMMYFUNCTION("""COMPUTED_VALUE"""),278)</f>
        <v>278</v>
      </c>
      <c r="L181" s="1">
        <f ca="1">IFERROR(__xludf.DUMMYFUNCTION("""COMPUTED_VALUE"""),-0.047)</f>
        <v>-4.7E-2</v>
      </c>
      <c r="M181" s="1">
        <f ca="1">IFERROR(__xludf.DUMMYFUNCTION("""COMPUTED_VALUE"""),290)</f>
        <v>290</v>
      </c>
      <c r="N181" s="1">
        <f ca="1">IFERROR(__xludf.DUMMYFUNCTION("""COMPUTED_VALUE"""),-0.05)</f>
        <v>-0.05</v>
      </c>
      <c r="O181" s="1">
        <f ca="1">IFERROR(__xludf.DUMMYFUNCTION("""COMPUTED_VALUE"""),150)</f>
        <v>150</v>
      </c>
      <c r="P181" s="1">
        <f ca="1">IFERROR(__xludf.DUMMYFUNCTION("""COMPUTED_VALUE"""),104.7)</f>
        <v>104.7</v>
      </c>
      <c r="Q181" s="1">
        <f ca="1">IFERROR(__xludf.DUMMYFUNCTION("""COMPUTED_VALUE"""),162)</f>
        <v>162</v>
      </c>
      <c r="R181" s="1">
        <f ca="1">IFERROR(__xludf.DUMMYFUNCTION("""COMPUTED_VALUE"""),104.8)</f>
        <v>104.8</v>
      </c>
      <c r="S181" s="1">
        <f ca="1">IFERROR(__xludf.DUMMYFUNCTION("""COMPUTED_VALUE"""),145)</f>
        <v>145</v>
      </c>
      <c r="T181" s="1" t="str">
        <f ca="1">IFERROR(__xludf.DUMMYFUNCTION("""COMPUTED_VALUE"""),"+1.45")</f>
        <v>+1.45</v>
      </c>
      <c r="U181" s="1">
        <f ca="1">IFERROR(__xludf.DUMMYFUNCTION("""COMPUTED_VALUE"""),129)</f>
        <v>129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IFERROR(__xludf.DUMMYFUNCTION("""COMPUTED_VALUE"""),"Bucknell8")</f>
        <v>Bucknell8</v>
      </c>
      <c r="C182" s="1" t="str">
        <f ca="1">IFERROR(__xludf.DUMMYFUNCTION("""COMPUTED_VALUE"""),"Pat")</f>
        <v>Pat</v>
      </c>
      <c r="D182" s="1" t="str">
        <f ca="1">IFERROR(__xludf.DUMMYFUNCTION("""COMPUTED_VALUE"""),"17-14")</f>
        <v>17-14</v>
      </c>
      <c r="E182" s="1">
        <f ca="1">IFERROR(__xludf.DUMMYFUNCTION("""COMPUTED_VALUE"""),-0.89)</f>
        <v>-0.89</v>
      </c>
      <c r="F182" s="1">
        <f ca="1">IFERROR(__xludf.DUMMYFUNCTION("""COMPUTED_VALUE"""),105.6)</f>
        <v>105.6</v>
      </c>
      <c r="G182" s="1">
        <f ca="1">IFERROR(__xludf.DUMMYFUNCTION("""COMPUTED_VALUE"""),163)</f>
        <v>163</v>
      </c>
      <c r="H182" s="1">
        <f ca="1">IFERROR(__xludf.DUMMYFUNCTION("""COMPUTED_VALUE"""),106.5)</f>
        <v>106.5</v>
      </c>
      <c r="I182" s="1">
        <f ca="1">IFERROR(__xludf.DUMMYFUNCTION("""COMPUTED_VALUE"""),202)</f>
        <v>202</v>
      </c>
      <c r="J182" s="1">
        <f ca="1">IFERROR(__xludf.DUMMYFUNCTION("""COMPUTED_VALUE"""),71.2)</f>
        <v>71.2</v>
      </c>
      <c r="K182" s="1">
        <f ca="1">IFERROR(__xludf.DUMMYFUNCTION("""COMPUTED_VALUE"""),51)</f>
        <v>51</v>
      </c>
      <c r="L182" s="1">
        <f ca="1">IFERROR(__xludf.DUMMYFUNCTION("""COMPUTED_VALUE"""),-0.067)</f>
        <v>-6.7000000000000004E-2</v>
      </c>
      <c r="M182" s="1">
        <f ca="1">IFERROR(__xludf.DUMMYFUNCTION("""COMPUTED_VALUE"""),320)</f>
        <v>320</v>
      </c>
      <c r="N182" s="1">
        <f ca="1">IFERROR(__xludf.DUMMYFUNCTION("""COMPUTED_VALUE"""),-5.91)</f>
        <v>-5.91</v>
      </c>
      <c r="O182" s="1">
        <f ca="1">IFERROR(__xludf.DUMMYFUNCTION("""COMPUTED_VALUE"""),287)</f>
        <v>287</v>
      </c>
      <c r="P182" s="1">
        <f ca="1">IFERROR(__xludf.DUMMYFUNCTION("""COMPUTED_VALUE"""),101.5)</f>
        <v>101.5</v>
      </c>
      <c r="Q182" s="1">
        <f ca="1">IFERROR(__xludf.DUMMYFUNCTION("""COMPUTED_VALUE"""),299)</f>
        <v>299</v>
      </c>
      <c r="R182" s="1">
        <f ca="1">IFERROR(__xludf.DUMMYFUNCTION("""COMPUTED_VALUE"""),107.4)</f>
        <v>107.4</v>
      </c>
      <c r="S182" s="1">
        <f ca="1">IFERROR(__xludf.DUMMYFUNCTION("""COMPUTED_VALUE"""),255)</f>
        <v>255</v>
      </c>
      <c r="T182" s="1" t="str">
        <f ca="1">IFERROR(__xludf.DUMMYFUNCTION("""COMPUTED_VALUE"""),"+0.53")</f>
        <v>+0.53</v>
      </c>
      <c r="U182" s="1">
        <f ca="1">IFERROR(__xludf.DUMMYFUNCTION("""COMPUTED_VALUE"""),153)</f>
        <v>153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IFERROR(__xludf.DUMMYFUNCTION("""COMPUTED_VALUE"""),"Detroit")</f>
        <v>Detroit</v>
      </c>
      <c r="C183" s="1" t="str">
        <f ca="1">IFERROR(__xludf.DUMMYFUNCTION("""COMPUTED_VALUE"""),"Horz")</f>
        <v>Horz</v>
      </c>
      <c r="D183" s="1" t="str">
        <f ca="1">IFERROR(__xludf.DUMMYFUNCTION("""COMPUTED_VALUE"""),"16-15")</f>
        <v>16-15</v>
      </c>
      <c r="E183" s="1">
        <f ca="1">IFERROR(__xludf.DUMMYFUNCTION("""COMPUTED_VALUE"""),-0.9)</f>
        <v>-0.9</v>
      </c>
      <c r="F183" s="1">
        <f ca="1">IFERROR(__xludf.DUMMYFUNCTION("""COMPUTED_VALUE"""),110.6)</f>
        <v>110.6</v>
      </c>
      <c r="G183" s="1">
        <f ca="1">IFERROR(__xludf.DUMMYFUNCTION("""COMPUTED_VALUE"""),82)</f>
        <v>82</v>
      </c>
      <c r="H183" s="1">
        <f ca="1">IFERROR(__xludf.DUMMYFUNCTION("""COMPUTED_VALUE"""),111.5)</f>
        <v>111.5</v>
      </c>
      <c r="I183" s="1">
        <f ca="1">IFERROR(__xludf.DUMMYFUNCTION("""COMPUTED_VALUE"""),296)</f>
        <v>296</v>
      </c>
      <c r="J183" s="1">
        <f ca="1">IFERROR(__xludf.DUMMYFUNCTION("""COMPUTED_VALUE"""),73.7)</f>
        <v>73.7</v>
      </c>
      <c r="K183" s="1">
        <f ca="1">IFERROR(__xludf.DUMMYFUNCTION("""COMPUTED_VALUE"""),11)</f>
        <v>11</v>
      </c>
      <c r="L183" s="1" t="str">
        <f ca="1">IFERROR(__xludf.DUMMYFUNCTION("""COMPUTED_VALUE"""),"+.024")</f>
        <v>+.024</v>
      </c>
      <c r="M183" s="1">
        <f ca="1">IFERROR(__xludf.DUMMYFUNCTION("""COMPUTED_VALUE"""),111)</f>
        <v>111</v>
      </c>
      <c r="N183" s="1">
        <f ca="1">IFERROR(__xludf.DUMMYFUNCTION("""COMPUTED_VALUE"""),-0.76)</f>
        <v>-0.76</v>
      </c>
      <c r="O183" s="1">
        <f ca="1">IFERROR(__xludf.DUMMYFUNCTION("""COMPUTED_VALUE"""),166)</f>
        <v>166</v>
      </c>
      <c r="P183" s="1">
        <f ca="1">IFERROR(__xludf.DUMMYFUNCTION("""COMPUTED_VALUE"""),104.4)</f>
        <v>104.4</v>
      </c>
      <c r="Q183" s="1">
        <f ca="1">IFERROR(__xludf.DUMMYFUNCTION("""COMPUTED_VALUE"""),182)</f>
        <v>182</v>
      </c>
      <c r="R183" s="1">
        <f ca="1">IFERROR(__xludf.DUMMYFUNCTION("""COMPUTED_VALUE"""),105.1)</f>
        <v>105.1</v>
      </c>
      <c r="S183" s="1">
        <f ca="1">IFERROR(__xludf.DUMMYFUNCTION("""COMPUTED_VALUE"""),160)</f>
        <v>160</v>
      </c>
      <c r="T183" s="1" t="str">
        <f ca="1">IFERROR(__xludf.DUMMYFUNCTION("""COMPUTED_VALUE"""),"+3.21")</f>
        <v>+3.21</v>
      </c>
      <c r="U183" s="1">
        <f ca="1">IFERROR(__xludf.DUMMYFUNCTION("""COMPUTED_VALUE"""),74)</f>
        <v>74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IFERROR(__xludf.DUMMYFUNCTION("""COMPUTED_VALUE"""),"Oral Roberts")</f>
        <v>Oral Roberts</v>
      </c>
      <c r="C184" s="1" t="str">
        <f ca="1">IFERROR(__xludf.DUMMYFUNCTION("""COMPUTED_VALUE"""),"Sum")</f>
        <v>Sum</v>
      </c>
      <c r="D184" s="1" t="str">
        <f ca="1">IFERROR(__xludf.DUMMYFUNCTION("""COMPUTED_VALUE"""),"14-17")</f>
        <v>14-17</v>
      </c>
      <c r="E184" s="1">
        <f ca="1">IFERROR(__xludf.DUMMYFUNCTION("""COMPUTED_VALUE"""),-0.99)</f>
        <v>-0.99</v>
      </c>
      <c r="F184" s="1">
        <f ca="1">IFERROR(__xludf.DUMMYFUNCTION("""COMPUTED_VALUE"""),107.6)</f>
        <v>107.6</v>
      </c>
      <c r="G184" s="1">
        <f ca="1">IFERROR(__xludf.DUMMYFUNCTION("""COMPUTED_VALUE"""),121)</f>
        <v>121</v>
      </c>
      <c r="H184" s="1">
        <f ca="1">IFERROR(__xludf.DUMMYFUNCTION("""COMPUTED_VALUE"""),108.6)</f>
        <v>108.6</v>
      </c>
      <c r="I184" s="1">
        <f ca="1">IFERROR(__xludf.DUMMYFUNCTION("""COMPUTED_VALUE"""),249)</f>
        <v>249</v>
      </c>
      <c r="J184" s="1">
        <f ca="1">IFERROR(__xludf.DUMMYFUNCTION("""COMPUTED_VALUE"""),68.8)</f>
        <v>68.8</v>
      </c>
      <c r="K184" s="1">
        <f ca="1">IFERROR(__xludf.DUMMYFUNCTION("""COMPUTED_VALUE"""),130)</f>
        <v>130</v>
      </c>
      <c r="L184" s="1" t="str">
        <f ca="1">IFERROR(__xludf.DUMMYFUNCTION("""COMPUTED_VALUE"""),"+.025")</f>
        <v>+.025</v>
      </c>
      <c r="M184" s="1">
        <f ca="1">IFERROR(__xludf.DUMMYFUNCTION("""COMPUTED_VALUE"""),108)</f>
        <v>108</v>
      </c>
      <c r="N184" s="1" t="str">
        <f ca="1">IFERROR(__xludf.DUMMYFUNCTION("""COMPUTED_VALUE"""),"+2.57")</f>
        <v>+2.57</v>
      </c>
      <c r="O184" s="1">
        <f ca="1">IFERROR(__xludf.DUMMYFUNCTION("""COMPUTED_VALUE"""),102)</f>
        <v>102</v>
      </c>
      <c r="P184" s="1">
        <f ca="1">IFERROR(__xludf.DUMMYFUNCTION("""COMPUTED_VALUE"""),106.8)</f>
        <v>106.8</v>
      </c>
      <c r="Q184" s="1">
        <f ca="1">IFERROR(__xludf.DUMMYFUNCTION("""COMPUTED_VALUE"""),88)</f>
        <v>88</v>
      </c>
      <c r="R184" s="1">
        <f ca="1">IFERROR(__xludf.DUMMYFUNCTION("""COMPUTED_VALUE"""),104.2)</f>
        <v>104.2</v>
      </c>
      <c r="S184" s="1">
        <f ca="1">IFERROR(__xludf.DUMMYFUNCTION("""COMPUTED_VALUE"""),130)</f>
        <v>130</v>
      </c>
      <c r="T184" s="1" t="str">
        <f ca="1">IFERROR(__xludf.DUMMYFUNCTION("""COMPUTED_VALUE"""),"+6.81")</f>
        <v>+6.81</v>
      </c>
      <c r="U184" s="1">
        <f ca="1">IFERROR(__xludf.DUMMYFUNCTION("""COMPUTED_VALUE"""),19)</f>
        <v>19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IFERROR(__xludf.DUMMYFUNCTION("""COMPUTED_VALUE"""),"Furman")</f>
        <v>Furman</v>
      </c>
      <c r="C185" s="1" t="str">
        <f ca="1">IFERROR(__xludf.DUMMYFUNCTION("""COMPUTED_VALUE"""),"SC")</f>
        <v>SC</v>
      </c>
      <c r="D185" s="1" t="str">
        <f ca="1">IFERROR(__xludf.DUMMYFUNCTION("""COMPUTED_VALUE"""),"19-16")</f>
        <v>19-16</v>
      </c>
      <c r="E185" s="1">
        <f ca="1">IFERROR(__xludf.DUMMYFUNCTION("""COMPUTED_VALUE"""),-1.01)</f>
        <v>-1.01</v>
      </c>
      <c r="F185" s="1">
        <f ca="1">IFERROR(__xludf.DUMMYFUNCTION("""COMPUTED_VALUE"""),105)</f>
        <v>105</v>
      </c>
      <c r="G185" s="1">
        <f ca="1">IFERROR(__xludf.DUMMYFUNCTION("""COMPUTED_VALUE"""),168)</f>
        <v>168</v>
      </c>
      <c r="H185" s="1">
        <f ca="1">IFERROR(__xludf.DUMMYFUNCTION("""COMPUTED_VALUE"""),106)</f>
        <v>106</v>
      </c>
      <c r="I185" s="1">
        <f ca="1">IFERROR(__xludf.DUMMYFUNCTION("""COMPUTED_VALUE"""),194)</f>
        <v>194</v>
      </c>
      <c r="J185" s="1">
        <f ca="1">IFERROR(__xludf.DUMMYFUNCTION("""COMPUTED_VALUE"""),65)</f>
        <v>65</v>
      </c>
      <c r="K185" s="1">
        <f ca="1">IFERROR(__xludf.DUMMYFUNCTION("""COMPUTED_VALUE"""),315)</f>
        <v>315</v>
      </c>
      <c r="L185" s="1">
        <f ca="1">IFERROR(__xludf.DUMMYFUNCTION("""COMPUTED_VALUE"""),-0.024)</f>
        <v>-2.4E-2</v>
      </c>
      <c r="M185" s="1">
        <f ca="1">IFERROR(__xludf.DUMMYFUNCTION("""COMPUTED_VALUE"""),241)</f>
        <v>241</v>
      </c>
      <c r="N185" s="1">
        <f ca="1">IFERROR(__xludf.DUMMYFUNCTION("""COMPUTED_VALUE"""),-3.64)</f>
        <v>-3.64</v>
      </c>
      <c r="O185" s="1">
        <f ca="1">IFERROR(__xludf.DUMMYFUNCTION("""COMPUTED_VALUE"""),229)</f>
        <v>229</v>
      </c>
      <c r="P185" s="1">
        <f ca="1">IFERROR(__xludf.DUMMYFUNCTION("""COMPUTED_VALUE"""),103.2)</f>
        <v>103.2</v>
      </c>
      <c r="Q185" s="1">
        <f ca="1">IFERROR(__xludf.DUMMYFUNCTION("""COMPUTED_VALUE"""),236)</f>
        <v>236</v>
      </c>
      <c r="R185" s="1">
        <f ca="1">IFERROR(__xludf.DUMMYFUNCTION("""COMPUTED_VALUE"""),106.8)</f>
        <v>106.8</v>
      </c>
      <c r="S185" s="1">
        <f ca="1">IFERROR(__xludf.DUMMYFUNCTION("""COMPUTED_VALUE"""),232)</f>
        <v>232</v>
      </c>
      <c r="T185" s="1">
        <f ca="1">IFERROR(__xludf.DUMMYFUNCTION("""COMPUTED_VALUE"""),-1.48)</f>
        <v>-1.48</v>
      </c>
      <c r="U185" s="1">
        <f ca="1">IFERROR(__xludf.DUMMYFUNCTION("""COMPUTED_VALUE"""),206)</f>
        <v>206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IFERROR(__xludf.DUMMYFUNCTION("""COMPUTED_VALUE"""),"Coastal Carolina")</f>
        <v>Coastal Carolina</v>
      </c>
      <c r="C186" s="1" t="str">
        <f ca="1">IFERROR(__xludf.DUMMYFUNCTION("""COMPUTED_VALUE"""),"BSth")</f>
        <v>BSth</v>
      </c>
      <c r="D186" s="1" t="str">
        <f ca="1">IFERROR(__xludf.DUMMYFUNCTION("""COMPUTED_VALUE"""),"21-12")</f>
        <v>21-12</v>
      </c>
      <c r="E186" s="1">
        <f ca="1">IFERROR(__xludf.DUMMYFUNCTION("""COMPUTED_VALUE"""),-1.09)</f>
        <v>-1.0900000000000001</v>
      </c>
      <c r="F186" s="1">
        <f ca="1">IFERROR(__xludf.DUMMYFUNCTION("""COMPUTED_VALUE"""),101.7)</f>
        <v>101.7</v>
      </c>
      <c r="G186" s="1">
        <f ca="1">IFERROR(__xludf.DUMMYFUNCTION("""COMPUTED_VALUE"""),221)</f>
        <v>221</v>
      </c>
      <c r="H186" s="1">
        <f ca="1">IFERROR(__xludf.DUMMYFUNCTION("""COMPUTED_VALUE"""),102.8)</f>
        <v>102.8</v>
      </c>
      <c r="I186" s="1">
        <f ca="1">IFERROR(__xludf.DUMMYFUNCTION("""COMPUTED_VALUE"""),132)</f>
        <v>132</v>
      </c>
      <c r="J186" s="1">
        <f ca="1">IFERROR(__xludf.DUMMYFUNCTION("""COMPUTED_VALUE"""),66.7)</f>
        <v>66.7</v>
      </c>
      <c r="K186" s="1">
        <f ca="1">IFERROR(__xludf.DUMMYFUNCTION("""COMPUTED_VALUE"""),247)</f>
        <v>247</v>
      </c>
      <c r="L186" s="1" t="str">
        <f ca="1">IFERROR(__xludf.DUMMYFUNCTION("""COMPUTED_VALUE"""),"+.016")</f>
        <v>+.016</v>
      </c>
      <c r="M186" s="1">
        <f ca="1">IFERROR(__xludf.DUMMYFUNCTION("""COMPUTED_VALUE"""),131)</f>
        <v>131</v>
      </c>
      <c r="N186" s="1">
        <f ca="1">IFERROR(__xludf.DUMMYFUNCTION("""COMPUTED_VALUE"""),-4.79)</f>
        <v>-4.79</v>
      </c>
      <c r="O186" s="1">
        <f ca="1">IFERROR(__xludf.DUMMYFUNCTION("""COMPUTED_VALUE"""),263)</f>
        <v>263</v>
      </c>
      <c r="P186" s="1">
        <f ca="1">IFERROR(__xludf.DUMMYFUNCTION("""COMPUTED_VALUE"""),102.2)</f>
        <v>102.2</v>
      </c>
      <c r="Q186" s="1">
        <f ca="1">IFERROR(__xludf.DUMMYFUNCTION("""COMPUTED_VALUE"""),275)</f>
        <v>275</v>
      </c>
      <c r="R186" s="1">
        <f ca="1">IFERROR(__xludf.DUMMYFUNCTION("""COMPUTED_VALUE"""),107)</f>
        <v>107</v>
      </c>
      <c r="S186" s="1">
        <f ca="1">IFERROR(__xludf.DUMMYFUNCTION("""COMPUTED_VALUE"""),238)</f>
        <v>238</v>
      </c>
      <c r="T186" s="1" t="str">
        <f ca="1">IFERROR(__xludf.DUMMYFUNCTION("""COMPUTED_VALUE"""),"+2.69")</f>
        <v>+2.69</v>
      </c>
      <c r="U186" s="1">
        <f ca="1">IFERROR(__xludf.DUMMYFUNCTION("""COMPUTED_VALUE"""),88)</f>
        <v>88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IFERROR(__xludf.DUMMYFUNCTION("""COMPUTED_VALUE"""),"North Florida7")</f>
        <v>North Florida7</v>
      </c>
      <c r="C187" s="1" t="str">
        <f ca="1">IFERROR(__xludf.DUMMYFUNCTION("""COMPUTED_VALUE"""),"ASun")</f>
        <v>ASun</v>
      </c>
      <c r="D187" s="1" t="str">
        <f ca="1">IFERROR(__xludf.DUMMYFUNCTION("""COMPUTED_VALUE"""),"22-12")</f>
        <v>22-12</v>
      </c>
      <c r="E187" s="1">
        <f ca="1">IFERROR(__xludf.DUMMYFUNCTION("""COMPUTED_VALUE"""),-1.19)</f>
        <v>-1.19</v>
      </c>
      <c r="F187" s="1">
        <f ca="1">IFERROR(__xludf.DUMMYFUNCTION("""COMPUTED_VALUE"""),113.9)</f>
        <v>113.9</v>
      </c>
      <c r="G187" s="1">
        <f ca="1">IFERROR(__xludf.DUMMYFUNCTION("""COMPUTED_VALUE"""),36)</f>
        <v>36</v>
      </c>
      <c r="H187" s="1">
        <f ca="1">IFERROR(__xludf.DUMMYFUNCTION("""COMPUTED_VALUE"""),115)</f>
        <v>115</v>
      </c>
      <c r="I187" s="1">
        <f ca="1">IFERROR(__xludf.DUMMYFUNCTION("""COMPUTED_VALUE"""),335)</f>
        <v>335</v>
      </c>
      <c r="J187" s="1">
        <f ca="1">IFERROR(__xludf.DUMMYFUNCTION("""COMPUTED_VALUE"""),70.4)</f>
        <v>70.400000000000006</v>
      </c>
      <c r="K187" s="1">
        <f ca="1">IFERROR(__xludf.DUMMYFUNCTION("""COMPUTED_VALUE"""),65)</f>
        <v>65</v>
      </c>
      <c r="L187" s="1" t="str">
        <f ca="1">IFERROR(__xludf.DUMMYFUNCTION("""COMPUTED_VALUE"""),"+.058")</f>
        <v>+.058</v>
      </c>
      <c r="M187" s="1">
        <f ca="1">IFERROR(__xludf.DUMMYFUNCTION("""COMPUTED_VALUE"""),48)</f>
        <v>48</v>
      </c>
      <c r="N187" s="1">
        <f ca="1">IFERROR(__xludf.DUMMYFUNCTION("""COMPUTED_VALUE"""),-5.15)</f>
        <v>-5.15</v>
      </c>
      <c r="O187" s="1">
        <f ca="1">IFERROR(__xludf.DUMMYFUNCTION("""COMPUTED_VALUE"""),269)</f>
        <v>269</v>
      </c>
      <c r="P187" s="1">
        <f ca="1">IFERROR(__xludf.DUMMYFUNCTION("""COMPUTED_VALUE"""),102.3)</f>
        <v>102.3</v>
      </c>
      <c r="Q187" s="1">
        <f ca="1">IFERROR(__xludf.DUMMYFUNCTION("""COMPUTED_VALUE"""),268)</f>
        <v>268</v>
      </c>
      <c r="R187" s="1">
        <f ca="1">IFERROR(__xludf.DUMMYFUNCTION("""COMPUTED_VALUE"""),107.5)</f>
        <v>107.5</v>
      </c>
      <c r="S187" s="1">
        <f ca="1">IFERROR(__xludf.DUMMYFUNCTION("""COMPUTED_VALUE"""),263)</f>
        <v>263</v>
      </c>
      <c r="T187" s="1" t="str">
        <f ca="1">IFERROR(__xludf.DUMMYFUNCTION("""COMPUTED_VALUE"""),"+0.83")</f>
        <v>+0.83</v>
      </c>
      <c r="U187" s="1">
        <f ca="1">IFERROR(__xludf.DUMMYFUNCTION("""COMPUTED_VALUE"""),144)</f>
        <v>144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IFERROR(__xludf.DUMMYFUNCTION("""COMPUTED_VALUE"""),"Texas Southern8")</f>
        <v>Texas Southern8</v>
      </c>
      <c r="C188" s="1" t="str">
        <f ca="1">IFERROR(__xludf.DUMMYFUNCTION("""COMPUTED_VALUE"""),"SWAC")</f>
        <v>SWAC</v>
      </c>
      <c r="D188" s="1" t="str">
        <f ca="1">IFERROR(__xludf.DUMMYFUNCTION("""COMPUTED_VALUE"""),"18-15")</f>
        <v>18-15</v>
      </c>
      <c r="E188" s="1">
        <f ca="1">IFERROR(__xludf.DUMMYFUNCTION("""COMPUTED_VALUE"""),-1.26)</f>
        <v>-1.26</v>
      </c>
      <c r="F188" s="1">
        <f ca="1">IFERROR(__xludf.DUMMYFUNCTION("""COMPUTED_VALUE"""),107.3)</f>
        <v>107.3</v>
      </c>
      <c r="G188" s="1">
        <f ca="1">IFERROR(__xludf.DUMMYFUNCTION("""COMPUTED_VALUE"""),133)</f>
        <v>133</v>
      </c>
      <c r="H188" s="1">
        <f ca="1">IFERROR(__xludf.DUMMYFUNCTION("""COMPUTED_VALUE"""),108.5)</f>
        <v>108.5</v>
      </c>
      <c r="I188" s="1">
        <f ca="1">IFERROR(__xludf.DUMMYFUNCTION("""COMPUTED_VALUE"""),244)</f>
        <v>244</v>
      </c>
      <c r="J188" s="1">
        <f ca="1">IFERROR(__xludf.DUMMYFUNCTION("""COMPUTED_VALUE"""),67.8)</f>
        <v>67.8</v>
      </c>
      <c r="K188" s="1">
        <f ca="1">IFERROR(__xludf.DUMMYFUNCTION("""COMPUTED_VALUE"""),187)</f>
        <v>187</v>
      </c>
      <c r="L188" s="1">
        <f ca="1">IFERROR(__xludf.DUMMYFUNCTION("""COMPUTED_VALUE"""),-0.016)</f>
        <v>-1.6E-2</v>
      </c>
      <c r="M188" s="1">
        <f ca="1">IFERROR(__xludf.DUMMYFUNCTION("""COMPUTED_VALUE"""),219)</f>
        <v>219</v>
      </c>
      <c r="N188" s="1">
        <f ca="1">IFERROR(__xludf.DUMMYFUNCTION("""COMPUTED_VALUE"""),-6.15)</f>
        <v>-6.15</v>
      </c>
      <c r="O188" s="1">
        <f ca="1">IFERROR(__xludf.DUMMYFUNCTION("""COMPUTED_VALUE"""),291)</f>
        <v>291</v>
      </c>
      <c r="P188" s="1">
        <f ca="1">IFERROR(__xludf.DUMMYFUNCTION("""COMPUTED_VALUE"""),100.5)</f>
        <v>100.5</v>
      </c>
      <c r="Q188" s="1">
        <f ca="1">IFERROR(__xludf.DUMMYFUNCTION("""COMPUTED_VALUE"""),318)</f>
        <v>318</v>
      </c>
      <c r="R188" s="1">
        <f ca="1">IFERROR(__xludf.DUMMYFUNCTION("""COMPUTED_VALUE"""),106.6)</f>
        <v>106.6</v>
      </c>
      <c r="S188" s="1">
        <f ca="1">IFERROR(__xludf.DUMMYFUNCTION("""COMPUTED_VALUE"""),222)</f>
        <v>222</v>
      </c>
      <c r="T188" s="1" t="str">
        <f ca="1">IFERROR(__xludf.DUMMYFUNCTION("""COMPUTED_VALUE"""),"+11.03")</f>
        <v>+11.03</v>
      </c>
      <c r="U188" s="1">
        <f ca="1">IFERROR(__xludf.DUMMYFUNCTION("""COMPUTED_VALUE"""),6)</f>
        <v>6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IFERROR(__xludf.DUMMYFUNCTION("""COMPUTED_VALUE"""),"Kent St.")</f>
        <v>Kent St.</v>
      </c>
      <c r="C189" s="1" t="str">
        <f ca="1">IFERROR(__xludf.DUMMYFUNCTION("""COMPUTED_VALUE"""),"MAC")</f>
        <v>MAC</v>
      </c>
      <c r="D189" s="1" t="str">
        <f ca="1">IFERROR(__xludf.DUMMYFUNCTION("""COMPUTED_VALUE"""),"19-13")</f>
        <v>19-13</v>
      </c>
      <c r="E189" s="1">
        <f ca="1">IFERROR(__xludf.DUMMYFUNCTION("""COMPUTED_VALUE"""),-1.37)</f>
        <v>-1.37</v>
      </c>
      <c r="F189" s="1">
        <f ca="1">IFERROR(__xludf.DUMMYFUNCTION("""COMPUTED_VALUE"""),106.4)</f>
        <v>106.4</v>
      </c>
      <c r="G189" s="1">
        <f ca="1">IFERROR(__xludf.DUMMYFUNCTION("""COMPUTED_VALUE"""),150)</f>
        <v>150</v>
      </c>
      <c r="H189" s="1">
        <f ca="1">IFERROR(__xludf.DUMMYFUNCTION("""COMPUTED_VALUE"""),107.8)</f>
        <v>107.8</v>
      </c>
      <c r="I189" s="1">
        <f ca="1">IFERROR(__xludf.DUMMYFUNCTION("""COMPUTED_VALUE"""),230)</f>
        <v>230</v>
      </c>
      <c r="J189" s="1">
        <f ca="1">IFERROR(__xludf.DUMMYFUNCTION("""COMPUTED_VALUE"""),67.2)</f>
        <v>67.2</v>
      </c>
      <c r="K189" s="1">
        <f ca="1">IFERROR(__xludf.DUMMYFUNCTION("""COMPUTED_VALUE"""),221)</f>
        <v>221</v>
      </c>
      <c r="L189" s="1" t="str">
        <f ca="1">IFERROR(__xludf.DUMMYFUNCTION("""COMPUTED_VALUE"""),"+.082")</f>
        <v>+.082</v>
      </c>
      <c r="M189" s="1">
        <f ca="1">IFERROR(__xludf.DUMMYFUNCTION("""COMPUTED_VALUE"""),27)</f>
        <v>27</v>
      </c>
      <c r="N189" s="1">
        <f ca="1">IFERROR(__xludf.DUMMYFUNCTION("""COMPUTED_VALUE"""),-1.91)</f>
        <v>-1.91</v>
      </c>
      <c r="O189" s="1">
        <f ca="1">IFERROR(__xludf.DUMMYFUNCTION("""COMPUTED_VALUE"""),195)</f>
        <v>195</v>
      </c>
      <c r="P189" s="1">
        <f ca="1">IFERROR(__xludf.DUMMYFUNCTION("""COMPUTED_VALUE"""),104.4)</f>
        <v>104.4</v>
      </c>
      <c r="Q189" s="1">
        <f ca="1">IFERROR(__xludf.DUMMYFUNCTION("""COMPUTED_VALUE"""),175)</f>
        <v>175</v>
      </c>
      <c r="R189" s="1">
        <f ca="1">IFERROR(__xludf.DUMMYFUNCTION("""COMPUTED_VALUE"""),106.3)</f>
        <v>106.3</v>
      </c>
      <c r="S189" s="1">
        <f ca="1">IFERROR(__xludf.DUMMYFUNCTION("""COMPUTED_VALUE"""),207)</f>
        <v>207</v>
      </c>
      <c r="T189" s="1">
        <f ca="1">IFERROR(__xludf.DUMMYFUNCTION("""COMPUTED_VALUE"""),-4.07)</f>
        <v>-4.07</v>
      </c>
      <c r="U189" s="1">
        <f ca="1">IFERROR(__xludf.DUMMYFUNCTION("""COMPUTED_VALUE"""),280)</f>
        <v>280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IFERROR(__xludf.DUMMYFUNCTION("""COMPUTED_VALUE"""),"Georgia St.")</f>
        <v>Georgia St.</v>
      </c>
      <c r="C190" s="1" t="str">
        <f ca="1">IFERROR(__xludf.DUMMYFUNCTION("""COMPUTED_VALUE"""),"SB")</f>
        <v>SB</v>
      </c>
      <c r="D190" s="1" t="str">
        <f ca="1">IFERROR(__xludf.DUMMYFUNCTION("""COMPUTED_VALUE"""),"16-14")</f>
        <v>16-14</v>
      </c>
      <c r="E190" s="1">
        <f ca="1">IFERROR(__xludf.DUMMYFUNCTION("""COMPUTED_VALUE"""),-1.39)</f>
        <v>-1.39</v>
      </c>
      <c r="F190" s="1">
        <f ca="1">IFERROR(__xludf.DUMMYFUNCTION("""COMPUTED_VALUE"""),99.9)</f>
        <v>99.9</v>
      </c>
      <c r="G190" s="1">
        <f ca="1">IFERROR(__xludf.DUMMYFUNCTION("""COMPUTED_VALUE"""),264)</f>
        <v>264</v>
      </c>
      <c r="H190" s="1">
        <f ca="1">IFERROR(__xludf.DUMMYFUNCTION("""COMPUTED_VALUE"""),101.2)</f>
        <v>101.2</v>
      </c>
      <c r="I190" s="1">
        <f ca="1">IFERROR(__xludf.DUMMYFUNCTION("""COMPUTED_VALUE"""),107)</f>
        <v>107</v>
      </c>
      <c r="J190" s="1">
        <f ca="1">IFERROR(__xludf.DUMMYFUNCTION("""COMPUTED_VALUE"""),64.9)</f>
        <v>64.900000000000006</v>
      </c>
      <c r="K190" s="1">
        <f ca="1">IFERROR(__xludf.DUMMYFUNCTION("""COMPUTED_VALUE"""),320)</f>
        <v>320</v>
      </c>
      <c r="L190" s="1" t="str">
        <f ca="1">IFERROR(__xludf.DUMMYFUNCTION("""COMPUTED_VALUE"""),"+.013")</f>
        <v>+.013</v>
      </c>
      <c r="M190" s="1">
        <f ca="1">IFERROR(__xludf.DUMMYFUNCTION("""COMPUTED_VALUE"""),143)</f>
        <v>143</v>
      </c>
      <c r="N190" s="1">
        <f ca="1">IFERROR(__xludf.DUMMYFUNCTION("""COMPUTED_VALUE"""),-1.29)</f>
        <v>-1.29</v>
      </c>
      <c r="O190" s="1">
        <f ca="1">IFERROR(__xludf.DUMMYFUNCTION("""COMPUTED_VALUE"""),178)</f>
        <v>178</v>
      </c>
      <c r="P190" s="1">
        <f ca="1">IFERROR(__xludf.DUMMYFUNCTION("""COMPUTED_VALUE"""),103.3)</f>
        <v>103.3</v>
      </c>
      <c r="Q190" s="1">
        <f ca="1">IFERROR(__xludf.DUMMYFUNCTION("""COMPUTED_VALUE"""),230)</f>
        <v>230</v>
      </c>
      <c r="R190" s="1">
        <f ca="1">IFERROR(__xludf.DUMMYFUNCTION("""COMPUTED_VALUE"""),104.6)</f>
        <v>104.6</v>
      </c>
      <c r="S190" s="1">
        <f ca="1">IFERROR(__xludf.DUMMYFUNCTION("""COMPUTED_VALUE"""),141)</f>
        <v>141</v>
      </c>
      <c r="T190" s="1" t="str">
        <f ca="1">IFERROR(__xludf.DUMMYFUNCTION("""COMPUTED_VALUE"""),"+1.91")</f>
        <v>+1.91</v>
      </c>
      <c r="U190" s="1">
        <f ca="1">IFERROR(__xludf.DUMMYFUNCTION("""COMPUTED_VALUE"""),111)</f>
        <v>111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IFERROR(__xludf.DUMMYFUNCTION("""COMPUTED_VALUE"""),"Western Michigan")</f>
        <v>Western Michigan</v>
      </c>
      <c r="C191" s="1" t="str">
        <f ca="1">IFERROR(__xludf.DUMMYFUNCTION("""COMPUTED_VALUE"""),"MAC")</f>
        <v>MAC</v>
      </c>
      <c r="D191" s="1" t="str">
        <f ca="1">IFERROR(__xludf.DUMMYFUNCTION("""COMPUTED_VALUE"""),"13-19")</f>
        <v>13-19</v>
      </c>
      <c r="E191" s="1">
        <f ca="1">IFERROR(__xludf.DUMMYFUNCTION("""COMPUTED_VALUE"""),-1.65)</f>
        <v>-1.65</v>
      </c>
      <c r="F191" s="1">
        <f ca="1">IFERROR(__xludf.DUMMYFUNCTION("""COMPUTED_VALUE"""),103.7)</f>
        <v>103.7</v>
      </c>
      <c r="G191" s="1">
        <f ca="1">IFERROR(__xludf.DUMMYFUNCTION("""COMPUTED_VALUE"""),185)</f>
        <v>185</v>
      </c>
      <c r="H191" s="1">
        <f ca="1">IFERROR(__xludf.DUMMYFUNCTION("""COMPUTED_VALUE"""),105.4)</f>
        <v>105.4</v>
      </c>
      <c r="I191" s="1">
        <f ca="1">IFERROR(__xludf.DUMMYFUNCTION("""COMPUTED_VALUE"""),184)</f>
        <v>184</v>
      </c>
      <c r="J191" s="1">
        <f ca="1">IFERROR(__xludf.DUMMYFUNCTION("""COMPUTED_VALUE"""),68.1)</f>
        <v>68.099999999999994</v>
      </c>
      <c r="K191" s="1">
        <f ca="1">IFERROR(__xludf.DUMMYFUNCTION("""COMPUTED_VALUE"""),166)</f>
        <v>166</v>
      </c>
      <c r="L191" s="1">
        <f ca="1">IFERROR(__xludf.DUMMYFUNCTION("""COMPUTED_VALUE"""),-0.054)</f>
        <v>-5.3999999999999999E-2</v>
      </c>
      <c r="M191" s="1">
        <f ca="1">IFERROR(__xludf.DUMMYFUNCTION("""COMPUTED_VALUE"""),303)</f>
        <v>303</v>
      </c>
      <c r="N191" s="1" t="str">
        <f ca="1">IFERROR(__xludf.DUMMYFUNCTION("""COMPUTED_VALUE"""),"+0.46")</f>
        <v>+0.46</v>
      </c>
      <c r="O191" s="1">
        <f ca="1">IFERROR(__xludf.DUMMYFUNCTION("""COMPUTED_VALUE"""),140)</f>
        <v>140</v>
      </c>
      <c r="P191" s="1">
        <f ca="1">IFERROR(__xludf.DUMMYFUNCTION("""COMPUTED_VALUE"""),105.4)</f>
        <v>105.4</v>
      </c>
      <c r="Q191" s="1">
        <f ca="1">IFERROR(__xludf.DUMMYFUNCTION("""COMPUTED_VALUE"""),128)</f>
        <v>128</v>
      </c>
      <c r="R191" s="1">
        <f ca="1">IFERROR(__xludf.DUMMYFUNCTION("""COMPUTED_VALUE"""),104.9)</f>
        <v>104.9</v>
      </c>
      <c r="S191" s="1">
        <f ca="1">IFERROR(__xludf.DUMMYFUNCTION("""COMPUTED_VALUE"""),153)</f>
        <v>153</v>
      </c>
      <c r="T191" s="1" t="str">
        <f ca="1">IFERROR(__xludf.DUMMYFUNCTION("""COMPUTED_VALUE"""),"+1.46")</f>
        <v>+1.46</v>
      </c>
      <c r="U191" s="1">
        <f ca="1">IFERROR(__xludf.DUMMYFUNCTION("""COMPUTED_VALUE"""),128)</f>
        <v>128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IFERROR(__xludf.DUMMYFUNCTION("""COMPUTED_VALUE"""),"Mercer")</f>
        <v>Mercer</v>
      </c>
      <c r="C192" s="1" t="str">
        <f ca="1">IFERROR(__xludf.DUMMYFUNCTION("""COMPUTED_VALUE"""),"SC")</f>
        <v>SC</v>
      </c>
      <c r="D192" s="1" t="str">
        <f ca="1">IFERROR(__xludf.DUMMYFUNCTION("""COMPUTED_VALUE"""),"19-15")</f>
        <v>19-15</v>
      </c>
      <c r="E192" s="1">
        <f ca="1">IFERROR(__xludf.DUMMYFUNCTION("""COMPUTED_VALUE"""),-1.67)</f>
        <v>-1.67</v>
      </c>
      <c r="F192" s="1">
        <f ca="1">IFERROR(__xludf.DUMMYFUNCTION("""COMPUTED_VALUE"""),105.8)</f>
        <v>105.8</v>
      </c>
      <c r="G192" s="1">
        <f ca="1">IFERROR(__xludf.DUMMYFUNCTION("""COMPUTED_VALUE"""),160)</f>
        <v>160</v>
      </c>
      <c r="H192" s="1">
        <f ca="1">IFERROR(__xludf.DUMMYFUNCTION("""COMPUTED_VALUE"""),107.5)</f>
        <v>107.5</v>
      </c>
      <c r="I192" s="1">
        <f ca="1">IFERROR(__xludf.DUMMYFUNCTION("""COMPUTED_VALUE"""),220)</f>
        <v>220</v>
      </c>
      <c r="J192" s="1">
        <f ca="1">IFERROR(__xludf.DUMMYFUNCTION("""COMPUTED_VALUE"""),63.4)</f>
        <v>63.4</v>
      </c>
      <c r="K192" s="1">
        <f ca="1">IFERROR(__xludf.DUMMYFUNCTION("""COMPUTED_VALUE"""),341)</f>
        <v>341</v>
      </c>
      <c r="L192" s="1">
        <f ca="1">IFERROR(__xludf.DUMMYFUNCTION("""COMPUTED_VALUE"""),-0.025)</f>
        <v>-2.5000000000000001E-2</v>
      </c>
      <c r="M192" s="1">
        <f ca="1">IFERROR(__xludf.DUMMYFUNCTION("""COMPUTED_VALUE"""),244)</f>
        <v>244</v>
      </c>
      <c r="N192" s="1">
        <f ca="1">IFERROR(__xludf.DUMMYFUNCTION("""COMPUTED_VALUE"""),-4.03)</f>
        <v>-4.03</v>
      </c>
      <c r="O192" s="1">
        <f ca="1">IFERROR(__xludf.DUMMYFUNCTION("""COMPUTED_VALUE"""),242)</f>
        <v>242</v>
      </c>
      <c r="P192" s="1">
        <f ca="1">IFERROR(__xludf.DUMMYFUNCTION("""COMPUTED_VALUE"""),103.5)</f>
        <v>103.5</v>
      </c>
      <c r="Q192" s="1">
        <f ca="1">IFERROR(__xludf.DUMMYFUNCTION("""COMPUTED_VALUE"""),216)</f>
        <v>216</v>
      </c>
      <c r="R192" s="1">
        <f ca="1">IFERROR(__xludf.DUMMYFUNCTION("""COMPUTED_VALUE"""),107.5)</f>
        <v>107.5</v>
      </c>
      <c r="S192" s="1">
        <f ca="1">IFERROR(__xludf.DUMMYFUNCTION("""COMPUTED_VALUE"""),267)</f>
        <v>267</v>
      </c>
      <c r="T192" s="1">
        <f ca="1">IFERROR(__xludf.DUMMYFUNCTION("""COMPUTED_VALUE"""),-2.24)</f>
        <v>-2.2400000000000002</v>
      </c>
      <c r="U192" s="1">
        <f ca="1">IFERROR(__xludf.DUMMYFUNCTION("""COMPUTED_VALUE"""),229)</f>
        <v>229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IFERROR(__xludf.DUMMYFUNCTION("""COMPUTED_VALUE"""),"DePaul")</f>
        <v>DePaul</v>
      </c>
      <c r="C193" s="1" t="str">
        <f ca="1">IFERROR(__xludf.DUMMYFUNCTION("""COMPUTED_VALUE"""),"BE")</f>
        <v>BE</v>
      </c>
      <c r="D193" s="2">
        <f ca="1">IFERROR(__xludf.DUMMYFUNCTION("""COMPUTED_VALUE"""),44826)</f>
        <v>44826</v>
      </c>
      <c r="E193" s="1">
        <f ca="1">IFERROR(__xludf.DUMMYFUNCTION("""COMPUTED_VALUE"""),-1.69)</f>
        <v>-1.69</v>
      </c>
      <c r="F193" s="1">
        <f ca="1">IFERROR(__xludf.DUMMYFUNCTION("""COMPUTED_VALUE"""),104.5)</f>
        <v>104.5</v>
      </c>
      <c r="G193" s="1">
        <f ca="1">IFERROR(__xludf.DUMMYFUNCTION("""COMPUTED_VALUE"""),175)</f>
        <v>175</v>
      </c>
      <c r="H193" s="1">
        <f ca="1">IFERROR(__xludf.DUMMYFUNCTION("""COMPUTED_VALUE"""),106.2)</f>
        <v>106.2</v>
      </c>
      <c r="I193" s="1">
        <f ca="1">IFERROR(__xludf.DUMMYFUNCTION("""COMPUTED_VALUE"""),197)</f>
        <v>197</v>
      </c>
      <c r="J193" s="1">
        <f ca="1">IFERROR(__xludf.DUMMYFUNCTION("""COMPUTED_VALUE"""),66.9)</f>
        <v>66.900000000000006</v>
      </c>
      <c r="K193" s="1">
        <f ca="1">IFERROR(__xludf.DUMMYFUNCTION("""COMPUTED_VALUE"""),241)</f>
        <v>241</v>
      </c>
      <c r="L193" s="1" t="str">
        <f ca="1">IFERROR(__xludf.DUMMYFUNCTION("""COMPUTED_VALUE"""),"+.004")</f>
        <v>+.004</v>
      </c>
      <c r="M193" s="1">
        <f ca="1">IFERROR(__xludf.DUMMYFUNCTION("""COMPUTED_VALUE"""),169)</f>
        <v>169</v>
      </c>
      <c r="N193" s="1" t="str">
        <f ca="1">IFERROR(__xludf.DUMMYFUNCTION("""COMPUTED_VALUE"""),"+9.38")</f>
        <v>+9.38</v>
      </c>
      <c r="O193" s="1">
        <f ca="1">IFERROR(__xludf.DUMMYFUNCTION("""COMPUTED_VALUE"""),27)</f>
        <v>27</v>
      </c>
      <c r="P193" s="1">
        <f ca="1">IFERROR(__xludf.DUMMYFUNCTION("""COMPUTED_VALUE"""),109.4)</f>
        <v>109.4</v>
      </c>
      <c r="Q193" s="1">
        <f ca="1">IFERROR(__xludf.DUMMYFUNCTION("""COMPUTED_VALUE"""),41)</f>
        <v>41</v>
      </c>
      <c r="R193" s="1">
        <f ca="1">IFERROR(__xludf.DUMMYFUNCTION("""COMPUTED_VALUE"""),100)</f>
        <v>100</v>
      </c>
      <c r="S193" s="1">
        <f ca="1">IFERROR(__xludf.DUMMYFUNCTION("""COMPUTED_VALUE"""),15)</f>
        <v>15</v>
      </c>
      <c r="T193" s="1" t="str">
        <f ca="1">IFERROR(__xludf.DUMMYFUNCTION("""COMPUTED_VALUE"""),"+1.02")</f>
        <v>+1.02</v>
      </c>
      <c r="U193" s="1">
        <f ca="1">IFERROR(__xludf.DUMMYFUNCTION("""COMPUTED_VALUE"""),140)</f>
        <v>140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IFERROR(__xludf.DUMMYFUNCTION("""COMPUTED_VALUE"""),"Loyola Chicago")</f>
        <v>Loyola Chicago</v>
      </c>
      <c r="C194" s="1" t="str">
        <f ca="1">IFERROR(__xludf.DUMMYFUNCTION("""COMPUTED_VALUE"""),"MVC")</f>
        <v>MVC</v>
      </c>
      <c r="D194" s="1" t="str">
        <f ca="1">IFERROR(__xludf.DUMMYFUNCTION("""COMPUTED_VALUE"""),"15-17")</f>
        <v>15-17</v>
      </c>
      <c r="E194" s="1">
        <f ca="1">IFERROR(__xludf.DUMMYFUNCTION("""COMPUTED_VALUE"""),-1.73)</f>
        <v>-1.73</v>
      </c>
      <c r="F194" s="1">
        <f ca="1">IFERROR(__xludf.DUMMYFUNCTION("""COMPUTED_VALUE"""),100)</f>
        <v>100</v>
      </c>
      <c r="G194" s="1">
        <f ca="1">IFERROR(__xludf.DUMMYFUNCTION("""COMPUTED_VALUE"""),261)</f>
        <v>261</v>
      </c>
      <c r="H194" s="1">
        <f ca="1">IFERROR(__xludf.DUMMYFUNCTION("""COMPUTED_VALUE"""),101.8)</f>
        <v>101.8</v>
      </c>
      <c r="I194" s="1">
        <f ca="1">IFERROR(__xludf.DUMMYFUNCTION("""COMPUTED_VALUE"""),116)</f>
        <v>116</v>
      </c>
      <c r="J194" s="1">
        <f ca="1">IFERROR(__xludf.DUMMYFUNCTION("""COMPUTED_VALUE"""),65)</f>
        <v>65</v>
      </c>
      <c r="K194" s="1">
        <f ca="1">IFERROR(__xludf.DUMMYFUNCTION("""COMPUTED_VALUE"""),316)</f>
        <v>316</v>
      </c>
      <c r="L194" s="1" t="str">
        <f ca="1">IFERROR(__xludf.DUMMYFUNCTION("""COMPUTED_VALUE"""),"+.013")</f>
        <v>+.013</v>
      </c>
      <c r="M194" s="1">
        <f ca="1">IFERROR(__xludf.DUMMYFUNCTION("""COMPUTED_VALUE"""),144)</f>
        <v>144</v>
      </c>
      <c r="N194" s="1">
        <f ca="1">IFERROR(__xludf.DUMMYFUNCTION("""COMPUTED_VALUE"""),-0.32)</f>
        <v>-0.32</v>
      </c>
      <c r="O194" s="1">
        <f ca="1">IFERROR(__xludf.DUMMYFUNCTION("""COMPUTED_VALUE"""),156)</f>
        <v>156</v>
      </c>
      <c r="P194" s="1">
        <f ca="1">IFERROR(__xludf.DUMMYFUNCTION("""COMPUTED_VALUE"""),102.5)</f>
        <v>102.5</v>
      </c>
      <c r="Q194" s="1">
        <f ca="1">IFERROR(__xludf.DUMMYFUNCTION("""COMPUTED_VALUE"""),262)</f>
        <v>262</v>
      </c>
      <c r="R194" s="1">
        <f ca="1">IFERROR(__xludf.DUMMYFUNCTION("""COMPUTED_VALUE"""),102.8)</f>
        <v>102.8</v>
      </c>
      <c r="S194" s="1">
        <f ca="1">IFERROR(__xludf.DUMMYFUNCTION("""COMPUTED_VALUE"""),94)</f>
        <v>94</v>
      </c>
      <c r="T194" s="1">
        <f ca="1">IFERROR(__xludf.DUMMYFUNCTION("""COMPUTED_VALUE"""),-4.1)</f>
        <v>-4.0999999999999996</v>
      </c>
      <c r="U194" s="1">
        <f ca="1">IFERROR(__xludf.DUMMYFUNCTION("""COMPUTED_VALUE"""),283)</f>
        <v>283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IFERROR(__xludf.DUMMYFUNCTION("""COMPUTED_VALUE"""),"UCF")</f>
        <v>UCF</v>
      </c>
      <c r="C195" s="1" t="str">
        <f ca="1">IFERROR(__xludf.DUMMYFUNCTION("""COMPUTED_VALUE"""),"Amer")</f>
        <v>Amer</v>
      </c>
      <c r="D195" s="2">
        <f ca="1">IFERROR(__xludf.DUMMYFUNCTION("""COMPUTED_VALUE"""),44913)</f>
        <v>44913</v>
      </c>
      <c r="E195" s="1">
        <f ca="1">IFERROR(__xludf.DUMMYFUNCTION("""COMPUTED_VALUE"""),-1.89)</f>
        <v>-1.89</v>
      </c>
      <c r="F195" s="1">
        <f ca="1">IFERROR(__xludf.DUMMYFUNCTION("""COMPUTED_VALUE"""),102.1)</f>
        <v>102.1</v>
      </c>
      <c r="G195" s="1">
        <f ca="1">IFERROR(__xludf.DUMMYFUNCTION("""COMPUTED_VALUE"""),215)</f>
        <v>215</v>
      </c>
      <c r="H195" s="1">
        <f ca="1">IFERROR(__xludf.DUMMYFUNCTION("""COMPUTED_VALUE"""),104)</f>
        <v>104</v>
      </c>
      <c r="I195" s="1">
        <f ca="1">IFERROR(__xludf.DUMMYFUNCTION("""COMPUTED_VALUE"""),157)</f>
        <v>157</v>
      </c>
      <c r="J195" s="1">
        <f ca="1">IFERROR(__xludf.DUMMYFUNCTION("""COMPUTED_VALUE"""),67.9)</f>
        <v>67.900000000000006</v>
      </c>
      <c r="K195" s="1">
        <f ca="1">IFERROR(__xludf.DUMMYFUNCTION("""COMPUTED_VALUE"""),179)</f>
        <v>179</v>
      </c>
      <c r="L195" s="1">
        <f ca="1">IFERROR(__xludf.DUMMYFUNCTION("""COMPUTED_VALUE"""),-0.019)</f>
        <v>-1.9E-2</v>
      </c>
      <c r="M195" s="1">
        <f ca="1">IFERROR(__xludf.DUMMYFUNCTION("""COMPUTED_VALUE"""),230)</f>
        <v>230</v>
      </c>
      <c r="N195" s="1" t="str">
        <f ca="1">IFERROR(__xludf.DUMMYFUNCTION("""COMPUTED_VALUE"""),"+1.92")</f>
        <v>+1.92</v>
      </c>
      <c r="O195" s="1">
        <f ca="1">IFERROR(__xludf.DUMMYFUNCTION("""COMPUTED_VALUE"""),115)</f>
        <v>115</v>
      </c>
      <c r="P195" s="1">
        <f ca="1">IFERROR(__xludf.DUMMYFUNCTION("""COMPUTED_VALUE"""),105.1)</f>
        <v>105.1</v>
      </c>
      <c r="Q195" s="1">
        <f ca="1">IFERROR(__xludf.DUMMYFUNCTION("""COMPUTED_VALUE"""),145)</f>
        <v>145</v>
      </c>
      <c r="R195" s="1">
        <f ca="1">IFERROR(__xludf.DUMMYFUNCTION("""COMPUTED_VALUE"""),103.2)</f>
        <v>103.2</v>
      </c>
      <c r="S195" s="1">
        <f ca="1">IFERROR(__xludf.DUMMYFUNCTION("""COMPUTED_VALUE"""),106)</f>
        <v>106</v>
      </c>
      <c r="T195" s="1">
        <f ca="1">IFERROR(__xludf.DUMMYFUNCTION("""COMPUTED_VALUE"""),-5.52)</f>
        <v>-5.52</v>
      </c>
      <c r="U195" s="1">
        <f ca="1">IFERROR(__xludf.DUMMYFUNCTION("""COMPUTED_VALUE"""),307)</f>
        <v>307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IFERROR(__xludf.DUMMYFUNCTION("""COMPUTED_VALUE"""),"Washington St.")</f>
        <v>Washington St.</v>
      </c>
      <c r="C196" s="1" t="str">
        <f ca="1">IFERROR(__xludf.DUMMYFUNCTION("""COMPUTED_VALUE"""),"P12")</f>
        <v>P12</v>
      </c>
      <c r="D196" s="2">
        <f ca="1">IFERROR(__xludf.DUMMYFUNCTION("""COMPUTED_VALUE"""),44826)</f>
        <v>44826</v>
      </c>
      <c r="E196" s="1">
        <f ca="1">IFERROR(__xludf.DUMMYFUNCTION("""COMPUTED_VALUE"""),-2.19)</f>
        <v>-2.19</v>
      </c>
      <c r="F196" s="1">
        <f ca="1">IFERROR(__xludf.DUMMYFUNCTION("""COMPUTED_VALUE"""),103.7)</f>
        <v>103.7</v>
      </c>
      <c r="G196" s="1">
        <f ca="1">IFERROR(__xludf.DUMMYFUNCTION("""COMPUTED_VALUE"""),187)</f>
        <v>187</v>
      </c>
      <c r="H196" s="1">
        <f ca="1">IFERROR(__xludf.DUMMYFUNCTION("""COMPUTED_VALUE"""),105.9)</f>
        <v>105.9</v>
      </c>
      <c r="I196" s="1">
        <f ca="1">IFERROR(__xludf.DUMMYFUNCTION("""COMPUTED_VALUE"""),188)</f>
        <v>188</v>
      </c>
      <c r="J196" s="1">
        <f ca="1">IFERROR(__xludf.DUMMYFUNCTION("""COMPUTED_VALUE"""),68.8)</f>
        <v>68.8</v>
      </c>
      <c r="K196" s="1">
        <f ca="1">IFERROR(__xludf.DUMMYFUNCTION("""COMPUTED_VALUE"""),132)</f>
        <v>132</v>
      </c>
      <c r="L196" s="1">
        <f ca="1">IFERROR(__xludf.DUMMYFUNCTION("""COMPUTED_VALUE"""),-0.051)</f>
        <v>-5.0999999999999997E-2</v>
      </c>
      <c r="M196" s="1">
        <f ca="1">IFERROR(__xludf.DUMMYFUNCTION("""COMPUTED_VALUE"""),294)</f>
        <v>294</v>
      </c>
      <c r="N196" s="1" t="str">
        <f ca="1">IFERROR(__xludf.DUMMYFUNCTION("""COMPUTED_VALUE"""),"+8.11")</f>
        <v>+8.11</v>
      </c>
      <c r="O196" s="1">
        <f ca="1">IFERROR(__xludf.DUMMYFUNCTION("""COMPUTED_VALUE"""),46)</f>
        <v>46</v>
      </c>
      <c r="P196" s="1">
        <f ca="1">IFERROR(__xludf.DUMMYFUNCTION("""COMPUTED_VALUE"""),109.2)</f>
        <v>109.2</v>
      </c>
      <c r="Q196" s="1">
        <f ca="1">IFERROR(__xludf.DUMMYFUNCTION("""COMPUTED_VALUE"""),43)</f>
        <v>43</v>
      </c>
      <c r="R196" s="1">
        <f ca="1">IFERROR(__xludf.DUMMYFUNCTION("""COMPUTED_VALUE"""),101.1)</f>
        <v>101.1</v>
      </c>
      <c r="S196" s="1">
        <f ca="1">IFERROR(__xludf.DUMMYFUNCTION("""COMPUTED_VALUE"""),47)</f>
        <v>47</v>
      </c>
      <c r="T196" s="1">
        <f ca="1">IFERROR(__xludf.DUMMYFUNCTION("""COMPUTED_VALUE"""),-3.61)</f>
        <v>-3.61</v>
      </c>
      <c r="U196" s="1">
        <f ca="1">IFERROR(__xludf.DUMMYFUNCTION("""COMPUTED_VALUE"""),268)</f>
        <v>268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IFERROR(__xludf.DUMMYFUNCTION("""COMPUTED_VALUE"""),"Wofford")</f>
        <v>Wofford</v>
      </c>
      <c r="C197" s="1" t="str">
        <f ca="1">IFERROR(__xludf.DUMMYFUNCTION("""COMPUTED_VALUE"""),"SC")</f>
        <v>SC</v>
      </c>
      <c r="D197" s="1" t="str">
        <f ca="1">IFERROR(__xludf.DUMMYFUNCTION("""COMPUTED_VALUE"""),"15-17")</f>
        <v>15-17</v>
      </c>
      <c r="E197" s="1">
        <f ca="1">IFERROR(__xludf.DUMMYFUNCTION("""COMPUTED_VALUE"""),-2.22)</f>
        <v>-2.2200000000000002</v>
      </c>
      <c r="F197" s="1">
        <f ca="1">IFERROR(__xludf.DUMMYFUNCTION("""COMPUTED_VALUE"""),106.3)</f>
        <v>106.3</v>
      </c>
      <c r="G197" s="1">
        <f ca="1">IFERROR(__xludf.DUMMYFUNCTION("""COMPUTED_VALUE"""),152)</f>
        <v>152</v>
      </c>
      <c r="H197" s="1">
        <f ca="1">IFERROR(__xludf.DUMMYFUNCTION("""COMPUTED_VALUE"""),108.5)</f>
        <v>108.5</v>
      </c>
      <c r="I197" s="1">
        <f ca="1">IFERROR(__xludf.DUMMYFUNCTION("""COMPUTED_VALUE"""),247)</f>
        <v>247</v>
      </c>
      <c r="J197" s="1">
        <f ca="1">IFERROR(__xludf.DUMMYFUNCTION("""COMPUTED_VALUE"""),65.2)</f>
        <v>65.2</v>
      </c>
      <c r="K197" s="1">
        <f ca="1">IFERROR(__xludf.DUMMYFUNCTION("""COMPUTED_VALUE"""),310)</f>
        <v>310</v>
      </c>
      <c r="L197" s="1">
        <f ca="1">IFERROR(__xludf.DUMMYFUNCTION("""COMPUTED_VALUE"""),-0.017)</f>
        <v>-1.7000000000000001E-2</v>
      </c>
      <c r="M197" s="1">
        <f ca="1">IFERROR(__xludf.DUMMYFUNCTION("""COMPUTED_VALUE"""),222)</f>
        <v>222</v>
      </c>
      <c r="N197" s="1">
        <f ca="1">IFERROR(__xludf.DUMMYFUNCTION("""COMPUTED_VALUE"""),-1.17)</f>
        <v>-1.17</v>
      </c>
      <c r="O197" s="1">
        <f ca="1">IFERROR(__xludf.DUMMYFUNCTION("""COMPUTED_VALUE"""),175)</f>
        <v>175</v>
      </c>
      <c r="P197" s="1">
        <f ca="1">IFERROR(__xludf.DUMMYFUNCTION("""COMPUTED_VALUE"""),104.9)</f>
        <v>104.9</v>
      </c>
      <c r="Q197" s="1">
        <f ca="1">IFERROR(__xludf.DUMMYFUNCTION("""COMPUTED_VALUE"""),152)</f>
        <v>152</v>
      </c>
      <c r="R197" s="1">
        <f ca="1">IFERROR(__xludf.DUMMYFUNCTION("""COMPUTED_VALUE"""),106.1)</f>
        <v>106.1</v>
      </c>
      <c r="S197" s="1">
        <f ca="1">IFERROR(__xludf.DUMMYFUNCTION("""COMPUTED_VALUE"""),200)</f>
        <v>200</v>
      </c>
      <c r="T197" s="1" t="str">
        <f ca="1">IFERROR(__xludf.DUMMYFUNCTION("""COMPUTED_VALUE"""),"+7.24")</f>
        <v>+7.24</v>
      </c>
      <c r="U197" s="1">
        <f ca="1">IFERROR(__xludf.DUMMYFUNCTION("""COMPUTED_VALUE"""),18)</f>
        <v>18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IFERROR(__xludf.DUMMYFUNCTION("""COMPUTED_VALUE"""),"Wagner8")</f>
        <v>Wagner8</v>
      </c>
      <c r="C198" s="1" t="str">
        <f ca="1">IFERROR(__xludf.DUMMYFUNCTION("""COMPUTED_VALUE"""),"NEC")</f>
        <v>NEC</v>
      </c>
      <c r="D198" s="1" t="str">
        <f ca="1">IFERROR(__xludf.DUMMYFUNCTION("""COMPUTED_VALUE"""),"23-11")</f>
        <v>23-11</v>
      </c>
      <c r="E198" s="1">
        <f ca="1">IFERROR(__xludf.DUMMYFUNCTION("""COMPUTED_VALUE"""),-2.32)</f>
        <v>-2.3199999999999998</v>
      </c>
      <c r="F198" s="1">
        <f ca="1">IFERROR(__xludf.DUMMYFUNCTION("""COMPUTED_VALUE"""),100.7)</f>
        <v>100.7</v>
      </c>
      <c r="G198" s="1">
        <f ca="1">IFERROR(__xludf.DUMMYFUNCTION("""COMPUTED_VALUE"""),242)</f>
        <v>242</v>
      </c>
      <c r="H198" s="1">
        <f ca="1">IFERROR(__xludf.DUMMYFUNCTION("""COMPUTED_VALUE"""),103.1)</f>
        <v>103.1</v>
      </c>
      <c r="I198" s="1">
        <f ca="1">IFERROR(__xludf.DUMMYFUNCTION("""COMPUTED_VALUE"""),138)</f>
        <v>138</v>
      </c>
      <c r="J198" s="1">
        <f ca="1">IFERROR(__xludf.DUMMYFUNCTION("""COMPUTED_VALUE"""),65.9)</f>
        <v>65.900000000000006</v>
      </c>
      <c r="K198" s="1">
        <f ca="1">IFERROR(__xludf.DUMMYFUNCTION("""COMPUTED_VALUE"""),282)</f>
        <v>282</v>
      </c>
      <c r="L198" s="1" t="str">
        <f ca="1">IFERROR(__xludf.DUMMYFUNCTION("""COMPUTED_VALUE"""),"+.027")</f>
        <v>+.027</v>
      </c>
      <c r="M198" s="1">
        <f ca="1">IFERROR(__xludf.DUMMYFUNCTION("""COMPUTED_VALUE"""),104)</f>
        <v>104</v>
      </c>
      <c r="N198" s="1">
        <f ca="1">IFERROR(__xludf.DUMMYFUNCTION("""COMPUTED_VALUE"""),-11.24)</f>
        <v>-11.24</v>
      </c>
      <c r="O198" s="1">
        <f ca="1">IFERROR(__xludf.DUMMYFUNCTION("""COMPUTED_VALUE"""),350)</f>
        <v>350</v>
      </c>
      <c r="P198" s="1">
        <f ca="1">IFERROR(__xludf.DUMMYFUNCTION("""COMPUTED_VALUE"""),98.3)</f>
        <v>98.3</v>
      </c>
      <c r="Q198" s="1">
        <f ca="1">IFERROR(__xludf.DUMMYFUNCTION("""COMPUTED_VALUE"""),347)</f>
        <v>347</v>
      </c>
      <c r="R198" s="1">
        <f ca="1">IFERROR(__xludf.DUMMYFUNCTION("""COMPUTED_VALUE"""),109.6)</f>
        <v>109.6</v>
      </c>
      <c r="S198" s="1">
        <f ca="1">IFERROR(__xludf.DUMMYFUNCTION("""COMPUTED_VALUE"""),345)</f>
        <v>345</v>
      </c>
      <c r="T198" s="1">
        <f ca="1">IFERROR(__xludf.DUMMYFUNCTION("""COMPUTED_VALUE"""),-5.07)</f>
        <v>-5.07</v>
      </c>
      <c r="U198" s="1">
        <f ca="1">IFERROR(__xludf.DUMMYFUNCTION("""COMPUTED_VALUE"""),302)</f>
        <v>302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IFERROR(__xludf.DUMMYFUNCTION("""COMPUTED_VALUE"""),"Auburn")</f>
        <v>Auburn</v>
      </c>
      <c r="C199" s="1" t="str">
        <f ca="1">IFERROR(__xludf.DUMMYFUNCTION("""COMPUTED_VALUE"""),"SEC")</f>
        <v>SEC</v>
      </c>
      <c r="D199" s="2">
        <f ca="1">IFERROR(__xludf.DUMMYFUNCTION("""COMPUTED_VALUE"""),44885)</f>
        <v>44885</v>
      </c>
      <c r="E199" s="1">
        <f ca="1">IFERROR(__xludf.DUMMYFUNCTION("""COMPUTED_VALUE"""),-2.56)</f>
        <v>-2.56</v>
      </c>
      <c r="F199" s="1">
        <f ca="1">IFERROR(__xludf.DUMMYFUNCTION("""COMPUTED_VALUE"""),101.7)</f>
        <v>101.7</v>
      </c>
      <c r="G199" s="1">
        <f ca="1">IFERROR(__xludf.DUMMYFUNCTION("""COMPUTED_VALUE"""),222)</f>
        <v>222</v>
      </c>
      <c r="H199" s="1">
        <f ca="1">IFERROR(__xludf.DUMMYFUNCTION("""COMPUTED_VALUE"""),104.2)</f>
        <v>104.2</v>
      </c>
      <c r="I199" s="1">
        <f ca="1">IFERROR(__xludf.DUMMYFUNCTION("""COMPUTED_VALUE"""),162)</f>
        <v>162</v>
      </c>
      <c r="J199" s="1">
        <f ca="1">IFERROR(__xludf.DUMMYFUNCTION("""COMPUTED_VALUE"""),71.8)</f>
        <v>71.8</v>
      </c>
      <c r="K199" s="1">
        <f ca="1">IFERROR(__xludf.DUMMYFUNCTION("""COMPUTED_VALUE"""),35)</f>
        <v>35</v>
      </c>
      <c r="L199" s="1" t="str">
        <f ca="1">IFERROR(__xludf.DUMMYFUNCTION("""COMPUTED_VALUE"""),"+.049")</f>
        <v>+.049</v>
      </c>
      <c r="M199" s="1">
        <f ca="1">IFERROR(__xludf.DUMMYFUNCTION("""COMPUTED_VALUE"""),61)</f>
        <v>61</v>
      </c>
      <c r="N199" s="1" t="str">
        <f ca="1">IFERROR(__xludf.DUMMYFUNCTION("""COMPUTED_VALUE"""),"+7.92")</f>
        <v>+7.92</v>
      </c>
      <c r="O199" s="1">
        <f ca="1">IFERROR(__xludf.DUMMYFUNCTION("""COMPUTED_VALUE"""),49)</f>
        <v>49</v>
      </c>
      <c r="P199" s="1">
        <f ca="1">IFERROR(__xludf.DUMMYFUNCTION("""COMPUTED_VALUE"""),108.7)</f>
        <v>108.7</v>
      </c>
      <c r="Q199" s="1">
        <f ca="1">IFERROR(__xludf.DUMMYFUNCTION("""COMPUTED_VALUE"""),53)</f>
        <v>53</v>
      </c>
      <c r="R199" s="1">
        <f ca="1">IFERROR(__xludf.DUMMYFUNCTION("""COMPUTED_VALUE"""),100.8)</f>
        <v>100.8</v>
      </c>
      <c r="S199" s="1">
        <f ca="1">IFERROR(__xludf.DUMMYFUNCTION("""COMPUTED_VALUE"""),38)</f>
        <v>38</v>
      </c>
      <c r="T199" s="1" t="str">
        <f ca="1">IFERROR(__xludf.DUMMYFUNCTION("""COMPUTED_VALUE"""),"+2.09")</f>
        <v>+2.09</v>
      </c>
      <c r="U199" s="1">
        <f ca="1">IFERROR(__xludf.DUMMYFUNCTION("""COMPUTED_VALUE"""),105)</f>
        <v>105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IFERROR(__xludf.DUMMYFUNCTION("""COMPUTED_VALUE"""),"East Carolina")</f>
        <v>East Carolina</v>
      </c>
      <c r="C200" s="1" t="str">
        <f ca="1">IFERROR(__xludf.DUMMYFUNCTION("""COMPUTED_VALUE"""),"Amer")</f>
        <v>Amer</v>
      </c>
      <c r="D200" s="2">
        <f ca="1">IFERROR(__xludf.DUMMYFUNCTION("""COMPUTED_VALUE"""),44915)</f>
        <v>44915</v>
      </c>
      <c r="E200" s="1">
        <f ca="1">IFERROR(__xludf.DUMMYFUNCTION("""COMPUTED_VALUE"""),-2.7)</f>
        <v>-2.7</v>
      </c>
      <c r="F200" s="1">
        <f ca="1">IFERROR(__xludf.DUMMYFUNCTION("""COMPUTED_VALUE"""),103.2)</f>
        <v>103.2</v>
      </c>
      <c r="G200" s="1">
        <f ca="1">IFERROR(__xludf.DUMMYFUNCTION("""COMPUTED_VALUE"""),197)</f>
        <v>197</v>
      </c>
      <c r="H200" s="1">
        <f ca="1">IFERROR(__xludf.DUMMYFUNCTION("""COMPUTED_VALUE"""),105.9)</f>
        <v>105.9</v>
      </c>
      <c r="I200" s="1">
        <f ca="1">IFERROR(__xludf.DUMMYFUNCTION("""COMPUTED_VALUE"""),191)</f>
        <v>191</v>
      </c>
      <c r="J200" s="1">
        <f ca="1">IFERROR(__xludf.DUMMYFUNCTION("""COMPUTED_VALUE"""),67.2)</f>
        <v>67.2</v>
      </c>
      <c r="K200" s="1">
        <f ca="1">IFERROR(__xludf.DUMMYFUNCTION("""COMPUTED_VALUE"""),225)</f>
        <v>225</v>
      </c>
      <c r="L200" s="1">
        <f ca="1">IFERROR(__xludf.DUMMYFUNCTION("""COMPUTED_VALUE"""),-0.024)</f>
        <v>-2.4E-2</v>
      </c>
      <c r="M200" s="1">
        <f ca="1">IFERROR(__xludf.DUMMYFUNCTION("""COMPUTED_VALUE"""),239)</f>
        <v>239</v>
      </c>
      <c r="N200" s="1" t="str">
        <f ca="1">IFERROR(__xludf.DUMMYFUNCTION("""COMPUTED_VALUE"""),"+2.89")</f>
        <v>+2.89</v>
      </c>
      <c r="O200" s="1">
        <f ca="1">IFERROR(__xludf.DUMMYFUNCTION("""COMPUTED_VALUE"""),98)</f>
        <v>98</v>
      </c>
      <c r="P200" s="1">
        <f ca="1">IFERROR(__xludf.DUMMYFUNCTION("""COMPUTED_VALUE"""),105.1)</f>
        <v>105.1</v>
      </c>
      <c r="Q200" s="1">
        <f ca="1">IFERROR(__xludf.DUMMYFUNCTION("""COMPUTED_VALUE"""),147)</f>
        <v>147</v>
      </c>
      <c r="R200" s="1">
        <f ca="1">IFERROR(__xludf.DUMMYFUNCTION("""COMPUTED_VALUE"""),102.2)</f>
        <v>102.2</v>
      </c>
      <c r="S200" s="1">
        <f ca="1">IFERROR(__xludf.DUMMYFUNCTION("""COMPUTED_VALUE"""),79)</f>
        <v>79</v>
      </c>
      <c r="T200" s="1">
        <f ca="1">IFERROR(__xludf.DUMMYFUNCTION("""COMPUTED_VALUE"""),-4.25)</f>
        <v>-4.25</v>
      </c>
      <c r="U200" s="1">
        <f ca="1">IFERROR(__xludf.DUMMYFUNCTION("""COMPUTED_VALUE"""),287)</f>
        <v>287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IFERROR(__xludf.DUMMYFUNCTION("""COMPUTED_VALUE"""),"Lehigh")</f>
        <v>Lehigh</v>
      </c>
      <c r="C201" s="1" t="str">
        <f ca="1">IFERROR(__xludf.DUMMYFUNCTION("""COMPUTED_VALUE"""),"Pat")</f>
        <v>Pat</v>
      </c>
      <c r="D201" s="1" t="str">
        <f ca="1">IFERROR(__xludf.DUMMYFUNCTION("""COMPUTED_VALUE"""),"17-15")</f>
        <v>17-15</v>
      </c>
      <c r="E201" s="1">
        <f ca="1">IFERROR(__xludf.DUMMYFUNCTION("""COMPUTED_VALUE"""),-2.71)</f>
        <v>-2.71</v>
      </c>
      <c r="F201" s="1">
        <f ca="1">IFERROR(__xludf.DUMMYFUNCTION("""COMPUTED_VALUE"""),104.9)</f>
        <v>104.9</v>
      </c>
      <c r="G201" s="1">
        <f ca="1">IFERROR(__xludf.DUMMYFUNCTION("""COMPUTED_VALUE"""),170)</f>
        <v>170</v>
      </c>
      <c r="H201" s="1">
        <f ca="1">IFERROR(__xludf.DUMMYFUNCTION("""COMPUTED_VALUE"""),107.6)</f>
        <v>107.6</v>
      </c>
      <c r="I201" s="1">
        <f ca="1">IFERROR(__xludf.DUMMYFUNCTION("""COMPUTED_VALUE"""),224)</f>
        <v>224</v>
      </c>
      <c r="J201" s="1">
        <f ca="1">IFERROR(__xludf.DUMMYFUNCTION("""COMPUTED_VALUE"""),67.8)</f>
        <v>67.8</v>
      </c>
      <c r="K201" s="1">
        <f ca="1">IFERROR(__xludf.DUMMYFUNCTION("""COMPUTED_VALUE"""),185)</f>
        <v>185</v>
      </c>
      <c r="L201" s="1">
        <f ca="1">IFERROR(__xludf.DUMMYFUNCTION("""COMPUTED_VALUE"""),-0.004)</f>
        <v>-4.0000000000000001E-3</v>
      </c>
      <c r="M201" s="1">
        <f ca="1">IFERROR(__xludf.DUMMYFUNCTION("""COMPUTED_VALUE"""),183)</f>
        <v>183</v>
      </c>
      <c r="N201" s="1">
        <f ca="1">IFERROR(__xludf.DUMMYFUNCTION("""COMPUTED_VALUE"""),-5.98)</f>
        <v>-5.98</v>
      </c>
      <c r="O201" s="1">
        <f ca="1">IFERROR(__xludf.DUMMYFUNCTION("""COMPUTED_VALUE"""),288)</f>
        <v>288</v>
      </c>
      <c r="P201" s="1">
        <f ca="1">IFERROR(__xludf.DUMMYFUNCTION("""COMPUTED_VALUE"""),101.3)</f>
        <v>101.3</v>
      </c>
      <c r="Q201" s="1">
        <f ca="1">IFERROR(__xludf.DUMMYFUNCTION("""COMPUTED_VALUE"""),304)</f>
        <v>304</v>
      </c>
      <c r="R201" s="1">
        <f ca="1">IFERROR(__xludf.DUMMYFUNCTION("""COMPUTED_VALUE"""),107.2)</f>
        <v>107.2</v>
      </c>
      <c r="S201" s="1">
        <f ca="1">IFERROR(__xludf.DUMMYFUNCTION("""COMPUTED_VALUE"""),250)</f>
        <v>250</v>
      </c>
      <c r="T201" s="1" t="str">
        <f ca="1">IFERROR(__xludf.DUMMYFUNCTION("""COMPUTED_VALUE"""),"+6.57")</f>
        <v>+6.57</v>
      </c>
      <c r="U201" s="1">
        <f ca="1">IFERROR(__xludf.DUMMYFUNCTION("""COMPUTED_VALUE"""),22)</f>
        <v>22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IFERROR(__xludf.DUMMYFUNCTION("""COMPUTED_VALUE"""),"Minnesota")</f>
        <v>Minnesota</v>
      </c>
      <c r="C202" s="1" t="str">
        <f ca="1">IFERROR(__xludf.DUMMYFUNCTION("""COMPUTED_VALUE"""),"B10")</f>
        <v>B10</v>
      </c>
      <c r="D202" s="2">
        <f ca="1">IFERROR(__xludf.DUMMYFUNCTION("""COMPUTED_VALUE"""),44796)</f>
        <v>44796</v>
      </c>
      <c r="E202" s="1">
        <f ca="1">IFERROR(__xludf.DUMMYFUNCTION("""COMPUTED_VALUE"""),-2.77)</f>
        <v>-2.77</v>
      </c>
      <c r="F202" s="1">
        <f ca="1">IFERROR(__xludf.DUMMYFUNCTION("""COMPUTED_VALUE"""),101.5)</f>
        <v>101.5</v>
      </c>
      <c r="G202" s="1">
        <f ca="1">IFERROR(__xludf.DUMMYFUNCTION("""COMPUTED_VALUE"""),230)</f>
        <v>230</v>
      </c>
      <c r="H202" s="1">
        <f ca="1">IFERROR(__xludf.DUMMYFUNCTION("""COMPUTED_VALUE"""),104.3)</f>
        <v>104.3</v>
      </c>
      <c r="I202" s="1">
        <f ca="1">IFERROR(__xludf.DUMMYFUNCTION("""COMPUTED_VALUE"""),163)</f>
        <v>163</v>
      </c>
      <c r="J202" s="1">
        <f ca="1">IFERROR(__xludf.DUMMYFUNCTION("""COMPUTED_VALUE"""),68.4)</f>
        <v>68.400000000000006</v>
      </c>
      <c r="K202" s="1">
        <f ca="1">IFERROR(__xludf.DUMMYFUNCTION("""COMPUTED_VALUE"""),147)</f>
        <v>147</v>
      </c>
      <c r="L202" s="1">
        <f ca="1">IFERROR(__xludf.DUMMYFUNCTION("""COMPUTED_VALUE"""),-0.061)</f>
        <v>-6.0999999999999999E-2</v>
      </c>
      <c r="M202" s="1">
        <f ca="1">IFERROR(__xludf.DUMMYFUNCTION("""COMPUTED_VALUE"""),316)</f>
        <v>316</v>
      </c>
      <c r="N202" s="1" t="str">
        <f ca="1">IFERROR(__xludf.DUMMYFUNCTION("""COMPUTED_VALUE"""),"+6.13")</f>
        <v>+6.13</v>
      </c>
      <c r="O202" s="1">
        <f ca="1">IFERROR(__xludf.DUMMYFUNCTION("""COMPUTED_VALUE"""),72)</f>
        <v>72</v>
      </c>
      <c r="P202" s="1">
        <f ca="1">IFERROR(__xludf.DUMMYFUNCTION("""COMPUTED_VALUE"""),108.7)</f>
        <v>108.7</v>
      </c>
      <c r="Q202" s="1">
        <f ca="1">IFERROR(__xludf.DUMMYFUNCTION("""COMPUTED_VALUE"""),52)</f>
        <v>52</v>
      </c>
      <c r="R202" s="1">
        <f ca="1">IFERROR(__xludf.DUMMYFUNCTION("""COMPUTED_VALUE"""),102.6)</f>
        <v>102.6</v>
      </c>
      <c r="S202" s="1">
        <f ca="1">IFERROR(__xludf.DUMMYFUNCTION("""COMPUTED_VALUE"""),92)</f>
        <v>92</v>
      </c>
      <c r="T202" s="1">
        <f ca="1">IFERROR(__xludf.DUMMYFUNCTION("""COMPUTED_VALUE"""),-1.91)</f>
        <v>-1.91</v>
      </c>
      <c r="U202" s="1">
        <f ca="1">IFERROR(__xludf.DUMMYFUNCTION("""COMPUTED_VALUE"""),222)</f>
        <v>222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IFERROR(__xludf.DUMMYFUNCTION("""COMPUTED_VALUE"""),"Charlotte")</f>
        <v>Charlotte</v>
      </c>
      <c r="C203" s="1" t="str">
        <f ca="1">IFERROR(__xludf.DUMMYFUNCTION("""COMPUTED_VALUE"""),"CUSA")</f>
        <v>CUSA</v>
      </c>
      <c r="D203" s="1" t="str">
        <f ca="1">IFERROR(__xludf.DUMMYFUNCTION("""COMPUTED_VALUE"""),"14-19")</f>
        <v>14-19</v>
      </c>
      <c r="E203" s="1">
        <f ca="1">IFERROR(__xludf.DUMMYFUNCTION("""COMPUTED_VALUE"""),-2.84)</f>
        <v>-2.84</v>
      </c>
      <c r="F203" s="1">
        <f ca="1">IFERROR(__xludf.DUMMYFUNCTION("""COMPUTED_VALUE"""),105.8)</f>
        <v>105.8</v>
      </c>
      <c r="G203" s="1">
        <f ca="1">IFERROR(__xludf.DUMMYFUNCTION("""COMPUTED_VALUE"""),159)</f>
        <v>159</v>
      </c>
      <c r="H203" s="1">
        <f ca="1">IFERROR(__xludf.DUMMYFUNCTION("""COMPUTED_VALUE"""),108.7)</f>
        <v>108.7</v>
      </c>
      <c r="I203" s="1">
        <f ca="1">IFERROR(__xludf.DUMMYFUNCTION("""COMPUTED_VALUE"""),250)</f>
        <v>250</v>
      </c>
      <c r="J203" s="1">
        <f ca="1">IFERROR(__xludf.DUMMYFUNCTION("""COMPUTED_VALUE"""),70.3)</f>
        <v>70.3</v>
      </c>
      <c r="K203" s="1">
        <f ca="1">IFERROR(__xludf.DUMMYFUNCTION("""COMPUTED_VALUE"""),74)</f>
        <v>74</v>
      </c>
      <c r="L203" s="1">
        <f ca="1">IFERROR(__xludf.DUMMYFUNCTION("""COMPUTED_VALUE"""),-0.04)</f>
        <v>-0.04</v>
      </c>
      <c r="M203" s="1">
        <f ca="1">IFERROR(__xludf.DUMMYFUNCTION("""COMPUTED_VALUE"""),277)</f>
        <v>277</v>
      </c>
      <c r="N203" s="1">
        <f ca="1">IFERROR(__xludf.DUMMYFUNCTION("""COMPUTED_VALUE"""),-2.73)</f>
        <v>-2.73</v>
      </c>
      <c r="O203" s="1">
        <f ca="1">IFERROR(__xludf.DUMMYFUNCTION("""COMPUTED_VALUE"""),209)</f>
        <v>209</v>
      </c>
      <c r="P203" s="1">
        <f ca="1">IFERROR(__xludf.DUMMYFUNCTION("""COMPUTED_VALUE"""),105.2)</f>
        <v>105.2</v>
      </c>
      <c r="Q203" s="1">
        <f ca="1">IFERROR(__xludf.DUMMYFUNCTION("""COMPUTED_VALUE"""),142)</f>
        <v>142</v>
      </c>
      <c r="R203" s="1">
        <f ca="1">IFERROR(__xludf.DUMMYFUNCTION("""COMPUTED_VALUE"""),107.9)</f>
        <v>107.9</v>
      </c>
      <c r="S203" s="1">
        <f ca="1">IFERROR(__xludf.DUMMYFUNCTION("""COMPUTED_VALUE"""),289)</f>
        <v>289</v>
      </c>
      <c r="T203" s="1" t="str">
        <f ca="1">IFERROR(__xludf.DUMMYFUNCTION("""COMPUTED_VALUE"""),"+0.29")</f>
        <v>+0.29</v>
      </c>
      <c r="U203" s="1">
        <f ca="1">IFERROR(__xludf.DUMMYFUNCTION("""COMPUTED_VALUE"""),160)</f>
        <v>160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IFERROR(__xludf.DUMMYFUNCTION("""COMPUTED_VALUE"""),"Western Carolina")</f>
        <v>Western Carolina</v>
      </c>
      <c r="C204" s="1" t="str">
        <f ca="1">IFERROR(__xludf.DUMMYFUNCTION("""COMPUTED_VALUE"""),"SC")</f>
        <v>SC</v>
      </c>
      <c r="D204" s="1" t="str">
        <f ca="1">IFERROR(__xludf.DUMMYFUNCTION("""COMPUTED_VALUE"""),"16-18")</f>
        <v>16-18</v>
      </c>
      <c r="E204" s="1">
        <f ca="1">IFERROR(__xludf.DUMMYFUNCTION("""COMPUTED_VALUE"""),-2.92)</f>
        <v>-2.92</v>
      </c>
      <c r="F204" s="1">
        <f ca="1">IFERROR(__xludf.DUMMYFUNCTION("""COMPUTED_VALUE"""),101.5)</f>
        <v>101.5</v>
      </c>
      <c r="G204" s="1">
        <f ca="1">IFERROR(__xludf.DUMMYFUNCTION("""COMPUTED_VALUE"""),234)</f>
        <v>234</v>
      </c>
      <c r="H204" s="1">
        <f ca="1">IFERROR(__xludf.DUMMYFUNCTION("""COMPUTED_VALUE"""),104.4)</f>
        <v>104.4</v>
      </c>
      <c r="I204" s="1">
        <f ca="1">IFERROR(__xludf.DUMMYFUNCTION("""COMPUTED_VALUE"""),165)</f>
        <v>165</v>
      </c>
      <c r="J204" s="1">
        <f ca="1">IFERROR(__xludf.DUMMYFUNCTION("""COMPUTED_VALUE"""),69.1)</f>
        <v>69.099999999999994</v>
      </c>
      <c r="K204" s="1">
        <f ca="1">IFERROR(__xludf.DUMMYFUNCTION("""COMPUTED_VALUE"""),115)</f>
        <v>115</v>
      </c>
      <c r="L204" s="1" t="str">
        <f ca="1">IFERROR(__xludf.DUMMYFUNCTION("""COMPUTED_VALUE"""),"+.021")</f>
        <v>+.021</v>
      </c>
      <c r="M204" s="1">
        <f ca="1">IFERROR(__xludf.DUMMYFUNCTION("""COMPUTED_VALUE"""),121)</f>
        <v>121</v>
      </c>
      <c r="N204" s="1" t="str">
        <f ca="1">IFERROR(__xludf.DUMMYFUNCTION("""COMPUTED_VALUE"""),"+0.40")</f>
        <v>+0.40</v>
      </c>
      <c r="O204" s="1">
        <f ca="1">IFERROR(__xludf.DUMMYFUNCTION("""COMPUTED_VALUE"""),141)</f>
        <v>141</v>
      </c>
      <c r="P204" s="1">
        <f ca="1">IFERROR(__xludf.DUMMYFUNCTION("""COMPUTED_VALUE"""),106.2)</f>
        <v>106.2</v>
      </c>
      <c r="Q204" s="1">
        <f ca="1">IFERROR(__xludf.DUMMYFUNCTION("""COMPUTED_VALUE"""),103)</f>
        <v>103</v>
      </c>
      <c r="R204" s="1">
        <f ca="1">IFERROR(__xludf.DUMMYFUNCTION("""COMPUTED_VALUE"""),105.8)</f>
        <v>105.8</v>
      </c>
      <c r="S204" s="1">
        <f ca="1">IFERROR(__xludf.DUMMYFUNCTION("""COMPUTED_VALUE"""),186)</f>
        <v>186</v>
      </c>
      <c r="T204" s="1" t="str">
        <f ca="1">IFERROR(__xludf.DUMMYFUNCTION("""COMPUTED_VALUE"""),"+9.55")</f>
        <v>+9.55</v>
      </c>
      <c r="U204" s="1">
        <f ca="1">IFERROR(__xludf.DUMMYFUNCTION("""COMPUTED_VALUE"""),11)</f>
        <v>11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IFERROR(__xludf.DUMMYFUNCTION("""COMPUTED_VALUE"""),"Denver")</f>
        <v>Denver</v>
      </c>
      <c r="C205" s="1" t="str">
        <f ca="1">IFERROR(__xludf.DUMMYFUNCTION("""COMPUTED_VALUE"""),"Sum")</f>
        <v>Sum</v>
      </c>
      <c r="D205" s="1" t="str">
        <f ca="1">IFERROR(__xludf.DUMMYFUNCTION("""COMPUTED_VALUE"""),"16-15")</f>
        <v>16-15</v>
      </c>
      <c r="E205" s="1">
        <f ca="1">IFERROR(__xludf.DUMMYFUNCTION("""COMPUTED_VALUE"""),-2.92)</f>
        <v>-2.92</v>
      </c>
      <c r="F205" s="1">
        <f ca="1">IFERROR(__xludf.DUMMYFUNCTION("""COMPUTED_VALUE"""),102.9)</f>
        <v>102.9</v>
      </c>
      <c r="G205" s="1">
        <f ca="1">IFERROR(__xludf.DUMMYFUNCTION("""COMPUTED_VALUE"""),203)</f>
        <v>203</v>
      </c>
      <c r="H205" s="1">
        <f ca="1">IFERROR(__xludf.DUMMYFUNCTION("""COMPUTED_VALUE"""),105.9)</f>
        <v>105.9</v>
      </c>
      <c r="I205" s="1">
        <f ca="1">IFERROR(__xludf.DUMMYFUNCTION("""COMPUTED_VALUE"""),189)</f>
        <v>189</v>
      </c>
      <c r="J205" s="1">
        <f ca="1">IFERROR(__xludf.DUMMYFUNCTION("""COMPUTED_VALUE"""),60.8)</f>
        <v>60.8</v>
      </c>
      <c r="K205" s="1">
        <f ca="1">IFERROR(__xludf.DUMMYFUNCTION("""COMPUTED_VALUE"""),351)</f>
        <v>351</v>
      </c>
      <c r="L205" s="1" t="str">
        <f ca="1">IFERROR(__xludf.DUMMYFUNCTION("""COMPUTED_VALUE"""),"+.029")</f>
        <v>+.029</v>
      </c>
      <c r="M205" s="1">
        <f ca="1">IFERROR(__xludf.DUMMYFUNCTION("""COMPUTED_VALUE"""),100)</f>
        <v>100</v>
      </c>
      <c r="N205" s="1">
        <f ca="1">IFERROR(__xludf.DUMMYFUNCTION("""COMPUTED_VALUE"""),-3.33)</f>
        <v>-3.33</v>
      </c>
      <c r="O205" s="1">
        <f ca="1">IFERROR(__xludf.DUMMYFUNCTION("""COMPUTED_VALUE"""),222)</f>
        <v>222</v>
      </c>
      <c r="P205" s="1">
        <f ca="1">IFERROR(__xludf.DUMMYFUNCTION("""COMPUTED_VALUE"""),104.3)</f>
        <v>104.3</v>
      </c>
      <c r="Q205" s="1">
        <f ca="1">IFERROR(__xludf.DUMMYFUNCTION("""COMPUTED_VALUE"""),184)</f>
        <v>184</v>
      </c>
      <c r="R205" s="1">
        <f ca="1">IFERROR(__xludf.DUMMYFUNCTION("""COMPUTED_VALUE"""),107.6)</f>
        <v>107.6</v>
      </c>
      <c r="S205" s="1">
        <f ca="1">IFERROR(__xludf.DUMMYFUNCTION("""COMPUTED_VALUE"""),275)</f>
        <v>275</v>
      </c>
      <c r="T205" s="1">
        <f ca="1">IFERROR(__xludf.DUMMYFUNCTION("""COMPUTED_VALUE"""),-8.3)</f>
        <v>-8.3000000000000007</v>
      </c>
      <c r="U205" s="1">
        <f ca="1">IFERROR(__xludf.DUMMYFUNCTION("""COMPUTED_VALUE"""),336)</f>
        <v>336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IFERROR(__xludf.DUMMYFUNCTION("""COMPUTED_VALUE"""),"Tennessee Tech")</f>
        <v>Tennessee Tech</v>
      </c>
      <c r="C206" s="1" t="str">
        <f ca="1">IFERROR(__xludf.DUMMYFUNCTION("""COMPUTED_VALUE"""),"OVC")</f>
        <v>OVC</v>
      </c>
      <c r="D206" s="1" t="str">
        <f ca="1">IFERROR(__xludf.DUMMYFUNCTION("""COMPUTED_VALUE"""),"19-12")</f>
        <v>19-12</v>
      </c>
      <c r="E206" s="1">
        <f ca="1">IFERROR(__xludf.DUMMYFUNCTION("""COMPUTED_VALUE"""),-3.14)</f>
        <v>-3.14</v>
      </c>
      <c r="F206" s="1">
        <f ca="1">IFERROR(__xludf.DUMMYFUNCTION("""COMPUTED_VALUE"""),108.5)</f>
        <v>108.5</v>
      </c>
      <c r="G206" s="1">
        <f ca="1">IFERROR(__xludf.DUMMYFUNCTION("""COMPUTED_VALUE"""),105)</f>
        <v>105</v>
      </c>
      <c r="H206" s="1">
        <f ca="1">IFERROR(__xludf.DUMMYFUNCTION("""COMPUTED_VALUE"""),111.6)</f>
        <v>111.6</v>
      </c>
      <c r="I206" s="1">
        <f ca="1">IFERROR(__xludf.DUMMYFUNCTION("""COMPUTED_VALUE"""),299)</f>
        <v>299</v>
      </c>
      <c r="J206" s="1">
        <f ca="1">IFERROR(__xludf.DUMMYFUNCTION("""COMPUTED_VALUE"""),69.2)</f>
        <v>69.2</v>
      </c>
      <c r="K206" s="1">
        <f ca="1">IFERROR(__xludf.DUMMYFUNCTION("""COMPUTED_VALUE"""),113)</f>
        <v>113</v>
      </c>
      <c r="L206" s="1" t="str">
        <f ca="1">IFERROR(__xludf.DUMMYFUNCTION("""COMPUTED_VALUE"""),"+.077")</f>
        <v>+.077</v>
      </c>
      <c r="M206" s="1">
        <f ca="1">IFERROR(__xludf.DUMMYFUNCTION("""COMPUTED_VALUE"""),31)</f>
        <v>31</v>
      </c>
      <c r="N206" s="1">
        <f ca="1">IFERROR(__xludf.DUMMYFUNCTION("""COMPUTED_VALUE"""),-3.52)</f>
        <v>-3.52</v>
      </c>
      <c r="O206" s="1">
        <f ca="1">IFERROR(__xludf.DUMMYFUNCTION("""COMPUTED_VALUE"""),227)</f>
        <v>227</v>
      </c>
      <c r="P206" s="1">
        <f ca="1">IFERROR(__xludf.DUMMYFUNCTION("""COMPUTED_VALUE"""),103)</f>
        <v>103</v>
      </c>
      <c r="Q206" s="1">
        <f ca="1">IFERROR(__xludf.DUMMYFUNCTION("""COMPUTED_VALUE"""),246)</f>
        <v>246</v>
      </c>
      <c r="R206" s="1">
        <f ca="1">IFERROR(__xludf.DUMMYFUNCTION("""COMPUTED_VALUE"""),106.5)</f>
        <v>106.5</v>
      </c>
      <c r="S206" s="1">
        <f ca="1">IFERROR(__xludf.DUMMYFUNCTION("""COMPUTED_VALUE"""),219)</f>
        <v>219</v>
      </c>
      <c r="T206" s="1">
        <f ca="1">IFERROR(__xludf.DUMMYFUNCTION("""COMPUTED_VALUE"""),-2.38)</f>
        <v>-2.38</v>
      </c>
      <c r="U206" s="1">
        <f ca="1">IFERROR(__xludf.DUMMYFUNCTION("""COMPUTED_VALUE"""),232)</f>
        <v>232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IFERROR(__xludf.DUMMYFUNCTION("""COMPUTED_VALUE"""),"Eastern Washington")</f>
        <v>Eastern Washington</v>
      </c>
      <c r="C207" s="1" t="str">
        <f ca="1">IFERROR(__xludf.DUMMYFUNCTION("""COMPUTED_VALUE"""),"BSky")</f>
        <v>BSky</v>
      </c>
      <c r="D207" s="1" t="str">
        <f ca="1">IFERROR(__xludf.DUMMYFUNCTION("""COMPUTED_VALUE"""),"18-16")</f>
        <v>18-16</v>
      </c>
      <c r="E207" s="1">
        <f ca="1">IFERROR(__xludf.DUMMYFUNCTION("""COMPUTED_VALUE"""),-3.26)</f>
        <v>-3.26</v>
      </c>
      <c r="F207" s="1">
        <f ca="1">IFERROR(__xludf.DUMMYFUNCTION("""COMPUTED_VALUE"""),111.8)</f>
        <v>111.8</v>
      </c>
      <c r="G207" s="1">
        <f ca="1">IFERROR(__xludf.DUMMYFUNCTION("""COMPUTED_VALUE"""),62)</f>
        <v>62</v>
      </c>
      <c r="H207" s="1">
        <f ca="1">IFERROR(__xludf.DUMMYFUNCTION("""COMPUTED_VALUE"""),115.1)</f>
        <v>115.1</v>
      </c>
      <c r="I207" s="1">
        <f ca="1">IFERROR(__xludf.DUMMYFUNCTION("""COMPUTED_VALUE"""),336)</f>
        <v>336</v>
      </c>
      <c r="J207" s="1">
        <f ca="1">IFERROR(__xludf.DUMMYFUNCTION("""COMPUTED_VALUE"""),68.7)</f>
        <v>68.7</v>
      </c>
      <c r="K207" s="1">
        <f ca="1">IFERROR(__xludf.DUMMYFUNCTION("""COMPUTED_VALUE"""),133)</f>
        <v>133</v>
      </c>
      <c r="L207" s="1">
        <f ca="1">IFERROR(__xludf.DUMMYFUNCTION("""COMPUTED_VALUE"""),-0.045)</f>
        <v>-4.4999999999999998E-2</v>
      </c>
      <c r="M207" s="1">
        <f ca="1">IFERROR(__xludf.DUMMYFUNCTION("""COMPUTED_VALUE"""),285)</f>
        <v>285</v>
      </c>
      <c r="N207" s="1">
        <f ca="1">IFERROR(__xludf.DUMMYFUNCTION("""COMPUTED_VALUE"""),-6.31)</f>
        <v>-6.31</v>
      </c>
      <c r="O207" s="1">
        <f ca="1">IFERROR(__xludf.DUMMYFUNCTION("""COMPUTED_VALUE"""),296)</f>
        <v>296</v>
      </c>
      <c r="P207" s="1">
        <f ca="1">IFERROR(__xludf.DUMMYFUNCTION("""COMPUTED_VALUE"""),101.6)</f>
        <v>101.6</v>
      </c>
      <c r="Q207" s="1">
        <f ca="1">IFERROR(__xludf.DUMMYFUNCTION("""COMPUTED_VALUE"""),296)</f>
        <v>296</v>
      </c>
      <c r="R207" s="1">
        <f ca="1">IFERROR(__xludf.DUMMYFUNCTION("""COMPUTED_VALUE"""),107.9)</f>
        <v>107.9</v>
      </c>
      <c r="S207" s="1">
        <f ca="1">IFERROR(__xludf.DUMMYFUNCTION("""COMPUTED_VALUE"""),288)</f>
        <v>288</v>
      </c>
      <c r="T207" s="1" t="str">
        <f ca="1">IFERROR(__xludf.DUMMYFUNCTION("""COMPUTED_VALUE"""),"+1.43")</f>
        <v>+1.43</v>
      </c>
      <c r="U207" s="1">
        <f ca="1">IFERROR(__xludf.DUMMYFUNCTION("""COMPUTED_VALUE"""),131)</f>
        <v>131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IFERROR(__xludf.DUMMYFUNCTION("""COMPUTED_VALUE"""),"George Mason")</f>
        <v>George Mason</v>
      </c>
      <c r="C208" s="1" t="str">
        <f ca="1">IFERROR(__xludf.DUMMYFUNCTION("""COMPUTED_VALUE"""),"A10")</f>
        <v>A10</v>
      </c>
      <c r="D208" s="2">
        <f ca="1">IFERROR(__xludf.DUMMYFUNCTION("""COMPUTED_VALUE"""),44886)</f>
        <v>44886</v>
      </c>
      <c r="E208" s="1">
        <f ca="1">IFERROR(__xludf.DUMMYFUNCTION("""COMPUTED_VALUE"""),-3.32)</f>
        <v>-3.32</v>
      </c>
      <c r="F208" s="1">
        <f ca="1">IFERROR(__xludf.DUMMYFUNCTION("""COMPUTED_VALUE"""),101.5)</f>
        <v>101.5</v>
      </c>
      <c r="G208" s="1">
        <f ca="1">IFERROR(__xludf.DUMMYFUNCTION("""COMPUTED_VALUE"""),232)</f>
        <v>232</v>
      </c>
      <c r="H208" s="1">
        <f ca="1">IFERROR(__xludf.DUMMYFUNCTION("""COMPUTED_VALUE"""),104.8)</f>
        <v>104.8</v>
      </c>
      <c r="I208" s="1">
        <f ca="1">IFERROR(__xludf.DUMMYFUNCTION("""COMPUTED_VALUE"""),178)</f>
        <v>178</v>
      </c>
      <c r="J208" s="1">
        <f ca="1">IFERROR(__xludf.DUMMYFUNCTION("""COMPUTED_VALUE"""),67.8)</f>
        <v>67.8</v>
      </c>
      <c r="K208" s="1">
        <f ca="1">IFERROR(__xludf.DUMMYFUNCTION("""COMPUTED_VALUE"""),191)</f>
        <v>191</v>
      </c>
      <c r="L208" s="1">
        <f ca="1">IFERROR(__xludf.DUMMYFUNCTION("""COMPUTED_VALUE"""),-0.005)</f>
        <v>-5.0000000000000001E-3</v>
      </c>
      <c r="M208" s="1">
        <f ca="1">IFERROR(__xludf.DUMMYFUNCTION("""COMPUTED_VALUE"""),186)</f>
        <v>186</v>
      </c>
      <c r="N208" s="1" t="str">
        <f ca="1">IFERROR(__xludf.DUMMYFUNCTION("""COMPUTED_VALUE"""),"+3.41")</f>
        <v>+3.41</v>
      </c>
      <c r="O208" s="1">
        <f ca="1">IFERROR(__xludf.DUMMYFUNCTION("""COMPUTED_VALUE"""),92)</f>
        <v>92</v>
      </c>
      <c r="P208" s="1">
        <f ca="1">IFERROR(__xludf.DUMMYFUNCTION("""COMPUTED_VALUE"""),106.7)</f>
        <v>106.7</v>
      </c>
      <c r="Q208" s="1">
        <f ca="1">IFERROR(__xludf.DUMMYFUNCTION("""COMPUTED_VALUE"""),90)</f>
        <v>90</v>
      </c>
      <c r="R208" s="1">
        <f ca="1">IFERROR(__xludf.DUMMYFUNCTION("""COMPUTED_VALUE"""),103.3)</f>
        <v>103.3</v>
      </c>
      <c r="S208" s="1">
        <f ca="1">IFERROR(__xludf.DUMMYFUNCTION("""COMPUTED_VALUE"""),107)</f>
        <v>107</v>
      </c>
      <c r="T208" s="1" t="str">
        <f ca="1">IFERROR(__xludf.DUMMYFUNCTION("""COMPUTED_VALUE"""),"+0.39")</f>
        <v>+0.39</v>
      </c>
      <c r="U208" s="1">
        <f ca="1">IFERROR(__xludf.DUMMYFUNCTION("""COMPUTED_VALUE"""),158)</f>
        <v>158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IFERROR(__xludf.DUMMYFUNCTION("""COMPUTED_VALUE"""),"North Dakota")</f>
        <v>North Dakota</v>
      </c>
      <c r="C209" s="1" t="str">
        <f ca="1">IFERROR(__xludf.DUMMYFUNCTION("""COMPUTED_VALUE"""),"BSky")</f>
        <v>BSky</v>
      </c>
      <c r="D209" s="1" t="str">
        <f ca="1">IFERROR(__xludf.DUMMYFUNCTION("""COMPUTED_VALUE"""),"17-16")</f>
        <v>17-16</v>
      </c>
      <c r="E209" s="1">
        <f ca="1">IFERROR(__xludf.DUMMYFUNCTION("""COMPUTED_VALUE"""),-3.35)</f>
        <v>-3.35</v>
      </c>
      <c r="F209" s="1">
        <f ca="1">IFERROR(__xludf.DUMMYFUNCTION("""COMPUTED_VALUE"""),99.6)</f>
        <v>99.6</v>
      </c>
      <c r="G209" s="1">
        <f ca="1">IFERROR(__xludf.DUMMYFUNCTION("""COMPUTED_VALUE"""),269)</f>
        <v>269</v>
      </c>
      <c r="H209" s="1">
        <f ca="1">IFERROR(__xludf.DUMMYFUNCTION("""COMPUTED_VALUE"""),103)</f>
        <v>103</v>
      </c>
      <c r="I209" s="1">
        <f ca="1">IFERROR(__xludf.DUMMYFUNCTION("""COMPUTED_VALUE"""),135)</f>
        <v>135</v>
      </c>
      <c r="J209" s="1">
        <f ca="1">IFERROR(__xludf.DUMMYFUNCTION("""COMPUTED_VALUE"""),71.6)</f>
        <v>71.599999999999994</v>
      </c>
      <c r="K209" s="1">
        <f ca="1">IFERROR(__xludf.DUMMYFUNCTION("""COMPUTED_VALUE"""),39)</f>
        <v>39</v>
      </c>
      <c r="L209" s="1">
        <f ca="1">IFERROR(__xludf.DUMMYFUNCTION("""COMPUTED_VALUE"""),-0.053)</f>
        <v>-5.2999999999999999E-2</v>
      </c>
      <c r="M209" s="1">
        <f ca="1">IFERROR(__xludf.DUMMYFUNCTION("""COMPUTED_VALUE"""),301)</f>
        <v>301</v>
      </c>
      <c r="N209" s="1">
        <f ca="1">IFERROR(__xludf.DUMMYFUNCTION("""COMPUTED_VALUE"""),-5.6)</f>
        <v>-5.6</v>
      </c>
      <c r="O209" s="1">
        <f ca="1">IFERROR(__xludf.DUMMYFUNCTION("""COMPUTED_VALUE"""),279)</f>
        <v>279</v>
      </c>
      <c r="P209" s="1">
        <f ca="1">IFERROR(__xludf.DUMMYFUNCTION("""COMPUTED_VALUE"""),102.3)</f>
        <v>102.3</v>
      </c>
      <c r="Q209" s="1">
        <f ca="1">IFERROR(__xludf.DUMMYFUNCTION("""COMPUTED_VALUE"""),272)</f>
        <v>272</v>
      </c>
      <c r="R209" s="1">
        <f ca="1">IFERROR(__xludf.DUMMYFUNCTION("""COMPUTED_VALUE"""),107.9)</f>
        <v>107.9</v>
      </c>
      <c r="S209" s="1">
        <f ca="1">IFERROR(__xludf.DUMMYFUNCTION("""COMPUTED_VALUE"""),287)</f>
        <v>287</v>
      </c>
      <c r="T209" s="1" t="str">
        <f ca="1">IFERROR(__xludf.DUMMYFUNCTION("""COMPUTED_VALUE"""),"+1.28")</f>
        <v>+1.28</v>
      </c>
      <c r="U209" s="1">
        <f ca="1">IFERROR(__xludf.DUMMYFUNCTION("""COMPUTED_VALUE"""),133)</f>
        <v>133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IFERROR(__xludf.DUMMYFUNCTION("""COMPUTED_VALUE"""),"Tulane")</f>
        <v>Tulane</v>
      </c>
      <c r="C210" s="1" t="str">
        <f ca="1">IFERROR(__xludf.DUMMYFUNCTION("""COMPUTED_VALUE"""),"Amer")</f>
        <v>Amer</v>
      </c>
      <c r="D210" s="2">
        <f ca="1">IFERROR(__xludf.DUMMYFUNCTION("""COMPUTED_VALUE"""),44917)</f>
        <v>44917</v>
      </c>
      <c r="E210" s="1">
        <f ca="1">IFERROR(__xludf.DUMMYFUNCTION("""COMPUTED_VALUE"""),-3.39)</f>
        <v>-3.39</v>
      </c>
      <c r="F210" s="1">
        <f ca="1">IFERROR(__xludf.DUMMYFUNCTION("""COMPUTED_VALUE"""),97.9)</f>
        <v>97.9</v>
      </c>
      <c r="G210" s="1">
        <f ca="1">IFERROR(__xludf.DUMMYFUNCTION("""COMPUTED_VALUE"""),298)</f>
        <v>298</v>
      </c>
      <c r="H210" s="1">
        <f ca="1">IFERROR(__xludf.DUMMYFUNCTION("""COMPUTED_VALUE"""),101.3)</f>
        <v>101.3</v>
      </c>
      <c r="I210" s="1">
        <f ca="1">IFERROR(__xludf.DUMMYFUNCTION("""COMPUTED_VALUE"""),108)</f>
        <v>108</v>
      </c>
      <c r="J210" s="1">
        <f ca="1">IFERROR(__xludf.DUMMYFUNCTION("""COMPUTED_VALUE"""),67.7)</f>
        <v>67.7</v>
      </c>
      <c r="K210" s="1">
        <f ca="1">IFERROR(__xludf.DUMMYFUNCTION("""COMPUTED_VALUE"""),196)</f>
        <v>196</v>
      </c>
      <c r="L210" s="1">
        <f ca="1">IFERROR(__xludf.DUMMYFUNCTION("""COMPUTED_VALUE"""),-0.01)</f>
        <v>-0.01</v>
      </c>
      <c r="M210" s="1">
        <f ca="1">IFERROR(__xludf.DUMMYFUNCTION("""COMPUTED_VALUE"""),203)</f>
        <v>203</v>
      </c>
      <c r="N210" s="1" t="str">
        <f ca="1">IFERROR(__xludf.DUMMYFUNCTION("""COMPUTED_VALUE"""),"+3.26")</f>
        <v>+3.26</v>
      </c>
      <c r="O210" s="1">
        <f ca="1">IFERROR(__xludf.DUMMYFUNCTION("""COMPUTED_VALUE"""),95)</f>
        <v>95</v>
      </c>
      <c r="P210" s="1">
        <f ca="1">IFERROR(__xludf.DUMMYFUNCTION("""COMPUTED_VALUE"""),106.6)</f>
        <v>106.6</v>
      </c>
      <c r="Q210" s="1">
        <f ca="1">IFERROR(__xludf.DUMMYFUNCTION("""COMPUTED_VALUE"""),93)</f>
        <v>93</v>
      </c>
      <c r="R210" s="1">
        <f ca="1">IFERROR(__xludf.DUMMYFUNCTION("""COMPUTED_VALUE"""),103.3)</f>
        <v>103.3</v>
      </c>
      <c r="S210" s="1">
        <f ca="1">IFERROR(__xludf.DUMMYFUNCTION("""COMPUTED_VALUE"""),108)</f>
        <v>108</v>
      </c>
      <c r="T210" s="1">
        <f ca="1">IFERROR(__xludf.DUMMYFUNCTION("""COMPUTED_VALUE"""),-6.21)</f>
        <v>-6.21</v>
      </c>
      <c r="U210" s="1">
        <f ca="1">IFERROR(__xludf.DUMMYFUNCTION("""COMPUTED_VALUE"""),311)</f>
        <v>311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IFERROR(__xludf.DUMMYFUNCTION("""COMPUTED_VALUE"""),"Eastern Kentucky")</f>
        <v>Eastern Kentucky</v>
      </c>
      <c r="C213" s="1" t="str">
        <f ca="1">IFERROR(__xludf.DUMMYFUNCTION("""COMPUTED_VALUE"""),"OVC")</f>
        <v>OVC</v>
      </c>
      <c r="D213" s="1" t="str">
        <f ca="1">IFERROR(__xludf.DUMMYFUNCTION("""COMPUTED_VALUE"""),"15-16")</f>
        <v>15-16</v>
      </c>
      <c r="E213" s="1">
        <f ca="1">IFERROR(__xludf.DUMMYFUNCTION("""COMPUTED_VALUE"""),-3.58)</f>
        <v>-3.58</v>
      </c>
      <c r="F213" s="1">
        <f ca="1">IFERROR(__xludf.DUMMYFUNCTION("""COMPUTED_VALUE"""),107.4)</f>
        <v>107.4</v>
      </c>
      <c r="G213" s="1">
        <f ca="1">IFERROR(__xludf.DUMMYFUNCTION("""COMPUTED_VALUE"""),128)</f>
        <v>128</v>
      </c>
      <c r="H213" s="1">
        <f ca="1">IFERROR(__xludf.DUMMYFUNCTION("""COMPUTED_VALUE"""),111)</f>
        <v>111</v>
      </c>
      <c r="I213" s="1">
        <f ca="1">IFERROR(__xludf.DUMMYFUNCTION("""COMPUTED_VALUE"""),290)</f>
        <v>290</v>
      </c>
      <c r="J213" s="1">
        <f ca="1">IFERROR(__xludf.DUMMYFUNCTION("""COMPUTED_VALUE"""),72.1)</f>
        <v>72.099999999999994</v>
      </c>
      <c r="K213" s="1">
        <f ca="1">IFERROR(__xludf.DUMMYFUNCTION("""COMPUTED_VALUE"""),28)</f>
        <v>28</v>
      </c>
      <c r="L213" s="1">
        <f ca="1">IFERROR(__xludf.DUMMYFUNCTION("""COMPUTED_VALUE"""),-0.029)</f>
        <v>-2.9000000000000001E-2</v>
      </c>
      <c r="M213" s="1">
        <f ca="1">IFERROR(__xludf.DUMMYFUNCTION("""COMPUTED_VALUE"""),253)</f>
        <v>253</v>
      </c>
      <c r="N213" s="1">
        <f ca="1">IFERROR(__xludf.DUMMYFUNCTION("""COMPUTED_VALUE"""),-4.72)</f>
        <v>-4.72</v>
      </c>
      <c r="O213" s="1">
        <f ca="1">IFERROR(__xludf.DUMMYFUNCTION("""COMPUTED_VALUE"""),258)</f>
        <v>258</v>
      </c>
      <c r="P213" s="1">
        <f ca="1">IFERROR(__xludf.DUMMYFUNCTION("""COMPUTED_VALUE"""),103.4)</f>
        <v>103.4</v>
      </c>
      <c r="Q213" s="1">
        <f ca="1">IFERROR(__xludf.DUMMYFUNCTION("""COMPUTED_VALUE"""),224)</f>
        <v>224</v>
      </c>
      <c r="R213" s="1">
        <f ca="1">IFERROR(__xludf.DUMMYFUNCTION("""COMPUTED_VALUE"""),108.1)</f>
        <v>108.1</v>
      </c>
      <c r="S213" s="1">
        <f ca="1">IFERROR(__xludf.DUMMYFUNCTION("""COMPUTED_VALUE"""),298)</f>
        <v>298</v>
      </c>
      <c r="T213" s="1">
        <f ca="1">IFERROR(__xludf.DUMMYFUNCTION("""COMPUTED_VALUE"""),-4.67)</f>
        <v>-4.67</v>
      </c>
      <c r="U213" s="1">
        <f ca="1">IFERROR(__xludf.DUMMYFUNCTION("""COMPUTED_VALUE"""),295)</f>
        <v>295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IFERROR(__xludf.DUMMYFUNCTION("""COMPUTED_VALUE"""),"NJIT")</f>
        <v>NJIT</v>
      </c>
      <c r="C214" s="1" t="str">
        <f ca="1">IFERROR(__xludf.DUMMYFUNCTION("""COMPUTED_VALUE"""),"ASun")</f>
        <v>ASun</v>
      </c>
      <c r="D214" s="1" t="str">
        <f ca="1">IFERROR(__xludf.DUMMYFUNCTION("""COMPUTED_VALUE"""),"20-15")</f>
        <v>20-15</v>
      </c>
      <c r="E214" s="1">
        <f ca="1">IFERROR(__xludf.DUMMYFUNCTION("""COMPUTED_VALUE"""),-3.61)</f>
        <v>-3.61</v>
      </c>
      <c r="F214" s="1">
        <f ca="1">IFERROR(__xludf.DUMMYFUNCTION("""COMPUTED_VALUE"""),102.3)</f>
        <v>102.3</v>
      </c>
      <c r="G214" s="1">
        <f ca="1">IFERROR(__xludf.DUMMYFUNCTION("""COMPUTED_VALUE"""),213)</f>
        <v>213</v>
      </c>
      <c r="H214" s="1">
        <f ca="1">IFERROR(__xludf.DUMMYFUNCTION("""COMPUTED_VALUE"""),105.9)</f>
        <v>105.9</v>
      </c>
      <c r="I214" s="1">
        <f ca="1">IFERROR(__xludf.DUMMYFUNCTION("""COMPUTED_VALUE"""),192)</f>
        <v>192</v>
      </c>
      <c r="J214" s="1">
        <f ca="1">IFERROR(__xludf.DUMMYFUNCTION("""COMPUTED_VALUE"""),69)</f>
        <v>69</v>
      </c>
      <c r="K214" s="1">
        <f ca="1">IFERROR(__xludf.DUMMYFUNCTION("""COMPUTED_VALUE"""),122)</f>
        <v>122</v>
      </c>
      <c r="L214" s="1" t="str">
        <f ca="1">IFERROR(__xludf.DUMMYFUNCTION("""COMPUTED_VALUE"""),"+.048")</f>
        <v>+.048</v>
      </c>
      <c r="M214" s="1">
        <f ca="1">IFERROR(__xludf.DUMMYFUNCTION("""COMPUTED_VALUE"""),66)</f>
        <v>66</v>
      </c>
      <c r="N214" s="1">
        <f ca="1">IFERROR(__xludf.DUMMYFUNCTION("""COMPUTED_VALUE"""),-5.59)</f>
        <v>-5.59</v>
      </c>
      <c r="O214" s="1">
        <f ca="1">IFERROR(__xludf.DUMMYFUNCTION("""COMPUTED_VALUE"""),278)</f>
        <v>278</v>
      </c>
      <c r="P214" s="1">
        <f ca="1">IFERROR(__xludf.DUMMYFUNCTION("""COMPUTED_VALUE"""),103.6)</f>
        <v>103.6</v>
      </c>
      <c r="Q214" s="1">
        <f ca="1">IFERROR(__xludf.DUMMYFUNCTION("""COMPUTED_VALUE"""),213)</f>
        <v>213</v>
      </c>
      <c r="R214" s="1">
        <f ca="1">IFERROR(__xludf.DUMMYFUNCTION("""COMPUTED_VALUE"""),109.2)</f>
        <v>109.2</v>
      </c>
      <c r="S214" s="1">
        <f ca="1">IFERROR(__xludf.DUMMYFUNCTION("""COMPUTED_VALUE"""),340)</f>
        <v>340</v>
      </c>
      <c r="T214" s="1">
        <f ca="1">IFERROR(__xludf.DUMMYFUNCTION("""COMPUTED_VALUE"""),-1.42)</f>
        <v>-1.42</v>
      </c>
      <c r="U214" s="1">
        <f ca="1">IFERROR(__xludf.DUMMYFUNCTION("""COMPUTED_VALUE"""),204)</f>
        <v>204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IFERROR(__xludf.DUMMYFUNCTION("""COMPUTED_VALUE"""),"Cal Poly")</f>
        <v>Cal Poly</v>
      </c>
      <c r="C215" s="1" t="str">
        <f ca="1">IFERROR(__xludf.DUMMYFUNCTION("""COMPUTED_VALUE"""),"BW")</f>
        <v>BW</v>
      </c>
      <c r="D215" s="2">
        <f ca="1">IFERROR(__xludf.DUMMYFUNCTION("""COMPUTED_VALUE"""),44854)</f>
        <v>44854</v>
      </c>
      <c r="E215" s="1">
        <f ca="1">IFERROR(__xludf.DUMMYFUNCTION("""COMPUTED_VALUE"""),-3.65)</f>
        <v>-3.65</v>
      </c>
      <c r="F215" s="1">
        <f ca="1">IFERROR(__xludf.DUMMYFUNCTION("""COMPUTED_VALUE"""),107.6)</f>
        <v>107.6</v>
      </c>
      <c r="G215" s="1">
        <f ca="1">IFERROR(__xludf.DUMMYFUNCTION("""COMPUTED_VALUE"""),122)</f>
        <v>122</v>
      </c>
      <c r="H215" s="1">
        <f ca="1">IFERROR(__xludf.DUMMYFUNCTION("""COMPUTED_VALUE"""),111.3)</f>
        <v>111.3</v>
      </c>
      <c r="I215" s="1">
        <f ca="1">IFERROR(__xludf.DUMMYFUNCTION("""COMPUTED_VALUE"""),294)</f>
        <v>294</v>
      </c>
      <c r="J215" s="1">
        <f ca="1">IFERROR(__xludf.DUMMYFUNCTION("""COMPUTED_VALUE"""),66.2)</f>
        <v>66.2</v>
      </c>
      <c r="K215" s="1">
        <f ca="1">IFERROR(__xludf.DUMMYFUNCTION("""COMPUTED_VALUE"""),262)</f>
        <v>262</v>
      </c>
      <c r="L215" s="1">
        <f ca="1">IFERROR(__xludf.DUMMYFUNCTION("""COMPUTED_VALUE"""),-0.062)</f>
        <v>-6.2E-2</v>
      </c>
      <c r="M215" s="1">
        <f ca="1">IFERROR(__xludf.DUMMYFUNCTION("""COMPUTED_VALUE"""),319)</f>
        <v>319</v>
      </c>
      <c r="N215" s="1" t="str">
        <f ca="1">IFERROR(__xludf.DUMMYFUNCTION("""COMPUTED_VALUE"""),"+2.41")</f>
        <v>+2.41</v>
      </c>
      <c r="O215" s="1">
        <f ca="1">IFERROR(__xludf.DUMMYFUNCTION("""COMPUTED_VALUE"""),104)</f>
        <v>104</v>
      </c>
      <c r="P215" s="1">
        <f ca="1">IFERROR(__xludf.DUMMYFUNCTION("""COMPUTED_VALUE"""),105.3)</f>
        <v>105.3</v>
      </c>
      <c r="Q215" s="1">
        <f ca="1">IFERROR(__xludf.DUMMYFUNCTION("""COMPUTED_VALUE"""),139)</f>
        <v>139</v>
      </c>
      <c r="R215" s="1">
        <f ca="1">IFERROR(__xludf.DUMMYFUNCTION("""COMPUTED_VALUE"""),102.9)</f>
        <v>102.9</v>
      </c>
      <c r="S215" s="1">
        <f ca="1">IFERROR(__xludf.DUMMYFUNCTION("""COMPUTED_VALUE"""),96)</f>
        <v>96</v>
      </c>
      <c r="T215" s="1" t="str">
        <f ca="1">IFERROR(__xludf.DUMMYFUNCTION("""COMPUTED_VALUE"""),"+5.29")</f>
        <v>+5.29</v>
      </c>
      <c r="U215" s="1">
        <f ca="1">IFERROR(__xludf.DUMMYFUNCTION("""COMPUTED_VALUE"""),32)</f>
        <v>32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IFERROR(__xludf.DUMMYFUNCTION("""COMPUTED_VALUE"""),"Navy")</f>
        <v>Navy</v>
      </c>
      <c r="C216" s="1" t="str">
        <f ca="1">IFERROR(__xludf.DUMMYFUNCTION("""COMPUTED_VALUE"""),"Pat")</f>
        <v>Pat</v>
      </c>
      <c r="D216" s="1" t="str">
        <f ca="1">IFERROR(__xludf.DUMMYFUNCTION("""COMPUTED_VALUE"""),"19-14")</f>
        <v>19-14</v>
      </c>
      <c r="E216" s="1">
        <f ca="1">IFERROR(__xludf.DUMMYFUNCTION("""COMPUTED_VALUE"""),-3.68)</f>
        <v>-3.68</v>
      </c>
      <c r="F216" s="1">
        <f ca="1">IFERROR(__xludf.DUMMYFUNCTION("""COMPUTED_VALUE"""),99.4)</f>
        <v>99.4</v>
      </c>
      <c r="G216" s="1">
        <f ca="1">IFERROR(__xludf.DUMMYFUNCTION("""COMPUTED_VALUE"""),277)</f>
        <v>277</v>
      </c>
      <c r="H216" s="1">
        <f ca="1">IFERROR(__xludf.DUMMYFUNCTION("""COMPUTED_VALUE"""),103.1)</f>
        <v>103.1</v>
      </c>
      <c r="I216" s="1">
        <f ca="1">IFERROR(__xludf.DUMMYFUNCTION("""COMPUTED_VALUE"""),139)</f>
        <v>139</v>
      </c>
      <c r="J216" s="1">
        <f ca="1">IFERROR(__xludf.DUMMYFUNCTION("""COMPUTED_VALUE"""),64.9)</f>
        <v>64.900000000000006</v>
      </c>
      <c r="K216" s="1">
        <f ca="1">IFERROR(__xludf.DUMMYFUNCTION("""COMPUTED_VALUE"""),319)</f>
        <v>319</v>
      </c>
      <c r="L216" s="1">
        <f ca="1">IFERROR(__xludf.DUMMYFUNCTION("""COMPUTED_VALUE"""),-0.006)</f>
        <v>-6.0000000000000001E-3</v>
      </c>
      <c r="M216" s="1">
        <f ca="1">IFERROR(__xludf.DUMMYFUNCTION("""COMPUTED_VALUE"""),194)</f>
        <v>194</v>
      </c>
      <c r="N216" s="1">
        <f ca="1">IFERROR(__xludf.DUMMYFUNCTION("""COMPUTED_VALUE"""),-7.48)</f>
        <v>-7.48</v>
      </c>
      <c r="O216" s="1">
        <f ca="1">IFERROR(__xludf.DUMMYFUNCTION("""COMPUTED_VALUE"""),319)</f>
        <v>319</v>
      </c>
      <c r="P216" s="1">
        <f ca="1">IFERROR(__xludf.DUMMYFUNCTION("""COMPUTED_VALUE"""),101.7)</f>
        <v>101.7</v>
      </c>
      <c r="Q216" s="1">
        <f ca="1">IFERROR(__xludf.DUMMYFUNCTION("""COMPUTED_VALUE"""),294)</f>
        <v>294</v>
      </c>
      <c r="R216" s="1">
        <f ca="1">IFERROR(__xludf.DUMMYFUNCTION("""COMPUTED_VALUE"""),109.2)</f>
        <v>109.2</v>
      </c>
      <c r="S216" s="1">
        <f ca="1">IFERROR(__xludf.DUMMYFUNCTION("""COMPUTED_VALUE"""),336)</f>
        <v>336</v>
      </c>
      <c r="T216" s="1">
        <f ca="1">IFERROR(__xludf.DUMMYFUNCTION("""COMPUTED_VALUE"""),-4.04)</f>
        <v>-4.04</v>
      </c>
      <c r="U216" s="1">
        <f ca="1">IFERROR(__xludf.DUMMYFUNCTION("""COMPUTED_VALUE"""),278)</f>
        <v>278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IFERROR(__xludf.DUMMYFUNCTION("""COMPUTED_VALUE"""),"San Francisco")</f>
        <v>San Francisco</v>
      </c>
      <c r="C217" s="1" t="str">
        <f ca="1">IFERROR(__xludf.DUMMYFUNCTION("""COMPUTED_VALUE"""),"WCC")</f>
        <v>WCC</v>
      </c>
      <c r="D217" s="1" t="str">
        <f ca="1">IFERROR(__xludf.DUMMYFUNCTION("""COMPUTED_VALUE"""),"15-15")</f>
        <v>15-15</v>
      </c>
      <c r="E217" s="1">
        <f ca="1">IFERROR(__xludf.DUMMYFUNCTION("""COMPUTED_VALUE"""),-3.75)</f>
        <v>-3.75</v>
      </c>
      <c r="F217" s="1">
        <f ca="1">IFERROR(__xludf.DUMMYFUNCTION("""COMPUTED_VALUE"""),107.4)</f>
        <v>107.4</v>
      </c>
      <c r="G217" s="1">
        <f ca="1">IFERROR(__xludf.DUMMYFUNCTION("""COMPUTED_VALUE"""),129)</f>
        <v>129</v>
      </c>
      <c r="H217" s="1">
        <f ca="1">IFERROR(__xludf.DUMMYFUNCTION("""COMPUTED_VALUE"""),111.1)</f>
        <v>111.1</v>
      </c>
      <c r="I217" s="1">
        <f ca="1">IFERROR(__xludf.DUMMYFUNCTION("""COMPUTED_VALUE"""),291)</f>
        <v>291</v>
      </c>
      <c r="J217" s="1">
        <f ca="1">IFERROR(__xludf.DUMMYFUNCTION("""COMPUTED_VALUE"""),70.5)</f>
        <v>70.5</v>
      </c>
      <c r="K217" s="1">
        <f ca="1">IFERROR(__xludf.DUMMYFUNCTION("""COMPUTED_VALUE"""),62)</f>
        <v>62</v>
      </c>
      <c r="L217" s="1" t="str">
        <f ca="1">IFERROR(__xludf.DUMMYFUNCTION("""COMPUTED_VALUE"""),"+.036")</f>
        <v>+.036</v>
      </c>
      <c r="M217" s="1">
        <f ca="1">IFERROR(__xludf.DUMMYFUNCTION("""COMPUTED_VALUE"""),88)</f>
        <v>88</v>
      </c>
      <c r="N217" s="1">
        <f ca="1">IFERROR(__xludf.DUMMYFUNCTION("""COMPUTED_VALUE"""),-2.38)</f>
        <v>-2.38</v>
      </c>
      <c r="O217" s="1">
        <f ca="1">IFERROR(__xludf.DUMMYFUNCTION("""COMPUTED_VALUE"""),206)</f>
        <v>206</v>
      </c>
      <c r="P217" s="1">
        <f ca="1">IFERROR(__xludf.DUMMYFUNCTION("""COMPUTED_VALUE"""),104)</f>
        <v>104</v>
      </c>
      <c r="Q217" s="1">
        <f ca="1">IFERROR(__xludf.DUMMYFUNCTION("""COMPUTED_VALUE"""),195)</f>
        <v>195</v>
      </c>
      <c r="R217" s="1">
        <f ca="1">IFERROR(__xludf.DUMMYFUNCTION("""COMPUTED_VALUE"""),106.4)</f>
        <v>106.4</v>
      </c>
      <c r="S217" s="1">
        <f ca="1">IFERROR(__xludf.DUMMYFUNCTION("""COMPUTED_VALUE"""),213)</f>
        <v>213</v>
      </c>
      <c r="T217" s="1">
        <f ca="1">IFERROR(__xludf.DUMMYFUNCTION("""COMPUTED_VALUE"""),-10.08)</f>
        <v>-10.08</v>
      </c>
      <c r="U217" s="1">
        <f ca="1">IFERROR(__xludf.DUMMYFUNCTION("""COMPUTED_VALUE"""),348)</f>
        <v>348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IFERROR(__xludf.DUMMYFUNCTION("""COMPUTED_VALUE"""),"Portland")</f>
        <v>Portland</v>
      </c>
      <c r="C218" s="1" t="str">
        <f ca="1">IFERROR(__xludf.DUMMYFUNCTION("""COMPUTED_VALUE"""),"WCC")</f>
        <v>WCC</v>
      </c>
      <c r="D218" s="2">
        <f ca="1">IFERROR(__xludf.DUMMYFUNCTION("""COMPUTED_VALUE"""),44915)</f>
        <v>44915</v>
      </c>
      <c r="E218" s="1">
        <f ca="1">IFERROR(__xludf.DUMMYFUNCTION("""COMPUTED_VALUE"""),-4.01)</f>
        <v>-4.01</v>
      </c>
      <c r="F218" s="1">
        <f ca="1">IFERROR(__xludf.DUMMYFUNCTION("""COMPUTED_VALUE"""),107.1)</f>
        <v>107.1</v>
      </c>
      <c r="G218" s="1">
        <f ca="1">IFERROR(__xludf.DUMMYFUNCTION("""COMPUTED_VALUE"""),135)</f>
        <v>135</v>
      </c>
      <c r="H218" s="1">
        <f ca="1">IFERROR(__xludf.DUMMYFUNCTION("""COMPUTED_VALUE"""),111.1)</f>
        <v>111.1</v>
      </c>
      <c r="I218" s="1">
        <f ca="1">IFERROR(__xludf.DUMMYFUNCTION("""COMPUTED_VALUE"""),292)</f>
        <v>292</v>
      </c>
      <c r="J218" s="1">
        <f ca="1">IFERROR(__xludf.DUMMYFUNCTION("""COMPUTED_VALUE"""),71.8)</f>
        <v>71.8</v>
      </c>
      <c r="K218" s="1">
        <f ca="1">IFERROR(__xludf.DUMMYFUNCTION("""COMPUTED_VALUE"""),34)</f>
        <v>34</v>
      </c>
      <c r="L218" s="1">
        <f ca="1">IFERROR(__xludf.DUMMYFUNCTION("""COMPUTED_VALUE"""),-0.072)</f>
        <v>-7.1999999999999995E-2</v>
      </c>
      <c r="M218" s="1">
        <f ca="1">IFERROR(__xludf.DUMMYFUNCTION("""COMPUTED_VALUE"""),328)</f>
        <v>328</v>
      </c>
      <c r="N218" s="1">
        <f ca="1">IFERROR(__xludf.DUMMYFUNCTION("""COMPUTED_VALUE"""),-0.81)</f>
        <v>-0.81</v>
      </c>
      <c r="O218" s="1">
        <f ca="1">IFERROR(__xludf.DUMMYFUNCTION("""COMPUTED_VALUE"""),168)</f>
        <v>168</v>
      </c>
      <c r="P218" s="1">
        <f ca="1">IFERROR(__xludf.DUMMYFUNCTION("""COMPUTED_VALUE"""),104.7)</f>
        <v>104.7</v>
      </c>
      <c r="Q218" s="1">
        <f ca="1">IFERROR(__xludf.DUMMYFUNCTION("""COMPUTED_VALUE"""),161)</f>
        <v>161</v>
      </c>
      <c r="R218" s="1">
        <f ca="1">IFERROR(__xludf.DUMMYFUNCTION("""COMPUTED_VALUE"""),105.5)</f>
        <v>105.5</v>
      </c>
      <c r="S218" s="1">
        <f ca="1">IFERROR(__xludf.DUMMYFUNCTION("""COMPUTED_VALUE"""),176)</f>
        <v>176</v>
      </c>
      <c r="T218" s="1">
        <f ca="1">IFERROR(__xludf.DUMMYFUNCTION("""COMPUTED_VALUE"""),-5.82)</f>
        <v>-5.82</v>
      </c>
      <c r="U218" s="1">
        <f ca="1">IFERROR(__xludf.DUMMYFUNCTION("""COMPUTED_VALUE"""),308)</f>
        <v>308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IFERROR(__xludf.DUMMYFUNCTION("""COMPUTED_VALUE"""),"IUPUI")</f>
        <v>IUPUI</v>
      </c>
      <c r="C219" s="1" t="str">
        <f ca="1">IFERROR(__xludf.DUMMYFUNCTION("""COMPUTED_VALUE"""),"Sum")</f>
        <v>Sum</v>
      </c>
      <c r="D219" s="1" t="str">
        <f ca="1">IFERROR(__xludf.DUMMYFUNCTION("""COMPUTED_VALUE"""),"13-19")</f>
        <v>13-19</v>
      </c>
      <c r="E219" s="1">
        <f ca="1">IFERROR(__xludf.DUMMYFUNCTION("""COMPUTED_VALUE"""),-4.05)</f>
        <v>-4.05</v>
      </c>
      <c r="F219" s="1">
        <f ca="1">IFERROR(__xludf.DUMMYFUNCTION("""COMPUTED_VALUE"""),99.9)</f>
        <v>99.9</v>
      </c>
      <c r="G219" s="1">
        <f ca="1">IFERROR(__xludf.DUMMYFUNCTION("""COMPUTED_VALUE"""),262)</f>
        <v>262</v>
      </c>
      <c r="H219" s="1">
        <f ca="1">IFERROR(__xludf.DUMMYFUNCTION("""COMPUTED_VALUE"""),103.9)</f>
        <v>103.9</v>
      </c>
      <c r="I219" s="1">
        <f ca="1">IFERROR(__xludf.DUMMYFUNCTION("""COMPUTED_VALUE"""),156)</f>
        <v>156</v>
      </c>
      <c r="J219" s="1">
        <f ca="1">IFERROR(__xludf.DUMMYFUNCTION("""COMPUTED_VALUE"""),68.4)</f>
        <v>68.400000000000006</v>
      </c>
      <c r="K219" s="1">
        <f ca="1">IFERROR(__xludf.DUMMYFUNCTION("""COMPUTED_VALUE"""),148)</f>
        <v>148</v>
      </c>
      <c r="L219" s="1" t="str">
        <f ca="1">IFERROR(__xludf.DUMMYFUNCTION("""COMPUTED_VALUE"""),"+.042")</f>
        <v>+.042</v>
      </c>
      <c r="M219" s="1">
        <f ca="1">IFERROR(__xludf.DUMMYFUNCTION("""COMPUTED_VALUE"""),79)</f>
        <v>79</v>
      </c>
      <c r="N219" s="1" t="str">
        <f ca="1">IFERROR(__xludf.DUMMYFUNCTION("""COMPUTED_VALUE"""),"+2.24")</f>
        <v>+2.24</v>
      </c>
      <c r="O219" s="1">
        <f ca="1">IFERROR(__xludf.DUMMYFUNCTION("""COMPUTED_VALUE"""),108)</f>
        <v>108</v>
      </c>
      <c r="P219" s="1">
        <f ca="1">IFERROR(__xludf.DUMMYFUNCTION("""COMPUTED_VALUE"""),106.3)</f>
        <v>106.3</v>
      </c>
      <c r="Q219" s="1">
        <f ca="1">IFERROR(__xludf.DUMMYFUNCTION("""COMPUTED_VALUE"""),98)</f>
        <v>98</v>
      </c>
      <c r="R219" s="1">
        <f ca="1">IFERROR(__xludf.DUMMYFUNCTION("""COMPUTED_VALUE"""),104.1)</f>
        <v>104.1</v>
      </c>
      <c r="S219" s="1">
        <f ca="1">IFERROR(__xludf.DUMMYFUNCTION("""COMPUTED_VALUE"""),126)</f>
        <v>126</v>
      </c>
      <c r="T219" s="1" t="str">
        <f ca="1">IFERROR(__xludf.DUMMYFUNCTION("""COMPUTED_VALUE"""),"+6.07")</f>
        <v>+6.07</v>
      </c>
      <c r="U219" s="1">
        <f ca="1">IFERROR(__xludf.DUMMYFUNCTION("""COMPUTED_VALUE"""),26)</f>
        <v>26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IFERROR(__xludf.DUMMYFUNCTION("""COMPUTED_VALUE"""),"Fairfield")</f>
        <v>Fairfield</v>
      </c>
      <c r="C220" s="1" t="str">
        <f ca="1">IFERROR(__xludf.DUMMYFUNCTION("""COMPUTED_VALUE"""),"MAAC")</f>
        <v>MAAC</v>
      </c>
      <c r="D220" s="1" t="str">
        <f ca="1">IFERROR(__xludf.DUMMYFUNCTION("""COMPUTED_VALUE"""),"19-14")</f>
        <v>19-14</v>
      </c>
      <c r="E220" s="1">
        <f ca="1">IFERROR(__xludf.DUMMYFUNCTION("""COMPUTED_VALUE"""),-4.06)</f>
        <v>-4.0599999999999996</v>
      </c>
      <c r="F220" s="1">
        <f ca="1">IFERROR(__xludf.DUMMYFUNCTION("""COMPUTED_VALUE"""),103.8)</f>
        <v>103.8</v>
      </c>
      <c r="G220" s="1">
        <f ca="1">IFERROR(__xludf.DUMMYFUNCTION("""COMPUTED_VALUE"""),184)</f>
        <v>184</v>
      </c>
      <c r="H220" s="1">
        <f ca="1">IFERROR(__xludf.DUMMYFUNCTION("""COMPUTED_VALUE"""),107.9)</f>
        <v>107.9</v>
      </c>
      <c r="I220" s="1">
        <f ca="1">IFERROR(__xludf.DUMMYFUNCTION("""COMPUTED_VALUE"""),232)</f>
        <v>232</v>
      </c>
      <c r="J220" s="1">
        <f ca="1">IFERROR(__xludf.DUMMYFUNCTION("""COMPUTED_VALUE"""),71.4)</f>
        <v>71.400000000000006</v>
      </c>
      <c r="K220" s="1">
        <f ca="1">IFERROR(__xludf.DUMMYFUNCTION("""COMPUTED_VALUE"""),46)</f>
        <v>46</v>
      </c>
      <c r="L220" s="1" t="str">
        <f ca="1">IFERROR(__xludf.DUMMYFUNCTION("""COMPUTED_VALUE"""),"+.101")</f>
        <v>+.101</v>
      </c>
      <c r="M220" s="1">
        <f ca="1">IFERROR(__xludf.DUMMYFUNCTION("""COMPUTED_VALUE"""),13)</f>
        <v>13</v>
      </c>
      <c r="N220" s="1">
        <f ca="1">IFERROR(__xludf.DUMMYFUNCTION("""COMPUTED_VALUE"""),-4.06)</f>
        <v>-4.0599999999999996</v>
      </c>
      <c r="O220" s="1">
        <f ca="1">IFERROR(__xludf.DUMMYFUNCTION("""COMPUTED_VALUE"""),244)</f>
        <v>244</v>
      </c>
      <c r="P220" s="1">
        <f ca="1">IFERROR(__xludf.DUMMYFUNCTION("""COMPUTED_VALUE"""),102.3)</f>
        <v>102.3</v>
      </c>
      <c r="Q220" s="1">
        <f ca="1">IFERROR(__xludf.DUMMYFUNCTION("""COMPUTED_VALUE"""),271)</f>
        <v>271</v>
      </c>
      <c r="R220" s="1">
        <f ca="1">IFERROR(__xludf.DUMMYFUNCTION("""COMPUTED_VALUE"""),106.4)</f>
        <v>106.4</v>
      </c>
      <c r="S220" s="1">
        <f ca="1">IFERROR(__xludf.DUMMYFUNCTION("""COMPUTED_VALUE"""),211)</f>
        <v>211</v>
      </c>
      <c r="T220" s="1">
        <f ca="1">IFERROR(__xludf.DUMMYFUNCTION("""COMPUTED_VALUE"""),-1.65)</f>
        <v>-1.65</v>
      </c>
      <c r="U220" s="1">
        <f ca="1">IFERROR(__xludf.DUMMYFUNCTION("""COMPUTED_VALUE"""),212)</f>
        <v>212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IFERROR(__xludf.DUMMYFUNCTION("""COMPUTED_VALUE"""),"Tennessee Martin")</f>
        <v>Tennessee Martin</v>
      </c>
      <c r="C221" s="1" t="str">
        <f ca="1">IFERROR(__xludf.DUMMYFUNCTION("""COMPUTED_VALUE"""),"OVC")</f>
        <v>OVC</v>
      </c>
      <c r="D221" s="1" t="str">
        <f ca="1">IFERROR(__xludf.DUMMYFUNCTION("""COMPUTED_VALUE"""),"20-15")</f>
        <v>20-15</v>
      </c>
      <c r="E221" s="1">
        <f ca="1">IFERROR(__xludf.DUMMYFUNCTION("""COMPUTED_VALUE"""),-4.26)</f>
        <v>-4.26</v>
      </c>
      <c r="F221" s="1">
        <f ca="1">IFERROR(__xludf.DUMMYFUNCTION("""COMPUTED_VALUE"""),104.9)</f>
        <v>104.9</v>
      </c>
      <c r="G221" s="1">
        <f ca="1">IFERROR(__xludf.DUMMYFUNCTION("""COMPUTED_VALUE"""),169)</f>
        <v>169</v>
      </c>
      <c r="H221" s="1">
        <f ca="1">IFERROR(__xludf.DUMMYFUNCTION("""COMPUTED_VALUE"""),109.2)</f>
        <v>109.2</v>
      </c>
      <c r="I221" s="1">
        <f ca="1">IFERROR(__xludf.DUMMYFUNCTION("""COMPUTED_VALUE"""),261)</f>
        <v>261</v>
      </c>
      <c r="J221" s="1">
        <f ca="1">IFERROR(__xludf.DUMMYFUNCTION("""COMPUTED_VALUE"""),66.6)</f>
        <v>66.599999999999994</v>
      </c>
      <c r="K221" s="1">
        <f ca="1">IFERROR(__xludf.DUMMYFUNCTION("""COMPUTED_VALUE"""),253)</f>
        <v>253</v>
      </c>
      <c r="L221" s="1" t="str">
        <f ca="1">IFERROR(__xludf.DUMMYFUNCTION("""COMPUTED_VALUE"""),"+.074")</f>
        <v>+.074</v>
      </c>
      <c r="M221" s="1">
        <f ca="1">IFERROR(__xludf.DUMMYFUNCTION("""COMPUTED_VALUE"""),37)</f>
        <v>37</v>
      </c>
      <c r="N221" s="1">
        <f ca="1">IFERROR(__xludf.DUMMYFUNCTION("""COMPUTED_VALUE"""),-4.38)</f>
        <v>-4.38</v>
      </c>
      <c r="O221" s="1">
        <f ca="1">IFERROR(__xludf.DUMMYFUNCTION("""COMPUTED_VALUE"""),252)</f>
        <v>252</v>
      </c>
      <c r="P221" s="1">
        <f ca="1">IFERROR(__xludf.DUMMYFUNCTION("""COMPUTED_VALUE"""),103.1)</f>
        <v>103.1</v>
      </c>
      <c r="Q221" s="1">
        <f ca="1">IFERROR(__xludf.DUMMYFUNCTION("""COMPUTED_VALUE"""),240)</f>
        <v>240</v>
      </c>
      <c r="R221" s="1">
        <f ca="1">IFERROR(__xludf.DUMMYFUNCTION("""COMPUTED_VALUE"""),107.4)</f>
        <v>107.4</v>
      </c>
      <c r="S221" s="1">
        <f ca="1">IFERROR(__xludf.DUMMYFUNCTION("""COMPUTED_VALUE"""),259)</f>
        <v>259</v>
      </c>
      <c r="T221" s="1">
        <f ca="1">IFERROR(__xludf.DUMMYFUNCTION("""COMPUTED_VALUE"""),-2.59)</f>
        <v>-2.59</v>
      </c>
      <c r="U221" s="1">
        <f ca="1">IFERROR(__xludf.DUMMYFUNCTION("""COMPUTED_VALUE"""),235)</f>
        <v>235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IFERROR(__xludf.DUMMYFUNCTION("""COMPUTED_VALUE"""),"Georgia Southern")</f>
        <v>Georgia Southern</v>
      </c>
      <c r="C222" s="1" t="str">
        <f ca="1">IFERROR(__xludf.DUMMYFUNCTION("""COMPUTED_VALUE"""),"SB")</f>
        <v>SB</v>
      </c>
      <c r="D222" s="1" t="str">
        <f ca="1">IFERROR(__xludf.DUMMYFUNCTION("""COMPUTED_VALUE"""),"14-17")</f>
        <v>14-17</v>
      </c>
      <c r="E222" s="1">
        <f ca="1">IFERROR(__xludf.DUMMYFUNCTION("""COMPUTED_VALUE"""),-4.31)</f>
        <v>-4.3099999999999996</v>
      </c>
      <c r="F222" s="1">
        <f ca="1">IFERROR(__xludf.DUMMYFUNCTION("""COMPUTED_VALUE"""),105)</f>
        <v>105</v>
      </c>
      <c r="G222" s="1">
        <f ca="1">IFERROR(__xludf.DUMMYFUNCTION("""COMPUTED_VALUE"""),167)</f>
        <v>167</v>
      </c>
      <c r="H222" s="1">
        <f ca="1">IFERROR(__xludf.DUMMYFUNCTION("""COMPUTED_VALUE"""),109.3)</f>
        <v>109.3</v>
      </c>
      <c r="I222" s="1">
        <f ca="1">IFERROR(__xludf.DUMMYFUNCTION("""COMPUTED_VALUE"""),264)</f>
        <v>264</v>
      </c>
      <c r="J222" s="1">
        <f ca="1">IFERROR(__xludf.DUMMYFUNCTION("""COMPUTED_VALUE"""),68.7)</f>
        <v>68.7</v>
      </c>
      <c r="K222" s="1">
        <f ca="1">IFERROR(__xludf.DUMMYFUNCTION("""COMPUTED_VALUE"""),136)</f>
        <v>136</v>
      </c>
      <c r="L222" s="1">
        <f ca="1">IFERROR(__xludf.DUMMYFUNCTION("""COMPUTED_VALUE"""),-0.017)</f>
        <v>-1.7000000000000001E-2</v>
      </c>
      <c r="M222" s="1">
        <f ca="1">IFERROR(__xludf.DUMMYFUNCTION("""COMPUTED_VALUE"""),225)</f>
        <v>225</v>
      </c>
      <c r="N222" s="1">
        <f ca="1">IFERROR(__xludf.DUMMYFUNCTION("""COMPUTED_VALUE"""),-2.6)</f>
        <v>-2.6</v>
      </c>
      <c r="O222" s="1">
        <f ca="1">IFERROR(__xludf.DUMMYFUNCTION("""COMPUTED_VALUE"""),208)</f>
        <v>208</v>
      </c>
      <c r="P222" s="1">
        <f ca="1">IFERROR(__xludf.DUMMYFUNCTION("""COMPUTED_VALUE"""),103)</f>
        <v>103</v>
      </c>
      <c r="Q222" s="1">
        <f ca="1">IFERROR(__xludf.DUMMYFUNCTION("""COMPUTED_VALUE"""),242)</f>
        <v>242</v>
      </c>
      <c r="R222" s="1">
        <f ca="1">IFERROR(__xludf.DUMMYFUNCTION("""COMPUTED_VALUE"""),105.6)</f>
        <v>105.6</v>
      </c>
      <c r="S222" s="1">
        <f ca="1">IFERROR(__xludf.DUMMYFUNCTION("""COMPUTED_VALUE"""),179)</f>
        <v>179</v>
      </c>
      <c r="T222" s="1">
        <f ca="1">IFERROR(__xludf.DUMMYFUNCTION("""COMPUTED_VALUE"""),-3.66)</f>
        <v>-3.66</v>
      </c>
      <c r="U222" s="1">
        <f ca="1">IFERROR(__xludf.DUMMYFUNCTION("""COMPUTED_VALUE"""),270)</f>
        <v>270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IFERROR(__xludf.DUMMYFUNCTION("""COMPUTED_VALUE"""),"St. John's")</f>
        <v>St. John's</v>
      </c>
      <c r="C223" s="1" t="str">
        <f ca="1">IFERROR(__xludf.DUMMYFUNCTION("""COMPUTED_VALUE"""),"BE")</f>
        <v>BE</v>
      </c>
      <c r="D223" s="2">
        <f ca="1">IFERROR(__xludf.DUMMYFUNCTION("""COMPUTED_VALUE"""),44797)</f>
        <v>44797</v>
      </c>
      <c r="E223" s="1">
        <f ca="1">IFERROR(__xludf.DUMMYFUNCTION("""COMPUTED_VALUE"""),-4.4)</f>
        <v>-4.4000000000000004</v>
      </c>
      <c r="F223" s="1">
        <f ca="1">IFERROR(__xludf.DUMMYFUNCTION("""COMPUTED_VALUE"""),97.8)</f>
        <v>97.8</v>
      </c>
      <c r="G223" s="1">
        <f ca="1">IFERROR(__xludf.DUMMYFUNCTION("""COMPUTED_VALUE"""),301)</f>
        <v>301</v>
      </c>
      <c r="H223" s="1">
        <f ca="1">IFERROR(__xludf.DUMMYFUNCTION("""COMPUTED_VALUE"""),102.2)</f>
        <v>102.2</v>
      </c>
      <c r="I223" s="1">
        <f ca="1">IFERROR(__xludf.DUMMYFUNCTION("""COMPUTED_VALUE"""),122)</f>
        <v>122</v>
      </c>
      <c r="J223" s="1">
        <f ca="1">IFERROR(__xludf.DUMMYFUNCTION("""COMPUTED_VALUE"""),72.1)</f>
        <v>72.099999999999994</v>
      </c>
      <c r="K223" s="1">
        <f ca="1">IFERROR(__xludf.DUMMYFUNCTION("""COMPUTED_VALUE"""),26)</f>
        <v>26</v>
      </c>
      <c r="L223" s="1">
        <f ca="1">IFERROR(__xludf.DUMMYFUNCTION("""COMPUTED_VALUE"""),-0.023)</f>
        <v>-2.3E-2</v>
      </c>
      <c r="M223" s="1">
        <f ca="1">IFERROR(__xludf.DUMMYFUNCTION("""COMPUTED_VALUE"""),238)</f>
        <v>238</v>
      </c>
      <c r="N223" s="1" t="str">
        <f ca="1">IFERROR(__xludf.DUMMYFUNCTION("""COMPUTED_VALUE"""),"+8.46")</f>
        <v>+8.46</v>
      </c>
      <c r="O223" s="1">
        <f ca="1">IFERROR(__xludf.DUMMYFUNCTION("""COMPUTED_VALUE"""),43)</f>
        <v>43</v>
      </c>
      <c r="P223" s="1">
        <f ca="1">IFERROR(__xludf.DUMMYFUNCTION("""COMPUTED_VALUE"""),109)</f>
        <v>109</v>
      </c>
      <c r="Q223" s="1">
        <f ca="1">IFERROR(__xludf.DUMMYFUNCTION("""COMPUTED_VALUE"""),48)</f>
        <v>48</v>
      </c>
      <c r="R223" s="1">
        <f ca="1">IFERROR(__xludf.DUMMYFUNCTION("""COMPUTED_VALUE"""),100.5)</f>
        <v>100.5</v>
      </c>
      <c r="S223" s="1">
        <f ca="1">IFERROR(__xludf.DUMMYFUNCTION("""COMPUTED_VALUE"""),28)</f>
        <v>28</v>
      </c>
      <c r="T223" s="1">
        <f ca="1">IFERROR(__xludf.DUMMYFUNCTION("""COMPUTED_VALUE"""),-4.04)</f>
        <v>-4.04</v>
      </c>
      <c r="U223" s="1">
        <f ca="1">IFERROR(__xludf.DUMMYFUNCTION("""COMPUTED_VALUE"""),279)</f>
        <v>279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IFERROR(__xludf.DUMMYFUNCTION("""COMPUTED_VALUE"""),"Texas St.")</f>
        <v>Texas St.</v>
      </c>
      <c r="C224" s="1" t="str">
        <f ca="1">IFERROR(__xludf.DUMMYFUNCTION("""COMPUTED_VALUE"""),"SB")</f>
        <v>SB</v>
      </c>
      <c r="D224" s="1" t="str">
        <f ca="1">IFERROR(__xludf.DUMMYFUNCTION("""COMPUTED_VALUE"""),"15-16")</f>
        <v>15-16</v>
      </c>
      <c r="E224" s="1">
        <f ca="1">IFERROR(__xludf.DUMMYFUNCTION("""COMPUTED_VALUE"""),-4.43)</f>
        <v>-4.43</v>
      </c>
      <c r="F224" s="1">
        <f ca="1">IFERROR(__xludf.DUMMYFUNCTION("""COMPUTED_VALUE"""),99.5)</f>
        <v>99.5</v>
      </c>
      <c r="G224" s="1">
        <f ca="1">IFERROR(__xludf.DUMMYFUNCTION("""COMPUTED_VALUE"""),275)</f>
        <v>275</v>
      </c>
      <c r="H224" s="1">
        <f ca="1">IFERROR(__xludf.DUMMYFUNCTION("""COMPUTED_VALUE"""),103.9)</f>
        <v>103.9</v>
      </c>
      <c r="I224" s="1">
        <f ca="1">IFERROR(__xludf.DUMMYFUNCTION("""COMPUTED_VALUE"""),155)</f>
        <v>155</v>
      </c>
      <c r="J224" s="1">
        <f ca="1">IFERROR(__xludf.DUMMYFUNCTION("""COMPUTED_VALUE"""),63.6)</f>
        <v>63.6</v>
      </c>
      <c r="K224" s="1">
        <f ca="1">IFERROR(__xludf.DUMMYFUNCTION("""COMPUTED_VALUE"""),340)</f>
        <v>340</v>
      </c>
      <c r="L224" s="1">
        <f ca="1">IFERROR(__xludf.DUMMYFUNCTION("""COMPUTED_VALUE"""),-0.014)</f>
        <v>-1.4E-2</v>
      </c>
      <c r="M224" s="1">
        <f ca="1">IFERROR(__xludf.DUMMYFUNCTION("""COMPUTED_VALUE"""),214)</f>
        <v>214</v>
      </c>
      <c r="N224" s="1">
        <f ca="1">IFERROR(__xludf.DUMMYFUNCTION("""COMPUTED_VALUE"""),-3.29)</f>
        <v>-3.29</v>
      </c>
      <c r="O224" s="1">
        <f ca="1">IFERROR(__xludf.DUMMYFUNCTION("""COMPUTED_VALUE"""),221)</f>
        <v>221</v>
      </c>
      <c r="P224" s="1">
        <f ca="1">IFERROR(__xludf.DUMMYFUNCTION("""COMPUTED_VALUE"""),102.4)</f>
        <v>102.4</v>
      </c>
      <c r="Q224" s="1">
        <f ca="1">IFERROR(__xludf.DUMMYFUNCTION("""COMPUTED_VALUE"""),267)</f>
        <v>267</v>
      </c>
      <c r="R224" s="1">
        <f ca="1">IFERROR(__xludf.DUMMYFUNCTION("""COMPUTED_VALUE"""),105.7)</f>
        <v>105.7</v>
      </c>
      <c r="S224" s="1">
        <f ca="1">IFERROR(__xludf.DUMMYFUNCTION("""COMPUTED_VALUE"""),181)</f>
        <v>181</v>
      </c>
      <c r="T224" s="1">
        <f ca="1">IFERROR(__xludf.DUMMYFUNCTION("""COMPUTED_VALUE"""),-9.83)</f>
        <v>-9.83</v>
      </c>
      <c r="U224" s="1">
        <f ca="1">IFERROR(__xludf.DUMMYFUNCTION("""COMPUTED_VALUE"""),346)</f>
        <v>346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IFERROR(__xludf.DUMMYFUNCTION("""COMPUTED_VALUE"""),"Sam Houston St.")</f>
        <v>Sam Houston St.</v>
      </c>
      <c r="C225" s="1" t="str">
        <f ca="1">IFERROR(__xludf.DUMMYFUNCTION("""COMPUTED_VALUE"""),"Slnd")</f>
        <v>Slnd</v>
      </c>
      <c r="D225" s="1" t="str">
        <f ca="1">IFERROR(__xludf.DUMMYFUNCTION("""COMPUTED_VALUE"""),"18-16")</f>
        <v>18-16</v>
      </c>
      <c r="E225" s="1">
        <f ca="1">IFERROR(__xludf.DUMMYFUNCTION("""COMPUTED_VALUE"""),-4.61)</f>
        <v>-4.6100000000000003</v>
      </c>
      <c r="F225" s="1">
        <f ca="1">IFERROR(__xludf.DUMMYFUNCTION("""COMPUTED_VALUE"""),102.6)</f>
        <v>102.6</v>
      </c>
      <c r="G225" s="1">
        <f ca="1">IFERROR(__xludf.DUMMYFUNCTION("""COMPUTED_VALUE"""),209)</f>
        <v>209</v>
      </c>
      <c r="H225" s="1">
        <f ca="1">IFERROR(__xludf.DUMMYFUNCTION("""COMPUTED_VALUE"""),107.2)</f>
        <v>107.2</v>
      </c>
      <c r="I225" s="1">
        <f ca="1">IFERROR(__xludf.DUMMYFUNCTION("""COMPUTED_VALUE"""),215)</f>
        <v>215</v>
      </c>
      <c r="J225" s="1">
        <f ca="1">IFERROR(__xludf.DUMMYFUNCTION("""COMPUTED_VALUE"""),67)</f>
        <v>67</v>
      </c>
      <c r="K225" s="1">
        <f ca="1">IFERROR(__xludf.DUMMYFUNCTION("""COMPUTED_VALUE"""),237)</f>
        <v>237</v>
      </c>
      <c r="L225" s="1">
        <f ca="1">IFERROR(__xludf.DUMMYFUNCTION("""COMPUTED_VALUE"""),-0.008)</f>
        <v>-8.0000000000000002E-3</v>
      </c>
      <c r="M225" s="1">
        <f ca="1">IFERROR(__xludf.DUMMYFUNCTION("""COMPUTED_VALUE"""),198)</f>
        <v>198</v>
      </c>
      <c r="N225" s="1">
        <f ca="1">IFERROR(__xludf.DUMMYFUNCTION("""COMPUTED_VALUE"""),-6.84)</f>
        <v>-6.84</v>
      </c>
      <c r="O225" s="1">
        <f ca="1">IFERROR(__xludf.DUMMYFUNCTION("""COMPUTED_VALUE"""),307)</f>
        <v>307</v>
      </c>
      <c r="P225" s="1">
        <f ca="1">IFERROR(__xludf.DUMMYFUNCTION("""COMPUTED_VALUE"""),101.5)</f>
        <v>101.5</v>
      </c>
      <c r="Q225" s="1">
        <f ca="1">IFERROR(__xludf.DUMMYFUNCTION("""COMPUTED_VALUE"""),297)</f>
        <v>297</v>
      </c>
      <c r="R225" s="1">
        <f ca="1">IFERROR(__xludf.DUMMYFUNCTION("""COMPUTED_VALUE"""),108.3)</f>
        <v>108.3</v>
      </c>
      <c r="S225" s="1">
        <f ca="1">IFERROR(__xludf.DUMMYFUNCTION("""COMPUTED_VALUE"""),312)</f>
        <v>312</v>
      </c>
      <c r="T225" s="1" t="str">
        <f ca="1">IFERROR(__xludf.DUMMYFUNCTION("""COMPUTED_VALUE"""),"+4.29")</f>
        <v>+4.29</v>
      </c>
      <c r="U225" s="1">
        <f ca="1">IFERROR(__xludf.DUMMYFUNCTION("""COMPUTED_VALUE"""),52)</f>
        <v>52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IFERROR(__xludf.DUMMYFUNCTION("""COMPUTED_VALUE"""),"Idaho")</f>
        <v>Idaho</v>
      </c>
      <c r="C226" s="1" t="str">
        <f ca="1">IFERROR(__xludf.DUMMYFUNCTION("""COMPUTED_VALUE"""),"BSky")</f>
        <v>BSky</v>
      </c>
      <c r="D226" s="1" t="str">
        <f ca="1">IFERROR(__xludf.DUMMYFUNCTION("""COMPUTED_VALUE"""),"21-13")</f>
        <v>21-13</v>
      </c>
      <c r="E226" s="1">
        <f ca="1">IFERROR(__xludf.DUMMYFUNCTION("""COMPUTED_VALUE"""),-4.87)</f>
        <v>-4.87</v>
      </c>
      <c r="F226" s="1">
        <f ca="1">IFERROR(__xludf.DUMMYFUNCTION("""COMPUTED_VALUE"""),98.6)</f>
        <v>98.6</v>
      </c>
      <c r="G226" s="1">
        <f ca="1">IFERROR(__xludf.DUMMYFUNCTION("""COMPUTED_VALUE"""),287)</f>
        <v>287</v>
      </c>
      <c r="H226" s="1">
        <f ca="1">IFERROR(__xludf.DUMMYFUNCTION("""COMPUTED_VALUE"""),103.5)</f>
        <v>103.5</v>
      </c>
      <c r="I226" s="1">
        <f ca="1">IFERROR(__xludf.DUMMYFUNCTION("""COMPUTED_VALUE"""),146)</f>
        <v>146</v>
      </c>
      <c r="J226" s="1">
        <f ca="1">IFERROR(__xludf.DUMMYFUNCTION("""COMPUTED_VALUE"""),65.8)</f>
        <v>65.8</v>
      </c>
      <c r="K226" s="1">
        <f ca="1">IFERROR(__xludf.DUMMYFUNCTION("""COMPUTED_VALUE"""),292)</f>
        <v>292</v>
      </c>
      <c r="L226" s="1" t="str">
        <f ca="1">IFERROR(__xludf.DUMMYFUNCTION("""COMPUTED_VALUE"""),"+.076")</f>
        <v>+.076</v>
      </c>
      <c r="M226" s="1">
        <f ca="1">IFERROR(__xludf.DUMMYFUNCTION("""COMPUTED_VALUE"""),35)</f>
        <v>35</v>
      </c>
      <c r="N226" s="1">
        <f ca="1">IFERROR(__xludf.DUMMYFUNCTION("""COMPUTED_VALUE"""),-6.39)</f>
        <v>-6.39</v>
      </c>
      <c r="O226" s="1">
        <f ca="1">IFERROR(__xludf.DUMMYFUNCTION("""COMPUTED_VALUE"""),299)</f>
        <v>299</v>
      </c>
      <c r="P226" s="1">
        <f ca="1">IFERROR(__xludf.DUMMYFUNCTION("""COMPUTED_VALUE"""),102.1)</f>
        <v>102.1</v>
      </c>
      <c r="Q226" s="1">
        <f ca="1">IFERROR(__xludf.DUMMYFUNCTION("""COMPUTED_VALUE"""),282)</f>
        <v>282</v>
      </c>
      <c r="R226" s="1">
        <f ca="1">IFERROR(__xludf.DUMMYFUNCTION("""COMPUTED_VALUE"""),108.4)</f>
        <v>108.4</v>
      </c>
      <c r="S226" s="1">
        <f ca="1">IFERROR(__xludf.DUMMYFUNCTION("""COMPUTED_VALUE"""),316)</f>
        <v>316</v>
      </c>
      <c r="T226" s="1">
        <f ca="1">IFERROR(__xludf.DUMMYFUNCTION("""COMPUTED_VALUE"""),-0.97)</f>
        <v>-0.97</v>
      </c>
      <c r="U226" s="1">
        <f ca="1">IFERROR(__xludf.DUMMYFUNCTION("""COMPUTED_VALUE"""),191)</f>
        <v>191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IFERROR(__xludf.DUMMYFUNCTION("""COMPUTED_VALUE"""),"UTEP")</f>
        <v>UTEP</v>
      </c>
      <c r="C227" s="1" t="str">
        <f ca="1">IFERROR(__xludf.DUMMYFUNCTION("""COMPUTED_VALUE"""),"CUSA")</f>
        <v>CUSA</v>
      </c>
      <c r="D227" s="1" t="str">
        <f ca="1">IFERROR(__xludf.DUMMYFUNCTION("""COMPUTED_VALUE"""),"19-14")</f>
        <v>19-14</v>
      </c>
      <c r="E227" s="1">
        <f ca="1">IFERROR(__xludf.DUMMYFUNCTION("""COMPUTED_VALUE"""),-4.93)</f>
        <v>-4.93</v>
      </c>
      <c r="F227" s="1">
        <f ca="1">IFERROR(__xludf.DUMMYFUNCTION("""COMPUTED_VALUE"""),102.6)</f>
        <v>102.6</v>
      </c>
      <c r="G227" s="1">
        <f ca="1">IFERROR(__xludf.DUMMYFUNCTION("""COMPUTED_VALUE"""),207)</f>
        <v>207</v>
      </c>
      <c r="H227" s="1">
        <f ca="1">IFERROR(__xludf.DUMMYFUNCTION("""COMPUTED_VALUE"""),107.6)</f>
        <v>107.6</v>
      </c>
      <c r="I227" s="1">
        <f ca="1">IFERROR(__xludf.DUMMYFUNCTION("""COMPUTED_VALUE"""),222)</f>
        <v>222</v>
      </c>
      <c r="J227" s="1">
        <f ca="1">IFERROR(__xludf.DUMMYFUNCTION("""COMPUTED_VALUE"""),71.6)</f>
        <v>71.599999999999994</v>
      </c>
      <c r="K227" s="1">
        <f ca="1">IFERROR(__xludf.DUMMYFUNCTION("""COMPUTED_VALUE"""),38)</f>
        <v>38</v>
      </c>
      <c r="L227" s="1" t="str">
        <f ca="1">IFERROR(__xludf.DUMMYFUNCTION("""COMPUTED_VALUE"""),"+.035")</f>
        <v>+.035</v>
      </c>
      <c r="M227" s="1">
        <f ca="1">IFERROR(__xludf.DUMMYFUNCTION("""COMPUTED_VALUE"""),91)</f>
        <v>91</v>
      </c>
      <c r="N227" s="1">
        <f ca="1">IFERROR(__xludf.DUMMYFUNCTION("""COMPUTED_VALUE"""),-6.52)</f>
        <v>-6.52</v>
      </c>
      <c r="O227" s="1">
        <f ca="1">IFERROR(__xludf.DUMMYFUNCTION("""COMPUTED_VALUE"""),303)</f>
        <v>303</v>
      </c>
      <c r="P227" s="1">
        <f ca="1">IFERROR(__xludf.DUMMYFUNCTION("""COMPUTED_VALUE"""),102)</f>
        <v>102</v>
      </c>
      <c r="Q227" s="1">
        <f ca="1">IFERROR(__xludf.DUMMYFUNCTION("""COMPUTED_VALUE"""),286)</f>
        <v>286</v>
      </c>
      <c r="R227" s="1">
        <f ca="1">IFERROR(__xludf.DUMMYFUNCTION("""COMPUTED_VALUE"""),108.5)</f>
        <v>108.5</v>
      </c>
      <c r="S227" s="1">
        <f ca="1">IFERROR(__xludf.DUMMYFUNCTION("""COMPUTED_VALUE"""),318)</f>
        <v>318</v>
      </c>
      <c r="T227" s="1">
        <f ca="1">IFERROR(__xludf.DUMMYFUNCTION("""COMPUTED_VALUE"""),-7.26)</f>
        <v>-7.26</v>
      </c>
      <c r="U227" s="1">
        <f ca="1">IFERROR(__xludf.DUMMYFUNCTION("""COMPUTED_VALUE"""),329)</f>
        <v>329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IFERROR(__xludf.DUMMYFUNCTION("""COMPUTED_VALUE"""),"South Dakota")</f>
        <v>South Dakota</v>
      </c>
      <c r="C228" s="1" t="str">
        <f ca="1">IFERROR(__xludf.DUMMYFUNCTION("""COMPUTED_VALUE"""),"Sum")</f>
        <v>Sum</v>
      </c>
      <c r="D228" s="1" t="str">
        <f ca="1">IFERROR(__xludf.DUMMYFUNCTION("""COMPUTED_VALUE"""),"14-18")</f>
        <v>14-18</v>
      </c>
      <c r="E228" s="1">
        <f ca="1">IFERROR(__xludf.DUMMYFUNCTION("""COMPUTED_VALUE"""),-4.96)</f>
        <v>-4.96</v>
      </c>
      <c r="F228" s="1">
        <f ca="1">IFERROR(__xludf.DUMMYFUNCTION("""COMPUTED_VALUE"""),106)</f>
        <v>106</v>
      </c>
      <c r="G228" s="1">
        <f ca="1">IFERROR(__xludf.DUMMYFUNCTION("""COMPUTED_VALUE"""),156)</f>
        <v>156</v>
      </c>
      <c r="H228" s="1">
        <f ca="1">IFERROR(__xludf.DUMMYFUNCTION("""COMPUTED_VALUE"""),111)</f>
        <v>111</v>
      </c>
      <c r="I228" s="1">
        <f ca="1">IFERROR(__xludf.DUMMYFUNCTION("""COMPUTED_VALUE"""),289)</f>
        <v>289</v>
      </c>
      <c r="J228" s="1">
        <f ca="1">IFERROR(__xludf.DUMMYFUNCTION("""COMPUTED_VALUE"""),70.5)</f>
        <v>70.5</v>
      </c>
      <c r="K228" s="1">
        <f ca="1">IFERROR(__xludf.DUMMYFUNCTION("""COMPUTED_VALUE"""),61)</f>
        <v>61</v>
      </c>
      <c r="L228" s="1" t="str">
        <f ca="1">IFERROR(__xludf.DUMMYFUNCTION("""COMPUTED_VALUE"""),"+.057")</f>
        <v>+.057</v>
      </c>
      <c r="M228" s="1">
        <f ca="1">IFERROR(__xludf.DUMMYFUNCTION("""COMPUTED_VALUE"""),49)</f>
        <v>49</v>
      </c>
      <c r="N228" s="1" t="str">
        <f ca="1">IFERROR(__xludf.DUMMYFUNCTION("""COMPUTED_VALUE"""),"+0.52")</f>
        <v>+0.52</v>
      </c>
      <c r="O228" s="1">
        <f ca="1">IFERROR(__xludf.DUMMYFUNCTION("""COMPUTED_VALUE"""),139)</f>
        <v>139</v>
      </c>
      <c r="P228" s="1">
        <f ca="1">IFERROR(__xludf.DUMMYFUNCTION("""COMPUTED_VALUE"""),105.5)</f>
        <v>105.5</v>
      </c>
      <c r="Q228" s="1">
        <f ca="1">IFERROR(__xludf.DUMMYFUNCTION("""COMPUTED_VALUE"""),123)</f>
        <v>123</v>
      </c>
      <c r="R228" s="1">
        <f ca="1">IFERROR(__xludf.DUMMYFUNCTION("""COMPUTED_VALUE"""),105)</f>
        <v>105</v>
      </c>
      <c r="S228" s="1">
        <f ca="1">IFERROR(__xludf.DUMMYFUNCTION("""COMPUTED_VALUE"""),156)</f>
        <v>156</v>
      </c>
      <c r="T228" s="1" t="str">
        <f ca="1">IFERROR(__xludf.DUMMYFUNCTION("""COMPUTED_VALUE"""),"+1.56")</f>
        <v>+1.56</v>
      </c>
      <c r="U228" s="1">
        <f ca="1">IFERROR(__xludf.DUMMYFUNCTION("""COMPUTED_VALUE"""),121)</f>
        <v>121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IFERROR(__xludf.DUMMYFUNCTION("""COMPUTED_VALUE"""),"Austin Peay16")</f>
        <v>Austin Peay16</v>
      </c>
      <c r="C229" s="1" t="str">
        <f ca="1">IFERROR(__xludf.DUMMYFUNCTION("""COMPUTED_VALUE"""),"OVC")</f>
        <v>OVC</v>
      </c>
      <c r="D229" s="1" t="str">
        <f ca="1">IFERROR(__xludf.DUMMYFUNCTION("""COMPUTED_VALUE"""),"18-18")</f>
        <v>18-18</v>
      </c>
      <c r="E229" s="1">
        <f ca="1">IFERROR(__xludf.DUMMYFUNCTION("""COMPUTED_VALUE"""),-5.1)</f>
        <v>-5.0999999999999996</v>
      </c>
      <c r="F229" s="1">
        <f ca="1">IFERROR(__xludf.DUMMYFUNCTION("""COMPUTED_VALUE"""),104.5)</f>
        <v>104.5</v>
      </c>
      <c r="G229" s="1">
        <f ca="1">IFERROR(__xludf.DUMMYFUNCTION("""COMPUTED_VALUE"""),176)</f>
        <v>176</v>
      </c>
      <c r="H229" s="1">
        <f ca="1">IFERROR(__xludf.DUMMYFUNCTION("""COMPUTED_VALUE"""),109.6)</f>
        <v>109.6</v>
      </c>
      <c r="I229" s="1">
        <f ca="1">IFERROR(__xludf.DUMMYFUNCTION("""COMPUTED_VALUE"""),266)</f>
        <v>266</v>
      </c>
      <c r="J229" s="1">
        <f ca="1">IFERROR(__xludf.DUMMYFUNCTION("""COMPUTED_VALUE"""),69.5)</f>
        <v>69.5</v>
      </c>
      <c r="K229" s="1">
        <f ca="1">IFERROR(__xludf.DUMMYFUNCTION("""COMPUTED_VALUE"""),101)</f>
        <v>101</v>
      </c>
      <c r="L229" s="1" t="str">
        <f ca="1">IFERROR(__xludf.DUMMYFUNCTION("""COMPUTED_VALUE"""),"+.061")</f>
        <v>+.061</v>
      </c>
      <c r="M229" s="1">
        <f ca="1">IFERROR(__xludf.DUMMYFUNCTION("""COMPUTED_VALUE"""),43)</f>
        <v>43</v>
      </c>
      <c r="N229" s="1">
        <f ca="1">IFERROR(__xludf.DUMMYFUNCTION("""COMPUTED_VALUE"""),-2.92)</f>
        <v>-2.92</v>
      </c>
      <c r="O229" s="1">
        <f ca="1">IFERROR(__xludf.DUMMYFUNCTION("""COMPUTED_VALUE"""),213)</f>
        <v>213</v>
      </c>
      <c r="P229" s="1">
        <f ca="1">IFERROR(__xludf.DUMMYFUNCTION("""COMPUTED_VALUE"""),105.1)</f>
        <v>105.1</v>
      </c>
      <c r="Q229" s="1">
        <f ca="1">IFERROR(__xludf.DUMMYFUNCTION("""COMPUTED_VALUE"""),149)</f>
        <v>149</v>
      </c>
      <c r="R229" s="1">
        <f ca="1">IFERROR(__xludf.DUMMYFUNCTION("""COMPUTED_VALUE"""),108)</f>
        <v>108</v>
      </c>
      <c r="S229" s="1">
        <f ca="1">IFERROR(__xludf.DUMMYFUNCTION("""COMPUTED_VALUE"""),292)</f>
        <v>292</v>
      </c>
      <c r="T229" s="1">
        <f ca="1">IFERROR(__xludf.DUMMYFUNCTION("""COMPUTED_VALUE"""),-0.19)</f>
        <v>-0.19</v>
      </c>
      <c r="U229" s="1">
        <f ca="1">IFERROR(__xludf.DUMMYFUNCTION("""COMPUTED_VALUE"""),170)</f>
        <v>170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IFERROR(__xludf.DUMMYFUNCTION("""COMPUTED_VALUE"""),"Loyola Marymount")</f>
        <v>Loyola Marymount</v>
      </c>
      <c r="C230" s="1" t="str">
        <f ca="1">IFERROR(__xludf.DUMMYFUNCTION("""COMPUTED_VALUE"""),"WCC")</f>
        <v>WCC</v>
      </c>
      <c r="D230" s="1" t="str">
        <f ca="1">IFERROR(__xludf.DUMMYFUNCTION("""COMPUTED_VALUE"""),"14-17")</f>
        <v>14-17</v>
      </c>
      <c r="E230" s="1">
        <f ca="1">IFERROR(__xludf.DUMMYFUNCTION("""COMPUTED_VALUE"""),-5.21)</f>
        <v>-5.21</v>
      </c>
      <c r="F230" s="1">
        <f ca="1">IFERROR(__xludf.DUMMYFUNCTION("""COMPUTED_VALUE"""),103.7)</f>
        <v>103.7</v>
      </c>
      <c r="G230" s="1">
        <f ca="1">IFERROR(__xludf.DUMMYFUNCTION("""COMPUTED_VALUE"""),186)</f>
        <v>186</v>
      </c>
      <c r="H230" s="1">
        <f ca="1">IFERROR(__xludf.DUMMYFUNCTION("""COMPUTED_VALUE"""),108.9)</f>
        <v>108.9</v>
      </c>
      <c r="I230" s="1">
        <f ca="1">IFERROR(__xludf.DUMMYFUNCTION("""COMPUTED_VALUE"""),254)</f>
        <v>254</v>
      </c>
      <c r="J230" s="1">
        <f ca="1">IFERROR(__xludf.DUMMYFUNCTION("""COMPUTED_VALUE"""),67.5)</f>
        <v>67.5</v>
      </c>
      <c r="K230" s="1">
        <f ca="1">IFERROR(__xludf.DUMMYFUNCTION("""COMPUTED_VALUE"""),202)</f>
        <v>202</v>
      </c>
      <c r="L230" s="1" t="str">
        <f ca="1">IFERROR(__xludf.DUMMYFUNCTION("""COMPUTED_VALUE"""),"+.076")</f>
        <v>+.076</v>
      </c>
      <c r="M230" s="1">
        <f ca="1">IFERROR(__xludf.DUMMYFUNCTION("""COMPUTED_VALUE"""),34)</f>
        <v>34</v>
      </c>
      <c r="N230" s="1" t="str">
        <f ca="1">IFERROR(__xludf.DUMMYFUNCTION("""COMPUTED_VALUE"""),"+0.20")</f>
        <v>+0.20</v>
      </c>
      <c r="O230" s="1">
        <f ca="1">IFERROR(__xludf.DUMMYFUNCTION("""COMPUTED_VALUE"""),144)</f>
        <v>144</v>
      </c>
      <c r="P230" s="1">
        <f ca="1">IFERROR(__xludf.DUMMYFUNCTION("""COMPUTED_VALUE"""),105.4)</f>
        <v>105.4</v>
      </c>
      <c r="Q230" s="1">
        <f ca="1">IFERROR(__xludf.DUMMYFUNCTION("""COMPUTED_VALUE"""),127)</f>
        <v>127</v>
      </c>
      <c r="R230" s="1">
        <f ca="1">IFERROR(__xludf.DUMMYFUNCTION("""COMPUTED_VALUE"""),105.2)</f>
        <v>105.2</v>
      </c>
      <c r="S230" s="1">
        <f ca="1">IFERROR(__xludf.DUMMYFUNCTION("""COMPUTED_VALUE"""),164)</f>
        <v>164</v>
      </c>
      <c r="T230" s="1">
        <f ca="1">IFERROR(__xludf.DUMMYFUNCTION("""COMPUTED_VALUE"""),-3.07)</f>
        <v>-3.07</v>
      </c>
      <c r="U230" s="1">
        <f ca="1">IFERROR(__xludf.DUMMYFUNCTION("""COMPUTED_VALUE"""),255)</f>
        <v>255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IFERROR(__xludf.DUMMYFUNCTION("""COMPUTED_VALUE"""),"Saint Peter's")</f>
        <v>Saint Peter's</v>
      </c>
      <c r="C231" s="1" t="str">
        <f ca="1">IFERROR(__xludf.DUMMYFUNCTION("""COMPUTED_VALUE"""),"MAAC")</f>
        <v>MAAC</v>
      </c>
      <c r="D231" s="1" t="str">
        <f ca="1">IFERROR(__xludf.DUMMYFUNCTION("""COMPUTED_VALUE"""),"14-16")</f>
        <v>14-16</v>
      </c>
      <c r="E231" s="1">
        <f ca="1">IFERROR(__xludf.DUMMYFUNCTION("""COMPUTED_VALUE"""),-5.24)</f>
        <v>-5.24</v>
      </c>
      <c r="F231" s="1">
        <f ca="1">IFERROR(__xludf.DUMMYFUNCTION("""COMPUTED_VALUE"""),96.7)</f>
        <v>96.7</v>
      </c>
      <c r="G231" s="1">
        <f ca="1">IFERROR(__xludf.DUMMYFUNCTION("""COMPUTED_VALUE"""),311)</f>
        <v>311</v>
      </c>
      <c r="H231" s="1">
        <f ca="1">IFERROR(__xludf.DUMMYFUNCTION("""COMPUTED_VALUE"""),102)</f>
        <v>102</v>
      </c>
      <c r="I231" s="1">
        <f ca="1">IFERROR(__xludf.DUMMYFUNCTION("""COMPUTED_VALUE"""),120)</f>
        <v>120</v>
      </c>
      <c r="J231" s="1">
        <f ca="1">IFERROR(__xludf.DUMMYFUNCTION("""COMPUTED_VALUE"""),64.5)</f>
        <v>64.5</v>
      </c>
      <c r="K231" s="1">
        <f ca="1">IFERROR(__xludf.DUMMYFUNCTION("""COMPUTED_VALUE"""),326)</f>
        <v>326</v>
      </c>
      <c r="L231" s="1">
        <f ca="1">IFERROR(__xludf.DUMMYFUNCTION("""COMPUTED_VALUE"""),-0.005)</f>
        <v>-5.0000000000000001E-3</v>
      </c>
      <c r="M231" s="1">
        <f ca="1">IFERROR(__xludf.DUMMYFUNCTION("""COMPUTED_VALUE"""),189)</f>
        <v>189</v>
      </c>
      <c r="N231" s="1">
        <f ca="1">IFERROR(__xludf.DUMMYFUNCTION("""COMPUTED_VALUE"""),-5.01)</f>
        <v>-5.01</v>
      </c>
      <c r="O231" s="1">
        <f ca="1">IFERROR(__xludf.DUMMYFUNCTION("""COMPUTED_VALUE"""),267)</f>
        <v>267</v>
      </c>
      <c r="P231" s="1">
        <f ca="1">IFERROR(__xludf.DUMMYFUNCTION("""COMPUTED_VALUE"""),102.6)</f>
        <v>102.6</v>
      </c>
      <c r="Q231" s="1">
        <f ca="1">IFERROR(__xludf.DUMMYFUNCTION("""COMPUTED_VALUE"""),257)</f>
        <v>257</v>
      </c>
      <c r="R231" s="1">
        <f ca="1">IFERROR(__xludf.DUMMYFUNCTION("""COMPUTED_VALUE"""),107.6)</f>
        <v>107.6</v>
      </c>
      <c r="S231" s="1">
        <f ca="1">IFERROR(__xludf.DUMMYFUNCTION("""COMPUTED_VALUE"""),269)</f>
        <v>269</v>
      </c>
      <c r="T231" s="1">
        <f ca="1">IFERROR(__xludf.DUMMYFUNCTION("""COMPUTED_VALUE"""),-5.15)</f>
        <v>-5.15</v>
      </c>
      <c r="U231" s="1">
        <f ca="1">IFERROR(__xludf.DUMMYFUNCTION("""COMPUTED_VALUE"""),303)</f>
        <v>303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IFERROR(__xludf.DUMMYFUNCTION("""COMPUTED_VALUE"""),"UNC Greensboro")</f>
        <v>UNC Greensboro</v>
      </c>
      <c r="C232" s="1" t="str">
        <f ca="1">IFERROR(__xludf.DUMMYFUNCTION("""COMPUTED_VALUE"""),"SC")</f>
        <v>SC</v>
      </c>
      <c r="D232" s="1" t="str">
        <f ca="1">IFERROR(__xludf.DUMMYFUNCTION("""COMPUTED_VALUE"""),"15-19")</f>
        <v>15-19</v>
      </c>
      <c r="E232" s="1">
        <f ca="1">IFERROR(__xludf.DUMMYFUNCTION("""COMPUTED_VALUE"""),-5.27)</f>
        <v>-5.27</v>
      </c>
      <c r="F232" s="1">
        <f ca="1">IFERROR(__xludf.DUMMYFUNCTION("""COMPUTED_VALUE"""),102.2)</f>
        <v>102.2</v>
      </c>
      <c r="G232" s="1">
        <f ca="1">IFERROR(__xludf.DUMMYFUNCTION("""COMPUTED_VALUE"""),214)</f>
        <v>214</v>
      </c>
      <c r="H232" s="1">
        <f ca="1">IFERROR(__xludf.DUMMYFUNCTION("""COMPUTED_VALUE"""),107.5)</f>
        <v>107.5</v>
      </c>
      <c r="I232" s="1">
        <f ca="1">IFERROR(__xludf.DUMMYFUNCTION("""COMPUTED_VALUE"""),221)</f>
        <v>221</v>
      </c>
      <c r="J232" s="1">
        <f ca="1">IFERROR(__xludf.DUMMYFUNCTION("""COMPUTED_VALUE"""),67.7)</f>
        <v>67.7</v>
      </c>
      <c r="K232" s="1">
        <f ca="1">IFERROR(__xludf.DUMMYFUNCTION("""COMPUTED_VALUE"""),193)</f>
        <v>193</v>
      </c>
      <c r="L232" s="1">
        <f ca="1">IFERROR(__xludf.DUMMYFUNCTION("""COMPUTED_VALUE"""),-0.017)</f>
        <v>-1.7000000000000001E-2</v>
      </c>
      <c r="M232" s="1">
        <f ca="1">IFERROR(__xludf.DUMMYFUNCTION("""COMPUTED_VALUE"""),223)</f>
        <v>223</v>
      </c>
      <c r="N232" s="1">
        <f ca="1">IFERROR(__xludf.DUMMYFUNCTION("""COMPUTED_VALUE"""),-2.45)</f>
        <v>-2.4500000000000002</v>
      </c>
      <c r="O232" s="1">
        <f ca="1">IFERROR(__xludf.DUMMYFUNCTION("""COMPUTED_VALUE"""),207)</f>
        <v>207</v>
      </c>
      <c r="P232" s="1">
        <f ca="1">IFERROR(__xludf.DUMMYFUNCTION("""COMPUTED_VALUE"""),105.1)</f>
        <v>105.1</v>
      </c>
      <c r="Q232" s="1">
        <f ca="1">IFERROR(__xludf.DUMMYFUNCTION("""COMPUTED_VALUE"""),148)</f>
        <v>148</v>
      </c>
      <c r="R232" s="1">
        <f ca="1">IFERROR(__xludf.DUMMYFUNCTION("""COMPUTED_VALUE"""),107.5)</f>
        <v>107.5</v>
      </c>
      <c r="S232" s="1">
        <f ca="1">IFERROR(__xludf.DUMMYFUNCTION("""COMPUTED_VALUE"""),266)</f>
        <v>266</v>
      </c>
      <c r="T232" s="1" t="str">
        <f ca="1">IFERROR(__xludf.DUMMYFUNCTION("""COMPUTED_VALUE"""),"+2.41")</f>
        <v>+2.41</v>
      </c>
      <c r="U232" s="1">
        <f ca="1">IFERROR(__xludf.DUMMYFUNCTION("""COMPUTED_VALUE"""),96)</f>
        <v>96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IFERROR(__xludf.DUMMYFUNCTION("""COMPUTED_VALUE"""),"Samford")</f>
        <v>Samford</v>
      </c>
      <c r="C233" s="1" t="str">
        <f ca="1">IFERROR(__xludf.DUMMYFUNCTION("""COMPUTED_VALUE"""),"SC")</f>
        <v>SC</v>
      </c>
      <c r="D233" s="1" t="str">
        <f ca="1">IFERROR(__xludf.DUMMYFUNCTION("""COMPUTED_VALUE"""),"14-19")</f>
        <v>14-19</v>
      </c>
      <c r="E233" s="1">
        <f ca="1">IFERROR(__xludf.DUMMYFUNCTION("""COMPUTED_VALUE"""),-5.28)</f>
        <v>-5.28</v>
      </c>
      <c r="F233" s="1">
        <f ca="1">IFERROR(__xludf.DUMMYFUNCTION("""COMPUTED_VALUE"""),103)</f>
        <v>103</v>
      </c>
      <c r="G233" s="1">
        <f ca="1">IFERROR(__xludf.DUMMYFUNCTION("""COMPUTED_VALUE"""),202)</f>
        <v>202</v>
      </c>
      <c r="H233" s="1">
        <f ca="1">IFERROR(__xludf.DUMMYFUNCTION("""COMPUTED_VALUE"""),108.2)</f>
        <v>108.2</v>
      </c>
      <c r="I233" s="1">
        <f ca="1">IFERROR(__xludf.DUMMYFUNCTION("""COMPUTED_VALUE"""),238)</f>
        <v>238</v>
      </c>
      <c r="J233" s="1">
        <f ca="1">IFERROR(__xludf.DUMMYFUNCTION("""COMPUTED_VALUE"""),67.9)</f>
        <v>67.900000000000006</v>
      </c>
      <c r="K233" s="1">
        <f ca="1">IFERROR(__xludf.DUMMYFUNCTION("""COMPUTED_VALUE"""),176)</f>
        <v>176</v>
      </c>
      <c r="L233" s="1">
        <f ca="1">IFERROR(__xludf.DUMMYFUNCTION("""COMPUTED_VALUE"""),-0.056)</f>
        <v>-5.6000000000000001E-2</v>
      </c>
      <c r="M233" s="1">
        <f ca="1">IFERROR(__xludf.DUMMYFUNCTION("""COMPUTED_VALUE"""),309)</f>
        <v>309</v>
      </c>
      <c r="N233" s="1">
        <f ca="1">IFERROR(__xludf.DUMMYFUNCTION("""COMPUTED_VALUE"""),-4.16)</f>
        <v>-4.16</v>
      </c>
      <c r="O233" s="1">
        <f ca="1">IFERROR(__xludf.DUMMYFUNCTION("""COMPUTED_VALUE"""),249)</f>
        <v>249</v>
      </c>
      <c r="P233" s="1">
        <f ca="1">IFERROR(__xludf.DUMMYFUNCTION("""COMPUTED_VALUE"""),102.9)</f>
        <v>102.9</v>
      </c>
      <c r="Q233" s="1">
        <f ca="1">IFERROR(__xludf.DUMMYFUNCTION("""COMPUTED_VALUE"""),249)</f>
        <v>249</v>
      </c>
      <c r="R233" s="1">
        <f ca="1">IFERROR(__xludf.DUMMYFUNCTION("""COMPUTED_VALUE"""),107)</f>
        <v>107</v>
      </c>
      <c r="S233" s="1">
        <f ca="1">IFERROR(__xludf.DUMMYFUNCTION("""COMPUTED_VALUE"""),237)</f>
        <v>237</v>
      </c>
      <c r="T233" s="1">
        <f ca="1">IFERROR(__xludf.DUMMYFUNCTION("""COMPUTED_VALUE"""),-3.14)</f>
        <v>-3.14</v>
      </c>
      <c r="U233" s="1">
        <f ca="1">IFERROR(__xludf.DUMMYFUNCTION("""COMPUTED_VALUE"""),260)</f>
        <v>260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IFERROR(__xludf.DUMMYFUNCTION("""COMPUTED_VALUE"""),"Radford")</f>
        <v>Radford</v>
      </c>
      <c r="C234" s="1" t="str">
        <f ca="1">IFERROR(__xludf.DUMMYFUNCTION("""COMPUTED_VALUE"""),"BSth")</f>
        <v>BSth</v>
      </c>
      <c r="D234" s="1" t="str">
        <f ca="1">IFERROR(__xludf.DUMMYFUNCTION("""COMPUTED_VALUE"""),"16-15")</f>
        <v>16-15</v>
      </c>
      <c r="E234" s="1">
        <f ca="1">IFERROR(__xludf.DUMMYFUNCTION("""COMPUTED_VALUE"""),-5.29)</f>
        <v>-5.29</v>
      </c>
      <c r="F234" s="1">
        <f ca="1">IFERROR(__xludf.DUMMYFUNCTION("""COMPUTED_VALUE"""),104.2)</f>
        <v>104.2</v>
      </c>
      <c r="G234" s="1">
        <f ca="1">IFERROR(__xludf.DUMMYFUNCTION("""COMPUTED_VALUE"""),178)</f>
        <v>178</v>
      </c>
      <c r="H234" s="1">
        <f ca="1">IFERROR(__xludf.DUMMYFUNCTION("""COMPUTED_VALUE"""),109.5)</f>
        <v>109.5</v>
      </c>
      <c r="I234" s="1">
        <f ca="1">IFERROR(__xludf.DUMMYFUNCTION("""COMPUTED_VALUE"""),265)</f>
        <v>265</v>
      </c>
      <c r="J234" s="1">
        <f ca="1">IFERROR(__xludf.DUMMYFUNCTION("""COMPUTED_VALUE"""),65.8)</f>
        <v>65.8</v>
      </c>
      <c r="K234" s="1">
        <f ca="1">IFERROR(__xludf.DUMMYFUNCTION("""COMPUTED_VALUE"""),290)</f>
        <v>290</v>
      </c>
      <c r="L234" s="1" t="str">
        <f ca="1">IFERROR(__xludf.DUMMYFUNCTION("""COMPUTED_VALUE"""),"+.053")</f>
        <v>+.053</v>
      </c>
      <c r="M234" s="1">
        <f ca="1">IFERROR(__xludf.DUMMYFUNCTION("""COMPUTED_VALUE"""),55)</f>
        <v>55</v>
      </c>
      <c r="N234" s="1">
        <f ca="1">IFERROR(__xludf.DUMMYFUNCTION("""COMPUTED_VALUE"""),-3.36)</f>
        <v>-3.36</v>
      </c>
      <c r="O234" s="1">
        <f ca="1">IFERROR(__xludf.DUMMYFUNCTION("""COMPUTED_VALUE"""),223)</f>
        <v>223</v>
      </c>
      <c r="P234" s="1">
        <f ca="1">IFERROR(__xludf.DUMMYFUNCTION("""COMPUTED_VALUE"""),103)</f>
        <v>103</v>
      </c>
      <c r="Q234" s="1">
        <f ca="1">IFERROR(__xludf.DUMMYFUNCTION("""COMPUTED_VALUE"""),243)</f>
        <v>243</v>
      </c>
      <c r="R234" s="1">
        <f ca="1">IFERROR(__xludf.DUMMYFUNCTION("""COMPUTED_VALUE"""),106.3)</f>
        <v>106.3</v>
      </c>
      <c r="S234" s="1">
        <f ca="1">IFERROR(__xludf.DUMMYFUNCTION("""COMPUTED_VALUE"""),208)</f>
        <v>208</v>
      </c>
      <c r="T234" s="1" t="str">
        <f ca="1">IFERROR(__xludf.DUMMYFUNCTION("""COMPUTED_VALUE"""),"+4.47")</f>
        <v>+4.47</v>
      </c>
      <c r="U234" s="1">
        <f ca="1">IFERROR(__xludf.DUMMYFUNCTION("""COMPUTED_VALUE"""),47)</f>
        <v>47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IFERROR(__xludf.DUMMYFUNCTION("""COMPUTED_VALUE"""),"Rider")</f>
        <v>Rider</v>
      </c>
      <c r="C235" s="1" t="str">
        <f ca="1">IFERROR(__xludf.DUMMYFUNCTION("""COMPUTED_VALUE"""),"MAAC")</f>
        <v>MAAC</v>
      </c>
      <c r="D235" s="1" t="str">
        <f ca="1">IFERROR(__xludf.DUMMYFUNCTION("""COMPUTED_VALUE"""),"13-20")</f>
        <v>13-20</v>
      </c>
      <c r="E235" s="1">
        <f ca="1">IFERROR(__xludf.DUMMYFUNCTION("""COMPUTED_VALUE"""),-5.33)</f>
        <v>-5.33</v>
      </c>
      <c r="F235" s="1">
        <f ca="1">IFERROR(__xludf.DUMMYFUNCTION("""COMPUTED_VALUE"""),99.3)</f>
        <v>99.3</v>
      </c>
      <c r="G235" s="1">
        <f ca="1">IFERROR(__xludf.DUMMYFUNCTION("""COMPUTED_VALUE"""),278)</f>
        <v>278</v>
      </c>
      <c r="H235" s="1">
        <f ca="1">IFERROR(__xludf.DUMMYFUNCTION("""COMPUTED_VALUE"""),104.7)</f>
        <v>104.7</v>
      </c>
      <c r="I235" s="1">
        <f ca="1">IFERROR(__xludf.DUMMYFUNCTION("""COMPUTED_VALUE"""),176)</f>
        <v>176</v>
      </c>
      <c r="J235" s="1">
        <f ca="1">IFERROR(__xludf.DUMMYFUNCTION("""COMPUTED_VALUE"""),64.3)</f>
        <v>64.3</v>
      </c>
      <c r="K235" s="1">
        <f ca="1">IFERROR(__xludf.DUMMYFUNCTION("""COMPUTED_VALUE"""),330)</f>
        <v>330</v>
      </c>
      <c r="L235" s="1">
        <f ca="1">IFERROR(__xludf.DUMMYFUNCTION("""COMPUTED_VALUE"""),-0.06)</f>
        <v>-0.06</v>
      </c>
      <c r="M235" s="1">
        <f ca="1">IFERROR(__xludf.DUMMYFUNCTION("""COMPUTED_VALUE"""),315)</f>
        <v>315</v>
      </c>
      <c r="N235" s="1">
        <f ca="1">IFERROR(__xludf.DUMMYFUNCTION("""COMPUTED_VALUE"""),-3.86)</f>
        <v>-3.86</v>
      </c>
      <c r="O235" s="1">
        <f ca="1">IFERROR(__xludf.DUMMYFUNCTION("""COMPUTED_VALUE"""),234)</f>
        <v>234</v>
      </c>
      <c r="P235" s="1">
        <f ca="1">IFERROR(__xludf.DUMMYFUNCTION("""COMPUTED_VALUE"""),102.1)</f>
        <v>102.1</v>
      </c>
      <c r="Q235" s="1">
        <f ca="1">IFERROR(__xludf.DUMMYFUNCTION("""COMPUTED_VALUE"""),278)</f>
        <v>278</v>
      </c>
      <c r="R235" s="1">
        <f ca="1">IFERROR(__xludf.DUMMYFUNCTION("""COMPUTED_VALUE"""),106)</f>
        <v>106</v>
      </c>
      <c r="S235" s="1">
        <f ca="1">IFERROR(__xludf.DUMMYFUNCTION("""COMPUTED_VALUE"""),198)</f>
        <v>198</v>
      </c>
      <c r="T235" s="1">
        <f ca="1">IFERROR(__xludf.DUMMYFUNCTION("""COMPUTED_VALUE"""),-1.89)</f>
        <v>-1.89</v>
      </c>
      <c r="U235" s="1">
        <f ca="1">IFERROR(__xludf.DUMMYFUNCTION("""COMPUTED_VALUE"""),221)</f>
        <v>221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IFERROR(__xludf.DUMMYFUNCTION("""COMPUTED_VALUE"""),"Missouri St.")</f>
        <v>Missouri St.</v>
      </c>
      <c r="C236" s="1" t="str">
        <f ca="1">IFERROR(__xludf.DUMMYFUNCTION("""COMPUTED_VALUE"""),"MVC")</f>
        <v>MVC</v>
      </c>
      <c r="D236" s="1" t="str">
        <f ca="1">IFERROR(__xludf.DUMMYFUNCTION("""COMPUTED_VALUE"""),"13-19")</f>
        <v>13-19</v>
      </c>
      <c r="E236" s="1">
        <f ca="1">IFERROR(__xludf.DUMMYFUNCTION("""COMPUTED_VALUE"""),-5.38)</f>
        <v>-5.38</v>
      </c>
      <c r="F236" s="1">
        <f ca="1">IFERROR(__xludf.DUMMYFUNCTION("""COMPUTED_VALUE"""),100.4)</f>
        <v>100.4</v>
      </c>
      <c r="G236" s="1">
        <f ca="1">IFERROR(__xludf.DUMMYFUNCTION("""COMPUTED_VALUE"""),251)</f>
        <v>251</v>
      </c>
      <c r="H236" s="1">
        <f ca="1">IFERROR(__xludf.DUMMYFUNCTION("""COMPUTED_VALUE"""),105.8)</f>
        <v>105.8</v>
      </c>
      <c r="I236" s="1">
        <f ca="1">IFERROR(__xludf.DUMMYFUNCTION("""COMPUTED_VALUE"""),187)</f>
        <v>187</v>
      </c>
      <c r="J236" s="1">
        <f ca="1">IFERROR(__xludf.DUMMYFUNCTION("""COMPUTED_VALUE"""),68.9)</f>
        <v>68.900000000000006</v>
      </c>
      <c r="K236" s="1">
        <f ca="1">IFERROR(__xludf.DUMMYFUNCTION("""COMPUTED_VALUE"""),125)</f>
        <v>125</v>
      </c>
      <c r="L236" s="1" t="str">
        <f ca="1">IFERROR(__xludf.DUMMYFUNCTION("""COMPUTED_VALUE"""),"+.060")</f>
        <v>+.060</v>
      </c>
      <c r="M236" s="1">
        <f ca="1">IFERROR(__xludf.DUMMYFUNCTION("""COMPUTED_VALUE"""),44)</f>
        <v>44</v>
      </c>
      <c r="N236" s="1" t="str">
        <f ca="1">IFERROR(__xludf.DUMMYFUNCTION("""COMPUTED_VALUE"""),"+1.99")</f>
        <v>+1.99</v>
      </c>
      <c r="O236" s="1">
        <f ca="1">IFERROR(__xludf.DUMMYFUNCTION("""COMPUTED_VALUE"""),111)</f>
        <v>111</v>
      </c>
      <c r="P236" s="1">
        <f ca="1">IFERROR(__xludf.DUMMYFUNCTION("""COMPUTED_VALUE"""),104.3)</f>
        <v>104.3</v>
      </c>
      <c r="Q236" s="1">
        <f ca="1">IFERROR(__xludf.DUMMYFUNCTION("""COMPUTED_VALUE"""),183)</f>
        <v>183</v>
      </c>
      <c r="R236" s="1">
        <f ca="1">IFERROR(__xludf.DUMMYFUNCTION("""COMPUTED_VALUE"""),102.3)</f>
        <v>102.3</v>
      </c>
      <c r="S236" s="1">
        <f ca="1">IFERROR(__xludf.DUMMYFUNCTION("""COMPUTED_VALUE"""),83)</f>
        <v>83</v>
      </c>
      <c r="T236" s="1" t="str">
        <f ca="1">IFERROR(__xludf.DUMMYFUNCTION("""COMPUTED_VALUE"""),"+2.12")</f>
        <v>+2.12</v>
      </c>
      <c r="U236" s="1">
        <f ca="1">IFERROR(__xludf.DUMMYFUNCTION("""COMPUTED_VALUE"""),103)</f>
        <v>103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IFERROR(__xludf.DUMMYFUNCTION("""COMPUTED_VALUE"""),"Boston College")</f>
        <v>Boston College</v>
      </c>
      <c r="C237" s="1" t="str">
        <f ca="1">IFERROR(__xludf.DUMMYFUNCTION("""COMPUTED_VALUE"""),"ACC")</f>
        <v>ACC</v>
      </c>
      <c r="D237" s="2">
        <f ca="1">IFERROR(__xludf.DUMMYFUNCTION("""COMPUTED_VALUE"""),44767)</f>
        <v>44767</v>
      </c>
      <c r="E237" s="1">
        <f ca="1">IFERROR(__xludf.DUMMYFUNCTION("""COMPUTED_VALUE"""),-5.56)</f>
        <v>-5.56</v>
      </c>
      <c r="F237" s="1">
        <f ca="1">IFERROR(__xludf.DUMMYFUNCTION("""COMPUTED_VALUE"""),95.3)</f>
        <v>95.3</v>
      </c>
      <c r="G237" s="1">
        <f ca="1">IFERROR(__xludf.DUMMYFUNCTION("""COMPUTED_VALUE"""),320)</f>
        <v>320</v>
      </c>
      <c r="H237" s="1">
        <f ca="1">IFERROR(__xludf.DUMMYFUNCTION("""COMPUTED_VALUE"""),100.8)</f>
        <v>100.8</v>
      </c>
      <c r="I237" s="1">
        <f ca="1">IFERROR(__xludf.DUMMYFUNCTION("""COMPUTED_VALUE"""),100)</f>
        <v>100</v>
      </c>
      <c r="J237" s="1">
        <f ca="1">IFERROR(__xludf.DUMMYFUNCTION("""COMPUTED_VALUE"""),66.7)</f>
        <v>66.7</v>
      </c>
      <c r="K237" s="1">
        <f ca="1">IFERROR(__xludf.DUMMYFUNCTION("""COMPUTED_VALUE"""),246)</f>
        <v>246</v>
      </c>
      <c r="L237" s="1">
        <f ca="1">IFERROR(__xludf.DUMMYFUNCTION("""COMPUTED_VALUE"""),-0.058)</f>
        <v>-5.8000000000000003E-2</v>
      </c>
      <c r="M237" s="1">
        <f ca="1">IFERROR(__xludf.DUMMYFUNCTION("""COMPUTED_VALUE"""),313)</f>
        <v>313</v>
      </c>
      <c r="N237" s="1" t="str">
        <f ca="1">IFERROR(__xludf.DUMMYFUNCTION("""COMPUTED_VALUE"""),"+8.89")</f>
        <v>+8.89</v>
      </c>
      <c r="O237" s="1">
        <f ca="1">IFERROR(__xludf.DUMMYFUNCTION("""COMPUTED_VALUE"""),37)</f>
        <v>37</v>
      </c>
      <c r="P237" s="1">
        <f ca="1">IFERROR(__xludf.DUMMYFUNCTION("""COMPUTED_VALUE"""),110.3)</f>
        <v>110.3</v>
      </c>
      <c r="Q237" s="1">
        <f ca="1">IFERROR(__xludf.DUMMYFUNCTION("""COMPUTED_VALUE"""),25)</f>
        <v>25</v>
      </c>
      <c r="R237" s="1">
        <f ca="1">IFERROR(__xludf.DUMMYFUNCTION("""COMPUTED_VALUE"""),101.4)</f>
        <v>101.4</v>
      </c>
      <c r="S237" s="1">
        <f ca="1">IFERROR(__xludf.DUMMYFUNCTION("""COMPUTED_VALUE"""),55)</f>
        <v>55</v>
      </c>
      <c r="T237" s="1">
        <f ca="1">IFERROR(__xludf.DUMMYFUNCTION("""COMPUTED_VALUE"""),-7.93)</f>
        <v>-7.93</v>
      </c>
      <c r="U237" s="1">
        <f ca="1">IFERROR(__xludf.DUMMYFUNCTION("""COMPUTED_VALUE"""),334)</f>
        <v>334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IFERROR(__xludf.DUMMYFUNCTION("""COMPUTED_VALUE"""),"Saint Louis")</f>
        <v>Saint Louis</v>
      </c>
      <c r="C238" s="1" t="str">
        <f ca="1">IFERROR(__xludf.DUMMYFUNCTION("""COMPUTED_VALUE"""),"A10")</f>
        <v>A10</v>
      </c>
      <c r="D238" s="2">
        <f ca="1">IFERROR(__xludf.DUMMYFUNCTION("""COMPUTED_VALUE"""),44886)</f>
        <v>44886</v>
      </c>
      <c r="E238" s="1">
        <f ca="1">IFERROR(__xludf.DUMMYFUNCTION("""COMPUTED_VALUE"""),-5.56)</f>
        <v>-5.56</v>
      </c>
      <c r="F238" s="1">
        <f ca="1">IFERROR(__xludf.DUMMYFUNCTION("""COMPUTED_VALUE"""),96.9)</f>
        <v>96.9</v>
      </c>
      <c r="G238" s="1">
        <f ca="1">IFERROR(__xludf.DUMMYFUNCTION("""COMPUTED_VALUE"""),310)</f>
        <v>310</v>
      </c>
      <c r="H238" s="1">
        <f ca="1">IFERROR(__xludf.DUMMYFUNCTION("""COMPUTED_VALUE"""),102.4)</f>
        <v>102.4</v>
      </c>
      <c r="I238" s="1">
        <f ca="1">IFERROR(__xludf.DUMMYFUNCTION("""COMPUTED_VALUE"""),126)</f>
        <v>126</v>
      </c>
      <c r="J238" s="1">
        <f ca="1">IFERROR(__xludf.DUMMYFUNCTION("""COMPUTED_VALUE"""),69)</f>
        <v>69</v>
      </c>
      <c r="K238" s="1">
        <f ca="1">IFERROR(__xludf.DUMMYFUNCTION("""COMPUTED_VALUE"""),117)</f>
        <v>117</v>
      </c>
      <c r="L238" s="1" t="str">
        <f ca="1">IFERROR(__xludf.DUMMYFUNCTION("""COMPUTED_VALUE"""),"+.018")</f>
        <v>+.018</v>
      </c>
      <c r="M238" s="1">
        <f ca="1">IFERROR(__xludf.DUMMYFUNCTION("""COMPUTED_VALUE"""),126)</f>
        <v>126</v>
      </c>
      <c r="N238" s="1" t="str">
        <f ca="1">IFERROR(__xludf.DUMMYFUNCTION("""COMPUTED_VALUE"""),"+2.28")</f>
        <v>+2.28</v>
      </c>
      <c r="O238" s="1">
        <f ca="1">IFERROR(__xludf.DUMMYFUNCTION("""COMPUTED_VALUE"""),107)</f>
        <v>107</v>
      </c>
      <c r="P238" s="1">
        <f ca="1">IFERROR(__xludf.DUMMYFUNCTION("""COMPUTED_VALUE"""),106.1)</f>
        <v>106.1</v>
      </c>
      <c r="Q238" s="1">
        <f ca="1">IFERROR(__xludf.DUMMYFUNCTION("""COMPUTED_VALUE"""),106)</f>
        <v>106</v>
      </c>
      <c r="R238" s="1">
        <f ca="1">IFERROR(__xludf.DUMMYFUNCTION("""COMPUTED_VALUE"""),103.8)</f>
        <v>103.8</v>
      </c>
      <c r="S238" s="1">
        <f ca="1">IFERROR(__xludf.DUMMYFUNCTION("""COMPUTED_VALUE"""),120)</f>
        <v>120</v>
      </c>
      <c r="T238" s="1">
        <f ca="1">IFERROR(__xludf.DUMMYFUNCTION("""COMPUTED_VALUE"""),-4.44)</f>
        <v>-4.4400000000000004</v>
      </c>
      <c r="U238" s="1">
        <f ca="1">IFERROR(__xludf.DUMMYFUNCTION("""COMPUTED_VALUE"""),290)</f>
        <v>290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IFERROR(__xludf.DUMMYFUNCTION("""COMPUTED_VALUE"""),"Pacific")</f>
        <v>Pacific</v>
      </c>
      <c r="C239" s="1" t="str">
        <f ca="1">IFERROR(__xludf.DUMMYFUNCTION("""COMPUTED_VALUE"""),"WCC")</f>
        <v>WCC</v>
      </c>
      <c r="D239" s="2">
        <f ca="1">IFERROR(__xludf.DUMMYFUNCTION("""COMPUTED_VALUE"""),44793)</f>
        <v>44793</v>
      </c>
      <c r="E239" s="1">
        <f ca="1">IFERROR(__xludf.DUMMYFUNCTION("""COMPUTED_VALUE"""),-5.63)</f>
        <v>-5.63</v>
      </c>
      <c r="F239" s="1">
        <f ca="1">IFERROR(__xludf.DUMMYFUNCTION("""COMPUTED_VALUE"""),100.6)</f>
        <v>100.6</v>
      </c>
      <c r="G239" s="1">
        <f ca="1">IFERROR(__xludf.DUMMYFUNCTION("""COMPUTED_VALUE"""),245)</f>
        <v>245</v>
      </c>
      <c r="H239" s="1">
        <f ca="1">IFERROR(__xludf.DUMMYFUNCTION("""COMPUTED_VALUE"""),106.3)</f>
        <v>106.3</v>
      </c>
      <c r="I239" s="1">
        <f ca="1">IFERROR(__xludf.DUMMYFUNCTION("""COMPUTED_VALUE"""),199)</f>
        <v>199</v>
      </c>
      <c r="J239" s="1">
        <f ca="1">IFERROR(__xludf.DUMMYFUNCTION("""COMPUTED_VALUE"""),66.5)</f>
        <v>66.5</v>
      </c>
      <c r="K239" s="1">
        <f ca="1">IFERROR(__xludf.DUMMYFUNCTION("""COMPUTED_VALUE"""),256)</f>
        <v>256</v>
      </c>
      <c r="L239" s="1">
        <f ca="1">IFERROR(__xludf.DUMMYFUNCTION("""COMPUTED_VALUE"""),-0.006)</f>
        <v>-6.0000000000000001E-3</v>
      </c>
      <c r="M239" s="1">
        <f ca="1">IFERROR(__xludf.DUMMYFUNCTION("""COMPUTED_VALUE"""),193)</f>
        <v>193</v>
      </c>
      <c r="N239" s="1" t="str">
        <f ca="1">IFERROR(__xludf.DUMMYFUNCTION("""COMPUTED_VALUE"""),"+1.94")</f>
        <v>+1.94</v>
      </c>
      <c r="O239" s="1">
        <f ca="1">IFERROR(__xludf.DUMMYFUNCTION("""COMPUTED_VALUE"""),112)</f>
        <v>112</v>
      </c>
      <c r="P239" s="1">
        <f ca="1">IFERROR(__xludf.DUMMYFUNCTION("""COMPUTED_VALUE"""),106.8)</f>
        <v>106.8</v>
      </c>
      <c r="Q239" s="1">
        <f ca="1">IFERROR(__xludf.DUMMYFUNCTION("""COMPUTED_VALUE"""),87)</f>
        <v>87</v>
      </c>
      <c r="R239" s="1">
        <f ca="1">IFERROR(__xludf.DUMMYFUNCTION("""COMPUTED_VALUE"""),104.9)</f>
        <v>104.9</v>
      </c>
      <c r="S239" s="1">
        <f ca="1">IFERROR(__xludf.DUMMYFUNCTION("""COMPUTED_VALUE"""),150)</f>
        <v>150</v>
      </c>
      <c r="T239" s="1" t="str">
        <f ca="1">IFERROR(__xludf.DUMMYFUNCTION("""COMPUTED_VALUE"""),"+2.42")</f>
        <v>+2.42</v>
      </c>
      <c r="U239" s="1">
        <f ca="1">IFERROR(__xludf.DUMMYFUNCTION("""COMPUTED_VALUE"""),95)</f>
        <v>95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IFERROR(__xludf.DUMMYFUNCTION("""COMPUTED_VALUE"""),"FIU")</f>
        <v>FIU</v>
      </c>
      <c r="C240" s="1" t="str">
        <f ca="1">IFERROR(__xludf.DUMMYFUNCTION("""COMPUTED_VALUE"""),"CUSA")</f>
        <v>CUSA</v>
      </c>
      <c r="D240" s="1" t="str">
        <f ca="1">IFERROR(__xludf.DUMMYFUNCTION("""COMPUTED_VALUE"""),"13-19")</f>
        <v>13-19</v>
      </c>
      <c r="E240" s="1">
        <f ca="1">IFERROR(__xludf.DUMMYFUNCTION("""COMPUTED_VALUE"""),-5.67)</f>
        <v>-5.67</v>
      </c>
      <c r="F240" s="1">
        <f ca="1">IFERROR(__xludf.DUMMYFUNCTION("""COMPUTED_VALUE"""),103.2)</f>
        <v>103.2</v>
      </c>
      <c r="G240" s="1">
        <f ca="1">IFERROR(__xludf.DUMMYFUNCTION("""COMPUTED_VALUE"""),199)</f>
        <v>199</v>
      </c>
      <c r="H240" s="1">
        <f ca="1">IFERROR(__xludf.DUMMYFUNCTION("""COMPUTED_VALUE"""),108.8)</f>
        <v>108.8</v>
      </c>
      <c r="I240" s="1">
        <f ca="1">IFERROR(__xludf.DUMMYFUNCTION("""COMPUTED_VALUE"""),252)</f>
        <v>252</v>
      </c>
      <c r="J240" s="1">
        <f ca="1">IFERROR(__xludf.DUMMYFUNCTION("""COMPUTED_VALUE"""),65.3)</f>
        <v>65.3</v>
      </c>
      <c r="K240" s="1">
        <f ca="1">IFERROR(__xludf.DUMMYFUNCTION("""COMPUTED_VALUE"""),307)</f>
        <v>307</v>
      </c>
      <c r="L240" s="1">
        <f ca="1">IFERROR(__xludf.DUMMYFUNCTION("""COMPUTED_VALUE"""),-0.127)</f>
        <v>-0.127</v>
      </c>
      <c r="M240" s="1">
        <f ca="1">IFERROR(__xludf.DUMMYFUNCTION("""COMPUTED_VALUE"""),351)</f>
        <v>351</v>
      </c>
      <c r="N240" s="1">
        <f ca="1">IFERROR(__xludf.DUMMYFUNCTION("""COMPUTED_VALUE"""),-5.6)</f>
        <v>-5.6</v>
      </c>
      <c r="O240" s="1">
        <f ca="1">IFERROR(__xludf.DUMMYFUNCTION("""COMPUTED_VALUE"""),281)</f>
        <v>281</v>
      </c>
      <c r="P240" s="1">
        <f ca="1">IFERROR(__xludf.DUMMYFUNCTION("""COMPUTED_VALUE"""),102.5)</f>
        <v>102.5</v>
      </c>
      <c r="Q240" s="1">
        <f ca="1">IFERROR(__xludf.DUMMYFUNCTION("""COMPUTED_VALUE"""),259)</f>
        <v>259</v>
      </c>
      <c r="R240" s="1">
        <f ca="1">IFERROR(__xludf.DUMMYFUNCTION("""COMPUTED_VALUE"""),108.2)</f>
        <v>108.2</v>
      </c>
      <c r="S240" s="1">
        <f ca="1">IFERROR(__xludf.DUMMYFUNCTION("""COMPUTED_VALUE"""),301)</f>
        <v>301</v>
      </c>
      <c r="T240" s="1">
        <f ca="1">IFERROR(__xludf.DUMMYFUNCTION("""COMPUTED_VALUE"""),-6.46)</f>
        <v>-6.46</v>
      </c>
      <c r="U240" s="1">
        <f ca="1">IFERROR(__xludf.DUMMYFUNCTION("""COMPUTED_VALUE"""),316)</f>
        <v>316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IFERROR(__xludf.DUMMYFUNCTION("""COMPUTED_VALUE"""),"Southern16")</f>
        <v>Southern16</v>
      </c>
      <c r="C241" s="1" t="str">
        <f ca="1">IFERROR(__xludf.DUMMYFUNCTION("""COMPUTED_VALUE"""),"SWAC")</f>
        <v>SWAC</v>
      </c>
      <c r="D241" s="1" t="str">
        <f ca="1">IFERROR(__xludf.DUMMYFUNCTION("""COMPUTED_VALUE"""),"22-13")</f>
        <v>22-13</v>
      </c>
      <c r="E241" s="1">
        <f ca="1">IFERROR(__xludf.DUMMYFUNCTION("""COMPUTED_VALUE"""),-5.75)</f>
        <v>-5.75</v>
      </c>
      <c r="F241" s="1">
        <f ca="1">IFERROR(__xludf.DUMMYFUNCTION("""COMPUTED_VALUE"""),100.5)</f>
        <v>100.5</v>
      </c>
      <c r="G241" s="1">
        <f ca="1">IFERROR(__xludf.DUMMYFUNCTION("""COMPUTED_VALUE"""),248)</f>
        <v>248</v>
      </c>
      <c r="H241" s="1">
        <f ca="1">IFERROR(__xludf.DUMMYFUNCTION("""COMPUTED_VALUE"""),106.3)</f>
        <v>106.3</v>
      </c>
      <c r="I241" s="1">
        <f ca="1">IFERROR(__xludf.DUMMYFUNCTION("""COMPUTED_VALUE"""),198)</f>
        <v>198</v>
      </c>
      <c r="J241" s="1">
        <f ca="1">IFERROR(__xludf.DUMMYFUNCTION("""COMPUTED_VALUE"""),68.9)</f>
        <v>68.900000000000006</v>
      </c>
      <c r="K241" s="1">
        <f ca="1">IFERROR(__xludf.DUMMYFUNCTION("""COMPUTED_VALUE"""),126)</f>
        <v>126</v>
      </c>
      <c r="L241" s="1" t="str">
        <f ca="1">IFERROR(__xludf.DUMMYFUNCTION("""COMPUTED_VALUE"""),"+.040")</f>
        <v>+.040</v>
      </c>
      <c r="M241" s="1">
        <f ca="1">IFERROR(__xludf.DUMMYFUNCTION("""COMPUTED_VALUE"""),83)</f>
        <v>83</v>
      </c>
      <c r="N241" s="1">
        <f ca="1">IFERROR(__xludf.DUMMYFUNCTION("""COMPUTED_VALUE"""),-8.52)</f>
        <v>-8.52</v>
      </c>
      <c r="O241" s="1">
        <f ca="1">IFERROR(__xludf.DUMMYFUNCTION("""COMPUTED_VALUE"""),332)</f>
        <v>332</v>
      </c>
      <c r="P241" s="1">
        <f ca="1">IFERROR(__xludf.DUMMYFUNCTION("""COMPUTED_VALUE"""),99.1)</f>
        <v>99.1</v>
      </c>
      <c r="Q241" s="1">
        <f ca="1">IFERROR(__xludf.DUMMYFUNCTION("""COMPUTED_VALUE"""),340)</f>
        <v>340</v>
      </c>
      <c r="R241" s="1">
        <f ca="1">IFERROR(__xludf.DUMMYFUNCTION("""COMPUTED_VALUE"""),107.6)</f>
        <v>107.6</v>
      </c>
      <c r="S241" s="1">
        <f ca="1">IFERROR(__xludf.DUMMYFUNCTION("""COMPUTED_VALUE"""),273)</f>
        <v>273</v>
      </c>
      <c r="T241" s="1" t="str">
        <f ca="1">IFERROR(__xludf.DUMMYFUNCTION("""COMPUTED_VALUE"""),"+3.49")</f>
        <v>+3.49</v>
      </c>
      <c r="U241" s="1">
        <f ca="1">IFERROR(__xludf.DUMMYFUNCTION("""COMPUTED_VALUE"""),70)</f>
        <v>70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IFERROR(__xludf.DUMMYFUNCTION("""COMPUTED_VALUE"""),"Bowling Green")</f>
        <v>Bowling Green</v>
      </c>
      <c r="C242" s="1" t="str">
        <f ca="1">IFERROR(__xludf.DUMMYFUNCTION("""COMPUTED_VALUE"""),"MAC")</f>
        <v>MAC</v>
      </c>
      <c r="D242" s="1" t="str">
        <f ca="1">IFERROR(__xludf.DUMMYFUNCTION("""COMPUTED_VALUE"""),"16-18")</f>
        <v>16-18</v>
      </c>
      <c r="E242" s="1">
        <f ca="1">IFERROR(__xludf.DUMMYFUNCTION("""COMPUTED_VALUE"""),-5.78)</f>
        <v>-5.78</v>
      </c>
      <c r="F242" s="1">
        <f ca="1">IFERROR(__xludf.DUMMYFUNCTION("""COMPUTED_VALUE"""),100.9)</f>
        <v>100.9</v>
      </c>
      <c r="G242" s="1">
        <f ca="1">IFERROR(__xludf.DUMMYFUNCTION("""COMPUTED_VALUE"""),239)</f>
        <v>239</v>
      </c>
      <c r="H242" s="1">
        <f ca="1">IFERROR(__xludf.DUMMYFUNCTION("""COMPUTED_VALUE"""),106.7)</f>
        <v>106.7</v>
      </c>
      <c r="I242" s="1">
        <f ca="1">IFERROR(__xludf.DUMMYFUNCTION("""COMPUTED_VALUE"""),205)</f>
        <v>205</v>
      </c>
      <c r="J242" s="1">
        <f ca="1">IFERROR(__xludf.DUMMYFUNCTION("""COMPUTED_VALUE"""),68.3)</f>
        <v>68.3</v>
      </c>
      <c r="K242" s="1">
        <f ca="1">IFERROR(__xludf.DUMMYFUNCTION("""COMPUTED_VALUE"""),156)</f>
        <v>156</v>
      </c>
      <c r="L242" s="1" t="str">
        <f ca="1">IFERROR(__xludf.DUMMYFUNCTION("""COMPUTED_VALUE"""),"+.037")</f>
        <v>+.037</v>
      </c>
      <c r="M242" s="1">
        <f ca="1">IFERROR(__xludf.DUMMYFUNCTION("""COMPUTED_VALUE"""),87)</f>
        <v>87</v>
      </c>
      <c r="N242" s="1">
        <f ca="1">IFERROR(__xludf.DUMMYFUNCTION("""COMPUTED_VALUE"""),-1.5)</f>
        <v>-1.5</v>
      </c>
      <c r="O242" s="1">
        <f ca="1">IFERROR(__xludf.DUMMYFUNCTION("""COMPUTED_VALUE"""),185)</f>
        <v>185</v>
      </c>
      <c r="P242" s="1">
        <f ca="1">IFERROR(__xludf.DUMMYFUNCTION("""COMPUTED_VALUE"""),104.7)</f>
        <v>104.7</v>
      </c>
      <c r="Q242" s="1">
        <f ca="1">IFERROR(__xludf.DUMMYFUNCTION("""COMPUTED_VALUE"""),163)</f>
        <v>163</v>
      </c>
      <c r="R242" s="1">
        <f ca="1">IFERROR(__xludf.DUMMYFUNCTION("""COMPUTED_VALUE"""),106.2)</f>
        <v>106.2</v>
      </c>
      <c r="S242" s="1">
        <f ca="1">IFERROR(__xludf.DUMMYFUNCTION("""COMPUTED_VALUE"""),204)</f>
        <v>204</v>
      </c>
      <c r="T242" s="1">
        <f ca="1">IFERROR(__xludf.DUMMYFUNCTION("""COMPUTED_VALUE"""),-6.54)</f>
        <v>-6.54</v>
      </c>
      <c r="U242" s="1">
        <f ca="1">IFERROR(__xludf.DUMMYFUNCTION("""COMPUTED_VALUE"""),319)</f>
        <v>319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IFERROR(__xludf.DUMMYFUNCTION("""COMPUTED_VALUE"""),"Boston University")</f>
        <v>Boston University</v>
      </c>
      <c r="C243" s="1" t="str">
        <f ca="1">IFERROR(__xludf.DUMMYFUNCTION("""COMPUTED_VALUE"""),"Pat")</f>
        <v>Pat</v>
      </c>
      <c r="D243" s="1" t="str">
        <f ca="1">IFERROR(__xludf.DUMMYFUNCTION("""COMPUTED_VALUE"""),"19-15")</f>
        <v>19-15</v>
      </c>
      <c r="E243" s="1">
        <f ca="1">IFERROR(__xludf.DUMMYFUNCTION("""COMPUTED_VALUE"""),-5.88)</f>
        <v>-5.88</v>
      </c>
      <c r="F243" s="1">
        <f ca="1">IFERROR(__xludf.DUMMYFUNCTION("""COMPUTED_VALUE"""),102.8)</f>
        <v>102.8</v>
      </c>
      <c r="G243" s="1">
        <f ca="1">IFERROR(__xludf.DUMMYFUNCTION("""COMPUTED_VALUE"""),205)</f>
        <v>205</v>
      </c>
      <c r="H243" s="1">
        <f ca="1">IFERROR(__xludf.DUMMYFUNCTION("""COMPUTED_VALUE"""),108.7)</f>
        <v>108.7</v>
      </c>
      <c r="I243" s="1">
        <f ca="1">IFERROR(__xludf.DUMMYFUNCTION("""COMPUTED_VALUE"""),251)</f>
        <v>251</v>
      </c>
      <c r="J243" s="1">
        <f ca="1">IFERROR(__xludf.DUMMYFUNCTION("""COMPUTED_VALUE"""),69.7)</f>
        <v>69.7</v>
      </c>
      <c r="K243" s="1">
        <f ca="1">IFERROR(__xludf.DUMMYFUNCTION("""COMPUTED_VALUE"""),90)</f>
        <v>90</v>
      </c>
      <c r="L243" s="1" t="str">
        <f ca="1">IFERROR(__xludf.DUMMYFUNCTION("""COMPUTED_VALUE"""),"+.051")</f>
        <v>+.051</v>
      </c>
      <c r="M243" s="1">
        <f ca="1">IFERROR(__xludf.DUMMYFUNCTION("""COMPUTED_VALUE"""),58)</f>
        <v>58</v>
      </c>
      <c r="N243" s="1">
        <f ca="1">IFERROR(__xludf.DUMMYFUNCTION("""COMPUTED_VALUE"""),-6.41)</f>
        <v>-6.41</v>
      </c>
      <c r="O243" s="1">
        <f ca="1">IFERROR(__xludf.DUMMYFUNCTION("""COMPUTED_VALUE"""),301)</f>
        <v>301</v>
      </c>
      <c r="P243" s="1">
        <f ca="1">IFERROR(__xludf.DUMMYFUNCTION("""COMPUTED_VALUE"""),100.9)</f>
        <v>100.9</v>
      </c>
      <c r="Q243" s="1">
        <f ca="1">IFERROR(__xludf.DUMMYFUNCTION("""COMPUTED_VALUE"""),312)</f>
        <v>312</v>
      </c>
      <c r="R243" s="1">
        <f ca="1">IFERROR(__xludf.DUMMYFUNCTION("""COMPUTED_VALUE"""),107.3)</f>
        <v>107.3</v>
      </c>
      <c r="S243" s="1">
        <f ca="1">IFERROR(__xludf.DUMMYFUNCTION("""COMPUTED_VALUE"""),252)</f>
        <v>252</v>
      </c>
      <c r="T243" s="1">
        <f ca="1">IFERROR(__xludf.DUMMYFUNCTION("""COMPUTED_VALUE"""),-2.74)</f>
        <v>-2.74</v>
      </c>
      <c r="U243" s="1">
        <f ca="1">IFERROR(__xludf.DUMMYFUNCTION("""COMPUTED_VALUE"""),241)</f>
        <v>241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IFERROR(__xludf.DUMMYFUNCTION("""COMPUTED_VALUE"""),"Western Illinois")</f>
        <v>Western Illinois</v>
      </c>
      <c r="C244" s="1" t="str">
        <f ca="1">IFERROR(__xludf.DUMMYFUNCTION("""COMPUTED_VALUE"""),"Sum")</f>
        <v>Sum</v>
      </c>
      <c r="D244" s="2">
        <f ca="1">IFERROR(__xludf.DUMMYFUNCTION("""COMPUTED_VALUE"""),44851)</f>
        <v>44851</v>
      </c>
      <c r="E244" s="1">
        <f ca="1">IFERROR(__xludf.DUMMYFUNCTION("""COMPUTED_VALUE"""),-5.91)</f>
        <v>-5.91</v>
      </c>
      <c r="F244" s="1">
        <f ca="1">IFERROR(__xludf.DUMMYFUNCTION("""COMPUTED_VALUE"""),101.2)</f>
        <v>101.2</v>
      </c>
      <c r="G244" s="1">
        <f ca="1">IFERROR(__xludf.DUMMYFUNCTION("""COMPUTED_VALUE"""),236)</f>
        <v>236</v>
      </c>
      <c r="H244" s="1">
        <f ca="1">IFERROR(__xludf.DUMMYFUNCTION("""COMPUTED_VALUE"""),107.1)</f>
        <v>107.1</v>
      </c>
      <c r="I244" s="1">
        <f ca="1">IFERROR(__xludf.DUMMYFUNCTION("""COMPUTED_VALUE"""),214)</f>
        <v>214</v>
      </c>
      <c r="J244" s="1">
        <f ca="1">IFERROR(__xludf.DUMMYFUNCTION("""COMPUTED_VALUE"""),67.8)</f>
        <v>67.8</v>
      </c>
      <c r="K244" s="1">
        <f ca="1">IFERROR(__xludf.DUMMYFUNCTION("""COMPUTED_VALUE"""),189)</f>
        <v>189</v>
      </c>
      <c r="L244" s="1">
        <f ca="1">IFERROR(__xludf.DUMMYFUNCTION("""COMPUTED_VALUE"""),-0.069)</f>
        <v>-6.9000000000000006E-2</v>
      </c>
      <c r="M244" s="1">
        <f ca="1">IFERROR(__xludf.DUMMYFUNCTION("""COMPUTED_VALUE"""),325)</f>
        <v>325</v>
      </c>
      <c r="N244" s="1" t="str">
        <f ca="1">IFERROR(__xludf.DUMMYFUNCTION("""COMPUTED_VALUE"""),"+0.07")</f>
        <v>+0.07</v>
      </c>
      <c r="O244" s="1">
        <f ca="1">IFERROR(__xludf.DUMMYFUNCTION("""COMPUTED_VALUE"""),148)</f>
        <v>148</v>
      </c>
      <c r="P244" s="1">
        <f ca="1">IFERROR(__xludf.DUMMYFUNCTION("""COMPUTED_VALUE"""),105.3)</f>
        <v>105.3</v>
      </c>
      <c r="Q244" s="1">
        <f ca="1">IFERROR(__xludf.DUMMYFUNCTION("""COMPUTED_VALUE"""),140)</f>
        <v>140</v>
      </c>
      <c r="R244" s="1">
        <f ca="1">IFERROR(__xludf.DUMMYFUNCTION("""COMPUTED_VALUE"""),105.2)</f>
        <v>105.2</v>
      </c>
      <c r="S244" s="1">
        <f ca="1">IFERROR(__xludf.DUMMYFUNCTION("""COMPUTED_VALUE"""),163)</f>
        <v>163</v>
      </c>
      <c r="T244" s="1" t="str">
        <f ca="1">IFERROR(__xludf.DUMMYFUNCTION("""COMPUTED_VALUE"""),"+0.80")</f>
        <v>+0.80</v>
      </c>
      <c r="U244" s="1">
        <f ca="1">IFERROR(__xludf.DUMMYFUNCTION("""COMPUTED_VALUE"""),146)</f>
        <v>146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IFERROR(__xludf.DUMMYFUNCTION("""COMPUTED_VALUE"""),"UC Riverside")</f>
        <v>UC Riverside</v>
      </c>
      <c r="C245" s="1" t="str">
        <f ca="1">IFERROR(__xludf.DUMMYFUNCTION("""COMPUTED_VALUE"""),"BW")</f>
        <v>BW</v>
      </c>
      <c r="D245" s="1" t="str">
        <f ca="1">IFERROR(__xludf.DUMMYFUNCTION("""COMPUTED_VALUE"""),"14-19")</f>
        <v>14-19</v>
      </c>
      <c r="E245" s="1">
        <f ca="1">IFERROR(__xludf.DUMMYFUNCTION("""COMPUTED_VALUE"""),-5.94)</f>
        <v>-5.94</v>
      </c>
      <c r="F245" s="1">
        <f ca="1">IFERROR(__xludf.DUMMYFUNCTION("""COMPUTED_VALUE"""),100.1)</f>
        <v>100.1</v>
      </c>
      <c r="G245" s="1">
        <f ca="1">IFERROR(__xludf.DUMMYFUNCTION("""COMPUTED_VALUE"""),258)</f>
        <v>258</v>
      </c>
      <c r="H245" s="1">
        <f ca="1">IFERROR(__xludf.DUMMYFUNCTION("""COMPUTED_VALUE"""),106.1)</f>
        <v>106.1</v>
      </c>
      <c r="I245" s="1">
        <f ca="1">IFERROR(__xludf.DUMMYFUNCTION("""COMPUTED_VALUE"""),196)</f>
        <v>196</v>
      </c>
      <c r="J245" s="1">
        <f ca="1">IFERROR(__xludf.DUMMYFUNCTION("""COMPUTED_VALUE"""),67)</f>
        <v>67</v>
      </c>
      <c r="K245" s="1">
        <f ca="1">IFERROR(__xludf.DUMMYFUNCTION("""COMPUTED_VALUE"""),234)</f>
        <v>234</v>
      </c>
      <c r="L245" s="1">
        <f ca="1">IFERROR(__xludf.DUMMYFUNCTION("""COMPUTED_VALUE"""),-0.026)</f>
        <v>-2.5999999999999999E-2</v>
      </c>
      <c r="M245" s="1">
        <f ca="1">IFERROR(__xludf.DUMMYFUNCTION("""COMPUTED_VALUE"""),246)</f>
        <v>246</v>
      </c>
      <c r="N245" s="1">
        <f ca="1">IFERROR(__xludf.DUMMYFUNCTION("""COMPUTED_VALUE"""),-2.82)</f>
        <v>-2.82</v>
      </c>
      <c r="O245" s="1">
        <f ca="1">IFERROR(__xludf.DUMMYFUNCTION("""COMPUTED_VALUE"""),211)</f>
        <v>211</v>
      </c>
      <c r="P245" s="1">
        <f ca="1">IFERROR(__xludf.DUMMYFUNCTION("""COMPUTED_VALUE"""),103.1)</f>
        <v>103.1</v>
      </c>
      <c r="Q245" s="1">
        <f ca="1">IFERROR(__xludf.DUMMYFUNCTION("""COMPUTED_VALUE"""),239)</f>
        <v>239</v>
      </c>
      <c r="R245" s="1">
        <f ca="1">IFERROR(__xludf.DUMMYFUNCTION("""COMPUTED_VALUE"""),105.9)</f>
        <v>105.9</v>
      </c>
      <c r="S245" s="1">
        <f ca="1">IFERROR(__xludf.DUMMYFUNCTION("""COMPUTED_VALUE"""),196)</f>
        <v>196</v>
      </c>
      <c r="T245" s="1">
        <f ca="1">IFERROR(__xludf.DUMMYFUNCTION("""COMPUTED_VALUE"""),-7.27)</f>
        <v>-7.27</v>
      </c>
      <c r="U245" s="1">
        <f ca="1">IFERROR(__xludf.DUMMYFUNCTION("""COMPUTED_VALUE"""),330)</f>
        <v>330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IFERROR(__xludf.DUMMYFUNCTION("""COMPUTED_VALUE"""),"Dartmouth")</f>
        <v>Dartmouth</v>
      </c>
      <c r="C246" s="1" t="str">
        <f ca="1">IFERROR(__xludf.DUMMYFUNCTION("""COMPUTED_VALUE"""),"Ivy")</f>
        <v>Ivy</v>
      </c>
      <c r="D246" s="2">
        <f ca="1">IFERROR(__xludf.DUMMYFUNCTION("""COMPUTED_VALUE"""),44852)</f>
        <v>44852</v>
      </c>
      <c r="E246" s="1">
        <f ca="1">IFERROR(__xludf.DUMMYFUNCTION("""COMPUTED_VALUE"""),-5.99)</f>
        <v>-5.99</v>
      </c>
      <c r="F246" s="1">
        <f ca="1">IFERROR(__xludf.DUMMYFUNCTION("""COMPUTED_VALUE"""),99.5)</f>
        <v>99.5</v>
      </c>
      <c r="G246" s="1">
        <f ca="1">IFERROR(__xludf.DUMMYFUNCTION("""COMPUTED_VALUE"""),273)</f>
        <v>273</v>
      </c>
      <c r="H246" s="1">
        <f ca="1">IFERROR(__xludf.DUMMYFUNCTION("""COMPUTED_VALUE"""),105.5)</f>
        <v>105.5</v>
      </c>
      <c r="I246" s="1">
        <f ca="1">IFERROR(__xludf.DUMMYFUNCTION("""COMPUTED_VALUE"""),186)</f>
        <v>186</v>
      </c>
      <c r="J246" s="1">
        <f ca="1">IFERROR(__xludf.DUMMYFUNCTION("""COMPUTED_VALUE"""),67.5)</f>
        <v>67.5</v>
      </c>
      <c r="K246" s="1">
        <f ca="1">IFERROR(__xludf.DUMMYFUNCTION("""COMPUTED_VALUE"""),208)</f>
        <v>208</v>
      </c>
      <c r="L246" s="1">
        <f ca="1">IFERROR(__xludf.DUMMYFUNCTION("""COMPUTED_VALUE"""),-0.099)</f>
        <v>-9.9000000000000005E-2</v>
      </c>
      <c r="M246" s="1">
        <f ca="1">IFERROR(__xludf.DUMMYFUNCTION("""COMPUTED_VALUE"""),342)</f>
        <v>342</v>
      </c>
      <c r="N246" s="1">
        <f ca="1">IFERROR(__xludf.DUMMYFUNCTION("""COMPUTED_VALUE"""),-3.52)</f>
        <v>-3.52</v>
      </c>
      <c r="O246" s="1">
        <f ca="1">IFERROR(__xludf.DUMMYFUNCTION("""COMPUTED_VALUE"""),228)</f>
        <v>228</v>
      </c>
      <c r="P246" s="1">
        <f ca="1">IFERROR(__xludf.DUMMYFUNCTION("""COMPUTED_VALUE"""),103.6)</f>
        <v>103.6</v>
      </c>
      <c r="Q246" s="1">
        <f ca="1">IFERROR(__xludf.DUMMYFUNCTION("""COMPUTED_VALUE"""),215)</f>
        <v>215</v>
      </c>
      <c r="R246" s="1">
        <f ca="1">IFERROR(__xludf.DUMMYFUNCTION("""COMPUTED_VALUE"""),107.1)</f>
        <v>107.1</v>
      </c>
      <c r="S246" s="1">
        <f ca="1">IFERROR(__xludf.DUMMYFUNCTION("""COMPUTED_VALUE"""),241)</f>
        <v>241</v>
      </c>
      <c r="T246" s="1">
        <f ca="1">IFERROR(__xludf.DUMMYFUNCTION("""COMPUTED_VALUE"""),-7.09)</f>
        <v>-7.09</v>
      </c>
      <c r="U246" s="1">
        <f ca="1">IFERROR(__xludf.DUMMYFUNCTION("""COMPUTED_VALUE"""),328)</f>
        <v>328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IFERROR(__xludf.DUMMYFUNCTION("""COMPUTED_VALUE"""),"New Hampshire")</f>
        <v>New Hampshire</v>
      </c>
      <c r="C247" s="1" t="str">
        <f ca="1">IFERROR(__xludf.DUMMYFUNCTION("""COMPUTED_VALUE"""),"AE")</f>
        <v>AE</v>
      </c>
      <c r="D247" s="1" t="str">
        <f ca="1">IFERROR(__xludf.DUMMYFUNCTION("""COMPUTED_VALUE"""),"20-13")</f>
        <v>20-13</v>
      </c>
      <c r="E247" s="1">
        <f ca="1">IFERROR(__xludf.DUMMYFUNCTION("""COMPUTED_VALUE"""),-6.01)</f>
        <v>-6.01</v>
      </c>
      <c r="F247" s="1">
        <f ca="1">IFERROR(__xludf.DUMMYFUNCTION("""COMPUTED_VALUE"""),99.9)</f>
        <v>99.9</v>
      </c>
      <c r="G247" s="1">
        <f ca="1">IFERROR(__xludf.DUMMYFUNCTION("""COMPUTED_VALUE"""),265)</f>
        <v>265</v>
      </c>
      <c r="H247" s="1">
        <f ca="1">IFERROR(__xludf.DUMMYFUNCTION("""COMPUTED_VALUE"""),105.9)</f>
        <v>105.9</v>
      </c>
      <c r="I247" s="1">
        <f ca="1">IFERROR(__xludf.DUMMYFUNCTION("""COMPUTED_VALUE"""),190)</f>
        <v>190</v>
      </c>
      <c r="J247" s="1">
        <f ca="1">IFERROR(__xludf.DUMMYFUNCTION("""COMPUTED_VALUE"""),67.4)</f>
        <v>67.400000000000006</v>
      </c>
      <c r="K247" s="1">
        <f ca="1">IFERROR(__xludf.DUMMYFUNCTION("""COMPUTED_VALUE"""),212)</f>
        <v>212</v>
      </c>
      <c r="L247" s="1" t="str">
        <f ca="1">IFERROR(__xludf.DUMMYFUNCTION("""COMPUTED_VALUE"""),"+.110")</f>
        <v>+.110</v>
      </c>
      <c r="M247" s="1">
        <f ca="1">IFERROR(__xludf.DUMMYFUNCTION("""COMPUTED_VALUE"""),11)</f>
        <v>11</v>
      </c>
      <c r="N247" s="1">
        <f ca="1">IFERROR(__xludf.DUMMYFUNCTION("""COMPUTED_VALUE"""),-7)</f>
        <v>-7</v>
      </c>
      <c r="O247" s="1">
        <f ca="1">IFERROR(__xludf.DUMMYFUNCTION("""COMPUTED_VALUE"""),312)</f>
        <v>312</v>
      </c>
      <c r="P247" s="1">
        <f ca="1">IFERROR(__xludf.DUMMYFUNCTION("""COMPUTED_VALUE"""),101)</f>
        <v>101</v>
      </c>
      <c r="Q247" s="1">
        <f ca="1">IFERROR(__xludf.DUMMYFUNCTION("""COMPUTED_VALUE"""),309)</f>
        <v>309</v>
      </c>
      <c r="R247" s="1">
        <f ca="1">IFERROR(__xludf.DUMMYFUNCTION("""COMPUTED_VALUE"""),108)</f>
        <v>108</v>
      </c>
      <c r="S247" s="1">
        <f ca="1">IFERROR(__xludf.DUMMYFUNCTION("""COMPUTED_VALUE"""),291)</f>
        <v>291</v>
      </c>
      <c r="T247" s="1">
        <f ca="1">IFERROR(__xludf.DUMMYFUNCTION("""COMPUTED_VALUE"""),-4.29)</f>
        <v>-4.29</v>
      </c>
      <c r="U247" s="1">
        <f ca="1">IFERROR(__xludf.DUMMYFUNCTION("""COMPUTED_VALUE"""),288)</f>
        <v>288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IFERROR(__xludf.DUMMYFUNCTION("""COMPUTED_VALUE"""),"Gardner Webb")</f>
        <v>Gardner Webb</v>
      </c>
      <c r="C248" s="1" t="str">
        <f ca="1">IFERROR(__xludf.DUMMYFUNCTION("""COMPUTED_VALUE"""),"BSth")</f>
        <v>BSth</v>
      </c>
      <c r="D248" s="1" t="str">
        <f ca="1">IFERROR(__xludf.DUMMYFUNCTION("""COMPUTED_VALUE"""),"17-16")</f>
        <v>17-16</v>
      </c>
      <c r="E248" s="1">
        <f ca="1">IFERROR(__xludf.DUMMYFUNCTION("""COMPUTED_VALUE"""),-6.02)</f>
        <v>-6.02</v>
      </c>
      <c r="F248" s="1">
        <f ca="1">IFERROR(__xludf.DUMMYFUNCTION("""COMPUTED_VALUE"""),100.7)</f>
        <v>100.7</v>
      </c>
      <c r="G248" s="1">
        <f ca="1">IFERROR(__xludf.DUMMYFUNCTION("""COMPUTED_VALUE"""),243)</f>
        <v>243</v>
      </c>
      <c r="H248" s="1">
        <f ca="1">IFERROR(__xludf.DUMMYFUNCTION("""COMPUTED_VALUE"""),106.8)</f>
        <v>106.8</v>
      </c>
      <c r="I248" s="1">
        <f ca="1">IFERROR(__xludf.DUMMYFUNCTION("""COMPUTED_VALUE"""),210)</f>
        <v>210</v>
      </c>
      <c r="J248" s="1">
        <f ca="1">IFERROR(__xludf.DUMMYFUNCTION("""COMPUTED_VALUE"""),69)</f>
        <v>69</v>
      </c>
      <c r="K248" s="1">
        <f ca="1">IFERROR(__xludf.DUMMYFUNCTION("""COMPUTED_VALUE"""),119)</f>
        <v>119</v>
      </c>
      <c r="L248" s="1" t="str">
        <f ca="1">IFERROR(__xludf.DUMMYFUNCTION("""COMPUTED_VALUE"""),"+.045")</f>
        <v>+.045</v>
      </c>
      <c r="M248" s="1">
        <f ca="1">IFERROR(__xludf.DUMMYFUNCTION("""COMPUTED_VALUE"""),72)</f>
        <v>72</v>
      </c>
      <c r="N248" s="1">
        <f ca="1">IFERROR(__xludf.DUMMYFUNCTION("""COMPUTED_VALUE"""),-3.93)</f>
        <v>-3.93</v>
      </c>
      <c r="O248" s="1">
        <f ca="1">IFERROR(__xludf.DUMMYFUNCTION("""COMPUTED_VALUE"""),240)</f>
        <v>240</v>
      </c>
      <c r="P248" s="1">
        <f ca="1">IFERROR(__xludf.DUMMYFUNCTION("""COMPUTED_VALUE"""),103.6)</f>
        <v>103.6</v>
      </c>
      <c r="Q248" s="1">
        <f ca="1">IFERROR(__xludf.DUMMYFUNCTION("""COMPUTED_VALUE"""),210)</f>
        <v>210</v>
      </c>
      <c r="R248" s="1">
        <f ca="1">IFERROR(__xludf.DUMMYFUNCTION("""COMPUTED_VALUE"""),107.6)</f>
        <v>107.6</v>
      </c>
      <c r="S248" s="1">
        <f ca="1">IFERROR(__xludf.DUMMYFUNCTION("""COMPUTED_VALUE"""),270)</f>
        <v>270</v>
      </c>
      <c r="T248" s="1" t="str">
        <f ca="1">IFERROR(__xludf.DUMMYFUNCTION("""COMPUTED_VALUE"""),"+7.66")</f>
        <v>+7.66</v>
      </c>
      <c r="U248" s="1">
        <f ca="1">IFERROR(__xludf.DUMMYFUNCTION("""COMPUTED_VALUE"""),16)</f>
        <v>16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IFERROR(__xludf.DUMMYFUNCTION("""COMPUTED_VALUE"""),"Canisius")</f>
        <v>Canisius</v>
      </c>
      <c r="C249" s="1" t="str">
        <f ca="1">IFERROR(__xludf.DUMMYFUNCTION("""COMPUTED_VALUE"""),"MAAC")</f>
        <v>MAAC</v>
      </c>
      <c r="D249" s="1" t="str">
        <f ca="1">IFERROR(__xludf.DUMMYFUNCTION("""COMPUTED_VALUE"""),"14-19")</f>
        <v>14-19</v>
      </c>
      <c r="E249" s="1">
        <f ca="1">IFERROR(__xludf.DUMMYFUNCTION("""COMPUTED_VALUE"""),-6.29)</f>
        <v>-6.29</v>
      </c>
      <c r="F249" s="1">
        <f ca="1">IFERROR(__xludf.DUMMYFUNCTION("""COMPUTED_VALUE"""),108.1)</f>
        <v>108.1</v>
      </c>
      <c r="G249" s="1">
        <f ca="1">IFERROR(__xludf.DUMMYFUNCTION("""COMPUTED_VALUE"""),115)</f>
        <v>115</v>
      </c>
      <c r="H249" s="1">
        <f ca="1">IFERROR(__xludf.DUMMYFUNCTION("""COMPUTED_VALUE"""),114.4)</f>
        <v>114.4</v>
      </c>
      <c r="I249" s="1">
        <f ca="1">IFERROR(__xludf.DUMMYFUNCTION("""COMPUTED_VALUE"""),329)</f>
        <v>329</v>
      </c>
      <c r="J249" s="1">
        <f ca="1">IFERROR(__xludf.DUMMYFUNCTION("""COMPUTED_VALUE"""),67.5)</f>
        <v>67.5</v>
      </c>
      <c r="K249" s="1">
        <f ca="1">IFERROR(__xludf.DUMMYFUNCTION("""COMPUTED_VALUE"""),206)</f>
        <v>206</v>
      </c>
      <c r="L249" s="1">
        <f ca="1">IFERROR(__xludf.DUMMYFUNCTION("""COMPUTED_VALUE"""),-0.013)</f>
        <v>-1.2999999999999999E-2</v>
      </c>
      <c r="M249" s="1">
        <f ca="1">IFERROR(__xludf.DUMMYFUNCTION("""COMPUTED_VALUE"""),212)</f>
        <v>212</v>
      </c>
      <c r="N249" s="1">
        <f ca="1">IFERROR(__xludf.DUMMYFUNCTION("""COMPUTED_VALUE"""),-3.7)</f>
        <v>-3.7</v>
      </c>
      <c r="O249" s="1">
        <f ca="1">IFERROR(__xludf.DUMMYFUNCTION("""COMPUTED_VALUE"""),230)</f>
        <v>230</v>
      </c>
      <c r="P249" s="1">
        <f ca="1">IFERROR(__xludf.DUMMYFUNCTION("""COMPUTED_VALUE"""),102.1)</f>
        <v>102.1</v>
      </c>
      <c r="Q249" s="1">
        <f ca="1">IFERROR(__xludf.DUMMYFUNCTION("""COMPUTED_VALUE"""),279)</f>
        <v>279</v>
      </c>
      <c r="R249" s="1">
        <f ca="1">IFERROR(__xludf.DUMMYFUNCTION("""COMPUTED_VALUE"""),105.8)</f>
        <v>105.8</v>
      </c>
      <c r="S249" s="1">
        <f ca="1">IFERROR(__xludf.DUMMYFUNCTION("""COMPUTED_VALUE"""),189)</f>
        <v>189</v>
      </c>
      <c r="T249" s="1">
        <f ca="1">IFERROR(__xludf.DUMMYFUNCTION("""COMPUTED_VALUE"""),-1.54)</f>
        <v>-1.54</v>
      </c>
      <c r="U249" s="1">
        <f ca="1">IFERROR(__xludf.DUMMYFUNCTION("""COMPUTED_VALUE"""),208)</f>
        <v>208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IFERROR(__xludf.DUMMYFUNCTION("""COMPUTED_VALUE"""),"South Florida")</f>
        <v>South Florida</v>
      </c>
      <c r="C250" s="1" t="str">
        <f ca="1">IFERROR(__xludf.DUMMYFUNCTION("""COMPUTED_VALUE"""),"Amer")</f>
        <v>Amer</v>
      </c>
      <c r="D250" s="2">
        <f ca="1">IFERROR(__xludf.DUMMYFUNCTION("""COMPUTED_VALUE"""),44798)</f>
        <v>44798</v>
      </c>
      <c r="E250" s="1">
        <f ca="1">IFERROR(__xludf.DUMMYFUNCTION("""COMPUTED_VALUE"""),-6.49)</f>
        <v>-6.49</v>
      </c>
      <c r="F250" s="1">
        <f ca="1">IFERROR(__xludf.DUMMYFUNCTION("""COMPUTED_VALUE"""),98.3)</f>
        <v>98.3</v>
      </c>
      <c r="G250" s="1">
        <f ca="1">IFERROR(__xludf.DUMMYFUNCTION("""COMPUTED_VALUE"""),292)</f>
        <v>292</v>
      </c>
      <c r="H250" s="1">
        <f ca="1">IFERROR(__xludf.DUMMYFUNCTION("""COMPUTED_VALUE"""),104.8)</f>
        <v>104.8</v>
      </c>
      <c r="I250" s="1">
        <f ca="1">IFERROR(__xludf.DUMMYFUNCTION("""COMPUTED_VALUE"""),177)</f>
        <v>177</v>
      </c>
      <c r="J250" s="1">
        <f ca="1">IFERROR(__xludf.DUMMYFUNCTION("""COMPUTED_VALUE"""),66.7)</f>
        <v>66.7</v>
      </c>
      <c r="K250" s="1">
        <f ca="1">IFERROR(__xludf.DUMMYFUNCTION("""COMPUTED_VALUE"""),248)</f>
        <v>248</v>
      </c>
      <c r="L250" s="1">
        <f ca="1">IFERROR(__xludf.DUMMYFUNCTION("""COMPUTED_VALUE"""),-0.016)</f>
        <v>-1.6E-2</v>
      </c>
      <c r="M250" s="1">
        <f ca="1">IFERROR(__xludf.DUMMYFUNCTION("""COMPUTED_VALUE"""),221)</f>
        <v>221</v>
      </c>
      <c r="N250" s="1" t="str">
        <f ca="1">IFERROR(__xludf.DUMMYFUNCTION("""COMPUTED_VALUE"""),"+4.24")</f>
        <v>+4.24</v>
      </c>
      <c r="O250" s="1">
        <f ca="1">IFERROR(__xludf.DUMMYFUNCTION("""COMPUTED_VALUE"""),84)</f>
        <v>84</v>
      </c>
      <c r="P250" s="1">
        <f ca="1">IFERROR(__xludf.DUMMYFUNCTION("""COMPUTED_VALUE"""),106.6)</f>
        <v>106.6</v>
      </c>
      <c r="Q250" s="1">
        <f ca="1">IFERROR(__xludf.DUMMYFUNCTION("""COMPUTED_VALUE"""),92)</f>
        <v>92</v>
      </c>
      <c r="R250" s="1">
        <f ca="1">IFERROR(__xludf.DUMMYFUNCTION("""COMPUTED_VALUE"""),102.3)</f>
        <v>102.3</v>
      </c>
      <c r="S250" s="1">
        <f ca="1">IFERROR(__xludf.DUMMYFUNCTION("""COMPUTED_VALUE"""),85)</f>
        <v>85</v>
      </c>
      <c r="T250" s="1">
        <f ca="1">IFERROR(__xludf.DUMMYFUNCTION("""COMPUTED_VALUE"""),-1.41)</f>
        <v>-1.41</v>
      </c>
      <c r="U250" s="1">
        <f ca="1">IFERROR(__xludf.DUMMYFUNCTION("""COMPUTED_VALUE"""),203)</f>
        <v>203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IFERROR(__xludf.DUMMYFUNCTION("""COMPUTED_VALUE"""),"Cal St. Northridge")</f>
        <v>Cal St. Northridge</v>
      </c>
      <c r="C251" s="1" t="str">
        <f ca="1">IFERROR(__xludf.DUMMYFUNCTION("""COMPUTED_VALUE"""),"BW")</f>
        <v>BW</v>
      </c>
      <c r="D251" s="2">
        <f ca="1">IFERROR(__xludf.DUMMYFUNCTION("""COMPUTED_VALUE"""),44854)</f>
        <v>44854</v>
      </c>
      <c r="E251" s="1">
        <f ca="1">IFERROR(__xludf.DUMMYFUNCTION("""COMPUTED_VALUE"""),-6.52)</f>
        <v>-6.52</v>
      </c>
      <c r="F251" s="1">
        <f ca="1">IFERROR(__xludf.DUMMYFUNCTION("""COMPUTED_VALUE"""),100.9)</f>
        <v>100.9</v>
      </c>
      <c r="G251" s="1">
        <f ca="1">IFERROR(__xludf.DUMMYFUNCTION("""COMPUTED_VALUE"""),238)</f>
        <v>238</v>
      </c>
      <c r="H251" s="1">
        <f ca="1">IFERROR(__xludf.DUMMYFUNCTION("""COMPUTED_VALUE"""),107.4)</f>
        <v>107.4</v>
      </c>
      <c r="I251" s="1">
        <f ca="1">IFERROR(__xludf.DUMMYFUNCTION("""COMPUTED_VALUE"""),218)</f>
        <v>218</v>
      </c>
      <c r="J251" s="1">
        <f ca="1">IFERROR(__xludf.DUMMYFUNCTION("""COMPUTED_VALUE"""),70.4)</f>
        <v>70.400000000000006</v>
      </c>
      <c r="K251" s="1">
        <f ca="1">IFERROR(__xludf.DUMMYFUNCTION("""COMPUTED_VALUE"""),66)</f>
        <v>66</v>
      </c>
      <c r="L251" s="1">
        <f ca="1">IFERROR(__xludf.DUMMYFUNCTION("""COMPUTED_VALUE"""),-0.013)</f>
        <v>-1.2999999999999999E-2</v>
      </c>
      <c r="M251" s="1">
        <f ca="1">IFERROR(__xludf.DUMMYFUNCTION("""COMPUTED_VALUE"""),213)</f>
        <v>213</v>
      </c>
      <c r="N251" s="1" t="str">
        <f ca="1">IFERROR(__xludf.DUMMYFUNCTION("""COMPUTED_VALUE"""),"+0.24")</f>
        <v>+0.24</v>
      </c>
      <c r="O251" s="1">
        <f ca="1">IFERROR(__xludf.DUMMYFUNCTION("""COMPUTED_VALUE"""),143)</f>
        <v>143</v>
      </c>
      <c r="P251" s="1">
        <f ca="1">IFERROR(__xludf.DUMMYFUNCTION("""COMPUTED_VALUE"""),104.1)</f>
        <v>104.1</v>
      </c>
      <c r="Q251" s="1">
        <f ca="1">IFERROR(__xludf.DUMMYFUNCTION("""COMPUTED_VALUE"""),192)</f>
        <v>192</v>
      </c>
      <c r="R251" s="1">
        <f ca="1">IFERROR(__xludf.DUMMYFUNCTION("""COMPUTED_VALUE"""),103.9)</f>
        <v>103.9</v>
      </c>
      <c r="S251" s="1">
        <f ca="1">IFERROR(__xludf.DUMMYFUNCTION("""COMPUTED_VALUE"""),122)</f>
        <v>122</v>
      </c>
      <c r="T251" s="1">
        <f ca="1">IFERROR(__xludf.DUMMYFUNCTION("""COMPUTED_VALUE"""),-0.31)</f>
        <v>-0.31</v>
      </c>
      <c r="U251" s="1">
        <f ca="1">IFERROR(__xludf.DUMMYFUNCTION("""COMPUTED_VALUE"""),175)</f>
        <v>175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IFERROR(__xludf.DUMMYFUNCTION("""COMPUTED_VALUE"""),"Jackson St.")</f>
        <v>Jackson St.</v>
      </c>
      <c r="C252" s="1" t="str">
        <f ca="1">IFERROR(__xludf.DUMMYFUNCTION("""COMPUTED_VALUE"""),"SWAC")</f>
        <v>SWAC</v>
      </c>
      <c r="D252" s="1" t="str">
        <f ca="1">IFERROR(__xludf.DUMMYFUNCTION("""COMPUTED_VALUE"""),"20-16")</f>
        <v>20-16</v>
      </c>
      <c r="E252" s="1">
        <f ca="1">IFERROR(__xludf.DUMMYFUNCTION("""COMPUTED_VALUE"""),-6.53)</f>
        <v>-6.53</v>
      </c>
      <c r="F252" s="1">
        <f ca="1">IFERROR(__xludf.DUMMYFUNCTION("""COMPUTED_VALUE"""),95.7)</f>
        <v>95.7</v>
      </c>
      <c r="G252" s="1">
        <f ca="1">IFERROR(__xludf.DUMMYFUNCTION("""COMPUTED_VALUE"""),318)</f>
        <v>318</v>
      </c>
      <c r="H252" s="1">
        <f ca="1">IFERROR(__xludf.DUMMYFUNCTION("""COMPUTED_VALUE"""),102.3)</f>
        <v>102.3</v>
      </c>
      <c r="I252" s="1">
        <f ca="1">IFERROR(__xludf.DUMMYFUNCTION("""COMPUTED_VALUE"""),123)</f>
        <v>123</v>
      </c>
      <c r="J252" s="1">
        <f ca="1">IFERROR(__xludf.DUMMYFUNCTION("""COMPUTED_VALUE"""),67.3)</f>
        <v>67.3</v>
      </c>
      <c r="K252" s="1">
        <f ca="1">IFERROR(__xludf.DUMMYFUNCTION("""COMPUTED_VALUE"""),219)</f>
        <v>219</v>
      </c>
      <c r="L252" s="1">
        <f ca="1">IFERROR(__xludf.DUMMYFUNCTION("""COMPUTED_VALUE"""),-0.004)</f>
        <v>-4.0000000000000001E-3</v>
      </c>
      <c r="M252" s="1">
        <f ca="1">IFERROR(__xludf.DUMMYFUNCTION("""COMPUTED_VALUE"""),184)</f>
        <v>184</v>
      </c>
      <c r="N252" s="1">
        <f ca="1">IFERROR(__xludf.DUMMYFUNCTION("""COMPUTED_VALUE"""),-8.92)</f>
        <v>-8.92</v>
      </c>
      <c r="O252" s="1">
        <f ca="1">IFERROR(__xludf.DUMMYFUNCTION("""COMPUTED_VALUE"""),334)</f>
        <v>334</v>
      </c>
      <c r="P252" s="1">
        <f ca="1">IFERROR(__xludf.DUMMYFUNCTION("""COMPUTED_VALUE"""),99)</f>
        <v>99</v>
      </c>
      <c r="Q252" s="1">
        <f ca="1">IFERROR(__xludf.DUMMYFUNCTION("""COMPUTED_VALUE"""),341)</f>
        <v>341</v>
      </c>
      <c r="R252" s="1">
        <f ca="1">IFERROR(__xludf.DUMMYFUNCTION("""COMPUTED_VALUE"""),108)</f>
        <v>108</v>
      </c>
      <c r="S252" s="1">
        <f ca="1">IFERROR(__xludf.DUMMYFUNCTION("""COMPUTED_VALUE"""),290)</f>
        <v>290</v>
      </c>
      <c r="T252" s="1" t="str">
        <f ca="1">IFERROR(__xludf.DUMMYFUNCTION("""COMPUTED_VALUE"""),"+2.15")</f>
        <v>+2.15</v>
      </c>
      <c r="U252" s="1">
        <f ca="1">IFERROR(__xludf.DUMMYFUNCTION("""COMPUTED_VALUE"""),102)</f>
        <v>102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IFERROR(__xludf.DUMMYFUNCTION("""COMPUTED_VALUE"""),"UC Davis")</f>
        <v>UC Davis</v>
      </c>
      <c r="C255" s="1" t="str">
        <f ca="1">IFERROR(__xludf.DUMMYFUNCTION("""COMPUTED_VALUE"""),"BW")</f>
        <v>BW</v>
      </c>
      <c r="D255" s="2">
        <f ca="1">IFERROR(__xludf.DUMMYFUNCTION("""COMPUTED_VALUE"""),44884)</f>
        <v>44884</v>
      </c>
      <c r="E255" s="1">
        <f ca="1">IFERROR(__xludf.DUMMYFUNCTION("""COMPUTED_VALUE"""),-6.64)</f>
        <v>-6.64</v>
      </c>
      <c r="F255" s="1">
        <f ca="1">IFERROR(__xludf.DUMMYFUNCTION("""COMPUTED_VALUE"""),93.9)</f>
        <v>93.9</v>
      </c>
      <c r="G255" s="1">
        <f ca="1">IFERROR(__xludf.DUMMYFUNCTION("""COMPUTED_VALUE"""),328)</f>
        <v>328</v>
      </c>
      <c r="H255" s="1">
        <f ca="1">IFERROR(__xludf.DUMMYFUNCTION("""COMPUTED_VALUE"""),100.5)</f>
        <v>100.5</v>
      </c>
      <c r="I255" s="1">
        <f ca="1">IFERROR(__xludf.DUMMYFUNCTION("""COMPUTED_VALUE"""),95)</f>
        <v>95</v>
      </c>
      <c r="J255" s="1">
        <f ca="1">IFERROR(__xludf.DUMMYFUNCTION("""COMPUTED_VALUE"""),65.9)</f>
        <v>65.900000000000006</v>
      </c>
      <c r="K255" s="1">
        <f ca="1">IFERROR(__xludf.DUMMYFUNCTION("""COMPUTED_VALUE"""),279)</f>
        <v>279</v>
      </c>
      <c r="L255" s="1">
        <f ca="1">IFERROR(__xludf.DUMMYFUNCTION("""COMPUTED_VALUE"""),-0.005)</f>
        <v>-5.0000000000000001E-3</v>
      </c>
      <c r="M255" s="1">
        <f ca="1">IFERROR(__xludf.DUMMYFUNCTION("""COMPUTED_VALUE"""),188)</f>
        <v>188</v>
      </c>
      <c r="N255" s="1">
        <f ca="1">IFERROR(__xludf.DUMMYFUNCTION("""COMPUTED_VALUE"""),-1.27)</f>
        <v>-1.27</v>
      </c>
      <c r="O255" s="1">
        <f ca="1">IFERROR(__xludf.DUMMYFUNCTION("""COMPUTED_VALUE"""),177)</f>
        <v>177</v>
      </c>
      <c r="P255" s="1">
        <f ca="1">IFERROR(__xludf.DUMMYFUNCTION("""COMPUTED_VALUE"""),103.4)</f>
        <v>103.4</v>
      </c>
      <c r="Q255" s="1">
        <f ca="1">IFERROR(__xludf.DUMMYFUNCTION("""COMPUTED_VALUE"""),223)</f>
        <v>223</v>
      </c>
      <c r="R255" s="1">
        <f ca="1">IFERROR(__xludf.DUMMYFUNCTION("""COMPUTED_VALUE"""),104.7)</f>
        <v>104.7</v>
      </c>
      <c r="S255" s="1">
        <f ca="1">IFERROR(__xludf.DUMMYFUNCTION("""COMPUTED_VALUE"""),142)</f>
        <v>142</v>
      </c>
      <c r="T255" s="1">
        <f ca="1">IFERROR(__xludf.DUMMYFUNCTION("""COMPUTED_VALUE"""),-4.86)</f>
        <v>-4.8600000000000003</v>
      </c>
      <c r="U255" s="1">
        <f ca="1">IFERROR(__xludf.DUMMYFUNCTION("""COMPUTED_VALUE"""),299)</f>
        <v>299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IFERROR(__xludf.DUMMYFUNCTION("""COMPUTED_VALUE"""),"Air Force")</f>
        <v>Air Force</v>
      </c>
      <c r="C256" s="1" t="str">
        <f ca="1">IFERROR(__xludf.DUMMYFUNCTION("""COMPUTED_VALUE"""),"MWC")</f>
        <v>MWC</v>
      </c>
      <c r="D256" s="1" t="str">
        <f ca="1">IFERROR(__xludf.DUMMYFUNCTION("""COMPUTED_VALUE"""),"14-18")</f>
        <v>14-18</v>
      </c>
      <c r="E256" s="1">
        <f ca="1">IFERROR(__xludf.DUMMYFUNCTION("""COMPUTED_VALUE"""),-6.92)</f>
        <v>-6.92</v>
      </c>
      <c r="F256" s="1">
        <f ca="1">IFERROR(__xludf.DUMMYFUNCTION("""COMPUTED_VALUE"""),99.1)</f>
        <v>99.1</v>
      </c>
      <c r="G256" s="1">
        <f ca="1">IFERROR(__xludf.DUMMYFUNCTION("""COMPUTED_VALUE"""),283)</f>
        <v>283</v>
      </c>
      <c r="H256" s="1">
        <f ca="1">IFERROR(__xludf.DUMMYFUNCTION("""COMPUTED_VALUE"""),106)</f>
        <v>106</v>
      </c>
      <c r="I256" s="1">
        <f ca="1">IFERROR(__xludf.DUMMYFUNCTION("""COMPUTED_VALUE"""),195)</f>
        <v>195</v>
      </c>
      <c r="J256" s="1">
        <f ca="1">IFERROR(__xludf.DUMMYFUNCTION("""COMPUTED_VALUE"""),67)</f>
        <v>67</v>
      </c>
      <c r="K256" s="1">
        <f ca="1">IFERROR(__xludf.DUMMYFUNCTION("""COMPUTED_VALUE"""),239)</f>
        <v>239</v>
      </c>
      <c r="L256" s="1" t="str">
        <f ca="1">IFERROR(__xludf.DUMMYFUNCTION("""COMPUTED_VALUE"""),"+.087")</f>
        <v>+.087</v>
      </c>
      <c r="M256" s="1">
        <f ca="1">IFERROR(__xludf.DUMMYFUNCTION("""COMPUTED_VALUE"""),22)</f>
        <v>22</v>
      </c>
      <c r="N256" s="1" t="str">
        <f ca="1">IFERROR(__xludf.DUMMYFUNCTION("""COMPUTED_VALUE"""),"+0.69")</f>
        <v>+0.69</v>
      </c>
      <c r="O256" s="1">
        <f ca="1">IFERROR(__xludf.DUMMYFUNCTION("""COMPUTED_VALUE"""),135)</f>
        <v>135</v>
      </c>
      <c r="P256" s="1">
        <f ca="1">IFERROR(__xludf.DUMMYFUNCTION("""COMPUTED_VALUE"""),104.4)</f>
        <v>104.4</v>
      </c>
      <c r="Q256" s="1">
        <f ca="1">IFERROR(__xludf.DUMMYFUNCTION("""COMPUTED_VALUE"""),173)</f>
        <v>173</v>
      </c>
      <c r="R256" s="1">
        <f ca="1">IFERROR(__xludf.DUMMYFUNCTION("""COMPUTED_VALUE"""),103.8)</f>
        <v>103.8</v>
      </c>
      <c r="S256" s="1">
        <f ca="1">IFERROR(__xludf.DUMMYFUNCTION("""COMPUTED_VALUE"""),116)</f>
        <v>116</v>
      </c>
      <c r="T256" s="1">
        <f ca="1">IFERROR(__xludf.DUMMYFUNCTION("""COMPUTED_VALUE"""),-4.7)</f>
        <v>-4.7</v>
      </c>
      <c r="U256" s="1">
        <f ca="1">IFERROR(__xludf.DUMMYFUNCTION("""COMPUTED_VALUE"""),296)</f>
        <v>296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IFERROR(__xludf.DUMMYFUNCTION("""COMPUTED_VALUE"""),"Incarnate Word")</f>
        <v>Incarnate Word</v>
      </c>
      <c r="C257" s="1" t="str">
        <f ca="1">IFERROR(__xludf.DUMMYFUNCTION("""COMPUTED_VALUE"""),"Slnd")</f>
        <v>Slnd</v>
      </c>
      <c r="D257" s="1" t="str">
        <f ca="1">IFERROR(__xludf.DUMMYFUNCTION("""COMPUTED_VALUE"""),"17-12")</f>
        <v>17-12</v>
      </c>
      <c r="E257" s="1">
        <f ca="1">IFERROR(__xludf.DUMMYFUNCTION("""COMPUTED_VALUE"""),-7.06)</f>
        <v>-7.06</v>
      </c>
      <c r="F257" s="1">
        <f ca="1">IFERROR(__xludf.DUMMYFUNCTION("""COMPUTED_VALUE"""),102.1)</f>
        <v>102.1</v>
      </c>
      <c r="G257" s="1">
        <f ca="1">IFERROR(__xludf.DUMMYFUNCTION("""COMPUTED_VALUE"""),216)</f>
        <v>216</v>
      </c>
      <c r="H257" s="1">
        <f ca="1">IFERROR(__xludf.DUMMYFUNCTION("""COMPUTED_VALUE"""),109.1)</f>
        <v>109.1</v>
      </c>
      <c r="I257" s="1">
        <f ca="1">IFERROR(__xludf.DUMMYFUNCTION("""COMPUTED_VALUE"""),259)</f>
        <v>259</v>
      </c>
      <c r="J257" s="1">
        <f ca="1">IFERROR(__xludf.DUMMYFUNCTION("""COMPUTED_VALUE"""),67.2)</f>
        <v>67.2</v>
      </c>
      <c r="K257" s="1">
        <f ca="1">IFERROR(__xludf.DUMMYFUNCTION("""COMPUTED_VALUE"""),224)</f>
        <v>224</v>
      </c>
      <c r="L257" s="1" t="str">
        <f ca="1">IFERROR(__xludf.DUMMYFUNCTION("""COMPUTED_VALUE"""),"+.123")</f>
        <v>+.123</v>
      </c>
      <c r="M257" s="1">
        <f ca="1">IFERROR(__xludf.DUMMYFUNCTION("""COMPUTED_VALUE"""),6)</f>
        <v>6</v>
      </c>
      <c r="N257" s="1">
        <f ca="1">IFERROR(__xludf.DUMMYFUNCTION("""COMPUTED_VALUE"""),-6.4)</f>
        <v>-6.4</v>
      </c>
      <c r="O257" s="1">
        <f ca="1">IFERROR(__xludf.DUMMYFUNCTION("""COMPUTED_VALUE"""),300)</f>
        <v>300</v>
      </c>
      <c r="P257" s="1">
        <f ca="1">IFERROR(__xludf.DUMMYFUNCTION("""COMPUTED_VALUE"""),101.7)</f>
        <v>101.7</v>
      </c>
      <c r="Q257" s="1">
        <f ca="1">IFERROR(__xludf.DUMMYFUNCTION("""COMPUTED_VALUE"""),293)</f>
        <v>293</v>
      </c>
      <c r="R257" s="1">
        <f ca="1">IFERROR(__xludf.DUMMYFUNCTION("""COMPUTED_VALUE"""),108.1)</f>
        <v>108.1</v>
      </c>
      <c r="S257" s="1">
        <f ca="1">IFERROR(__xludf.DUMMYFUNCTION("""COMPUTED_VALUE"""),300)</f>
        <v>300</v>
      </c>
      <c r="T257" s="1" t="str">
        <f ca="1">IFERROR(__xludf.DUMMYFUNCTION("""COMPUTED_VALUE"""),"+8.07")</f>
        <v>+8.07</v>
      </c>
      <c r="U257" s="1">
        <f ca="1">IFERROR(__xludf.DUMMYFUNCTION("""COMPUTED_VALUE"""),14)</f>
        <v>14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IFERROR(__xludf.DUMMYFUNCTION("""COMPUTED_VALUE"""),"Santa Clara")</f>
        <v>Santa Clara</v>
      </c>
      <c r="C258" s="1" t="str">
        <f ca="1">IFERROR(__xludf.DUMMYFUNCTION("""COMPUTED_VALUE"""),"WCC")</f>
        <v>WCC</v>
      </c>
      <c r="D258" s="2">
        <f ca="1">IFERROR(__xludf.DUMMYFUNCTION("""COMPUTED_VALUE"""),44885)</f>
        <v>44885</v>
      </c>
      <c r="E258" s="1">
        <f ca="1">IFERROR(__xludf.DUMMYFUNCTION("""COMPUTED_VALUE"""),-7.07)</f>
        <v>-7.07</v>
      </c>
      <c r="F258" s="1">
        <f ca="1">IFERROR(__xludf.DUMMYFUNCTION("""COMPUTED_VALUE"""),101.8)</f>
        <v>101.8</v>
      </c>
      <c r="G258" s="1">
        <f ca="1">IFERROR(__xludf.DUMMYFUNCTION("""COMPUTED_VALUE"""),220)</f>
        <v>220</v>
      </c>
      <c r="H258" s="1">
        <f ca="1">IFERROR(__xludf.DUMMYFUNCTION("""COMPUTED_VALUE"""),108.9)</f>
        <v>108.9</v>
      </c>
      <c r="I258" s="1">
        <f ca="1">IFERROR(__xludf.DUMMYFUNCTION("""COMPUTED_VALUE"""),253)</f>
        <v>253</v>
      </c>
      <c r="J258" s="1">
        <f ca="1">IFERROR(__xludf.DUMMYFUNCTION("""COMPUTED_VALUE"""),65.5)</f>
        <v>65.5</v>
      </c>
      <c r="K258" s="1">
        <f ca="1">IFERROR(__xludf.DUMMYFUNCTION("""COMPUTED_VALUE"""),298)</f>
        <v>298</v>
      </c>
      <c r="L258" s="1" t="str">
        <f ca="1">IFERROR(__xludf.DUMMYFUNCTION("""COMPUTED_VALUE"""),"+.019")</f>
        <v>+.019</v>
      </c>
      <c r="M258" s="1">
        <f ca="1">IFERROR(__xludf.DUMMYFUNCTION("""COMPUTED_VALUE"""),125)</f>
        <v>125</v>
      </c>
      <c r="N258" s="1" t="str">
        <f ca="1">IFERROR(__xludf.DUMMYFUNCTION("""COMPUTED_VALUE"""),"+1.06")</f>
        <v>+1.06</v>
      </c>
      <c r="O258" s="1">
        <f ca="1">IFERROR(__xludf.DUMMYFUNCTION("""COMPUTED_VALUE"""),130)</f>
        <v>130</v>
      </c>
      <c r="P258" s="1">
        <f ca="1">IFERROR(__xludf.DUMMYFUNCTION("""COMPUTED_VALUE"""),105.4)</f>
        <v>105.4</v>
      </c>
      <c r="Q258" s="1">
        <f ca="1">IFERROR(__xludf.DUMMYFUNCTION("""COMPUTED_VALUE"""),131)</f>
        <v>131</v>
      </c>
      <c r="R258" s="1">
        <f ca="1">IFERROR(__xludf.DUMMYFUNCTION("""COMPUTED_VALUE"""),104.3)</f>
        <v>104.3</v>
      </c>
      <c r="S258" s="1">
        <f ca="1">IFERROR(__xludf.DUMMYFUNCTION("""COMPUTED_VALUE"""),134)</f>
        <v>134</v>
      </c>
      <c r="T258" s="1">
        <f ca="1">IFERROR(__xludf.DUMMYFUNCTION("""COMPUTED_VALUE"""),-1.82)</f>
        <v>-1.82</v>
      </c>
      <c r="U258" s="1">
        <f ca="1">IFERROR(__xludf.DUMMYFUNCTION("""COMPUTED_VALUE"""),217)</f>
        <v>217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IFERROR(__xludf.DUMMYFUNCTION("""COMPUTED_VALUE"""),"Drexel")</f>
        <v>Drexel</v>
      </c>
      <c r="C259" s="1" t="str">
        <f ca="1">IFERROR(__xludf.DUMMYFUNCTION("""COMPUTED_VALUE"""),"CAA")</f>
        <v>CAA</v>
      </c>
      <c r="D259" s="2">
        <f ca="1">IFERROR(__xludf.DUMMYFUNCTION("""COMPUTED_VALUE"""),44737)</f>
        <v>44737</v>
      </c>
      <c r="E259" s="1">
        <f ca="1">IFERROR(__xludf.DUMMYFUNCTION("""COMPUTED_VALUE"""),-7.16)</f>
        <v>-7.16</v>
      </c>
      <c r="F259" s="1">
        <f ca="1">IFERROR(__xludf.DUMMYFUNCTION("""COMPUTED_VALUE"""),99.5)</f>
        <v>99.5</v>
      </c>
      <c r="G259" s="1">
        <f ca="1">IFERROR(__xludf.DUMMYFUNCTION("""COMPUTED_VALUE"""),272)</f>
        <v>272</v>
      </c>
      <c r="H259" s="1">
        <f ca="1">IFERROR(__xludf.DUMMYFUNCTION("""COMPUTED_VALUE"""),106.7)</f>
        <v>106.7</v>
      </c>
      <c r="I259" s="1">
        <f ca="1">IFERROR(__xludf.DUMMYFUNCTION("""COMPUTED_VALUE"""),206)</f>
        <v>206</v>
      </c>
      <c r="J259" s="1">
        <f ca="1">IFERROR(__xludf.DUMMYFUNCTION("""COMPUTED_VALUE"""),64.5)</f>
        <v>64.5</v>
      </c>
      <c r="K259" s="1">
        <f ca="1">IFERROR(__xludf.DUMMYFUNCTION("""COMPUTED_VALUE"""),327)</f>
        <v>327</v>
      </c>
      <c r="L259" s="1">
        <f ca="1">IFERROR(__xludf.DUMMYFUNCTION("""COMPUTED_VALUE"""),-0.026)</f>
        <v>-2.5999999999999999E-2</v>
      </c>
      <c r="M259" s="1">
        <f ca="1">IFERROR(__xludf.DUMMYFUNCTION("""COMPUTED_VALUE"""),247)</f>
        <v>247</v>
      </c>
      <c r="N259" s="1" t="str">
        <f ca="1">IFERROR(__xludf.DUMMYFUNCTION("""COMPUTED_VALUE"""),"+2.78")</f>
        <v>+2.78</v>
      </c>
      <c r="O259" s="1">
        <f ca="1">IFERROR(__xludf.DUMMYFUNCTION("""COMPUTED_VALUE"""),99)</f>
        <v>99</v>
      </c>
      <c r="P259" s="1">
        <f ca="1">IFERROR(__xludf.DUMMYFUNCTION("""COMPUTED_VALUE"""),106.3)</f>
        <v>106.3</v>
      </c>
      <c r="Q259" s="1">
        <f ca="1">IFERROR(__xludf.DUMMYFUNCTION("""COMPUTED_VALUE"""),99)</f>
        <v>99</v>
      </c>
      <c r="R259" s="1">
        <f ca="1">IFERROR(__xludf.DUMMYFUNCTION("""COMPUTED_VALUE"""),103.5)</f>
        <v>103.5</v>
      </c>
      <c r="S259" s="1">
        <f ca="1">IFERROR(__xludf.DUMMYFUNCTION("""COMPUTED_VALUE"""),113)</f>
        <v>113</v>
      </c>
      <c r="T259" s="1" t="str">
        <f ca="1">IFERROR(__xludf.DUMMYFUNCTION("""COMPUTED_VALUE"""),"+1.71")</f>
        <v>+1.71</v>
      </c>
      <c r="U259" s="1">
        <f ca="1">IFERROR(__xludf.DUMMYFUNCTION("""COMPUTED_VALUE"""),118)</f>
        <v>118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IFERROR(__xludf.DUMMYFUNCTION("""COMPUTED_VALUE"""),"Montana St.")</f>
        <v>Montana St.</v>
      </c>
      <c r="C260" s="1" t="str">
        <f ca="1">IFERROR(__xludf.DUMMYFUNCTION("""COMPUTED_VALUE"""),"BSky")</f>
        <v>BSky</v>
      </c>
      <c r="D260" s="1" t="str">
        <f ca="1">IFERROR(__xludf.DUMMYFUNCTION("""COMPUTED_VALUE"""),"14-17")</f>
        <v>14-17</v>
      </c>
      <c r="E260" s="1">
        <f ca="1">IFERROR(__xludf.DUMMYFUNCTION("""COMPUTED_VALUE"""),-7.2)</f>
        <v>-7.2</v>
      </c>
      <c r="F260" s="1">
        <f ca="1">IFERROR(__xludf.DUMMYFUNCTION("""COMPUTED_VALUE"""),106.5)</f>
        <v>106.5</v>
      </c>
      <c r="G260" s="1">
        <f ca="1">IFERROR(__xludf.DUMMYFUNCTION("""COMPUTED_VALUE"""),148)</f>
        <v>148</v>
      </c>
      <c r="H260" s="1">
        <f ca="1">IFERROR(__xludf.DUMMYFUNCTION("""COMPUTED_VALUE"""),113.7)</f>
        <v>113.7</v>
      </c>
      <c r="I260" s="1">
        <f ca="1">IFERROR(__xludf.DUMMYFUNCTION("""COMPUTED_VALUE"""),324)</f>
        <v>324</v>
      </c>
      <c r="J260" s="1">
        <f ca="1">IFERROR(__xludf.DUMMYFUNCTION("""COMPUTED_VALUE"""),68.5)</f>
        <v>68.5</v>
      </c>
      <c r="K260" s="1">
        <f ca="1">IFERROR(__xludf.DUMMYFUNCTION("""COMPUTED_VALUE"""),142)</f>
        <v>142</v>
      </c>
      <c r="L260" s="1">
        <f ca="1">IFERROR(__xludf.DUMMYFUNCTION("""COMPUTED_VALUE"""),-0.024)</f>
        <v>-2.4E-2</v>
      </c>
      <c r="M260" s="1">
        <f ca="1">IFERROR(__xludf.DUMMYFUNCTION("""COMPUTED_VALUE"""),240)</f>
        <v>240</v>
      </c>
      <c r="N260" s="1">
        <f ca="1">IFERROR(__xludf.DUMMYFUNCTION("""COMPUTED_VALUE"""),-5.34)</f>
        <v>-5.34</v>
      </c>
      <c r="O260" s="1">
        <f ca="1">IFERROR(__xludf.DUMMYFUNCTION("""COMPUTED_VALUE"""),272)</f>
        <v>272</v>
      </c>
      <c r="P260" s="1">
        <f ca="1">IFERROR(__xludf.DUMMYFUNCTION("""COMPUTED_VALUE"""),102.2)</f>
        <v>102.2</v>
      </c>
      <c r="Q260" s="1">
        <f ca="1">IFERROR(__xludf.DUMMYFUNCTION("""COMPUTED_VALUE"""),274)</f>
        <v>274</v>
      </c>
      <c r="R260" s="1">
        <f ca="1">IFERROR(__xludf.DUMMYFUNCTION("""COMPUTED_VALUE"""),107.6)</f>
        <v>107.6</v>
      </c>
      <c r="S260" s="1">
        <f ca="1">IFERROR(__xludf.DUMMYFUNCTION("""COMPUTED_VALUE"""),271)</f>
        <v>271</v>
      </c>
      <c r="T260" s="1" t="str">
        <f ca="1">IFERROR(__xludf.DUMMYFUNCTION("""COMPUTED_VALUE"""),"+2.90")</f>
        <v>+2.90</v>
      </c>
      <c r="U260" s="1">
        <f ca="1">IFERROR(__xludf.DUMMYFUNCTION("""COMPUTED_VALUE"""),84)</f>
        <v>84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IFERROR(__xludf.DUMMYFUNCTION("""COMPUTED_VALUE"""),"Miami OH")</f>
        <v>Miami OH</v>
      </c>
      <c r="C261" s="1" t="str">
        <f ca="1">IFERROR(__xludf.DUMMYFUNCTION("""COMPUTED_VALUE"""),"MAC")</f>
        <v>MAC</v>
      </c>
      <c r="D261" s="1" t="str">
        <f ca="1">IFERROR(__xludf.DUMMYFUNCTION("""COMPUTED_VALUE"""),"13-20")</f>
        <v>13-20</v>
      </c>
      <c r="E261" s="1">
        <f ca="1">IFERROR(__xludf.DUMMYFUNCTION("""COMPUTED_VALUE"""),-7.25)</f>
        <v>-7.25</v>
      </c>
      <c r="F261" s="1">
        <f ca="1">IFERROR(__xludf.DUMMYFUNCTION("""COMPUTED_VALUE"""),97.4)</f>
        <v>97.4</v>
      </c>
      <c r="G261" s="1">
        <f ca="1">IFERROR(__xludf.DUMMYFUNCTION("""COMPUTED_VALUE"""),304)</f>
        <v>304</v>
      </c>
      <c r="H261" s="1">
        <f ca="1">IFERROR(__xludf.DUMMYFUNCTION("""COMPUTED_VALUE"""),104.7)</f>
        <v>104.7</v>
      </c>
      <c r="I261" s="1">
        <f ca="1">IFERROR(__xludf.DUMMYFUNCTION("""COMPUTED_VALUE"""),174)</f>
        <v>174</v>
      </c>
      <c r="J261" s="1">
        <f ca="1">IFERROR(__xludf.DUMMYFUNCTION("""COMPUTED_VALUE"""),64.3)</f>
        <v>64.3</v>
      </c>
      <c r="K261" s="1">
        <f ca="1">IFERROR(__xludf.DUMMYFUNCTION("""COMPUTED_VALUE"""),331)</f>
        <v>331</v>
      </c>
      <c r="L261" s="1" t="str">
        <f ca="1">IFERROR(__xludf.DUMMYFUNCTION("""COMPUTED_VALUE"""),"+.046")</f>
        <v>+.046</v>
      </c>
      <c r="M261" s="1">
        <f ca="1">IFERROR(__xludf.DUMMYFUNCTION("""COMPUTED_VALUE"""),69)</f>
        <v>69</v>
      </c>
      <c r="N261" s="1">
        <f ca="1">IFERROR(__xludf.DUMMYFUNCTION("""COMPUTED_VALUE"""),-0.62)</f>
        <v>-0.62</v>
      </c>
      <c r="O261" s="1">
        <f ca="1">IFERROR(__xludf.DUMMYFUNCTION("""COMPUTED_VALUE"""),163)</f>
        <v>163</v>
      </c>
      <c r="P261" s="1">
        <f ca="1">IFERROR(__xludf.DUMMYFUNCTION("""COMPUTED_VALUE"""),104.8)</f>
        <v>104.8</v>
      </c>
      <c r="Q261" s="1">
        <f ca="1">IFERROR(__xludf.DUMMYFUNCTION("""COMPUTED_VALUE"""),155)</f>
        <v>155</v>
      </c>
      <c r="R261" s="1">
        <f ca="1">IFERROR(__xludf.DUMMYFUNCTION("""COMPUTED_VALUE"""),105.4)</f>
        <v>105.4</v>
      </c>
      <c r="S261" s="1">
        <f ca="1">IFERROR(__xludf.DUMMYFUNCTION("""COMPUTED_VALUE"""),172)</f>
        <v>172</v>
      </c>
      <c r="T261" s="1">
        <f ca="1">IFERROR(__xludf.DUMMYFUNCTION("""COMPUTED_VALUE"""),-3.98)</f>
        <v>-3.98</v>
      </c>
      <c r="U261" s="1">
        <f ca="1">IFERROR(__xludf.DUMMYFUNCTION("""COMPUTED_VALUE"""),274)</f>
        <v>274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IFERROR(__xludf.DUMMYFUNCTION("""COMPUTED_VALUE"""),"Hampton16")</f>
        <v>Hampton16</v>
      </c>
      <c r="C262" s="1" t="str">
        <f ca="1">IFERROR(__xludf.DUMMYFUNCTION("""COMPUTED_VALUE"""),"MEAC")</f>
        <v>MEAC</v>
      </c>
      <c r="D262" s="1" t="str">
        <f ca="1">IFERROR(__xludf.DUMMYFUNCTION("""COMPUTED_VALUE"""),"21-11")</f>
        <v>21-11</v>
      </c>
      <c r="E262" s="1">
        <f ca="1">IFERROR(__xludf.DUMMYFUNCTION("""COMPUTED_VALUE"""),-7.4)</f>
        <v>-7.4</v>
      </c>
      <c r="F262" s="1">
        <f ca="1">IFERROR(__xludf.DUMMYFUNCTION("""COMPUTED_VALUE"""),99.8)</f>
        <v>99.8</v>
      </c>
      <c r="G262" s="1">
        <f ca="1">IFERROR(__xludf.DUMMYFUNCTION("""COMPUTED_VALUE"""),266)</f>
        <v>266</v>
      </c>
      <c r="H262" s="1">
        <f ca="1">IFERROR(__xludf.DUMMYFUNCTION("""COMPUTED_VALUE"""),107.2)</f>
        <v>107.2</v>
      </c>
      <c r="I262" s="1">
        <f ca="1">IFERROR(__xludf.DUMMYFUNCTION("""COMPUTED_VALUE"""),216)</f>
        <v>216</v>
      </c>
      <c r="J262" s="1">
        <f ca="1">IFERROR(__xludf.DUMMYFUNCTION("""COMPUTED_VALUE"""),71.2)</f>
        <v>71.2</v>
      </c>
      <c r="K262" s="1">
        <f ca="1">IFERROR(__xludf.DUMMYFUNCTION("""COMPUTED_VALUE"""),50)</f>
        <v>50</v>
      </c>
      <c r="L262" s="1" t="str">
        <f ca="1">IFERROR(__xludf.DUMMYFUNCTION("""COMPUTED_VALUE"""),"+.157")</f>
        <v>+.157</v>
      </c>
      <c r="M262" s="1">
        <f ca="1">IFERROR(__xludf.DUMMYFUNCTION("""COMPUTED_VALUE"""),2)</f>
        <v>2</v>
      </c>
      <c r="N262" s="1">
        <f ca="1">IFERROR(__xludf.DUMMYFUNCTION("""COMPUTED_VALUE"""),-9.75)</f>
        <v>-9.75</v>
      </c>
      <c r="O262" s="1">
        <f ca="1">IFERROR(__xludf.DUMMYFUNCTION("""COMPUTED_VALUE"""),341)</f>
        <v>341</v>
      </c>
      <c r="P262" s="1">
        <f ca="1">IFERROR(__xludf.DUMMYFUNCTION("""COMPUTED_VALUE"""),98.9)</f>
        <v>98.9</v>
      </c>
      <c r="Q262" s="1">
        <f ca="1">IFERROR(__xludf.DUMMYFUNCTION("""COMPUTED_VALUE"""),342)</f>
        <v>342</v>
      </c>
      <c r="R262" s="1">
        <f ca="1">IFERROR(__xludf.DUMMYFUNCTION("""COMPUTED_VALUE"""),108.7)</f>
        <v>108.7</v>
      </c>
      <c r="S262" s="1">
        <f ca="1">IFERROR(__xludf.DUMMYFUNCTION("""COMPUTED_VALUE"""),325)</f>
        <v>325</v>
      </c>
      <c r="T262" s="1" t="str">
        <f ca="1">IFERROR(__xludf.DUMMYFUNCTION("""COMPUTED_VALUE"""),"+1.91")</f>
        <v>+1.91</v>
      </c>
      <c r="U262" s="1">
        <f ca="1">IFERROR(__xludf.DUMMYFUNCTION("""COMPUTED_VALUE"""),112)</f>
        <v>112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IFERROR(__xludf.DUMMYFUNCTION("""COMPUTED_VALUE"""),"San Jose St.")</f>
        <v>San Jose St.</v>
      </c>
      <c r="C263" s="1" t="str">
        <f ca="1">IFERROR(__xludf.DUMMYFUNCTION("""COMPUTED_VALUE"""),"MWC")</f>
        <v>MWC</v>
      </c>
      <c r="D263" s="2">
        <f ca="1">IFERROR(__xludf.DUMMYFUNCTION("""COMPUTED_VALUE"""),44826)</f>
        <v>44826</v>
      </c>
      <c r="E263" s="1">
        <f ca="1">IFERROR(__xludf.DUMMYFUNCTION("""COMPUTED_VALUE"""),-7.46)</f>
        <v>-7.46</v>
      </c>
      <c r="F263" s="1">
        <f ca="1">IFERROR(__xludf.DUMMYFUNCTION("""COMPUTED_VALUE"""),97.2)</f>
        <v>97.2</v>
      </c>
      <c r="G263" s="1">
        <f ca="1">IFERROR(__xludf.DUMMYFUNCTION("""COMPUTED_VALUE"""),306)</f>
        <v>306</v>
      </c>
      <c r="H263" s="1">
        <f ca="1">IFERROR(__xludf.DUMMYFUNCTION("""COMPUTED_VALUE"""),104.7)</f>
        <v>104.7</v>
      </c>
      <c r="I263" s="1">
        <f ca="1">IFERROR(__xludf.DUMMYFUNCTION("""COMPUTED_VALUE"""),175)</f>
        <v>175</v>
      </c>
      <c r="J263" s="1">
        <f ca="1">IFERROR(__xludf.DUMMYFUNCTION("""COMPUTED_VALUE"""),69.5)</f>
        <v>69.5</v>
      </c>
      <c r="K263" s="1">
        <f ca="1">IFERROR(__xludf.DUMMYFUNCTION("""COMPUTED_VALUE"""),100)</f>
        <v>100</v>
      </c>
      <c r="L263" s="1">
        <f ca="1">IFERROR(__xludf.DUMMYFUNCTION("""COMPUTED_VALUE"""),-0.058)</f>
        <v>-5.8000000000000003E-2</v>
      </c>
      <c r="M263" s="1">
        <f ca="1">IFERROR(__xludf.DUMMYFUNCTION("""COMPUTED_VALUE"""),310)</f>
        <v>310</v>
      </c>
      <c r="N263" s="1" t="str">
        <f ca="1">IFERROR(__xludf.DUMMYFUNCTION("""COMPUTED_VALUE"""),"+1.12")</f>
        <v>+1.12</v>
      </c>
      <c r="O263" s="1">
        <f ca="1">IFERROR(__xludf.DUMMYFUNCTION("""COMPUTED_VALUE"""),129)</f>
        <v>129</v>
      </c>
      <c r="P263" s="1">
        <f ca="1">IFERROR(__xludf.DUMMYFUNCTION("""COMPUTED_VALUE"""),105.7)</f>
        <v>105.7</v>
      </c>
      <c r="Q263" s="1">
        <f ca="1">IFERROR(__xludf.DUMMYFUNCTION("""COMPUTED_VALUE"""),114)</f>
        <v>114</v>
      </c>
      <c r="R263" s="1">
        <f ca="1">IFERROR(__xludf.DUMMYFUNCTION("""COMPUTED_VALUE"""),104.6)</f>
        <v>104.6</v>
      </c>
      <c r="S263" s="1">
        <f ca="1">IFERROR(__xludf.DUMMYFUNCTION("""COMPUTED_VALUE"""),140)</f>
        <v>140</v>
      </c>
      <c r="T263" s="1">
        <f ca="1">IFERROR(__xludf.DUMMYFUNCTION("""COMPUTED_VALUE"""),-3.98)</f>
        <v>-3.98</v>
      </c>
      <c r="U263" s="1">
        <f ca="1">IFERROR(__xludf.DUMMYFUNCTION("""COMPUTED_VALUE"""),275)</f>
        <v>275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IFERROR(__xludf.DUMMYFUNCTION("""COMPUTED_VALUE"""),"UMKC")</f>
        <v>UMKC</v>
      </c>
      <c r="C264" s="1" t="str">
        <f ca="1">IFERROR(__xludf.DUMMYFUNCTION("""COMPUTED_VALUE"""),"WAC")</f>
        <v>WAC</v>
      </c>
      <c r="D264" s="2">
        <f ca="1">IFERROR(__xludf.DUMMYFUNCTION("""COMPUTED_VALUE"""),44914)</f>
        <v>44914</v>
      </c>
      <c r="E264" s="1">
        <f ca="1">IFERROR(__xludf.DUMMYFUNCTION("""COMPUTED_VALUE"""),-7.48)</f>
        <v>-7.48</v>
      </c>
      <c r="F264" s="1">
        <f ca="1">IFERROR(__xludf.DUMMYFUNCTION("""COMPUTED_VALUE"""),103.2)</f>
        <v>103.2</v>
      </c>
      <c r="G264" s="1">
        <f ca="1">IFERROR(__xludf.DUMMYFUNCTION("""COMPUTED_VALUE"""),198)</f>
        <v>198</v>
      </c>
      <c r="H264" s="1">
        <f ca="1">IFERROR(__xludf.DUMMYFUNCTION("""COMPUTED_VALUE"""),110.7)</f>
        <v>110.7</v>
      </c>
      <c r="I264" s="1">
        <f ca="1">IFERROR(__xludf.DUMMYFUNCTION("""COMPUTED_VALUE"""),283)</f>
        <v>283</v>
      </c>
      <c r="J264" s="1">
        <f ca="1">IFERROR(__xludf.DUMMYFUNCTION("""COMPUTED_VALUE"""),66.4)</f>
        <v>66.400000000000006</v>
      </c>
      <c r="K264" s="1">
        <f ca="1">IFERROR(__xludf.DUMMYFUNCTION("""COMPUTED_VALUE"""),258)</f>
        <v>258</v>
      </c>
      <c r="L264" s="1">
        <f ca="1">IFERROR(__xludf.DUMMYFUNCTION("""COMPUTED_VALUE"""),-0.054)</f>
        <v>-5.3999999999999999E-2</v>
      </c>
      <c r="M264" s="1">
        <f ca="1">IFERROR(__xludf.DUMMYFUNCTION("""COMPUTED_VALUE"""),302)</f>
        <v>302</v>
      </c>
      <c r="N264" s="1">
        <f ca="1">IFERROR(__xludf.DUMMYFUNCTION("""COMPUTED_VALUE"""),-1.92)</f>
        <v>-1.92</v>
      </c>
      <c r="O264" s="1">
        <f ca="1">IFERROR(__xludf.DUMMYFUNCTION("""COMPUTED_VALUE"""),196)</f>
        <v>196</v>
      </c>
      <c r="P264" s="1">
        <f ca="1">IFERROR(__xludf.DUMMYFUNCTION("""COMPUTED_VALUE"""),103.2)</f>
        <v>103.2</v>
      </c>
      <c r="Q264" s="1">
        <f ca="1">IFERROR(__xludf.DUMMYFUNCTION("""COMPUTED_VALUE"""),233)</f>
        <v>233</v>
      </c>
      <c r="R264" s="1">
        <f ca="1">IFERROR(__xludf.DUMMYFUNCTION("""COMPUTED_VALUE"""),105.1)</f>
        <v>105.1</v>
      </c>
      <c r="S264" s="1">
        <f ca="1">IFERROR(__xludf.DUMMYFUNCTION("""COMPUTED_VALUE"""),159)</f>
        <v>159</v>
      </c>
      <c r="T264" s="1" t="str">
        <f ca="1">IFERROR(__xludf.DUMMYFUNCTION("""COMPUTED_VALUE"""),"+5.07")</f>
        <v>+5.07</v>
      </c>
      <c r="U264" s="1">
        <f ca="1">IFERROR(__xludf.DUMMYFUNCTION("""COMPUTED_VALUE"""),36)</f>
        <v>36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IFERROR(__xludf.DUMMYFUNCTION("""COMPUTED_VALUE"""),"Arkansas St.")</f>
        <v>Arkansas St.</v>
      </c>
      <c r="C265" s="1" t="str">
        <f ca="1">IFERROR(__xludf.DUMMYFUNCTION("""COMPUTED_VALUE"""),"SB")</f>
        <v>SB</v>
      </c>
      <c r="D265" s="2">
        <f ca="1">IFERROR(__xludf.DUMMYFUNCTION("""COMPUTED_VALUE"""),44885)</f>
        <v>44885</v>
      </c>
      <c r="E265" s="1">
        <f ca="1">IFERROR(__xludf.DUMMYFUNCTION("""COMPUTED_VALUE"""),-7.51)</f>
        <v>-7.51</v>
      </c>
      <c r="F265" s="1">
        <f ca="1">IFERROR(__xludf.DUMMYFUNCTION("""COMPUTED_VALUE"""),100.3)</f>
        <v>100.3</v>
      </c>
      <c r="G265" s="1">
        <f ca="1">IFERROR(__xludf.DUMMYFUNCTION("""COMPUTED_VALUE"""),254)</f>
        <v>254</v>
      </c>
      <c r="H265" s="1">
        <f ca="1">IFERROR(__xludf.DUMMYFUNCTION("""COMPUTED_VALUE"""),107.8)</f>
        <v>107.8</v>
      </c>
      <c r="I265" s="1">
        <f ca="1">IFERROR(__xludf.DUMMYFUNCTION("""COMPUTED_VALUE"""),229)</f>
        <v>229</v>
      </c>
      <c r="J265" s="1">
        <f ca="1">IFERROR(__xludf.DUMMYFUNCTION("""COMPUTED_VALUE"""),72)</f>
        <v>72</v>
      </c>
      <c r="K265" s="1">
        <f ca="1">IFERROR(__xludf.DUMMYFUNCTION("""COMPUTED_VALUE"""),30)</f>
        <v>30</v>
      </c>
      <c r="L265" s="1">
        <f ca="1">IFERROR(__xludf.DUMMYFUNCTION("""COMPUTED_VALUE"""),-0.011)</f>
        <v>-1.0999999999999999E-2</v>
      </c>
      <c r="M265" s="1">
        <f ca="1">IFERROR(__xludf.DUMMYFUNCTION("""COMPUTED_VALUE"""),207)</f>
        <v>207</v>
      </c>
      <c r="N265" s="1">
        <f ca="1">IFERROR(__xludf.DUMMYFUNCTION("""COMPUTED_VALUE"""),-1.6)</f>
        <v>-1.6</v>
      </c>
      <c r="O265" s="1">
        <f ca="1">IFERROR(__xludf.DUMMYFUNCTION("""COMPUTED_VALUE"""),189)</f>
        <v>189</v>
      </c>
      <c r="P265" s="1">
        <f ca="1">IFERROR(__xludf.DUMMYFUNCTION("""COMPUTED_VALUE"""),103.1)</f>
        <v>103.1</v>
      </c>
      <c r="Q265" s="1">
        <f ca="1">IFERROR(__xludf.DUMMYFUNCTION("""COMPUTED_VALUE"""),238)</f>
        <v>238</v>
      </c>
      <c r="R265" s="1">
        <f ca="1">IFERROR(__xludf.DUMMYFUNCTION("""COMPUTED_VALUE"""),104.7)</f>
        <v>104.7</v>
      </c>
      <c r="S265" s="1">
        <f ca="1">IFERROR(__xludf.DUMMYFUNCTION("""COMPUTED_VALUE"""),144)</f>
        <v>144</v>
      </c>
      <c r="T265" s="1">
        <f ca="1">IFERROR(__xludf.DUMMYFUNCTION("""COMPUTED_VALUE"""),-1.88)</f>
        <v>-1.88</v>
      </c>
      <c r="U265" s="1">
        <f ca="1">IFERROR(__xludf.DUMMYFUNCTION("""COMPUTED_VALUE"""),220)</f>
        <v>220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IFERROR(__xludf.DUMMYFUNCTION("""COMPUTED_VALUE"""),"Norfolk St.")</f>
        <v>Norfolk St.</v>
      </c>
      <c r="C266" s="1" t="str">
        <f ca="1">IFERROR(__xludf.DUMMYFUNCTION("""COMPUTED_VALUE"""),"MEAC")</f>
        <v>MEAC</v>
      </c>
      <c r="D266" s="1" t="str">
        <f ca="1">IFERROR(__xludf.DUMMYFUNCTION("""COMPUTED_VALUE"""),"17-17")</f>
        <v>17-17</v>
      </c>
      <c r="E266" s="1">
        <f ca="1">IFERROR(__xludf.DUMMYFUNCTION("""COMPUTED_VALUE"""),-7.52)</f>
        <v>-7.52</v>
      </c>
      <c r="F266" s="1">
        <f ca="1">IFERROR(__xludf.DUMMYFUNCTION("""COMPUTED_VALUE"""),105.6)</f>
        <v>105.6</v>
      </c>
      <c r="G266" s="1">
        <f ca="1">IFERROR(__xludf.DUMMYFUNCTION("""COMPUTED_VALUE"""),162)</f>
        <v>162</v>
      </c>
      <c r="H266" s="1">
        <f ca="1">IFERROR(__xludf.DUMMYFUNCTION("""COMPUTED_VALUE"""),113.1)</f>
        <v>113.1</v>
      </c>
      <c r="I266" s="1">
        <f ca="1">IFERROR(__xludf.DUMMYFUNCTION("""COMPUTED_VALUE"""),319)</f>
        <v>319</v>
      </c>
      <c r="J266" s="1">
        <f ca="1">IFERROR(__xludf.DUMMYFUNCTION("""COMPUTED_VALUE"""),67.7)</f>
        <v>67.7</v>
      </c>
      <c r="K266" s="1">
        <f ca="1">IFERROR(__xludf.DUMMYFUNCTION("""COMPUTED_VALUE"""),192)</f>
        <v>192</v>
      </c>
      <c r="L266" s="1" t="str">
        <f ca="1">IFERROR(__xludf.DUMMYFUNCTION("""COMPUTED_VALUE"""),"+.001")</f>
        <v>+.001</v>
      </c>
      <c r="M266" s="1">
        <f ca="1">IFERROR(__xludf.DUMMYFUNCTION("""COMPUTED_VALUE"""),172)</f>
        <v>172</v>
      </c>
      <c r="N266" s="1">
        <f ca="1">IFERROR(__xludf.DUMMYFUNCTION("""COMPUTED_VALUE"""),-6.92)</f>
        <v>-6.92</v>
      </c>
      <c r="O266" s="1">
        <f ca="1">IFERROR(__xludf.DUMMYFUNCTION("""COMPUTED_VALUE"""),310)</f>
        <v>310</v>
      </c>
      <c r="P266" s="1">
        <f ca="1">IFERROR(__xludf.DUMMYFUNCTION("""COMPUTED_VALUE"""),100.2)</f>
        <v>100.2</v>
      </c>
      <c r="Q266" s="1">
        <f ca="1">IFERROR(__xludf.DUMMYFUNCTION("""COMPUTED_VALUE"""),327)</f>
        <v>327</v>
      </c>
      <c r="R266" s="1">
        <f ca="1">IFERROR(__xludf.DUMMYFUNCTION("""COMPUTED_VALUE"""),107.1)</f>
        <v>107.1</v>
      </c>
      <c r="S266" s="1">
        <f ca="1">IFERROR(__xludf.DUMMYFUNCTION("""COMPUTED_VALUE"""),245)</f>
        <v>245</v>
      </c>
      <c r="T266" s="1" t="str">
        <f ca="1">IFERROR(__xludf.DUMMYFUNCTION("""COMPUTED_VALUE"""),"+5.69")</f>
        <v>+5.69</v>
      </c>
      <c r="U266" s="1">
        <f ca="1">IFERROR(__xludf.DUMMYFUNCTION("""COMPUTED_VALUE"""),30)</f>
        <v>30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IFERROR(__xludf.DUMMYFUNCTION("""COMPUTED_VALUE"""),"Penn")</f>
        <v>Penn</v>
      </c>
      <c r="C267" s="1" t="str">
        <f ca="1">IFERROR(__xludf.DUMMYFUNCTION("""COMPUTED_VALUE"""),"Ivy")</f>
        <v>Ivy</v>
      </c>
      <c r="D267" s="2">
        <f ca="1">IFERROR(__xludf.DUMMYFUNCTION("""COMPUTED_VALUE"""),44882)</f>
        <v>44882</v>
      </c>
      <c r="E267" s="1">
        <f ca="1">IFERROR(__xludf.DUMMYFUNCTION("""COMPUTED_VALUE"""),-7.56)</f>
        <v>-7.56</v>
      </c>
      <c r="F267" s="1">
        <f ca="1">IFERROR(__xludf.DUMMYFUNCTION("""COMPUTED_VALUE"""),100.1)</f>
        <v>100.1</v>
      </c>
      <c r="G267" s="1">
        <f ca="1">IFERROR(__xludf.DUMMYFUNCTION("""COMPUTED_VALUE"""),259)</f>
        <v>259</v>
      </c>
      <c r="H267" s="1">
        <f ca="1">IFERROR(__xludf.DUMMYFUNCTION("""COMPUTED_VALUE"""),107.7)</f>
        <v>107.7</v>
      </c>
      <c r="I267" s="1">
        <f ca="1">IFERROR(__xludf.DUMMYFUNCTION("""COMPUTED_VALUE"""),226)</f>
        <v>226</v>
      </c>
      <c r="J267" s="1">
        <f ca="1">IFERROR(__xludf.DUMMYFUNCTION("""COMPUTED_VALUE"""),67.8)</f>
        <v>67.8</v>
      </c>
      <c r="K267" s="1">
        <f ca="1">IFERROR(__xludf.DUMMYFUNCTION("""COMPUTED_VALUE"""),190)</f>
        <v>190</v>
      </c>
      <c r="L267" s="1">
        <f ca="1">IFERROR(__xludf.DUMMYFUNCTION("""COMPUTED_VALUE"""),-0.025)</f>
        <v>-2.5000000000000001E-2</v>
      </c>
      <c r="M267" s="1">
        <f ca="1">IFERROR(__xludf.DUMMYFUNCTION("""COMPUTED_VALUE"""),243)</f>
        <v>243</v>
      </c>
      <c r="N267" s="1">
        <f ca="1">IFERROR(__xludf.DUMMYFUNCTION("""COMPUTED_VALUE"""),-2.75)</f>
        <v>-2.75</v>
      </c>
      <c r="O267" s="1">
        <f ca="1">IFERROR(__xludf.DUMMYFUNCTION("""COMPUTED_VALUE"""),210)</f>
        <v>210</v>
      </c>
      <c r="P267" s="1">
        <f ca="1">IFERROR(__xludf.DUMMYFUNCTION("""COMPUTED_VALUE"""),102.7)</f>
        <v>102.7</v>
      </c>
      <c r="Q267" s="1">
        <f ca="1">IFERROR(__xludf.DUMMYFUNCTION("""COMPUTED_VALUE"""),255)</f>
        <v>255</v>
      </c>
      <c r="R267" s="1">
        <f ca="1">IFERROR(__xludf.DUMMYFUNCTION("""COMPUTED_VALUE"""),105.4)</f>
        <v>105.4</v>
      </c>
      <c r="S267" s="1">
        <f ca="1">IFERROR(__xludf.DUMMYFUNCTION("""COMPUTED_VALUE"""),171)</f>
        <v>171</v>
      </c>
      <c r="T267" s="1">
        <f ca="1">IFERROR(__xludf.DUMMYFUNCTION("""COMPUTED_VALUE"""),-6.12)</f>
        <v>-6.12</v>
      </c>
      <c r="U267" s="1">
        <f ca="1">IFERROR(__xludf.DUMMYFUNCTION("""COMPUTED_VALUE"""),310)</f>
        <v>310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IFERROR(__xludf.DUMMYFUNCTION("""COMPUTED_VALUE"""),"Army")</f>
        <v>Army</v>
      </c>
      <c r="C268" s="1" t="str">
        <f ca="1">IFERROR(__xludf.DUMMYFUNCTION("""COMPUTED_VALUE"""),"Pat")</f>
        <v>Pat</v>
      </c>
      <c r="D268" s="1" t="str">
        <f ca="1">IFERROR(__xludf.DUMMYFUNCTION("""COMPUTED_VALUE"""),"19-14")</f>
        <v>19-14</v>
      </c>
      <c r="E268" s="1">
        <f ca="1">IFERROR(__xludf.DUMMYFUNCTION("""COMPUTED_VALUE"""),-7.57)</f>
        <v>-7.57</v>
      </c>
      <c r="F268" s="1">
        <f ca="1">IFERROR(__xludf.DUMMYFUNCTION("""COMPUTED_VALUE"""),99.5)</f>
        <v>99.5</v>
      </c>
      <c r="G268" s="1">
        <f ca="1">IFERROR(__xludf.DUMMYFUNCTION("""COMPUTED_VALUE"""),274)</f>
        <v>274</v>
      </c>
      <c r="H268" s="1">
        <f ca="1">IFERROR(__xludf.DUMMYFUNCTION("""COMPUTED_VALUE"""),107)</f>
        <v>107</v>
      </c>
      <c r="I268" s="1">
        <f ca="1">IFERROR(__xludf.DUMMYFUNCTION("""COMPUTED_VALUE"""),213)</f>
        <v>213</v>
      </c>
      <c r="J268" s="1">
        <f ca="1">IFERROR(__xludf.DUMMYFUNCTION("""COMPUTED_VALUE"""),72.2)</f>
        <v>72.2</v>
      </c>
      <c r="K268" s="1">
        <f ca="1">IFERROR(__xludf.DUMMYFUNCTION("""COMPUTED_VALUE"""),25)</f>
        <v>25</v>
      </c>
      <c r="L268" s="1" t="str">
        <f ca="1">IFERROR(__xludf.DUMMYFUNCTION("""COMPUTED_VALUE"""),"+.040")</f>
        <v>+.040</v>
      </c>
      <c r="M268" s="1">
        <f ca="1">IFERROR(__xludf.DUMMYFUNCTION("""COMPUTED_VALUE"""),84)</f>
        <v>84</v>
      </c>
      <c r="N268" s="1">
        <f ca="1">IFERROR(__xludf.DUMMYFUNCTION("""COMPUTED_VALUE"""),-8.64)</f>
        <v>-8.64</v>
      </c>
      <c r="O268" s="1">
        <f ca="1">IFERROR(__xludf.DUMMYFUNCTION("""COMPUTED_VALUE"""),333)</f>
        <v>333</v>
      </c>
      <c r="P268" s="1">
        <f ca="1">IFERROR(__xludf.DUMMYFUNCTION("""COMPUTED_VALUE"""),100.4)</f>
        <v>100.4</v>
      </c>
      <c r="Q268" s="1">
        <f ca="1">IFERROR(__xludf.DUMMYFUNCTION("""COMPUTED_VALUE"""),319)</f>
        <v>319</v>
      </c>
      <c r="R268" s="1">
        <f ca="1">IFERROR(__xludf.DUMMYFUNCTION("""COMPUTED_VALUE"""),109.1)</f>
        <v>109.1</v>
      </c>
      <c r="S268" s="1">
        <f ca="1">IFERROR(__xludf.DUMMYFUNCTION("""COMPUTED_VALUE"""),334)</f>
        <v>334</v>
      </c>
      <c r="T268" s="1">
        <f ca="1">IFERROR(__xludf.DUMMYFUNCTION("""COMPUTED_VALUE"""),-7.62)</f>
        <v>-7.62</v>
      </c>
      <c r="U268" s="1">
        <f ca="1">IFERROR(__xludf.DUMMYFUNCTION("""COMPUTED_VALUE"""),333)</f>
        <v>333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IFERROR(__xludf.DUMMYFUNCTION("""COMPUTED_VALUE"""),"Northern Kentucky")</f>
        <v>Northern Kentucky</v>
      </c>
      <c r="C269" s="1" t="str">
        <f ca="1">IFERROR(__xludf.DUMMYFUNCTION("""COMPUTED_VALUE"""),"Horz")</f>
        <v>Horz</v>
      </c>
      <c r="D269" s="2">
        <f ca="1">IFERROR(__xludf.DUMMYFUNCTION("""COMPUTED_VALUE"""),44825)</f>
        <v>44825</v>
      </c>
      <c r="E269" s="1">
        <f ca="1">IFERROR(__xludf.DUMMYFUNCTION("""COMPUTED_VALUE"""),-7.66)</f>
        <v>-7.66</v>
      </c>
      <c r="F269" s="1">
        <f ca="1">IFERROR(__xludf.DUMMYFUNCTION("""COMPUTED_VALUE"""),100.7)</f>
        <v>100.7</v>
      </c>
      <c r="G269" s="1">
        <f ca="1">IFERROR(__xludf.DUMMYFUNCTION("""COMPUTED_VALUE"""),244)</f>
        <v>244</v>
      </c>
      <c r="H269" s="1">
        <f ca="1">IFERROR(__xludf.DUMMYFUNCTION("""COMPUTED_VALUE"""),108.4)</f>
        <v>108.4</v>
      </c>
      <c r="I269" s="1">
        <f ca="1">IFERROR(__xludf.DUMMYFUNCTION("""COMPUTED_VALUE"""),240)</f>
        <v>240</v>
      </c>
      <c r="J269" s="1">
        <f ca="1">IFERROR(__xludf.DUMMYFUNCTION("""COMPUTED_VALUE"""),67.3)</f>
        <v>67.3</v>
      </c>
      <c r="K269" s="1">
        <f ca="1">IFERROR(__xludf.DUMMYFUNCTION("""COMPUTED_VALUE"""),220)</f>
        <v>220</v>
      </c>
      <c r="L269" s="1">
        <f ca="1">IFERROR(__xludf.DUMMYFUNCTION("""COMPUTED_VALUE"""),-0.079)</f>
        <v>-7.9000000000000001E-2</v>
      </c>
      <c r="M269" s="1">
        <f ca="1">IFERROR(__xludf.DUMMYFUNCTION("""COMPUTED_VALUE"""),332)</f>
        <v>332</v>
      </c>
      <c r="N269" s="1" t="str">
        <f ca="1">IFERROR(__xludf.DUMMYFUNCTION("""COMPUTED_VALUE"""),"+0.04")</f>
        <v>+0.04</v>
      </c>
      <c r="O269" s="1">
        <f ca="1">IFERROR(__xludf.DUMMYFUNCTION("""COMPUTED_VALUE"""),149)</f>
        <v>149</v>
      </c>
      <c r="P269" s="1">
        <f ca="1">IFERROR(__xludf.DUMMYFUNCTION("""COMPUTED_VALUE"""),105.3)</f>
        <v>105.3</v>
      </c>
      <c r="Q269" s="1">
        <f ca="1">IFERROR(__xludf.DUMMYFUNCTION("""COMPUTED_VALUE"""),141)</f>
        <v>141</v>
      </c>
      <c r="R269" s="1">
        <f ca="1">IFERROR(__xludf.DUMMYFUNCTION("""COMPUTED_VALUE"""),105.2)</f>
        <v>105.2</v>
      </c>
      <c r="S269" s="1">
        <f ca="1">IFERROR(__xludf.DUMMYFUNCTION("""COMPUTED_VALUE"""),165)</f>
        <v>165</v>
      </c>
      <c r="T269" s="1" t="str">
        <f ca="1">IFERROR(__xludf.DUMMYFUNCTION("""COMPUTED_VALUE"""),"+2.28")</f>
        <v>+2.28</v>
      </c>
      <c r="U269" s="1">
        <f ca="1">IFERROR(__xludf.DUMMYFUNCTION("""COMPUTED_VALUE"""),99)</f>
        <v>99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IFERROR(__xludf.DUMMYFUNCTION("""COMPUTED_VALUE"""),"Colgate")</f>
        <v>Colgate</v>
      </c>
      <c r="C270" s="1" t="str">
        <f ca="1">IFERROR(__xludf.DUMMYFUNCTION("""COMPUTED_VALUE"""),"Pat")</f>
        <v>Pat</v>
      </c>
      <c r="D270" s="1" t="str">
        <f ca="1">IFERROR(__xludf.DUMMYFUNCTION("""COMPUTED_VALUE"""),"13-17")</f>
        <v>13-17</v>
      </c>
      <c r="E270" s="1">
        <f ca="1">IFERROR(__xludf.DUMMYFUNCTION("""COMPUTED_VALUE"""),-7.71)</f>
        <v>-7.71</v>
      </c>
      <c r="F270" s="1">
        <f ca="1">IFERROR(__xludf.DUMMYFUNCTION("""COMPUTED_VALUE"""),104)</f>
        <v>104</v>
      </c>
      <c r="G270" s="1">
        <f ca="1">IFERROR(__xludf.DUMMYFUNCTION("""COMPUTED_VALUE"""),183)</f>
        <v>183</v>
      </c>
      <c r="H270" s="1">
        <f ca="1">IFERROR(__xludf.DUMMYFUNCTION("""COMPUTED_VALUE"""),111.7)</f>
        <v>111.7</v>
      </c>
      <c r="I270" s="1">
        <f ca="1">IFERROR(__xludf.DUMMYFUNCTION("""COMPUTED_VALUE"""),301)</f>
        <v>301</v>
      </c>
      <c r="J270" s="1">
        <f ca="1">IFERROR(__xludf.DUMMYFUNCTION("""COMPUTED_VALUE"""),64.9)</f>
        <v>64.900000000000006</v>
      </c>
      <c r="K270" s="1">
        <f ca="1">IFERROR(__xludf.DUMMYFUNCTION("""COMPUTED_VALUE"""),318)</f>
        <v>318</v>
      </c>
      <c r="L270" s="1">
        <f ca="1">IFERROR(__xludf.DUMMYFUNCTION("""COMPUTED_VALUE"""),-0.018)</f>
        <v>-1.7999999999999999E-2</v>
      </c>
      <c r="M270" s="1">
        <f ca="1">IFERROR(__xludf.DUMMYFUNCTION("""COMPUTED_VALUE"""),227)</f>
        <v>227</v>
      </c>
      <c r="N270" s="1">
        <f ca="1">IFERROR(__xludf.DUMMYFUNCTION("""COMPUTED_VALUE"""),-5.57)</f>
        <v>-5.57</v>
      </c>
      <c r="O270" s="1">
        <f ca="1">IFERROR(__xludf.DUMMYFUNCTION("""COMPUTED_VALUE"""),277)</f>
        <v>277</v>
      </c>
      <c r="P270" s="1">
        <f ca="1">IFERROR(__xludf.DUMMYFUNCTION("""COMPUTED_VALUE"""),101.2)</f>
        <v>101.2</v>
      </c>
      <c r="Q270" s="1">
        <f ca="1">IFERROR(__xludf.DUMMYFUNCTION("""COMPUTED_VALUE"""),305)</f>
        <v>305</v>
      </c>
      <c r="R270" s="1">
        <f ca="1">IFERROR(__xludf.DUMMYFUNCTION("""COMPUTED_VALUE"""),106.8)</f>
        <v>106.8</v>
      </c>
      <c r="S270" s="1">
        <f ca="1">IFERROR(__xludf.DUMMYFUNCTION("""COMPUTED_VALUE"""),227)</f>
        <v>227</v>
      </c>
      <c r="T270" s="1" t="str">
        <f ca="1">IFERROR(__xludf.DUMMYFUNCTION("""COMPUTED_VALUE"""),"+1.23")</f>
        <v>+1.23</v>
      </c>
      <c r="U270" s="1">
        <f ca="1">IFERROR(__xludf.DUMMYFUNCTION("""COMPUTED_VALUE"""),136)</f>
        <v>136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IFERROR(__xludf.DUMMYFUNCTION("""COMPUTED_VALUE"""),"Manhattan")</f>
        <v>Manhattan</v>
      </c>
      <c r="C271" s="1" t="str">
        <f ca="1">IFERROR(__xludf.DUMMYFUNCTION("""COMPUTED_VALUE"""),"MAAC")</f>
        <v>MAAC</v>
      </c>
      <c r="D271" s="1" t="str">
        <f ca="1">IFERROR(__xludf.DUMMYFUNCTION("""COMPUTED_VALUE"""),"13-18")</f>
        <v>13-18</v>
      </c>
      <c r="E271" s="1">
        <f ca="1">IFERROR(__xludf.DUMMYFUNCTION("""COMPUTED_VALUE"""),-7.77)</f>
        <v>-7.77</v>
      </c>
      <c r="F271" s="1">
        <f ca="1">IFERROR(__xludf.DUMMYFUNCTION("""COMPUTED_VALUE"""),98.8)</f>
        <v>98.8</v>
      </c>
      <c r="G271" s="1">
        <f ca="1">IFERROR(__xludf.DUMMYFUNCTION("""COMPUTED_VALUE"""),284)</f>
        <v>284</v>
      </c>
      <c r="H271" s="1">
        <f ca="1">IFERROR(__xludf.DUMMYFUNCTION("""COMPUTED_VALUE"""),106.6)</f>
        <v>106.6</v>
      </c>
      <c r="I271" s="1">
        <f ca="1">IFERROR(__xludf.DUMMYFUNCTION("""COMPUTED_VALUE"""),204)</f>
        <v>204</v>
      </c>
      <c r="J271" s="1">
        <f ca="1">IFERROR(__xludf.DUMMYFUNCTION("""COMPUTED_VALUE"""),67.9)</f>
        <v>67.900000000000006</v>
      </c>
      <c r="K271" s="1">
        <f ca="1">IFERROR(__xludf.DUMMYFUNCTION("""COMPUTED_VALUE"""),175)</f>
        <v>175</v>
      </c>
      <c r="L271" s="1" t="str">
        <f ca="1">IFERROR(__xludf.DUMMYFUNCTION("""COMPUTED_VALUE"""),"+.045")</f>
        <v>+.045</v>
      </c>
      <c r="M271" s="1">
        <f ca="1">IFERROR(__xludf.DUMMYFUNCTION("""COMPUTED_VALUE"""),73)</f>
        <v>73</v>
      </c>
      <c r="N271" s="1">
        <f ca="1">IFERROR(__xludf.DUMMYFUNCTION("""COMPUTED_VALUE"""),-3.44)</f>
        <v>-3.44</v>
      </c>
      <c r="O271" s="1">
        <f ca="1">IFERROR(__xludf.DUMMYFUNCTION("""COMPUTED_VALUE"""),224)</f>
        <v>224</v>
      </c>
      <c r="P271" s="1">
        <f ca="1">IFERROR(__xludf.DUMMYFUNCTION("""COMPUTED_VALUE"""),103)</f>
        <v>103</v>
      </c>
      <c r="Q271" s="1">
        <f ca="1">IFERROR(__xludf.DUMMYFUNCTION("""COMPUTED_VALUE"""),245)</f>
        <v>245</v>
      </c>
      <c r="R271" s="1">
        <f ca="1">IFERROR(__xludf.DUMMYFUNCTION("""COMPUTED_VALUE"""),106.4)</f>
        <v>106.4</v>
      </c>
      <c r="S271" s="1">
        <f ca="1">IFERROR(__xludf.DUMMYFUNCTION("""COMPUTED_VALUE"""),214)</f>
        <v>214</v>
      </c>
      <c r="T271" s="1">
        <f ca="1">IFERROR(__xludf.DUMMYFUNCTION("""COMPUTED_VALUE"""),-0.54)</f>
        <v>-0.54</v>
      </c>
      <c r="U271" s="1">
        <f ca="1">IFERROR(__xludf.DUMMYFUNCTION("""COMPUTED_VALUE"""),177)</f>
        <v>177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IFERROR(__xludf.DUMMYFUNCTION("""COMPUTED_VALUE"""),"Appalachian St.")</f>
        <v>Appalachian St.</v>
      </c>
      <c r="C272" s="1" t="str">
        <f ca="1">IFERROR(__xludf.DUMMYFUNCTION("""COMPUTED_VALUE"""),"SB")</f>
        <v>SB</v>
      </c>
      <c r="D272" s="2">
        <f ca="1">IFERROR(__xludf.DUMMYFUNCTION("""COMPUTED_VALUE"""),44826)</f>
        <v>44826</v>
      </c>
      <c r="E272" s="1">
        <f ca="1">IFERROR(__xludf.DUMMYFUNCTION("""COMPUTED_VALUE"""),-8.17)</f>
        <v>-8.17</v>
      </c>
      <c r="F272" s="1">
        <f ca="1">IFERROR(__xludf.DUMMYFUNCTION("""COMPUTED_VALUE"""),102.7)</f>
        <v>102.7</v>
      </c>
      <c r="G272" s="1">
        <f ca="1">IFERROR(__xludf.DUMMYFUNCTION("""COMPUTED_VALUE"""),206)</f>
        <v>206</v>
      </c>
      <c r="H272" s="1">
        <f ca="1">IFERROR(__xludf.DUMMYFUNCTION("""COMPUTED_VALUE"""),110.9)</f>
        <v>110.9</v>
      </c>
      <c r="I272" s="1">
        <f ca="1">IFERROR(__xludf.DUMMYFUNCTION("""COMPUTED_VALUE"""),287)</f>
        <v>287</v>
      </c>
      <c r="J272" s="1">
        <f ca="1">IFERROR(__xludf.DUMMYFUNCTION("""COMPUTED_VALUE"""),70.3)</f>
        <v>70.3</v>
      </c>
      <c r="K272" s="1">
        <f ca="1">IFERROR(__xludf.DUMMYFUNCTION("""COMPUTED_VALUE"""),69)</f>
        <v>69</v>
      </c>
      <c r="L272" s="1">
        <f ca="1">IFERROR(__xludf.DUMMYFUNCTION("""COMPUTED_VALUE"""),-0.015)</f>
        <v>-1.4999999999999999E-2</v>
      </c>
      <c r="M272" s="1">
        <f ca="1">IFERROR(__xludf.DUMMYFUNCTION("""COMPUTED_VALUE"""),218)</f>
        <v>218</v>
      </c>
      <c r="N272" s="1">
        <f ca="1">IFERROR(__xludf.DUMMYFUNCTION("""COMPUTED_VALUE"""),-0.42)</f>
        <v>-0.42</v>
      </c>
      <c r="O272" s="1">
        <f ca="1">IFERROR(__xludf.DUMMYFUNCTION("""COMPUTED_VALUE"""),159)</f>
        <v>159</v>
      </c>
      <c r="P272" s="1">
        <f ca="1">IFERROR(__xludf.DUMMYFUNCTION("""COMPUTED_VALUE"""),104)</f>
        <v>104</v>
      </c>
      <c r="Q272" s="1">
        <f ca="1">IFERROR(__xludf.DUMMYFUNCTION("""COMPUTED_VALUE"""),196)</f>
        <v>196</v>
      </c>
      <c r="R272" s="1">
        <f ca="1">IFERROR(__xludf.DUMMYFUNCTION("""COMPUTED_VALUE"""),104.4)</f>
        <v>104.4</v>
      </c>
      <c r="S272" s="1">
        <f ca="1">IFERROR(__xludf.DUMMYFUNCTION("""COMPUTED_VALUE"""),136)</f>
        <v>136</v>
      </c>
      <c r="T272" s="1" t="str">
        <f ca="1">IFERROR(__xludf.DUMMYFUNCTION("""COMPUTED_VALUE"""),"+1.80")</f>
        <v>+1.80</v>
      </c>
      <c r="U272" s="1">
        <f ca="1">IFERROR(__xludf.DUMMYFUNCTION("""COMPUTED_VALUE"""),115)</f>
        <v>115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IFERROR(__xludf.DUMMYFUNCTION("""COMPUTED_VALUE"""),"South Alabama")</f>
        <v>South Alabama</v>
      </c>
      <c r="C273" s="1" t="str">
        <f ca="1">IFERROR(__xludf.DUMMYFUNCTION("""COMPUTED_VALUE"""),"SB")</f>
        <v>SB</v>
      </c>
      <c r="D273" s="1" t="str">
        <f ca="1">IFERROR(__xludf.DUMMYFUNCTION("""COMPUTED_VALUE"""),"14-19")</f>
        <v>14-19</v>
      </c>
      <c r="E273" s="1">
        <f ca="1">IFERROR(__xludf.DUMMYFUNCTION("""COMPUTED_VALUE"""),-8.22)</f>
        <v>-8.2200000000000006</v>
      </c>
      <c r="F273" s="1">
        <f ca="1">IFERROR(__xludf.DUMMYFUNCTION("""COMPUTED_VALUE"""),95.8)</f>
        <v>95.8</v>
      </c>
      <c r="G273" s="1">
        <f ca="1">IFERROR(__xludf.DUMMYFUNCTION("""COMPUTED_VALUE"""),316)</f>
        <v>316</v>
      </c>
      <c r="H273" s="1">
        <f ca="1">IFERROR(__xludf.DUMMYFUNCTION("""COMPUTED_VALUE"""),104.1)</f>
        <v>104.1</v>
      </c>
      <c r="I273" s="1">
        <f ca="1">IFERROR(__xludf.DUMMYFUNCTION("""COMPUTED_VALUE"""),159)</f>
        <v>159</v>
      </c>
      <c r="J273" s="1">
        <f ca="1">IFERROR(__xludf.DUMMYFUNCTION("""COMPUTED_VALUE"""),69.6)</f>
        <v>69.599999999999994</v>
      </c>
      <c r="K273" s="1">
        <f ca="1">IFERROR(__xludf.DUMMYFUNCTION("""COMPUTED_VALUE"""),95)</f>
        <v>95</v>
      </c>
      <c r="L273" s="1" t="str">
        <f ca="1">IFERROR(__xludf.DUMMYFUNCTION("""COMPUTED_VALUE"""),"+.084")</f>
        <v>+.084</v>
      </c>
      <c r="M273" s="1">
        <f ca="1">IFERROR(__xludf.DUMMYFUNCTION("""COMPUTED_VALUE"""),24)</f>
        <v>24</v>
      </c>
      <c r="N273" s="1">
        <f ca="1">IFERROR(__xludf.DUMMYFUNCTION("""COMPUTED_VALUE"""),-0.7)</f>
        <v>-0.7</v>
      </c>
      <c r="O273" s="1">
        <f ca="1">IFERROR(__xludf.DUMMYFUNCTION("""COMPUTED_VALUE"""),164)</f>
        <v>164</v>
      </c>
      <c r="P273" s="1">
        <f ca="1">IFERROR(__xludf.DUMMYFUNCTION("""COMPUTED_VALUE"""),104.8)</f>
        <v>104.8</v>
      </c>
      <c r="Q273" s="1">
        <f ca="1">IFERROR(__xludf.DUMMYFUNCTION("""COMPUTED_VALUE"""),159)</f>
        <v>159</v>
      </c>
      <c r="R273" s="1">
        <f ca="1">IFERROR(__xludf.DUMMYFUNCTION("""COMPUTED_VALUE"""),105.4)</f>
        <v>105.4</v>
      </c>
      <c r="S273" s="1">
        <f ca="1">IFERROR(__xludf.DUMMYFUNCTION("""COMPUTED_VALUE"""),173)</f>
        <v>173</v>
      </c>
      <c r="T273" s="1" t="str">
        <f ca="1">IFERROR(__xludf.DUMMYFUNCTION("""COMPUTED_VALUE"""),"+0.85")</f>
        <v>+0.85</v>
      </c>
      <c r="U273" s="1">
        <f ca="1">IFERROR(__xludf.DUMMYFUNCTION("""COMPUTED_VALUE"""),143)</f>
        <v>143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IFERROR(__xludf.DUMMYFUNCTION("""COMPUTED_VALUE"""),"Portland St.")</f>
        <v>Portland St.</v>
      </c>
      <c r="C274" s="1" t="str">
        <f ca="1">IFERROR(__xludf.DUMMYFUNCTION("""COMPUTED_VALUE"""),"BSky")</f>
        <v>BSky</v>
      </c>
      <c r="D274" s="1" t="str">
        <f ca="1">IFERROR(__xludf.DUMMYFUNCTION("""COMPUTED_VALUE"""),"13-18")</f>
        <v>13-18</v>
      </c>
      <c r="E274" s="1">
        <f ca="1">IFERROR(__xludf.DUMMYFUNCTION("""COMPUTED_VALUE"""),-8.35)</f>
        <v>-8.35</v>
      </c>
      <c r="F274" s="1">
        <f ca="1">IFERROR(__xludf.DUMMYFUNCTION("""COMPUTED_VALUE"""),102.1)</f>
        <v>102.1</v>
      </c>
      <c r="G274" s="1">
        <f ca="1">IFERROR(__xludf.DUMMYFUNCTION("""COMPUTED_VALUE"""),217)</f>
        <v>217</v>
      </c>
      <c r="H274" s="1">
        <f ca="1">IFERROR(__xludf.DUMMYFUNCTION("""COMPUTED_VALUE"""),110.4)</f>
        <v>110.4</v>
      </c>
      <c r="I274" s="1">
        <f ca="1">IFERROR(__xludf.DUMMYFUNCTION("""COMPUTED_VALUE"""),279)</f>
        <v>279</v>
      </c>
      <c r="J274" s="1">
        <f ca="1">IFERROR(__xludf.DUMMYFUNCTION("""COMPUTED_VALUE"""),72.1)</f>
        <v>72.099999999999994</v>
      </c>
      <c r="K274" s="1">
        <f ca="1">IFERROR(__xludf.DUMMYFUNCTION("""COMPUTED_VALUE"""),29)</f>
        <v>29</v>
      </c>
      <c r="L274" s="1">
        <f ca="1">IFERROR(__xludf.DUMMYFUNCTION("""COMPUTED_VALUE"""),-0.045)</f>
        <v>-4.4999999999999998E-2</v>
      </c>
      <c r="M274" s="1">
        <f ca="1">IFERROR(__xludf.DUMMYFUNCTION("""COMPUTED_VALUE"""),284)</f>
        <v>284</v>
      </c>
      <c r="N274" s="1">
        <f ca="1">IFERROR(__xludf.DUMMYFUNCTION("""COMPUTED_VALUE"""),-6.15)</f>
        <v>-6.15</v>
      </c>
      <c r="O274" s="1">
        <f ca="1">IFERROR(__xludf.DUMMYFUNCTION("""COMPUTED_VALUE"""),292)</f>
        <v>292</v>
      </c>
      <c r="P274" s="1">
        <f ca="1">IFERROR(__xludf.DUMMYFUNCTION("""COMPUTED_VALUE"""),102.3)</f>
        <v>102.3</v>
      </c>
      <c r="Q274" s="1">
        <f ca="1">IFERROR(__xludf.DUMMYFUNCTION("""COMPUTED_VALUE"""),273)</f>
        <v>273</v>
      </c>
      <c r="R274" s="1">
        <f ca="1">IFERROR(__xludf.DUMMYFUNCTION("""COMPUTED_VALUE"""),108.4)</f>
        <v>108.4</v>
      </c>
      <c r="S274" s="1">
        <f ca="1">IFERROR(__xludf.DUMMYFUNCTION("""COMPUTED_VALUE"""),315)</f>
        <v>315</v>
      </c>
      <c r="T274" s="1">
        <f ca="1">IFERROR(__xludf.DUMMYFUNCTION("""COMPUTED_VALUE"""),-3.96)</f>
        <v>-3.96</v>
      </c>
      <c r="U274" s="1">
        <f ca="1">IFERROR(__xludf.DUMMYFUNCTION("""COMPUTED_VALUE"""),273)</f>
        <v>273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IFERROR(__xludf.DUMMYFUNCTION("""COMPUTED_VALUE"""),"Kennesaw St.")</f>
        <v>Kennesaw St.</v>
      </c>
      <c r="C275" s="1" t="str">
        <f ca="1">IFERROR(__xludf.DUMMYFUNCTION("""COMPUTED_VALUE"""),"ASun")</f>
        <v>ASun</v>
      </c>
      <c r="D275" s="2">
        <f ca="1">IFERROR(__xludf.DUMMYFUNCTION("""COMPUTED_VALUE"""),44885)</f>
        <v>44885</v>
      </c>
      <c r="E275" s="1">
        <f ca="1">IFERROR(__xludf.DUMMYFUNCTION("""COMPUTED_VALUE"""),-8.57)</f>
        <v>-8.57</v>
      </c>
      <c r="F275" s="1">
        <f ca="1">IFERROR(__xludf.DUMMYFUNCTION("""COMPUTED_VALUE"""),101.6)</f>
        <v>101.6</v>
      </c>
      <c r="G275" s="1">
        <f ca="1">IFERROR(__xludf.DUMMYFUNCTION("""COMPUTED_VALUE"""),224)</f>
        <v>224</v>
      </c>
      <c r="H275" s="1">
        <f ca="1">IFERROR(__xludf.DUMMYFUNCTION("""COMPUTED_VALUE"""),110.2)</f>
        <v>110.2</v>
      </c>
      <c r="I275" s="1">
        <f ca="1">IFERROR(__xludf.DUMMYFUNCTION("""COMPUTED_VALUE"""),275)</f>
        <v>275</v>
      </c>
      <c r="J275" s="1">
        <f ca="1">IFERROR(__xludf.DUMMYFUNCTION("""COMPUTED_VALUE"""),68.6)</f>
        <v>68.599999999999994</v>
      </c>
      <c r="K275" s="1">
        <f ca="1">IFERROR(__xludf.DUMMYFUNCTION("""COMPUTED_VALUE"""),139)</f>
        <v>139</v>
      </c>
      <c r="L275" s="1">
        <f ca="1">IFERROR(__xludf.DUMMYFUNCTION("""COMPUTED_VALUE"""),-0.026)</f>
        <v>-2.5999999999999999E-2</v>
      </c>
      <c r="M275" s="1">
        <f ca="1">IFERROR(__xludf.DUMMYFUNCTION("""COMPUTED_VALUE"""),245)</f>
        <v>245</v>
      </c>
      <c r="N275" s="1">
        <f ca="1">IFERROR(__xludf.DUMMYFUNCTION("""COMPUTED_VALUE"""),-1.44)</f>
        <v>-1.44</v>
      </c>
      <c r="O275" s="1">
        <f ca="1">IFERROR(__xludf.DUMMYFUNCTION("""COMPUTED_VALUE"""),182)</f>
        <v>182</v>
      </c>
      <c r="P275" s="1">
        <f ca="1">IFERROR(__xludf.DUMMYFUNCTION("""COMPUTED_VALUE"""),105.2)</f>
        <v>105.2</v>
      </c>
      <c r="Q275" s="1">
        <f ca="1">IFERROR(__xludf.DUMMYFUNCTION("""COMPUTED_VALUE"""),143)</f>
        <v>143</v>
      </c>
      <c r="R275" s="1">
        <f ca="1">IFERROR(__xludf.DUMMYFUNCTION("""COMPUTED_VALUE"""),106.6)</f>
        <v>106.6</v>
      </c>
      <c r="S275" s="1">
        <f ca="1">IFERROR(__xludf.DUMMYFUNCTION("""COMPUTED_VALUE"""),223)</f>
        <v>223</v>
      </c>
      <c r="T275" s="1" t="str">
        <f ca="1">IFERROR(__xludf.DUMMYFUNCTION("""COMPUTED_VALUE"""),"+6.60")</f>
        <v>+6.60</v>
      </c>
      <c r="U275" s="1">
        <f ca="1">IFERROR(__xludf.DUMMYFUNCTION("""COMPUTED_VALUE"""),21)</f>
        <v>21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IFERROR(__xludf.DUMMYFUNCTION("""COMPUTED_VALUE"""),"Drake")</f>
        <v>Drake</v>
      </c>
      <c r="C276" s="1" t="str">
        <f ca="1">IFERROR(__xludf.DUMMYFUNCTION("""COMPUTED_VALUE"""),"MVC")</f>
        <v>MVC</v>
      </c>
      <c r="D276" s="2">
        <f ca="1">IFERROR(__xludf.DUMMYFUNCTION("""COMPUTED_VALUE"""),44766)</f>
        <v>44766</v>
      </c>
      <c r="E276" s="1">
        <f ca="1">IFERROR(__xludf.DUMMYFUNCTION("""COMPUTED_VALUE"""),-8.6)</f>
        <v>-8.6</v>
      </c>
      <c r="F276" s="1">
        <f ca="1">IFERROR(__xludf.DUMMYFUNCTION("""COMPUTED_VALUE"""),104.1)</f>
        <v>104.1</v>
      </c>
      <c r="G276" s="1">
        <f ca="1">IFERROR(__xludf.DUMMYFUNCTION("""COMPUTED_VALUE"""),179)</f>
        <v>179</v>
      </c>
      <c r="H276" s="1">
        <f ca="1">IFERROR(__xludf.DUMMYFUNCTION("""COMPUTED_VALUE"""),112.7)</f>
        <v>112.7</v>
      </c>
      <c r="I276" s="1">
        <f ca="1">IFERROR(__xludf.DUMMYFUNCTION("""COMPUTED_VALUE"""),311)</f>
        <v>311</v>
      </c>
      <c r="J276" s="1">
        <f ca="1">IFERROR(__xludf.DUMMYFUNCTION("""COMPUTED_VALUE"""),65.4)</f>
        <v>65.400000000000006</v>
      </c>
      <c r="K276" s="1">
        <f ca="1">IFERROR(__xludf.DUMMYFUNCTION("""COMPUTED_VALUE"""),300)</f>
        <v>300</v>
      </c>
      <c r="L276" s="1">
        <f ca="1">IFERROR(__xludf.DUMMYFUNCTION("""COMPUTED_VALUE"""),-0.101)</f>
        <v>-0.10100000000000001</v>
      </c>
      <c r="M276" s="1">
        <f ca="1">IFERROR(__xludf.DUMMYFUNCTION("""COMPUTED_VALUE"""),343)</f>
        <v>343</v>
      </c>
      <c r="N276" s="1" t="str">
        <f ca="1">IFERROR(__xludf.DUMMYFUNCTION("""COMPUTED_VALUE"""),"+0.10")</f>
        <v>+0.10</v>
      </c>
      <c r="O276" s="1">
        <f ca="1">IFERROR(__xludf.DUMMYFUNCTION("""COMPUTED_VALUE"""),147)</f>
        <v>147</v>
      </c>
      <c r="P276" s="1">
        <f ca="1">IFERROR(__xludf.DUMMYFUNCTION("""COMPUTED_VALUE"""),102.4)</f>
        <v>102.4</v>
      </c>
      <c r="Q276" s="1">
        <f ca="1">IFERROR(__xludf.DUMMYFUNCTION("""COMPUTED_VALUE"""),266)</f>
        <v>266</v>
      </c>
      <c r="R276" s="1">
        <f ca="1">IFERROR(__xludf.DUMMYFUNCTION("""COMPUTED_VALUE"""),102.3)</f>
        <v>102.3</v>
      </c>
      <c r="S276" s="1">
        <f ca="1">IFERROR(__xludf.DUMMYFUNCTION("""COMPUTED_VALUE"""),84)</f>
        <v>84</v>
      </c>
      <c r="T276" s="1">
        <f ca="1">IFERROR(__xludf.DUMMYFUNCTION("""COMPUTED_VALUE"""),-3.02)</f>
        <v>-3.02</v>
      </c>
      <c r="U276" s="1">
        <f ca="1">IFERROR(__xludf.DUMMYFUNCTION("""COMPUTED_VALUE"""),251)</f>
        <v>251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IFERROR(__xludf.DUMMYFUNCTION("""COMPUTED_VALUE"""),"Mount St. Mary's")</f>
        <v>Mount St. Mary's</v>
      </c>
      <c r="C277" s="1" t="str">
        <f ca="1">IFERROR(__xludf.DUMMYFUNCTION("""COMPUTED_VALUE"""),"NEC")</f>
        <v>NEC</v>
      </c>
      <c r="D277" s="1" t="str">
        <f ca="1">IFERROR(__xludf.DUMMYFUNCTION("""COMPUTED_VALUE"""),"14-19")</f>
        <v>14-19</v>
      </c>
      <c r="E277" s="1">
        <f ca="1">IFERROR(__xludf.DUMMYFUNCTION("""COMPUTED_VALUE"""),-8.78)</f>
        <v>-8.7799999999999994</v>
      </c>
      <c r="F277" s="1">
        <f ca="1">IFERROR(__xludf.DUMMYFUNCTION("""COMPUTED_VALUE"""),93.7)</f>
        <v>93.7</v>
      </c>
      <c r="G277" s="1">
        <f ca="1">IFERROR(__xludf.DUMMYFUNCTION("""COMPUTED_VALUE"""),330)</f>
        <v>330</v>
      </c>
      <c r="H277" s="1">
        <f ca="1">IFERROR(__xludf.DUMMYFUNCTION("""COMPUTED_VALUE"""),102.4)</f>
        <v>102.4</v>
      </c>
      <c r="I277" s="1">
        <f ca="1">IFERROR(__xludf.DUMMYFUNCTION("""COMPUTED_VALUE"""),127)</f>
        <v>127</v>
      </c>
      <c r="J277" s="1">
        <f ca="1">IFERROR(__xludf.DUMMYFUNCTION("""COMPUTED_VALUE"""),68.5)</f>
        <v>68.5</v>
      </c>
      <c r="K277" s="1">
        <f ca="1">IFERROR(__xludf.DUMMYFUNCTION("""COMPUTED_VALUE"""),145)</f>
        <v>145</v>
      </c>
      <c r="L277" s="1">
        <f ca="1">IFERROR(__xludf.DUMMYFUNCTION("""COMPUTED_VALUE"""),-0.032)</f>
        <v>-3.2000000000000001E-2</v>
      </c>
      <c r="M277" s="1">
        <f ca="1">IFERROR(__xludf.DUMMYFUNCTION("""COMPUTED_VALUE"""),259)</f>
        <v>259</v>
      </c>
      <c r="N277" s="1">
        <f ca="1">IFERROR(__xludf.DUMMYFUNCTION("""COMPUTED_VALUE"""),-8.2)</f>
        <v>-8.1999999999999993</v>
      </c>
      <c r="O277" s="1">
        <f ca="1">IFERROR(__xludf.DUMMYFUNCTION("""COMPUTED_VALUE"""),330)</f>
        <v>330</v>
      </c>
      <c r="P277" s="1">
        <f ca="1">IFERROR(__xludf.DUMMYFUNCTION("""COMPUTED_VALUE"""),100.3)</f>
        <v>100.3</v>
      </c>
      <c r="Q277" s="1">
        <f ca="1">IFERROR(__xludf.DUMMYFUNCTION("""COMPUTED_VALUE"""),324)</f>
        <v>324</v>
      </c>
      <c r="R277" s="1">
        <f ca="1">IFERROR(__xludf.DUMMYFUNCTION("""COMPUTED_VALUE"""),108.5)</f>
        <v>108.5</v>
      </c>
      <c r="S277" s="1">
        <f ca="1">IFERROR(__xludf.DUMMYFUNCTION("""COMPUTED_VALUE"""),319)</f>
        <v>319</v>
      </c>
      <c r="T277" s="1" t="str">
        <f ca="1">IFERROR(__xludf.DUMMYFUNCTION("""COMPUTED_VALUE"""),"+2.40")</f>
        <v>+2.40</v>
      </c>
      <c r="U277" s="1">
        <f ca="1">IFERROR(__xludf.DUMMYFUNCTION("""COMPUTED_VALUE"""),97)</f>
        <v>97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IFERROR(__xludf.DUMMYFUNCTION("""COMPUTED_VALUE"""),"Cal St. Fullerton")</f>
        <v>Cal St. Fullerton</v>
      </c>
      <c r="C278" s="1" t="str">
        <f ca="1">IFERROR(__xludf.DUMMYFUNCTION("""COMPUTED_VALUE"""),"BW")</f>
        <v>BW</v>
      </c>
      <c r="D278" s="2">
        <f ca="1">IFERROR(__xludf.DUMMYFUNCTION("""COMPUTED_VALUE"""),44854)</f>
        <v>44854</v>
      </c>
      <c r="E278" s="1">
        <f ca="1">IFERROR(__xludf.DUMMYFUNCTION("""COMPUTED_VALUE"""),-8.82)</f>
        <v>-8.82</v>
      </c>
      <c r="F278" s="1">
        <f ca="1">IFERROR(__xludf.DUMMYFUNCTION("""COMPUTED_VALUE"""),101.7)</f>
        <v>101.7</v>
      </c>
      <c r="G278" s="1">
        <f ca="1">IFERROR(__xludf.DUMMYFUNCTION("""COMPUTED_VALUE"""),223)</f>
        <v>223</v>
      </c>
      <c r="H278" s="1">
        <f ca="1">IFERROR(__xludf.DUMMYFUNCTION("""COMPUTED_VALUE"""),110.5)</f>
        <v>110.5</v>
      </c>
      <c r="I278" s="1">
        <f ca="1">IFERROR(__xludf.DUMMYFUNCTION("""COMPUTED_VALUE"""),281)</f>
        <v>281</v>
      </c>
      <c r="J278" s="1">
        <f ca="1">IFERROR(__xludf.DUMMYFUNCTION("""COMPUTED_VALUE"""),68.6)</f>
        <v>68.599999999999994</v>
      </c>
      <c r="K278" s="1">
        <f ca="1">IFERROR(__xludf.DUMMYFUNCTION("""COMPUTED_VALUE"""),137)</f>
        <v>137</v>
      </c>
      <c r="L278" s="1" t="str">
        <f ca="1">IFERROR(__xludf.DUMMYFUNCTION("""COMPUTED_VALUE"""),"+.011")</f>
        <v>+.011</v>
      </c>
      <c r="M278" s="1">
        <f ca="1">IFERROR(__xludf.DUMMYFUNCTION("""COMPUTED_VALUE"""),151)</f>
        <v>151</v>
      </c>
      <c r="N278" s="1">
        <f ca="1">IFERROR(__xludf.DUMMYFUNCTION("""COMPUTED_VALUE"""),-0.12)</f>
        <v>-0.12</v>
      </c>
      <c r="O278" s="1">
        <f ca="1">IFERROR(__xludf.DUMMYFUNCTION("""COMPUTED_VALUE"""),152)</f>
        <v>152</v>
      </c>
      <c r="P278" s="1">
        <f ca="1">IFERROR(__xludf.DUMMYFUNCTION("""COMPUTED_VALUE"""),103.6)</f>
        <v>103.6</v>
      </c>
      <c r="Q278" s="1">
        <f ca="1">IFERROR(__xludf.DUMMYFUNCTION("""COMPUTED_VALUE"""),209)</f>
        <v>209</v>
      </c>
      <c r="R278" s="1">
        <f ca="1">IFERROR(__xludf.DUMMYFUNCTION("""COMPUTED_VALUE"""),103.8)</f>
        <v>103.8</v>
      </c>
      <c r="S278" s="1">
        <f ca="1">IFERROR(__xludf.DUMMYFUNCTION("""COMPUTED_VALUE"""),117)</f>
        <v>117</v>
      </c>
      <c r="T278" s="1">
        <f ca="1">IFERROR(__xludf.DUMMYFUNCTION("""COMPUTED_VALUE"""),-2.82)</f>
        <v>-2.82</v>
      </c>
      <c r="U278" s="1">
        <f ca="1">IFERROR(__xludf.DUMMYFUNCTION("""COMPUTED_VALUE"""),242)</f>
        <v>242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IFERROR(__xludf.DUMMYFUNCTION("""COMPUTED_VALUE"""),"Brown")</f>
        <v>Brown</v>
      </c>
      <c r="C279" s="1" t="str">
        <f ca="1">IFERROR(__xludf.DUMMYFUNCTION("""COMPUTED_VALUE"""),"Ivy")</f>
        <v>Ivy</v>
      </c>
      <c r="D279" s="2">
        <f ca="1">IFERROR(__xludf.DUMMYFUNCTION("""COMPUTED_VALUE"""),44793)</f>
        <v>44793</v>
      </c>
      <c r="E279" s="1">
        <f ca="1">IFERROR(__xludf.DUMMYFUNCTION("""COMPUTED_VALUE"""),-9.26)</f>
        <v>-9.26</v>
      </c>
      <c r="F279" s="1">
        <f ca="1">IFERROR(__xludf.DUMMYFUNCTION("""COMPUTED_VALUE"""),102.4)</f>
        <v>102.4</v>
      </c>
      <c r="G279" s="1">
        <f ca="1">IFERROR(__xludf.DUMMYFUNCTION("""COMPUTED_VALUE"""),211)</f>
        <v>211</v>
      </c>
      <c r="H279" s="1">
        <f ca="1">IFERROR(__xludf.DUMMYFUNCTION("""COMPUTED_VALUE"""),111.6)</f>
        <v>111.6</v>
      </c>
      <c r="I279" s="1">
        <f ca="1">IFERROR(__xludf.DUMMYFUNCTION("""COMPUTED_VALUE"""),300)</f>
        <v>300</v>
      </c>
      <c r="J279" s="1">
        <f ca="1">IFERROR(__xludf.DUMMYFUNCTION("""COMPUTED_VALUE"""),70.4)</f>
        <v>70.400000000000006</v>
      </c>
      <c r="K279" s="1">
        <f ca="1">IFERROR(__xludf.DUMMYFUNCTION("""COMPUTED_VALUE"""),67)</f>
        <v>67</v>
      </c>
      <c r="L279" s="1">
        <f ca="1">IFERROR(__xludf.DUMMYFUNCTION("""COMPUTED_VALUE"""),-0.056)</f>
        <v>-5.6000000000000001E-2</v>
      </c>
      <c r="M279" s="1">
        <f ca="1">IFERROR(__xludf.DUMMYFUNCTION("""COMPUTED_VALUE"""),308)</f>
        <v>308</v>
      </c>
      <c r="N279" s="1">
        <f ca="1">IFERROR(__xludf.DUMMYFUNCTION("""COMPUTED_VALUE"""),-3.02)</f>
        <v>-3.02</v>
      </c>
      <c r="O279" s="1">
        <f ca="1">IFERROR(__xludf.DUMMYFUNCTION("""COMPUTED_VALUE"""),215)</f>
        <v>215</v>
      </c>
      <c r="P279" s="1">
        <f ca="1">IFERROR(__xludf.DUMMYFUNCTION("""COMPUTED_VALUE"""),102.8)</f>
        <v>102.8</v>
      </c>
      <c r="Q279" s="1">
        <f ca="1">IFERROR(__xludf.DUMMYFUNCTION("""COMPUTED_VALUE"""),250)</f>
        <v>250</v>
      </c>
      <c r="R279" s="1">
        <f ca="1">IFERROR(__xludf.DUMMYFUNCTION("""COMPUTED_VALUE"""),105.8)</f>
        <v>105.8</v>
      </c>
      <c r="S279" s="1">
        <f ca="1">IFERROR(__xludf.DUMMYFUNCTION("""COMPUTED_VALUE"""),188)</f>
        <v>188</v>
      </c>
      <c r="T279" s="1">
        <f ca="1">IFERROR(__xludf.DUMMYFUNCTION("""COMPUTED_VALUE"""),-7.09)</f>
        <v>-7.09</v>
      </c>
      <c r="U279" s="1">
        <f ca="1">IFERROR(__xludf.DUMMYFUNCTION("""COMPUTED_VALUE"""),327)</f>
        <v>327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IFERROR(__xludf.DUMMYFUNCTION("""COMPUTED_VALUE"""),"Eastern Illinois")</f>
        <v>Eastern Illinois</v>
      </c>
      <c r="C280" s="1" t="str">
        <f ca="1">IFERROR(__xludf.DUMMYFUNCTION("""COMPUTED_VALUE"""),"OVC")</f>
        <v>OVC</v>
      </c>
      <c r="D280" s="1" t="str">
        <f ca="1">IFERROR(__xludf.DUMMYFUNCTION("""COMPUTED_VALUE"""),"13-17")</f>
        <v>13-17</v>
      </c>
      <c r="E280" s="1">
        <f ca="1">IFERROR(__xludf.DUMMYFUNCTION("""COMPUTED_VALUE"""),-9.34)</f>
        <v>-9.34</v>
      </c>
      <c r="F280" s="1">
        <f ca="1">IFERROR(__xludf.DUMMYFUNCTION("""COMPUTED_VALUE"""),100.5)</f>
        <v>100.5</v>
      </c>
      <c r="G280" s="1">
        <f ca="1">IFERROR(__xludf.DUMMYFUNCTION("""COMPUTED_VALUE"""),249)</f>
        <v>249</v>
      </c>
      <c r="H280" s="1">
        <f ca="1">IFERROR(__xludf.DUMMYFUNCTION("""COMPUTED_VALUE"""),109.8)</f>
        <v>109.8</v>
      </c>
      <c r="I280" s="1">
        <f ca="1">IFERROR(__xludf.DUMMYFUNCTION("""COMPUTED_VALUE"""),270)</f>
        <v>270</v>
      </c>
      <c r="J280" s="1">
        <f ca="1">IFERROR(__xludf.DUMMYFUNCTION("""COMPUTED_VALUE"""),67.2)</f>
        <v>67.2</v>
      </c>
      <c r="K280" s="1">
        <f ca="1">IFERROR(__xludf.DUMMYFUNCTION("""COMPUTED_VALUE"""),227)</f>
        <v>227</v>
      </c>
      <c r="L280" s="1" t="str">
        <f ca="1">IFERROR(__xludf.DUMMYFUNCTION("""COMPUTED_VALUE"""),"+.046")</f>
        <v>+.046</v>
      </c>
      <c r="M280" s="1">
        <f ca="1">IFERROR(__xludf.DUMMYFUNCTION("""COMPUTED_VALUE"""),71)</f>
        <v>71</v>
      </c>
      <c r="N280" s="1">
        <f ca="1">IFERROR(__xludf.DUMMYFUNCTION("""COMPUTED_VALUE"""),-3.87)</f>
        <v>-3.87</v>
      </c>
      <c r="O280" s="1">
        <f ca="1">IFERROR(__xludf.DUMMYFUNCTION("""COMPUTED_VALUE"""),236)</f>
        <v>236</v>
      </c>
      <c r="P280" s="1">
        <f ca="1">IFERROR(__xludf.DUMMYFUNCTION("""COMPUTED_VALUE"""),103.9)</f>
        <v>103.9</v>
      </c>
      <c r="Q280" s="1">
        <f ca="1">IFERROR(__xludf.DUMMYFUNCTION("""COMPUTED_VALUE"""),200)</f>
        <v>200</v>
      </c>
      <c r="R280" s="1">
        <f ca="1">IFERROR(__xludf.DUMMYFUNCTION("""COMPUTED_VALUE"""),107.8)</f>
        <v>107.8</v>
      </c>
      <c r="S280" s="1">
        <f ca="1">IFERROR(__xludf.DUMMYFUNCTION("""COMPUTED_VALUE"""),285)</f>
        <v>285</v>
      </c>
      <c r="T280" s="1" t="str">
        <f ca="1">IFERROR(__xludf.DUMMYFUNCTION("""COMPUTED_VALUE"""),"+0.18")</f>
        <v>+0.18</v>
      </c>
      <c r="U280" s="1">
        <f ca="1">IFERROR(__xludf.DUMMYFUNCTION("""COMPUTED_VALUE"""),163)</f>
        <v>163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IFERROR(__xludf.DUMMYFUNCTION("""COMPUTED_VALUE"""),"La Salle")</f>
        <v>La Salle</v>
      </c>
      <c r="C281" s="1" t="str">
        <f ca="1">IFERROR(__xludf.DUMMYFUNCTION("""COMPUTED_VALUE"""),"A10")</f>
        <v>A10</v>
      </c>
      <c r="D281" s="2">
        <f ca="1">IFERROR(__xludf.DUMMYFUNCTION("""COMPUTED_VALUE"""),44826)</f>
        <v>44826</v>
      </c>
      <c r="E281" s="1">
        <f ca="1">IFERROR(__xludf.DUMMYFUNCTION("""COMPUTED_VALUE"""),-9.34)</f>
        <v>-9.34</v>
      </c>
      <c r="F281" s="1">
        <f ca="1">IFERROR(__xludf.DUMMYFUNCTION("""COMPUTED_VALUE"""),99.2)</f>
        <v>99.2</v>
      </c>
      <c r="G281" s="1">
        <f ca="1">IFERROR(__xludf.DUMMYFUNCTION("""COMPUTED_VALUE"""),279)</f>
        <v>279</v>
      </c>
      <c r="H281" s="1">
        <f ca="1">IFERROR(__xludf.DUMMYFUNCTION("""COMPUTED_VALUE"""),108.5)</f>
        <v>108.5</v>
      </c>
      <c r="I281" s="1">
        <f ca="1">IFERROR(__xludf.DUMMYFUNCTION("""COMPUTED_VALUE"""),243)</f>
        <v>243</v>
      </c>
      <c r="J281" s="1">
        <f ca="1">IFERROR(__xludf.DUMMYFUNCTION("""COMPUTED_VALUE"""),66.3)</f>
        <v>66.3</v>
      </c>
      <c r="K281" s="1">
        <f ca="1">IFERROR(__xludf.DUMMYFUNCTION("""COMPUTED_VALUE"""),261)</f>
        <v>261</v>
      </c>
      <c r="L281" s="1" t="str">
        <f ca="1">IFERROR(__xludf.DUMMYFUNCTION("""COMPUTED_VALUE"""),"+.036")</f>
        <v>+.036</v>
      </c>
      <c r="M281" s="1">
        <f ca="1">IFERROR(__xludf.DUMMYFUNCTION("""COMPUTED_VALUE"""),89)</f>
        <v>89</v>
      </c>
      <c r="N281" s="1" t="str">
        <f ca="1">IFERROR(__xludf.DUMMYFUNCTION("""COMPUTED_VALUE"""),"+4.17")</f>
        <v>+4.17</v>
      </c>
      <c r="O281" s="1">
        <f ca="1">IFERROR(__xludf.DUMMYFUNCTION("""COMPUTED_VALUE"""),85)</f>
        <v>85</v>
      </c>
      <c r="P281" s="1">
        <f ca="1">IFERROR(__xludf.DUMMYFUNCTION("""COMPUTED_VALUE"""),107.2)</f>
        <v>107.2</v>
      </c>
      <c r="Q281" s="1">
        <f ca="1">IFERROR(__xludf.DUMMYFUNCTION("""COMPUTED_VALUE"""),81)</f>
        <v>81</v>
      </c>
      <c r="R281" s="1">
        <f ca="1">IFERROR(__xludf.DUMMYFUNCTION("""COMPUTED_VALUE"""),103)</f>
        <v>103</v>
      </c>
      <c r="S281" s="1">
        <f ca="1">IFERROR(__xludf.DUMMYFUNCTION("""COMPUTED_VALUE"""),101)</f>
        <v>101</v>
      </c>
      <c r="T281" s="1" t="str">
        <f ca="1">IFERROR(__xludf.DUMMYFUNCTION("""COMPUTED_VALUE"""),"+0.15")</f>
        <v>+0.15</v>
      </c>
      <c r="U281" s="1">
        <f ca="1">IFERROR(__xludf.DUMMYFUNCTION("""COMPUTED_VALUE"""),165)</f>
        <v>165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IFERROR(__xludf.DUMMYFUNCTION("""COMPUTED_VALUE"""),"South Carolina St.")</f>
        <v>South Carolina St.</v>
      </c>
      <c r="C282" s="1" t="str">
        <f ca="1">IFERROR(__xludf.DUMMYFUNCTION("""COMPUTED_VALUE"""),"MEAC")</f>
        <v>MEAC</v>
      </c>
      <c r="D282" s="1" t="str">
        <f ca="1">IFERROR(__xludf.DUMMYFUNCTION("""COMPUTED_VALUE"""),"19-15")</f>
        <v>19-15</v>
      </c>
      <c r="E282" s="1">
        <f ca="1">IFERROR(__xludf.DUMMYFUNCTION("""COMPUTED_VALUE"""),-9.48)</f>
        <v>-9.48</v>
      </c>
      <c r="F282" s="1">
        <f ca="1">IFERROR(__xludf.DUMMYFUNCTION("""COMPUTED_VALUE"""),103.3)</f>
        <v>103.3</v>
      </c>
      <c r="G282" s="1">
        <f ca="1">IFERROR(__xludf.DUMMYFUNCTION("""COMPUTED_VALUE"""),194)</f>
        <v>194</v>
      </c>
      <c r="H282" s="1">
        <f ca="1">IFERROR(__xludf.DUMMYFUNCTION("""COMPUTED_VALUE"""),112.8)</f>
        <v>112.8</v>
      </c>
      <c r="I282" s="1">
        <f ca="1">IFERROR(__xludf.DUMMYFUNCTION("""COMPUTED_VALUE"""),315)</f>
        <v>315</v>
      </c>
      <c r="J282" s="1">
        <f ca="1">IFERROR(__xludf.DUMMYFUNCTION("""COMPUTED_VALUE"""),67.6)</f>
        <v>67.599999999999994</v>
      </c>
      <c r="K282" s="1">
        <f ca="1">IFERROR(__xludf.DUMMYFUNCTION("""COMPUTED_VALUE"""),198)</f>
        <v>198</v>
      </c>
      <c r="L282" s="1" t="str">
        <f ca="1">IFERROR(__xludf.DUMMYFUNCTION("""COMPUTED_VALUE"""),"+.091")</f>
        <v>+.091</v>
      </c>
      <c r="M282" s="1">
        <f ca="1">IFERROR(__xludf.DUMMYFUNCTION("""COMPUTED_VALUE"""),20)</f>
        <v>20</v>
      </c>
      <c r="N282" s="1">
        <f ca="1">IFERROR(__xludf.DUMMYFUNCTION("""COMPUTED_VALUE"""),-8.11)</f>
        <v>-8.11</v>
      </c>
      <c r="O282" s="1">
        <f ca="1">IFERROR(__xludf.DUMMYFUNCTION("""COMPUTED_VALUE"""),327)</f>
        <v>327</v>
      </c>
      <c r="P282" s="1">
        <f ca="1">IFERROR(__xludf.DUMMYFUNCTION("""COMPUTED_VALUE"""),99.6)</f>
        <v>99.6</v>
      </c>
      <c r="Q282" s="1">
        <f ca="1">IFERROR(__xludf.DUMMYFUNCTION("""COMPUTED_VALUE"""),333)</f>
        <v>333</v>
      </c>
      <c r="R282" s="1">
        <f ca="1">IFERROR(__xludf.DUMMYFUNCTION("""COMPUTED_VALUE"""),107.7)</f>
        <v>107.7</v>
      </c>
      <c r="S282" s="1">
        <f ca="1">IFERROR(__xludf.DUMMYFUNCTION("""COMPUTED_VALUE"""),280)</f>
        <v>280</v>
      </c>
      <c r="T282" s="1" t="str">
        <f ca="1">IFERROR(__xludf.DUMMYFUNCTION("""COMPUTED_VALUE"""),"+4.25")</f>
        <v>+4.25</v>
      </c>
      <c r="U282" s="1">
        <f ca="1">IFERROR(__xludf.DUMMYFUNCTION("""COMPUTED_VALUE"""),54)</f>
        <v>54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IFERROR(__xludf.DUMMYFUNCTION("""COMPUTED_VALUE"""),"San Diego")</f>
        <v>San Diego</v>
      </c>
      <c r="C283" s="1" t="str">
        <f ca="1">IFERROR(__xludf.DUMMYFUNCTION("""COMPUTED_VALUE"""),"WCC")</f>
        <v>WCC</v>
      </c>
      <c r="D283" s="2">
        <f ca="1">IFERROR(__xludf.DUMMYFUNCTION("""COMPUTED_VALUE"""),44825)</f>
        <v>44825</v>
      </c>
      <c r="E283" s="1">
        <f ca="1">IFERROR(__xludf.DUMMYFUNCTION("""COMPUTED_VALUE"""),-9.77)</f>
        <v>-9.77</v>
      </c>
      <c r="F283" s="1">
        <f ca="1">IFERROR(__xludf.DUMMYFUNCTION("""COMPUTED_VALUE"""),93.9)</f>
        <v>93.9</v>
      </c>
      <c r="G283" s="1">
        <f ca="1">IFERROR(__xludf.DUMMYFUNCTION("""COMPUTED_VALUE"""),327)</f>
        <v>327</v>
      </c>
      <c r="H283" s="1">
        <f ca="1">IFERROR(__xludf.DUMMYFUNCTION("""COMPUTED_VALUE"""),103.7)</f>
        <v>103.7</v>
      </c>
      <c r="I283" s="1">
        <f ca="1">IFERROR(__xludf.DUMMYFUNCTION("""COMPUTED_VALUE"""),151)</f>
        <v>151</v>
      </c>
      <c r="J283" s="1">
        <f ca="1">IFERROR(__xludf.DUMMYFUNCTION("""COMPUTED_VALUE"""),66.1)</f>
        <v>66.099999999999994</v>
      </c>
      <c r="K283" s="1">
        <f ca="1">IFERROR(__xludf.DUMMYFUNCTION("""COMPUTED_VALUE"""),272)</f>
        <v>272</v>
      </c>
      <c r="L283" s="1">
        <f ca="1">IFERROR(__xludf.DUMMYFUNCTION("""COMPUTED_VALUE"""),-0.012)</f>
        <v>-1.2E-2</v>
      </c>
      <c r="M283" s="1">
        <f ca="1">IFERROR(__xludf.DUMMYFUNCTION("""COMPUTED_VALUE"""),208)</f>
        <v>208</v>
      </c>
      <c r="N283" s="1" t="str">
        <f ca="1">IFERROR(__xludf.DUMMYFUNCTION("""COMPUTED_VALUE"""),"+0.17")</f>
        <v>+0.17</v>
      </c>
      <c r="O283" s="1">
        <f ca="1">IFERROR(__xludf.DUMMYFUNCTION("""COMPUTED_VALUE"""),145)</f>
        <v>145</v>
      </c>
      <c r="P283" s="1">
        <f ca="1">IFERROR(__xludf.DUMMYFUNCTION("""COMPUTED_VALUE"""),105.3)</f>
        <v>105.3</v>
      </c>
      <c r="Q283" s="1">
        <f ca="1">IFERROR(__xludf.DUMMYFUNCTION("""COMPUTED_VALUE"""),138)</f>
        <v>138</v>
      </c>
      <c r="R283" s="1">
        <f ca="1">IFERROR(__xludf.DUMMYFUNCTION("""COMPUTED_VALUE"""),105.1)</f>
        <v>105.1</v>
      </c>
      <c r="S283" s="1">
        <f ca="1">IFERROR(__xludf.DUMMYFUNCTION("""COMPUTED_VALUE"""),161)</f>
        <v>161</v>
      </c>
      <c r="T283" s="1">
        <f ca="1">IFERROR(__xludf.DUMMYFUNCTION("""COMPUTED_VALUE"""),-2.65)</f>
        <v>-2.65</v>
      </c>
      <c r="U283" s="1">
        <f ca="1">IFERROR(__xludf.DUMMYFUNCTION("""COMPUTED_VALUE"""),238)</f>
        <v>238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IFERROR(__xludf.DUMMYFUNCTION("""COMPUTED_VALUE"""),"Idaho St.")</f>
        <v>Idaho St.</v>
      </c>
      <c r="C284" s="1" t="str">
        <f ca="1">IFERROR(__xludf.DUMMYFUNCTION("""COMPUTED_VALUE"""),"BSky")</f>
        <v>BSky</v>
      </c>
      <c r="D284" s="1" t="str">
        <f ca="1">IFERROR(__xludf.DUMMYFUNCTION("""COMPUTED_VALUE"""),"16-15")</f>
        <v>16-15</v>
      </c>
      <c r="E284" s="1">
        <f ca="1">IFERROR(__xludf.DUMMYFUNCTION("""COMPUTED_VALUE"""),-9.86)</f>
        <v>-9.86</v>
      </c>
      <c r="F284" s="1">
        <f ca="1">IFERROR(__xludf.DUMMYFUNCTION("""COMPUTED_VALUE"""),99.1)</f>
        <v>99.1</v>
      </c>
      <c r="G284" s="1">
        <f ca="1">IFERROR(__xludf.DUMMYFUNCTION("""COMPUTED_VALUE"""),281)</f>
        <v>281</v>
      </c>
      <c r="H284" s="1">
        <f ca="1">IFERROR(__xludf.DUMMYFUNCTION("""COMPUTED_VALUE"""),109)</f>
        <v>109</v>
      </c>
      <c r="I284" s="1">
        <f ca="1">IFERROR(__xludf.DUMMYFUNCTION("""COMPUTED_VALUE"""),257)</f>
        <v>257</v>
      </c>
      <c r="J284" s="1">
        <f ca="1">IFERROR(__xludf.DUMMYFUNCTION("""COMPUTED_VALUE"""),70.1)</f>
        <v>70.099999999999994</v>
      </c>
      <c r="K284" s="1">
        <f ca="1">IFERROR(__xludf.DUMMYFUNCTION("""COMPUTED_VALUE"""),85)</f>
        <v>85</v>
      </c>
      <c r="L284" s="1" t="str">
        <f ca="1">IFERROR(__xludf.DUMMYFUNCTION("""COMPUTED_VALUE"""),"+.052")</f>
        <v>+.052</v>
      </c>
      <c r="M284" s="1">
        <f ca="1">IFERROR(__xludf.DUMMYFUNCTION("""COMPUTED_VALUE"""),56)</f>
        <v>56</v>
      </c>
      <c r="N284" s="1">
        <f ca="1">IFERROR(__xludf.DUMMYFUNCTION("""COMPUTED_VALUE"""),-7.3)</f>
        <v>-7.3</v>
      </c>
      <c r="O284" s="1">
        <f ca="1">IFERROR(__xludf.DUMMYFUNCTION("""COMPUTED_VALUE"""),316)</f>
        <v>316</v>
      </c>
      <c r="P284" s="1">
        <f ca="1">IFERROR(__xludf.DUMMYFUNCTION("""COMPUTED_VALUE"""),101.9)</f>
        <v>101.9</v>
      </c>
      <c r="Q284" s="1">
        <f ca="1">IFERROR(__xludf.DUMMYFUNCTION("""COMPUTED_VALUE"""),290)</f>
        <v>290</v>
      </c>
      <c r="R284" s="1">
        <f ca="1">IFERROR(__xludf.DUMMYFUNCTION("""COMPUTED_VALUE"""),109.2)</f>
        <v>109.2</v>
      </c>
      <c r="S284" s="1">
        <f ca="1">IFERROR(__xludf.DUMMYFUNCTION("""COMPUTED_VALUE"""),337)</f>
        <v>337</v>
      </c>
      <c r="T284" s="1">
        <f ca="1">IFERROR(__xludf.DUMMYFUNCTION("""COMPUTED_VALUE"""),-3.02)</f>
        <v>-3.02</v>
      </c>
      <c r="U284" s="1">
        <f ca="1">IFERROR(__xludf.DUMMYFUNCTION("""COMPUTED_VALUE"""),253)</f>
        <v>253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IFERROR(__xludf.DUMMYFUNCTION("""COMPUTED_VALUE"""),"Jacksonville")</f>
        <v>Jacksonville</v>
      </c>
      <c r="C285" s="1" t="str">
        <f ca="1">IFERROR(__xludf.DUMMYFUNCTION("""COMPUTED_VALUE"""),"ASun")</f>
        <v>ASun</v>
      </c>
      <c r="D285" s="1" t="str">
        <f ca="1">IFERROR(__xludf.DUMMYFUNCTION("""COMPUTED_VALUE"""),"16-16")</f>
        <v>16-16</v>
      </c>
      <c r="E285" s="1">
        <f ca="1">IFERROR(__xludf.DUMMYFUNCTION("""COMPUTED_VALUE"""),-9.9)</f>
        <v>-9.9</v>
      </c>
      <c r="F285" s="1">
        <f ca="1">IFERROR(__xludf.DUMMYFUNCTION("""COMPUTED_VALUE"""),100.2)</f>
        <v>100.2</v>
      </c>
      <c r="G285" s="1">
        <f ca="1">IFERROR(__xludf.DUMMYFUNCTION("""COMPUTED_VALUE"""),256)</f>
        <v>256</v>
      </c>
      <c r="H285" s="1">
        <f ca="1">IFERROR(__xludf.DUMMYFUNCTION("""COMPUTED_VALUE"""),110.1)</f>
        <v>110.1</v>
      </c>
      <c r="I285" s="1">
        <f ca="1">IFERROR(__xludf.DUMMYFUNCTION("""COMPUTED_VALUE"""),272)</f>
        <v>272</v>
      </c>
      <c r="J285" s="1">
        <f ca="1">IFERROR(__xludf.DUMMYFUNCTION("""COMPUTED_VALUE"""),70.4)</f>
        <v>70.400000000000006</v>
      </c>
      <c r="K285" s="1">
        <f ca="1">IFERROR(__xludf.DUMMYFUNCTION("""COMPUTED_VALUE"""),63)</f>
        <v>63</v>
      </c>
      <c r="L285" s="1" t="str">
        <f ca="1">IFERROR(__xludf.DUMMYFUNCTION("""COMPUTED_VALUE"""),"+.050")</f>
        <v>+.050</v>
      </c>
      <c r="M285" s="1">
        <f ca="1">IFERROR(__xludf.DUMMYFUNCTION("""COMPUTED_VALUE"""),59)</f>
        <v>59</v>
      </c>
      <c r="N285" s="1">
        <f ca="1">IFERROR(__xludf.DUMMYFUNCTION("""COMPUTED_VALUE"""),-6.35)</f>
        <v>-6.35</v>
      </c>
      <c r="O285" s="1">
        <f ca="1">IFERROR(__xludf.DUMMYFUNCTION("""COMPUTED_VALUE"""),297)</f>
        <v>297</v>
      </c>
      <c r="P285" s="1">
        <f ca="1">IFERROR(__xludf.DUMMYFUNCTION("""COMPUTED_VALUE"""),103)</f>
        <v>103</v>
      </c>
      <c r="Q285" s="1">
        <f ca="1">IFERROR(__xludf.DUMMYFUNCTION("""COMPUTED_VALUE"""),244)</f>
        <v>244</v>
      </c>
      <c r="R285" s="1">
        <f ca="1">IFERROR(__xludf.DUMMYFUNCTION("""COMPUTED_VALUE"""),109.3)</f>
        <v>109.3</v>
      </c>
      <c r="S285" s="1">
        <f ca="1">IFERROR(__xludf.DUMMYFUNCTION("""COMPUTED_VALUE"""),343)</f>
        <v>343</v>
      </c>
      <c r="T285" s="1">
        <f ca="1">IFERROR(__xludf.DUMMYFUNCTION("""COMPUTED_VALUE"""),-3.51)</f>
        <v>-3.51</v>
      </c>
      <c r="U285" s="1">
        <f ca="1">IFERROR(__xludf.DUMMYFUNCTION("""COMPUTED_VALUE"""),266)</f>
        <v>266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IFERROR(__xludf.DUMMYFUNCTION("""COMPUTED_VALUE"""),"Rice")</f>
        <v>Rice</v>
      </c>
      <c r="C286" s="1" t="str">
        <f ca="1">IFERROR(__xludf.DUMMYFUNCTION("""COMPUTED_VALUE"""),"CUSA")</f>
        <v>CUSA</v>
      </c>
      <c r="D286" s="2">
        <f ca="1">IFERROR(__xludf.DUMMYFUNCTION("""COMPUTED_VALUE"""),44915)</f>
        <v>44915</v>
      </c>
      <c r="E286" s="1">
        <f ca="1">IFERROR(__xludf.DUMMYFUNCTION("""COMPUTED_VALUE"""),-10.12)</f>
        <v>-10.119999999999999</v>
      </c>
      <c r="F286" s="1">
        <f ca="1">IFERROR(__xludf.DUMMYFUNCTION("""COMPUTED_VALUE"""),105.7)</f>
        <v>105.7</v>
      </c>
      <c r="G286" s="1">
        <f ca="1">IFERROR(__xludf.DUMMYFUNCTION("""COMPUTED_VALUE"""),161)</f>
        <v>161</v>
      </c>
      <c r="H286" s="1">
        <f ca="1">IFERROR(__xludf.DUMMYFUNCTION("""COMPUTED_VALUE"""),115.8)</f>
        <v>115.8</v>
      </c>
      <c r="I286" s="1">
        <f ca="1">IFERROR(__xludf.DUMMYFUNCTION("""COMPUTED_VALUE"""),339)</f>
        <v>339</v>
      </c>
      <c r="J286" s="1">
        <f ca="1">IFERROR(__xludf.DUMMYFUNCTION("""COMPUTED_VALUE"""),69.7)</f>
        <v>69.7</v>
      </c>
      <c r="K286" s="1">
        <f ca="1">IFERROR(__xludf.DUMMYFUNCTION("""COMPUTED_VALUE"""),89)</f>
        <v>89</v>
      </c>
      <c r="L286" s="1" t="str">
        <f ca="1">IFERROR(__xludf.DUMMYFUNCTION("""COMPUTED_VALUE"""),"+.022")</f>
        <v>+.022</v>
      </c>
      <c r="M286" s="1">
        <f ca="1">IFERROR(__xludf.DUMMYFUNCTION("""COMPUTED_VALUE"""),119)</f>
        <v>119</v>
      </c>
      <c r="N286" s="1">
        <f ca="1">IFERROR(__xludf.DUMMYFUNCTION("""COMPUTED_VALUE"""),-3.5)</f>
        <v>-3.5</v>
      </c>
      <c r="O286" s="1">
        <f ca="1">IFERROR(__xludf.DUMMYFUNCTION("""COMPUTED_VALUE"""),226)</f>
        <v>226</v>
      </c>
      <c r="P286" s="1">
        <f ca="1">IFERROR(__xludf.DUMMYFUNCTION("""COMPUTED_VALUE"""),103.5)</f>
        <v>103.5</v>
      </c>
      <c r="Q286" s="1">
        <f ca="1">IFERROR(__xludf.DUMMYFUNCTION("""COMPUTED_VALUE"""),218)</f>
        <v>218</v>
      </c>
      <c r="R286" s="1">
        <f ca="1">IFERROR(__xludf.DUMMYFUNCTION("""COMPUTED_VALUE"""),107)</f>
        <v>107</v>
      </c>
      <c r="S286" s="1">
        <f ca="1">IFERROR(__xludf.DUMMYFUNCTION("""COMPUTED_VALUE"""),236)</f>
        <v>236</v>
      </c>
      <c r="T286" s="1">
        <f ca="1">IFERROR(__xludf.DUMMYFUNCTION("""COMPUTED_VALUE"""),-1.5)</f>
        <v>-1.5</v>
      </c>
      <c r="U286" s="1">
        <f ca="1">IFERROR(__xludf.DUMMYFUNCTION("""COMPUTED_VALUE"""),207)</f>
        <v>207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IFERROR(__xludf.DUMMYFUNCTION("""COMPUTED_VALUE"""),"Sacramento St.")</f>
        <v>Sacramento St.</v>
      </c>
      <c r="C287" s="1" t="str">
        <f ca="1">IFERROR(__xludf.DUMMYFUNCTION("""COMPUTED_VALUE"""),"BSky")</f>
        <v>BSky</v>
      </c>
      <c r="D287" s="1" t="str">
        <f ca="1">IFERROR(__xludf.DUMMYFUNCTION("""COMPUTED_VALUE"""),"14-17")</f>
        <v>14-17</v>
      </c>
      <c r="E287" s="1">
        <f ca="1">IFERROR(__xludf.DUMMYFUNCTION("""COMPUTED_VALUE"""),-10.13)</f>
        <v>-10.130000000000001</v>
      </c>
      <c r="F287" s="1">
        <f ca="1">IFERROR(__xludf.DUMMYFUNCTION("""COMPUTED_VALUE"""),98.8)</f>
        <v>98.8</v>
      </c>
      <c r="G287" s="1">
        <f ca="1">IFERROR(__xludf.DUMMYFUNCTION("""COMPUTED_VALUE"""),285)</f>
        <v>285</v>
      </c>
      <c r="H287" s="1">
        <f ca="1">IFERROR(__xludf.DUMMYFUNCTION("""COMPUTED_VALUE"""),108.9)</f>
        <v>108.9</v>
      </c>
      <c r="I287" s="1">
        <f ca="1">IFERROR(__xludf.DUMMYFUNCTION("""COMPUTED_VALUE"""),256)</f>
        <v>256</v>
      </c>
      <c r="J287" s="1">
        <f ca="1">IFERROR(__xludf.DUMMYFUNCTION("""COMPUTED_VALUE"""),68.5)</f>
        <v>68.5</v>
      </c>
      <c r="K287" s="1">
        <f ca="1">IFERROR(__xludf.DUMMYFUNCTION("""COMPUTED_VALUE"""),146)</f>
        <v>146</v>
      </c>
      <c r="L287" s="1" t="str">
        <f ca="1">IFERROR(__xludf.DUMMYFUNCTION("""COMPUTED_VALUE"""),"+.049")</f>
        <v>+.049</v>
      </c>
      <c r="M287" s="1">
        <f ca="1">IFERROR(__xludf.DUMMYFUNCTION("""COMPUTED_VALUE"""),64)</f>
        <v>64</v>
      </c>
      <c r="N287" s="1">
        <f ca="1">IFERROR(__xludf.DUMMYFUNCTION("""COMPUTED_VALUE"""),-5.74)</f>
        <v>-5.74</v>
      </c>
      <c r="O287" s="1">
        <f ca="1">IFERROR(__xludf.DUMMYFUNCTION("""COMPUTED_VALUE"""),284)</f>
        <v>284</v>
      </c>
      <c r="P287" s="1">
        <f ca="1">IFERROR(__xludf.DUMMYFUNCTION("""COMPUTED_VALUE"""),102.5)</f>
        <v>102.5</v>
      </c>
      <c r="Q287" s="1">
        <f ca="1">IFERROR(__xludf.DUMMYFUNCTION("""COMPUTED_VALUE"""),260)</f>
        <v>260</v>
      </c>
      <c r="R287" s="1">
        <f ca="1">IFERROR(__xludf.DUMMYFUNCTION("""COMPUTED_VALUE"""),108.3)</f>
        <v>108.3</v>
      </c>
      <c r="S287" s="1">
        <f ca="1">IFERROR(__xludf.DUMMYFUNCTION("""COMPUTED_VALUE"""),309)</f>
        <v>309</v>
      </c>
      <c r="T287" s="1">
        <f ca="1">IFERROR(__xludf.DUMMYFUNCTION("""COMPUTED_VALUE"""),-3.9)</f>
        <v>-3.9</v>
      </c>
      <c r="U287" s="1">
        <f ca="1">IFERROR(__xludf.DUMMYFUNCTION("""COMPUTED_VALUE"""),272)</f>
        <v>272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IFERROR(__xludf.DUMMYFUNCTION("""COMPUTED_VALUE"""),"Lipscomb")</f>
        <v>Lipscomb</v>
      </c>
      <c r="C288" s="1" t="str">
        <f ca="1">IFERROR(__xludf.DUMMYFUNCTION("""COMPUTED_VALUE"""),"ASun")</f>
        <v>ASun</v>
      </c>
      <c r="D288" s="2">
        <f ca="1">IFERROR(__xludf.DUMMYFUNCTION("""COMPUTED_VALUE"""),44916)</f>
        <v>44916</v>
      </c>
      <c r="E288" s="1">
        <f ca="1">IFERROR(__xludf.DUMMYFUNCTION("""COMPUTED_VALUE"""),-10.14)</f>
        <v>-10.14</v>
      </c>
      <c r="F288" s="1">
        <f ca="1">IFERROR(__xludf.DUMMYFUNCTION("""COMPUTED_VALUE"""),101.5)</f>
        <v>101.5</v>
      </c>
      <c r="G288" s="1">
        <f ca="1">IFERROR(__xludf.DUMMYFUNCTION("""COMPUTED_VALUE"""),233)</f>
        <v>233</v>
      </c>
      <c r="H288" s="1">
        <f ca="1">IFERROR(__xludf.DUMMYFUNCTION("""COMPUTED_VALUE"""),111.6)</f>
        <v>111.6</v>
      </c>
      <c r="I288" s="1">
        <f ca="1">IFERROR(__xludf.DUMMYFUNCTION("""COMPUTED_VALUE"""),297)</f>
        <v>297</v>
      </c>
      <c r="J288" s="1">
        <f ca="1">IFERROR(__xludf.DUMMYFUNCTION("""COMPUTED_VALUE"""),72.8)</f>
        <v>72.8</v>
      </c>
      <c r="K288" s="1">
        <f ca="1">IFERROR(__xludf.DUMMYFUNCTION("""COMPUTED_VALUE"""),17)</f>
        <v>17</v>
      </c>
      <c r="L288" s="1" t="str">
        <f ca="1">IFERROR(__xludf.DUMMYFUNCTION("""COMPUTED_VALUE"""),"+.006")</f>
        <v>+.006</v>
      </c>
      <c r="M288" s="1">
        <f ca="1">IFERROR(__xludf.DUMMYFUNCTION("""COMPUTED_VALUE"""),164)</f>
        <v>164</v>
      </c>
      <c r="N288" s="1">
        <f ca="1">IFERROR(__xludf.DUMMYFUNCTION("""COMPUTED_VALUE"""),-3.91)</f>
        <v>-3.91</v>
      </c>
      <c r="O288" s="1">
        <f ca="1">IFERROR(__xludf.DUMMYFUNCTION("""COMPUTED_VALUE"""),239)</f>
        <v>239</v>
      </c>
      <c r="P288" s="1">
        <f ca="1">IFERROR(__xludf.DUMMYFUNCTION("""COMPUTED_VALUE"""),104.8)</f>
        <v>104.8</v>
      </c>
      <c r="Q288" s="1">
        <f ca="1">IFERROR(__xludf.DUMMYFUNCTION("""COMPUTED_VALUE"""),158)</f>
        <v>158</v>
      </c>
      <c r="R288" s="1">
        <f ca="1">IFERROR(__xludf.DUMMYFUNCTION("""COMPUTED_VALUE"""),108.7)</f>
        <v>108.7</v>
      </c>
      <c r="S288" s="1">
        <f ca="1">IFERROR(__xludf.DUMMYFUNCTION("""COMPUTED_VALUE"""),324)</f>
        <v>324</v>
      </c>
      <c r="T288" s="1" t="str">
        <f ca="1">IFERROR(__xludf.DUMMYFUNCTION("""COMPUTED_VALUE"""),"+0.82")</f>
        <v>+0.82</v>
      </c>
      <c r="U288" s="1">
        <f ca="1">IFERROR(__xludf.DUMMYFUNCTION("""COMPUTED_VALUE"""),145)</f>
        <v>145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IFERROR(__xludf.DUMMYFUNCTION("""COMPUTED_VALUE"""),"Delaware")</f>
        <v>Delaware</v>
      </c>
      <c r="C289" s="1" t="str">
        <f ca="1">IFERROR(__xludf.DUMMYFUNCTION("""COMPUTED_VALUE"""),"CAA")</f>
        <v>CAA</v>
      </c>
      <c r="D289" s="2">
        <f ca="1">IFERROR(__xludf.DUMMYFUNCTION("""COMPUTED_VALUE"""),44765)</f>
        <v>44765</v>
      </c>
      <c r="E289" s="1">
        <f ca="1">IFERROR(__xludf.DUMMYFUNCTION("""COMPUTED_VALUE"""),-10.22)</f>
        <v>-10.220000000000001</v>
      </c>
      <c r="F289" s="1">
        <f ca="1">IFERROR(__xludf.DUMMYFUNCTION("""COMPUTED_VALUE"""),101.5)</f>
        <v>101.5</v>
      </c>
      <c r="G289" s="1">
        <f ca="1">IFERROR(__xludf.DUMMYFUNCTION("""COMPUTED_VALUE"""),229)</f>
        <v>229</v>
      </c>
      <c r="H289" s="1">
        <f ca="1">IFERROR(__xludf.DUMMYFUNCTION("""COMPUTED_VALUE"""),111.7)</f>
        <v>111.7</v>
      </c>
      <c r="I289" s="1">
        <f ca="1">IFERROR(__xludf.DUMMYFUNCTION("""COMPUTED_VALUE"""),302)</f>
        <v>302</v>
      </c>
      <c r="J289" s="1">
        <f ca="1">IFERROR(__xludf.DUMMYFUNCTION("""COMPUTED_VALUE"""),67.4)</f>
        <v>67.400000000000006</v>
      </c>
      <c r="K289" s="1">
        <f ca="1">IFERROR(__xludf.DUMMYFUNCTION("""COMPUTED_VALUE"""),211)</f>
        <v>211</v>
      </c>
      <c r="L289" s="1">
        <f ca="1">IFERROR(__xludf.DUMMYFUNCTION("""COMPUTED_VALUE"""),-0.004)</f>
        <v>-4.0000000000000001E-3</v>
      </c>
      <c r="M289" s="1">
        <f ca="1">IFERROR(__xludf.DUMMYFUNCTION("""COMPUTED_VALUE"""),182)</f>
        <v>182</v>
      </c>
      <c r="N289" s="1" t="str">
        <f ca="1">IFERROR(__xludf.DUMMYFUNCTION("""COMPUTED_VALUE"""),"+2.22")</f>
        <v>+2.22</v>
      </c>
      <c r="O289" s="1">
        <f ca="1">IFERROR(__xludf.DUMMYFUNCTION("""COMPUTED_VALUE"""),109)</f>
        <v>109</v>
      </c>
      <c r="P289" s="1">
        <f ca="1">IFERROR(__xludf.DUMMYFUNCTION("""COMPUTED_VALUE"""),105.3)</f>
        <v>105.3</v>
      </c>
      <c r="Q289" s="1">
        <f ca="1">IFERROR(__xludf.DUMMYFUNCTION("""COMPUTED_VALUE"""),133)</f>
        <v>133</v>
      </c>
      <c r="R289" s="1">
        <f ca="1">IFERROR(__xludf.DUMMYFUNCTION("""COMPUTED_VALUE"""),103.1)</f>
        <v>103.1</v>
      </c>
      <c r="S289" s="1">
        <f ca="1">IFERROR(__xludf.DUMMYFUNCTION("""COMPUTED_VALUE"""),104)</f>
        <v>104</v>
      </c>
      <c r="T289" s="1">
        <f ca="1">IFERROR(__xludf.DUMMYFUNCTION("""COMPUTED_VALUE"""),-0.89)</f>
        <v>-0.89</v>
      </c>
      <c r="U289" s="1">
        <f ca="1">IFERROR(__xludf.DUMMYFUNCTION("""COMPUTED_VALUE"""),186)</f>
        <v>186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IFERROR(__xludf.DUMMYFUNCTION("""COMPUTED_VALUE"""),"Cornell")</f>
        <v>Cornell</v>
      </c>
      <c r="C290" s="1" t="str">
        <f ca="1">IFERROR(__xludf.DUMMYFUNCTION("""COMPUTED_VALUE"""),"Ivy")</f>
        <v>Ivy</v>
      </c>
      <c r="D290" s="2">
        <f ca="1">IFERROR(__xludf.DUMMYFUNCTION("""COMPUTED_VALUE"""),44852)</f>
        <v>44852</v>
      </c>
      <c r="E290" s="1">
        <f ca="1">IFERROR(__xludf.DUMMYFUNCTION("""COMPUTED_VALUE"""),-10.34)</f>
        <v>-10.34</v>
      </c>
      <c r="F290" s="1">
        <f ca="1">IFERROR(__xludf.DUMMYFUNCTION("""COMPUTED_VALUE"""),98.2)</f>
        <v>98.2</v>
      </c>
      <c r="G290" s="1">
        <f ca="1">IFERROR(__xludf.DUMMYFUNCTION("""COMPUTED_VALUE"""),295)</f>
        <v>295</v>
      </c>
      <c r="H290" s="1">
        <f ca="1">IFERROR(__xludf.DUMMYFUNCTION("""COMPUTED_VALUE"""),108.5)</f>
        <v>108.5</v>
      </c>
      <c r="I290" s="1">
        <f ca="1">IFERROR(__xludf.DUMMYFUNCTION("""COMPUTED_VALUE"""),246)</f>
        <v>246</v>
      </c>
      <c r="J290" s="1">
        <f ca="1">IFERROR(__xludf.DUMMYFUNCTION("""COMPUTED_VALUE"""),72.7)</f>
        <v>72.7</v>
      </c>
      <c r="K290" s="1">
        <f ca="1">IFERROR(__xludf.DUMMYFUNCTION("""COMPUTED_VALUE"""),19)</f>
        <v>19</v>
      </c>
      <c r="L290" s="1" t="str">
        <f ca="1">IFERROR(__xludf.DUMMYFUNCTION("""COMPUTED_VALUE"""),"+.046")</f>
        <v>+.046</v>
      </c>
      <c r="M290" s="1">
        <f ca="1">IFERROR(__xludf.DUMMYFUNCTION("""COMPUTED_VALUE"""),70)</f>
        <v>70</v>
      </c>
      <c r="N290" s="1">
        <f ca="1">IFERROR(__xludf.DUMMYFUNCTION("""COMPUTED_VALUE"""),-0.53)</f>
        <v>-0.53</v>
      </c>
      <c r="O290" s="1">
        <f ca="1">IFERROR(__xludf.DUMMYFUNCTION("""COMPUTED_VALUE"""),161)</f>
        <v>161</v>
      </c>
      <c r="P290" s="1">
        <f ca="1">IFERROR(__xludf.DUMMYFUNCTION("""COMPUTED_VALUE"""),104.6)</f>
        <v>104.6</v>
      </c>
      <c r="Q290" s="1">
        <f ca="1">IFERROR(__xludf.DUMMYFUNCTION("""COMPUTED_VALUE"""),164)</f>
        <v>164</v>
      </c>
      <c r="R290" s="1">
        <f ca="1">IFERROR(__xludf.DUMMYFUNCTION("""COMPUTED_VALUE"""),105.2)</f>
        <v>105.2</v>
      </c>
      <c r="S290" s="1">
        <f ca="1">IFERROR(__xludf.DUMMYFUNCTION("""COMPUTED_VALUE"""),162)</f>
        <v>162</v>
      </c>
      <c r="T290" s="1">
        <f ca="1">IFERROR(__xludf.DUMMYFUNCTION("""COMPUTED_VALUE"""),-1.41)</f>
        <v>-1.41</v>
      </c>
      <c r="U290" s="1">
        <f ca="1">IFERROR(__xludf.DUMMYFUNCTION("""COMPUTED_VALUE"""),202)</f>
        <v>202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IFERROR(__xludf.DUMMYFUNCTION("""COMPUTED_VALUE"""),"Houston Baptist")</f>
        <v>Houston Baptist</v>
      </c>
      <c r="C291" s="1" t="str">
        <f ca="1">IFERROR(__xludf.DUMMYFUNCTION("""COMPUTED_VALUE"""),"Slnd")</f>
        <v>Slnd</v>
      </c>
      <c r="D291" s="1" t="str">
        <f ca="1">IFERROR(__xludf.DUMMYFUNCTION("""COMPUTED_VALUE"""),"17-17")</f>
        <v>17-17</v>
      </c>
      <c r="E291" s="1">
        <f ca="1">IFERROR(__xludf.DUMMYFUNCTION("""COMPUTED_VALUE"""),-10.39)</f>
        <v>-10.39</v>
      </c>
      <c r="F291" s="1">
        <f ca="1">IFERROR(__xludf.DUMMYFUNCTION("""COMPUTED_VALUE"""),101.6)</f>
        <v>101.6</v>
      </c>
      <c r="G291" s="1">
        <f ca="1">IFERROR(__xludf.DUMMYFUNCTION("""COMPUTED_VALUE"""),225)</f>
        <v>225</v>
      </c>
      <c r="H291" s="1">
        <f ca="1">IFERROR(__xludf.DUMMYFUNCTION("""COMPUTED_VALUE"""),112)</f>
        <v>112</v>
      </c>
      <c r="I291" s="1">
        <f ca="1">IFERROR(__xludf.DUMMYFUNCTION("""COMPUTED_VALUE"""),305)</f>
        <v>305</v>
      </c>
      <c r="J291" s="1">
        <f ca="1">IFERROR(__xludf.DUMMYFUNCTION("""COMPUTED_VALUE"""),70.3)</f>
        <v>70.3</v>
      </c>
      <c r="K291" s="1">
        <f ca="1">IFERROR(__xludf.DUMMYFUNCTION("""COMPUTED_VALUE"""),71)</f>
        <v>71</v>
      </c>
      <c r="L291" s="1" t="str">
        <f ca="1">IFERROR(__xludf.DUMMYFUNCTION("""COMPUTED_VALUE"""),"+.074")</f>
        <v>+.074</v>
      </c>
      <c r="M291" s="1">
        <f ca="1">IFERROR(__xludf.DUMMYFUNCTION("""COMPUTED_VALUE"""),36)</f>
        <v>36</v>
      </c>
      <c r="N291" s="1">
        <f ca="1">IFERROR(__xludf.DUMMYFUNCTION("""COMPUTED_VALUE"""),-4.83)</f>
        <v>-4.83</v>
      </c>
      <c r="O291" s="1">
        <f ca="1">IFERROR(__xludf.DUMMYFUNCTION("""COMPUTED_VALUE"""),264)</f>
        <v>264</v>
      </c>
      <c r="P291" s="1">
        <f ca="1">IFERROR(__xludf.DUMMYFUNCTION("""COMPUTED_VALUE"""),102.3)</f>
        <v>102.3</v>
      </c>
      <c r="Q291" s="1">
        <f ca="1">IFERROR(__xludf.DUMMYFUNCTION("""COMPUTED_VALUE"""),269)</f>
        <v>269</v>
      </c>
      <c r="R291" s="1">
        <f ca="1">IFERROR(__xludf.DUMMYFUNCTION("""COMPUTED_VALUE"""),107.2)</f>
        <v>107.2</v>
      </c>
      <c r="S291" s="1">
        <f ca="1">IFERROR(__xludf.DUMMYFUNCTION("""COMPUTED_VALUE"""),247)</f>
        <v>247</v>
      </c>
      <c r="T291" s="1" t="str">
        <f ca="1">IFERROR(__xludf.DUMMYFUNCTION("""COMPUTED_VALUE"""),"+4.49")</f>
        <v>+4.49</v>
      </c>
      <c r="U291" s="1">
        <f ca="1">IFERROR(__xludf.DUMMYFUNCTION("""COMPUTED_VALUE"""),46)</f>
        <v>46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IFERROR(__xludf.DUMMYFUNCTION("""COMPUTED_VALUE"""),"Stetson")</f>
        <v>Stetson</v>
      </c>
      <c r="C292" s="1" t="str">
        <f ca="1">IFERROR(__xludf.DUMMYFUNCTION("""COMPUTED_VALUE"""),"ASun")</f>
        <v>ASun</v>
      </c>
      <c r="D292" s="2">
        <f ca="1">IFERROR(__xludf.DUMMYFUNCTION("""COMPUTED_VALUE"""),44917)</f>
        <v>44917</v>
      </c>
      <c r="E292" s="1">
        <f ca="1">IFERROR(__xludf.DUMMYFUNCTION("""COMPUTED_VALUE"""),-10.44)</f>
        <v>-10.44</v>
      </c>
      <c r="F292" s="1">
        <f ca="1">IFERROR(__xludf.DUMMYFUNCTION("""COMPUTED_VALUE"""),104)</f>
        <v>104</v>
      </c>
      <c r="G292" s="1">
        <f ca="1">IFERROR(__xludf.DUMMYFUNCTION("""COMPUTED_VALUE"""),182)</f>
        <v>182</v>
      </c>
      <c r="H292" s="1">
        <f ca="1">IFERROR(__xludf.DUMMYFUNCTION("""COMPUTED_VALUE"""),114.5)</f>
        <v>114.5</v>
      </c>
      <c r="I292" s="1">
        <f ca="1">IFERROR(__xludf.DUMMYFUNCTION("""COMPUTED_VALUE"""),330)</f>
        <v>330</v>
      </c>
      <c r="J292" s="1">
        <f ca="1">IFERROR(__xludf.DUMMYFUNCTION("""COMPUTED_VALUE"""),70.6)</f>
        <v>70.599999999999994</v>
      </c>
      <c r="K292" s="1">
        <f ca="1">IFERROR(__xludf.DUMMYFUNCTION("""COMPUTED_VALUE"""),59)</f>
        <v>59</v>
      </c>
      <c r="L292" s="1">
        <f ca="1">IFERROR(__xludf.DUMMYFUNCTION("""COMPUTED_VALUE"""),-0.046)</f>
        <v>-4.5999999999999999E-2</v>
      </c>
      <c r="M292" s="1">
        <f ca="1">IFERROR(__xludf.DUMMYFUNCTION("""COMPUTED_VALUE"""),289)</f>
        <v>289</v>
      </c>
      <c r="N292" s="1">
        <f ca="1">IFERROR(__xludf.DUMMYFUNCTION("""COMPUTED_VALUE"""),-3.91)</f>
        <v>-3.91</v>
      </c>
      <c r="O292" s="1">
        <f ca="1">IFERROR(__xludf.DUMMYFUNCTION("""COMPUTED_VALUE"""),238)</f>
        <v>238</v>
      </c>
      <c r="P292" s="1">
        <f ca="1">IFERROR(__xludf.DUMMYFUNCTION("""COMPUTED_VALUE"""),104.2)</f>
        <v>104.2</v>
      </c>
      <c r="Q292" s="1">
        <f ca="1">IFERROR(__xludf.DUMMYFUNCTION("""COMPUTED_VALUE"""),190)</f>
        <v>190</v>
      </c>
      <c r="R292" s="1">
        <f ca="1">IFERROR(__xludf.DUMMYFUNCTION("""COMPUTED_VALUE"""),108.1)</f>
        <v>108.1</v>
      </c>
      <c r="S292" s="1">
        <f ca="1">IFERROR(__xludf.DUMMYFUNCTION("""COMPUTED_VALUE"""),296)</f>
        <v>296</v>
      </c>
      <c r="T292" s="1">
        <f ca="1">IFERROR(__xludf.DUMMYFUNCTION("""COMPUTED_VALUE"""),-0.29)</f>
        <v>-0.28999999999999998</v>
      </c>
      <c r="U292" s="1">
        <f ca="1">IFERROR(__xludf.DUMMYFUNCTION("""COMPUTED_VALUE"""),173)</f>
        <v>173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IFERROR(__xludf.DUMMYFUNCTION("""COMPUTED_VALUE"""),"Rutgers")</f>
        <v>Rutgers</v>
      </c>
      <c r="C293" s="1" t="str">
        <f ca="1">IFERROR(__xludf.DUMMYFUNCTION("""COMPUTED_VALUE"""),"B10")</f>
        <v>B10</v>
      </c>
      <c r="D293" s="2">
        <f ca="1">IFERROR(__xludf.DUMMYFUNCTION("""COMPUTED_VALUE"""),44767)</f>
        <v>44767</v>
      </c>
      <c r="E293" s="1">
        <f ca="1">IFERROR(__xludf.DUMMYFUNCTION("""COMPUTED_VALUE"""),-10.63)</f>
        <v>-10.63</v>
      </c>
      <c r="F293" s="1">
        <f ca="1">IFERROR(__xludf.DUMMYFUNCTION("""COMPUTED_VALUE"""),97.5)</f>
        <v>97.5</v>
      </c>
      <c r="G293" s="1">
        <f ca="1">IFERROR(__xludf.DUMMYFUNCTION("""COMPUTED_VALUE"""),303)</f>
        <v>303</v>
      </c>
      <c r="H293" s="1">
        <f ca="1">IFERROR(__xludf.DUMMYFUNCTION("""COMPUTED_VALUE"""),108.1)</f>
        <v>108.1</v>
      </c>
      <c r="I293" s="1">
        <f ca="1">IFERROR(__xludf.DUMMYFUNCTION("""COMPUTED_VALUE"""),236)</f>
        <v>236</v>
      </c>
      <c r="J293" s="1">
        <f ca="1">IFERROR(__xludf.DUMMYFUNCTION("""COMPUTED_VALUE"""),70.4)</f>
        <v>70.400000000000006</v>
      </c>
      <c r="K293" s="1">
        <f ca="1">IFERROR(__xludf.DUMMYFUNCTION("""COMPUTED_VALUE"""),68)</f>
        <v>68</v>
      </c>
      <c r="L293" s="1">
        <f ca="1">IFERROR(__xludf.DUMMYFUNCTION("""COMPUTED_VALUE"""),-0.036)</f>
        <v>-3.5999999999999997E-2</v>
      </c>
      <c r="M293" s="1">
        <f ca="1">IFERROR(__xludf.DUMMYFUNCTION("""COMPUTED_VALUE"""),269)</f>
        <v>269</v>
      </c>
      <c r="N293" s="1" t="str">
        <f ca="1">IFERROR(__xludf.DUMMYFUNCTION("""COMPUTED_VALUE"""),"+6.68")</f>
        <v>+6.68</v>
      </c>
      <c r="O293" s="1">
        <f ca="1">IFERROR(__xludf.DUMMYFUNCTION("""COMPUTED_VALUE"""),62)</f>
        <v>62</v>
      </c>
      <c r="P293" s="1">
        <f ca="1">IFERROR(__xludf.DUMMYFUNCTION("""COMPUTED_VALUE"""),108.7)</f>
        <v>108.7</v>
      </c>
      <c r="Q293" s="1">
        <f ca="1">IFERROR(__xludf.DUMMYFUNCTION("""COMPUTED_VALUE"""),55)</f>
        <v>55</v>
      </c>
      <c r="R293" s="1">
        <f ca="1">IFERROR(__xludf.DUMMYFUNCTION("""COMPUTED_VALUE"""),102)</f>
        <v>102</v>
      </c>
      <c r="S293" s="1">
        <f ca="1">IFERROR(__xludf.DUMMYFUNCTION("""COMPUTED_VALUE"""),73)</f>
        <v>73</v>
      </c>
      <c r="T293" s="1">
        <f ca="1">IFERROR(__xludf.DUMMYFUNCTION("""COMPUTED_VALUE"""),-4.08)</f>
        <v>-4.08</v>
      </c>
      <c r="U293" s="1">
        <f ca="1">IFERROR(__xludf.DUMMYFUNCTION("""COMPUTED_VALUE"""),281)</f>
        <v>281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IFERROR(__xludf.DUMMYFUNCTION("""COMPUTED_VALUE"""),"Fairleigh Dickinson16")</f>
        <v>Fairleigh Dickinson16</v>
      </c>
      <c r="C294" s="1" t="str">
        <f ca="1">IFERROR(__xludf.DUMMYFUNCTION("""COMPUTED_VALUE"""),"NEC")</f>
        <v>NEC</v>
      </c>
      <c r="D294" s="1" t="str">
        <f ca="1">IFERROR(__xludf.DUMMYFUNCTION("""COMPUTED_VALUE"""),"18-15")</f>
        <v>18-15</v>
      </c>
      <c r="E294" s="1">
        <f ca="1">IFERROR(__xludf.DUMMYFUNCTION("""COMPUTED_VALUE"""),-10.63)</f>
        <v>-10.63</v>
      </c>
      <c r="F294" s="1">
        <f ca="1">IFERROR(__xludf.DUMMYFUNCTION("""COMPUTED_VALUE"""),104.4)</f>
        <v>104.4</v>
      </c>
      <c r="G294" s="1">
        <f ca="1">IFERROR(__xludf.DUMMYFUNCTION("""COMPUTED_VALUE"""),177)</f>
        <v>177</v>
      </c>
      <c r="H294" s="1">
        <f ca="1">IFERROR(__xludf.DUMMYFUNCTION("""COMPUTED_VALUE"""),115)</f>
        <v>115</v>
      </c>
      <c r="I294" s="1">
        <f ca="1">IFERROR(__xludf.DUMMYFUNCTION("""COMPUTED_VALUE"""),334)</f>
        <v>334</v>
      </c>
      <c r="J294" s="1">
        <f ca="1">IFERROR(__xludf.DUMMYFUNCTION("""COMPUTED_VALUE"""),71.5)</f>
        <v>71.5</v>
      </c>
      <c r="K294" s="1">
        <f ca="1">IFERROR(__xludf.DUMMYFUNCTION("""COMPUTED_VALUE"""),43)</f>
        <v>43</v>
      </c>
      <c r="L294" s="1" t="str">
        <f ca="1">IFERROR(__xludf.DUMMYFUNCTION("""COMPUTED_VALUE"""),"+.097")</f>
        <v>+.097</v>
      </c>
      <c r="M294" s="1">
        <f ca="1">IFERROR(__xludf.DUMMYFUNCTION("""COMPUTED_VALUE"""),16)</f>
        <v>16</v>
      </c>
      <c r="N294" s="1">
        <f ca="1">IFERROR(__xludf.DUMMYFUNCTION("""COMPUTED_VALUE"""),-9.44)</f>
        <v>-9.44</v>
      </c>
      <c r="O294" s="1">
        <f ca="1">IFERROR(__xludf.DUMMYFUNCTION("""COMPUTED_VALUE"""),338)</f>
        <v>338</v>
      </c>
      <c r="P294" s="1">
        <f ca="1">IFERROR(__xludf.DUMMYFUNCTION("""COMPUTED_VALUE"""),98.7)</f>
        <v>98.7</v>
      </c>
      <c r="Q294" s="1">
        <f ca="1">IFERROR(__xludf.DUMMYFUNCTION("""COMPUTED_VALUE"""),345)</f>
        <v>345</v>
      </c>
      <c r="R294" s="1">
        <f ca="1">IFERROR(__xludf.DUMMYFUNCTION("""COMPUTED_VALUE"""),108.1)</f>
        <v>108.1</v>
      </c>
      <c r="S294" s="1">
        <f ca="1">IFERROR(__xludf.DUMMYFUNCTION("""COMPUTED_VALUE"""),299)</f>
        <v>299</v>
      </c>
      <c r="T294" s="1">
        <f ca="1">IFERROR(__xludf.DUMMYFUNCTION("""COMPUTED_VALUE"""),-0.17)</f>
        <v>-0.17</v>
      </c>
      <c r="U294" s="1">
        <f ca="1">IFERROR(__xludf.DUMMYFUNCTION("""COMPUTED_VALUE"""),169)</f>
        <v>169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IFERROR(__xludf.DUMMYFUNCTION("""COMPUTED_VALUE"""),"Troy")</f>
        <v>Troy</v>
      </c>
      <c r="C297" s="1" t="str">
        <f ca="1">IFERROR(__xludf.DUMMYFUNCTION("""COMPUTED_VALUE"""),"SB")</f>
        <v>SB</v>
      </c>
      <c r="D297" s="2">
        <f ca="1">IFERROR(__xludf.DUMMYFUNCTION("""COMPUTED_VALUE"""),44826)</f>
        <v>44826</v>
      </c>
      <c r="E297" s="1">
        <f ca="1">IFERROR(__xludf.DUMMYFUNCTION("""COMPUTED_VALUE"""),-10.69)</f>
        <v>-10.69</v>
      </c>
      <c r="F297" s="1">
        <f ca="1">IFERROR(__xludf.DUMMYFUNCTION("""COMPUTED_VALUE"""),98.3)</f>
        <v>98.3</v>
      </c>
      <c r="G297" s="1">
        <f ca="1">IFERROR(__xludf.DUMMYFUNCTION("""COMPUTED_VALUE"""),291)</f>
        <v>291</v>
      </c>
      <c r="H297" s="1">
        <f ca="1">IFERROR(__xludf.DUMMYFUNCTION("""COMPUTED_VALUE"""),109)</f>
        <v>109</v>
      </c>
      <c r="I297" s="1">
        <f ca="1">IFERROR(__xludf.DUMMYFUNCTION("""COMPUTED_VALUE"""),258)</f>
        <v>258</v>
      </c>
      <c r="J297" s="1">
        <f ca="1">IFERROR(__xludf.DUMMYFUNCTION("""COMPUTED_VALUE"""),68.4)</f>
        <v>68.400000000000006</v>
      </c>
      <c r="K297" s="1">
        <f ca="1">IFERROR(__xludf.DUMMYFUNCTION("""COMPUTED_VALUE"""),151)</f>
        <v>151</v>
      </c>
      <c r="L297" s="1">
        <f ca="1">IFERROR(__xludf.DUMMYFUNCTION("""COMPUTED_VALUE"""),-0.021)</f>
        <v>-2.1000000000000001E-2</v>
      </c>
      <c r="M297" s="1">
        <f ca="1">IFERROR(__xludf.DUMMYFUNCTION("""COMPUTED_VALUE"""),233)</f>
        <v>233</v>
      </c>
      <c r="N297" s="1">
        <f ca="1">IFERROR(__xludf.DUMMYFUNCTION("""COMPUTED_VALUE"""),-1.52)</f>
        <v>-1.52</v>
      </c>
      <c r="O297" s="1">
        <f ca="1">IFERROR(__xludf.DUMMYFUNCTION("""COMPUTED_VALUE"""),186)</f>
        <v>186</v>
      </c>
      <c r="P297" s="1">
        <f ca="1">IFERROR(__xludf.DUMMYFUNCTION("""COMPUTED_VALUE"""),103.4)</f>
        <v>103.4</v>
      </c>
      <c r="Q297" s="1">
        <f ca="1">IFERROR(__xludf.DUMMYFUNCTION("""COMPUTED_VALUE"""),225)</f>
        <v>225</v>
      </c>
      <c r="R297" s="1">
        <f ca="1">IFERROR(__xludf.DUMMYFUNCTION("""COMPUTED_VALUE"""),104.9)</f>
        <v>104.9</v>
      </c>
      <c r="S297" s="1">
        <f ca="1">IFERROR(__xludf.DUMMYFUNCTION("""COMPUTED_VALUE"""),152)</f>
        <v>152</v>
      </c>
      <c r="T297" s="1">
        <f ca="1">IFERROR(__xludf.DUMMYFUNCTION("""COMPUTED_VALUE"""),-2.27)</f>
        <v>-2.27</v>
      </c>
      <c r="U297" s="1">
        <f ca="1">IFERROR(__xludf.DUMMYFUNCTION("""COMPUTED_VALUE"""),230)</f>
        <v>230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IFERROR(__xludf.DUMMYFUNCTION("""COMPUTED_VALUE"""),"Youngstown St.")</f>
        <v>Youngstown St.</v>
      </c>
      <c r="C298" s="1" t="str">
        <f ca="1">IFERROR(__xludf.DUMMYFUNCTION("""COMPUTED_VALUE"""),"Horz")</f>
        <v>Horz</v>
      </c>
      <c r="D298" s="2">
        <f ca="1">IFERROR(__xludf.DUMMYFUNCTION("""COMPUTED_VALUE"""),44886)</f>
        <v>44886</v>
      </c>
      <c r="E298" s="1">
        <f ca="1">IFERROR(__xludf.DUMMYFUNCTION("""COMPUTED_VALUE"""),-10.7)</f>
        <v>-10.7</v>
      </c>
      <c r="F298" s="1">
        <f ca="1">IFERROR(__xludf.DUMMYFUNCTION("""COMPUTED_VALUE"""),103.2)</f>
        <v>103.2</v>
      </c>
      <c r="G298" s="1">
        <f ca="1">IFERROR(__xludf.DUMMYFUNCTION("""COMPUTED_VALUE"""),200)</f>
        <v>200</v>
      </c>
      <c r="H298" s="1">
        <f ca="1">IFERROR(__xludf.DUMMYFUNCTION("""COMPUTED_VALUE"""),113.9)</f>
        <v>113.9</v>
      </c>
      <c r="I298" s="1">
        <f ca="1">IFERROR(__xludf.DUMMYFUNCTION("""COMPUTED_VALUE"""),326)</f>
        <v>326</v>
      </c>
      <c r="J298" s="1">
        <f ca="1">IFERROR(__xludf.DUMMYFUNCTION("""COMPUTED_VALUE"""),72.4)</f>
        <v>72.400000000000006</v>
      </c>
      <c r="K298" s="1">
        <f ca="1">IFERROR(__xludf.DUMMYFUNCTION("""COMPUTED_VALUE"""),20)</f>
        <v>20</v>
      </c>
      <c r="L298" s="1" t="str">
        <f ca="1">IFERROR(__xludf.DUMMYFUNCTION("""COMPUTED_VALUE"""),"+.007")</f>
        <v>+.007</v>
      </c>
      <c r="M298" s="1">
        <f ca="1">IFERROR(__xludf.DUMMYFUNCTION("""COMPUTED_VALUE"""),161)</f>
        <v>161</v>
      </c>
      <c r="N298" s="1">
        <f ca="1">IFERROR(__xludf.DUMMYFUNCTION("""COMPUTED_VALUE"""),-0.15)</f>
        <v>-0.15</v>
      </c>
      <c r="O298" s="1">
        <f ca="1">IFERROR(__xludf.DUMMYFUNCTION("""COMPUTED_VALUE"""),154)</f>
        <v>154</v>
      </c>
      <c r="P298" s="1">
        <f ca="1">IFERROR(__xludf.DUMMYFUNCTION("""COMPUTED_VALUE"""),104.5)</f>
        <v>104.5</v>
      </c>
      <c r="Q298" s="1">
        <f ca="1">IFERROR(__xludf.DUMMYFUNCTION("""COMPUTED_VALUE"""),169)</f>
        <v>169</v>
      </c>
      <c r="R298" s="1">
        <f ca="1">IFERROR(__xludf.DUMMYFUNCTION("""COMPUTED_VALUE"""),104.7)</f>
        <v>104.7</v>
      </c>
      <c r="S298" s="1">
        <f ca="1">IFERROR(__xludf.DUMMYFUNCTION("""COMPUTED_VALUE"""),143)</f>
        <v>143</v>
      </c>
      <c r="T298" s="1" t="str">
        <f ca="1">IFERROR(__xludf.DUMMYFUNCTION("""COMPUTED_VALUE"""),"+0.63")</f>
        <v>+0.63</v>
      </c>
      <c r="U298" s="1">
        <f ca="1">IFERROR(__xludf.DUMMYFUNCTION("""COMPUTED_VALUE"""),150)</f>
        <v>150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IFERROR(__xludf.DUMMYFUNCTION("""COMPUTED_VALUE"""),"Utah Valley")</f>
        <v>Utah Valley</v>
      </c>
      <c r="C299" s="1" t="str">
        <f ca="1">IFERROR(__xludf.DUMMYFUNCTION("""COMPUTED_VALUE"""),"WAC")</f>
        <v>WAC</v>
      </c>
      <c r="D299" s="2">
        <f ca="1">IFERROR(__xludf.DUMMYFUNCTION("""COMPUTED_VALUE"""),44913)</f>
        <v>44913</v>
      </c>
      <c r="E299" s="1">
        <f ca="1">IFERROR(__xludf.DUMMYFUNCTION("""COMPUTED_VALUE"""),-10.71)</f>
        <v>-10.71</v>
      </c>
      <c r="F299" s="1">
        <f ca="1">IFERROR(__xludf.DUMMYFUNCTION("""COMPUTED_VALUE"""),99.6)</f>
        <v>99.6</v>
      </c>
      <c r="G299" s="1">
        <f ca="1">IFERROR(__xludf.DUMMYFUNCTION("""COMPUTED_VALUE"""),268)</f>
        <v>268</v>
      </c>
      <c r="H299" s="1">
        <f ca="1">IFERROR(__xludf.DUMMYFUNCTION("""COMPUTED_VALUE"""),110.3)</f>
        <v>110.3</v>
      </c>
      <c r="I299" s="1">
        <f ca="1">IFERROR(__xludf.DUMMYFUNCTION("""COMPUTED_VALUE"""),278)</f>
        <v>278</v>
      </c>
      <c r="J299" s="1">
        <f ca="1">IFERROR(__xludf.DUMMYFUNCTION("""COMPUTED_VALUE"""),74.2)</f>
        <v>74.2</v>
      </c>
      <c r="K299" s="1">
        <f ca="1">IFERROR(__xludf.DUMMYFUNCTION("""COMPUTED_VALUE"""),7)</f>
        <v>7</v>
      </c>
      <c r="L299" s="1">
        <f ca="1">IFERROR(__xludf.DUMMYFUNCTION("""COMPUTED_VALUE"""),-0.022)</f>
        <v>-2.1999999999999999E-2</v>
      </c>
      <c r="M299" s="1">
        <f ca="1">IFERROR(__xludf.DUMMYFUNCTION("""COMPUTED_VALUE"""),236)</f>
        <v>236</v>
      </c>
      <c r="N299" s="1">
        <f ca="1">IFERROR(__xludf.DUMMYFUNCTION("""COMPUTED_VALUE"""),-4.19)</f>
        <v>-4.1900000000000004</v>
      </c>
      <c r="O299" s="1">
        <f ca="1">IFERROR(__xludf.DUMMYFUNCTION("""COMPUTED_VALUE"""),251)</f>
        <v>251</v>
      </c>
      <c r="P299" s="1">
        <f ca="1">IFERROR(__xludf.DUMMYFUNCTION("""COMPUTED_VALUE"""),102.2)</f>
        <v>102.2</v>
      </c>
      <c r="Q299" s="1">
        <f ca="1">IFERROR(__xludf.DUMMYFUNCTION("""COMPUTED_VALUE"""),276)</f>
        <v>276</v>
      </c>
      <c r="R299" s="1">
        <f ca="1">IFERROR(__xludf.DUMMYFUNCTION("""COMPUTED_VALUE"""),106.4)</f>
        <v>106.4</v>
      </c>
      <c r="S299" s="1">
        <f ca="1">IFERROR(__xludf.DUMMYFUNCTION("""COMPUTED_VALUE"""),210)</f>
        <v>210</v>
      </c>
      <c r="T299" s="1" t="str">
        <f ca="1">IFERROR(__xludf.DUMMYFUNCTION("""COMPUTED_VALUE"""),"+0.52")</f>
        <v>+0.52</v>
      </c>
      <c r="U299" s="1">
        <f ca="1">IFERROR(__xludf.DUMMYFUNCTION("""COMPUTED_VALUE"""),154)</f>
        <v>154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IFERROR(__xludf.DUMMYFUNCTION("""COMPUTED_VALUE"""),"St. Francis NY")</f>
        <v>St. Francis NY</v>
      </c>
      <c r="C300" s="1" t="str">
        <f ca="1">IFERROR(__xludf.DUMMYFUNCTION("""COMPUTED_VALUE"""),"NEC")</f>
        <v>NEC</v>
      </c>
      <c r="D300" s="1" t="str">
        <f ca="1">IFERROR(__xludf.DUMMYFUNCTION("""COMPUTED_VALUE"""),"15-17")</f>
        <v>15-17</v>
      </c>
      <c r="E300" s="1">
        <f ca="1">IFERROR(__xludf.DUMMYFUNCTION("""COMPUTED_VALUE"""),-11.23)</f>
        <v>-11.23</v>
      </c>
      <c r="F300" s="1">
        <f ca="1">IFERROR(__xludf.DUMMYFUNCTION("""COMPUTED_VALUE"""),93.9)</f>
        <v>93.9</v>
      </c>
      <c r="G300" s="1">
        <f ca="1">IFERROR(__xludf.DUMMYFUNCTION("""COMPUTED_VALUE"""),326)</f>
        <v>326</v>
      </c>
      <c r="H300" s="1">
        <f ca="1">IFERROR(__xludf.DUMMYFUNCTION("""COMPUTED_VALUE"""),105.2)</f>
        <v>105.2</v>
      </c>
      <c r="I300" s="1">
        <f ca="1">IFERROR(__xludf.DUMMYFUNCTION("""COMPUTED_VALUE"""),182)</f>
        <v>182</v>
      </c>
      <c r="J300" s="1">
        <f ca="1">IFERROR(__xludf.DUMMYFUNCTION("""COMPUTED_VALUE"""),65.8)</f>
        <v>65.8</v>
      </c>
      <c r="K300" s="1">
        <f ca="1">IFERROR(__xludf.DUMMYFUNCTION("""COMPUTED_VALUE"""),287)</f>
        <v>287</v>
      </c>
      <c r="L300" s="1" t="str">
        <f ca="1">IFERROR(__xludf.DUMMYFUNCTION("""COMPUTED_VALUE"""),"+.011")</f>
        <v>+.011</v>
      </c>
      <c r="M300" s="1">
        <f ca="1">IFERROR(__xludf.DUMMYFUNCTION("""COMPUTED_VALUE"""),150)</f>
        <v>150</v>
      </c>
      <c r="N300" s="1">
        <f ca="1">IFERROR(__xludf.DUMMYFUNCTION("""COMPUTED_VALUE"""),-9.98)</f>
        <v>-9.98</v>
      </c>
      <c r="O300" s="1">
        <f ca="1">IFERROR(__xludf.DUMMYFUNCTION("""COMPUTED_VALUE"""),344)</f>
        <v>344</v>
      </c>
      <c r="P300" s="1">
        <f ca="1">IFERROR(__xludf.DUMMYFUNCTION("""COMPUTED_VALUE"""),98.8)</f>
        <v>98.8</v>
      </c>
      <c r="Q300" s="1">
        <f ca="1">IFERROR(__xludf.DUMMYFUNCTION("""COMPUTED_VALUE"""),343)</f>
        <v>343</v>
      </c>
      <c r="R300" s="1">
        <f ca="1">IFERROR(__xludf.DUMMYFUNCTION("""COMPUTED_VALUE"""),108.8)</f>
        <v>108.8</v>
      </c>
      <c r="S300" s="1">
        <f ca="1">IFERROR(__xludf.DUMMYFUNCTION("""COMPUTED_VALUE"""),328)</f>
        <v>328</v>
      </c>
      <c r="T300" s="1">
        <f ca="1">IFERROR(__xludf.DUMMYFUNCTION("""COMPUTED_VALUE"""),-3.22)</f>
        <v>-3.22</v>
      </c>
      <c r="U300" s="1">
        <f ca="1">IFERROR(__xludf.DUMMYFUNCTION("""COMPUTED_VALUE"""),261)</f>
        <v>261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IFERROR(__xludf.DUMMYFUNCTION("""COMPUTED_VALUE"""),"Holy Cross16")</f>
        <v>Holy Cross16</v>
      </c>
      <c r="C301" s="1" t="str">
        <f ca="1">IFERROR(__xludf.DUMMYFUNCTION("""COMPUTED_VALUE"""),"Pat")</f>
        <v>Pat</v>
      </c>
      <c r="D301" s="1" t="str">
        <f ca="1">IFERROR(__xludf.DUMMYFUNCTION("""COMPUTED_VALUE"""),"15-20")</f>
        <v>15-20</v>
      </c>
      <c r="E301" s="1">
        <f ca="1">IFERROR(__xludf.DUMMYFUNCTION("""COMPUTED_VALUE"""),-11.39)</f>
        <v>-11.39</v>
      </c>
      <c r="F301" s="1">
        <f ca="1">IFERROR(__xludf.DUMMYFUNCTION("""COMPUTED_VALUE"""),97.1)</f>
        <v>97.1</v>
      </c>
      <c r="G301" s="1">
        <f ca="1">IFERROR(__xludf.DUMMYFUNCTION("""COMPUTED_VALUE"""),307)</f>
        <v>307</v>
      </c>
      <c r="H301" s="1">
        <f ca="1">IFERROR(__xludf.DUMMYFUNCTION("""COMPUTED_VALUE"""),108.5)</f>
        <v>108.5</v>
      </c>
      <c r="I301" s="1">
        <f ca="1">IFERROR(__xludf.DUMMYFUNCTION("""COMPUTED_VALUE"""),241)</f>
        <v>241</v>
      </c>
      <c r="J301" s="1">
        <f ca="1">IFERROR(__xludf.DUMMYFUNCTION("""COMPUTED_VALUE"""),63.6)</f>
        <v>63.6</v>
      </c>
      <c r="K301" s="1">
        <f ca="1">IFERROR(__xludf.DUMMYFUNCTION("""COMPUTED_VALUE"""),339)</f>
        <v>339</v>
      </c>
      <c r="L301" s="1" t="str">
        <f ca="1">IFERROR(__xludf.DUMMYFUNCTION("""COMPUTED_VALUE"""),"+.065")</f>
        <v>+.065</v>
      </c>
      <c r="M301" s="1">
        <f ca="1">IFERROR(__xludf.DUMMYFUNCTION("""COMPUTED_VALUE"""),39)</f>
        <v>39</v>
      </c>
      <c r="N301" s="1">
        <f ca="1">IFERROR(__xludf.DUMMYFUNCTION("""COMPUTED_VALUE"""),-6.09)</f>
        <v>-6.09</v>
      </c>
      <c r="O301" s="1">
        <f ca="1">IFERROR(__xludf.DUMMYFUNCTION("""COMPUTED_VALUE"""),290)</f>
        <v>290</v>
      </c>
      <c r="P301" s="1">
        <f ca="1">IFERROR(__xludf.DUMMYFUNCTION("""COMPUTED_VALUE"""),101.9)</f>
        <v>101.9</v>
      </c>
      <c r="Q301" s="1">
        <f ca="1">IFERROR(__xludf.DUMMYFUNCTION("""COMPUTED_VALUE"""),288)</f>
        <v>288</v>
      </c>
      <c r="R301" s="1">
        <f ca="1">IFERROR(__xludf.DUMMYFUNCTION("""COMPUTED_VALUE"""),108)</f>
        <v>108</v>
      </c>
      <c r="S301" s="1">
        <f ca="1">IFERROR(__xludf.DUMMYFUNCTION("""COMPUTED_VALUE"""),294)</f>
        <v>294</v>
      </c>
      <c r="T301" s="1">
        <f ca="1">IFERROR(__xludf.DUMMYFUNCTION("""COMPUTED_VALUE"""),-6.27)</f>
        <v>-6.27</v>
      </c>
      <c r="U301" s="1">
        <f ca="1">IFERROR(__xludf.DUMMYFUNCTION("""COMPUTED_VALUE"""),313)</f>
        <v>313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IFERROR(__xludf.DUMMYFUNCTION("""COMPUTED_VALUE"""),"Alabama St.")</f>
        <v>Alabama St.</v>
      </c>
      <c r="C302" s="1" t="str">
        <f ca="1">IFERROR(__xludf.DUMMYFUNCTION("""COMPUTED_VALUE"""),"SWAC")</f>
        <v>SWAC</v>
      </c>
      <c r="D302" s="1" t="str">
        <f ca="1">IFERROR(__xludf.DUMMYFUNCTION("""COMPUTED_VALUE"""),"14-17")</f>
        <v>14-17</v>
      </c>
      <c r="E302" s="1">
        <f ca="1">IFERROR(__xludf.DUMMYFUNCTION("""COMPUTED_VALUE"""),-11.59)</f>
        <v>-11.59</v>
      </c>
      <c r="F302" s="1">
        <f ca="1">IFERROR(__xludf.DUMMYFUNCTION("""COMPUTED_VALUE"""),99.1)</f>
        <v>99.1</v>
      </c>
      <c r="G302" s="1">
        <f ca="1">IFERROR(__xludf.DUMMYFUNCTION("""COMPUTED_VALUE"""),282)</f>
        <v>282</v>
      </c>
      <c r="H302" s="1">
        <f ca="1">IFERROR(__xludf.DUMMYFUNCTION("""COMPUTED_VALUE"""),110.7)</f>
        <v>110.7</v>
      </c>
      <c r="I302" s="1">
        <f ca="1">IFERROR(__xludf.DUMMYFUNCTION("""COMPUTED_VALUE"""),284)</f>
        <v>284</v>
      </c>
      <c r="J302" s="1">
        <f ca="1">IFERROR(__xludf.DUMMYFUNCTION("""COMPUTED_VALUE"""),69)</f>
        <v>69</v>
      </c>
      <c r="K302" s="1">
        <f ca="1">IFERROR(__xludf.DUMMYFUNCTION("""COMPUTED_VALUE"""),124)</f>
        <v>124</v>
      </c>
      <c r="L302" s="1" t="str">
        <f ca="1">IFERROR(__xludf.DUMMYFUNCTION("""COMPUTED_VALUE"""),"+.029")</f>
        <v>+.029</v>
      </c>
      <c r="M302" s="1">
        <f ca="1">IFERROR(__xludf.DUMMYFUNCTION("""COMPUTED_VALUE"""),99)</f>
        <v>99</v>
      </c>
      <c r="N302" s="1">
        <f ca="1">IFERROR(__xludf.DUMMYFUNCTION("""COMPUTED_VALUE"""),-7.89)</f>
        <v>-7.89</v>
      </c>
      <c r="O302" s="1">
        <f ca="1">IFERROR(__xludf.DUMMYFUNCTION("""COMPUTED_VALUE"""),325)</f>
        <v>325</v>
      </c>
      <c r="P302" s="1">
        <f ca="1">IFERROR(__xludf.DUMMYFUNCTION("""COMPUTED_VALUE"""),99.3)</f>
        <v>99.3</v>
      </c>
      <c r="Q302" s="1">
        <f ca="1">IFERROR(__xludf.DUMMYFUNCTION("""COMPUTED_VALUE"""),338)</f>
        <v>338</v>
      </c>
      <c r="R302" s="1">
        <f ca="1">IFERROR(__xludf.DUMMYFUNCTION("""COMPUTED_VALUE"""),107.2)</f>
        <v>107.2</v>
      </c>
      <c r="S302" s="1">
        <f ca="1">IFERROR(__xludf.DUMMYFUNCTION("""COMPUTED_VALUE"""),249)</f>
        <v>249</v>
      </c>
      <c r="T302" s="1" t="str">
        <f ca="1">IFERROR(__xludf.DUMMYFUNCTION("""COMPUTED_VALUE"""),"+4.32")</f>
        <v>+4.32</v>
      </c>
      <c r="U302" s="1">
        <f ca="1">IFERROR(__xludf.DUMMYFUNCTION("""COMPUTED_VALUE"""),50)</f>
        <v>50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IFERROR(__xludf.DUMMYFUNCTION("""COMPUTED_VALUE"""),"LIU Brooklyn")</f>
        <v>LIU Brooklyn</v>
      </c>
      <c r="C303" s="1" t="str">
        <f ca="1">IFERROR(__xludf.DUMMYFUNCTION("""COMPUTED_VALUE"""),"NEC")</f>
        <v>NEC</v>
      </c>
      <c r="D303" s="1" t="str">
        <f ca="1">IFERROR(__xludf.DUMMYFUNCTION("""COMPUTED_VALUE"""),"16-15")</f>
        <v>16-15</v>
      </c>
      <c r="E303" s="1">
        <f ca="1">IFERROR(__xludf.DUMMYFUNCTION("""COMPUTED_VALUE"""),-11.78)</f>
        <v>-11.78</v>
      </c>
      <c r="F303" s="1">
        <f ca="1">IFERROR(__xludf.DUMMYFUNCTION("""COMPUTED_VALUE"""),100.1)</f>
        <v>100.1</v>
      </c>
      <c r="G303" s="1">
        <f ca="1">IFERROR(__xludf.DUMMYFUNCTION("""COMPUTED_VALUE"""),260)</f>
        <v>260</v>
      </c>
      <c r="H303" s="1">
        <f ca="1">IFERROR(__xludf.DUMMYFUNCTION("""COMPUTED_VALUE"""),111.9)</f>
        <v>111.9</v>
      </c>
      <c r="I303" s="1">
        <f ca="1">IFERROR(__xludf.DUMMYFUNCTION("""COMPUTED_VALUE"""),304)</f>
        <v>304</v>
      </c>
      <c r="J303" s="1">
        <f ca="1">IFERROR(__xludf.DUMMYFUNCTION("""COMPUTED_VALUE"""),72.3)</f>
        <v>72.3</v>
      </c>
      <c r="K303" s="1">
        <f ca="1">IFERROR(__xludf.DUMMYFUNCTION("""COMPUTED_VALUE"""),21)</f>
        <v>21</v>
      </c>
      <c r="L303" s="1" t="str">
        <f ca="1">IFERROR(__xludf.DUMMYFUNCTION("""COMPUTED_VALUE"""),"+.049")</f>
        <v>+.049</v>
      </c>
      <c r="M303" s="1">
        <f ca="1">IFERROR(__xludf.DUMMYFUNCTION("""COMPUTED_VALUE"""),62)</f>
        <v>62</v>
      </c>
      <c r="N303" s="1">
        <f ca="1">IFERROR(__xludf.DUMMYFUNCTION("""COMPUTED_VALUE"""),-11.43)</f>
        <v>-11.43</v>
      </c>
      <c r="O303" s="1">
        <f ca="1">IFERROR(__xludf.DUMMYFUNCTION("""COMPUTED_VALUE"""),351)</f>
        <v>351</v>
      </c>
      <c r="P303" s="1">
        <f ca="1">IFERROR(__xludf.DUMMYFUNCTION("""COMPUTED_VALUE"""),98.2)</f>
        <v>98.2</v>
      </c>
      <c r="Q303" s="1">
        <f ca="1">IFERROR(__xludf.DUMMYFUNCTION("""COMPUTED_VALUE"""),349)</f>
        <v>349</v>
      </c>
      <c r="R303" s="1">
        <f ca="1">IFERROR(__xludf.DUMMYFUNCTION("""COMPUTED_VALUE"""),109.6)</f>
        <v>109.6</v>
      </c>
      <c r="S303" s="1">
        <f ca="1">IFERROR(__xludf.DUMMYFUNCTION("""COMPUTED_VALUE"""),346)</f>
        <v>346</v>
      </c>
      <c r="T303" s="1">
        <f ca="1">IFERROR(__xludf.DUMMYFUNCTION("""COMPUTED_VALUE"""),-8.71)</f>
        <v>-8.7100000000000009</v>
      </c>
      <c r="U303" s="1">
        <f ca="1">IFERROR(__xludf.DUMMYFUNCTION("""COMPUTED_VALUE"""),340)</f>
        <v>340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IFERROR(__xludf.DUMMYFUNCTION("""COMPUTED_VALUE"""),"Loyola MD")</f>
        <v>Loyola MD</v>
      </c>
      <c r="C304" s="1" t="str">
        <f ca="1">IFERROR(__xludf.DUMMYFUNCTION("""COMPUTED_VALUE"""),"Pat")</f>
        <v>Pat</v>
      </c>
      <c r="D304" s="2">
        <f ca="1">IFERROR(__xludf.DUMMYFUNCTION("""COMPUTED_VALUE"""),44825)</f>
        <v>44825</v>
      </c>
      <c r="E304" s="1">
        <f ca="1">IFERROR(__xludf.DUMMYFUNCTION("""COMPUTED_VALUE"""),-11.85)</f>
        <v>-11.85</v>
      </c>
      <c r="F304" s="1">
        <f ca="1">IFERROR(__xludf.DUMMYFUNCTION("""COMPUTED_VALUE"""),100.8)</f>
        <v>100.8</v>
      </c>
      <c r="G304" s="1">
        <f ca="1">IFERROR(__xludf.DUMMYFUNCTION("""COMPUTED_VALUE"""),241)</f>
        <v>241</v>
      </c>
      <c r="H304" s="1">
        <f ca="1">IFERROR(__xludf.DUMMYFUNCTION("""COMPUTED_VALUE"""),112.6)</f>
        <v>112.6</v>
      </c>
      <c r="I304" s="1">
        <f ca="1">IFERROR(__xludf.DUMMYFUNCTION("""COMPUTED_VALUE"""),310)</f>
        <v>310</v>
      </c>
      <c r="J304" s="1">
        <f ca="1">IFERROR(__xludf.DUMMYFUNCTION("""COMPUTED_VALUE"""),66.7)</f>
        <v>66.7</v>
      </c>
      <c r="K304" s="1">
        <f ca="1">IFERROR(__xludf.DUMMYFUNCTION("""COMPUTED_VALUE"""),251)</f>
        <v>251</v>
      </c>
      <c r="L304" s="1">
        <f ca="1">IFERROR(__xludf.DUMMYFUNCTION("""COMPUTED_VALUE"""),-0.03)</f>
        <v>-0.03</v>
      </c>
      <c r="M304" s="1">
        <f ca="1">IFERROR(__xludf.DUMMYFUNCTION("""COMPUTED_VALUE"""),256)</f>
        <v>256</v>
      </c>
      <c r="N304" s="1">
        <f ca="1">IFERROR(__xludf.DUMMYFUNCTION("""COMPUTED_VALUE"""),-5.42)</f>
        <v>-5.42</v>
      </c>
      <c r="O304" s="1">
        <f ca="1">IFERROR(__xludf.DUMMYFUNCTION("""COMPUTED_VALUE"""),273)</f>
        <v>273</v>
      </c>
      <c r="P304" s="1">
        <f ca="1">IFERROR(__xludf.DUMMYFUNCTION("""COMPUTED_VALUE"""),102)</f>
        <v>102</v>
      </c>
      <c r="Q304" s="1">
        <f ca="1">IFERROR(__xludf.DUMMYFUNCTION("""COMPUTED_VALUE"""),287)</f>
        <v>287</v>
      </c>
      <c r="R304" s="1">
        <f ca="1">IFERROR(__xludf.DUMMYFUNCTION("""COMPUTED_VALUE"""),107.4)</f>
        <v>107.4</v>
      </c>
      <c r="S304" s="1">
        <f ca="1">IFERROR(__xludf.DUMMYFUNCTION("""COMPUTED_VALUE"""),254)</f>
        <v>254</v>
      </c>
      <c r="T304" s="1" t="str">
        <f ca="1">IFERROR(__xludf.DUMMYFUNCTION("""COMPUTED_VALUE"""),"+1.65")</f>
        <v>+1.65</v>
      </c>
      <c r="U304" s="1">
        <f ca="1">IFERROR(__xludf.DUMMYFUNCTION("""COMPUTED_VALUE"""),120)</f>
        <v>120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IFERROR(__xludf.DUMMYFUNCTION("""COMPUTED_VALUE"""),"North Texas")</f>
        <v>North Texas</v>
      </c>
      <c r="C305" s="1" t="str">
        <f ca="1">IFERROR(__xludf.DUMMYFUNCTION("""COMPUTED_VALUE"""),"CUSA")</f>
        <v>CUSA</v>
      </c>
      <c r="D305" s="2">
        <f ca="1">IFERROR(__xludf.DUMMYFUNCTION("""COMPUTED_VALUE"""),44915)</f>
        <v>44915</v>
      </c>
      <c r="E305" s="1">
        <f ca="1">IFERROR(__xludf.DUMMYFUNCTION("""COMPUTED_VALUE"""),-11.89)</f>
        <v>-11.89</v>
      </c>
      <c r="F305" s="1">
        <f ca="1">IFERROR(__xludf.DUMMYFUNCTION("""COMPUTED_VALUE"""),100.8)</f>
        <v>100.8</v>
      </c>
      <c r="G305" s="1">
        <f ca="1">IFERROR(__xludf.DUMMYFUNCTION("""COMPUTED_VALUE"""),240)</f>
        <v>240</v>
      </c>
      <c r="H305" s="1">
        <f ca="1">IFERROR(__xludf.DUMMYFUNCTION("""COMPUTED_VALUE"""),112.7)</f>
        <v>112.7</v>
      </c>
      <c r="I305" s="1">
        <f ca="1">IFERROR(__xludf.DUMMYFUNCTION("""COMPUTED_VALUE"""),312)</f>
        <v>312</v>
      </c>
      <c r="J305" s="1">
        <f ca="1">IFERROR(__xludf.DUMMYFUNCTION("""COMPUTED_VALUE"""),69.7)</f>
        <v>69.7</v>
      </c>
      <c r="K305" s="1">
        <f ca="1">IFERROR(__xludf.DUMMYFUNCTION("""COMPUTED_VALUE"""),93)</f>
        <v>93</v>
      </c>
      <c r="L305" s="1" t="str">
        <f ca="1">IFERROR(__xludf.DUMMYFUNCTION("""COMPUTED_VALUE"""),"+.015")</f>
        <v>+.015</v>
      </c>
      <c r="M305" s="1">
        <f ca="1">IFERROR(__xludf.DUMMYFUNCTION("""COMPUTED_VALUE"""),138)</f>
        <v>138</v>
      </c>
      <c r="N305" s="1">
        <f ca="1">IFERROR(__xludf.DUMMYFUNCTION("""COMPUTED_VALUE"""),-4.41)</f>
        <v>-4.41</v>
      </c>
      <c r="O305" s="1">
        <f ca="1">IFERROR(__xludf.DUMMYFUNCTION("""COMPUTED_VALUE"""),253)</f>
        <v>253</v>
      </c>
      <c r="P305" s="1">
        <f ca="1">IFERROR(__xludf.DUMMYFUNCTION("""COMPUTED_VALUE"""),103)</f>
        <v>103</v>
      </c>
      <c r="Q305" s="1">
        <f ca="1">IFERROR(__xludf.DUMMYFUNCTION("""COMPUTED_VALUE"""),241)</f>
        <v>241</v>
      </c>
      <c r="R305" s="1">
        <f ca="1">IFERROR(__xludf.DUMMYFUNCTION("""COMPUTED_VALUE"""),107.5)</f>
        <v>107.5</v>
      </c>
      <c r="S305" s="1">
        <f ca="1">IFERROR(__xludf.DUMMYFUNCTION("""COMPUTED_VALUE"""),260)</f>
        <v>260</v>
      </c>
      <c r="T305" s="1">
        <f ca="1">IFERROR(__xludf.DUMMYFUNCTION("""COMPUTED_VALUE"""),-4.66)</f>
        <v>-4.66</v>
      </c>
      <c r="U305" s="1">
        <f ca="1">IFERROR(__xludf.DUMMYFUNCTION("""COMPUTED_VALUE"""),294)</f>
        <v>294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IFERROR(__xludf.DUMMYFUNCTION("""COMPUTED_VALUE"""),"Cleveland St.")</f>
        <v>Cleveland St.</v>
      </c>
      <c r="C306" s="1" t="str">
        <f ca="1">IFERROR(__xludf.DUMMYFUNCTION("""COMPUTED_VALUE"""),"Horz")</f>
        <v>Horz</v>
      </c>
      <c r="D306" s="2">
        <f ca="1">IFERROR(__xludf.DUMMYFUNCTION("""COMPUTED_VALUE"""),44827)</f>
        <v>44827</v>
      </c>
      <c r="E306" s="1">
        <f ca="1">IFERROR(__xludf.DUMMYFUNCTION("""COMPUTED_VALUE"""),-11.89)</f>
        <v>-11.89</v>
      </c>
      <c r="F306" s="1">
        <f ca="1">IFERROR(__xludf.DUMMYFUNCTION("""COMPUTED_VALUE"""),91.6)</f>
        <v>91.6</v>
      </c>
      <c r="G306" s="1">
        <f ca="1">IFERROR(__xludf.DUMMYFUNCTION("""COMPUTED_VALUE"""),340)</f>
        <v>340</v>
      </c>
      <c r="H306" s="1">
        <f ca="1">IFERROR(__xludf.DUMMYFUNCTION("""COMPUTED_VALUE"""),103.5)</f>
        <v>103.5</v>
      </c>
      <c r="I306" s="1">
        <f ca="1">IFERROR(__xludf.DUMMYFUNCTION("""COMPUTED_VALUE"""),147)</f>
        <v>147</v>
      </c>
      <c r="J306" s="1">
        <f ca="1">IFERROR(__xludf.DUMMYFUNCTION("""COMPUTED_VALUE"""),63.8)</f>
        <v>63.8</v>
      </c>
      <c r="K306" s="1">
        <f ca="1">IFERROR(__xludf.DUMMYFUNCTION("""COMPUTED_VALUE"""),336)</f>
        <v>336</v>
      </c>
      <c r="L306" s="1" t="str">
        <f ca="1">IFERROR(__xludf.DUMMYFUNCTION("""COMPUTED_VALUE"""),"+.020")</f>
        <v>+.020</v>
      </c>
      <c r="M306" s="1">
        <f ca="1">IFERROR(__xludf.DUMMYFUNCTION("""COMPUTED_VALUE"""),122)</f>
        <v>122</v>
      </c>
      <c r="N306" s="1" t="str">
        <f ca="1">IFERROR(__xludf.DUMMYFUNCTION("""COMPUTED_VALUE"""),"+0.85")</f>
        <v>+0.85</v>
      </c>
      <c r="O306" s="1">
        <f ca="1">IFERROR(__xludf.DUMMYFUNCTION("""COMPUTED_VALUE"""),133)</f>
        <v>133</v>
      </c>
      <c r="P306" s="1">
        <f ca="1">IFERROR(__xludf.DUMMYFUNCTION("""COMPUTED_VALUE"""),106.2)</f>
        <v>106.2</v>
      </c>
      <c r="Q306" s="1">
        <f ca="1">IFERROR(__xludf.DUMMYFUNCTION("""COMPUTED_VALUE"""),104)</f>
        <v>104</v>
      </c>
      <c r="R306" s="1">
        <f ca="1">IFERROR(__xludf.DUMMYFUNCTION("""COMPUTED_VALUE"""),105.4)</f>
        <v>105.4</v>
      </c>
      <c r="S306" s="1">
        <f ca="1">IFERROR(__xludf.DUMMYFUNCTION("""COMPUTED_VALUE"""),168)</f>
        <v>168</v>
      </c>
      <c r="T306" s="1" t="str">
        <f ca="1">IFERROR(__xludf.DUMMYFUNCTION("""COMPUTED_VALUE"""),"+3.12")</f>
        <v>+3.12</v>
      </c>
      <c r="U306" s="1">
        <f ca="1">IFERROR(__xludf.DUMMYFUNCTION("""COMPUTED_VALUE"""),79)</f>
        <v>79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IFERROR(__xludf.DUMMYFUNCTION("""COMPUTED_VALUE"""),"Quinnipiac")</f>
        <v>Quinnipiac</v>
      </c>
      <c r="C307" s="1" t="str">
        <f ca="1">IFERROR(__xludf.DUMMYFUNCTION("""COMPUTED_VALUE"""),"MAAC")</f>
        <v>MAAC</v>
      </c>
      <c r="D307" s="2">
        <f ca="1">IFERROR(__xludf.DUMMYFUNCTION("""COMPUTED_VALUE"""),44825)</f>
        <v>44825</v>
      </c>
      <c r="E307" s="1">
        <f ca="1">IFERROR(__xludf.DUMMYFUNCTION("""COMPUTED_VALUE"""),-11.89)</f>
        <v>-11.89</v>
      </c>
      <c r="F307" s="1">
        <f ca="1">IFERROR(__xludf.DUMMYFUNCTION("""COMPUTED_VALUE"""),91.9)</f>
        <v>91.9</v>
      </c>
      <c r="G307" s="1">
        <f ca="1">IFERROR(__xludf.DUMMYFUNCTION("""COMPUTED_VALUE"""),337)</f>
        <v>337</v>
      </c>
      <c r="H307" s="1">
        <f ca="1">IFERROR(__xludf.DUMMYFUNCTION("""COMPUTED_VALUE"""),103.8)</f>
        <v>103.8</v>
      </c>
      <c r="I307" s="1">
        <f ca="1">IFERROR(__xludf.DUMMYFUNCTION("""COMPUTED_VALUE"""),154)</f>
        <v>154</v>
      </c>
      <c r="J307" s="1">
        <f ca="1">IFERROR(__xludf.DUMMYFUNCTION("""COMPUTED_VALUE"""),68.5)</f>
        <v>68.5</v>
      </c>
      <c r="K307" s="1">
        <f ca="1">IFERROR(__xludf.DUMMYFUNCTION("""COMPUTED_VALUE"""),143)</f>
        <v>143</v>
      </c>
      <c r="L307" s="1">
        <f ca="1">IFERROR(__xludf.DUMMYFUNCTION("""COMPUTED_VALUE"""),-0.028)</f>
        <v>-2.8000000000000001E-2</v>
      </c>
      <c r="M307" s="1">
        <f ca="1">IFERROR(__xludf.DUMMYFUNCTION("""COMPUTED_VALUE"""),252)</f>
        <v>252</v>
      </c>
      <c r="N307" s="1">
        <f ca="1">IFERROR(__xludf.DUMMYFUNCTION("""COMPUTED_VALUE"""),-5.55)</f>
        <v>-5.55</v>
      </c>
      <c r="O307" s="1">
        <f ca="1">IFERROR(__xludf.DUMMYFUNCTION("""COMPUTED_VALUE"""),276)</f>
        <v>276</v>
      </c>
      <c r="P307" s="1">
        <f ca="1">IFERROR(__xludf.DUMMYFUNCTION("""COMPUTED_VALUE"""),102.2)</f>
        <v>102.2</v>
      </c>
      <c r="Q307" s="1">
        <f ca="1">IFERROR(__xludf.DUMMYFUNCTION("""COMPUTED_VALUE"""),277)</f>
        <v>277</v>
      </c>
      <c r="R307" s="1">
        <f ca="1">IFERROR(__xludf.DUMMYFUNCTION("""COMPUTED_VALUE"""),107.7)</f>
        <v>107.7</v>
      </c>
      <c r="S307" s="1">
        <f ca="1">IFERROR(__xludf.DUMMYFUNCTION("""COMPUTED_VALUE"""),282)</f>
        <v>282</v>
      </c>
      <c r="T307" s="1">
        <f ca="1">IFERROR(__xludf.DUMMYFUNCTION("""COMPUTED_VALUE"""),-8.44)</f>
        <v>-8.44</v>
      </c>
      <c r="U307" s="1">
        <f ca="1">IFERROR(__xludf.DUMMYFUNCTION("""COMPUTED_VALUE"""),338)</f>
        <v>338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IFERROR(__xludf.DUMMYFUNCTION("""COMPUTED_VALUE"""),"Liberty")</f>
        <v>Liberty</v>
      </c>
      <c r="C308" s="1" t="str">
        <f ca="1">IFERROR(__xludf.DUMMYFUNCTION("""COMPUTED_VALUE"""),"BSth")</f>
        <v>BSth</v>
      </c>
      <c r="D308" s="1" t="str">
        <f ca="1">IFERROR(__xludf.DUMMYFUNCTION("""COMPUTED_VALUE"""),"13-19")</f>
        <v>13-19</v>
      </c>
      <c r="E308" s="1">
        <f ca="1">IFERROR(__xludf.DUMMYFUNCTION("""COMPUTED_VALUE"""),-12.11)</f>
        <v>-12.11</v>
      </c>
      <c r="F308" s="1">
        <f ca="1">IFERROR(__xludf.DUMMYFUNCTION("""COMPUTED_VALUE"""),98.7)</f>
        <v>98.7</v>
      </c>
      <c r="G308" s="1">
        <f ca="1">IFERROR(__xludf.DUMMYFUNCTION("""COMPUTED_VALUE"""),286)</f>
        <v>286</v>
      </c>
      <c r="H308" s="1">
        <f ca="1">IFERROR(__xludf.DUMMYFUNCTION("""COMPUTED_VALUE"""),110.8)</f>
        <v>110.8</v>
      </c>
      <c r="I308" s="1">
        <f ca="1">IFERROR(__xludf.DUMMYFUNCTION("""COMPUTED_VALUE"""),286)</f>
        <v>286</v>
      </c>
      <c r="J308" s="1">
        <f ca="1">IFERROR(__xludf.DUMMYFUNCTION("""COMPUTED_VALUE"""),63.2)</f>
        <v>63.2</v>
      </c>
      <c r="K308" s="1">
        <f ca="1">IFERROR(__xludf.DUMMYFUNCTION("""COMPUTED_VALUE"""),345)</f>
        <v>345</v>
      </c>
      <c r="L308" s="1" t="str">
        <f ca="1">IFERROR(__xludf.DUMMYFUNCTION("""COMPUTED_VALUE"""),"+.077")</f>
        <v>+.077</v>
      </c>
      <c r="M308" s="1">
        <f ca="1">IFERROR(__xludf.DUMMYFUNCTION("""COMPUTED_VALUE"""),32)</f>
        <v>32</v>
      </c>
      <c r="N308" s="1">
        <f ca="1">IFERROR(__xludf.DUMMYFUNCTION("""COMPUTED_VALUE"""),-3.45)</f>
        <v>-3.45</v>
      </c>
      <c r="O308" s="1">
        <f ca="1">IFERROR(__xludf.DUMMYFUNCTION("""COMPUTED_VALUE"""),225)</f>
        <v>225</v>
      </c>
      <c r="P308" s="1">
        <f ca="1">IFERROR(__xludf.DUMMYFUNCTION("""COMPUTED_VALUE"""),103.6)</f>
        <v>103.6</v>
      </c>
      <c r="Q308" s="1">
        <f ca="1">IFERROR(__xludf.DUMMYFUNCTION("""COMPUTED_VALUE"""),214)</f>
        <v>214</v>
      </c>
      <c r="R308" s="1">
        <f ca="1">IFERROR(__xludf.DUMMYFUNCTION("""COMPUTED_VALUE"""),107)</f>
        <v>107</v>
      </c>
      <c r="S308" s="1">
        <f ca="1">IFERROR(__xludf.DUMMYFUNCTION("""COMPUTED_VALUE"""),239)</f>
        <v>239</v>
      </c>
      <c r="T308" s="1" t="str">
        <f ca="1">IFERROR(__xludf.DUMMYFUNCTION("""COMPUTED_VALUE"""),"+2.21")</f>
        <v>+2.21</v>
      </c>
      <c r="U308" s="1">
        <f ca="1">IFERROR(__xludf.DUMMYFUNCTION("""COMPUTED_VALUE"""),100)</f>
        <v>100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IFERROR(__xludf.DUMMYFUNCTION("""COMPUTED_VALUE"""),"Florida Atlantic")</f>
        <v>Florida Atlantic</v>
      </c>
      <c r="C309" s="1" t="str">
        <f ca="1">IFERROR(__xludf.DUMMYFUNCTION("""COMPUTED_VALUE"""),"CUSA")</f>
        <v>CUSA</v>
      </c>
      <c r="D309" s="2">
        <f ca="1">IFERROR(__xludf.DUMMYFUNCTION("""COMPUTED_VALUE"""),44798)</f>
        <v>44798</v>
      </c>
      <c r="E309" s="1">
        <f ca="1">IFERROR(__xludf.DUMMYFUNCTION("""COMPUTED_VALUE"""),-12.36)</f>
        <v>-12.36</v>
      </c>
      <c r="F309" s="1">
        <f ca="1">IFERROR(__xludf.DUMMYFUNCTION("""COMPUTED_VALUE"""),95.7)</f>
        <v>95.7</v>
      </c>
      <c r="G309" s="1">
        <f ca="1">IFERROR(__xludf.DUMMYFUNCTION("""COMPUTED_VALUE"""),317)</f>
        <v>317</v>
      </c>
      <c r="H309" s="1">
        <f ca="1">IFERROR(__xludf.DUMMYFUNCTION("""COMPUTED_VALUE"""),108.1)</f>
        <v>108.1</v>
      </c>
      <c r="I309" s="1">
        <f ca="1">IFERROR(__xludf.DUMMYFUNCTION("""COMPUTED_VALUE"""),235)</f>
        <v>235</v>
      </c>
      <c r="J309" s="1">
        <f ca="1">IFERROR(__xludf.DUMMYFUNCTION("""COMPUTED_VALUE"""),67.5)</f>
        <v>67.5</v>
      </c>
      <c r="K309" s="1">
        <f ca="1">IFERROR(__xludf.DUMMYFUNCTION("""COMPUTED_VALUE"""),204)</f>
        <v>204</v>
      </c>
      <c r="L309" s="1">
        <f ca="1">IFERROR(__xludf.DUMMYFUNCTION("""COMPUTED_VALUE"""),-0.033)</f>
        <v>-3.3000000000000002E-2</v>
      </c>
      <c r="M309" s="1">
        <f ca="1">IFERROR(__xludf.DUMMYFUNCTION("""COMPUTED_VALUE"""),262)</f>
        <v>262</v>
      </c>
      <c r="N309" s="1">
        <f ca="1">IFERROR(__xludf.DUMMYFUNCTION("""COMPUTED_VALUE"""),-1.38)</f>
        <v>-1.38</v>
      </c>
      <c r="O309" s="1">
        <f ca="1">IFERROR(__xludf.DUMMYFUNCTION("""COMPUTED_VALUE"""),180)</f>
        <v>180</v>
      </c>
      <c r="P309" s="1">
        <f ca="1">IFERROR(__xludf.DUMMYFUNCTION("""COMPUTED_VALUE"""),105.4)</f>
        <v>105.4</v>
      </c>
      <c r="Q309" s="1">
        <f ca="1">IFERROR(__xludf.DUMMYFUNCTION("""COMPUTED_VALUE"""),130)</f>
        <v>130</v>
      </c>
      <c r="R309" s="1">
        <f ca="1">IFERROR(__xludf.DUMMYFUNCTION("""COMPUTED_VALUE"""),106.8)</f>
        <v>106.8</v>
      </c>
      <c r="S309" s="1">
        <f ca="1">IFERROR(__xludf.DUMMYFUNCTION("""COMPUTED_VALUE"""),228)</f>
        <v>228</v>
      </c>
      <c r="T309" s="1" t="str">
        <f ca="1">IFERROR(__xludf.DUMMYFUNCTION("""COMPUTED_VALUE"""),"+4.72")</f>
        <v>+4.72</v>
      </c>
      <c r="U309" s="1">
        <f ca="1">IFERROR(__xludf.DUMMYFUNCTION("""COMPUTED_VALUE"""),43)</f>
        <v>43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IFERROR(__xludf.DUMMYFUNCTION("""COMPUTED_VALUE"""),"Seattle")</f>
        <v>Seattle</v>
      </c>
      <c r="C310" s="1" t="str">
        <f ca="1">IFERROR(__xludf.DUMMYFUNCTION("""COMPUTED_VALUE"""),"WAC")</f>
        <v>WAC</v>
      </c>
      <c r="D310" s="1" t="str">
        <f ca="1">IFERROR(__xludf.DUMMYFUNCTION("""COMPUTED_VALUE"""),"15-17")</f>
        <v>15-17</v>
      </c>
      <c r="E310" s="1">
        <f ca="1">IFERROR(__xludf.DUMMYFUNCTION("""COMPUTED_VALUE"""),-12.37)</f>
        <v>-12.37</v>
      </c>
      <c r="F310" s="1">
        <f ca="1">IFERROR(__xludf.DUMMYFUNCTION("""COMPUTED_VALUE"""),94.3)</f>
        <v>94.3</v>
      </c>
      <c r="G310" s="1">
        <f ca="1">IFERROR(__xludf.DUMMYFUNCTION("""COMPUTED_VALUE"""),324)</f>
        <v>324</v>
      </c>
      <c r="H310" s="1">
        <f ca="1">IFERROR(__xludf.DUMMYFUNCTION("""COMPUTED_VALUE"""),106.7)</f>
        <v>106.7</v>
      </c>
      <c r="I310" s="1">
        <f ca="1">IFERROR(__xludf.DUMMYFUNCTION("""COMPUTED_VALUE"""),207)</f>
        <v>207</v>
      </c>
      <c r="J310" s="1">
        <f ca="1">IFERROR(__xludf.DUMMYFUNCTION("""COMPUTED_VALUE"""),65.8)</f>
        <v>65.8</v>
      </c>
      <c r="K310" s="1">
        <f ca="1">IFERROR(__xludf.DUMMYFUNCTION("""COMPUTED_VALUE"""),294)</f>
        <v>294</v>
      </c>
      <c r="L310" s="1" t="str">
        <f ca="1">IFERROR(__xludf.DUMMYFUNCTION("""COMPUTED_VALUE"""),"+.059")</f>
        <v>+.059</v>
      </c>
      <c r="M310" s="1">
        <f ca="1">IFERROR(__xludf.DUMMYFUNCTION("""COMPUTED_VALUE"""),47)</f>
        <v>47</v>
      </c>
      <c r="N310" s="1">
        <f ca="1">IFERROR(__xludf.DUMMYFUNCTION("""COMPUTED_VALUE"""),-7.15)</f>
        <v>-7.15</v>
      </c>
      <c r="O310" s="1">
        <f ca="1">IFERROR(__xludf.DUMMYFUNCTION("""COMPUTED_VALUE"""),313)</f>
        <v>313</v>
      </c>
      <c r="P310" s="1">
        <f ca="1">IFERROR(__xludf.DUMMYFUNCTION("""COMPUTED_VALUE"""),100.4)</f>
        <v>100.4</v>
      </c>
      <c r="Q310" s="1">
        <f ca="1">IFERROR(__xludf.DUMMYFUNCTION("""COMPUTED_VALUE"""),320)</f>
        <v>320</v>
      </c>
      <c r="R310" s="1">
        <f ca="1">IFERROR(__xludf.DUMMYFUNCTION("""COMPUTED_VALUE"""),107.6)</f>
        <v>107.6</v>
      </c>
      <c r="S310" s="1">
        <f ca="1">IFERROR(__xludf.DUMMYFUNCTION("""COMPUTED_VALUE"""),272)</f>
        <v>272</v>
      </c>
      <c r="T310" s="1">
        <f ca="1">IFERROR(__xludf.DUMMYFUNCTION("""COMPUTED_VALUE"""),-6.46)</f>
        <v>-6.46</v>
      </c>
      <c r="U310" s="1">
        <f ca="1">IFERROR(__xludf.DUMMYFUNCTION("""COMPUTED_VALUE"""),317)</f>
        <v>317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IFERROR(__xludf.DUMMYFUNCTION("""COMPUTED_VALUE"""),"Longwood")</f>
        <v>Longwood</v>
      </c>
      <c r="C311" s="1" t="str">
        <f ca="1">IFERROR(__xludf.DUMMYFUNCTION("""COMPUTED_VALUE"""),"BSth")</f>
        <v>BSth</v>
      </c>
      <c r="D311" s="2">
        <f ca="1">IFERROR(__xludf.DUMMYFUNCTION("""COMPUTED_VALUE"""),44857)</f>
        <v>44857</v>
      </c>
      <c r="E311" s="1">
        <f ca="1">IFERROR(__xludf.DUMMYFUNCTION("""COMPUTED_VALUE"""),-12.51)</f>
        <v>-12.51</v>
      </c>
      <c r="F311" s="1">
        <f ca="1">IFERROR(__xludf.DUMMYFUNCTION("""COMPUTED_VALUE"""),100.4)</f>
        <v>100.4</v>
      </c>
      <c r="G311" s="1">
        <f ca="1">IFERROR(__xludf.DUMMYFUNCTION("""COMPUTED_VALUE"""),250)</f>
        <v>250</v>
      </c>
      <c r="H311" s="1">
        <f ca="1">IFERROR(__xludf.DUMMYFUNCTION("""COMPUTED_VALUE"""),112.9)</f>
        <v>112.9</v>
      </c>
      <c r="I311" s="1">
        <f ca="1">IFERROR(__xludf.DUMMYFUNCTION("""COMPUTED_VALUE"""),316)</f>
        <v>316</v>
      </c>
      <c r="J311" s="1">
        <f ca="1">IFERROR(__xludf.DUMMYFUNCTION("""COMPUTED_VALUE"""),69.2)</f>
        <v>69.2</v>
      </c>
      <c r="K311" s="1">
        <f ca="1">IFERROR(__xludf.DUMMYFUNCTION("""COMPUTED_VALUE"""),111)</f>
        <v>111</v>
      </c>
      <c r="L311" s="1">
        <f ca="1">IFERROR(__xludf.DUMMYFUNCTION("""COMPUTED_VALUE"""),-0.039)</f>
        <v>-3.9E-2</v>
      </c>
      <c r="M311" s="1">
        <f ca="1">IFERROR(__xludf.DUMMYFUNCTION("""COMPUTED_VALUE"""),276)</f>
        <v>276</v>
      </c>
      <c r="N311" s="1">
        <f ca="1">IFERROR(__xludf.DUMMYFUNCTION("""COMPUTED_VALUE"""),-4.76)</f>
        <v>-4.76</v>
      </c>
      <c r="O311" s="1">
        <f ca="1">IFERROR(__xludf.DUMMYFUNCTION("""COMPUTED_VALUE"""),261)</f>
        <v>261</v>
      </c>
      <c r="P311" s="1">
        <f ca="1">IFERROR(__xludf.DUMMYFUNCTION("""COMPUTED_VALUE"""),103.4)</f>
        <v>103.4</v>
      </c>
      <c r="Q311" s="1">
        <f ca="1">IFERROR(__xludf.DUMMYFUNCTION("""COMPUTED_VALUE"""),221)</f>
        <v>221</v>
      </c>
      <c r="R311" s="1">
        <f ca="1">IFERROR(__xludf.DUMMYFUNCTION("""COMPUTED_VALUE"""),108.2)</f>
        <v>108.2</v>
      </c>
      <c r="S311" s="1">
        <f ca="1">IFERROR(__xludf.DUMMYFUNCTION("""COMPUTED_VALUE"""),303)</f>
        <v>303</v>
      </c>
      <c r="T311" s="1">
        <f ca="1">IFERROR(__xludf.DUMMYFUNCTION("""COMPUTED_VALUE"""),-0.85)</f>
        <v>-0.85</v>
      </c>
      <c r="U311" s="1">
        <f ca="1">IFERROR(__xludf.DUMMYFUNCTION("""COMPUTED_VALUE"""),184)</f>
        <v>184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IFERROR(__xludf.DUMMYFUNCTION("""COMPUTED_VALUE"""),"Jacksonville St.")</f>
        <v>Jacksonville St.</v>
      </c>
      <c r="C312" s="1" t="str">
        <f ca="1">IFERROR(__xludf.DUMMYFUNCTION("""COMPUTED_VALUE"""),"OVC")</f>
        <v>OVC</v>
      </c>
      <c r="D312" s="2">
        <f ca="1">IFERROR(__xludf.DUMMYFUNCTION("""COMPUTED_VALUE"""),44796)</f>
        <v>44796</v>
      </c>
      <c r="E312" s="1">
        <f ca="1">IFERROR(__xludf.DUMMYFUNCTION("""COMPUTED_VALUE"""),-12.58)</f>
        <v>-12.58</v>
      </c>
      <c r="F312" s="1">
        <f ca="1">IFERROR(__xludf.DUMMYFUNCTION("""COMPUTED_VALUE"""),98.3)</f>
        <v>98.3</v>
      </c>
      <c r="G312" s="1">
        <f ca="1">IFERROR(__xludf.DUMMYFUNCTION("""COMPUTED_VALUE"""),290)</f>
        <v>290</v>
      </c>
      <c r="H312" s="1">
        <f ca="1">IFERROR(__xludf.DUMMYFUNCTION("""COMPUTED_VALUE"""),110.9)</f>
        <v>110.9</v>
      </c>
      <c r="I312" s="1">
        <f ca="1">IFERROR(__xludf.DUMMYFUNCTION("""COMPUTED_VALUE"""),288)</f>
        <v>288</v>
      </c>
      <c r="J312" s="1">
        <f ca="1">IFERROR(__xludf.DUMMYFUNCTION("""COMPUTED_VALUE"""),64.9)</f>
        <v>64.900000000000006</v>
      </c>
      <c r="K312" s="1">
        <f ca="1">IFERROR(__xludf.DUMMYFUNCTION("""COMPUTED_VALUE"""),317)</f>
        <v>317</v>
      </c>
      <c r="L312" s="1">
        <f ca="1">IFERROR(__xludf.DUMMYFUNCTION("""COMPUTED_VALUE"""),-0.067)</f>
        <v>-6.7000000000000004E-2</v>
      </c>
      <c r="M312" s="1">
        <f ca="1">IFERROR(__xludf.DUMMYFUNCTION("""COMPUTED_VALUE"""),321)</f>
        <v>321</v>
      </c>
      <c r="N312" s="1">
        <f ca="1">IFERROR(__xludf.DUMMYFUNCTION("""COMPUTED_VALUE"""),-3.87)</f>
        <v>-3.87</v>
      </c>
      <c r="O312" s="1">
        <f ca="1">IFERROR(__xludf.DUMMYFUNCTION("""COMPUTED_VALUE"""),235)</f>
        <v>235</v>
      </c>
      <c r="P312" s="1">
        <f ca="1">IFERROR(__xludf.DUMMYFUNCTION("""COMPUTED_VALUE"""),104.4)</f>
        <v>104.4</v>
      </c>
      <c r="Q312" s="1">
        <f ca="1">IFERROR(__xludf.DUMMYFUNCTION("""COMPUTED_VALUE"""),179)</f>
        <v>179</v>
      </c>
      <c r="R312" s="1">
        <f ca="1">IFERROR(__xludf.DUMMYFUNCTION("""COMPUTED_VALUE"""),108.3)</f>
        <v>108.3</v>
      </c>
      <c r="S312" s="1">
        <f ca="1">IFERROR(__xludf.DUMMYFUNCTION("""COMPUTED_VALUE"""),308)</f>
        <v>308</v>
      </c>
      <c r="T312" s="1">
        <f ca="1">IFERROR(__xludf.DUMMYFUNCTION("""COMPUTED_VALUE"""),-3.98)</f>
        <v>-3.98</v>
      </c>
      <c r="U312" s="1">
        <f ca="1">IFERROR(__xludf.DUMMYFUNCTION("""COMPUTED_VALUE"""),276)</f>
        <v>276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IFERROR(__xludf.DUMMYFUNCTION("""COMPUTED_VALUE"""),"Campbell")</f>
        <v>Campbell</v>
      </c>
      <c r="C313" s="1" t="str">
        <f ca="1">IFERROR(__xludf.DUMMYFUNCTION("""COMPUTED_VALUE"""),"BSth")</f>
        <v>BSth</v>
      </c>
      <c r="D313" s="2">
        <f ca="1">IFERROR(__xludf.DUMMYFUNCTION("""COMPUTED_VALUE"""),44913)</f>
        <v>44913</v>
      </c>
      <c r="E313" s="1">
        <f ca="1">IFERROR(__xludf.DUMMYFUNCTION("""COMPUTED_VALUE"""),-12.82)</f>
        <v>-12.82</v>
      </c>
      <c r="F313" s="1">
        <f ca="1">IFERROR(__xludf.DUMMYFUNCTION("""COMPUTED_VALUE"""),100.2)</f>
        <v>100.2</v>
      </c>
      <c r="G313" s="1">
        <f ca="1">IFERROR(__xludf.DUMMYFUNCTION("""COMPUTED_VALUE"""),255)</f>
        <v>255</v>
      </c>
      <c r="H313" s="1">
        <f ca="1">IFERROR(__xludf.DUMMYFUNCTION("""COMPUTED_VALUE"""),113)</f>
        <v>113</v>
      </c>
      <c r="I313" s="1">
        <f ca="1">IFERROR(__xludf.DUMMYFUNCTION("""COMPUTED_VALUE"""),317)</f>
        <v>317</v>
      </c>
      <c r="J313" s="1">
        <f ca="1">IFERROR(__xludf.DUMMYFUNCTION("""COMPUTED_VALUE"""),68.1)</f>
        <v>68.099999999999994</v>
      </c>
      <c r="K313" s="1">
        <f ca="1">IFERROR(__xludf.DUMMYFUNCTION("""COMPUTED_VALUE"""),168)</f>
        <v>168</v>
      </c>
      <c r="L313" s="1">
        <f ca="1">IFERROR(__xludf.DUMMYFUNCTION("""COMPUTED_VALUE"""),-0.03)</f>
        <v>-0.03</v>
      </c>
      <c r="M313" s="1">
        <f ca="1">IFERROR(__xludf.DUMMYFUNCTION("""COMPUTED_VALUE"""),254)</f>
        <v>254</v>
      </c>
      <c r="N313" s="1">
        <f ca="1">IFERROR(__xludf.DUMMYFUNCTION("""COMPUTED_VALUE"""),-7.62)</f>
        <v>-7.62</v>
      </c>
      <c r="O313" s="1">
        <f ca="1">IFERROR(__xludf.DUMMYFUNCTION("""COMPUTED_VALUE"""),322)</f>
        <v>322</v>
      </c>
      <c r="P313" s="1">
        <f ca="1">IFERROR(__xludf.DUMMYFUNCTION("""COMPUTED_VALUE"""),100.6)</f>
        <v>100.6</v>
      </c>
      <c r="Q313" s="1">
        <f ca="1">IFERROR(__xludf.DUMMYFUNCTION("""COMPUTED_VALUE"""),317)</f>
        <v>317</v>
      </c>
      <c r="R313" s="1">
        <f ca="1">IFERROR(__xludf.DUMMYFUNCTION("""COMPUTED_VALUE"""),108.2)</f>
        <v>108.2</v>
      </c>
      <c r="S313" s="1">
        <f ca="1">IFERROR(__xludf.DUMMYFUNCTION("""COMPUTED_VALUE"""),302)</f>
        <v>302</v>
      </c>
      <c r="T313" s="1">
        <f ca="1">IFERROR(__xludf.DUMMYFUNCTION("""COMPUTED_VALUE"""),-9.21)</f>
        <v>-9.2100000000000009</v>
      </c>
      <c r="U313" s="1">
        <f ca="1">IFERROR(__xludf.DUMMYFUNCTION("""COMPUTED_VALUE"""),344)</f>
        <v>344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IFERROR(__xludf.DUMMYFUNCTION("""COMPUTED_VALUE"""),"Charleston Southern")</f>
        <v>Charleston Southern</v>
      </c>
      <c r="C314" s="1" t="str">
        <f ca="1">IFERROR(__xludf.DUMMYFUNCTION("""COMPUTED_VALUE"""),"BSth")</f>
        <v>BSth</v>
      </c>
      <c r="D314" s="2">
        <f ca="1">IFERROR(__xludf.DUMMYFUNCTION("""COMPUTED_VALUE"""),44825)</f>
        <v>44825</v>
      </c>
      <c r="E314" s="1">
        <f ca="1">IFERROR(__xludf.DUMMYFUNCTION("""COMPUTED_VALUE"""),-12.94)</f>
        <v>-12.94</v>
      </c>
      <c r="F314" s="1">
        <f ca="1">IFERROR(__xludf.DUMMYFUNCTION("""COMPUTED_VALUE"""),99.2)</f>
        <v>99.2</v>
      </c>
      <c r="G314" s="1">
        <f ca="1">IFERROR(__xludf.DUMMYFUNCTION("""COMPUTED_VALUE"""),280)</f>
        <v>280</v>
      </c>
      <c r="H314" s="1">
        <f ca="1">IFERROR(__xludf.DUMMYFUNCTION("""COMPUTED_VALUE"""),112.1)</f>
        <v>112.1</v>
      </c>
      <c r="I314" s="1">
        <f ca="1">IFERROR(__xludf.DUMMYFUNCTION("""COMPUTED_VALUE"""),306)</f>
        <v>306</v>
      </c>
      <c r="J314" s="1">
        <f ca="1">IFERROR(__xludf.DUMMYFUNCTION("""COMPUTED_VALUE"""),68.2)</f>
        <v>68.2</v>
      </c>
      <c r="K314" s="1">
        <f ca="1">IFERROR(__xludf.DUMMYFUNCTION("""COMPUTED_VALUE"""),161)</f>
        <v>161</v>
      </c>
      <c r="L314" s="1">
        <f ca="1">IFERROR(__xludf.DUMMYFUNCTION("""COMPUTED_VALUE"""),-0.008)</f>
        <v>-8.0000000000000002E-3</v>
      </c>
      <c r="M314" s="1">
        <f ca="1">IFERROR(__xludf.DUMMYFUNCTION("""COMPUTED_VALUE"""),199)</f>
        <v>199</v>
      </c>
      <c r="N314" s="1">
        <f ca="1">IFERROR(__xludf.DUMMYFUNCTION("""COMPUTED_VALUE"""),-2.15)</f>
        <v>-2.15</v>
      </c>
      <c r="O314" s="1">
        <f ca="1">IFERROR(__xludf.DUMMYFUNCTION("""COMPUTED_VALUE"""),202)</f>
        <v>202</v>
      </c>
      <c r="P314" s="1">
        <f ca="1">IFERROR(__xludf.DUMMYFUNCTION("""COMPUTED_VALUE"""),103.8)</f>
        <v>103.8</v>
      </c>
      <c r="Q314" s="1">
        <f ca="1">IFERROR(__xludf.DUMMYFUNCTION("""COMPUTED_VALUE"""),205)</f>
        <v>205</v>
      </c>
      <c r="R314" s="1">
        <f ca="1">IFERROR(__xludf.DUMMYFUNCTION("""COMPUTED_VALUE"""),105.9)</f>
        <v>105.9</v>
      </c>
      <c r="S314" s="1">
        <f ca="1">IFERROR(__xludf.DUMMYFUNCTION("""COMPUTED_VALUE"""),195)</f>
        <v>195</v>
      </c>
      <c r="T314" s="1" t="str">
        <f ca="1">IFERROR(__xludf.DUMMYFUNCTION("""COMPUTED_VALUE"""),"+10.33")</f>
        <v>+10.33</v>
      </c>
      <c r="U314" s="1">
        <f ca="1">IFERROR(__xludf.DUMMYFUNCTION("""COMPUTED_VALUE"""),9)</f>
        <v>9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IFERROR(__xludf.DUMMYFUNCTION("""COMPUTED_VALUE"""),"St. Francis PA")</f>
        <v>St. Francis PA</v>
      </c>
      <c r="C315" s="1" t="str">
        <f ca="1">IFERROR(__xludf.DUMMYFUNCTION("""COMPUTED_VALUE"""),"NEC")</f>
        <v>NEC</v>
      </c>
      <c r="D315" s="1" t="str">
        <f ca="1">IFERROR(__xludf.DUMMYFUNCTION("""COMPUTED_VALUE"""),"13-17")</f>
        <v>13-17</v>
      </c>
      <c r="E315" s="1">
        <f ca="1">IFERROR(__xludf.DUMMYFUNCTION("""COMPUTED_VALUE"""),-13.05)</f>
        <v>-13.05</v>
      </c>
      <c r="F315" s="1">
        <f ca="1">IFERROR(__xludf.DUMMYFUNCTION("""COMPUTED_VALUE"""),100.4)</f>
        <v>100.4</v>
      </c>
      <c r="G315" s="1">
        <f ca="1">IFERROR(__xludf.DUMMYFUNCTION("""COMPUTED_VALUE"""),252)</f>
        <v>252</v>
      </c>
      <c r="H315" s="1">
        <f ca="1">IFERROR(__xludf.DUMMYFUNCTION("""COMPUTED_VALUE"""),113.4)</f>
        <v>113.4</v>
      </c>
      <c r="I315" s="1">
        <f ca="1">IFERROR(__xludf.DUMMYFUNCTION("""COMPUTED_VALUE"""),322)</f>
        <v>322</v>
      </c>
      <c r="J315" s="1">
        <f ca="1">IFERROR(__xludf.DUMMYFUNCTION("""COMPUTED_VALUE"""),66.1)</f>
        <v>66.099999999999994</v>
      </c>
      <c r="K315" s="1">
        <f ca="1">IFERROR(__xludf.DUMMYFUNCTION("""COMPUTED_VALUE"""),271)</f>
        <v>271</v>
      </c>
      <c r="L315" s="1" t="str">
        <f ca="1">IFERROR(__xludf.DUMMYFUNCTION("""COMPUTED_VALUE"""),"+.014")</f>
        <v>+.014</v>
      </c>
      <c r="M315" s="1">
        <f ca="1">IFERROR(__xludf.DUMMYFUNCTION("""COMPUTED_VALUE"""),141)</f>
        <v>141</v>
      </c>
      <c r="N315" s="1">
        <f ca="1">IFERROR(__xludf.DUMMYFUNCTION("""COMPUTED_VALUE"""),-9.55)</f>
        <v>-9.5500000000000007</v>
      </c>
      <c r="O315" s="1">
        <f ca="1">IFERROR(__xludf.DUMMYFUNCTION("""COMPUTED_VALUE"""),339)</f>
        <v>339</v>
      </c>
      <c r="P315" s="1">
        <f ca="1">IFERROR(__xludf.DUMMYFUNCTION("""COMPUTED_VALUE"""),99.4)</f>
        <v>99.4</v>
      </c>
      <c r="Q315" s="1">
        <f ca="1">IFERROR(__xludf.DUMMYFUNCTION("""COMPUTED_VALUE"""),334)</f>
        <v>334</v>
      </c>
      <c r="R315" s="1">
        <f ca="1">IFERROR(__xludf.DUMMYFUNCTION("""COMPUTED_VALUE"""),108.9)</f>
        <v>108.9</v>
      </c>
      <c r="S315" s="1">
        <f ca="1">IFERROR(__xludf.DUMMYFUNCTION("""COMPUTED_VALUE"""),331)</f>
        <v>331</v>
      </c>
      <c r="T315" s="1">
        <f ca="1">IFERROR(__xludf.DUMMYFUNCTION("""COMPUTED_VALUE"""),-0.83)</f>
        <v>-0.83</v>
      </c>
      <c r="U315" s="1">
        <f ca="1">IFERROR(__xludf.DUMMYFUNCTION("""COMPUTED_VALUE"""),181)</f>
        <v>181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IFERROR(__xludf.DUMMYFUNCTION("""COMPUTED_VALUE"""),"Sacred Heart")</f>
        <v>Sacred Heart</v>
      </c>
      <c r="C316" s="1" t="str">
        <f ca="1">IFERROR(__xludf.DUMMYFUNCTION("""COMPUTED_VALUE"""),"NEC")</f>
        <v>NEC</v>
      </c>
      <c r="D316" s="2">
        <f ca="1">IFERROR(__xludf.DUMMYFUNCTION("""COMPUTED_VALUE"""),44913)</f>
        <v>44913</v>
      </c>
      <c r="E316" s="1">
        <f ca="1">IFERROR(__xludf.DUMMYFUNCTION("""COMPUTED_VALUE"""),-13.11)</f>
        <v>-13.11</v>
      </c>
      <c r="F316" s="1">
        <f ca="1">IFERROR(__xludf.DUMMYFUNCTION("""COMPUTED_VALUE"""),99.6)</f>
        <v>99.6</v>
      </c>
      <c r="G316" s="1">
        <f ca="1">IFERROR(__xludf.DUMMYFUNCTION("""COMPUTED_VALUE"""),270)</f>
        <v>270</v>
      </c>
      <c r="H316" s="1">
        <f ca="1">IFERROR(__xludf.DUMMYFUNCTION("""COMPUTED_VALUE"""),112.7)</f>
        <v>112.7</v>
      </c>
      <c r="I316" s="1">
        <f ca="1">IFERROR(__xludf.DUMMYFUNCTION("""COMPUTED_VALUE"""),313)</f>
        <v>313</v>
      </c>
      <c r="J316" s="1">
        <f ca="1">IFERROR(__xludf.DUMMYFUNCTION("""COMPUTED_VALUE"""),71.2)</f>
        <v>71.2</v>
      </c>
      <c r="K316" s="1">
        <f ca="1">IFERROR(__xludf.DUMMYFUNCTION("""COMPUTED_VALUE"""),48)</f>
        <v>48</v>
      </c>
      <c r="L316" s="1" t="str">
        <f ca="1">IFERROR(__xludf.DUMMYFUNCTION("""COMPUTED_VALUE"""),"+.006")</f>
        <v>+.006</v>
      </c>
      <c r="M316" s="1">
        <f ca="1">IFERROR(__xludf.DUMMYFUNCTION("""COMPUTED_VALUE"""),163)</f>
        <v>163</v>
      </c>
      <c r="N316" s="1">
        <f ca="1">IFERROR(__xludf.DUMMYFUNCTION("""COMPUTED_VALUE"""),-9.39)</f>
        <v>-9.39</v>
      </c>
      <c r="O316" s="1">
        <f ca="1">IFERROR(__xludf.DUMMYFUNCTION("""COMPUTED_VALUE"""),337)</f>
        <v>337</v>
      </c>
      <c r="P316" s="1">
        <f ca="1">IFERROR(__xludf.DUMMYFUNCTION("""COMPUTED_VALUE"""),99.4)</f>
        <v>99.4</v>
      </c>
      <c r="Q316" s="1">
        <f ca="1">IFERROR(__xludf.DUMMYFUNCTION("""COMPUTED_VALUE"""),335)</f>
        <v>335</v>
      </c>
      <c r="R316" s="1">
        <f ca="1">IFERROR(__xludf.DUMMYFUNCTION("""COMPUTED_VALUE"""),108.8)</f>
        <v>108.8</v>
      </c>
      <c r="S316" s="1">
        <f ca="1">IFERROR(__xludf.DUMMYFUNCTION("""COMPUTED_VALUE"""),327)</f>
        <v>327</v>
      </c>
      <c r="T316" s="1" t="str">
        <f ca="1">IFERROR(__xludf.DUMMYFUNCTION("""COMPUTED_VALUE"""),"+0.97")</f>
        <v>+0.97</v>
      </c>
      <c r="U316" s="1">
        <f ca="1">IFERROR(__xludf.DUMMYFUNCTION("""COMPUTED_VALUE"""),141)</f>
        <v>141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IFERROR(__xludf.DUMMYFUNCTION("""COMPUTED_VALUE"""),"Alabama A&amp;M")</f>
        <v>Alabama A&amp;M</v>
      </c>
      <c r="C317" s="1" t="str">
        <f ca="1">IFERROR(__xludf.DUMMYFUNCTION("""COMPUTED_VALUE"""),"SWAC")</f>
        <v>SWAC</v>
      </c>
      <c r="D317" s="2">
        <f ca="1">IFERROR(__xludf.DUMMYFUNCTION("""COMPUTED_VALUE"""),44883)</f>
        <v>44883</v>
      </c>
      <c r="E317" s="1">
        <f ca="1">IFERROR(__xludf.DUMMYFUNCTION("""COMPUTED_VALUE"""),-13.28)</f>
        <v>-13.28</v>
      </c>
      <c r="F317" s="1">
        <f ca="1">IFERROR(__xludf.DUMMYFUNCTION("""COMPUTED_VALUE"""),100.1)</f>
        <v>100.1</v>
      </c>
      <c r="G317" s="1">
        <f ca="1">IFERROR(__xludf.DUMMYFUNCTION("""COMPUTED_VALUE"""),257)</f>
        <v>257</v>
      </c>
      <c r="H317" s="1">
        <f ca="1">IFERROR(__xludf.DUMMYFUNCTION("""COMPUTED_VALUE"""),113.4)</f>
        <v>113.4</v>
      </c>
      <c r="I317" s="1">
        <f ca="1">IFERROR(__xludf.DUMMYFUNCTION("""COMPUTED_VALUE"""),323)</f>
        <v>323</v>
      </c>
      <c r="J317" s="1">
        <f ca="1">IFERROR(__xludf.DUMMYFUNCTION("""COMPUTED_VALUE"""),65.2)</f>
        <v>65.2</v>
      </c>
      <c r="K317" s="1">
        <f ca="1">IFERROR(__xludf.DUMMYFUNCTION("""COMPUTED_VALUE"""),309)</f>
        <v>309</v>
      </c>
      <c r="L317" s="1">
        <f ca="1">IFERROR(__xludf.DUMMYFUNCTION("""COMPUTED_VALUE"""),-0.046)</f>
        <v>-4.5999999999999999E-2</v>
      </c>
      <c r="M317" s="1">
        <f ca="1">IFERROR(__xludf.DUMMYFUNCTION("""COMPUTED_VALUE"""),287)</f>
        <v>287</v>
      </c>
      <c r="N317" s="1">
        <f ca="1">IFERROR(__xludf.DUMMYFUNCTION("""COMPUTED_VALUE"""),-9.75)</f>
        <v>-9.75</v>
      </c>
      <c r="O317" s="1">
        <f ca="1">IFERROR(__xludf.DUMMYFUNCTION("""COMPUTED_VALUE"""),342)</f>
        <v>342</v>
      </c>
      <c r="P317" s="1">
        <f ca="1">IFERROR(__xludf.DUMMYFUNCTION("""COMPUTED_VALUE"""),97.7)</f>
        <v>97.7</v>
      </c>
      <c r="Q317" s="1">
        <f ca="1">IFERROR(__xludf.DUMMYFUNCTION("""COMPUTED_VALUE"""),351)</f>
        <v>351</v>
      </c>
      <c r="R317" s="1">
        <f ca="1">IFERROR(__xludf.DUMMYFUNCTION("""COMPUTED_VALUE"""),107.4)</f>
        <v>107.4</v>
      </c>
      <c r="S317" s="1">
        <f ca="1">IFERROR(__xludf.DUMMYFUNCTION("""COMPUTED_VALUE"""),256)</f>
        <v>256</v>
      </c>
      <c r="T317" s="1" t="str">
        <f ca="1">IFERROR(__xludf.DUMMYFUNCTION("""COMPUTED_VALUE"""),"+0.76")</f>
        <v>+0.76</v>
      </c>
      <c r="U317" s="1">
        <f ca="1">IFERROR(__xludf.DUMMYFUNCTION("""COMPUTED_VALUE"""),147)</f>
        <v>147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IFERROR(__xludf.DUMMYFUNCTION("""COMPUTED_VALUE"""),"North Carolina Central")</f>
        <v>North Carolina Central</v>
      </c>
      <c r="C318" s="1" t="str">
        <f ca="1">IFERROR(__xludf.DUMMYFUNCTION("""COMPUTED_VALUE"""),"MEAC")</f>
        <v>MEAC</v>
      </c>
      <c r="D318" s="1" t="str">
        <f ca="1">IFERROR(__xludf.DUMMYFUNCTION("""COMPUTED_VALUE"""),"13-19")</f>
        <v>13-19</v>
      </c>
      <c r="E318" s="1">
        <f ca="1">IFERROR(__xludf.DUMMYFUNCTION("""COMPUTED_VALUE"""),-13.35)</f>
        <v>-13.35</v>
      </c>
      <c r="F318" s="1">
        <f ca="1">IFERROR(__xludf.DUMMYFUNCTION("""COMPUTED_VALUE"""),98.3)</f>
        <v>98.3</v>
      </c>
      <c r="G318" s="1">
        <f ca="1">IFERROR(__xludf.DUMMYFUNCTION("""COMPUTED_VALUE"""),293)</f>
        <v>293</v>
      </c>
      <c r="H318" s="1">
        <f ca="1">IFERROR(__xludf.DUMMYFUNCTION("""COMPUTED_VALUE"""),111.6)</f>
        <v>111.6</v>
      </c>
      <c r="I318" s="1">
        <f ca="1">IFERROR(__xludf.DUMMYFUNCTION("""COMPUTED_VALUE"""),298)</f>
        <v>298</v>
      </c>
      <c r="J318" s="1">
        <f ca="1">IFERROR(__xludf.DUMMYFUNCTION("""COMPUTED_VALUE"""),65.9)</f>
        <v>65.900000000000006</v>
      </c>
      <c r="K318" s="1">
        <f ca="1">IFERROR(__xludf.DUMMYFUNCTION("""COMPUTED_VALUE"""),281)</f>
        <v>281</v>
      </c>
      <c r="L318" s="1">
        <f ca="1">IFERROR(__xludf.DUMMYFUNCTION("""COMPUTED_VALUE"""),-0.076)</f>
        <v>-7.5999999999999998E-2</v>
      </c>
      <c r="M318" s="1">
        <f ca="1">IFERROR(__xludf.DUMMYFUNCTION("""COMPUTED_VALUE"""),330)</f>
        <v>330</v>
      </c>
      <c r="N318" s="1">
        <f ca="1">IFERROR(__xludf.DUMMYFUNCTION("""COMPUTED_VALUE"""),-10.79)</f>
        <v>-10.79</v>
      </c>
      <c r="O318" s="1">
        <f ca="1">IFERROR(__xludf.DUMMYFUNCTION("""COMPUTED_VALUE"""),348)</f>
        <v>348</v>
      </c>
      <c r="P318" s="1">
        <f ca="1">IFERROR(__xludf.DUMMYFUNCTION("""COMPUTED_VALUE"""),98.4)</f>
        <v>98.4</v>
      </c>
      <c r="Q318" s="1">
        <f ca="1">IFERROR(__xludf.DUMMYFUNCTION("""COMPUTED_VALUE"""),346)</f>
        <v>346</v>
      </c>
      <c r="R318" s="1">
        <f ca="1">IFERROR(__xludf.DUMMYFUNCTION("""COMPUTED_VALUE"""),109.2)</f>
        <v>109.2</v>
      </c>
      <c r="S318" s="1">
        <f ca="1">IFERROR(__xludf.DUMMYFUNCTION("""COMPUTED_VALUE"""),338)</f>
        <v>338</v>
      </c>
      <c r="T318" s="1">
        <f ca="1">IFERROR(__xludf.DUMMYFUNCTION("""COMPUTED_VALUE"""),-0.07)</f>
        <v>-7.0000000000000007E-2</v>
      </c>
      <c r="U318" s="1">
        <f ca="1">IFERROR(__xludf.DUMMYFUNCTION("""COMPUTED_VALUE"""),168)</f>
        <v>168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IFERROR(__xludf.DUMMYFUNCTION("""COMPUTED_VALUE"""),"Robert Morris")</f>
        <v>Robert Morris</v>
      </c>
      <c r="C319" s="1" t="str">
        <f ca="1">IFERROR(__xludf.DUMMYFUNCTION("""COMPUTED_VALUE"""),"NEC")</f>
        <v>NEC</v>
      </c>
      <c r="D319" s="2">
        <f ca="1">IFERROR(__xludf.DUMMYFUNCTION("""COMPUTED_VALUE"""),44856)</f>
        <v>44856</v>
      </c>
      <c r="E319" s="1">
        <f ca="1">IFERROR(__xludf.DUMMYFUNCTION("""COMPUTED_VALUE"""),-13.36)</f>
        <v>-13.36</v>
      </c>
      <c r="F319" s="1">
        <f ca="1">IFERROR(__xludf.DUMMYFUNCTION("""COMPUTED_VALUE"""),91.8)</f>
        <v>91.8</v>
      </c>
      <c r="G319" s="1">
        <f ca="1">IFERROR(__xludf.DUMMYFUNCTION("""COMPUTED_VALUE"""),339)</f>
        <v>339</v>
      </c>
      <c r="H319" s="1">
        <f ca="1">IFERROR(__xludf.DUMMYFUNCTION("""COMPUTED_VALUE"""),105.2)</f>
        <v>105.2</v>
      </c>
      <c r="I319" s="1">
        <f ca="1">IFERROR(__xludf.DUMMYFUNCTION("""COMPUTED_VALUE"""),183)</f>
        <v>183</v>
      </c>
      <c r="J319" s="1">
        <f ca="1">IFERROR(__xludf.DUMMYFUNCTION("""COMPUTED_VALUE"""),67.8)</f>
        <v>67.8</v>
      </c>
      <c r="K319" s="1">
        <f ca="1">IFERROR(__xludf.DUMMYFUNCTION("""COMPUTED_VALUE"""),188)</f>
        <v>188</v>
      </c>
      <c r="L319" s="1">
        <f ca="1">IFERROR(__xludf.DUMMYFUNCTION("""COMPUTED_VALUE"""),-0.033)</f>
        <v>-3.3000000000000002E-2</v>
      </c>
      <c r="M319" s="1">
        <f ca="1">IFERROR(__xludf.DUMMYFUNCTION("""COMPUTED_VALUE"""),263)</f>
        <v>263</v>
      </c>
      <c r="N319" s="1">
        <f ca="1">IFERROR(__xludf.DUMMYFUNCTION("""COMPUTED_VALUE"""),-7.2)</f>
        <v>-7.2</v>
      </c>
      <c r="O319" s="1">
        <f ca="1">IFERROR(__xludf.DUMMYFUNCTION("""COMPUTED_VALUE"""),314)</f>
        <v>314</v>
      </c>
      <c r="P319" s="1">
        <f ca="1">IFERROR(__xludf.DUMMYFUNCTION("""COMPUTED_VALUE"""),101.1)</f>
        <v>101.1</v>
      </c>
      <c r="Q319" s="1">
        <f ca="1">IFERROR(__xludf.DUMMYFUNCTION("""COMPUTED_VALUE"""),306)</f>
        <v>306</v>
      </c>
      <c r="R319" s="1">
        <f ca="1">IFERROR(__xludf.DUMMYFUNCTION("""COMPUTED_VALUE"""),108.3)</f>
        <v>108.3</v>
      </c>
      <c r="S319" s="1">
        <f ca="1">IFERROR(__xludf.DUMMYFUNCTION("""COMPUTED_VALUE"""),311)</f>
        <v>311</v>
      </c>
      <c r="T319" s="1" t="str">
        <f ca="1">IFERROR(__xludf.DUMMYFUNCTION("""COMPUTED_VALUE"""),"+1.69")</f>
        <v>+1.69</v>
      </c>
      <c r="U319" s="1">
        <f ca="1">IFERROR(__xludf.DUMMYFUNCTION("""COMPUTED_VALUE"""),119)</f>
        <v>119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IFERROR(__xludf.DUMMYFUNCTION("""COMPUTED_VALUE"""),"Morgan St.")</f>
        <v>Morgan St.</v>
      </c>
      <c r="C320" s="1" t="str">
        <f ca="1">IFERROR(__xludf.DUMMYFUNCTION("""COMPUTED_VALUE"""),"MEAC")</f>
        <v>MEAC</v>
      </c>
      <c r="D320" s="2">
        <f ca="1">IFERROR(__xludf.DUMMYFUNCTION("""COMPUTED_VALUE"""),44826)</f>
        <v>44826</v>
      </c>
      <c r="E320" s="1">
        <f ca="1">IFERROR(__xludf.DUMMYFUNCTION("""COMPUTED_VALUE"""),-13.58)</f>
        <v>-13.58</v>
      </c>
      <c r="F320" s="1">
        <f ca="1">IFERROR(__xludf.DUMMYFUNCTION("""COMPUTED_VALUE"""),94.9)</f>
        <v>94.9</v>
      </c>
      <c r="G320" s="1">
        <f ca="1">IFERROR(__xludf.DUMMYFUNCTION("""COMPUTED_VALUE"""),323)</f>
        <v>323</v>
      </c>
      <c r="H320" s="1">
        <f ca="1">IFERROR(__xludf.DUMMYFUNCTION("""COMPUTED_VALUE"""),108.5)</f>
        <v>108.5</v>
      </c>
      <c r="I320" s="1">
        <f ca="1">IFERROR(__xludf.DUMMYFUNCTION("""COMPUTED_VALUE"""),242)</f>
        <v>242</v>
      </c>
      <c r="J320" s="1">
        <f ca="1">IFERROR(__xludf.DUMMYFUNCTION("""COMPUTED_VALUE"""),69.1)</f>
        <v>69.099999999999994</v>
      </c>
      <c r="K320" s="1">
        <f ca="1">IFERROR(__xludf.DUMMYFUNCTION("""COMPUTED_VALUE"""),116)</f>
        <v>116</v>
      </c>
      <c r="L320" s="1">
        <f ca="1">IFERROR(__xludf.DUMMYFUNCTION("""COMPUTED_VALUE"""),-0.114)</f>
        <v>-0.114</v>
      </c>
      <c r="M320" s="1">
        <f ca="1">IFERROR(__xludf.DUMMYFUNCTION("""COMPUTED_VALUE"""),347)</f>
        <v>347</v>
      </c>
      <c r="N320" s="1">
        <f ca="1">IFERROR(__xludf.DUMMYFUNCTION("""COMPUTED_VALUE"""),-8.48)</f>
        <v>-8.48</v>
      </c>
      <c r="O320" s="1">
        <f ca="1">IFERROR(__xludf.DUMMYFUNCTION("""COMPUTED_VALUE"""),331)</f>
        <v>331</v>
      </c>
      <c r="P320" s="1">
        <f ca="1">IFERROR(__xludf.DUMMYFUNCTION("""COMPUTED_VALUE"""),99.9)</f>
        <v>99.9</v>
      </c>
      <c r="Q320" s="1">
        <f ca="1">IFERROR(__xludf.DUMMYFUNCTION("""COMPUTED_VALUE"""),331)</f>
        <v>331</v>
      </c>
      <c r="R320" s="1">
        <f ca="1">IFERROR(__xludf.DUMMYFUNCTION("""COMPUTED_VALUE"""),108.4)</f>
        <v>108.4</v>
      </c>
      <c r="S320" s="1">
        <f ca="1">IFERROR(__xludf.DUMMYFUNCTION("""COMPUTED_VALUE"""),313)</f>
        <v>313</v>
      </c>
      <c r="T320" s="1" t="str">
        <f ca="1">IFERROR(__xludf.DUMMYFUNCTION("""COMPUTED_VALUE"""),"+3.11")</f>
        <v>+3.11</v>
      </c>
      <c r="U320" s="1">
        <f ca="1">IFERROR(__xludf.DUMMYFUNCTION("""COMPUTED_VALUE"""),80)</f>
        <v>80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IFERROR(__xludf.DUMMYFUNCTION("""COMPUTED_VALUE"""),"Southern Miss")</f>
        <v>Southern Miss</v>
      </c>
      <c r="C321" s="1" t="str">
        <f ca="1">IFERROR(__xludf.DUMMYFUNCTION("""COMPUTED_VALUE"""),"CUSA")</f>
        <v>CUSA</v>
      </c>
      <c r="D321" s="2">
        <f ca="1">IFERROR(__xludf.DUMMYFUNCTION("""COMPUTED_VALUE"""),44794)</f>
        <v>44794</v>
      </c>
      <c r="E321" s="1">
        <f ca="1">IFERROR(__xludf.DUMMYFUNCTION("""COMPUTED_VALUE"""),-13.84)</f>
        <v>-13.84</v>
      </c>
      <c r="F321" s="1">
        <f ca="1">IFERROR(__xludf.DUMMYFUNCTION("""COMPUTED_VALUE"""),96.5)</f>
        <v>96.5</v>
      </c>
      <c r="G321" s="1">
        <f ca="1">IFERROR(__xludf.DUMMYFUNCTION("""COMPUTED_VALUE"""),312)</f>
        <v>312</v>
      </c>
      <c r="H321" s="1">
        <f ca="1">IFERROR(__xludf.DUMMYFUNCTION("""COMPUTED_VALUE"""),110.3)</f>
        <v>110.3</v>
      </c>
      <c r="I321" s="1">
        <f ca="1">IFERROR(__xludf.DUMMYFUNCTION("""COMPUTED_VALUE"""),277)</f>
        <v>277</v>
      </c>
      <c r="J321" s="1">
        <f ca="1">IFERROR(__xludf.DUMMYFUNCTION("""COMPUTED_VALUE"""),63.3)</f>
        <v>63.3</v>
      </c>
      <c r="K321" s="1">
        <f ca="1">IFERROR(__xludf.DUMMYFUNCTION("""COMPUTED_VALUE"""),343)</f>
        <v>343</v>
      </c>
      <c r="L321" s="1">
        <f ca="1">IFERROR(__xludf.DUMMYFUNCTION("""COMPUTED_VALUE"""),-0.019)</f>
        <v>-1.9E-2</v>
      </c>
      <c r="M321" s="1">
        <f ca="1">IFERROR(__xludf.DUMMYFUNCTION("""COMPUTED_VALUE"""),229)</f>
        <v>229</v>
      </c>
      <c r="N321" s="1">
        <f ca="1">IFERROR(__xludf.DUMMYFUNCTION("""COMPUTED_VALUE"""),-4.1)</f>
        <v>-4.0999999999999996</v>
      </c>
      <c r="O321" s="1">
        <f ca="1">IFERROR(__xludf.DUMMYFUNCTION("""COMPUTED_VALUE"""),247)</f>
        <v>247</v>
      </c>
      <c r="P321" s="1">
        <f ca="1">IFERROR(__xludf.DUMMYFUNCTION("""COMPUTED_VALUE"""),102.7)</f>
        <v>102.7</v>
      </c>
      <c r="Q321" s="1">
        <f ca="1">IFERROR(__xludf.DUMMYFUNCTION("""COMPUTED_VALUE"""),253)</f>
        <v>253</v>
      </c>
      <c r="R321" s="1">
        <f ca="1">IFERROR(__xludf.DUMMYFUNCTION("""COMPUTED_VALUE"""),106.8)</f>
        <v>106.8</v>
      </c>
      <c r="S321" s="1">
        <f ca="1">IFERROR(__xludf.DUMMYFUNCTION("""COMPUTED_VALUE"""),229)</f>
        <v>229</v>
      </c>
      <c r="T321" s="1">
        <f ca="1">IFERROR(__xludf.DUMMYFUNCTION("""COMPUTED_VALUE"""),-0.84)</f>
        <v>-0.84</v>
      </c>
      <c r="U321" s="1">
        <f ca="1">IFERROR(__xludf.DUMMYFUNCTION("""COMPUTED_VALUE"""),183)</f>
        <v>183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IFERROR(__xludf.DUMMYFUNCTION("""COMPUTED_VALUE"""),"Bethune Cookman")</f>
        <v>Bethune Cookman</v>
      </c>
      <c r="C322" s="1" t="str">
        <f ca="1">IFERROR(__xludf.DUMMYFUNCTION("""COMPUTED_VALUE"""),"MEAC")</f>
        <v>MEAC</v>
      </c>
      <c r="D322" s="1" t="str">
        <f ca="1">IFERROR(__xludf.DUMMYFUNCTION("""COMPUTED_VALUE"""),"14-18")</f>
        <v>14-18</v>
      </c>
      <c r="E322" s="1">
        <f ca="1">IFERROR(__xludf.DUMMYFUNCTION("""COMPUTED_VALUE"""),-13.96)</f>
        <v>-13.96</v>
      </c>
      <c r="F322" s="1">
        <f ca="1">IFERROR(__xludf.DUMMYFUNCTION("""COMPUTED_VALUE"""),97.9)</f>
        <v>97.9</v>
      </c>
      <c r="G322" s="1">
        <f ca="1">IFERROR(__xludf.DUMMYFUNCTION("""COMPUTED_VALUE"""),299)</f>
        <v>299</v>
      </c>
      <c r="H322" s="1">
        <f ca="1">IFERROR(__xludf.DUMMYFUNCTION("""COMPUTED_VALUE"""),111.9)</f>
        <v>111.9</v>
      </c>
      <c r="I322" s="1">
        <f ca="1">IFERROR(__xludf.DUMMYFUNCTION("""COMPUTED_VALUE"""),303)</f>
        <v>303</v>
      </c>
      <c r="J322" s="1">
        <f ca="1">IFERROR(__xludf.DUMMYFUNCTION("""COMPUTED_VALUE"""),66.5)</f>
        <v>66.5</v>
      </c>
      <c r="K322" s="1">
        <f ca="1">IFERROR(__xludf.DUMMYFUNCTION("""COMPUTED_VALUE"""),255)</f>
        <v>255</v>
      </c>
      <c r="L322" s="1" t="str">
        <f ca="1">IFERROR(__xludf.DUMMYFUNCTION("""COMPUTED_VALUE"""),"+.010")</f>
        <v>+.010</v>
      </c>
      <c r="M322" s="1">
        <f ca="1">IFERROR(__xludf.DUMMYFUNCTION("""COMPUTED_VALUE"""),154)</f>
        <v>154</v>
      </c>
      <c r="N322" s="1">
        <f ca="1">IFERROR(__xludf.DUMMYFUNCTION("""COMPUTED_VALUE"""),-9.08)</f>
        <v>-9.08</v>
      </c>
      <c r="O322" s="1">
        <f ca="1">IFERROR(__xludf.DUMMYFUNCTION("""COMPUTED_VALUE"""),336)</f>
        <v>336</v>
      </c>
      <c r="P322" s="1">
        <f ca="1">IFERROR(__xludf.DUMMYFUNCTION("""COMPUTED_VALUE"""),99.9)</f>
        <v>99.9</v>
      </c>
      <c r="Q322" s="1">
        <f ca="1">IFERROR(__xludf.DUMMYFUNCTION("""COMPUTED_VALUE"""),330)</f>
        <v>330</v>
      </c>
      <c r="R322" s="1">
        <f ca="1">IFERROR(__xludf.DUMMYFUNCTION("""COMPUTED_VALUE"""),109)</f>
        <v>109</v>
      </c>
      <c r="S322" s="1">
        <f ca="1">IFERROR(__xludf.DUMMYFUNCTION("""COMPUTED_VALUE"""),332)</f>
        <v>332</v>
      </c>
      <c r="T322" s="1" t="str">
        <f ca="1">IFERROR(__xludf.DUMMYFUNCTION("""COMPUTED_VALUE"""),"+1.46")</f>
        <v>+1.46</v>
      </c>
      <c r="U322" s="1">
        <f ca="1">IFERROR(__xludf.DUMMYFUNCTION("""COMPUTED_VALUE"""),126)</f>
        <v>126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IFERROR(__xludf.DUMMYFUNCTION("""COMPUTED_VALUE"""),"Marist")</f>
        <v>Marist</v>
      </c>
      <c r="C323" s="1" t="str">
        <f ca="1">IFERROR(__xludf.DUMMYFUNCTION("""COMPUTED_VALUE"""),"MAAC")</f>
        <v>MAAC</v>
      </c>
      <c r="D323" s="2">
        <f ca="1">IFERROR(__xludf.DUMMYFUNCTION("""COMPUTED_VALUE"""),44765)</f>
        <v>44765</v>
      </c>
      <c r="E323" s="1">
        <f ca="1">IFERROR(__xludf.DUMMYFUNCTION("""COMPUTED_VALUE"""),-13.97)</f>
        <v>-13.97</v>
      </c>
      <c r="F323" s="1">
        <f ca="1">IFERROR(__xludf.DUMMYFUNCTION("""COMPUTED_VALUE"""),102)</f>
        <v>102</v>
      </c>
      <c r="G323" s="1">
        <f ca="1">IFERROR(__xludf.DUMMYFUNCTION("""COMPUTED_VALUE"""),218)</f>
        <v>218</v>
      </c>
      <c r="H323" s="1">
        <f ca="1">IFERROR(__xludf.DUMMYFUNCTION("""COMPUTED_VALUE"""),116)</f>
        <v>116</v>
      </c>
      <c r="I323" s="1">
        <f ca="1">IFERROR(__xludf.DUMMYFUNCTION("""COMPUTED_VALUE"""),341)</f>
        <v>341</v>
      </c>
      <c r="J323" s="1">
        <f ca="1">IFERROR(__xludf.DUMMYFUNCTION("""COMPUTED_VALUE"""),68.1)</f>
        <v>68.099999999999994</v>
      </c>
      <c r="K323" s="1">
        <f ca="1">IFERROR(__xludf.DUMMYFUNCTION("""COMPUTED_VALUE"""),163)</f>
        <v>163</v>
      </c>
      <c r="L323" s="1">
        <f ca="1">IFERROR(__xludf.DUMMYFUNCTION("""COMPUTED_VALUE"""),-0.042)</f>
        <v>-4.2000000000000003E-2</v>
      </c>
      <c r="M323" s="1">
        <f ca="1">IFERROR(__xludf.DUMMYFUNCTION("""COMPUTED_VALUE"""),281)</f>
        <v>281</v>
      </c>
      <c r="N323" s="1">
        <f ca="1">IFERROR(__xludf.DUMMYFUNCTION("""COMPUTED_VALUE"""),-4.92)</f>
        <v>-4.92</v>
      </c>
      <c r="O323" s="1">
        <f ca="1">IFERROR(__xludf.DUMMYFUNCTION("""COMPUTED_VALUE"""),265)</f>
        <v>265</v>
      </c>
      <c r="P323" s="1">
        <f ca="1">IFERROR(__xludf.DUMMYFUNCTION("""COMPUTED_VALUE"""),101.7)</f>
        <v>101.7</v>
      </c>
      <c r="Q323" s="1">
        <f ca="1">IFERROR(__xludf.DUMMYFUNCTION("""COMPUTED_VALUE"""),295)</f>
        <v>295</v>
      </c>
      <c r="R323" s="1">
        <f ca="1">IFERROR(__xludf.DUMMYFUNCTION("""COMPUTED_VALUE"""),106.6)</f>
        <v>106.6</v>
      </c>
      <c r="S323" s="1">
        <f ca="1">IFERROR(__xludf.DUMMYFUNCTION("""COMPUTED_VALUE"""),221)</f>
        <v>221</v>
      </c>
      <c r="T323" s="1">
        <f ca="1">IFERROR(__xludf.DUMMYFUNCTION("""COMPUTED_VALUE"""),-6.27)</f>
        <v>-6.27</v>
      </c>
      <c r="U323" s="1">
        <f ca="1">IFERROR(__xludf.DUMMYFUNCTION("""COMPUTED_VALUE"""),314)</f>
        <v>314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IFERROR(__xludf.DUMMYFUNCTION("""COMPUTED_VALUE"""),"Niagara")</f>
        <v>Niagara</v>
      </c>
      <c r="C324" s="1" t="str">
        <f ca="1">IFERROR(__xludf.DUMMYFUNCTION("""COMPUTED_VALUE"""),"MAAC")</f>
        <v>MAAC</v>
      </c>
      <c r="D324" s="2">
        <f ca="1">IFERROR(__xludf.DUMMYFUNCTION("""COMPUTED_VALUE"""),44767)</f>
        <v>44767</v>
      </c>
      <c r="E324" s="1">
        <f ca="1">IFERROR(__xludf.DUMMYFUNCTION("""COMPUTED_VALUE"""),-14.17)</f>
        <v>-14.17</v>
      </c>
      <c r="F324" s="1">
        <f ca="1">IFERROR(__xludf.DUMMYFUNCTION("""COMPUTED_VALUE"""),94.1)</f>
        <v>94.1</v>
      </c>
      <c r="G324" s="1">
        <f ca="1">IFERROR(__xludf.DUMMYFUNCTION("""COMPUTED_VALUE"""),325)</f>
        <v>325</v>
      </c>
      <c r="H324" s="1">
        <f ca="1">IFERROR(__xludf.DUMMYFUNCTION("""COMPUTED_VALUE"""),108.2)</f>
        <v>108.2</v>
      </c>
      <c r="I324" s="1">
        <f ca="1">IFERROR(__xludf.DUMMYFUNCTION("""COMPUTED_VALUE"""),237)</f>
        <v>237</v>
      </c>
      <c r="J324" s="1">
        <f ca="1">IFERROR(__xludf.DUMMYFUNCTION("""COMPUTED_VALUE"""),65.7)</f>
        <v>65.7</v>
      </c>
      <c r="K324" s="1">
        <f ca="1">IFERROR(__xludf.DUMMYFUNCTION("""COMPUTED_VALUE"""),296)</f>
        <v>296</v>
      </c>
      <c r="L324" s="1" t="str">
        <f ca="1">IFERROR(__xludf.DUMMYFUNCTION("""COMPUTED_VALUE"""),"+.059")</f>
        <v>+.059</v>
      </c>
      <c r="M324" s="1">
        <f ca="1">IFERROR(__xludf.DUMMYFUNCTION("""COMPUTED_VALUE"""),46)</f>
        <v>46</v>
      </c>
      <c r="N324" s="1">
        <f ca="1">IFERROR(__xludf.DUMMYFUNCTION("""COMPUTED_VALUE"""),-3.76)</f>
        <v>-3.76</v>
      </c>
      <c r="O324" s="1">
        <f ca="1">IFERROR(__xludf.DUMMYFUNCTION("""COMPUTED_VALUE"""),232)</f>
        <v>232</v>
      </c>
      <c r="P324" s="1">
        <f ca="1">IFERROR(__xludf.DUMMYFUNCTION("""COMPUTED_VALUE"""),103.3)</f>
        <v>103.3</v>
      </c>
      <c r="Q324" s="1">
        <f ca="1">IFERROR(__xludf.DUMMYFUNCTION("""COMPUTED_VALUE"""),229)</f>
        <v>229</v>
      </c>
      <c r="R324" s="1">
        <f ca="1">IFERROR(__xludf.DUMMYFUNCTION("""COMPUTED_VALUE"""),107.1)</f>
        <v>107.1</v>
      </c>
      <c r="S324" s="1">
        <f ca="1">IFERROR(__xludf.DUMMYFUNCTION("""COMPUTED_VALUE"""),244)</f>
        <v>244</v>
      </c>
      <c r="T324" s="1">
        <f ca="1">IFERROR(__xludf.DUMMYFUNCTION("""COMPUTED_VALUE"""),-2.64)</f>
        <v>-2.64</v>
      </c>
      <c r="U324" s="1">
        <f ca="1">IFERROR(__xludf.DUMMYFUNCTION("""COMPUTED_VALUE"""),237)</f>
        <v>237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IFERROR(__xludf.DUMMYFUNCTION("""COMPUTED_VALUE"""),"VMI")</f>
        <v>VMI</v>
      </c>
      <c r="C325" s="1" t="str">
        <f ca="1">IFERROR(__xludf.DUMMYFUNCTION("""COMPUTED_VALUE"""),"SC")</f>
        <v>SC</v>
      </c>
      <c r="D325" s="2">
        <f ca="1">IFERROR(__xludf.DUMMYFUNCTION("""COMPUTED_VALUE"""),44825)</f>
        <v>44825</v>
      </c>
      <c r="E325" s="1">
        <f ca="1">IFERROR(__xludf.DUMMYFUNCTION("""COMPUTED_VALUE"""),-14.19)</f>
        <v>-14.19</v>
      </c>
      <c r="F325" s="1">
        <f ca="1">IFERROR(__xludf.DUMMYFUNCTION("""COMPUTED_VALUE"""),97)</f>
        <v>97</v>
      </c>
      <c r="G325" s="1">
        <f ca="1">IFERROR(__xludf.DUMMYFUNCTION("""COMPUTED_VALUE"""),309)</f>
        <v>309</v>
      </c>
      <c r="H325" s="1">
        <f ca="1">IFERROR(__xludf.DUMMYFUNCTION("""COMPUTED_VALUE"""),111.2)</f>
        <v>111.2</v>
      </c>
      <c r="I325" s="1">
        <f ca="1">IFERROR(__xludf.DUMMYFUNCTION("""COMPUTED_VALUE"""),293)</f>
        <v>293</v>
      </c>
      <c r="J325" s="1">
        <f ca="1">IFERROR(__xludf.DUMMYFUNCTION("""COMPUTED_VALUE"""),68.7)</f>
        <v>68.7</v>
      </c>
      <c r="K325" s="1">
        <f ca="1">IFERROR(__xludf.DUMMYFUNCTION("""COMPUTED_VALUE"""),134)</f>
        <v>134</v>
      </c>
      <c r="L325" s="1">
        <f ca="1">IFERROR(__xludf.DUMMYFUNCTION("""COMPUTED_VALUE"""),-0.022)</f>
        <v>-2.1999999999999999E-2</v>
      </c>
      <c r="M325" s="1">
        <f ca="1">IFERROR(__xludf.DUMMYFUNCTION("""COMPUTED_VALUE"""),234)</f>
        <v>234</v>
      </c>
      <c r="N325" s="1">
        <f ca="1">IFERROR(__xludf.DUMMYFUNCTION("""COMPUTED_VALUE"""),-2.13)</f>
        <v>-2.13</v>
      </c>
      <c r="O325" s="1">
        <f ca="1">IFERROR(__xludf.DUMMYFUNCTION("""COMPUTED_VALUE"""),201)</f>
        <v>201</v>
      </c>
      <c r="P325" s="1">
        <f ca="1">IFERROR(__xludf.DUMMYFUNCTION("""COMPUTED_VALUE"""),104.4)</f>
        <v>104.4</v>
      </c>
      <c r="Q325" s="1">
        <f ca="1">IFERROR(__xludf.DUMMYFUNCTION("""COMPUTED_VALUE"""),176)</f>
        <v>176</v>
      </c>
      <c r="R325" s="1">
        <f ca="1">IFERROR(__xludf.DUMMYFUNCTION("""COMPUTED_VALUE"""),106.5)</f>
        <v>106.5</v>
      </c>
      <c r="S325" s="1">
        <f ca="1">IFERROR(__xludf.DUMMYFUNCTION("""COMPUTED_VALUE"""),220)</f>
        <v>220</v>
      </c>
      <c r="T325" s="1" t="str">
        <f ca="1">IFERROR(__xludf.DUMMYFUNCTION("""COMPUTED_VALUE"""),"+2.87")</f>
        <v>+2.87</v>
      </c>
      <c r="U325" s="1">
        <f ca="1">IFERROR(__xludf.DUMMYFUNCTION("""COMPUTED_VALUE"""),85)</f>
        <v>85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IFERROR(__xludf.DUMMYFUNCTION("""COMPUTED_VALUE"""),"Southeastern Louisiana")</f>
        <v>Southeastern Louisiana</v>
      </c>
      <c r="C326" s="1" t="str">
        <f ca="1">IFERROR(__xludf.DUMMYFUNCTION("""COMPUTED_VALUE"""),"Slnd")</f>
        <v>Slnd</v>
      </c>
      <c r="D326" s="2">
        <f ca="1">IFERROR(__xludf.DUMMYFUNCTION("""COMPUTED_VALUE"""),44916)</f>
        <v>44916</v>
      </c>
      <c r="E326" s="1">
        <f ca="1">IFERROR(__xludf.DUMMYFUNCTION("""COMPUTED_VALUE"""),-14.46)</f>
        <v>-14.46</v>
      </c>
      <c r="F326" s="1">
        <f ca="1">IFERROR(__xludf.DUMMYFUNCTION("""COMPUTED_VALUE"""),98)</f>
        <v>98</v>
      </c>
      <c r="G326" s="1">
        <f ca="1">IFERROR(__xludf.DUMMYFUNCTION("""COMPUTED_VALUE"""),297)</f>
        <v>297</v>
      </c>
      <c r="H326" s="1">
        <f ca="1">IFERROR(__xludf.DUMMYFUNCTION("""COMPUTED_VALUE"""),112.4)</f>
        <v>112.4</v>
      </c>
      <c r="I326" s="1">
        <f ca="1">IFERROR(__xludf.DUMMYFUNCTION("""COMPUTED_VALUE"""),308)</f>
        <v>308</v>
      </c>
      <c r="J326" s="1">
        <f ca="1">IFERROR(__xludf.DUMMYFUNCTION("""COMPUTED_VALUE"""),68)</f>
        <v>68</v>
      </c>
      <c r="K326" s="1">
        <f ca="1">IFERROR(__xludf.DUMMYFUNCTION("""COMPUTED_VALUE"""),171)</f>
        <v>171</v>
      </c>
      <c r="L326" s="1">
        <f ca="1">IFERROR(__xludf.DUMMYFUNCTION("""COMPUTED_VALUE"""),-0.017)</f>
        <v>-1.7000000000000001E-2</v>
      </c>
      <c r="M326" s="1">
        <f ca="1">IFERROR(__xludf.DUMMYFUNCTION("""COMPUTED_VALUE"""),224)</f>
        <v>224</v>
      </c>
      <c r="N326" s="1">
        <f ca="1">IFERROR(__xludf.DUMMYFUNCTION("""COMPUTED_VALUE"""),-8.09)</f>
        <v>-8.09</v>
      </c>
      <c r="O326" s="1">
        <f ca="1">IFERROR(__xludf.DUMMYFUNCTION("""COMPUTED_VALUE"""),326)</f>
        <v>326</v>
      </c>
      <c r="P326" s="1">
        <f ca="1">IFERROR(__xludf.DUMMYFUNCTION("""COMPUTED_VALUE"""),100.3)</f>
        <v>100.3</v>
      </c>
      <c r="Q326" s="1">
        <f ca="1">IFERROR(__xludf.DUMMYFUNCTION("""COMPUTED_VALUE"""),325)</f>
        <v>325</v>
      </c>
      <c r="R326" s="1">
        <f ca="1">IFERROR(__xludf.DUMMYFUNCTION("""COMPUTED_VALUE"""),108.4)</f>
        <v>108.4</v>
      </c>
      <c r="S326" s="1">
        <f ca="1">IFERROR(__xludf.DUMMYFUNCTION("""COMPUTED_VALUE"""),314)</f>
        <v>314</v>
      </c>
      <c r="T326" s="1" t="str">
        <f ca="1">IFERROR(__xludf.DUMMYFUNCTION("""COMPUTED_VALUE"""),"+4.92")</f>
        <v>+4.92</v>
      </c>
      <c r="U326" s="1">
        <f ca="1">IFERROR(__xludf.DUMMYFUNCTION("""COMPUTED_VALUE"""),41)</f>
        <v>41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IFERROR(__xludf.DUMMYFUNCTION("""COMPUTED_VALUE"""),"SIU Edwardsville")</f>
        <v>SIU Edwardsville</v>
      </c>
      <c r="C327" s="1" t="str">
        <f ca="1">IFERROR(__xludf.DUMMYFUNCTION("""COMPUTED_VALUE"""),"OVC")</f>
        <v>OVC</v>
      </c>
      <c r="D327" s="2">
        <f ca="1">IFERROR(__xludf.DUMMYFUNCTION("""COMPUTED_VALUE"""),44734)</f>
        <v>44734</v>
      </c>
      <c r="E327" s="1">
        <f ca="1">IFERROR(__xludf.DUMMYFUNCTION("""COMPUTED_VALUE"""),-14.46)</f>
        <v>-14.46</v>
      </c>
      <c r="F327" s="1">
        <f ca="1">IFERROR(__xludf.DUMMYFUNCTION("""COMPUTED_VALUE"""),95.2)</f>
        <v>95.2</v>
      </c>
      <c r="G327" s="1">
        <f ca="1">IFERROR(__xludf.DUMMYFUNCTION("""COMPUTED_VALUE"""),321)</f>
        <v>321</v>
      </c>
      <c r="H327" s="1">
        <f ca="1">IFERROR(__xludf.DUMMYFUNCTION("""COMPUTED_VALUE"""),109.6)</f>
        <v>109.6</v>
      </c>
      <c r="I327" s="1">
        <f ca="1">IFERROR(__xludf.DUMMYFUNCTION("""COMPUTED_VALUE"""),267)</f>
        <v>267</v>
      </c>
      <c r="J327" s="1">
        <f ca="1">IFERROR(__xludf.DUMMYFUNCTION("""COMPUTED_VALUE"""),66.1)</f>
        <v>66.099999999999994</v>
      </c>
      <c r="K327" s="1">
        <f ca="1">IFERROR(__xludf.DUMMYFUNCTION("""COMPUTED_VALUE"""),267)</f>
        <v>267</v>
      </c>
      <c r="L327" s="1" t="str">
        <f ca="1">IFERROR(__xludf.DUMMYFUNCTION("""COMPUTED_VALUE"""),"+.015")</f>
        <v>+.015</v>
      </c>
      <c r="M327" s="1">
        <f ca="1">IFERROR(__xludf.DUMMYFUNCTION("""COMPUTED_VALUE"""),133)</f>
        <v>133</v>
      </c>
      <c r="N327" s="1">
        <f ca="1">IFERROR(__xludf.DUMMYFUNCTION("""COMPUTED_VALUE"""),-3.11)</f>
        <v>-3.11</v>
      </c>
      <c r="O327" s="1">
        <f ca="1">IFERROR(__xludf.DUMMYFUNCTION("""COMPUTED_VALUE"""),217)</f>
        <v>217</v>
      </c>
      <c r="P327" s="1">
        <f ca="1">IFERROR(__xludf.DUMMYFUNCTION("""COMPUTED_VALUE"""),104.5)</f>
        <v>104.5</v>
      </c>
      <c r="Q327" s="1">
        <f ca="1">IFERROR(__xludf.DUMMYFUNCTION("""COMPUTED_VALUE"""),170)</f>
        <v>170</v>
      </c>
      <c r="R327" s="1">
        <f ca="1">IFERROR(__xludf.DUMMYFUNCTION("""COMPUTED_VALUE"""),107.6)</f>
        <v>107.6</v>
      </c>
      <c r="S327" s="1">
        <f ca="1">IFERROR(__xludf.DUMMYFUNCTION("""COMPUTED_VALUE"""),277)</f>
        <v>277</v>
      </c>
      <c r="T327" s="1" t="str">
        <f ca="1">IFERROR(__xludf.DUMMYFUNCTION("""COMPUTED_VALUE"""),"+1.55")</f>
        <v>+1.55</v>
      </c>
      <c r="U327" s="1">
        <f ca="1">IFERROR(__xludf.DUMMYFUNCTION("""COMPUTED_VALUE"""),122)</f>
        <v>122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IFERROR(__xludf.DUMMYFUNCTION("""COMPUTED_VALUE"""),"The Citadel")</f>
        <v>The Citadel</v>
      </c>
      <c r="C328" s="1" t="str">
        <f ca="1">IFERROR(__xludf.DUMMYFUNCTION("""COMPUTED_VALUE"""),"SC")</f>
        <v>SC</v>
      </c>
      <c r="D328" s="2">
        <f ca="1">IFERROR(__xludf.DUMMYFUNCTION("""COMPUTED_VALUE"""),44856)</f>
        <v>44856</v>
      </c>
      <c r="E328" s="1">
        <f ca="1">IFERROR(__xludf.DUMMYFUNCTION("""COMPUTED_VALUE"""),-14.51)</f>
        <v>-14.51</v>
      </c>
      <c r="F328" s="1">
        <f ca="1">IFERROR(__xludf.DUMMYFUNCTION("""COMPUTED_VALUE"""),103.1)</f>
        <v>103.1</v>
      </c>
      <c r="G328" s="1">
        <f ca="1">IFERROR(__xludf.DUMMYFUNCTION("""COMPUTED_VALUE"""),201)</f>
        <v>201</v>
      </c>
      <c r="H328" s="1">
        <f ca="1">IFERROR(__xludf.DUMMYFUNCTION("""COMPUTED_VALUE"""),117.6)</f>
        <v>117.6</v>
      </c>
      <c r="I328" s="1">
        <f ca="1">IFERROR(__xludf.DUMMYFUNCTION("""COMPUTED_VALUE"""),346)</f>
        <v>346</v>
      </c>
      <c r="J328" s="1">
        <f ca="1">IFERROR(__xludf.DUMMYFUNCTION("""COMPUTED_VALUE"""),80)</f>
        <v>80</v>
      </c>
      <c r="K328" s="1">
        <f ca="1">IFERROR(__xludf.DUMMYFUNCTION("""COMPUTED_VALUE"""),1)</f>
        <v>1</v>
      </c>
      <c r="L328" s="1" t="str">
        <f ca="1">IFERROR(__xludf.DUMMYFUNCTION("""COMPUTED_VALUE"""),"+.008")</f>
        <v>+.008</v>
      </c>
      <c r="M328" s="1">
        <f ca="1">IFERROR(__xludf.DUMMYFUNCTION("""COMPUTED_VALUE"""),156)</f>
        <v>156</v>
      </c>
      <c r="N328" s="1">
        <f ca="1">IFERROR(__xludf.DUMMYFUNCTION("""COMPUTED_VALUE"""),-4.05)</f>
        <v>-4.05</v>
      </c>
      <c r="O328" s="1">
        <f ca="1">IFERROR(__xludf.DUMMYFUNCTION("""COMPUTED_VALUE"""),243)</f>
        <v>243</v>
      </c>
      <c r="P328" s="1">
        <f ca="1">IFERROR(__xludf.DUMMYFUNCTION("""COMPUTED_VALUE"""),103.4)</f>
        <v>103.4</v>
      </c>
      <c r="Q328" s="1">
        <f ca="1">IFERROR(__xludf.DUMMYFUNCTION("""COMPUTED_VALUE"""),220)</f>
        <v>220</v>
      </c>
      <c r="R328" s="1">
        <f ca="1">IFERROR(__xludf.DUMMYFUNCTION("""COMPUTED_VALUE"""),107.5)</f>
        <v>107.5</v>
      </c>
      <c r="S328" s="1">
        <f ca="1">IFERROR(__xludf.DUMMYFUNCTION("""COMPUTED_VALUE"""),262)</f>
        <v>262</v>
      </c>
      <c r="T328" s="1">
        <f ca="1">IFERROR(__xludf.DUMMYFUNCTION("""COMPUTED_VALUE"""),-5.45)</f>
        <v>-5.45</v>
      </c>
      <c r="U328" s="1">
        <f ca="1">IFERROR(__xludf.DUMMYFUNCTION("""COMPUTED_VALUE"""),306)</f>
        <v>306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IFERROR(__xludf.DUMMYFUNCTION("""COMPUTED_VALUE"""),"Alcorn St.")</f>
        <v>Alcorn St.</v>
      </c>
      <c r="C329" s="1" t="str">
        <f ca="1">IFERROR(__xludf.DUMMYFUNCTION("""COMPUTED_VALUE"""),"SWAC")</f>
        <v>SWAC</v>
      </c>
      <c r="D329" s="1" t="str">
        <f ca="1">IFERROR(__xludf.DUMMYFUNCTION("""COMPUTED_VALUE"""),"15-15")</f>
        <v>15-15</v>
      </c>
      <c r="E329" s="1">
        <f ca="1">IFERROR(__xludf.DUMMYFUNCTION("""COMPUTED_VALUE"""),-14.55)</f>
        <v>-14.55</v>
      </c>
      <c r="F329" s="1">
        <f ca="1">IFERROR(__xludf.DUMMYFUNCTION("""COMPUTED_VALUE"""),98)</f>
        <v>98</v>
      </c>
      <c r="G329" s="1">
        <f ca="1">IFERROR(__xludf.DUMMYFUNCTION("""COMPUTED_VALUE"""),296)</f>
        <v>296</v>
      </c>
      <c r="H329" s="1">
        <f ca="1">IFERROR(__xludf.DUMMYFUNCTION("""COMPUTED_VALUE"""),112.6)</f>
        <v>112.6</v>
      </c>
      <c r="I329" s="1">
        <f ca="1">IFERROR(__xludf.DUMMYFUNCTION("""COMPUTED_VALUE"""),309)</f>
        <v>309</v>
      </c>
      <c r="J329" s="1">
        <f ca="1">IFERROR(__xludf.DUMMYFUNCTION("""COMPUTED_VALUE"""),65.5)</f>
        <v>65.5</v>
      </c>
      <c r="K329" s="1">
        <f ca="1">IFERROR(__xludf.DUMMYFUNCTION("""COMPUTED_VALUE"""),299)</f>
        <v>299</v>
      </c>
      <c r="L329" s="1" t="str">
        <f ca="1">IFERROR(__xludf.DUMMYFUNCTION("""COMPUTED_VALUE"""),"+.103")</f>
        <v>+.103</v>
      </c>
      <c r="M329" s="1">
        <f ca="1">IFERROR(__xludf.DUMMYFUNCTION("""COMPUTED_VALUE"""),12)</f>
        <v>12</v>
      </c>
      <c r="N329" s="1">
        <f ca="1">IFERROR(__xludf.DUMMYFUNCTION("""COMPUTED_VALUE"""),-9.04)</f>
        <v>-9.0399999999999991</v>
      </c>
      <c r="O329" s="1">
        <f ca="1">IFERROR(__xludf.DUMMYFUNCTION("""COMPUTED_VALUE"""),335)</f>
        <v>335</v>
      </c>
      <c r="P329" s="1">
        <f ca="1">IFERROR(__xludf.DUMMYFUNCTION("""COMPUTED_VALUE"""),98.8)</f>
        <v>98.8</v>
      </c>
      <c r="Q329" s="1">
        <f ca="1">IFERROR(__xludf.DUMMYFUNCTION("""COMPUTED_VALUE"""),344)</f>
        <v>344</v>
      </c>
      <c r="R329" s="1">
        <f ca="1">IFERROR(__xludf.DUMMYFUNCTION("""COMPUTED_VALUE"""),107.8)</f>
        <v>107.8</v>
      </c>
      <c r="S329" s="1">
        <f ca="1">IFERROR(__xludf.DUMMYFUNCTION("""COMPUTED_VALUE"""),286)</f>
        <v>286</v>
      </c>
      <c r="T329" s="1" t="str">
        <f ca="1">IFERROR(__xludf.DUMMYFUNCTION("""COMPUTED_VALUE"""),"+3.06")</f>
        <v>+3.06</v>
      </c>
      <c r="U329" s="1">
        <f ca="1">IFERROR(__xludf.DUMMYFUNCTION("""COMPUTED_VALUE"""),82)</f>
        <v>82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IFERROR(__xludf.DUMMYFUNCTION("""COMPUTED_VALUE"""),"Northern Colorado")</f>
        <v>Northern Colorado</v>
      </c>
      <c r="C330" s="1" t="str">
        <f ca="1">IFERROR(__xludf.DUMMYFUNCTION("""COMPUTED_VALUE"""),"BSky")</f>
        <v>BSky</v>
      </c>
      <c r="D330" s="2">
        <f ca="1">IFERROR(__xludf.DUMMYFUNCTION("""COMPUTED_VALUE"""),44855)</f>
        <v>44855</v>
      </c>
      <c r="E330" s="1">
        <f ca="1">IFERROR(__xludf.DUMMYFUNCTION("""COMPUTED_VALUE"""),-14.65)</f>
        <v>-14.65</v>
      </c>
      <c r="F330" s="1">
        <f ca="1">IFERROR(__xludf.DUMMYFUNCTION("""COMPUTED_VALUE"""),103.3)</f>
        <v>103.3</v>
      </c>
      <c r="G330" s="1">
        <f ca="1">IFERROR(__xludf.DUMMYFUNCTION("""COMPUTED_VALUE"""),195)</f>
        <v>195</v>
      </c>
      <c r="H330" s="1">
        <f ca="1">IFERROR(__xludf.DUMMYFUNCTION("""COMPUTED_VALUE"""),118)</f>
        <v>118</v>
      </c>
      <c r="I330" s="1">
        <f ca="1">IFERROR(__xludf.DUMMYFUNCTION("""COMPUTED_VALUE"""),348)</f>
        <v>348</v>
      </c>
      <c r="J330" s="1">
        <f ca="1">IFERROR(__xludf.DUMMYFUNCTION("""COMPUTED_VALUE"""),68.3)</f>
        <v>68.3</v>
      </c>
      <c r="K330" s="1">
        <f ca="1">IFERROR(__xludf.DUMMYFUNCTION("""COMPUTED_VALUE"""),155)</f>
        <v>155</v>
      </c>
      <c r="L330" s="1" t="str">
        <f ca="1">IFERROR(__xludf.DUMMYFUNCTION("""COMPUTED_VALUE"""),"+.024")</f>
        <v>+.024</v>
      </c>
      <c r="M330" s="1">
        <f ca="1">IFERROR(__xludf.DUMMYFUNCTION("""COMPUTED_VALUE"""),113)</f>
        <v>113</v>
      </c>
      <c r="N330" s="1">
        <f ca="1">IFERROR(__xludf.DUMMYFUNCTION("""COMPUTED_VALUE"""),-5.11)</f>
        <v>-5.1100000000000003</v>
      </c>
      <c r="O330" s="1">
        <f ca="1">IFERROR(__xludf.DUMMYFUNCTION("""COMPUTED_VALUE"""),268)</f>
        <v>268</v>
      </c>
      <c r="P330" s="1">
        <f ca="1">IFERROR(__xludf.DUMMYFUNCTION("""COMPUTED_VALUE"""),103.1)</f>
        <v>103.1</v>
      </c>
      <c r="Q330" s="1">
        <f ca="1">IFERROR(__xludf.DUMMYFUNCTION("""COMPUTED_VALUE"""),237)</f>
        <v>237</v>
      </c>
      <c r="R330" s="1">
        <f ca="1">IFERROR(__xludf.DUMMYFUNCTION("""COMPUTED_VALUE"""),108.2)</f>
        <v>108.2</v>
      </c>
      <c r="S330" s="1">
        <f ca="1">IFERROR(__xludf.DUMMYFUNCTION("""COMPUTED_VALUE"""),307)</f>
        <v>307</v>
      </c>
      <c r="T330" s="1">
        <f ca="1">IFERROR(__xludf.DUMMYFUNCTION("""COMPUTED_VALUE"""),-0.94)</f>
        <v>-0.94</v>
      </c>
      <c r="U330" s="1">
        <f ca="1">IFERROR(__xludf.DUMMYFUNCTION("""COMPUTED_VALUE"""),189)</f>
        <v>189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IFERROR(__xludf.DUMMYFUNCTION("""COMPUTED_VALUE"""),"UMass Lowell")</f>
        <v>UMass Lowell</v>
      </c>
      <c r="C331" s="1" t="str">
        <f ca="1">IFERROR(__xludf.DUMMYFUNCTION("""COMPUTED_VALUE"""),"AE")</f>
        <v>AE</v>
      </c>
      <c r="D331" s="2">
        <f ca="1">IFERROR(__xludf.DUMMYFUNCTION("""COMPUTED_VALUE"""),44883)</f>
        <v>44883</v>
      </c>
      <c r="E331" s="1">
        <f ca="1">IFERROR(__xludf.DUMMYFUNCTION("""COMPUTED_VALUE"""),-14.99)</f>
        <v>-14.99</v>
      </c>
      <c r="F331" s="1">
        <f ca="1">IFERROR(__xludf.DUMMYFUNCTION("""COMPUTED_VALUE"""),100.6)</f>
        <v>100.6</v>
      </c>
      <c r="G331" s="1">
        <f ca="1">IFERROR(__xludf.DUMMYFUNCTION("""COMPUTED_VALUE"""),246)</f>
        <v>246</v>
      </c>
      <c r="H331" s="1">
        <f ca="1">IFERROR(__xludf.DUMMYFUNCTION("""COMPUTED_VALUE"""),115.6)</f>
        <v>115.6</v>
      </c>
      <c r="I331" s="1">
        <f ca="1">IFERROR(__xludf.DUMMYFUNCTION("""COMPUTED_VALUE"""),337)</f>
        <v>337</v>
      </c>
      <c r="J331" s="1">
        <f ca="1">IFERROR(__xludf.DUMMYFUNCTION("""COMPUTED_VALUE"""),73.2)</f>
        <v>73.2</v>
      </c>
      <c r="K331" s="1">
        <f ca="1">IFERROR(__xludf.DUMMYFUNCTION("""COMPUTED_VALUE"""),13)</f>
        <v>13</v>
      </c>
      <c r="L331" s="1" t="str">
        <f ca="1">IFERROR(__xludf.DUMMYFUNCTION("""COMPUTED_VALUE"""),"+.100")</f>
        <v>+.100</v>
      </c>
      <c r="M331" s="1">
        <f ca="1">IFERROR(__xludf.DUMMYFUNCTION("""COMPUTED_VALUE"""),14)</f>
        <v>14</v>
      </c>
      <c r="N331" s="1">
        <f ca="1">IFERROR(__xludf.DUMMYFUNCTION("""COMPUTED_VALUE"""),-6.24)</f>
        <v>-6.24</v>
      </c>
      <c r="O331" s="1">
        <f ca="1">IFERROR(__xludf.DUMMYFUNCTION("""COMPUTED_VALUE"""),294)</f>
        <v>294</v>
      </c>
      <c r="P331" s="1">
        <f ca="1">IFERROR(__xludf.DUMMYFUNCTION("""COMPUTED_VALUE"""),101.5)</f>
        <v>101.5</v>
      </c>
      <c r="Q331" s="1">
        <f ca="1">IFERROR(__xludf.DUMMYFUNCTION("""COMPUTED_VALUE"""),300)</f>
        <v>300</v>
      </c>
      <c r="R331" s="1">
        <f ca="1">IFERROR(__xludf.DUMMYFUNCTION("""COMPUTED_VALUE"""),107.7)</f>
        <v>107.7</v>
      </c>
      <c r="S331" s="1">
        <f ca="1">IFERROR(__xludf.DUMMYFUNCTION("""COMPUTED_VALUE"""),279)</f>
        <v>279</v>
      </c>
      <c r="T331" s="1">
        <f ca="1">IFERROR(__xludf.DUMMYFUNCTION("""COMPUTED_VALUE"""),-2.74)</f>
        <v>-2.74</v>
      </c>
      <c r="U331" s="1">
        <f ca="1">IFERROR(__xludf.DUMMYFUNCTION("""COMPUTED_VALUE"""),240)</f>
        <v>240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IFERROR(__xludf.DUMMYFUNCTION("""COMPUTED_VALUE"""),"New Orleans")</f>
        <v>New Orleans</v>
      </c>
      <c r="C332" s="1" t="str">
        <f ca="1">IFERROR(__xludf.DUMMYFUNCTION("""COMPUTED_VALUE"""),"Slnd")</f>
        <v>Slnd</v>
      </c>
      <c r="D332" s="2">
        <f ca="1">IFERROR(__xludf.DUMMYFUNCTION("""COMPUTED_VALUE"""),44854)</f>
        <v>44854</v>
      </c>
      <c r="E332" s="1">
        <f ca="1">IFERROR(__xludf.DUMMYFUNCTION("""COMPUTED_VALUE"""),-15.01)</f>
        <v>-15.01</v>
      </c>
      <c r="F332" s="1">
        <f ca="1">IFERROR(__xludf.DUMMYFUNCTION("""COMPUTED_VALUE"""),96.4)</f>
        <v>96.4</v>
      </c>
      <c r="G332" s="1">
        <f ca="1">IFERROR(__xludf.DUMMYFUNCTION("""COMPUTED_VALUE"""),313)</f>
        <v>313</v>
      </c>
      <c r="H332" s="1">
        <f ca="1">IFERROR(__xludf.DUMMYFUNCTION("""COMPUTED_VALUE"""),111.4)</f>
        <v>111.4</v>
      </c>
      <c r="I332" s="1">
        <f ca="1">IFERROR(__xludf.DUMMYFUNCTION("""COMPUTED_VALUE"""),295)</f>
        <v>295</v>
      </c>
      <c r="J332" s="1">
        <f ca="1">IFERROR(__xludf.DUMMYFUNCTION("""COMPUTED_VALUE"""),72.2)</f>
        <v>72.2</v>
      </c>
      <c r="K332" s="1">
        <f ca="1">IFERROR(__xludf.DUMMYFUNCTION("""COMPUTED_VALUE"""),24)</f>
        <v>24</v>
      </c>
      <c r="L332" s="1">
        <f ca="1">IFERROR(__xludf.DUMMYFUNCTION("""COMPUTED_VALUE"""),-0.059)</f>
        <v>-5.8999999999999997E-2</v>
      </c>
      <c r="M332" s="1">
        <f ca="1">IFERROR(__xludf.DUMMYFUNCTION("""COMPUTED_VALUE"""),314)</f>
        <v>314</v>
      </c>
      <c r="N332" s="1">
        <f ca="1">IFERROR(__xludf.DUMMYFUNCTION("""COMPUTED_VALUE"""),-7.66)</f>
        <v>-7.66</v>
      </c>
      <c r="O332" s="1">
        <f ca="1">IFERROR(__xludf.DUMMYFUNCTION("""COMPUTED_VALUE"""),323)</f>
        <v>323</v>
      </c>
      <c r="P332" s="1">
        <f ca="1">IFERROR(__xludf.DUMMYFUNCTION("""COMPUTED_VALUE"""),101)</f>
        <v>101</v>
      </c>
      <c r="Q332" s="1">
        <f ca="1">IFERROR(__xludf.DUMMYFUNCTION("""COMPUTED_VALUE"""),311)</f>
        <v>311</v>
      </c>
      <c r="R332" s="1">
        <f ca="1">IFERROR(__xludf.DUMMYFUNCTION("""COMPUTED_VALUE"""),108.6)</f>
        <v>108.6</v>
      </c>
      <c r="S332" s="1">
        <f ca="1">IFERROR(__xludf.DUMMYFUNCTION("""COMPUTED_VALUE"""),322)</f>
        <v>322</v>
      </c>
      <c r="T332" s="1" t="str">
        <f ca="1">IFERROR(__xludf.DUMMYFUNCTION("""COMPUTED_VALUE"""),"+3.80")</f>
        <v>+3.80</v>
      </c>
      <c r="U332" s="1">
        <f ca="1">IFERROR(__xludf.DUMMYFUNCTION("""COMPUTED_VALUE"""),61)</f>
        <v>61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IFERROR(__xludf.DUMMYFUNCTION("""COMPUTED_VALUE"""),"Abilene Christian")</f>
        <v>Abilene Christian</v>
      </c>
      <c r="C333" s="1" t="str">
        <f ca="1">IFERROR(__xludf.DUMMYFUNCTION("""COMPUTED_VALUE"""),"Slnd")</f>
        <v>Slnd</v>
      </c>
      <c r="D333" s="1" t="str">
        <f ca="1">IFERROR(__xludf.DUMMYFUNCTION("""COMPUTED_VALUE"""),"13-18")</f>
        <v>13-18</v>
      </c>
      <c r="E333" s="1">
        <f ca="1">IFERROR(__xludf.DUMMYFUNCTION("""COMPUTED_VALUE"""),-15.24)</f>
        <v>-15.24</v>
      </c>
      <c r="F333" s="1">
        <f ca="1">IFERROR(__xludf.DUMMYFUNCTION("""COMPUTED_VALUE"""),97.1)</f>
        <v>97.1</v>
      </c>
      <c r="G333" s="1">
        <f ca="1">IFERROR(__xludf.DUMMYFUNCTION("""COMPUTED_VALUE"""),308)</f>
        <v>308</v>
      </c>
      <c r="H333" s="1">
        <f ca="1">IFERROR(__xludf.DUMMYFUNCTION("""COMPUTED_VALUE"""),112.3)</f>
        <v>112.3</v>
      </c>
      <c r="I333" s="1">
        <f ca="1">IFERROR(__xludf.DUMMYFUNCTION("""COMPUTED_VALUE"""),307)</f>
        <v>307</v>
      </c>
      <c r="J333" s="1">
        <f ca="1">IFERROR(__xludf.DUMMYFUNCTION("""COMPUTED_VALUE"""),67.8)</f>
        <v>67.8</v>
      </c>
      <c r="K333" s="1">
        <f ca="1">IFERROR(__xludf.DUMMYFUNCTION("""COMPUTED_VALUE"""),186)</f>
        <v>186</v>
      </c>
      <c r="L333" s="1" t="str">
        <f ca="1">IFERROR(__xludf.DUMMYFUNCTION("""COMPUTED_VALUE"""),"+.025")</f>
        <v>+.025</v>
      </c>
      <c r="M333" s="1">
        <f ca="1">IFERROR(__xludf.DUMMYFUNCTION("""COMPUTED_VALUE"""),110)</f>
        <v>110</v>
      </c>
      <c r="N333" s="1">
        <f ca="1">IFERROR(__xludf.DUMMYFUNCTION("""COMPUTED_VALUE"""),-7.76)</f>
        <v>-7.76</v>
      </c>
      <c r="O333" s="1">
        <f ca="1">IFERROR(__xludf.DUMMYFUNCTION("""COMPUTED_VALUE"""),324)</f>
        <v>324</v>
      </c>
      <c r="P333" s="1">
        <f ca="1">IFERROR(__xludf.DUMMYFUNCTION("""COMPUTED_VALUE"""),101.4)</f>
        <v>101.4</v>
      </c>
      <c r="Q333" s="1">
        <f ca="1">IFERROR(__xludf.DUMMYFUNCTION("""COMPUTED_VALUE"""),302)</f>
        <v>302</v>
      </c>
      <c r="R333" s="1">
        <f ca="1">IFERROR(__xludf.DUMMYFUNCTION("""COMPUTED_VALUE"""),109.2)</f>
        <v>109.2</v>
      </c>
      <c r="S333" s="1">
        <f ca="1">IFERROR(__xludf.DUMMYFUNCTION("""COMPUTED_VALUE"""),341)</f>
        <v>341</v>
      </c>
      <c r="T333" s="1">
        <f ca="1">IFERROR(__xludf.DUMMYFUNCTION("""COMPUTED_VALUE"""),-0.96)</f>
        <v>-0.96</v>
      </c>
      <c r="U333" s="1">
        <f ca="1">IFERROR(__xludf.DUMMYFUNCTION("""COMPUTED_VALUE"""),190)</f>
        <v>190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IFERROR(__xludf.DUMMYFUNCTION("""COMPUTED_VALUE"""),"Maryland Eastern Shore")</f>
        <v>Maryland Eastern Shore</v>
      </c>
      <c r="C334" s="1" t="str">
        <f ca="1">IFERROR(__xludf.DUMMYFUNCTION("""COMPUTED_VALUE"""),"MEAC")</f>
        <v>MEAC</v>
      </c>
      <c r="D334" s="2">
        <f ca="1">IFERROR(__xludf.DUMMYFUNCTION("""COMPUTED_VALUE"""),44856)</f>
        <v>44856</v>
      </c>
      <c r="E334" s="1">
        <f ca="1">IFERROR(__xludf.DUMMYFUNCTION("""COMPUTED_VALUE"""),-15.28)</f>
        <v>-15.28</v>
      </c>
      <c r="F334" s="1">
        <f ca="1">IFERROR(__xludf.DUMMYFUNCTION("""COMPUTED_VALUE"""),98.5)</f>
        <v>98.5</v>
      </c>
      <c r="G334" s="1">
        <f ca="1">IFERROR(__xludf.DUMMYFUNCTION("""COMPUTED_VALUE"""),289)</f>
        <v>289</v>
      </c>
      <c r="H334" s="1">
        <f ca="1">IFERROR(__xludf.DUMMYFUNCTION("""COMPUTED_VALUE"""),113.8)</f>
        <v>113.8</v>
      </c>
      <c r="I334" s="1">
        <f ca="1">IFERROR(__xludf.DUMMYFUNCTION("""COMPUTED_VALUE"""),325)</f>
        <v>325</v>
      </c>
      <c r="J334" s="1">
        <f ca="1">IFERROR(__xludf.DUMMYFUNCTION("""COMPUTED_VALUE"""),67.2)</f>
        <v>67.2</v>
      </c>
      <c r="K334" s="1">
        <f ca="1">IFERROR(__xludf.DUMMYFUNCTION("""COMPUTED_VALUE"""),222)</f>
        <v>222</v>
      </c>
      <c r="L334" s="1">
        <f ca="1">IFERROR(__xludf.DUMMYFUNCTION("""COMPUTED_VALUE"""),-0.009)</f>
        <v>-8.9999999999999993E-3</v>
      </c>
      <c r="M334" s="1">
        <f ca="1">IFERROR(__xludf.DUMMYFUNCTION("""COMPUTED_VALUE"""),202)</f>
        <v>202</v>
      </c>
      <c r="N334" s="1">
        <f ca="1">IFERROR(__xludf.DUMMYFUNCTION("""COMPUTED_VALUE"""),-6.74)</f>
        <v>-6.74</v>
      </c>
      <c r="O334" s="1">
        <f ca="1">IFERROR(__xludf.DUMMYFUNCTION("""COMPUTED_VALUE"""),305)</f>
        <v>305</v>
      </c>
      <c r="P334" s="1">
        <f ca="1">IFERROR(__xludf.DUMMYFUNCTION("""COMPUTED_VALUE"""),101)</f>
        <v>101</v>
      </c>
      <c r="Q334" s="1">
        <f ca="1">IFERROR(__xludf.DUMMYFUNCTION("""COMPUTED_VALUE"""),310)</f>
        <v>310</v>
      </c>
      <c r="R334" s="1">
        <f ca="1">IFERROR(__xludf.DUMMYFUNCTION("""COMPUTED_VALUE"""),107.7)</f>
        <v>107.7</v>
      </c>
      <c r="S334" s="1">
        <f ca="1">IFERROR(__xludf.DUMMYFUNCTION("""COMPUTED_VALUE"""),281)</f>
        <v>281</v>
      </c>
      <c r="T334" s="1" t="str">
        <f ca="1">IFERROR(__xludf.DUMMYFUNCTION("""COMPUTED_VALUE"""),"+8.95")</f>
        <v>+8.95</v>
      </c>
      <c r="U334" s="1">
        <f ca="1">IFERROR(__xludf.DUMMYFUNCTION("""COMPUTED_VALUE"""),12)</f>
        <v>12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IFERROR(__xludf.DUMMYFUNCTION("""COMPUTED_VALUE"""),"American")</f>
        <v>American</v>
      </c>
      <c r="C335" s="1" t="str">
        <f ca="1">IFERROR(__xludf.DUMMYFUNCTION("""COMPUTED_VALUE"""),"Pat")</f>
        <v>Pat</v>
      </c>
      <c r="D335" s="2">
        <f ca="1">IFERROR(__xludf.DUMMYFUNCTION("""COMPUTED_VALUE"""),44914)</f>
        <v>44914</v>
      </c>
      <c r="E335" s="1">
        <f ca="1">IFERROR(__xludf.DUMMYFUNCTION("""COMPUTED_VALUE"""),-15.34)</f>
        <v>-15.34</v>
      </c>
      <c r="F335" s="1">
        <f ca="1">IFERROR(__xludf.DUMMYFUNCTION("""COMPUTED_VALUE"""),92.1)</f>
        <v>92.1</v>
      </c>
      <c r="G335" s="1">
        <f ca="1">IFERROR(__xludf.DUMMYFUNCTION("""COMPUTED_VALUE"""),336)</f>
        <v>336</v>
      </c>
      <c r="H335" s="1">
        <f ca="1">IFERROR(__xludf.DUMMYFUNCTION("""COMPUTED_VALUE"""),107.4)</f>
        <v>107.4</v>
      </c>
      <c r="I335" s="1">
        <f ca="1">IFERROR(__xludf.DUMMYFUNCTION("""COMPUTED_VALUE"""),219)</f>
        <v>219</v>
      </c>
      <c r="J335" s="1">
        <f ca="1">IFERROR(__xludf.DUMMYFUNCTION("""COMPUTED_VALUE"""),61.3)</f>
        <v>61.3</v>
      </c>
      <c r="K335" s="1">
        <f ca="1">IFERROR(__xludf.DUMMYFUNCTION("""COMPUTED_VALUE"""),349)</f>
        <v>349</v>
      </c>
      <c r="L335" s="1" t="str">
        <f ca="1">IFERROR(__xludf.DUMMYFUNCTION("""COMPUTED_VALUE"""),"+.111")</f>
        <v>+.111</v>
      </c>
      <c r="M335" s="1">
        <f ca="1">IFERROR(__xludf.DUMMYFUNCTION("""COMPUTED_VALUE"""),10)</f>
        <v>10</v>
      </c>
      <c r="N335" s="1">
        <f ca="1">IFERROR(__xludf.DUMMYFUNCTION("""COMPUTED_VALUE"""),-4.72)</f>
        <v>-4.72</v>
      </c>
      <c r="O335" s="1">
        <f ca="1">IFERROR(__xludf.DUMMYFUNCTION("""COMPUTED_VALUE"""),259)</f>
        <v>259</v>
      </c>
      <c r="P335" s="1">
        <f ca="1">IFERROR(__xludf.DUMMYFUNCTION("""COMPUTED_VALUE"""),102.6)</f>
        <v>102.6</v>
      </c>
      <c r="Q335" s="1">
        <f ca="1">IFERROR(__xludf.DUMMYFUNCTION("""COMPUTED_VALUE"""),256)</f>
        <v>256</v>
      </c>
      <c r="R335" s="1">
        <f ca="1">IFERROR(__xludf.DUMMYFUNCTION("""COMPUTED_VALUE"""),107.3)</f>
        <v>107.3</v>
      </c>
      <c r="S335" s="1">
        <f ca="1">IFERROR(__xludf.DUMMYFUNCTION("""COMPUTED_VALUE"""),253)</f>
        <v>253</v>
      </c>
      <c r="T335" s="1" t="str">
        <f ca="1">IFERROR(__xludf.DUMMYFUNCTION("""COMPUTED_VALUE"""),"+0.25")</f>
        <v>+0.25</v>
      </c>
      <c r="U335" s="1">
        <f ca="1">IFERROR(__xludf.DUMMYFUNCTION("""COMPUTED_VALUE"""),162)</f>
        <v>162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IFERROR(__xludf.DUMMYFUNCTION("""COMPUTED_VALUE"""),"Lamar")</f>
        <v>Lamar</v>
      </c>
      <c r="C336" s="1" t="str">
        <f ca="1">IFERROR(__xludf.DUMMYFUNCTION("""COMPUTED_VALUE"""),"Slnd")</f>
        <v>Slnd</v>
      </c>
      <c r="D336" s="2">
        <f ca="1">IFERROR(__xludf.DUMMYFUNCTION("""COMPUTED_VALUE"""),44884)</f>
        <v>44884</v>
      </c>
      <c r="E336" s="1">
        <f ca="1">IFERROR(__xludf.DUMMYFUNCTION("""COMPUTED_VALUE"""),-15.48)</f>
        <v>-15.48</v>
      </c>
      <c r="F336" s="1">
        <f ca="1">IFERROR(__xludf.DUMMYFUNCTION("""COMPUTED_VALUE"""),97.3)</f>
        <v>97.3</v>
      </c>
      <c r="G336" s="1">
        <f ca="1">IFERROR(__xludf.DUMMYFUNCTION("""COMPUTED_VALUE"""),305)</f>
        <v>305</v>
      </c>
      <c r="H336" s="1">
        <f ca="1">IFERROR(__xludf.DUMMYFUNCTION("""COMPUTED_VALUE"""),112.8)</f>
        <v>112.8</v>
      </c>
      <c r="I336" s="1">
        <f ca="1">IFERROR(__xludf.DUMMYFUNCTION("""COMPUTED_VALUE"""),314)</f>
        <v>314</v>
      </c>
      <c r="J336" s="1">
        <f ca="1">IFERROR(__xludf.DUMMYFUNCTION("""COMPUTED_VALUE"""),72)</f>
        <v>72</v>
      </c>
      <c r="K336" s="1">
        <f ca="1">IFERROR(__xludf.DUMMYFUNCTION("""COMPUTED_VALUE"""),31)</f>
        <v>31</v>
      </c>
      <c r="L336" s="1">
        <f ca="1">IFERROR(__xludf.DUMMYFUNCTION("""COMPUTED_VALUE"""),-0.085)</f>
        <v>-8.5000000000000006E-2</v>
      </c>
      <c r="M336" s="1">
        <f ca="1">IFERROR(__xludf.DUMMYFUNCTION("""COMPUTED_VALUE"""),335)</f>
        <v>335</v>
      </c>
      <c r="N336" s="1">
        <f ca="1">IFERROR(__xludf.DUMMYFUNCTION("""COMPUTED_VALUE"""),-9.6)</f>
        <v>-9.6</v>
      </c>
      <c r="O336" s="1">
        <f ca="1">IFERROR(__xludf.DUMMYFUNCTION("""COMPUTED_VALUE"""),340)</f>
        <v>340</v>
      </c>
      <c r="P336" s="1">
        <f ca="1">IFERROR(__xludf.DUMMYFUNCTION("""COMPUTED_VALUE"""),100.4)</f>
        <v>100.4</v>
      </c>
      <c r="Q336" s="1">
        <f ca="1">IFERROR(__xludf.DUMMYFUNCTION("""COMPUTED_VALUE"""),323)</f>
        <v>323</v>
      </c>
      <c r="R336" s="1">
        <f ca="1">IFERROR(__xludf.DUMMYFUNCTION("""COMPUTED_VALUE"""),110)</f>
        <v>110</v>
      </c>
      <c r="S336" s="1">
        <f ca="1">IFERROR(__xludf.DUMMYFUNCTION("""COMPUTED_VALUE"""),350)</f>
        <v>350</v>
      </c>
      <c r="T336" s="1">
        <f ca="1">IFERROR(__xludf.DUMMYFUNCTION("""COMPUTED_VALUE"""),-8.32)</f>
        <v>-8.32</v>
      </c>
      <c r="U336" s="1">
        <f ca="1">IFERROR(__xludf.DUMMYFUNCTION("""COMPUTED_VALUE"""),337)</f>
        <v>337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IFERROR(__xludf.DUMMYFUNCTION("""COMPUTED_VALUE"""),"Central Arkansas")</f>
        <v>Central Arkansas</v>
      </c>
      <c r="C339" s="1" t="str">
        <f ca="1">IFERROR(__xludf.DUMMYFUNCTION("""COMPUTED_VALUE"""),"Slnd")</f>
        <v>Slnd</v>
      </c>
      <c r="D339" s="2">
        <f ca="1">IFERROR(__xludf.DUMMYFUNCTION("""COMPUTED_VALUE"""),44763)</f>
        <v>44763</v>
      </c>
      <c r="E339" s="1">
        <f ca="1">IFERROR(__xludf.DUMMYFUNCTION("""COMPUTED_VALUE"""),-15.98)</f>
        <v>-15.98</v>
      </c>
      <c r="F339" s="1">
        <f ca="1">IFERROR(__xludf.DUMMYFUNCTION("""COMPUTED_VALUE"""),100.9)</f>
        <v>100.9</v>
      </c>
      <c r="G339" s="1">
        <f ca="1">IFERROR(__xludf.DUMMYFUNCTION("""COMPUTED_VALUE"""),237)</f>
        <v>237</v>
      </c>
      <c r="H339" s="1">
        <f ca="1">IFERROR(__xludf.DUMMYFUNCTION("""COMPUTED_VALUE"""),116.9)</f>
        <v>116.9</v>
      </c>
      <c r="I339" s="1">
        <f ca="1">IFERROR(__xludf.DUMMYFUNCTION("""COMPUTED_VALUE"""),344)</f>
        <v>344</v>
      </c>
      <c r="J339" s="1">
        <f ca="1">IFERROR(__xludf.DUMMYFUNCTION("""COMPUTED_VALUE"""),71.8)</f>
        <v>71.8</v>
      </c>
      <c r="K339" s="1">
        <f ca="1">IFERROR(__xludf.DUMMYFUNCTION("""COMPUTED_VALUE"""),36)</f>
        <v>36</v>
      </c>
      <c r="L339" s="1">
        <f ca="1">IFERROR(__xludf.DUMMYFUNCTION("""COMPUTED_VALUE"""),-0.068)</f>
        <v>-6.8000000000000005E-2</v>
      </c>
      <c r="M339" s="1">
        <f ca="1">IFERROR(__xludf.DUMMYFUNCTION("""COMPUTED_VALUE"""),324)</f>
        <v>324</v>
      </c>
      <c r="N339" s="1">
        <f ca="1">IFERROR(__xludf.DUMMYFUNCTION("""COMPUTED_VALUE"""),-7.46)</f>
        <v>-7.46</v>
      </c>
      <c r="O339" s="1">
        <f ca="1">IFERROR(__xludf.DUMMYFUNCTION("""COMPUTED_VALUE"""),318)</f>
        <v>318</v>
      </c>
      <c r="P339" s="1">
        <f ca="1">IFERROR(__xludf.DUMMYFUNCTION("""COMPUTED_VALUE"""),101)</f>
        <v>101</v>
      </c>
      <c r="Q339" s="1">
        <f ca="1">IFERROR(__xludf.DUMMYFUNCTION("""COMPUTED_VALUE"""),308)</f>
        <v>308</v>
      </c>
      <c r="R339" s="1">
        <f ca="1">IFERROR(__xludf.DUMMYFUNCTION("""COMPUTED_VALUE"""),108.5)</f>
        <v>108.5</v>
      </c>
      <c r="S339" s="1">
        <f ca="1">IFERROR(__xludf.DUMMYFUNCTION("""COMPUTED_VALUE"""),317)</f>
        <v>317</v>
      </c>
      <c r="T339" s="1" t="str">
        <f ca="1">IFERROR(__xludf.DUMMYFUNCTION("""COMPUTED_VALUE"""),"+4.97")</f>
        <v>+4.97</v>
      </c>
      <c r="U339" s="1">
        <f ca="1">IFERROR(__xludf.DUMMYFUNCTION("""COMPUTED_VALUE"""),39)</f>
        <v>39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IFERROR(__xludf.DUMMYFUNCTION("""COMPUTED_VALUE"""),"USC Upstate")</f>
        <v>USC Upstate</v>
      </c>
      <c r="C340" s="1" t="str">
        <f ca="1">IFERROR(__xludf.DUMMYFUNCTION("""COMPUTED_VALUE"""),"ASun")</f>
        <v>ASun</v>
      </c>
      <c r="D340" s="2">
        <f ca="1">IFERROR(__xludf.DUMMYFUNCTION("""COMPUTED_VALUE"""),44856)</f>
        <v>44856</v>
      </c>
      <c r="E340" s="1">
        <f ca="1">IFERROR(__xludf.DUMMYFUNCTION("""COMPUTED_VALUE"""),-16.03)</f>
        <v>-16.03</v>
      </c>
      <c r="F340" s="1">
        <f ca="1">IFERROR(__xludf.DUMMYFUNCTION("""COMPUTED_VALUE"""),100.6)</f>
        <v>100.6</v>
      </c>
      <c r="G340" s="1">
        <f ca="1">IFERROR(__xludf.DUMMYFUNCTION("""COMPUTED_VALUE"""),247)</f>
        <v>247</v>
      </c>
      <c r="H340" s="1">
        <f ca="1">IFERROR(__xludf.DUMMYFUNCTION("""COMPUTED_VALUE"""),116.6)</f>
        <v>116.6</v>
      </c>
      <c r="I340" s="1">
        <f ca="1">IFERROR(__xludf.DUMMYFUNCTION("""COMPUTED_VALUE"""),342)</f>
        <v>342</v>
      </c>
      <c r="J340" s="1">
        <f ca="1">IFERROR(__xludf.DUMMYFUNCTION("""COMPUTED_VALUE"""),66.2)</f>
        <v>66.2</v>
      </c>
      <c r="K340" s="1">
        <f ca="1">IFERROR(__xludf.DUMMYFUNCTION("""COMPUTED_VALUE"""),263)</f>
        <v>263</v>
      </c>
      <c r="L340" s="1" t="str">
        <f ca="1">IFERROR(__xludf.DUMMYFUNCTION("""COMPUTED_VALUE"""),"+.007")</f>
        <v>+.007</v>
      </c>
      <c r="M340" s="1">
        <f ca="1">IFERROR(__xludf.DUMMYFUNCTION("""COMPUTED_VALUE"""),160)</f>
        <v>160</v>
      </c>
      <c r="N340" s="1">
        <f ca="1">IFERROR(__xludf.DUMMYFUNCTION("""COMPUTED_VALUE"""),-4.96)</f>
        <v>-4.96</v>
      </c>
      <c r="O340" s="1">
        <f ca="1">IFERROR(__xludf.DUMMYFUNCTION("""COMPUTED_VALUE"""),266)</f>
        <v>266</v>
      </c>
      <c r="P340" s="1">
        <f ca="1">IFERROR(__xludf.DUMMYFUNCTION("""COMPUTED_VALUE"""),104.2)</f>
        <v>104.2</v>
      </c>
      <c r="Q340" s="1">
        <f ca="1">IFERROR(__xludf.DUMMYFUNCTION("""COMPUTED_VALUE"""),187)</f>
        <v>187</v>
      </c>
      <c r="R340" s="1">
        <f ca="1">IFERROR(__xludf.DUMMYFUNCTION("""COMPUTED_VALUE"""),109.2)</f>
        <v>109.2</v>
      </c>
      <c r="S340" s="1">
        <f ca="1">IFERROR(__xludf.DUMMYFUNCTION("""COMPUTED_VALUE"""),339)</f>
        <v>339</v>
      </c>
      <c r="T340" s="1">
        <f ca="1">IFERROR(__xludf.DUMMYFUNCTION("""COMPUTED_VALUE"""),-3.06)</f>
        <v>-3.06</v>
      </c>
      <c r="U340" s="1">
        <f ca="1">IFERROR(__xludf.DUMMYFUNCTION("""COMPUTED_VALUE"""),254)</f>
        <v>254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IFERROR(__xludf.DUMMYFUNCTION("""COMPUTED_VALUE"""),"Bradley")</f>
        <v>Bradley</v>
      </c>
      <c r="C341" s="1" t="str">
        <f ca="1">IFERROR(__xludf.DUMMYFUNCTION("""COMPUTED_VALUE"""),"MVC")</f>
        <v>MVC</v>
      </c>
      <c r="D341" s="2">
        <f ca="1">IFERROR(__xludf.DUMMYFUNCTION("""COMPUTED_VALUE"""),44708)</f>
        <v>44708</v>
      </c>
      <c r="E341" s="1">
        <f ca="1">IFERROR(__xludf.DUMMYFUNCTION("""COMPUTED_VALUE"""),-16.03)</f>
        <v>-16.03</v>
      </c>
      <c r="F341" s="1">
        <f ca="1">IFERROR(__xludf.DUMMYFUNCTION("""COMPUTED_VALUE"""),86.6)</f>
        <v>86.6</v>
      </c>
      <c r="G341" s="1">
        <f ca="1">IFERROR(__xludf.DUMMYFUNCTION("""COMPUTED_VALUE"""),350)</f>
        <v>350</v>
      </c>
      <c r="H341" s="1">
        <f ca="1">IFERROR(__xludf.DUMMYFUNCTION("""COMPUTED_VALUE"""),102.6)</f>
        <v>102.6</v>
      </c>
      <c r="I341" s="1">
        <f ca="1">IFERROR(__xludf.DUMMYFUNCTION("""COMPUTED_VALUE"""),129)</f>
        <v>129</v>
      </c>
      <c r="J341" s="1">
        <f ca="1">IFERROR(__xludf.DUMMYFUNCTION("""COMPUTED_VALUE"""),67)</f>
        <v>67</v>
      </c>
      <c r="K341" s="1">
        <f ca="1">IFERROR(__xludf.DUMMYFUNCTION("""COMPUTED_VALUE"""),236)</f>
        <v>236</v>
      </c>
      <c r="L341" s="1" t="str">
        <f ca="1">IFERROR(__xludf.DUMMYFUNCTION("""COMPUTED_VALUE"""),"+.017")</f>
        <v>+.017</v>
      </c>
      <c r="M341" s="1">
        <f ca="1">IFERROR(__xludf.DUMMYFUNCTION("""COMPUTED_VALUE"""),128)</f>
        <v>128</v>
      </c>
      <c r="N341" s="1" t="str">
        <f ca="1">IFERROR(__xludf.DUMMYFUNCTION("""COMPUTED_VALUE"""),"+3.37")</f>
        <v>+3.37</v>
      </c>
      <c r="O341" s="1">
        <f ca="1">IFERROR(__xludf.DUMMYFUNCTION("""COMPUTED_VALUE"""),94)</f>
        <v>94</v>
      </c>
      <c r="P341" s="1">
        <f ca="1">IFERROR(__xludf.DUMMYFUNCTION("""COMPUTED_VALUE"""),105.1)</f>
        <v>105.1</v>
      </c>
      <c r="Q341" s="1">
        <f ca="1">IFERROR(__xludf.DUMMYFUNCTION("""COMPUTED_VALUE"""),150)</f>
        <v>150</v>
      </c>
      <c r="R341" s="1">
        <f ca="1">IFERROR(__xludf.DUMMYFUNCTION("""COMPUTED_VALUE"""),101.7)</f>
        <v>101.7</v>
      </c>
      <c r="S341" s="1">
        <f ca="1">IFERROR(__xludf.DUMMYFUNCTION("""COMPUTED_VALUE"""),67)</f>
        <v>67</v>
      </c>
      <c r="T341" s="1" t="str">
        <f ca="1">IFERROR(__xludf.DUMMYFUNCTION("""COMPUTED_VALUE"""),"+4.52")</f>
        <v>+4.52</v>
      </c>
      <c r="U341" s="1">
        <f ca="1">IFERROR(__xludf.DUMMYFUNCTION("""COMPUTED_VALUE"""),45)</f>
        <v>45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IFERROR(__xludf.DUMMYFUNCTION("""COMPUTED_VALUE"""),"Hartford")</f>
        <v>Hartford</v>
      </c>
      <c r="C342" s="1" t="str">
        <f ca="1">IFERROR(__xludf.DUMMYFUNCTION("""COMPUTED_VALUE"""),"AE")</f>
        <v>AE</v>
      </c>
      <c r="D342" s="2">
        <f ca="1">IFERROR(__xludf.DUMMYFUNCTION("""COMPUTED_VALUE"""),44857)</f>
        <v>44857</v>
      </c>
      <c r="E342" s="1">
        <f ca="1">IFERROR(__xludf.DUMMYFUNCTION("""COMPUTED_VALUE"""),-16.06)</f>
        <v>-16.059999999999999</v>
      </c>
      <c r="F342" s="1">
        <f ca="1">IFERROR(__xludf.DUMMYFUNCTION("""COMPUTED_VALUE"""),99.7)</f>
        <v>99.7</v>
      </c>
      <c r="G342" s="1">
        <f ca="1">IFERROR(__xludf.DUMMYFUNCTION("""COMPUTED_VALUE"""),267)</f>
        <v>267</v>
      </c>
      <c r="H342" s="1">
        <f ca="1">IFERROR(__xludf.DUMMYFUNCTION("""COMPUTED_VALUE"""),115.8)</f>
        <v>115.8</v>
      </c>
      <c r="I342" s="1">
        <f ca="1">IFERROR(__xludf.DUMMYFUNCTION("""COMPUTED_VALUE"""),338)</f>
        <v>338</v>
      </c>
      <c r="J342" s="1">
        <f ca="1">IFERROR(__xludf.DUMMYFUNCTION("""COMPUTED_VALUE"""),69.2)</f>
        <v>69.2</v>
      </c>
      <c r="K342" s="1">
        <f ca="1">IFERROR(__xludf.DUMMYFUNCTION("""COMPUTED_VALUE"""),114)</f>
        <v>114</v>
      </c>
      <c r="L342" s="1" t="str">
        <f ca="1">IFERROR(__xludf.DUMMYFUNCTION("""COMPUTED_VALUE"""),"+.005")</f>
        <v>+.005</v>
      </c>
      <c r="M342" s="1">
        <f ca="1">IFERROR(__xludf.DUMMYFUNCTION("""COMPUTED_VALUE"""),166)</f>
        <v>166</v>
      </c>
      <c r="N342" s="1">
        <f ca="1">IFERROR(__xludf.DUMMYFUNCTION("""COMPUTED_VALUE"""),-6.21)</f>
        <v>-6.21</v>
      </c>
      <c r="O342" s="1">
        <f ca="1">IFERROR(__xludf.DUMMYFUNCTION("""COMPUTED_VALUE"""),293)</f>
        <v>293</v>
      </c>
      <c r="P342" s="1">
        <f ca="1">IFERROR(__xludf.DUMMYFUNCTION("""COMPUTED_VALUE"""),100.7)</f>
        <v>100.7</v>
      </c>
      <c r="Q342" s="1">
        <f ca="1">IFERROR(__xludf.DUMMYFUNCTION("""COMPUTED_VALUE"""),315)</f>
        <v>315</v>
      </c>
      <c r="R342" s="1">
        <f ca="1">IFERROR(__xludf.DUMMYFUNCTION("""COMPUTED_VALUE"""),106.9)</f>
        <v>106.9</v>
      </c>
      <c r="S342" s="1">
        <f ca="1">IFERROR(__xludf.DUMMYFUNCTION("""COMPUTED_VALUE"""),234)</f>
        <v>234</v>
      </c>
      <c r="T342" s="1">
        <f ca="1">IFERROR(__xludf.DUMMYFUNCTION("""COMPUTED_VALUE"""),-6.04)</f>
        <v>-6.04</v>
      </c>
      <c r="U342" s="1">
        <f ca="1">IFERROR(__xludf.DUMMYFUNCTION("""COMPUTED_VALUE"""),309)</f>
        <v>309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IFERROR(__xludf.DUMMYFUNCTION("""COMPUTED_VALUE"""),"Binghamton")</f>
        <v>Binghamton</v>
      </c>
      <c r="C343" s="1" t="str">
        <f ca="1">IFERROR(__xludf.DUMMYFUNCTION("""COMPUTED_VALUE"""),"AE")</f>
        <v>AE</v>
      </c>
      <c r="D343" s="2">
        <f ca="1">IFERROR(__xludf.DUMMYFUNCTION("""COMPUTED_VALUE"""),44795)</f>
        <v>44795</v>
      </c>
      <c r="E343" s="1">
        <f ca="1">IFERROR(__xludf.DUMMYFUNCTION("""COMPUTED_VALUE"""),-16.16)</f>
        <v>-16.16</v>
      </c>
      <c r="F343" s="1">
        <f ca="1">IFERROR(__xludf.DUMMYFUNCTION("""COMPUTED_VALUE"""),88.2)</f>
        <v>88.2</v>
      </c>
      <c r="G343" s="1">
        <f ca="1">IFERROR(__xludf.DUMMYFUNCTION("""COMPUTED_VALUE"""),348)</f>
        <v>348</v>
      </c>
      <c r="H343" s="1">
        <f ca="1">IFERROR(__xludf.DUMMYFUNCTION("""COMPUTED_VALUE"""),104.4)</f>
        <v>104.4</v>
      </c>
      <c r="I343" s="1">
        <f ca="1">IFERROR(__xludf.DUMMYFUNCTION("""COMPUTED_VALUE"""),164)</f>
        <v>164</v>
      </c>
      <c r="J343" s="1">
        <f ca="1">IFERROR(__xludf.DUMMYFUNCTION("""COMPUTED_VALUE"""),65.2)</f>
        <v>65.2</v>
      </c>
      <c r="K343" s="1">
        <f ca="1">IFERROR(__xludf.DUMMYFUNCTION("""COMPUTED_VALUE"""),308)</f>
        <v>308</v>
      </c>
      <c r="L343" s="1">
        <f ca="1">IFERROR(__xludf.DUMMYFUNCTION("""COMPUTED_VALUE"""),-0.021)</f>
        <v>-2.1000000000000001E-2</v>
      </c>
      <c r="M343" s="1">
        <f ca="1">IFERROR(__xludf.DUMMYFUNCTION("""COMPUTED_VALUE"""),232)</f>
        <v>232</v>
      </c>
      <c r="N343" s="1">
        <f ca="1">IFERROR(__xludf.DUMMYFUNCTION("""COMPUTED_VALUE"""),-6.84)</f>
        <v>-6.84</v>
      </c>
      <c r="O343" s="1">
        <f ca="1">IFERROR(__xludf.DUMMYFUNCTION("""COMPUTED_VALUE"""),308)</f>
        <v>308</v>
      </c>
      <c r="P343" s="1">
        <f ca="1">IFERROR(__xludf.DUMMYFUNCTION("""COMPUTED_VALUE"""),102.4)</f>
        <v>102.4</v>
      </c>
      <c r="Q343" s="1">
        <f ca="1">IFERROR(__xludf.DUMMYFUNCTION("""COMPUTED_VALUE"""),264)</f>
        <v>264</v>
      </c>
      <c r="R343" s="1">
        <f ca="1">IFERROR(__xludf.DUMMYFUNCTION("""COMPUTED_VALUE"""),109.3)</f>
        <v>109.3</v>
      </c>
      <c r="S343" s="1">
        <f ca="1">IFERROR(__xludf.DUMMYFUNCTION("""COMPUTED_VALUE"""),342)</f>
        <v>342</v>
      </c>
      <c r="T343" s="1">
        <f ca="1">IFERROR(__xludf.DUMMYFUNCTION("""COMPUTED_VALUE"""),-5.06)</f>
        <v>-5.0599999999999996</v>
      </c>
      <c r="U343" s="1">
        <f ca="1">IFERROR(__xludf.DUMMYFUNCTION("""COMPUTED_VALUE"""),301)</f>
        <v>301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IFERROR(__xludf.DUMMYFUNCTION("""COMPUTED_VALUE"""),"Lafayette")</f>
        <v>Lafayette</v>
      </c>
      <c r="C344" s="1" t="str">
        <f ca="1">IFERROR(__xludf.DUMMYFUNCTION("""COMPUTED_VALUE"""),"Pat")</f>
        <v>Pat</v>
      </c>
      <c r="D344" s="2">
        <f ca="1">IFERROR(__xludf.DUMMYFUNCTION("""COMPUTED_VALUE"""),44736)</f>
        <v>44736</v>
      </c>
      <c r="E344" s="1">
        <f ca="1">IFERROR(__xludf.DUMMYFUNCTION("""COMPUTED_VALUE"""),-16.42)</f>
        <v>-16.420000000000002</v>
      </c>
      <c r="F344" s="1">
        <f ca="1">IFERROR(__xludf.DUMMYFUNCTION("""COMPUTED_VALUE"""),99.6)</f>
        <v>99.6</v>
      </c>
      <c r="G344" s="1">
        <f ca="1">IFERROR(__xludf.DUMMYFUNCTION("""COMPUTED_VALUE"""),271)</f>
        <v>271</v>
      </c>
      <c r="H344" s="1">
        <f ca="1">IFERROR(__xludf.DUMMYFUNCTION("""COMPUTED_VALUE"""),116)</f>
        <v>116</v>
      </c>
      <c r="I344" s="1">
        <f ca="1">IFERROR(__xludf.DUMMYFUNCTION("""COMPUTED_VALUE"""),340)</f>
        <v>340</v>
      </c>
      <c r="J344" s="1">
        <f ca="1">IFERROR(__xludf.DUMMYFUNCTION("""COMPUTED_VALUE"""),69.4)</f>
        <v>69.400000000000006</v>
      </c>
      <c r="K344" s="1">
        <f ca="1">IFERROR(__xludf.DUMMYFUNCTION("""COMPUTED_VALUE"""),107)</f>
        <v>107</v>
      </c>
      <c r="L344" s="1">
        <f ca="1">IFERROR(__xludf.DUMMYFUNCTION("""COMPUTED_VALUE"""),-0.034)</f>
        <v>-3.4000000000000002E-2</v>
      </c>
      <c r="M344" s="1">
        <f ca="1">IFERROR(__xludf.DUMMYFUNCTION("""COMPUTED_VALUE"""),265)</f>
        <v>265</v>
      </c>
      <c r="N344" s="1">
        <f ca="1">IFERROR(__xludf.DUMMYFUNCTION("""COMPUTED_VALUE"""),-5.98)</f>
        <v>-5.98</v>
      </c>
      <c r="O344" s="1">
        <f ca="1">IFERROR(__xludf.DUMMYFUNCTION("""COMPUTED_VALUE"""),289)</f>
        <v>289</v>
      </c>
      <c r="P344" s="1">
        <f ca="1">IFERROR(__xludf.DUMMYFUNCTION("""COMPUTED_VALUE"""),101.4)</f>
        <v>101.4</v>
      </c>
      <c r="Q344" s="1">
        <f ca="1">IFERROR(__xludf.DUMMYFUNCTION("""COMPUTED_VALUE"""),301)</f>
        <v>301</v>
      </c>
      <c r="R344" s="1">
        <f ca="1">IFERROR(__xludf.DUMMYFUNCTION("""COMPUTED_VALUE"""),107.4)</f>
        <v>107.4</v>
      </c>
      <c r="S344" s="1">
        <f ca="1">IFERROR(__xludf.DUMMYFUNCTION("""COMPUTED_VALUE"""),257)</f>
        <v>257</v>
      </c>
      <c r="T344" s="1">
        <f ca="1">IFERROR(__xludf.DUMMYFUNCTION("""COMPUTED_VALUE"""),-3.02)</f>
        <v>-3.02</v>
      </c>
      <c r="U344" s="1">
        <f ca="1">IFERROR(__xludf.DUMMYFUNCTION("""COMPUTED_VALUE"""),252)</f>
        <v>252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IFERROR(__xludf.DUMMYFUNCTION("""COMPUTED_VALUE"""),"McNeese St.")</f>
        <v>McNeese St.</v>
      </c>
      <c r="C345" s="1" t="str">
        <f ca="1">IFERROR(__xludf.DUMMYFUNCTION("""COMPUTED_VALUE"""),"Slnd")</f>
        <v>Slnd</v>
      </c>
      <c r="D345" s="2">
        <f ca="1">IFERROR(__xludf.DUMMYFUNCTION("""COMPUTED_VALUE"""),44824)</f>
        <v>44824</v>
      </c>
      <c r="E345" s="1">
        <f ca="1">IFERROR(__xludf.DUMMYFUNCTION("""COMPUTED_VALUE"""),-16.44)</f>
        <v>-16.440000000000001</v>
      </c>
      <c r="F345" s="1">
        <f ca="1">IFERROR(__xludf.DUMMYFUNCTION("""COMPUTED_VALUE"""),97.8)</f>
        <v>97.8</v>
      </c>
      <c r="G345" s="1">
        <f ca="1">IFERROR(__xludf.DUMMYFUNCTION("""COMPUTED_VALUE"""),302)</f>
        <v>302</v>
      </c>
      <c r="H345" s="1">
        <f ca="1">IFERROR(__xludf.DUMMYFUNCTION("""COMPUTED_VALUE"""),114.3)</f>
        <v>114.3</v>
      </c>
      <c r="I345" s="1">
        <f ca="1">IFERROR(__xludf.DUMMYFUNCTION("""COMPUTED_VALUE"""),328)</f>
        <v>328</v>
      </c>
      <c r="J345" s="1">
        <f ca="1">IFERROR(__xludf.DUMMYFUNCTION("""COMPUTED_VALUE"""),68)</f>
        <v>68</v>
      </c>
      <c r="K345" s="1">
        <f ca="1">IFERROR(__xludf.DUMMYFUNCTION("""COMPUTED_VALUE"""),174)</f>
        <v>174</v>
      </c>
      <c r="L345" s="1" t="str">
        <f ca="1">IFERROR(__xludf.DUMMYFUNCTION("""COMPUTED_VALUE"""),"+.012")</f>
        <v>+.012</v>
      </c>
      <c r="M345" s="1">
        <f ca="1">IFERROR(__xludf.DUMMYFUNCTION("""COMPUTED_VALUE"""),149)</f>
        <v>149</v>
      </c>
      <c r="N345" s="1">
        <f ca="1">IFERROR(__xludf.DUMMYFUNCTION("""COMPUTED_VALUE"""),-7.59)</f>
        <v>-7.59</v>
      </c>
      <c r="O345" s="1">
        <f ca="1">IFERROR(__xludf.DUMMYFUNCTION("""COMPUTED_VALUE"""),321)</f>
        <v>321</v>
      </c>
      <c r="P345" s="1">
        <f ca="1">IFERROR(__xludf.DUMMYFUNCTION("""COMPUTED_VALUE"""),101.9)</f>
        <v>101.9</v>
      </c>
      <c r="Q345" s="1">
        <f ca="1">IFERROR(__xludf.DUMMYFUNCTION("""COMPUTED_VALUE"""),289)</f>
        <v>289</v>
      </c>
      <c r="R345" s="1">
        <f ca="1">IFERROR(__xludf.DUMMYFUNCTION("""COMPUTED_VALUE"""),109.5)</f>
        <v>109.5</v>
      </c>
      <c r="S345" s="1">
        <f ca="1">IFERROR(__xludf.DUMMYFUNCTION("""COMPUTED_VALUE"""),344)</f>
        <v>344</v>
      </c>
      <c r="T345" s="1" t="str">
        <f ca="1">IFERROR(__xludf.DUMMYFUNCTION("""COMPUTED_VALUE"""),"+13.75")</f>
        <v>+13.75</v>
      </c>
      <c r="U345" s="1">
        <f ca="1">IFERROR(__xludf.DUMMYFUNCTION("""COMPUTED_VALUE"""),2)</f>
        <v>2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IFERROR(__xludf.DUMMYFUNCTION("""COMPUTED_VALUE"""),"Presbyterian")</f>
        <v>Presbyterian</v>
      </c>
      <c r="C346" s="1" t="str">
        <f ca="1">IFERROR(__xludf.DUMMYFUNCTION("""COMPUTED_VALUE"""),"BSth")</f>
        <v>BSth</v>
      </c>
      <c r="D346" s="2">
        <f ca="1">IFERROR(__xludf.DUMMYFUNCTION("""COMPUTED_VALUE"""),44885)</f>
        <v>44885</v>
      </c>
      <c r="E346" s="1">
        <f ca="1">IFERROR(__xludf.DUMMYFUNCTION("""COMPUTED_VALUE"""),-16.58)</f>
        <v>-16.579999999999998</v>
      </c>
      <c r="F346" s="1">
        <f ca="1">IFERROR(__xludf.DUMMYFUNCTION("""COMPUTED_VALUE"""),93.7)</f>
        <v>93.7</v>
      </c>
      <c r="G346" s="1">
        <f ca="1">IFERROR(__xludf.DUMMYFUNCTION("""COMPUTED_VALUE"""),329)</f>
        <v>329</v>
      </c>
      <c r="H346" s="1">
        <f ca="1">IFERROR(__xludf.DUMMYFUNCTION("""COMPUTED_VALUE"""),110.2)</f>
        <v>110.2</v>
      </c>
      <c r="I346" s="1">
        <f ca="1">IFERROR(__xludf.DUMMYFUNCTION("""COMPUTED_VALUE"""),276)</f>
        <v>276</v>
      </c>
      <c r="J346" s="1">
        <f ca="1">IFERROR(__xludf.DUMMYFUNCTION("""COMPUTED_VALUE"""),67.2)</f>
        <v>67.2</v>
      </c>
      <c r="K346" s="1">
        <f ca="1">IFERROR(__xludf.DUMMYFUNCTION("""COMPUTED_VALUE"""),223)</f>
        <v>223</v>
      </c>
      <c r="L346" s="1" t="str">
        <f ca="1">IFERROR(__xludf.DUMMYFUNCTION("""COMPUTED_VALUE"""),"+.044")</f>
        <v>+.044</v>
      </c>
      <c r="M346" s="1">
        <f ca="1">IFERROR(__xludf.DUMMYFUNCTION("""COMPUTED_VALUE"""),74)</f>
        <v>74</v>
      </c>
      <c r="N346" s="1">
        <f ca="1">IFERROR(__xludf.DUMMYFUNCTION("""COMPUTED_VALUE"""),-5.17)</f>
        <v>-5.17</v>
      </c>
      <c r="O346" s="1">
        <f ca="1">IFERROR(__xludf.DUMMYFUNCTION("""COMPUTED_VALUE"""),270)</f>
        <v>270</v>
      </c>
      <c r="P346" s="1">
        <f ca="1">IFERROR(__xludf.DUMMYFUNCTION("""COMPUTED_VALUE"""),103.5)</f>
        <v>103.5</v>
      </c>
      <c r="Q346" s="1">
        <f ca="1">IFERROR(__xludf.DUMMYFUNCTION("""COMPUTED_VALUE"""),219)</f>
        <v>219</v>
      </c>
      <c r="R346" s="1">
        <f ca="1">IFERROR(__xludf.DUMMYFUNCTION("""COMPUTED_VALUE"""),108.7)</f>
        <v>108.7</v>
      </c>
      <c r="S346" s="1">
        <f ca="1">IFERROR(__xludf.DUMMYFUNCTION("""COMPUTED_VALUE"""),323)</f>
        <v>323</v>
      </c>
      <c r="T346" s="1">
        <f ca="1">IFERROR(__xludf.DUMMYFUNCTION("""COMPUTED_VALUE"""),-1.56)</f>
        <v>-1.56</v>
      </c>
      <c r="U346" s="1">
        <f ca="1">IFERROR(__xludf.DUMMYFUNCTION("""COMPUTED_VALUE"""),209)</f>
        <v>209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IFERROR(__xludf.DUMMYFUNCTION("""COMPUTED_VALUE"""),"Howard")</f>
        <v>Howard</v>
      </c>
      <c r="C347" s="1" t="str">
        <f ca="1">IFERROR(__xludf.DUMMYFUNCTION("""COMPUTED_VALUE"""),"MEAC")</f>
        <v>MEAC</v>
      </c>
      <c r="D347" s="2">
        <f ca="1">IFERROR(__xludf.DUMMYFUNCTION("""COMPUTED_VALUE"""),44915)</f>
        <v>44915</v>
      </c>
      <c r="E347" s="1">
        <f ca="1">IFERROR(__xludf.DUMMYFUNCTION("""COMPUTED_VALUE"""),-16.61)</f>
        <v>-16.61</v>
      </c>
      <c r="F347" s="1">
        <f ca="1">IFERROR(__xludf.DUMMYFUNCTION("""COMPUTED_VALUE"""),93.5)</f>
        <v>93.5</v>
      </c>
      <c r="G347" s="1">
        <f ca="1">IFERROR(__xludf.DUMMYFUNCTION("""COMPUTED_VALUE"""),331)</f>
        <v>331</v>
      </c>
      <c r="H347" s="1">
        <f ca="1">IFERROR(__xludf.DUMMYFUNCTION("""COMPUTED_VALUE"""),110.1)</f>
        <v>110.1</v>
      </c>
      <c r="I347" s="1">
        <f ca="1">IFERROR(__xludf.DUMMYFUNCTION("""COMPUTED_VALUE"""),273)</f>
        <v>273</v>
      </c>
      <c r="J347" s="1">
        <f ca="1">IFERROR(__xludf.DUMMYFUNCTION("""COMPUTED_VALUE"""),70.4)</f>
        <v>70.400000000000006</v>
      </c>
      <c r="K347" s="1">
        <f ca="1">IFERROR(__xludf.DUMMYFUNCTION("""COMPUTED_VALUE"""),64)</f>
        <v>64</v>
      </c>
      <c r="L347" s="1" t="str">
        <f ca="1">IFERROR(__xludf.DUMMYFUNCTION("""COMPUTED_VALUE"""),"+.009")</f>
        <v>+.009</v>
      </c>
      <c r="M347" s="1">
        <f ca="1">IFERROR(__xludf.DUMMYFUNCTION("""COMPUTED_VALUE"""),155)</f>
        <v>155</v>
      </c>
      <c r="N347" s="1">
        <f ca="1">IFERROR(__xludf.DUMMYFUNCTION("""COMPUTED_VALUE"""),-9.83)</f>
        <v>-9.83</v>
      </c>
      <c r="O347" s="1">
        <f ca="1">IFERROR(__xludf.DUMMYFUNCTION("""COMPUTED_VALUE"""),343)</f>
        <v>343</v>
      </c>
      <c r="P347" s="1">
        <f ca="1">IFERROR(__xludf.DUMMYFUNCTION("""COMPUTED_VALUE"""),100)</f>
        <v>100</v>
      </c>
      <c r="Q347" s="1">
        <f ca="1">IFERROR(__xludf.DUMMYFUNCTION("""COMPUTED_VALUE"""),328)</f>
        <v>328</v>
      </c>
      <c r="R347" s="1">
        <f ca="1">IFERROR(__xludf.DUMMYFUNCTION("""COMPUTED_VALUE"""),109.9)</f>
        <v>109.9</v>
      </c>
      <c r="S347" s="1">
        <f ca="1">IFERROR(__xludf.DUMMYFUNCTION("""COMPUTED_VALUE"""),348)</f>
        <v>348</v>
      </c>
      <c r="T347" s="1">
        <f ca="1">IFERROR(__xludf.DUMMYFUNCTION("""COMPUTED_VALUE"""),-1.69)</f>
        <v>-1.69</v>
      </c>
      <c r="U347" s="1">
        <f ca="1">IFERROR(__xludf.DUMMYFUNCTION("""COMPUTED_VALUE"""),213)</f>
        <v>213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IFERROR(__xludf.DUMMYFUNCTION("""COMPUTED_VALUE"""),"Northwestern St.")</f>
        <v>Northwestern St.</v>
      </c>
      <c r="C348" s="1" t="str">
        <f ca="1">IFERROR(__xludf.DUMMYFUNCTION("""COMPUTED_VALUE"""),"Slnd")</f>
        <v>Slnd</v>
      </c>
      <c r="D348" s="2">
        <f ca="1">IFERROR(__xludf.DUMMYFUNCTION("""COMPUTED_VALUE"""),44793)</f>
        <v>44793</v>
      </c>
      <c r="E348" s="1">
        <f ca="1">IFERROR(__xludf.DUMMYFUNCTION("""COMPUTED_VALUE"""),-16.62)</f>
        <v>-16.62</v>
      </c>
      <c r="F348" s="1">
        <f ca="1">IFERROR(__xludf.DUMMYFUNCTION("""COMPUTED_VALUE"""),101.6)</f>
        <v>101.6</v>
      </c>
      <c r="G348" s="1">
        <f ca="1">IFERROR(__xludf.DUMMYFUNCTION("""COMPUTED_VALUE"""),227)</f>
        <v>227</v>
      </c>
      <c r="H348" s="1">
        <f ca="1">IFERROR(__xludf.DUMMYFUNCTION("""COMPUTED_VALUE"""),118.2)</f>
        <v>118.2</v>
      </c>
      <c r="I348" s="1">
        <f ca="1">IFERROR(__xludf.DUMMYFUNCTION("""COMPUTED_VALUE"""),349)</f>
        <v>349</v>
      </c>
      <c r="J348" s="1">
        <f ca="1">IFERROR(__xludf.DUMMYFUNCTION("""COMPUTED_VALUE"""),73.8)</f>
        <v>73.8</v>
      </c>
      <c r="K348" s="1">
        <f ca="1">IFERROR(__xludf.DUMMYFUNCTION("""COMPUTED_VALUE"""),8)</f>
        <v>8</v>
      </c>
      <c r="L348" s="1">
        <f ca="1">IFERROR(__xludf.DUMMYFUNCTION("""COMPUTED_VALUE"""),-0.053)</f>
        <v>-5.2999999999999999E-2</v>
      </c>
      <c r="M348" s="1">
        <f ca="1">IFERROR(__xludf.DUMMYFUNCTION("""COMPUTED_VALUE"""),299)</f>
        <v>299</v>
      </c>
      <c r="N348" s="1">
        <f ca="1">IFERROR(__xludf.DUMMYFUNCTION("""COMPUTED_VALUE"""),-6.29)</f>
        <v>-6.29</v>
      </c>
      <c r="O348" s="1">
        <f ca="1">IFERROR(__xludf.DUMMYFUNCTION("""COMPUTED_VALUE"""),295)</f>
        <v>295</v>
      </c>
      <c r="P348" s="1">
        <f ca="1">IFERROR(__xludf.DUMMYFUNCTION("""COMPUTED_VALUE"""),102)</f>
        <v>102</v>
      </c>
      <c r="Q348" s="1">
        <f ca="1">IFERROR(__xludf.DUMMYFUNCTION("""COMPUTED_VALUE"""),284)</f>
        <v>284</v>
      </c>
      <c r="R348" s="1">
        <f ca="1">IFERROR(__xludf.DUMMYFUNCTION("""COMPUTED_VALUE"""),108.3)</f>
        <v>108.3</v>
      </c>
      <c r="S348" s="1">
        <f ca="1">IFERROR(__xludf.DUMMYFUNCTION("""COMPUTED_VALUE"""),310)</f>
        <v>310</v>
      </c>
      <c r="T348" s="1" t="str">
        <f ca="1">IFERROR(__xludf.DUMMYFUNCTION("""COMPUTED_VALUE"""),"+13.07")</f>
        <v>+13.07</v>
      </c>
      <c r="U348" s="1">
        <f ca="1">IFERROR(__xludf.DUMMYFUNCTION("""COMPUTED_VALUE"""),3)</f>
        <v>3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IFERROR(__xludf.DUMMYFUNCTION("""COMPUTED_VALUE"""),"Nicholls St.")</f>
        <v>Nicholls St.</v>
      </c>
      <c r="C349" s="1" t="str">
        <f ca="1">IFERROR(__xludf.DUMMYFUNCTION("""COMPUTED_VALUE"""),"Slnd")</f>
        <v>Slnd</v>
      </c>
      <c r="D349" s="2">
        <f ca="1">IFERROR(__xludf.DUMMYFUNCTION("""COMPUTED_VALUE"""),44888)</f>
        <v>44888</v>
      </c>
      <c r="E349" s="1">
        <f ca="1">IFERROR(__xludf.DUMMYFUNCTION("""COMPUTED_VALUE"""),-16.75)</f>
        <v>-16.75</v>
      </c>
      <c r="F349" s="1">
        <f ca="1">IFERROR(__xludf.DUMMYFUNCTION("""COMPUTED_VALUE"""),92.2)</f>
        <v>92.2</v>
      </c>
      <c r="G349" s="1">
        <f ca="1">IFERROR(__xludf.DUMMYFUNCTION("""COMPUTED_VALUE"""),335)</f>
        <v>335</v>
      </c>
      <c r="H349" s="1">
        <f ca="1">IFERROR(__xludf.DUMMYFUNCTION("""COMPUTED_VALUE"""),108.9)</f>
        <v>108.9</v>
      </c>
      <c r="I349" s="1">
        <f ca="1">IFERROR(__xludf.DUMMYFUNCTION("""COMPUTED_VALUE"""),255)</f>
        <v>255</v>
      </c>
      <c r="J349" s="1">
        <f ca="1">IFERROR(__xludf.DUMMYFUNCTION("""COMPUTED_VALUE"""),68.4)</f>
        <v>68.400000000000006</v>
      </c>
      <c r="K349" s="1">
        <f ca="1">IFERROR(__xludf.DUMMYFUNCTION("""COMPUTED_VALUE"""),152)</f>
        <v>152</v>
      </c>
      <c r="L349" s="1" t="str">
        <f ca="1">IFERROR(__xludf.DUMMYFUNCTION("""COMPUTED_VALUE"""),"+.015")</f>
        <v>+.015</v>
      </c>
      <c r="M349" s="1">
        <f ca="1">IFERROR(__xludf.DUMMYFUNCTION("""COMPUTED_VALUE"""),137)</f>
        <v>137</v>
      </c>
      <c r="N349" s="1">
        <f ca="1">IFERROR(__xludf.DUMMYFUNCTION("""COMPUTED_VALUE"""),-4.75)</f>
        <v>-4.75</v>
      </c>
      <c r="O349" s="1">
        <f ca="1">IFERROR(__xludf.DUMMYFUNCTION("""COMPUTED_VALUE"""),260)</f>
        <v>260</v>
      </c>
      <c r="P349" s="1">
        <f ca="1">IFERROR(__xludf.DUMMYFUNCTION("""COMPUTED_VALUE"""),103.3)</f>
        <v>103.3</v>
      </c>
      <c r="Q349" s="1">
        <f ca="1">IFERROR(__xludf.DUMMYFUNCTION("""COMPUTED_VALUE"""),231)</f>
        <v>231</v>
      </c>
      <c r="R349" s="1">
        <f ca="1">IFERROR(__xludf.DUMMYFUNCTION("""COMPUTED_VALUE"""),108.1)</f>
        <v>108.1</v>
      </c>
      <c r="S349" s="1">
        <f ca="1">IFERROR(__xludf.DUMMYFUNCTION("""COMPUTED_VALUE"""),297)</f>
        <v>297</v>
      </c>
      <c r="T349" s="1" t="str">
        <f ca="1">IFERROR(__xludf.DUMMYFUNCTION("""COMPUTED_VALUE"""),"+11.46")</f>
        <v>+11.46</v>
      </c>
      <c r="U349" s="1">
        <f ca="1">IFERROR(__xludf.DUMMYFUNCTION("""COMPUTED_VALUE"""),4)</f>
        <v>4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IFERROR(__xludf.DUMMYFUNCTION("""COMPUTED_VALUE"""),"Savannah St.")</f>
        <v>Savannah St.</v>
      </c>
      <c r="C350" s="1" t="str">
        <f ca="1">IFERROR(__xludf.DUMMYFUNCTION("""COMPUTED_VALUE"""),"MEAC")</f>
        <v>MEAC</v>
      </c>
      <c r="D350" s="1" t="str">
        <f ca="1">IFERROR(__xludf.DUMMYFUNCTION("""COMPUTED_VALUE"""),"16-16")</f>
        <v>16-16</v>
      </c>
      <c r="E350" s="1">
        <f ca="1">IFERROR(__xludf.DUMMYFUNCTION("""COMPUTED_VALUE"""),-16.85)</f>
        <v>-16.850000000000001</v>
      </c>
      <c r="F350" s="1">
        <f ca="1">IFERROR(__xludf.DUMMYFUNCTION("""COMPUTED_VALUE"""),87.4)</f>
        <v>87.4</v>
      </c>
      <c r="G350" s="1">
        <f ca="1">IFERROR(__xludf.DUMMYFUNCTION("""COMPUTED_VALUE"""),349)</f>
        <v>349</v>
      </c>
      <c r="H350" s="1">
        <f ca="1">IFERROR(__xludf.DUMMYFUNCTION("""COMPUTED_VALUE"""),104.2)</f>
        <v>104.2</v>
      </c>
      <c r="I350" s="1">
        <f ca="1">IFERROR(__xludf.DUMMYFUNCTION("""COMPUTED_VALUE"""),161)</f>
        <v>161</v>
      </c>
      <c r="J350" s="1">
        <f ca="1">IFERROR(__xludf.DUMMYFUNCTION("""COMPUTED_VALUE"""),65.9)</f>
        <v>65.900000000000006</v>
      </c>
      <c r="K350" s="1">
        <f ca="1">IFERROR(__xludf.DUMMYFUNCTION("""COMPUTED_VALUE"""),285)</f>
        <v>285</v>
      </c>
      <c r="L350" s="1" t="str">
        <f ca="1">IFERROR(__xludf.DUMMYFUNCTION("""COMPUTED_VALUE"""),"+.117")</f>
        <v>+.117</v>
      </c>
      <c r="M350" s="1">
        <f ca="1">IFERROR(__xludf.DUMMYFUNCTION("""COMPUTED_VALUE"""),7)</f>
        <v>7</v>
      </c>
      <c r="N350" s="1">
        <f ca="1">IFERROR(__xludf.DUMMYFUNCTION("""COMPUTED_VALUE"""),-10.53)</f>
        <v>-10.53</v>
      </c>
      <c r="O350" s="1">
        <f ca="1">IFERROR(__xludf.DUMMYFUNCTION("""COMPUTED_VALUE"""),346)</f>
        <v>346</v>
      </c>
      <c r="P350" s="1">
        <f ca="1">IFERROR(__xludf.DUMMYFUNCTION("""COMPUTED_VALUE"""),99.1)</f>
        <v>99.1</v>
      </c>
      <c r="Q350" s="1">
        <f ca="1">IFERROR(__xludf.DUMMYFUNCTION("""COMPUTED_VALUE"""),339)</f>
        <v>339</v>
      </c>
      <c r="R350" s="1">
        <f ca="1">IFERROR(__xludf.DUMMYFUNCTION("""COMPUTED_VALUE"""),109.6)</f>
        <v>109.6</v>
      </c>
      <c r="S350" s="1">
        <f ca="1">IFERROR(__xludf.DUMMYFUNCTION("""COMPUTED_VALUE"""),347)</f>
        <v>347</v>
      </c>
      <c r="T350" s="1" t="str">
        <f ca="1">IFERROR(__xludf.DUMMYFUNCTION("""COMPUTED_VALUE"""),"+1.14")</f>
        <v>+1.14</v>
      </c>
      <c r="U350" s="1">
        <f ca="1">IFERROR(__xludf.DUMMYFUNCTION("""COMPUTED_VALUE"""),138)</f>
        <v>138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IFERROR(__xludf.DUMMYFUNCTION("""COMPUTED_VALUE"""),"Coppin St.")</f>
        <v>Coppin St.</v>
      </c>
      <c r="C351" s="1" t="str">
        <f ca="1">IFERROR(__xludf.DUMMYFUNCTION("""COMPUTED_VALUE"""),"MEAC")</f>
        <v>MEAC</v>
      </c>
      <c r="D351" s="2">
        <f ca="1">IFERROR(__xludf.DUMMYFUNCTION("""COMPUTED_VALUE"""),44826)</f>
        <v>44826</v>
      </c>
      <c r="E351" s="1">
        <f ca="1">IFERROR(__xludf.DUMMYFUNCTION("""COMPUTED_VALUE"""),-17.19)</f>
        <v>-17.190000000000001</v>
      </c>
      <c r="F351" s="1">
        <f ca="1">IFERROR(__xludf.DUMMYFUNCTION("""COMPUTED_VALUE"""),95.9)</f>
        <v>95.9</v>
      </c>
      <c r="G351" s="1">
        <f ca="1">IFERROR(__xludf.DUMMYFUNCTION("""COMPUTED_VALUE"""),315)</f>
        <v>315</v>
      </c>
      <c r="H351" s="1">
        <f ca="1">IFERROR(__xludf.DUMMYFUNCTION("""COMPUTED_VALUE"""),113.1)</f>
        <v>113.1</v>
      </c>
      <c r="I351" s="1">
        <f ca="1">IFERROR(__xludf.DUMMYFUNCTION("""COMPUTED_VALUE"""),318)</f>
        <v>318</v>
      </c>
      <c r="J351" s="1">
        <f ca="1">IFERROR(__xludf.DUMMYFUNCTION("""COMPUTED_VALUE"""),69.9)</f>
        <v>69.900000000000006</v>
      </c>
      <c r="K351" s="1">
        <f ca="1">IFERROR(__xludf.DUMMYFUNCTION("""COMPUTED_VALUE"""),87)</f>
        <v>87</v>
      </c>
      <c r="L351" s="1">
        <f ca="1">IFERROR(__xludf.DUMMYFUNCTION("""COMPUTED_VALUE"""),-0.041)</f>
        <v>-4.1000000000000002E-2</v>
      </c>
      <c r="M351" s="1">
        <f ca="1">IFERROR(__xludf.DUMMYFUNCTION("""COMPUTED_VALUE"""),279)</f>
        <v>279</v>
      </c>
      <c r="N351" s="1">
        <f ca="1">IFERROR(__xludf.DUMMYFUNCTION("""COMPUTED_VALUE"""),-6.94)</f>
        <v>-6.94</v>
      </c>
      <c r="O351" s="1">
        <f ca="1">IFERROR(__xludf.DUMMYFUNCTION("""COMPUTED_VALUE"""),311)</f>
        <v>311</v>
      </c>
      <c r="P351" s="1">
        <f ca="1">IFERROR(__xludf.DUMMYFUNCTION("""COMPUTED_VALUE"""),101.1)</f>
        <v>101.1</v>
      </c>
      <c r="Q351" s="1">
        <f ca="1">IFERROR(__xludf.DUMMYFUNCTION("""COMPUTED_VALUE"""),307)</f>
        <v>307</v>
      </c>
      <c r="R351" s="1">
        <f ca="1">IFERROR(__xludf.DUMMYFUNCTION("""COMPUTED_VALUE"""),108)</f>
        <v>108</v>
      </c>
      <c r="S351" s="1">
        <f ca="1">IFERROR(__xludf.DUMMYFUNCTION("""COMPUTED_VALUE"""),293)</f>
        <v>293</v>
      </c>
      <c r="T351" s="1" t="str">
        <f ca="1">IFERROR(__xludf.DUMMYFUNCTION("""COMPUTED_VALUE"""),"+11.26")</f>
        <v>+11.26</v>
      </c>
      <c r="U351" s="1">
        <f ca="1">IFERROR(__xludf.DUMMYFUNCTION("""COMPUTED_VALUE"""),5)</f>
        <v>5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IFERROR(__xludf.DUMMYFUNCTION("""COMPUTED_VALUE"""),"UMBC")</f>
        <v>UMBC</v>
      </c>
      <c r="C352" s="1" t="str">
        <f ca="1">IFERROR(__xludf.DUMMYFUNCTION("""COMPUTED_VALUE"""),"AE")</f>
        <v>AE</v>
      </c>
      <c r="D352" s="2">
        <f ca="1">IFERROR(__xludf.DUMMYFUNCTION("""COMPUTED_VALUE"""),44767)</f>
        <v>44767</v>
      </c>
      <c r="E352" s="1">
        <f ca="1">IFERROR(__xludf.DUMMYFUNCTION("""COMPUTED_VALUE"""),-17.79)</f>
        <v>-17.79</v>
      </c>
      <c r="F352" s="1">
        <f ca="1">IFERROR(__xludf.DUMMYFUNCTION("""COMPUTED_VALUE"""),99.9)</f>
        <v>99.9</v>
      </c>
      <c r="G352" s="1">
        <f ca="1">IFERROR(__xludf.DUMMYFUNCTION("""COMPUTED_VALUE"""),263)</f>
        <v>263</v>
      </c>
      <c r="H352" s="1">
        <f ca="1">IFERROR(__xludf.DUMMYFUNCTION("""COMPUTED_VALUE"""),117.7)</f>
        <v>117.7</v>
      </c>
      <c r="I352" s="1">
        <f ca="1">IFERROR(__xludf.DUMMYFUNCTION("""COMPUTED_VALUE"""),347)</f>
        <v>347</v>
      </c>
      <c r="J352" s="1">
        <f ca="1">IFERROR(__xludf.DUMMYFUNCTION("""COMPUTED_VALUE"""),69.5)</f>
        <v>69.5</v>
      </c>
      <c r="K352" s="1">
        <f ca="1">IFERROR(__xludf.DUMMYFUNCTION("""COMPUTED_VALUE"""),99)</f>
        <v>99</v>
      </c>
      <c r="L352" s="1">
        <f ca="1">IFERROR(__xludf.DUMMYFUNCTION("""COMPUTED_VALUE"""),-0.039)</f>
        <v>-3.9E-2</v>
      </c>
      <c r="M352" s="1">
        <f ca="1">IFERROR(__xludf.DUMMYFUNCTION("""COMPUTED_VALUE"""),275)</f>
        <v>275</v>
      </c>
      <c r="N352" s="1">
        <f ca="1">IFERROR(__xludf.DUMMYFUNCTION("""COMPUTED_VALUE"""),-6.76)</f>
        <v>-6.76</v>
      </c>
      <c r="O352" s="1">
        <f ca="1">IFERROR(__xludf.DUMMYFUNCTION("""COMPUTED_VALUE"""),306)</f>
        <v>306</v>
      </c>
      <c r="P352" s="1">
        <f ca="1">IFERROR(__xludf.DUMMYFUNCTION("""COMPUTED_VALUE"""),101.3)</f>
        <v>101.3</v>
      </c>
      <c r="Q352" s="1">
        <f ca="1">IFERROR(__xludf.DUMMYFUNCTION("""COMPUTED_VALUE"""),303)</f>
        <v>303</v>
      </c>
      <c r="R352" s="1">
        <f ca="1">IFERROR(__xludf.DUMMYFUNCTION("""COMPUTED_VALUE"""),108)</f>
        <v>108</v>
      </c>
      <c r="S352" s="1">
        <f ca="1">IFERROR(__xludf.DUMMYFUNCTION("""COMPUTED_VALUE"""),295)</f>
        <v>295</v>
      </c>
      <c r="T352" s="1">
        <f ca="1">IFERROR(__xludf.DUMMYFUNCTION("""COMPUTED_VALUE"""),-6.23)</f>
        <v>-6.23</v>
      </c>
      <c r="U352" s="1">
        <f ca="1">IFERROR(__xludf.DUMMYFUNCTION("""COMPUTED_VALUE"""),312)</f>
        <v>312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IFERROR(__xludf.DUMMYFUNCTION("""COMPUTED_VALUE"""),"Illinois Chicago")</f>
        <v>Illinois Chicago</v>
      </c>
      <c r="C353" s="1" t="str">
        <f ca="1">IFERROR(__xludf.DUMMYFUNCTION("""COMPUTED_VALUE"""),"Horz")</f>
        <v>Horz</v>
      </c>
      <c r="D353" s="2">
        <f ca="1">IFERROR(__xludf.DUMMYFUNCTION("""COMPUTED_VALUE"""),44706)</f>
        <v>44706</v>
      </c>
      <c r="E353" s="1">
        <f ca="1">IFERROR(__xludf.DUMMYFUNCTION("""COMPUTED_VALUE"""),-17.83)</f>
        <v>-17.829999999999998</v>
      </c>
      <c r="F353" s="1">
        <f ca="1">IFERROR(__xludf.DUMMYFUNCTION("""COMPUTED_VALUE"""),89.9)</f>
        <v>89.9</v>
      </c>
      <c r="G353" s="1">
        <f ca="1">IFERROR(__xludf.DUMMYFUNCTION("""COMPUTED_VALUE"""),343)</f>
        <v>343</v>
      </c>
      <c r="H353" s="1">
        <f ca="1">IFERROR(__xludf.DUMMYFUNCTION("""COMPUTED_VALUE"""),107.7)</f>
        <v>107.7</v>
      </c>
      <c r="I353" s="1">
        <f ca="1">IFERROR(__xludf.DUMMYFUNCTION("""COMPUTED_VALUE"""),227)</f>
        <v>227</v>
      </c>
      <c r="J353" s="1">
        <f ca="1">IFERROR(__xludf.DUMMYFUNCTION("""COMPUTED_VALUE"""),71.6)</f>
        <v>71.599999999999994</v>
      </c>
      <c r="K353" s="1">
        <f ca="1">IFERROR(__xludf.DUMMYFUNCTION("""COMPUTED_VALUE"""),40)</f>
        <v>40</v>
      </c>
      <c r="L353" s="1" t="str">
        <f ca="1">IFERROR(__xludf.DUMMYFUNCTION("""COMPUTED_VALUE"""),"+.004")</f>
        <v>+.004</v>
      </c>
      <c r="M353" s="1">
        <f ca="1">IFERROR(__xludf.DUMMYFUNCTION("""COMPUTED_VALUE"""),167)</f>
        <v>167</v>
      </c>
      <c r="N353" s="1">
        <f ca="1">IFERROR(__xludf.DUMMYFUNCTION("""COMPUTED_VALUE"""),-0.76)</f>
        <v>-0.76</v>
      </c>
      <c r="O353" s="1">
        <f ca="1">IFERROR(__xludf.DUMMYFUNCTION("""COMPUTED_VALUE"""),165)</f>
        <v>165</v>
      </c>
      <c r="P353" s="1">
        <f ca="1">IFERROR(__xludf.DUMMYFUNCTION("""COMPUTED_VALUE"""),104.6)</f>
        <v>104.6</v>
      </c>
      <c r="Q353" s="1">
        <f ca="1">IFERROR(__xludf.DUMMYFUNCTION("""COMPUTED_VALUE"""),165)</f>
        <v>165</v>
      </c>
      <c r="R353" s="1">
        <f ca="1">IFERROR(__xludf.DUMMYFUNCTION("""COMPUTED_VALUE"""),105.4)</f>
        <v>105.4</v>
      </c>
      <c r="S353" s="1">
        <f ca="1">IFERROR(__xludf.DUMMYFUNCTION("""COMPUTED_VALUE"""),169)</f>
        <v>169</v>
      </c>
      <c r="T353" s="1">
        <f ca="1">IFERROR(__xludf.DUMMYFUNCTION("""COMPUTED_VALUE"""),-2.29)</f>
        <v>-2.29</v>
      </c>
      <c r="U353" s="1">
        <f ca="1">IFERROR(__xludf.DUMMYFUNCTION("""COMPUTED_VALUE"""),231)</f>
        <v>231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IFERROR(__xludf.DUMMYFUNCTION("""COMPUTED_VALUE"""),"Maine")</f>
        <v>Maine</v>
      </c>
      <c r="C354" s="1" t="str">
        <f ca="1">IFERROR(__xludf.DUMMYFUNCTION("""COMPUTED_VALUE"""),"AE")</f>
        <v>AE</v>
      </c>
      <c r="D354" s="2">
        <f ca="1">IFERROR(__xludf.DUMMYFUNCTION("""COMPUTED_VALUE"""),44795)</f>
        <v>44795</v>
      </c>
      <c r="E354" s="1">
        <f ca="1">IFERROR(__xludf.DUMMYFUNCTION("""COMPUTED_VALUE"""),-18.23)</f>
        <v>-18.23</v>
      </c>
      <c r="F354" s="1">
        <f ca="1">IFERROR(__xludf.DUMMYFUNCTION("""COMPUTED_VALUE"""),96.3)</f>
        <v>96.3</v>
      </c>
      <c r="G354" s="1">
        <f ca="1">IFERROR(__xludf.DUMMYFUNCTION("""COMPUTED_VALUE"""),314)</f>
        <v>314</v>
      </c>
      <c r="H354" s="1">
        <f ca="1">IFERROR(__xludf.DUMMYFUNCTION("""COMPUTED_VALUE"""),114.5)</f>
        <v>114.5</v>
      </c>
      <c r="I354" s="1">
        <f ca="1">IFERROR(__xludf.DUMMYFUNCTION("""COMPUTED_VALUE"""),331)</f>
        <v>331</v>
      </c>
      <c r="J354" s="1">
        <f ca="1">IFERROR(__xludf.DUMMYFUNCTION("""COMPUTED_VALUE"""),76.8)</f>
        <v>76.8</v>
      </c>
      <c r="K354" s="1">
        <f ca="1">IFERROR(__xludf.DUMMYFUNCTION("""COMPUTED_VALUE"""),4)</f>
        <v>4</v>
      </c>
      <c r="L354" s="1" t="str">
        <f ca="1">IFERROR(__xludf.DUMMYFUNCTION("""COMPUTED_VALUE"""),"+.030")</f>
        <v>+.030</v>
      </c>
      <c r="M354" s="1">
        <f ca="1">IFERROR(__xludf.DUMMYFUNCTION("""COMPUTED_VALUE"""),98)</f>
        <v>98</v>
      </c>
      <c r="N354" s="1">
        <f ca="1">IFERROR(__xludf.DUMMYFUNCTION("""COMPUTED_VALUE"""),-6.87)</f>
        <v>-6.87</v>
      </c>
      <c r="O354" s="1">
        <f ca="1">IFERROR(__xludf.DUMMYFUNCTION("""COMPUTED_VALUE"""),309)</f>
        <v>309</v>
      </c>
      <c r="P354" s="1">
        <f ca="1">IFERROR(__xludf.DUMMYFUNCTION("""COMPUTED_VALUE"""),100.8)</f>
        <v>100.8</v>
      </c>
      <c r="Q354" s="1">
        <f ca="1">IFERROR(__xludf.DUMMYFUNCTION("""COMPUTED_VALUE"""),314)</f>
        <v>314</v>
      </c>
      <c r="R354" s="1">
        <f ca="1">IFERROR(__xludf.DUMMYFUNCTION("""COMPUTED_VALUE"""),107.7)</f>
        <v>107.7</v>
      </c>
      <c r="S354" s="1">
        <f ca="1">IFERROR(__xludf.DUMMYFUNCTION("""COMPUTED_VALUE"""),278)</f>
        <v>278</v>
      </c>
      <c r="T354" s="1">
        <f ca="1">IFERROR(__xludf.DUMMYFUNCTION("""COMPUTED_VALUE"""),-6.49)</f>
        <v>-6.49</v>
      </c>
      <c r="U354" s="1">
        <f ca="1">IFERROR(__xludf.DUMMYFUNCTION("""COMPUTED_VALUE"""),318)</f>
        <v>318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IFERROR(__xludf.DUMMYFUNCTION("""COMPUTED_VALUE"""),"Prairie View A&amp;M")</f>
        <v>Prairie View A&amp;M</v>
      </c>
      <c r="C355" s="1" t="str">
        <f ca="1">IFERROR(__xludf.DUMMYFUNCTION("""COMPUTED_VALUE"""),"SWAC")</f>
        <v>SWAC</v>
      </c>
      <c r="D355" s="2">
        <f ca="1">IFERROR(__xludf.DUMMYFUNCTION("""COMPUTED_VALUE"""),44766)</f>
        <v>44766</v>
      </c>
      <c r="E355" s="1">
        <f ca="1">IFERROR(__xludf.DUMMYFUNCTION("""COMPUTED_VALUE"""),-18.57)</f>
        <v>-18.57</v>
      </c>
      <c r="F355" s="1">
        <f ca="1">IFERROR(__xludf.DUMMYFUNCTION("""COMPUTED_VALUE"""),89)</f>
        <v>89</v>
      </c>
      <c r="G355" s="1">
        <f ca="1">IFERROR(__xludf.DUMMYFUNCTION("""COMPUTED_VALUE"""),344)</f>
        <v>344</v>
      </c>
      <c r="H355" s="1">
        <f ca="1">IFERROR(__xludf.DUMMYFUNCTION("""COMPUTED_VALUE"""),107.6)</f>
        <v>107.6</v>
      </c>
      <c r="I355" s="1">
        <f ca="1">IFERROR(__xludf.DUMMYFUNCTION("""COMPUTED_VALUE"""),225)</f>
        <v>225</v>
      </c>
      <c r="J355" s="1">
        <f ca="1">IFERROR(__xludf.DUMMYFUNCTION("""COMPUTED_VALUE"""),68.7)</f>
        <v>68.7</v>
      </c>
      <c r="K355" s="1">
        <f ca="1">IFERROR(__xludf.DUMMYFUNCTION("""COMPUTED_VALUE"""),135)</f>
        <v>135</v>
      </c>
      <c r="L355" s="1" t="str">
        <f ca="1">IFERROR(__xludf.DUMMYFUNCTION("""COMPUTED_VALUE"""),"+.008")</f>
        <v>+.008</v>
      </c>
      <c r="M355" s="1">
        <f ca="1">IFERROR(__xludf.DUMMYFUNCTION("""COMPUTED_VALUE"""),157)</f>
        <v>157</v>
      </c>
      <c r="N355" s="1">
        <f ca="1">IFERROR(__xludf.DUMMYFUNCTION("""COMPUTED_VALUE"""),-5.74)</f>
        <v>-5.74</v>
      </c>
      <c r="O355" s="1">
        <f ca="1">IFERROR(__xludf.DUMMYFUNCTION("""COMPUTED_VALUE"""),283)</f>
        <v>283</v>
      </c>
      <c r="P355" s="1">
        <f ca="1">IFERROR(__xludf.DUMMYFUNCTION("""COMPUTED_VALUE"""),100.4)</f>
        <v>100.4</v>
      </c>
      <c r="Q355" s="1">
        <f ca="1">IFERROR(__xludf.DUMMYFUNCTION("""COMPUTED_VALUE"""),321)</f>
        <v>321</v>
      </c>
      <c r="R355" s="1">
        <f ca="1">IFERROR(__xludf.DUMMYFUNCTION("""COMPUTED_VALUE"""),106.2)</f>
        <v>106.2</v>
      </c>
      <c r="S355" s="1">
        <f ca="1">IFERROR(__xludf.DUMMYFUNCTION("""COMPUTED_VALUE"""),205)</f>
        <v>205</v>
      </c>
      <c r="T355" s="1" t="str">
        <f ca="1">IFERROR(__xludf.DUMMYFUNCTION("""COMPUTED_VALUE"""),"+7.95")</f>
        <v>+7.95</v>
      </c>
      <c r="U355" s="1">
        <f ca="1">IFERROR(__xludf.DUMMYFUNCTION("""COMPUTED_VALUE"""),15)</f>
        <v>15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IFERROR(__xludf.DUMMYFUNCTION("""COMPUTED_VALUE"""),"UTSA")</f>
        <v>UTSA</v>
      </c>
      <c r="C356" s="1" t="str">
        <f ca="1">IFERROR(__xludf.DUMMYFUNCTION("""COMPUTED_VALUE"""),"CUSA")</f>
        <v>CUSA</v>
      </c>
      <c r="D356" s="2">
        <f ca="1">IFERROR(__xludf.DUMMYFUNCTION("""COMPUTED_VALUE"""),44708)</f>
        <v>44708</v>
      </c>
      <c r="E356" s="1">
        <f ca="1">IFERROR(__xludf.DUMMYFUNCTION("""COMPUTED_VALUE"""),-18.98)</f>
        <v>-18.98</v>
      </c>
      <c r="F356" s="1">
        <f ca="1">IFERROR(__xludf.DUMMYFUNCTION("""COMPUTED_VALUE"""),97.9)</f>
        <v>97.9</v>
      </c>
      <c r="G356" s="1">
        <f ca="1">IFERROR(__xludf.DUMMYFUNCTION("""COMPUTED_VALUE"""),300)</f>
        <v>300</v>
      </c>
      <c r="H356" s="1">
        <f ca="1">IFERROR(__xludf.DUMMYFUNCTION("""COMPUTED_VALUE"""),116.9)</f>
        <v>116.9</v>
      </c>
      <c r="I356" s="1">
        <f ca="1">IFERROR(__xludf.DUMMYFUNCTION("""COMPUTED_VALUE"""),343)</f>
        <v>343</v>
      </c>
      <c r="J356" s="1">
        <f ca="1">IFERROR(__xludf.DUMMYFUNCTION("""COMPUTED_VALUE"""),71.4)</f>
        <v>71.400000000000006</v>
      </c>
      <c r="K356" s="1">
        <f ca="1">IFERROR(__xludf.DUMMYFUNCTION("""COMPUTED_VALUE"""),44)</f>
        <v>44</v>
      </c>
      <c r="L356" s="1">
        <f ca="1">IFERROR(__xludf.DUMMYFUNCTION("""COMPUTED_VALUE"""),-0.052)</f>
        <v>-5.1999999999999998E-2</v>
      </c>
      <c r="M356" s="1">
        <f ca="1">IFERROR(__xludf.DUMMYFUNCTION("""COMPUTED_VALUE"""),297)</f>
        <v>297</v>
      </c>
      <c r="N356" s="1">
        <f ca="1">IFERROR(__xludf.DUMMYFUNCTION("""COMPUTED_VALUE"""),-4.08)</f>
        <v>-4.08</v>
      </c>
      <c r="O356" s="1">
        <f ca="1">IFERROR(__xludf.DUMMYFUNCTION("""COMPUTED_VALUE"""),246)</f>
        <v>246</v>
      </c>
      <c r="P356" s="1">
        <f ca="1">IFERROR(__xludf.DUMMYFUNCTION("""COMPUTED_VALUE"""),103.4)</f>
        <v>103.4</v>
      </c>
      <c r="Q356" s="1">
        <f ca="1">IFERROR(__xludf.DUMMYFUNCTION("""COMPUTED_VALUE"""),227)</f>
        <v>227</v>
      </c>
      <c r="R356" s="1">
        <f ca="1">IFERROR(__xludf.DUMMYFUNCTION("""COMPUTED_VALUE"""),107.4)</f>
        <v>107.4</v>
      </c>
      <c r="S356" s="1">
        <f ca="1">IFERROR(__xludf.DUMMYFUNCTION("""COMPUTED_VALUE"""),258)</f>
        <v>258</v>
      </c>
      <c r="T356" s="1">
        <f ca="1">IFERROR(__xludf.DUMMYFUNCTION("""COMPUTED_VALUE"""),-1.23)</f>
        <v>-1.23</v>
      </c>
      <c r="U356" s="1">
        <f ca="1">IFERROR(__xludf.DUMMYFUNCTION("""COMPUTED_VALUE"""),198)</f>
        <v>198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IFERROR(__xludf.DUMMYFUNCTION("""COMPUTED_VALUE"""),"North Carolina A&amp;T")</f>
        <v>North Carolina A&amp;T</v>
      </c>
      <c r="C357" s="1" t="str">
        <f ca="1">IFERROR(__xludf.DUMMYFUNCTION("""COMPUTED_VALUE"""),"MEAC")</f>
        <v>MEAC</v>
      </c>
      <c r="D357" s="2">
        <f ca="1">IFERROR(__xludf.DUMMYFUNCTION("""COMPUTED_VALUE"""),44856)</f>
        <v>44856</v>
      </c>
      <c r="E357" s="1">
        <f ca="1">IFERROR(__xludf.DUMMYFUNCTION("""COMPUTED_VALUE"""),-19.05)</f>
        <v>-19.05</v>
      </c>
      <c r="F357" s="1">
        <f ca="1">IFERROR(__xludf.DUMMYFUNCTION("""COMPUTED_VALUE"""),95.7)</f>
        <v>95.7</v>
      </c>
      <c r="G357" s="1">
        <f ca="1">IFERROR(__xludf.DUMMYFUNCTION("""COMPUTED_VALUE"""),319)</f>
        <v>319</v>
      </c>
      <c r="H357" s="1">
        <f ca="1">IFERROR(__xludf.DUMMYFUNCTION("""COMPUTED_VALUE"""),114.7)</f>
        <v>114.7</v>
      </c>
      <c r="I357" s="1">
        <f ca="1">IFERROR(__xludf.DUMMYFUNCTION("""COMPUTED_VALUE"""),332)</f>
        <v>332</v>
      </c>
      <c r="J357" s="1">
        <f ca="1">IFERROR(__xludf.DUMMYFUNCTION("""COMPUTED_VALUE"""),67.6)</f>
        <v>67.599999999999994</v>
      </c>
      <c r="K357" s="1">
        <f ca="1">IFERROR(__xludf.DUMMYFUNCTION("""COMPUTED_VALUE"""),199)</f>
        <v>199</v>
      </c>
      <c r="L357" s="1" t="str">
        <f ca="1">IFERROR(__xludf.DUMMYFUNCTION("""COMPUTED_VALUE"""),"+.030")</f>
        <v>+.030</v>
      </c>
      <c r="M357" s="1">
        <f ca="1">IFERROR(__xludf.DUMMYFUNCTION("""COMPUTED_VALUE"""),96)</f>
        <v>96</v>
      </c>
      <c r="N357" s="1">
        <f ca="1">IFERROR(__xludf.DUMMYFUNCTION("""COMPUTED_VALUE"""),-10.32)</f>
        <v>-10.32</v>
      </c>
      <c r="O357" s="1">
        <f ca="1">IFERROR(__xludf.DUMMYFUNCTION("""COMPUTED_VALUE"""),345)</f>
        <v>345</v>
      </c>
      <c r="P357" s="1">
        <f ca="1">IFERROR(__xludf.DUMMYFUNCTION("""COMPUTED_VALUE"""),98.3)</f>
        <v>98.3</v>
      </c>
      <c r="Q357" s="1">
        <f ca="1">IFERROR(__xludf.DUMMYFUNCTION("""COMPUTED_VALUE"""),348)</f>
        <v>348</v>
      </c>
      <c r="R357" s="1">
        <f ca="1">IFERROR(__xludf.DUMMYFUNCTION("""COMPUTED_VALUE"""),108.6)</f>
        <v>108.6</v>
      </c>
      <c r="S357" s="1">
        <f ca="1">IFERROR(__xludf.DUMMYFUNCTION("""COMPUTED_VALUE"""),320)</f>
        <v>320</v>
      </c>
      <c r="T357" s="1">
        <f ca="1">IFERROR(__xludf.DUMMYFUNCTION("""COMPUTED_VALUE"""),-0.99)</f>
        <v>-0.99</v>
      </c>
      <c r="U357" s="1">
        <f ca="1">IFERROR(__xludf.DUMMYFUNCTION("""COMPUTED_VALUE"""),192)</f>
        <v>192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IFERROR(__xludf.DUMMYFUNCTION("""COMPUTED_VALUE"""),"Southeast Missouri St.")</f>
        <v>Southeast Missouri St.</v>
      </c>
      <c r="C358" s="1" t="str">
        <f ca="1">IFERROR(__xludf.DUMMYFUNCTION("""COMPUTED_VALUE"""),"OVC")</f>
        <v>OVC</v>
      </c>
      <c r="D358" s="2">
        <f ca="1">IFERROR(__xludf.DUMMYFUNCTION("""COMPUTED_VALUE"""),44705)</f>
        <v>44705</v>
      </c>
      <c r="E358" s="1">
        <f ca="1">IFERROR(__xludf.DUMMYFUNCTION("""COMPUTED_VALUE"""),-19.25)</f>
        <v>-19.25</v>
      </c>
      <c r="F358" s="1">
        <f ca="1">IFERROR(__xludf.DUMMYFUNCTION("""COMPUTED_VALUE"""),91.2)</f>
        <v>91.2</v>
      </c>
      <c r="G358" s="1">
        <f ca="1">IFERROR(__xludf.DUMMYFUNCTION("""COMPUTED_VALUE"""),342)</f>
        <v>342</v>
      </c>
      <c r="H358" s="1">
        <f ca="1">IFERROR(__xludf.DUMMYFUNCTION("""COMPUTED_VALUE"""),110.5)</f>
        <v>110.5</v>
      </c>
      <c r="I358" s="1">
        <f ca="1">IFERROR(__xludf.DUMMYFUNCTION("""COMPUTED_VALUE"""),280)</f>
        <v>280</v>
      </c>
      <c r="J358" s="1">
        <f ca="1">IFERROR(__xludf.DUMMYFUNCTION("""COMPUTED_VALUE"""),70.8)</f>
        <v>70.8</v>
      </c>
      <c r="K358" s="1">
        <f ca="1">IFERROR(__xludf.DUMMYFUNCTION("""COMPUTED_VALUE"""),56)</f>
        <v>56</v>
      </c>
      <c r="L358" s="1">
        <f ca="1">IFERROR(__xludf.DUMMYFUNCTION("""COMPUTED_VALUE"""),-0.023)</f>
        <v>-2.3E-2</v>
      </c>
      <c r="M358" s="1">
        <f ca="1">IFERROR(__xludf.DUMMYFUNCTION("""COMPUTED_VALUE"""),237)</f>
        <v>237</v>
      </c>
      <c r="N358" s="1">
        <f ca="1">IFERROR(__xludf.DUMMYFUNCTION("""COMPUTED_VALUE"""),-3.15)</f>
        <v>-3.15</v>
      </c>
      <c r="O358" s="1">
        <f ca="1">IFERROR(__xludf.DUMMYFUNCTION("""COMPUTED_VALUE"""),218)</f>
        <v>218</v>
      </c>
      <c r="P358" s="1">
        <f ca="1">IFERROR(__xludf.DUMMYFUNCTION("""COMPUTED_VALUE"""),103.9)</f>
        <v>103.9</v>
      </c>
      <c r="Q358" s="1">
        <f ca="1">IFERROR(__xludf.DUMMYFUNCTION("""COMPUTED_VALUE"""),198)</f>
        <v>198</v>
      </c>
      <c r="R358" s="1">
        <f ca="1">IFERROR(__xludf.DUMMYFUNCTION("""COMPUTED_VALUE"""),107.1)</f>
        <v>107.1</v>
      </c>
      <c r="S358" s="1">
        <f ca="1">IFERROR(__xludf.DUMMYFUNCTION("""COMPUTED_VALUE"""),243)</f>
        <v>243</v>
      </c>
      <c r="T358" s="1" t="str">
        <f ca="1">IFERROR(__xludf.DUMMYFUNCTION("""COMPUTED_VALUE"""),"+0.62")</f>
        <v>+0.62</v>
      </c>
      <c r="U358" s="1">
        <f ca="1">IFERROR(__xludf.DUMMYFUNCTION("""COMPUTED_VALUE"""),152)</f>
        <v>152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IFERROR(__xludf.DUMMYFUNCTION("""COMPUTED_VALUE"""),"Mississippi Valley St.")</f>
        <v>Mississippi Valley St.</v>
      </c>
      <c r="C359" s="1" t="str">
        <f ca="1">IFERROR(__xludf.DUMMYFUNCTION("""COMPUTED_VALUE"""),"SWAC")</f>
        <v>SWAC</v>
      </c>
      <c r="D359" s="2">
        <f ca="1">IFERROR(__xludf.DUMMYFUNCTION("""COMPUTED_VALUE"""),44800)</f>
        <v>44800</v>
      </c>
      <c r="E359" s="1">
        <f ca="1">IFERROR(__xludf.DUMMYFUNCTION("""COMPUTED_VALUE"""),-19.33)</f>
        <v>-19.329999999999998</v>
      </c>
      <c r="F359" s="1">
        <f ca="1">IFERROR(__xludf.DUMMYFUNCTION("""COMPUTED_VALUE"""),91.5)</f>
        <v>91.5</v>
      </c>
      <c r="G359" s="1">
        <f ca="1">IFERROR(__xludf.DUMMYFUNCTION("""COMPUTED_VALUE"""),341)</f>
        <v>341</v>
      </c>
      <c r="H359" s="1">
        <f ca="1">IFERROR(__xludf.DUMMYFUNCTION("""COMPUTED_VALUE"""),110.8)</f>
        <v>110.8</v>
      </c>
      <c r="I359" s="1">
        <f ca="1">IFERROR(__xludf.DUMMYFUNCTION("""COMPUTED_VALUE"""),285)</f>
        <v>285</v>
      </c>
      <c r="J359" s="1">
        <f ca="1">IFERROR(__xludf.DUMMYFUNCTION("""COMPUTED_VALUE"""),71.2)</f>
        <v>71.2</v>
      </c>
      <c r="K359" s="1">
        <f ca="1">IFERROR(__xludf.DUMMYFUNCTION("""COMPUTED_VALUE"""),52)</f>
        <v>52</v>
      </c>
      <c r="L359" s="1">
        <f ca="1">IFERROR(__xludf.DUMMYFUNCTION("""COMPUTED_VALUE"""),-0.001)</f>
        <v>-1E-3</v>
      </c>
      <c r="M359" s="1">
        <f ca="1">IFERROR(__xludf.DUMMYFUNCTION("""COMPUTED_VALUE"""),176)</f>
        <v>176</v>
      </c>
      <c r="N359" s="1">
        <f ca="1">IFERROR(__xludf.DUMMYFUNCTION("""COMPUTED_VALUE"""),-6.55)</f>
        <v>-6.55</v>
      </c>
      <c r="O359" s="1">
        <f ca="1">IFERROR(__xludf.DUMMYFUNCTION("""COMPUTED_VALUE"""),304)</f>
        <v>304</v>
      </c>
      <c r="P359" s="1">
        <f ca="1">IFERROR(__xludf.DUMMYFUNCTION("""COMPUTED_VALUE"""),99.9)</f>
        <v>99.9</v>
      </c>
      <c r="Q359" s="1">
        <f ca="1">IFERROR(__xludf.DUMMYFUNCTION("""COMPUTED_VALUE"""),332)</f>
        <v>332</v>
      </c>
      <c r="R359" s="1">
        <f ca="1">IFERROR(__xludf.DUMMYFUNCTION("""COMPUTED_VALUE"""),106.4)</f>
        <v>106.4</v>
      </c>
      <c r="S359" s="1">
        <f ca="1">IFERROR(__xludf.DUMMYFUNCTION("""COMPUTED_VALUE"""),215)</f>
        <v>215</v>
      </c>
      <c r="T359" s="1" t="str">
        <f ca="1">IFERROR(__xludf.DUMMYFUNCTION("""COMPUTED_VALUE"""),"+4.99")</f>
        <v>+4.99</v>
      </c>
      <c r="U359" s="1">
        <f ca="1">IFERROR(__xludf.DUMMYFUNCTION("""COMPUTED_VALUE"""),37)</f>
        <v>37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IFERROR(__xludf.DUMMYFUNCTION("""COMPUTED_VALUE"""),"Southern Utah")</f>
        <v>Southern Utah</v>
      </c>
      <c r="C360" s="1" t="str">
        <f ca="1">IFERROR(__xludf.DUMMYFUNCTION("""COMPUTED_VALUE"""),"BSky")</f>
        <v>BSky</v>
      </c>
      <c r="D360" s="2">
        <f ca="1">IFERROR(__xludf.DUMMYFUNCTION("""COMPUTED_VALUE"""),44736)</f>
        <v>44736</v>
      </c>
      <c r="E360" s="1">
        <f ca="1">IFERROR(__xludf.DUMMYFUNCTION("""COMPUTED_VALUE"""),-20.3)</f>
        <v>-20.3</v>
      </c>
      <c r="F360" s="1">
        <f ca="1">IFERROR(__xludf.DUMMYFUNCTION("""COMPUTED_VALUE"""),98.2)</f>
        <v>98.2</v>
      </c>
      <c r="G360" s="1">
        <f ca="1">IFERROR(__xludf.DUMMYFUNCTION("""COMPUTED_VALUE"""),294)</f>
        <v>294</v>
      </c>
      <c r="H360" s="1">
        <f ca="1">IFERROR(__xludf.DUMMYFUNCTION("""COMPUTED_VALUE"""),118.5)</f>
        <v>118.5</v>
      </c>
      <c r="I360" s="1">
        <f ca="1">IFERROR(__xludf.DUMMYFUNCTION("""COMPUTED_VALUE"""),350)</f>
        <v>350</v>
      </c>
      <c r="J360" s="1">
        <f ca="1">IFERROR(__xludf.DUMMYFUNCTION("""COMPUTED_VALUE"""),68.2)</f>
        <v>68.2</v>
      </c>
      <c r="K360" s="1">
        <f ca="1">IFERROR(__xludf.DUMMYFUNCTION("""COMPUTED_VALUE"""),158)</f>
        <v>158</v>
      </c>
      <c r="L360" s="1">
        <f ca="1">IFERROR(__xludf.DUMMYFUNCTION("""COMPUTED_VALUE"""),-0.055)</f>
        <v>-5.5E-2</v>
      </c>
      <c r="M360" s="1">
        <f ca="1">IFERROR(__xludf.DUMMYFUNCTION("""COMPUTED_VALUE"""),304)</f>
        <v>304</v>
      </c>
      <c r="N360" s="1">
        <f ca="1">IFERROR(__xludf.DUMMYFUNCTION("""COMPUTED_VALUE"""),-4.17)</f>
        <v>-4.17</v>
      </c>
      <c r="O360" s="1">
        <f ca="1">IFERROR(__xludf.DUMMYFUNCTION("""COMPUTED_VALUE"""),250)</f>
        <v>250</v>
      </c>
      <c r="P360" s="1">
        <f ca="1">IFERROR(__xludf.DUMMYFUNCTION("""COMPUTED_VALUE"""),103.6)</f>
        <v>103.6</v>
      </c>
      <c r="Q360" s="1">
        <f ca="1">IFERROR(__xludf.DUMMYFUNCTION("""COMPUTED_VALUE"""),212)</f>
        <v>212</v>
      </c>
      <c r="R360" s="1">
        <f ca="1">IFERROR(__xludf.DUMMYFUNCTION("""COMPUTED_VALUE"""),107.8)</f>
        <v>107.8</v>
      </c>
      <c r="S360" s="1">
        <f ca="1">IFERROR(__xludf.DUMMYFUNCTION("""COMPUTED_VALUE"""),284)</f>
        <v>284</v>
      </c>
      <c r="T360" s="1" t="str">
        <f ca="1">IFERROR(__xludf.DUMMYFUNCTION("""COMPUTED_VALUE"""),"+3.70")</f>
        <v>+3.70</v>
      </c>
      <c r="U360" s="1">
        <f ca="1">IFERROR(__xludf.DUMMYFUNCTION("""COMPUTED_VALUE"""),64)</f>
        <v>64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IFERROR(__xludf.DUMMYFUNCTION("""COMPUTED_VALUE"""),"Northern Arizona")</f>
        <v>Northern Arizona</v>
      </c>
      <c r="C361" s="1" t="str">
        <f ca="1">IFERROR(__xludf.DUMMYFUNCTION("""COMPUTED_VALUE"""),"BSky")</f>
        <v>BSky</v>
      </c>
      <c r="D361" s="2">
        <f ca="1">IFERROR(__xludf.DUMMYFUNCTION("""COMPUTED_VALUE"""),44706)</f>
        <v>44706</v>
      </c>
      <c r="E361" s="1">
        <f ca="1">IFERROR(__xludf.DUMMYFUNCTION("""COMPUTED_VALUE"""),-20.65)</f>
        <v>-20.65</v>
      </c>
      <c r="F361" s="1">
        <f ca="1">IFERROR(__xludf.DUMMYFUNCTION("""COMPUTED_VALUE"""),92.5)</f>
        <v>92.5</v>
      </c>
      <c r="G361" s="1">
        <f ca="1">IFERROR(__xludf.DUMMYFUNCTION("""COMPUTED_VALUE"""),334)</f>
        <v>334</v>
      </c>
      <c r="H361" s="1">
        <f ca="1">IFERROR(__xludf.DUMMYFUNCTION("""COMPUTED_VALUE"""),113.1)</f>
        <v>113.1</v>
      </c>
      <c r="I361" s="1">
        <f ca="1">IFERROR(__xludf.DUMMYFUNCTION("""COMPUTED_VALUE"""),320)</f>
        <v>320</v>
      </c>
      <c r="J361" s="1">
        <f ca="1">IFERROR(__xludf.DUMMYFUNCTION("""COMPUTED_VALUE"""),70.3)</f>
        <v>70.3</v>
      </c>
      <c r="K361" s="1">
        <f ca="1">IFERROR(__xludf.DUMMYFUNCTION("""COMPUTED_VALUE"""),72)</f>
        <v>72</v>
      </c>
      <c r="L361" s="1">
        <f ca="1">IFERROR(__xludf.DUMMYFUNCTION("""COMPUTED_VALUE"""),-0.068)</f>
        <v>-6.8000000000000005E-2</v>
      </c>
      <c r="M361" s="1">
        <f ca="1">IFERROR(__xludf.DUMMYFUNCTION("""COMPUTED_VALUE"""),323)</f>
        <v>323</v>
      </c>
      <c r="N361" s="1">
        <f ca="1">IFERROR(__xludf.DUMMYFUNCTION("""COMPUTED_VALUE"""),-2.34)</f>
        <v>-2.34</v>
      </c>
      <c r="O361" s="1">
        <f ca="1">IFERROR(__xludf.DUMMYFUNCTION("""COMPUTED_VALUE"""),205)</f>
        <v>205</v>
      </c>
      <c r="P361" s="1">
        <f ca="1">IFERROR(__xludf.DUMMYFUNCTION("""COMPUTED_VALUE"""),104.9)</f>
        <v>104.9</v>
      </c>
      <c r="Q361" s="1">
        <f ca="1">IFERROR(__xludf.DUMMYFUNCTION("""COMPUTED_VALUE"""),153)</f>
        <v>153</v>
      </c>
      <c r="R361" s="1">
        <f ca="1">IFERROR(__xludf.DUMMYFUNCTION("""COMPUTED_VALUE"""),107.3)</f>
        <v>107.3</v>
      </c>
      <c r="S361" s="1">
        <f ca="1">IFERROR(__xludf.DUMMYFUNCTION("""COMPUTED_VALUE"""),251)</f>
        <v>251</v>
      </c>
      <c r="T361" s="1" t="str">
        <f ca="1">IFERROR(__xludf.DUMMYFUNCTION("""COMPUTED_VALUE"""),"+10.46")</f>
        <v>+10.46</v>
      </c>
      <c r="U361" s="1">
        <f ca="1">IFERROR(__xludf.DUMMYFUNCTION("""COMPUTED_VALUE"""),8)</f>
        <v>8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IFERROR(__xludf.DUMMYFUNCTION("""COMPUTED_VALUE"""),"Arkansas Pine Bluff")</f>
        <v>Arkansas Pine Bluff</v>
      </c>
      <c r="C362" s="1" t="str">
        <f ca="1">IFERROR(__xludf.DUMMYFUNCTION("""COMPUTED_VALUE"""),"SWAC")</f>
        <v>SWAC</v>
      </c>
      <c r="D362" s="2">
        <f ca="1">IFERROR(__xludf.DUMMYFUNCTION("""COMPUTED_VALUE"""),44798)</f>
        <v>44798</v>
      </c>
      <c r="E362" s="1">
        <f ca="1">IFERROR(__xludf.DUMMYFUNCTION("""COMPUTED_VALUE"""),-20.69)</f>
        <v>-20.69</v>
      </c>
      <c r="F362" s="1">
        <f ca="1">IFERROR(__xludf.DUMMYFUNCTION("""COMPUTED_VALUE"""),89)</f>
        <v>89</v>
      </c>
      <c r="G362" s="1">
        <f ca="1">IFERROR(__xludf.DUMMYFUNCTION("""COMPUTED_VALUE"""),345)</f>
        <v>345</v>
      </c>
      <c r="H362" s="1">
        <f ca="1">IFERROR(__xludf.DUMMYFUNCTION("""COMPUTED_VALUE"""),109.7)</f>
        <v>109.7</v>
      </c>
      <c r="I362" s="1">
        <f ca="1">IFERROR(__xludf.DUMMYFUNCTION("""COMPUTED_VALUE"""),268)</f>
        <v>268</v>
      </c>
      <c r="J362" s="1">
        <f ca="1">IFERROR(__xludf.DUMMYFUNCTION("""COMPUTED_VALUE"""),64.1)</f>
        <v>64.099999999999994</v>
      </c>
      <c r="K362" s="1">
        <f ca="1">IFERROR(__xludf.DUMMYFUNCTION("""COMPUTED_VALUE"""),332)</f>
        <v>332</v>
      </c>
      <c r="L362" s="1" t="str">
        <f ca="1">IFERROR(__xludf.DUMMYFUNCTION("""COMPUTED_VALUE"""),"+.050")</f>
        <v>+.050</v>
      </c>
      <c r="M362" s="1">
        <f ca="1">IFERROR(__xludf.DUMMYFUNCTION("""COMPUTED_VALUE"""),60)</f>
        <v>60</v>
      </c>
      <c r="N362" s="1">
        <f ca="1">IFERROR(__xludf.DUMMYFUNCTION("""COMPUTED_VALUE"""),-3.91)</f>
        <v>-3.91</v>
      </c>
      <c r="O362" s="1">
        <f ca="1">IFERROR(__xludf.DUMMYFUNCTION("""COMPUTED_VALUE"""),237)</f>
        <v>237</v>
      </c>
      <c r="P362" s="1">
        <f ca="1">IFERROR(__xludf.DUMMYFUNCTION("""COMPUTED_VALUE"""),102.1)</f>
        <v>102.1</v>
      </c>
      <c r="Q362" s="1">
        <f ca="1">IFERROR(__xludf.DUMMYFUNCTION("""COMPUTED_VALUE"""),281)</f>
        <v>281</v>
      </c>
      <c r="R362" s="1">
        <f ca="1">IFERROR(__xludf.DUMMYFUNCTION("""COMPUTED_VALUE"""),106)</f>
        <v>106</v>
      </c>
      <c r="S362" s="1">
        <f ca="1">IFERROR(__xludf.DUMMYFUNCTION("""COMPUTED_VALUE"""),197)</f>
        <v>197</v>
      </c>
      <c r="T362" s="1" t="str">
        <f ca="1">IFERROR(__xludf.DUMMYFUNCTION("""COMPUTED_VALUE"""),"+10.98")</f>
        <v>+10.98</v>
      </c>
      <c r="U362" s="1">
        <f ca="1">IFERROR(__xludf.DUMMYFUNCTION("""COMPUTED_VALUE"""),7)</f>
        <v>7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IFERROR(__xludf.DUMMYFUNCTION("""COMPUTED_VALUE"""),"Grambling St.")</f>
        <v>Grambling St.</v>
      </c>
      <c r="C363" s="1" t="str">
        <f ca="1">IFERROR(__xludf.DUMMYFUNCTION("""COMPUTED_VALUE"""),"SWAC")</f>
        <v>SWAC</v>
      </c>
      <c r="D363" s="2">
        <f ca="1">IFERROR(__xludf.DUMMYFUNCTION("""COMPUTED_VALUE"""),44736)</f>
        <v>44736</v>
      </c>
      <c r="E363" s="1">
        <f ca="1">IFERROR(__xludf.DUMMYFUNCTION("""COMPUTED_VALUE"""),-21.29)</f>
        <v>-21.29</v>
      </c>
      <c r="F363" s="1">
        <f ca="1">IFERROR(__xludf.DUMMYFUNCTION("""COMPUTED_VALUE"""),88.4)</f>
        <v>88.4</v>
      </c>
      <c r="G363" s="1">
        <f ca="1">IFERROR(__xludf.DUMMYFUNCTION("""COMPUTED_VALUE"""),347)</f>
        <v>347</v>
      </c>
      <c r="H363" s="1">
        <f ca="1">IFERROR(__xludf.DUMMYFUNCTION("""COMPUTED_VALUE"""),109.7)</f>
        <v>109.7</v>
      </c>
      <c r="I363" s="1">
        <f ca="1">IFERROR(__xludf.DUMMYFUNCTION("""COMPUTED_VALUE"""),269)</f>
        <v>269</v>
      </c>
      <c r="J363" s="1">
        <f ca="1">IFERROR(__xludf.DUMMYFUNCTION("""COMPUTED_VALUE"""),65.8)</f>
        <v>65.8</v>
      </c>
      <c r="K363" s="1">
        <f ca="1">IFERROR(__xludf.DUMMYFUNCTION("""COMPUTED_VALUE"""),291)</f>
        <v>291</v>
      </c>
      <c r="L363" s="1">
        <f ca="1">IFERROR(__xludf.DUMMYFUNCTION("""COMPUTED_VALUE"""),-0.035)</f>
        <v>-3.5000000000000003E-2</v>
      </c>
      <c r="M363" s="1">
        <f ca="1">IFERROR(__xludf.DUMMYFUNCTION("""COMPUTED_VALUE"""),266)</f>
        <v>266</v>
      </c>
      <c r="N363" s="1">
        <f ca="1">IFERROR(__xludf.DUMMYFUNCTION("""COMPUTED_VALUE"""),-7.5)</f>
        <v>-7.5</v>
      </c>
      <c r="O363" s="1">
        <f ca="1">IFERROR(__xludf.DUMMYFUNCTION("""COMPUTED_VALUE"""),320)</f>
        <v>320</v>
      </c>
      <c r="P363" s="1">
        <f ca="1">IFERROR(__xludf.DUMMYFUNCTION("""COMPUTED_VALUE"""),99.3)</f>
        <v>99.3</v>
      </c>
      <c r="Q363" s="1">
        <f ca="1">IFERROR(__xludf.DUMMYFUNCTION("""COMPUTED_VALUE"""),337)</f>
        <v>337</v>
      </c>
      <c r="R363" s="1">
        <f ca="1">IFERROR(__xludf.DUMMYFUNCTION("""COMPUTED_VALUE"""),106.8)</f>
        <v>106.8</v>
      </c>
      <c r="S363" s="1">
        <f ca="1">IFERROR(__xludf.DUMMYFUNCTION("""COMPUTED_VALUE"""),233)</f>
        <v>233</v>
      </c>
      <c r="T363" s="1" t="str">
        <f ca="1">IFERROR(__xludf.DUMMYFUNCTION("""COMPUTED_VALUE"""),"+6.54")</f>
        <v>+6.54</v>
      </c>
      <c r="U363" s="1">
        <f ca="1">IFERROR(__xludf.DUMMYFUNCTION("""COMPUTED_VALUE"""),23)</f>
        <v>23</v>
      </c>
    </row>
    <row r="364" spans="1:21" ht="13" x14ac:dyDescent="0.15">
      <c r="A364" s="1">
        <f ca="1">IFERROR(__xludf.DUMMYFUNCTION("""COMPUTED_VALUE"""),346)</f>
        <v>346</v>
      </c>
      <c r="B364" s="1" t="str">
        <f ca="1">IFERROR(__xludf.DUMMYFUNCTION("""COMPUTED_VALUE"""),"Bryant")</f>
        <v>Bryant</v>
      </c>
      <c r="C364" s="1" t="str">
        <f ca="1">IFERROR(__xludf.DUMMYFUNCTION("""COMPUTED_VALUE"""),"NEC")</f>
        <v>NEC</v>
      </c>
      <c r="D364" s="2">
        <f ca="1">IFERROR(__xludf.DUMMYFUNCTION("""COMPUTED_VALUE"""),44796)</f>
        <v>44796</v>
      </c>
      <c r="E364" s="1">
        <f ca="1">IFERROR(__xludf.DUMMYFUNCTION("""COMPUTED_VALUE"""),-21.7)</f>
        <v>-21.7</v>
      </c>
      <c r="F364" s="1">
        <f ca="1">IFERROR(__xludf.DUMMYFUNCTION("""COMPUTED_VALUE"""),93.2)</f>
        <v>93.2</v>
      </c>
      <c r="G364" s="1">
        <f ca="1">IFERROR(__xludf.DUMMYFUNCTION("""COMPUTED_VALUE"""),332)</f>
        <v>332</v>
      </c>
      <c r="H364" s="1">
        <f ca="1">IFERROR(__xludf.DUMMYFUNCTION("""COMPUTED_VALUE"""),114.9)</f>
        <v>114.9</v>
      </c>
      <c r="I364" s="1">
        <f ca="1">IFERROR(__xludf.DUMMYFUNCTION("""COMPUTED_VALUE"""),333)</f>
        <v>333</v>
      </c>
      <c r="J364" s="1">
        <f ca="1">IFERROR(__xludf.DUMMYFUNCTION("""COMPUTED_VALUE"""),67.4)</f>
        <v>67.400000000000006</v>
      </c>
      <c r="K364" s="1">
        <f ca="1">IFERROR(__xludf.DUMMYFUNCTION("""COMPUTED_VALUE"""),215)</f>
        <v>215</v>
      </c>
      <c r="L364" s="1" t="str">
        <f ca="1">IFERROR(__xludf.DUMMYFUNCTION("""COMPUTED_VALUE"""),"+.023")</f>
        <v>+.023</v>
      </c>
      <c r="M364" s="1">
        <f ca="1">IFERROR(__xludf.DUMMYFUNCTION("""COMPUTED_VALUE"""),115)</f>
        <v>115</v>
      </c>
      <c r="N364" s="1">
        <f ca="1">IFERROR(__xludf.DUMMYFUNCTION("""COMPUTED_VALUE"""),-7.22)</f>
        <v>-7.22</v>
      </c>
      <c r="O364" s="1">
        <f ca="1">IFERROR(__xludf.DUMMYFUNCTION("""COMPUTED_VALUE"""),315)</f>
        <v>315</v>
      </c>
      <c r="P364" s="1">
        <f ca="1">IFERROR(__xludf.DUMMYFUNCTION("""COMPUTED_VALUE"""),100.3)</f>
        <v>100.3</v>
      </c>
      <c r="Q364" s="1">
        <f ca="1">IFERROR(__xludf.DUMMYFUNCTION("""COMPUTED_VALUE"""),326)</f>
        <v>326</v>
      </c>
      <c r="R364" s="1">
        <f ca="1">IFERROR(__xludf.DUMMYFUNCTION("""COMPUTED_VALUE"""),107.5)</f>
        <v>107.5</v>
      </c>
      <c r="S364" s="1">
        <f ca="1">IFERROR(__xludf.DUMMYFUNCTION("""COMPUTED_VALUE"""),265)</f>
        <v>265</v>
      </c>
      <c r="T364" s="1" t="str">
        <f ca="1">IFERROR(__xludf.DUMMYFUNCTION("""COMPUTED_VALUE"""),"+4.30")</f>
        <v>+4.30</v>
      </c>
      <c r="U364" s="1">
        <f ca="1">IFERROR(__xludf.DUMMYFUNCTION("""COMPUTED_VALUE"""),51)</f>
        <v>51</v>
      </c>
    </row>
    <row r="365" spans="1:21" ht="13" x14ac:dyDescent="0.15">
      <c r="A365" s="1">
        <f ca="1">IFERROR(__xludf.DUMMYFUNCTION("""COMPUTED_VALUE"""),347)</f>
        <v>347</v>
      </c>
      <c r="B365" s="1" t="str">
        <f ca="1">IFERROR(__xludf.DUMMYFUNCTION("""COMPUTED_VALUE"""),"Chicago St.")</f>
        <v>Chicago St.</v>
      </c>
      <c r="C365" s="1" t="str">
        <f ca="1">IFERROR(__xludf.DUMMYFUNCTION("""COMPUTED_VALUE"""),"WAC")</f>
        <v>WAC</v>
      </c>
      <c r="D365" s="2">
        <f ca="1">IFERROR(__xludf.DUMMYFUNCTION("""COMPUTED_VALUE"""),44679)</f>
        <v>44679</v>
      </c>
      <c r="E365" s="1">
        <f ca="1">IFERROR(__xludf.DUMMYFUNCTION("""COMPUTED_VALUE"""),-22.21)</f>
        <v>-22.21</v>
      </c>
      <c r="F365" s="1">
        <f ca="1">IFERROR(__xludf.DUMMYFUNCTION("""COMPUTED_VALUE"""),91.8)</f>
        <v>91.8</v>
      </c>
      <c r="G365" s="1">
        <f ca="1">IFERROR(__xludf.DUMMYFUNCTION("""COMPUTED_VALUE"""),338)</f>
        <v>338</v>
      </c>
      <c r="H365" s="1">
        <f ca="1">IFERROR(__xludf.DUMMYFUNCTION("""COMPUTED_VALUE"""),114)</f>
        <v>114</v>
      </c>
      <c r="I365" s="1">
        <f ca="1">IFERROR(__xludf.DUMMYFUNCTION("""COMPUTED_VALUE"""),327)</f>
        <v>327</v>
      </c>
      <c r="J365" s="1">
        <f ca="1">IFERROR(__xludf.DUMMYFUNCTION("""COMPUTED_VALUE"""),69)</f>
        <v>69</v>
      </c>
      <c r="K365" s="1">
        <f ca="1">IFERROR(__xludf.DUMMYFUNCTION("""COMPUTED_VALUE"""),118)</f>
        <v>118</v>
      </c>
      <c r="L365" s="1">
        <f ca="1">IFERROR(__xludf.DUMMYFUNCTION("""COMPUTED_VALUE"""),-0.051)</f>
        <v>-5.0999999999999997E-2</v>
      </c>
      <c r="M365" s="1">
        <f ca="1">IFERROR(__xludf.DUMMYFUNCTION("""COMPUTED_VALUE"""),293)</f>
        <v>293</v>
      </c>
      <c r="N365" s="1">
        <f ca="1">IFERROR(__xludf.DUMMYFUNCTION("""COMPUTED_VALUE"""),-0.39)</f>
        <v>-0.39</v>
      </c>
      <c r="O365" s="1">
        <f ca="1">IFERROR(__xludf.DUMMYFUNCTION("""COMPUTED_VALUE"""),158)</f>
        <v>158</v>
      </c>
      <c r="P365" s="1">
        <f ca="1">IFERROR(__xludf.DUMMYFUNCTION("""COMPUTED_VALUE"""),103.9)</f>
        <v>103.9</v>
      </c>
      <c r="Q365" s="1">
        <f ca="1">IFERROR(__xludf.DUMMYFUNCTION("""COMPUTED_VALUE"""),201)</f>
        <v>201</v>
      </c>
      <c r="R365" s="1">
        <f ca="1">IFERROR(__xludf.DUMMYFUNCTION("""COMPUTED_VALUE"""),104.3)</f>
        <v>104.3</v>
      </c>
      <c r="S365" s="1">
        <f ca="1">IFERROR(__xludf.DUMMYFUNCTION("""COMPUTED_VALUE"""),131)</f>
        <v>131</v>
      </c>
      <c r="T365" s="1" t="str">
        <f ca="1">IFERROR(__xludf.DUMMYFUNCTION("""COMPUTED_VALUE"""),"+4.42")</f>
        <v>+4.42</v>
      </c>
      <c r="U365" s="1">
        <f ca="1">IFERROR(__xludf.DUMMYFUNCTION("""COMPUTED_VALUE"""),48)</f>
        <v>48</v>
      </c>
    </row>
    <row r="366" spans="1:21" ht="13" x14ac:dyDescent="0.15">
      <c r="A366" s="1">
        <f ca="1">IFERROR(__xludf.DUMMYFUNCTION("""COMPUTED_VALUE"""),348)</f>
        <v>348</v>
      </c>
      <c r="B366" s="1" t="str">
        <f ca="1">IFERROR(__xludf.DUMMYFUNCTION("""COMPUTED_VALUE"""),"UT Rio Grande Valley")</f>
        <v>UT Rio Grande Valley</v>
      </c>
      <c r="C366" s="1" t="str">
        <f ca="1">IFERROR(__xludf.DUMMYFUNCTION("""COMPUTED_VALUE"""),"WAC")</f>
        <v>WAC</v>
      </c>
      <c r="D366" s="2">
        <f ca="1">IFERROR(__xludf.DUMMYFUNCTION("""COMPUTED_VALUE"""),44795)</f>
        <v>44795</v>
      </c>
      <c r="E366" s="1">
        <f ca="1">IFERROR(__xludf.DUMMYFUNCTION("""COMPUTED_VALUE"""),-22.36)</f>
        <v>-22.36</v>
      </c>
      <c r="F366" s="1">
        <f ca="1">IFERROR(__xludf.DUMMYFUNCTION("""COMPUTED_VALUE"""),95.1)</f>
        <v>95.1</v>
      </c>
      <c r="G366" s="1">
        <f ca="1">IFERROR(__xludf.DUMMYFUNCTION("""COMPUTED_VALUE"""),322)</f>
        <v>322</v>
      </c>
      <c r="H366" s="1">
        <f ca="1">IFERROR(__xludf.DUMMYFUNCTION("""COMPUTED_VALUE"""),117.4)</f>
        <v>117.4</v>
      </c>
      <c r="I366" s="1">
        <f ca="1">IFERROR(__xludf.DUMMYFUNCTION("""COMPUTED_VALUE"""),345)</f>
        <v>345</v>
      </c>
      <c r="J366" s="1">
        <f ca="1">IFERROR(__xludf.DUMMYFUNCTION("""COMPUTED_VALUE"""),67.5)</f>
        <v>67.5</v>
      </c>
      <c r="K366" s="1">
        <f ca="1">IFERROR(__xludf.DUMMYFUNCTION("""COMPUTED_VALUE"""),209)</f>
        <v>209</v>
      </c>
      <c r="L366" s="1" t="str">
        <f ca="1">IFERROR(__xludf.DUMMYFUNCTION("""COMPUTED_VALUE"""),"+.037")</f>
        <v>+.037</v>
      </c>
      <c r="M366" s="1">
        <f ca="1">IFERROR(__xludf.DUMMYFUNCTION("""COMPUTED_VALUE"""),86)</f>
        <v>86</v>
      </c>
      <c r="N366" s="1">
        <f ca="1">IFERROR(__xludf.DUMMYFUNCTION("""COMPUTED_VALUE"""),-4.42)</f>
        <v>-4.42</v>
      </c>
      <c r="O366" s="1">
        <f ca="1">IFERROR(__xludf.DUMMYFUNCTION("""COMPUTED_VALUE"""),254)</f>
        <v>254</v>
      </c>
      <c r="P366" s="1">
        <f ca="1">IFERROR(__xludf.DUMMYFUNCTION("""COMPUTED_VALUE"""),102)</f>
        <v>102</v>
      </c>
      <c r="Q366" s="1">
        <f ca="1">IFERROR(__xludf.DUMMYFUNCTION("""COMPUTED_VALUE"""),283)</f>
        <v>283</v>
      </c>
      <c r="R366" s="1">
        <f ca="1">IFERROR(__xludf.DUMMYFUNCTION("""COMPUTED_VALUE"""),106.5)</f>
        <v>106.5</v>
      </c>
      <c r="S366" s="1">
        <f ca="1">IFERROR(__xludf.DUMMYFUNCTION("""COMPUTED_VALUE"""),218)</f>
        <v>218</v>
      </c>
      <c r="T366" s="1">
        <f ca="1">IFERROR(__xludf.DUMMYFUNCTION("""COMPUTED_VALUE"""),-1.75)</f>
        <v>-1.75</v>
      </c>
      <c r="U366" s="1">
        <f ca="1">IFERROR(__xludf.DUMMYFUNCTION("""COMPUTED_VALUE"""),214)</f>
        <v>214</v>
      </c>
    </row>
    <row r="367" spans="1:21" ht="13" x14ac:dyDescent="0.15">
      <c r="A367" s="1">
        <f ca="1">IFERROR(__xludf.DUMMYFUNCTION("""COMPUTED_VALUE"""),349)</f>
        <v>349</v>
      </c>
      <c r="B367" s="1" t="str">
        <f ca="1">IFERROR(__xludf.DUMMYFUNCTION("""COMPUTED_VALUE"""),"Florida A&amp;M")</f>
        <v>Florida A&amp;M</v>
      </c>
      <c r="C367" s="1" t="str">
        <f ca="1">IFERROR(__xludf.DUMMYFUNCTION("""COMPUTED_VALUE"""),"MEAC")</f>
        <v>MEAC</v>
      </c>
      <c r="D367" s="2">
        <f ca="1">IFERROR(__xludf.DUMMYFUNCTION("""COMPUTED_VALUE"""),44794)</f>
        <v>44794</v>
      </c>
      <c r="E367" s="1">
        <f ca="1">IFERROR(__xludf.DUMMYFUNCTION("""COMPUTED_VALUE"""),-24.58)</f>
        <v>-24.58</v>
      </c>
      <c r="F367" s="1">
        <f ca="1">IFERROR(__xludf.DUMMYFUNCTION("""COMPUTED_VALUE"""),83.7)</f>
        <v>83.7</v>
      </c>
      <c r="G367" s="1">
        <f ca="1">IFERROR(__xludf.DUMMYFUNCTION("""COMPUTED_VALUE"""),351)</f>
        <v>351</v>
      </c>
      <c r="H367" s="1">
        <f ca="1">IFERROR(__xludf.DUMMYFUNCTION("""COMPUTED_VALUE"""),108.3)</f>
        <v>108.3</v>
      </c>
      <c r="I367" s="1">
        <f ca="1">IFERROR(__xludf.DUMMYFUNCTION("""COMPUTED_VALUE"""),239)</f>
        <v>239</v>
      </c>
      <c r="J367" s="1">
        <f ca="1">IFERROR(__xludf.DUMMYFUNCTION("""COMPUTED_VALUE"""),69.4)</f>
        <v>69.400000000000006</v>
      </c>
      <c r="K367" s="1">
        <f ca="1">IFERROR(__xludf.DUMMYFUNCTION("""COMPUTED_VALUE"""),106)</f>
        <v>106</v>
      </c>
      <c r="L367" s="1" t="str">
        <f ca="1">IFERROR(__xludf.DUMMYFUNCTION("""COMPUTED_VALUE"""),"+.041")</f>
        <v>+.041</v>
      </c>
      <c r="M367" s="1">
        <f ca="1">IFERROR(__xludf.DUMMYFUNCTION("""COMPUTED_VALUE"""),80)</f>
        <v>80</v>
      </c>
      <c r="N367" s="1">
        <f ca="1">IFERROR(__xludf.DUMMYFUNCTION("""COMPUTED_VALUE"""),-11.11)</f>
        <v>-11.11</v>
      </c>
      <c r="O367" s="1">
        <f ca="1">IFERROR(__xludf.DUMMYFUNCTION("""COMPUTED_VALUE"""),349)</f>
        <v>349</v>
      </c>
      <c r="P367" s="1">
        <f ca="1">IFERROR(__xludf.DUMMYFUNCTION("""COMPUTED_VALUE"""),99.4)</f>
        <v>99.4</v>
      </c>
      <c r="Q367" s="1">
        <f ca="1">IFERROR(__xludf.DUMMYFUNCTION("""COMPUTED_VALUE"""),336)</f>
        <v>336</v>
      </c>
      <c r="R367" s="1">
        <f ca="1">IFERROR(__xludf.DUMMYFUNCTION("""COMPUTED_VALUE"""),110.5)</f>
        <v>110.5</v>
      </c>
      <c r="S367" s="1">
        <f ca="1">IFERROR(__xludf.DUMMYFUNCTION("""COMPUTED_VALUE"""),351)</f>
        <v>351</v>
      </c>
      <c r="T367" s="1">
        <f ca="1">IFERROR(__xludf.DUMMYFUNCTION("""COMPUTED_VALUE"""),-4.23)</f>
        <v>-4.2300000000000004</v>
      </c>
      <c r="U367" s="1">
        <f ca="1">IFERROR(__xludf.DUMMYFUNCTION("""COMPUTED_VALUE"""),285)</f>
        <v>285</v>
      </c>
    </row>
    <row r="368" spans="1:21" ht="13" x14ac:dyDescent="0.15">
      <c r="A368" s="1">
        <f ca="1">IFERROR(__xludf.DUMMYFUNCTION("""COMPUTED_VALUE"""),350)</f>
        <v>350</v>
      </c>
      <c r="B368" s="1" t="str">
        <f ca="1">IFERROR(__xludf.DUMMYFUNCTION("""COMPUTED_VALUE"""),"Delaware St.")</f>
        <v>Delaware St.</v>
      </c>
      <c r="C368" s="1" t="str">
        <f ca="1">IFERROR(__xludf.DUMMYFUNCTION("""COMPUTED_VALUE"""),"MEAC")</f>
        <v>MEAC</v>
      </c>
      <c r="D368" s="2">
        <f ca="1">IFERROR(__xludf.DUMMYFUNCTION("""COMPUTED_VALUE"""),44767)</f>
        <v>44767</v>
      </c>
      <c r="E368" s="1">
        <f ca="1">IFERROR(__xludf.DUMMYFUNCTION("""COMPUTED_VALUE"""),-24.71)</f>
        <v>-24.71</v>
      </c>
      <c r="F368" s="1">
        <f ca="1">IFERROR(__xludf.DUMMYFUNCTION("""COMPUTED_VALUE"""),88.5)</f>
        <v>88.5</v>
      </c>
      <c r="G368" s="1">
        <f ca="1">IFERROR(__xludf.DUMMYFUNCTION("""COMPUTED_VALUE"""),346)</f>
        <v>346</v>
      </c>
      <c r="H368" s="1">
        <f ca="1">IFERROR(__xludf.DUMMYFUNCTION("""COMPUTED_VALUE"""),113.3)</f>
        <v>113.3</v>
      </c>
      <c r="I368" s="1">
        <f ca="1">IFERROR(__xludf.DUMMYFUNCTION("""COMPUTED_VALUE"""),321)</f>
        <v>321</v>
      </c>
      <c r="J368" s="1">
        <f ca="1">IFERROR(__xludf.DUMMYFUNCTION("""COMPUTED_VALUE"""),66.2)</f>
        <v>66.2</v>
      </c>
      <c r="K368" s="1">
        <f ca="1">IFERROR(__xludf.DUMMYFUNCTION("""COMPUTED_VALUE"""),266)</f>
        <v>266</v>
      </c>
      <c r="L368" s="1">
        <f ca="1">IFERROR(__xludf.DUMMYFUNCTION("""COMPUTED_VALUE"""),-0.005)</f>
        <v>-5.0000000000000001E-3</v>
      </c>
      <c r="M368" s="1">
        <f ca="1">IFERROR(__xludf.DUMMYFUNCTION("""COMPUTED_VALUE"""),187)</f>
        <v>187</v>
      </c>
      <c r="N368" s="1">
        <f ca="1">IFERROR(__xludf.DUMMYFUNCTION("""COMPUTED_VALUE"""),-7.32)</f>
        <v>-7.32</v>
      </c>
      <c r="O368" s="1">
        <f ca="1">IFERROR(__xludf.DUMMYFUNCTION("""COMPUTED_VALUE"""),317)</f>
        <v>317</v>
      </c>
      <c r="P368" s="1">
        <f ca="1">IFERROR(__xludf.DUMMYFUNCTION("""COMPUTED_VALUE"""),100.4)</f>
        <v>100.4</v>
      </c>
      <c r="Q368" s="1">
        <f ca="1">IFERROR(__xludf.DUMMYFUNCTION("""COMPUTED_VALUE"""),322)</f>
        <v>322</v>
      </c>
      <c r="R368" s="1">
        <f ca="1">IFERROR(__xludf.DUMMYFUNCTION("""COMPUTED_VALUE"""),107.8)</f>
        <v>107.8</v>
      </c>
      <c r="S368" s="1">
        <f ca="1">IFERROR(__xludf.DUMMYFUNCTION("""COMPUTED_VALUE"""),283)</f>
        <v>283</v>
      </c>
      <c r="T368" s="1" t="str">
        <f ca="1">IFERROR(__xludf.DUMMYFUNCTION("""COMPUTED_VALUE"""),"+5.28")</f>
        <v>+5.28</v>
      </c>
      <c r="U368" s="1">
        <f ca="1">IFERROR(__xludf.DUMMYFUNCTION("""COMPUTED_VALUE"""),33)</f>
        <v>33</v>
      </c>
    </row>
    <row r="369" spans="1:21" ht="13" x14ac:dyDescent="0.15">
      <c r="A369" s="1">
        <f ca="1">IFERROR(__xludf.DUMMYFUNCTION("""COMPUTED_VALUE"""),351)</f>
        <v>351</v>
      </c>
      <c r="B369" s="1" t="str">
        <f ca="1">IFERROR(__xludf.DUMMYFUNCTION("""COMPUTED_VALUE"""),"Central Connecticut")</f>
        <v>Central Connecticut</v>
      </c>
      <c r="C369" s="1" t="str">
        <f ca="1">IFERROR(__xludf.DUMMYFUNCTION("""COMPUTED_VALUE"""),"NEC")</f>
        <v>NEC</v>
      </c>
      <c r="D369" s="2">
        <f ca="1">IFERROR(__xludf.DUMMYFUNCTION("""COMPUTED_VALUE"""),44676)</f>
        <v>44676</v>
      </c>
      <c r="E369" s="1">
        <f ca="1">IFERROR(__xludf.DUMMYFUNCTION("""COMPUTED_VALUE"""),-26.79)</f>
        <v>-26.79</v>
      </c>
      <c r="F369" s="1">
        <f ca="1">IFERROR(__xludf.DUMMYFUNCTION("""COMPUTED_VALUE"""),92.5)</f>
        <v>92.5</v>
      </c>
      <c r="G369" s="1">
        <f ca="1">IFERROR(__xludf.DUMMYFUNCTION("""COMPUTED_VALUE"""),333)</f>
        <v>333</v>
      </c>
      <c r="H369" s="1">
        <f ca="1">IFERROR(__xludf.DUMMYFUNCTION("""COMPUTED_VALUE"""),119.3)</f>
        <v>119.3</v>
      </c>
      <c r="I369" s="1">
        <f ca="1">IFERROR(__xludf.DUMMYFUNCTION("""COMPUTED_VALUE"""),351)</f>
        <v>351</v>
      </c>
      <c r="J369" s="1">
        <f ca="1">IFERROR(__xludf.DUMMYFUNCTION("""COMPUTED_VALUE"""),67)</f>
        <v>67</v>
      </c>
      <c r="K369" s="1">
        <f ca="1">IFERROR(__xludf.DUMMYFUNCTION("""COMPUTED_VALUE"""),235)</f>
        <v>235</v>
      </c>
      <c r="L369" s="1">
        <f ca="1">IFERROR(__xludf.DUMMYFUNCTION("""COMPUTED_VALUE"""),-0.005)</f>
        <v>-5.0000000000000001E-3</v>
      </c>
      <c r="M369" s="1">
        <f ca="1">IFERROR(__xludf.DUMMYFUNCTION("""COMPUTED_VALUE"""),185)</f>
        <v>185</v>
      </c>
      <c r="N369" s="1">
        <f ca="1">IFERROR(__xludf.DUMMYFUNCTION("""COMPUTED_VALUE"""),-10.55)</f>
        <v>-10.55</v>
      </c>
      <c r="O369" s="1">
        <f ca="1">IFERROR(__xludf.DUMMYFUNCTION("""COMPUTED_VALUE"""),347)</f>
        <v>347</v>
      </c>
      <c r="P369" s="1">
        <f ca="1">IFERROR(__xludf.DUMMYFUNCTION("""COMPUTED_VALUE"""),98.2)</f>
        <v>98.2</v>
      </c>
      <c r="Q369" s="1">
        <f ca="1">IFERROR(__xludf.DUMMYFUNCTION("""COMPUTED_VALUE"""),350)</f>
        <v>350</v>
      </c>
      <c r="R369" s="1">
        <f ca="1">IFERROR(__xludf.DUMMYFUNCTION("""COMPUTED_VALUE"""),108.7)</f>
        <v>108.7</v>
      </c>
      <c r="S369" s="1">
        <f ca="1">IFERROR(__xludf.DUMMYFUNCTION("""COMPUTED_VALUE"""),326)</f>
        <v>326</v>
      </c>
      <c r="T369" s="1">
        <f ca="1">IFERROR(__xludf.DUMMYFUNCTION("""COMPUTED_VALUE"""),-6.75)</f>
        <v>-6.75</v>
      </c>
      <c r="U369" s="1">
        <f ca="1">IFERROR(__xludf.DUMMYFUNCTION("""COMPUTED_VALUE"""),321)</f>
        <v>321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U369"/>
  <sheetViews>
    <sheetView topLeftCell="E1" workbookViewId="0">
      <selection activeCell="E2" sqref="A2:XFD2"/>
    </sheetView>
  </sheetViews>
  <sheetFormatPr baseColWidth="10" defaultColWidth="12.6640625" defaultRowHeight="15.75" customHeight="1" x14ac:dyDescent="0.15"/>
  <sheetData>
    <row r="1" spans="1:21" ht="13" x14ac:dyDescent="0.15">
      <c r="A1" s="3" t="str">
        <f ca="1">IFERROR(__xludf.DUMMYFUNCTION("IMPORThtML(""https://kenpom.com/index.php?y=2017"",""table"",1)"),"")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2</v>
      </c>
      <c r="H2" s="1" t="str">
        <f ca="1">IFERROR(__xludf.DUMMYFUNCTION("""COMPUTED_VALUE"""),"AdjD")</f>
        <v>AdjD</v>
      </c>
      <c r="I2" s="1" t="s">
        <v>3</v>
      </c>
      <c r="J2" s="1" t="str">
        <f ca="1">IFERROR(__xludf.DUMMYFUNCTION("""COMPUTED_VALUE"""),"AdjT")</f>
        <v>AdjT</v>
      </c>
      <c r="K2" s="1" t="s">
        <v>4</v>
      </c>
      <c r="L2" s="1" t="str">
        <f ca="1">IFERROR(__xludf.DUMMYFUNCTION("""COMPUTED_VALUE"""),"Luck")</f>
        <v>Luck</v>
      </c>
      <c r="M2" s="1" t="s">
        <v>5</v>
      </c>
      <c r="N2" s="1" t="s">
        <v>0</v>
      </c>
      <c r="O2" s="1" t="s">
        <v>6</v>
      </c>
      <c r="P2" s="1" t="str">
        <f ca="1">IFERROR(__xludf.DUMMYFUNCTION("""COMPUTED_VALUE"""),"OppO")</f>
        <v>OppO</v>
      </c>
      <c r="Q2" s="1" t="s">
        <v>7</v>
      </c>
      <c r="R2" s="1" t="str">
        <f ca="1">IFERROR(__xludf.DUMMYFUNCTION("""COMPUTED_VALUE"""),"OppD")</f>
        <v>OppD</v>
      </c>
      <c r="S2" s="1" t="s">
        <v>8</v>
      </c>
      <c r="T2" s="1" t="s">
        <v>1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IFERROR(__xludf.DUMMYFUNCTION("""COMPUTED_VALUE"""),"Gonzaga1")</f>
        <v>Gonzaga1</v>
      </c>
      <c r="C3" s="1" t="str">
        <f ca="1">IFERROR(__xludf.DUMMYFUNCTION("""COMPUTED_VALUE"""),"WCC")</f>
        <v>WCC</v>
      </c>
      <c r="D3" s="1" t="str">
        <f ca="1">IFERROR(__xludf.DUMMYFUNCTION("""COMPUTED_VALUE"""),"37-2")</f>
        <v>37-2</v>
      </c>
      <c r="E3" s="1" t="str">
        <f ca="1">IFERROR(__xludf.DUMMYFUNCTION("""COMPUTED_VALUE"""),"+32.05")</f>
        <v>+32.05</v>
      </c>
      <c r="F3" s="1">
        <f ca="1">IFERROR(__xludf.DUMMYFUNCTION("""COMPUTED_VALUE"""),118.4)</f>
        <v>118.4</v>
      </c>
      <c r="G3" s="1">
        <f ca="1">IFERROR(__xludf.DUMMYFUNCTION("""COMPUTED_VALUE"""),16)</f>
        <v>16</v>
      </c>
      <c r="H3" s="1">
        <f ca="1">IFERROR(__xludf.DUMMYFUNCTION("""COMPUTED_VALUE"""),86.3)</f>
        <v>86.3</v>
      </c>
      <c r="I3" s="1">
        <f ca="1">IFERROR(__xludf.DUMMYFUNCTION("""COMPUTED_VALUE"""),1)</f>
        <v>1</v>
      </c>
      <c r="J3" s="1">
        <f ca="1">IFERROR(__xludf.DUMMYFUNCTION("""COMPUTED_VALUE"""),70.1)</f>
        <v>70.099999999999994</v>
      </c>
      <c r="K3" s="1">
        <f ca="1">IFERROR(__xludf.DUMMYFUNCTION("""COMPUTED_VALUE"""),76)</f>
        <v>76</v>
      </c>
      <c r="L3" s="1" t="str">
        <f ca="1">IFERROR(__xludf.DUMMYFUNCTION("""COMPUTED_VALUE"""),"+.020")</f>
        <v>+.020</v>
      </c>
      <c r="M3" s="1">
        <f ca="1">IFERROR(__xludf.DUMMYFUNCTION("""COMPUTED_VALUE"""),133)</f>
        <v>133</v>
      </c>
      <c r="N3" s="1" t="str">
        <f ca="1">IFERROR(__xludf.DUMMYFUNCTION("""COMPUTED_VALUE"""),"+2.99")</f>
        <v>+2.99</v>
      </c>
      <c r="O3" s="1">
        <f ca="1">IFERROR(__xludf.DUMMYFUNCTION("""COMPUTED_VALUE"""),89)</f>
        <v>89</v>
      </c>
      <c r="P3" s="1">
        <f ca="1">IFERROR(__xludf.DUMMYFUNCTION("""COMPUTED_VALUE"""),106.2)</f>
        <v>106.2</v>
      </c>
      <c r="Q3" s="1">
        <f ca="1">IFERROR(__xludf.DUMMYFUNCTION("""COMPUTED_VALUE"""),84)</f>
        <v>84</v>
      </c>
      <c r="R3" s="1">
        <f ca="1">IFERROR(__xludf.DUMMYFUNCTION("""COMPUTED_VALUE"""),103.3)</f>
        <v>103.3</v>
      </c>
      <c r="S3" s="1">
        <f ca="1">IFERROR(__xludf.DUMMYFUNCTION("""COMPUTED_VALUE"""),105)</f>
        <v>105</v>
      </c>
      <c r="T3" s="1" t="str">
        <f ca="1">IFERROR(__xludf.DUMMYFUNCTION("""COMPUTED_VALUE"""),"+1.01")</f>
        <v>+1.01</v>
      </c>
      <c r="U3" s="1">
        <f ca="1">IFERROR(__xludf.DUMMYFUNCTION("""COMPUTED_VALUE"""),127)</f>
        <v>127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IFERROR(__xludf.DUMMYFUNCTION("""COMPUTED_VALUE"""),"Villanova1")</f>
        <v>Villanova1</v>
      </c>
      <c r="C4" s="1" t="str">
        <f ca="1">IFERROR(__xludf.DUMMYFUNCTION("""COMPUTED_VALUE"""),"BE")</f>
        <v>BE</v>
      </c>
      <c r="D4" s="1" t="str">
        <f ca="1">IFERROR(__xludf.DUMMYFUNCTION("""COMPUTED_VALUE"""),"32-4")</f>
        <v>32-4</v>
      </c>
      <c r="E4" s="1" t="str">
        <f ca="1">IFERROR(__xludf.DUMMYFUNCTION("""COMPUTED_VALUE"""),"+29.88")</f>
        <v>+29.88</v>
      </c>
      <c r="F4" s="1">
        <f ca="1">IFERROR(__xludf.DUMMYFUNCTION("""COMPUTED_VALUE"""),122.4)</f>
        <v>122.4</v>
      </c>
      <c r="G4" s="1">
        <f ca="1">IFERROR(__xludf.DUMMYFUNCTION("""COMPUTED_VALUE"""),3)</f>
        <v>3</v>
      </c>
      <c r="H4" s="1">
        <f ca="1">IFERROR(__xludf.DUMMYFUNCTION("""COMPUTED_VALUE"""),92.5)</f>
        <v>92.5</v>
      </c>
      <c r="I4" s="1">
        <f ca="1">IFERROR(__xludf.DUMMYFUNCTION("""COMPUTED_VALUE"""),12)</f>
        <v>12</v>
      </c>
      <c r="J4" s="1">
        <f ca="1">IFERROR(__xludf.DUMMYFUNCTION("""COMPUTED_VALUE"""),64.1)</f>
        <v>64.099999999999994</v>
      </c>
      <c r="K4" s="1">
        <f ca="1">IFERROR(__xludf.DUMMYFUNCTION("""COMPUTED_VALUE"""),324)</f>
        <v>324</v>
      </c>
      <c r="L4" s="1" t="str">
        <f ca="1">IFERROR(__xludf.DUMMYFUNCTION("""COMPUTED_VALUE"""),"+.010")</f>
        <v>+.010</v>
      </c>
      <c r="M4" s="1">
        <f ca="1">IFERROR(__xludf.DUMMYFUNCTION("""COMPUTED_VALUE"""),166)</f>
        <v>166</v>
      </c>
      <c r="N4" s="1" t="str">
        <f ca="1">IFERROR(__xludf.DUMMYFUNCTION("""COMPUTED_VALUE"""),"+9.33")</f>
        <v>+9.33</v>
      </c>
      <c r="O4" s="1">
        <f ca="1">IFERROR(__xludf.DUMMYFUNCTION("""COMPUTED_VALUE"""),33)</f>
        <v>33</v>
      </c>
      <c r="P4" s="1">
        <f ca="1">IFERROR(__xludf.DUMMYFUNCTION("""COMPUTED_VALUE"""),109.8)</f>
        <v>109.8</v>
      </c>
      <c r="Q4" s="1">
        <f ca="1">IFERROR(__xludf.DUMMYFUNCTION("""COMPUTED_VALUE"""),38)</f>
        <v>38</v>
      </c>
      <c r="R4" s="1">
        <f ca="1">IFERROR(__xludf.DUMMYFUNCTION("""COMPUTED_VALUE"""),100.5)</f>
        <v>100.5</v>
      </c>
      <c r="S4" s="1">
        <f ca="1">IFERROR(__xludf.DUMMYFUNCTION("""COMPUTED_VALUE"""),32)</f>
        <v>32</v>
      </c>
      <c r="T4" s="1" t="str">
        <f ca="1">IFERROR(__xludf.DUMMYFUNCTION("""COMPUTED_VALUE"""),"+3.55")</f>
        <v>+3.55</v>
      </c>
      <c r="U4" s="1">
        <f ca="1">IFERROR(__xludf.DUMMYFUNCTION("""COMPUTED_VALUE"""),61)</f>
        <v>61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IFERROR(__xludf.DUMMYFUNCTION("""COMPUTED_VALUE"""),"North Carolina1")</f>
        <v>North Carolina1</v>
      </c>
      <c r="C5" s="1" t="str">
        <f ca="1">IFERROR(__xludf.DUMMYFUNCTION("""COMPUTED_VALUE"""),"ACC")</f>
        <v>ACC</v>
      </c>
      <c r="D5" s="1" t="str">
        <f ca="1">IFERROR(__xludf.DUMMYFUNCTION("""COMPUTED_VALUE"""),"33-7")</f>
        <v>33-7</v>
      </c>
      <c r="E5" s="1" t="str">
        <f ca="1">IFERROR(__xludf.DUMMYFUNCTION("""COMPUTED_VALUE"""),"+28.22")</f>
        <v>+28.22</v>
      </c>
      <c r="F5" s="1">
        <f ca="1">IFERROR(__xludf.DUMMYFUNCTION("""COMPUTED_VALUE"""),120.7)</f>
        <v>120.7</v>
      </c>
      <c r="G5" s="1">
        <f ca="1">IFERROR(__xludf.DUMMYFUNCTION("""COMPUTED_VALUE"""),9)</f>
        <v>9</v>
      </c>
      <c r="H5" s="1">
        <f ca="1">IFERROR(__xludf.DUMMYFUNCTION("""COMPUTED_VALUE"""),92.5)</f>
        <v>92.5</v>
      </c>
      <c r="I5" s="1">
        <f ca="1">IFERROR(__xludf.DUMMYFUNCTION("""COMPUTED_VALUE"""),11)</f>
        <v>11</v>
      </c>
      <c r="J5" s="1">
        <f ca="1">IFERROR(__xludf.DUMMYFUNCTION("""COMPUTED_VALUE"""),71.3)</f>
        <v>71.3</v>
      </c>
      <c r="K5" s="1">
        <f ca="1">IFERROR(__xludf.DUMMYFUNCTION("""COMPUTED_VALUE"""),40)</f>
        <v>40</v>
      </c>
      <c r="L5" s="1" t="str">
        <f ca="1">IFERROR(__xludf.DUMMYFUNCTION("""COMPUTED_VALUE"""),"+.037")</f>
        <v>+.037</v>
      </c>
      <c r="M5" s="1">
        <f ca="1">IFERROR(__xludf.DUMMYFUNCTION("""COMPUTED_VALUE"""),85)</f>
        <v>85</v>
      </c>
      <c r="N5" s="1" t="str">
        <f ca="1">IFERROR(__xludf.DUMMYFUNCTION("""COMPUTED_VALUE"""),"+12.49")</f>
        <v>+12.49</v>
      </c>
      <c r="O5" s="1">
        <f ca="1">IFERROR(__xludf.DUMMYFUNCTION("""COMPUTED_VALUE"""),6)</f>
        <v>6</v>
      </c>
      <c r="P5" s="1">
        <f ca="1">IFERROR(__xludf.DUMMYFUNCTION("""COMPUTED_VALUE"""),112)</f>
        <v>112</v>
      </c>
      <c r="Q5" s="1">
        <f ca="1">IFERROR(__xludf.DUMMYFUNCTION("""COMPUTED_VALUE"""),4)</f>
        <v>4</v>
      </c>
      <c r="R5" s="1">
        <f ca="1">IFERROR(__xludf.DUMMYFUNCTION("""COMPUTED_VALUE"""),99.5)</f>
        <v>99.5</v>
      </c>
      <c r="S5" s="1">
        <f ca="1">IFERROR(__xludf.DUMMYFUNCTION("""COMPUTED_VALUE"""),19)</f>
        <v>19</v>
      </c>
      <c r="T5" s="1" t="str">
        <f ca="1">IFERROR(__xludf.DUMMYFUNCTION("""COMPUTED_VALUE"""),"+3.87")</f>
        <v>+3.87</v>
      </c>
      <c r="U5" s="1">
        <f ca="1">IFERROR(__xludf.DUMMYFUNCTION("""COMPUTED_VALUE"""),53)</f>
        <v>53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IFERROR(__xludf.DUMMYFUNCTION("""COMPUTED_VALUE"""),"Kentucky2")</f>
        <v>Kentucky2</v>
      </c>
      <c r="C6" s="1" t="str">
        <f ca="1">IFERROR(__xludf.DUMMYFUNCTION("""COMPUTED_VALUE"""),"SEC")</f>
        <v>SEC</v>
      </c>
      <c r="D6" s="1" t="str">
        <f ca="1">IFERROR(__xludf.DUMMYFUNCTION("""COMPUTED_VALUE"""),"32-6")</f>
        <v>32-6</v>
      </c>
      <c r="E6" s="1" t="str">
        <f ca="1">IFERROR(__xludf.DUMMYFUNCTION("""COMPUTED_VALUE"""),"+27.72")</f>
        <v>+27.72</v>
      </c>
      <c r="F6" s="1">
        <f ca="1">IFERROR(__xludf.DUMMYFUNCTION("""COMPUTED_VALUE"""),119.1)</f>
        <v>119.1</v>
      </c>
      <c r="G6" s="1">
        <f ca="1">IFERROR(__xludf.DUMMYFUNCTION("""COMPUTED_VALUE"""),12)</f>
        <v>12</v>
      </c>
      <c r="H6" s="1">
        <f ca="1">IFERROR(__xludf.DUMMYFUNCTION("""COMPUTED_VALUE"""),91.4)</f>
        <v>91.4</v>
      </c>
      <c r="I6" s="1">
        <f ca="1">IFERROR(__xludf.DUMMYFUNCTION("""COMPUTED_VALUE"""),7)</f>
        <v>7</v>
      </c>
      <c r="J6" s="1">
        <f ca="1">IFERROR(__xludf.DUMMYFUNCTION("""COMPUTED_VALUE"""),72)</f>
        <v>72</v>
      </c>
      <c r="K6" s="1">
        <f ca="1">IFERROR(__xludf.DUMMYFUNCTION("""COMPUTED_VALUE"""),26)</f>
        <v>26</v>
      </c>
      <c r="L6" s="1" t="str">
        <f ca="1">IFERROR(__xludf.DUMMYFUNCTION("""COMPUTED_VALUE"""),"+.006")</f>
        <v>+.006</v>
      </c>
      <c r="M6" s="1">
        <f ca="1">IFERROR(__xludf.DUMMYFUNCTION("""COMPUTED_VALUE"""),175)</f>
        <v>175</v>
      </c>
      <c r="N6" s="1" t="str">
        <f ca="1">IFERROR(__xludf.DUMMYFUNCTION("""COMPUTED_VALUE"""),"+10.98")</f>
        <v>+10.98</v>
      </c>
      <c r="O6" s="1">
        <f ca="1">IFERROR(__xludf.DUMMYFUNCTION("""COMPUTED_VALUE"""),19)</f>
        <v>19</v>
      </c>
      <c r="P6" s="1">
        <f ca="1">IFERROR(__xludf.DUMMYFUNCTION("""COMPUTED_VALUE"""),110.5)</f>
        <v>110.5</v>
      </c>
      <c r="Q6" s="1">
        <f ca="1">IFERROR(__xludf.DUMMYFUNCTION("""COMPUTED_VALUE"""),24)</f>
        <v>24</v>
      </c>
      <c r="R6" s="1">
        <f ca="1">IFERROR(__xludf.DUMMYFUNCTION("""COMPUTED_VALUE"""),99.5)</f>
        <v>99.5</v>
      </c>
      <c r="S6" s="1">
        <f ca="1">IFERROR(__xludf.DUMMYFUNCTION("""COMPUTED_VALUE"""),15)</f>
        <v>15</v>
      </c>
      <c r="T6" s="1" t="str">
        <f ca="1">IFERROR(__xludf.DUMMYFUNCTION("""COMPUTED_VALUE"""),"+3.74")</f>
        <v>+3.74</v>
      </c>
      <c r="U6" s="1">
        <f ca="1">IFERROR(__xludf.DUMMYFUNCTION("""COMPUTED_VALUE"""),56)</f>
        <v>56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IFERROR(__xludf.DUMMYFUNCTION("""COMPUTED_VALUE"""),"Florida4")</f>
        <v>Florida4</v>
      </c>
      <c r="C7" s="1" t="str">
        <f ca="1">IFERROR(__xludf.DUMMYFUNCTION("""COMPUTED_VALUE"""),"SEC")</f>
        <v>SEC</v>
      </c>
      <c r="D7" s="1" t="str">
        <f ca="1">IFERROR(__xludf.DUMMYFUNCTION("""COMPUTED_VALUE"""),"27-9")</f>
        <v>27-9</v>
      </c>
      <c r="E7" s="1" t="str">
        <f ca="1">IFERROR(__xludf.DUMMYFUNCTION("""COMPUTED_VALUE"""),"+27.50")</f>
        <v>+27.50</v>
      </c>
      <c r="F7" s="1">
        <f ca="1">IFERROR(__xludf.DUMMYFUNCTION("""COMPUTED_VALUE"""),116.9)</f>
        <v>116.9</v>
      </c>
      <c r="G7" s="1">
        <f ca="1">IFERROR(__xludf.DUMMYFUNCTION("""COMPUTED_VALUE"""),25)</f>
        <v>25</v>
      </c>
      <c r="H7" s="1">
        <f ca="1">IFERROR(__xludf.DUMMYFUNCTION("""COMPUTED_VALUE"""),89.5)</f>
        <v>89.5</v>
      </c>
      <c r="I7" s="1">
        <f ca="1">IFERROR(__xludf.DUMMYFUNCTION("""COMPUTED_VALUE"""),5)</f>
        <v>5</v>
      </c>
      <c r="J7" s="1">
        <f ca="1">IFERROR(__xludf.DUMMYFUNCTION("""COMPUTED_VALUE"""),69)</f>
        <v>69</v>
      </c>
      <c r="K7" s="1">
        <f ca="1">IFERROR(__xludf.DUMMYFUNCTION("""COMPUTED_VALUE"""),117)</f>
        <v>117</v>
      </c>
      <c r="L7" s="1">
        <f ca="1">IFERROR(__xludf.DUMMYFUNCTION("""COMPUTED_VALUE"""),-0.041)</f>
        <v>-4.1000000000000002E-2</v>
      </c>
      <c r="M7" s="1">
        <f ca="1">IFERROR(__xludf.DUMMYFUNCTION("""COMPUTED_VALUE"""),286)</f>
        <v>286</v>
      </c>
      <c r="N7" s="1" t="str">
        <f ca="1">IFERROR(__xludf.DUMMYFUNCTION("""COMPUTED_VALUE"""),"+12.46")</f>
        <v>+12.46</v>
      </c>
      <c r="O7" s="1">
        <f ca="1">IFERROR(__xludf.DUMMYFUNCTION("""COMPUTED_VALUE"""),7)</f>
        <v>7</v>
      </c>
      <c r="P7" s="1">
        <f ca="1">IFERROR(__xludf.DUMMYFUNCTION("""COMPUTED_VALUE"""),110.3)</f>
        <v>110.3</v>
      </c>
      <c r="Q7" s="1">
        <f ca="1">IFERROR(__xludf.DUMMYFUNCTION("""COMPUTED_VALUE"""),28)</f>
        <v>28</v>
      </c>
      <c r="R7" s="1">
        <f ca="1">IFERROR(__xludf.DUMMYFUNCTION("""COMPUTED_VALUE"""),97.8)</f>
        <v>97.8</v>
      </c>
      <c r="S7" s="1">
        <f ca="1">IFERROR(__xludf.DUMMYFUNCTION("""COMPUTED_VALUE"""),2)</f>
        <v>2</v>
      </c>
      <c r="T7" s="1" t="str">
        <f ca="1">IFERROR(__xludf.DUMMYFUNCTION("""COMPUTED_VALUE"""),"+8.19")</f>
        <v>+8.19</v>
      </c>
      <c r="U7" s="1">
        <f ca="1">IFERROR(__xludf.DUMMYFUNCTION("""COMPUTED_VALUE"""),15)</f>
        <v>15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IFERROR(__xludf.DUMMYFUNCTION("""COMPUTED_VALUE"""),"Kansas1")</f>
        <v>Kansas1</v>
      </c>
      <c r="C8" s="1" t="str">
        <f ca="1">IFERROR(__xludf.DUMMYFUNCTION("""COMPUTED_VALUE"""),"B12")</f>
        <v>B12</v>
      </c>
      <c r="D8" s="1" t="str">
        <f ca="1">IFERROR(__xludf.DUMMYFUNCTION("""COMPUTED_VALUE"""),"31-5")</f>
        <v>31-5</v>
      </c>
      <c r="E8" s="1" t="str">
        <f ca="1">IFERROR(__xludf.DUMMYFUNCTION("""COMPUTED_VALUE"""),"+27.45")</f>
        <v>+27.45</v>
      </c>
      <c r="F8" s="1">
        <f ca="1">IFERROR(__xludf.DUMMYFUNCTION("""COMPUTED_VALUE"""),121.9)</f>
        <v>121.9</v>
      </c>
      <c r="G8" s="1">
        <f ca="1">IFERROR(__xludf.DUMMYFUNCTION("""COMPUTED_VALUE"""),5)</f>
        <v>5</v>
      </c>
      <c r="H8" s="1">
        <f ca="1">IFERROR(__xludf.DUMMYFUNCTION("""COMPUTED_VALUE"""),94.5)</f>
        <v>94.5</v>
      </c>
      <c r="I8" s="1">
        <f ca="1">IFERROR(__xludf.DUMMYFUNCTION("""COMPUTED_VALUE"""),24)</f>
        <v>24</v>
      </c>
      <c r="J8" s="1">
        <f ca="1">IFERROR(__xludf.DUMMYFUNCTION("""COMPUTED_VALUE"""),70.2)</f>
        <v>70.2</v>
      </c>
      <c r="K8" s="1">
        <f ca="1">IFERROR(__xludf.DUMMYFUNCTION("""COMPUTED_VALUE"""),72)</f>
        <v>72</v>
      </c>
      <c r="L8" s="1" t="str">
        <f ca="1">IFERROR(__xludf.DUMMYFUNCTION("""COMPUTED_VALUE"""),"+.067")</f>
        <v>+.067</v>
      </c>
      <c r="M8" s="1">
        <f ca="1">IFERROR(__xludf.DUMMYFUNCTION("""COMPUTED_VALUE"""),32)</f>
        <v>32</v>
      </c>
      <c r="N8" s="1" t="str">
        <f ca="1">IFERROR(__xludf.DUMMYFUNCTION("""COMPUTED_VALUE"""),"+12.43")</f>
        <v>+12.43</v>
      </c>
      <c r="O8" s="1">
        <f ca="1">IFERROR(__xludf.DUMMYFUNCTION("""COMPUTED_VALUE"""),8)</f>
        <v>8</v>
      </c>
      <c r="P8" s="1">
        <f ca="1">IFERROR(__xludf.DUMMYFUNCTION("""COMPUTED_VALUE"""),111.2)</f>
        <v>111.2</v>
      </c>
      <c r="Q8" s="1">
        <f ca="1">IFERROR(__xludf.DUMMYFUNCTION("""COMPUTED_VALUE"""),10)</f>
        <v>10</v>
      </c>
      <c r="R8" s="1">
        <f ca="1">IFERROR(__xludf.DUMMYFUNCTION("""COMPUTED_VALUE"""),98.8)</f>
        <v>98.8</v>
      </c>
      <c r="S8" s="1">
        <f ca="1">IFERROR(__xludf.DUMMYFUNCTION("""COMPUTED_VALUE"""),8)</f>
        <v>8</v>
      </c>
      <c r="T8" s="1" t="str">
        <f ca="1">IFERROR(__xludf.DUMMYFUNCTION("""COMPUTED_VALUE"""),"+2.39")</f>
        <v>+2.39</v>
      </c>
      <c r="U8" s="1">
        <f ca="1">IFERROR(__xludf.DUMMYFUNCTION("""COMPUTED_VALUE"""),80)</f>
        <v>80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IFERROR(__xludf.DUMMYFUNCTION("""COMPUTED_VALUE"""),"West Virginia4")</f>
        <v>West Virginia4</v>
      </c>
      <c r="C9" s="1" t="str">
        <f ca="1">IFERROR(__xludf.DUMMYFUNCTION("""COMPUTED_VALUE"""),"B12")</f>
        <v>B12</v>
      </c>
      <c r="D9" s="1" t="str">
        <f ca="1">IFERROR(__xludf.DUMMYFUNCTION("""COMPUTED_VALUE"""),"28-9")</f>
        <v>28-9</v>
      </c>
      <c r="E9" s="1" t="str">
        <f ca="1">IFERROR(__xludf.DUMMYFUNCTION("""COMPUTED_VALUE"""),"+27.17")</f>
        <v>+27.17</v>
      </c>
      <c r="F9" s="1">
        <f ca="1">IFERROR(__xludf.DUMMYFUNCTION("""COMPUTED_VALUE"""),116.5)</f>
        <v>116.5</v>
      </c>
      <c r="G9" s="1">
        <f ca="1">IFERROR(__xludf.DUMMYFUNCTION("""COMPUTED_VALUE"""),26)</f>
        <v>26</v>
      </c>
      <c r="H9" s="1">
        <f ca="1">IFERROR(__xludf.DUMMYFUNCTION("""COMPUTED_VALUE"""),89.4)</f>
        <v>89.4</v>
      </c>
      <c r="I9" s="1">
        <f ca="1">IFERROR(__xludf.DUMMYFUNCTION("""COMPUTED_VALUE"""),4)</f>
        <v>4</v>
      </c>
      <c r="J9" s="1">
        <f ca="1">IFERROR(__xludf.DUMMYFUNCTION("""COMPUTED_VALUE"""),69.9)</f>
        <v>69.900000000000006</v>
      </c>
      <c r="K9" s="1">
        <f ca="1">IFERROR(__xludf.DUMMYFUNCTION("""COMPUTED_VALUE"""),84)</f>
        <v>84</v>
      </c>
      <c r="L9" s="1">
        <f ca="1">IFERROR(__xludf.DUMMYFUNCTION("""COMPUTED_VALUE"""),-0.043)</f>
        <v>-4.2999999999999997E-2</v>
      </c>
      <c r="M9" s="1">
        <f ca="1">IFERROR(__xludf.DUMMYFUNCTION("""COMPUTED_VALUE"""),289)</f>
        <v>289</v>
      </c>
      <c r="N9" s="1" t="str">
        <f ca="1">IFERROR(__xludf.DUMMYFUNCTION("""COMPUTED_VALUE"""),"+10.84")</f>
        <v>+10.84</v>
      </c>
      <c r="O9" s="1">
        <f ca="1">IFERROR(__xludf.DUMMYFUNCTION("""COMPUTED_VALUE"""),21)</f>
        <v>21</v>
      </c>
      <c r="P9" s="1">
        <f ca="1">IFERROR(__xludf.DUMMYFUNCTION("""COMPUTED_VALUE"""),110.1)</f>
        <v>110.1</v>
      </c>
      <c r="Q9" s="1">
        <f ca="1">IFERROR(__xludf.DUMMYFUNCTION("""COMPUTED_VALUE"""),34)</f>
        <v>34</v>
      </c>
      <c r="R9" s="1">
        <f ca="1">IFERROR(__xludf.DUMMYFUNCTION("""COMPUTED_VALUE"""),99.2)</f>
        <v>99.2</v>
      </c>
      <c r="S9" s="1">
        <f ca="1">IFERROR(__xludf.DUMMYFUNCTION("""COMPUTED_VALUE"""),12)</f>
        <v>12</v>
      </c>
      <c r="T9" s="1">
        <f ca="1">IFERROR(__xludf.DUMMYFUNCTION("""COMPUTED_VALUE"""),-7.97)</f>
        <v>-7.97</v>
      </c>
      <c r="U9" s="1">
        <f ca="1">IFERROR(__xludf.DUMMYFUNCTION("""COMPUTED_VALUE"""),340)</f>
        <v>340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IFERROR(__xludf.DUMMYFUNCTION("""COMPUTED_VALUE"""),"Wichita St.10")</f>
        <v>Wichita St.10</v>
      </c>
      <c r="C10" s="1" t="str">
        <f ca="1">IFERROR(__xludf.DUMMYFUNCTION("""COMPUTED_VALUE"""),"MVC")</f>
        <v>MVC</v>
      </c>
      <c r="D10" s="1" t="str">
        <f ca="1">IFERROR(__xludf.DUMMYFUNCTION("""COMPUTED_VALUE"""),"31-5")</f>
        <v>31-5</v>
      </c>
      <c r="E10" s="1" t="str">
        <f ca="1">IFERROR(__xludf.DUMMYFUNCTION("""COMPUTED_VALUE"""),"+26.14")</f>
        <v>+26.14</v>
      </c>
      <c r="F10" s="1">
        <f ca="1">IFERROR(__xludf.DUMMYFUNCTION("""COMPUTED_VALUE"""),118.7)</f>
        <v>118.7</v>
      </c>
      <c r="G10" s="1">
        <f ca="1">IFERROR(__xludf.DUMMYFUNCTION("""COMPUTED_VALUE"""),13)</f>
        <v>13</v>
      </c>
      <c r="H10" s="1">
        <f ca="1">IFERROR(__xludf.DUMMYFUNCTION("""COMPUTED_VALUE"""),92.6)</f>
        <v>92.6</v>
      </c>
      <c r="I10" s="1">
        <f ca="1">IFERROR(__xludf.DUMMYFUNCTION("""COMPUTED_VALUE"""),13)</f>
        <v>13</v>
      </c>
      <c r="J10" s="1">
        <f ca="1">IFERROR(__xludf.DUMMYFUNCTION("""COMPUTED_VALUE"""),68)</f>
        <v>68</v>
      </c>
      <c r="K10" s="1">
        <f ca="1">IFERROR(__xludf.DUMMYFUNCTION("""COMPUTED_VALUE"""),191)</f>
        <v>191</v>
      </c>
      <c r="L10" s="1">
        <f ca="1">IFERROR(__xludf.DUMMYFUNCTION("""COMPUTED_VALUE"""),-0.021)</f>
        <v>-2.1000000000000001E-2</v>
      </c>
      <c r="M10" s="1">
        <f ca="1">IFERROR(__xludf.DUMMYFUNCTION("""COMPUTED_VALUE"""),238)</f>
        <v>238</v>
      </c>
      <c r="N10" s="1" t="str">
        <f ca="1">IFERROR(__xludf.DUMMYFUNCTION("""COMPUTED_VALUE"""),"+1.50")</f>
        <v>+1.50</v>
      </c>
      <c r="O10" s="1">
        <f ca="1">IFERROR(__xludf.DUMMYFUNCTION("""COMPUTED_VALUE"""),102)</f>
        <v>102</v>
      </c>
      <c r="P10" s="1">
        <f ca="1">IFERROR(__xludf.DUMMYFUNCTION("""COMPUTED_VALUE"""),105)</f>
        <v>105</v>
      </c>
      <c r="Q10" s="1">
        <f ca="1">IFERROR(__xludf.DUMMYFUNCTION("""COMPUTED_VALUE"""),130)</f>
        <v>130</v>
      </c>
      <c r="R10" s="1">
        <f ca="1">IFERROR(__xludf.DUMMYFUNCTION("""COMPUTED_VALUE"""),103.5)</f>
        <v>103.5</v>
      </c>
      <c r="S10" s="1">
        <f ca="1">IFERROR(__xludf.DUMMYFUNCTION("""COMPUTED_VALUE"""),110)</f>
        <v>110</v>
      </c>
      <c r="T10" s="1">
        <f ca="1">IFERROR(__xludf.DUMMYFUNCTION("""COMPUTED_VALUE"""),-0.32)</f>
        <v>-0.32</v>
      </c>
      <c r="U10" s="1">
        <f ca="1">IFERROR(__xludf.DUMMYFUNCTION("""COMPUTED_VALUE"""),161)</f>
        <v>161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IFERROR(__xludf.DUMMYFUNCTION("""COMPUTED_VALUE"""),"Louisville2")</f>
        <v>Louisville2</v>
      </c>
      <c r="C11" s="1" t="str">
        <f ca="1">IFERROR(__xludf.DUMMYFUNCTION("""COMPUTED_VALUE"""),"ACC")</f>
        <v>ACC</v>
      </c>
      <c r="D11" s="1" t="str">
        <f ca="1">IFERROR(__xludf.DUMMYFUNCTION("""COMPUTED_VALUE"""),"25-9")</f>
        <v>25-9</v>
      </c>
      <c r="E11" s="1" t="str">
        <f ca="1">IFERROR(__xludf.DUMMYFUNCTION("""COMPUTED_VALUE"""),"+25.51")</f>
        <v>+25.51</v>
      </c>
      <c r="F11" s="1">
        <f ca="1">IFERROR(__xludf.DUMMYFUNCTION("""COMPUTED_VALUE"""),117.2)</f>
        <v>117.2</v>
      </c>
      <c r="G11" s="1">
        <f ca="1">IFERROR(__xludf.DUMMYFUNCTION("""COMPUTED_VALUE"""),22)</f>
        <v>22</v>
      </c>
      <c r="H11" s="1">
        <f ca="1">IFERROR(__xludf.DUMMYFUNCTION("""COMPUTED_VALUE"""),91.7)</f>
        <v>91.7</v>
      </c>
      <c r="I11" s="1">
        <f ca="1">IFERROR(__xludf.DUMMYFUNCTION("""COMPUTED_VALUE"""),8)</f>
        <v>8</v>
      </c>
      <c r="J11" s="1">
        <f ca="1">IFERROR(__xludf.DUMMYFUNCTION("""COMPUTED_VALUE"""),67.9)</f>
        <v>67.900000000000006</v>
      </c>
      <c r="K11" s="1">
        <f ca="1">IFERROR(__xludf.DUMMYFUNCTION("""COMPUTED_VALUE"""),194)</f>
        <v>194</v>
      </c>
      <c r="L11" s="1">
        <f ca="1">IFERROR(__xludf.DUMMYFUNCTION("""COMPUTED_VALUE"""),-0.023)</f>
        <v>-2.3E-2</v>
      </c>
      <c r="M11" s="1">
        <f ca="1">IFERROR(__xludf.DUMMYFUNCTION("""COMPUTED_VALUE"""),244)</f>
        <v>244</v>
      </c>
      <c r="N11" s="1" t="str">
        <f ca="1">IFERROR(__xludf.DUMMYFUNCTION("""COMPUTED_VALUE"""),"+11.14")</f>
        <v>+11.14</v>
      </c>
      <c r="O11" s="1">
        <f ca="1">IFERROR(__xludf.DUMMYFUNCTION("""COMPUTED_VALUE"""),17)</f>
        <v>17</v>
      </c>
      <c r="P11" s="1">
        <f ca="1">IFERROR(__xludf.DUMMYFUNCTION("""COMPUTED_VALUE"""),111.6)</f>
        <v>111.6</v>
      </c>
      <c r="Q11" s="1">
        <f ca="1">IFERROR(__xludf.DUMMYFUNCTION("""COMPUTED_VALUE"""),7)</f>
        <v>7</v>
      </c>
      <c r="R11" s="1">
        <f ca="1">IFERROR(__xludf.DUMMYFUNCTION("""COMPUTED_VALUE"""),100.5)</f>
        <v>100.5</v>
      </c>
      <c r="S11" s="1">
        <f ca="1">IFERROR(__xludf.DUMMYFUNCTION("""COMPUTED_VALUE"""),33)</f>
        <v>33</v>
      </c>
      <c r="T11" s="1" t="str">
        <f ca="1">IFERROR(__xludf.DUMMYFUNCTION("""COMPUTED_VALUE"""),"+4.20")</f>
        <v>+4.20</v>
      </c>
      <c r="U11" s="1">
        <f ca="1">IFERROR(__xludf.DUMMYFUNCTION("""COMPUTED_VALUE"""),48)</f>
        <v>48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IFERROR(__xludf.DUMMYFUNCTION("""COMPUTED_VALUE"""),"Oregon3")</f>
        <v>Oregon3</v>
      </c>
      <c r="C12" s="1" t="str">
        <f ca="1">IFERROR(__xludf.DUMMYFUNCTION("""COMPUTED_VALUE"""),"P12")</f>
        <v>P12</v>
      </c>
      <c r="D12" s="1" t="str">
        <f ca="1">IFERROR(__xludf.DUMMYFUNCTION("""COMPUTED_VALUE"""),"33-6")</f>
        <v>33-6</v>
      </c>
      <c r="E12" s="1" t="str">
        <f ca="1">IFERROR(__xludf.DUMMYFUNCTION("""COMPUTED_VALUE"""),"+25.02")</f>
        <v>+25.02</v>
      </c>
      <c r="F12" s="1">
        <f ca="1">IFERROR(__xludf.DUMMYFUNCTION("""COMPUTED_VALUE"""),118.2)</f>
        <v>118.2</v>
      </c>
      <c r="G12" s="1">
        <f ca="1">IFERROR(__xludf.DUMMYFUNCTION("""COMPUTED_VALUE"""),17)</f>
        <v>17</v>
      </c>
      <c r="H12" s="1">
        <f ca="1">IFERROR(__xludf.DUMMYFUNCTION("""COMPUTED_VALUE"""),93.2)</f>
        <v>93.2</v>
      </c>
      <c r="I12" s="1">
        <f ca="1">IFERROR(__xludf.DUMMYFUNCTION("""COMPUTED_VALUE"""),17)</f>
        <v>17</v>
      </c>
      <c r="J12" s="1">
        <f ca="1">IFERROR(__xludf.DUMMYFUNCTION("""COMPUTED_VALUE"""),67)</f>
        <v>67</v>
      </c>
      <c r="K12" s="1">
        <f ca="1">IFERROR(__xludf.DUMMYFUNCTION("""COMPUTED_VALUE"""),234)</f>
        <v>234</v>
      </c>
      <c r="L12" s="1" t="str">
        <f ca="1">IFERROR(__xludf.DUMMYFUNCTION("""COMPUTED_VALUE"""),"+.034")</f>
        <v>+.034</v>
      </c>
      <c r="M12" s="1">
        <f ca="1">IFERROR(__xludf.DUMMYFUNCTION("""COMPUTED_VALUE"""),88)</f>
        <v>88</v>
      </c>
      <c r="N12" s="1" t="str">
        <f ca="1">IFERROR(__xludf.DUMMYFUNCTION("""COMPUTED_VALUE"""),"+8.05")</f>
        <v>+8.05</v>
      </c>
      <c r="O12" s="1">
        <f ca="1">IFERROR(__xludf.DUMMYFUNCTION("""COMPUTED_VALUE"""),50)</f>
        <v>50</v>
      </c>
      <c r="P12" s="1">
        <f ca="1">IFERROR(__xludf.DUMMYFUNCTION("""COMPUTED_VALUE"""),109.2)</f>
        <v>109.2</v>
      </c>
      <c r="Q12" s="1">
        <f ca="1">IFERROR(__xludf.DUMMYFUNCTION("""COMPUTED_VALUE"""),47)</f>
        <v>47</v>
      </c>
      <c r="R12" s="1">
        <f ca="1">IFERROR(__xludf.DUMMYFUNCTION("""COMPUTED_VALUE"""),101.2)</f>
        <v>101.2</v>
      </c>
      <c r="S12" s="1">
        <f ca="1">IFERROR(__xludf.DUMMYFUNCTION("""COMPUTED_VALUE"""),51)</f>
        <v>51</v>
      </c>
      <c r="T12" s="1" t="str">
        <f ca="1">IFERROR(__xludf.DUMMYFUNCTION("""COMPUTED_VALUE"""),"+0.51")</f>
        <v>+0.51</v>
      </c>
      <c r="U12" s="1">
        <f ca="1">IFERROR(__xludf.DUMMYFUNCTION("""COMPUTED_VALUE"""),137)</f>
        <v>137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IFERROR(__xludf.DUMMYFUNCTION("""COMPUTED_VALUE"""),"SMU6")</f>
        <v>SMU6</v>
      </c>
      <c r="C13" s="1" t="str">
        <f ca="1">IFERROR(__xludf.DUMMYFUNCTION("""COMPUTED_VALUE"""),"Amer")</f>
        <v>Amer</v>
      </c>
      <c r="D13" s="1" t="str">
        <f ca="1">IFERROR(__xludf.DUMMYFUNCTION("""COMPUTED_VALUE"""),"30-5")</f>
        <v>30-5</v>
      </c>
      <c r="E13" s="1" t="str">
        <f ca="1">IFERROR(__xludf.DUMMYFUNCTION("""COMPUTED_VALUE"""),"+24.73")</f>
        <v>+24.73</v>
      </c>
      <c r="F13" s="1">
        <f ca="1">IFERROR(__xludf.DUMMYFUNCTION("""COMPUTED_VALUE"""),119.8)</f>
        <v>119.8</v>
      </c>
      <c r="G13" s="1">
        <f ca="1">IFERROR(__xludf.DUMMYFUNCTION("""COMPUTED_VALUE"""),10)</f>
        <v>10</v>
      </c>
      <c r="H13" s="1">
        <f ca="1">IFERROR(__xludf.DUMMYFUNCTION("""COMPUTED_VALUE"""),95)</f>
        <v>95</v>
      </c>
      <c r="I13" s="1">
        <f ca="1">IFERROR(__xludf.DUMMYFUNCTION("""COMPUTED_VALUE"""),27)</f>
        <v>27</v>
      </c>
      <c r="J13" s="1">
        <f ca="1">IFERROR(__xludf.DUMMYFUNCTION("""COMPUTED_VALUE"""),63.5)</f>
        <v>63.5</v>
      </c>
      <c r="K13" s="1">
        <f ca="1">IFERROR(__xludf.DUMMYFUNCTION("""COMPUTED_VALUE"""),333)</f>
        <v>333</v>
      </c>
      <c r="L13" s="1" t="str">
        <f ca="1">IFERROR(__xludf.DUMMYFUNCTION("""COMPUTED_VALUE"""),"+.003")</f>
        <v>+.003</v>
      </c>
      <c r="M13" s="1">
        <f ca="1">IFERROR(__xludf.DUMMYFUNCTION("""COMPUTED_VALUE"""),183)</f>
        <v>183</v>
      </c>
      <c r="N13" s="1" t="str">
        <f ca="1">IFERROR(__xludf.DUMMYFUNCTION("""COMPUTED_VALUE"""),"+3.25")</f>
        <v>+3.25</v>
      </c>
      <c r="O13" s="1">
        <f ca="1">IFERROR(__xludf.DUMMYFUNCTION("""COMPUTED_VALUE"""),88)</f>
        <v>88</v>
      </c>
      <c r="P13" s="1">
        <f ca="1">IFERROR(__xludf.DUMMYFUNCTION("""COMPUTED_VALUE"""),105.3)</f>
        <v>105.3</v>
      </c>
      <c r="Q13" s="1">
        <f ca="1">IFERROR(__xludf.DUMMYFUNCTION("""COMPUTED_VALUE"""),117)</f>
        <v>117</v>
      </c>
      <c r="R13" s="1">
        <f ca="1">IFERROR(__xludf.DUMMYFUNCTION("""COMPUTED_VALUE"""),102.1)</f>
        <v>102.1</v>
      </c>
      <c r="S13" s="1">
        <f ca="1">IFERROR(__xludf.DUMMYFUNCTION("""COMPUTED_VALUE"""),70)</f>
        <v>70</v>
      </c>
      <c r="T13" s="1">
        <f ca="1">IFERROR(__xludf.DUMMYFUNCTION("""COMPUTED_VALUE"""),-0.92)</f>
        <v>-0.92</v>
      </c>
      <c r="U13" s="1">
        <f ca="1">IFERROR(__xludf.DUMMYFUNCTION("""COMPUTED_VALUE"""),179)</f>
        <v>179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IFERROR(__xludf.DUMMYFUNCTION("""COMPUTED_VALUE"""),"Virginia5")</f>
        <v>Virginia5</v>
      </c>
      <c r="C14" s="1" t="str">
        <f ca="1">IFERROR(__xludf.DUMMYFUNCTION("""COMPUTED_VALUE"""),"ACC")</f>
        <v>ACC</v>
      </c>
      <c r="D14" s="1" t="str">
        <f ca="1">IFERROR(__xludf.DUMMYFUNCTION("""COMPUTED_VALUE"""),"23-11")</f>
        <v>23-11</v>
      </c>
      <c r="E14" s="1" t="str">
        <f ca="1">IFERROR(__xludf.DUMMYFUNCTION("""COMPUTED_VALUE"""),"+24.29")</f>
        <v>+24.29</v>
      </c>
      <c r="F14" s="1">
        <f ca="1">IFERROR(__xludf.DUMMYFUNCTION("""COMPUTED_VALUE"""),112.2)</f>
        <v>112.2</v>
      </c>
      <c r="G14" s="1">
        <f ca="1">IFERROR(__xludf.DUMMYFUNCTION("""COMPUTED_VALUE"""),50)</f>
        <v>50</v>
      </c>
      <c r="H14" s="1">
        <f ca="1">IFERROR(__xludf.DUMMYFUNCTION("""COMPUTED_VALUE"""),88)</f>
        <v>88</v>
      </c>
      <c r="I14" s="1">
        <f ca="1">IFERROR(__xludf.DUMMYFUNCTION("""COMPUTED_VALUE"""),2)</f>
        <v>2</v>
      </c>
      <c r="J14" s="1">
        <f ca="1">IFERROR(__xludf.DUMMYFUNCTION("""COMPUTED_VALUE"""),59.2)</f>
        <v>59.2</v>
      </c>
      <c r="K14" s="1">
        <f ca="1">IFERROR(__xludf.DUMMYFUNCTION("""COMPUTED_VALUE"""),351)</f>
        <v>351</v>
      </c>
      <c r="L14" s="1">
        <f ca="1">IFERROR(__xludf.DUMMYFUNCTION("""COMPUTED_VALUE"""),-0.03)</f>
        <v>-0.03</v>
      </c>
      <c r="M14" s="1">
        <f ca="1">IFERROR(__xludf.DUMMYFUNCTION("""COMPUTED_VALUE"""),258)</f>
        <v>258</v>
      </c>
      <c r="N14" s="1" t="str">
        <f ca="1">IFERROR(__xludf.DUMMYFUNCTION("""COMPUTED_VALUE"""),"+11.68")</f>
        <v>+11.68</v>
      </c>
      <c r="O14" s="1">
        <f ca="1">IFERROR(__xludf.DUMMYFUNCTION("""COMPUTED_VALUE"""),10)</f>
        <v>10</v>
      </c>
      <c r="P14" s="1">
        <f ca="1">IFERROR(__xludf.DUMMYFUNCTION("""COMPUTED_VALUE"""),111.5)</f>
        <v>111.5</v>
      </c>
      <c r="Q14" s="1">
        <f ca="1">IFERROR(__xludf.DUMMYFUNCTION("""COMPUTED_VALUE"""),8)</f>
        <v>8</v>
      </c>
      <c r="R14" s="1">
        <f ca="1">IFERROR(__xludf.DUMMYFUNCTION("""COMPUTED_VALUE"""),99.8)</f>
        <v>99.8</v>
      </c>
      <c r="S14" s="1">
        <f ca="1">IFERROR(__xludf.DUMMYFUNCTION("""COMPUTED_VALUE"""),22)</f>
        <v>22</v>
      </c>
      <c r="T14" s="1" t="str">
        <f ca="1">IFERROR(__xludf.DUMMYFUNCTION("""COMPUTED_VALUE"""),"+2.29")</f>
        <v>+2.29</v>
      </c>
      <c r="U14" s="1">
        <f ca="1">IFERROR(__xludf.DUMMYFUNCTION("""COMPUTED_VALUE"""),82)</f>
        <v>82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IFERROR(__xludf.DUMMYFUNCTION("""COMPUTED_VALUE"""),"Baylor3")</f>
        <v>Baylor3</v>
      </c>
      <c r="C15" s="1" t="str">
        <f ca="1">IFERROR(__xludf.DUMMYFUNCTION("""COMPUTED_VALUE"""),"B12")</f>
        <v>B12</v>
      </c>
      <c r="D15" s="1" t="str">
        <f ca="1">IFERROR(__xludf.DUMMYFUNCTION("""COMPUTED_VALUE"""),"27-8")</f>
        <v>27-8</v>
      </c>
      <c r="E15" s="1" t="str">
        <f ca="1">IFERROR(__xludf.DUMMYFUNCTION("""COMPUTED_VALUE"""),"+24.23")</f>
        <v>+24.23</v>
      </c>
      <c r="F15" s="1">
        <f ca="1">IFERROR(__xludf.DUMMYFUNCTION("""COMPUTED_VALUE"""),117.1)</f>
        <v>117.1</v>
      </c>
      <c r="G15" s="1">
        <f ca="1">IFERROR(__xludf.DUMMYFUNCTION("""COMPUTED_VALUE"""),23)</f>
        <v>23</v>
      </c>
      <c r="H15" s="1">
        <f ca="1">IFERROR(__xludf.DUMMYFUNCTION("""COMPUTED_VALUE"""),92.9)</f>
        <v>92.9</v>
      </c>
      <c r="I15" s="1">
        <f ca="1">IFERROR(__xludf.DUMMYFUNCTION("""COMPUTED_VALUE"""),16)</f>
        <v>16</v>
      </c>
      <c r="J15" s="1">
        <f ca="1">IFERROR(__xludf.DUMMYFUNCTION("""COMPUTED_VALUE"""),63.7)</f>
        <v>63.7</v>
      </c>
      <c r="K15" s="1">
        <f ca="1">IFERROR(__xludf.DUMMYFUNCTION("""COMPUTED_VALUE"""),328)</f>
        <v>328</v>
      </c>
      <c r="L15" s="1" t="str">
        <f ca="1">IFERROR(__xludf.DUMMYFUNCTION("""COMPUTED_VALUE"""),"+.023")</f>
        <v>+.023</v>
      </c>
      <c r="M15" s="1">
        <f ca="1">IFERROR(__xludf.DUMMYFUNCTION("""COMPUTED_VALUE"""),126)</f>
        <v>126</v>
      </c>
      <c r="N15" s="1" t="str">
        <f ca="1">IFERROR(__xludf.DUMMYFUNCTION("""COMPUTED_VALUE"""),"+13.08")</f>
        <v>+13.08</v>
      </c>
      <c r="O15" s="1">
        <f ca="1">IFERROR(__xludf.DUMMYFUNCTION("""COMPUTED_VALUE"""),5)</f>
        <v>5</v>
      </c>
      <c r="P15" s="1">
        <f ca="1">IFERROR(__xludf.DUMMYFUNCTION("""COMPUTED_VALUE"""),111.7)</f>
        <v>111.7</v>
      </c>
      <c r="Q15" s="1">
        <f ca="1">IFERROR(__xludf.DUMMYFUNCTION("""COMPUTED_VALUE"""),6)</f>
        <v>6</v>
      </c>
      <c r="R15" s="1">
        <f ca="1">IFERROR(__xludf.DUMMYFUNCTION("""COMPUTED_VALUE"""),98.6)</f>
        <v>98.6</v>
      </c>
      <c r="S15" s="1">
        <f ca="1">IFERROR(__xludf.DUMMYFUNCTION("""COMPUTED_VALUE"""),6)</f>
        <v>6</v>
      </c>
      <c r="T15" s="1" t="str">
        <f ca="1">IFERROR(__xludf.DUMMYFUNCTION("""COMPUTED_VALUE"""),"+1.67")</f>
        <v>+1.67</v>
      </c>
      <c r="U15" s="1">
        <f ca="1">IFERROR(__xludf.DUMMYFUNCTION("""COMPUTED_VALUE"""),110)</f>
        <v>110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IFERROR(__xludf.DUMMYFUNCTION("""COMPUTED_VALUE"""),"Duke2")</f>
        <v>Duke2</v>
      </c>
      <c r="C16" s="1" t="str">
        <f ca="1">IFERROR(__xludf.DUMMYFUNCTION("""COMPUTED_VALUE"""),"ACC")</f>
        <v>ACC</v>
      </c>
      <c r="D16" s="1" t="str">
        <f ca="1">IFERROR(__xludf.DUMMYFUNCTION("""COMPUTED_VALUE"""),"28-9")</f>
        <v>28-9</v>
      </c>
      <c r="E16" s="1" t="str">
        <f ca="1">IFERROR(__xludf.DUMMYFUNCTION("""COMPUTED_VALUE"""),"+24.17")</f>
        <v>+24.17</v>
      </c>
      <c r="F16" s="1">
        <f ca="1">IFERROR(__xludf.DUMMYFUNCTION("""COMPUTED_VALUE"""),121)</f>
        <v>121</v>
      </c>
      <c r="G16" s="1">
        <f ca="1">IFERROR(__xludf.DUMMYFUNCTION("""COMPUTED_VALUE"""),6)</f>
        <v>6</v>
      </c>
      <c r="H16" s="1">
        <f ca="1">IFERROR(__xludf.DUMMYFUNCTION("""COMPUTED_VALUE"""),96.8)</f>
        <v>96.8</v>
      </c>
      <c r="I16" s="1">
        <f ca="1">IFERROR(__xludf.DUMMYFUNCTION("""COMPUTED_VALUE"""),47)</f>
        <v>47</v>
      </c>
      <c r="J16" s="1">
        <f ca="1">IFERROR(__xludf.DUMMYFUNCTION("""COMPUTED_VALUE"""),68.3)</f>
        <v>68.3</v>
      </c>
      <c r="K16" s="1">
        <f ca="1">IFERROR(__xludf.DUMMYFUNCTION("""COMPUTED_VALUE"""),175)</f>
        <v>175</v>
      </c>
      <c r="L16" s="1" t="str">
        <f ca="1">IFERROR(__xludf.DUMMYFUNCTION("""COMPUTED_VALUE"""),"+.014")</f>
        <v>+.014</v>
      </c>
      <c r="M16" s="1">
        <f ca="1">IFERROR(__xludf.DUMMYFUNCTION("""COMPUTED_VALUE"""),150)</f>
        <v>150</v>
      </c>
      <c r="N16" s="1" t="str">
        <f ca="1">IFERROR(__xludf.DUMMYFUNCTION("""COMPUTED_VALUE"""),"+11.43")</f>
        <v>+11.43</v>
      </c>
      <c r="O16" s="1">
        <f ca="1">IFERROR(__xludf.DUMMYFUNCTION("""COMPUTED_VALUE"""),12)</f>
        <v>12</v>
      </c>
      <c r="P16" s="1">
        <f ca="1">IFERROR(__xludf.DUMMYFUNCTION("""COMPUTED_VALUE"""),111)</f>
        <v>111</v>
      </c>
      <c r="Q16" s="1">
        <f ca="1">IFERROR(__xludf.DUMMYFUNCTION("""COMPUTED_VALUE"""),13)</f>
        <v>13</v>
      </c>
      <c r="R16" s="1">
        <f ca="1">IFERROR(__xludf.DUMMYFUNCTION("""COMPUTED_VALUE"""),99.6)</f>
        <v>99.6</v>
      </c>
      <c r="S16" s="1">
        <f ca="1">IFERROR(__xludf.DUMMYFUNCTION("""COMPUTED_VALUE"""),21)</f>
        <v>21</v>
      </c>
      <c r="T16" s="1" t="str">
        <f ca="1">IFERROR(__xludf.DUMMYFUNCTION("""COMPUTED_VALUE"""),"+0.03")</f>
        <v>+0.03</v>
      </c>
      <c r="U16" s="1">
        <f ca="1">IFERROR(__xludf.DUMMYFUNCTION("""COMPUTED_VALUE"""),153)</f>
        <v>153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IFERROR(__xludf.DUMMYFUNCTION("""COMPUTED_VALUE"""),"Saint Mary's7")</f>
        <v>Saint Mary's7</v>
      </c>
      <c r="C17" s="1" t="str">
        <f ca="1">IFERROR(__xludf.DUMMYFUNCTION("""COMPUTED_VALUE"""),"WCC")</f>
        <v>WCC</v>
      </c>
      <c r="D17" s="1" t="str">
        <f ca="1">IFERROR(__xludf.DUMMYFUNCTION("""COMPUTED_VALUE"""),"29-5")</f>
        <v>29-5</v>
      </c>
      <c r="E17" s="1" t="str">
        <f ca="1">IFERROR(__xludf.DUMMYFUNCTION("""COMPUTED_VALUE"""),"+23.67")</f>
        <v>+23.67</v>
      </c>
      <c r="F17" s="1">
        <f ca="1">IFERROR(__xludf.DUMMYFUNCTION("""COMPUTED_VALUE"""),118.7)</f>
        <v>118.7</v>
      </c>
      <c r="G17" s="1">
        <f ca="1">IFERROR(__xludf.DUMMYFUNCTION("""COMPUTED_VALUE"""),14)</f>
        <v>14</v>
      </c>
      <c r="H17" s="1">
        <f ca="1">IFERROR(__xludf.DUMMYFUNCTION("""COMPUTED_VALUE"""),95)</f>
        <v>95</v>
      </c>
      <c r="I17" s="1">
        <f ca="1">IFERROR(__xludf.DUMMYFUNCTION("""COMPUTED_VALUE"""),26)</f>
        <v>26</v>
      </c>
      <c r="J17" s="1">
        <f ca="1">IFERROR(__xludf.DUMMYFUNCTION("""COMPUTED_VALUE"""),60.2)</f>
        <v>60.2</v>
      </c>
      <c r="K17" s="1">
        <f ca="1">IFERROR(__xludf.DUMMYFUNCTION("""COMPUTED_VALUE"""),350)</f>
        <v>350</v>
      </c>
      <c r="L17" s="1" t="str">
        <f ca="1">IFERROR(__xludf.DUMMYFUNCTION("""COMPUTED_VALUE"""),"+.030")</f>
        <v>+.030</v>
      </c>
      <c r="M17" s="1">
        <f ca="1">IFERROR(__xludf.DUMMYFUNCTION("""COMPUTED_VALUE"""),99)</f>
        <v>99</v>
      </c>
      <c r="N17" s="1" t="str">
        <f ca="1">IFERROR(__xludf.DUMMYFUNCTION("""COMPUTED_VALUE"""),"+0.41")</f>
        <v>+0.41</v>
      </c>
      <c r="O17" s="1">
        <f ca="1">IFERROR(__xludf.DUMMYFUNCTION("""COMPUTED_VALUE"""),127)</f>
        <v>127</v>
      </c>
      <c r="P17" s="1">
        <f ca="1">IFERROR(__xludf.DUMMYFUNCTION("""COMPUTED_VALUE"""),104.3)</f>
        <v>104.3</v>
      </c>
      <c r="Q17" s="1">
        <f ca="1">IFERROR(__xludf.DUMMYFUNCTION("""COMPUTED_VALUE"""),163)</f>
        <v>163</v>
      </c>
      <c r="R17" s="1">
        <f ca="1">IFERROR(__xludf.DUMMYFUNCTION("""COMPUTED_VALUE"""),103.9)</f>
        <v>103.9</v>
      </c>
      <c r="S17" s="1">
        <f ca="1">IFERROR(__xludf.DUMMYFUNCTION("""COMPUTED_VALUE"""),117)</f>
        <v>117</v>
      </c>
      <c r="T17" s="1">
        <f ca="1">IFERROR(__xludf.DUMMYFUNCTION("""COMPUTED_VALUE"""),-4.13)</f>
        <v>-4.13</v>
      </c>
      <c r="U17" s="1">
        <f ca="1">IFERROR(__xludf.DUMMYFUNCTION("""COMPUTED_VALUE"""),277)</f>
        <v>277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IFERROR(__xludf.DUMMYFUNCTION("""COMPUTED_VALUE"""),"UCLA3")</f>
        <v>UCLA3</v>
      </c>
      <c r="C18" s="1" t="str">
        <f ca="1">IFERROR(__xludf.DUMMYFUNCTION("""COMPUTED_VALUE"""),"P12")</f>
        <v>P12</v>
      </c>
      <c r="D18" s="1" t="str">
        <f ca="1">IFERROR(__xludf.DUMMYFUNCTION("""COMPUTED_VALUE"""),"31-5")</f>
        <v>31-5</v>
      </c>
      <c r="E18" s="1" t="str">
        <f ca="1">IFERROR(__xludf.DUMMYFUNCTION("""COMPUTED_VALUE"""),"+23.63")</f>
        <v>+23.63</v>
      </c>
      <c r="F18" s="1">
        <f ca="1">IFERROR(__xludf.DUMMYFUNCTION("""COMPUTED_VALUE"""),124)</f>
        <v>124</v>
      </c>
      <c r="G18" s="1">
        <f ca="1">IFERROR(__xludf.DUMMYFUNCTION("""COMPUTED_VALUE"""),2)</f>
        <v>2</v>
      </c>
      <c r="H18" s="1">
        <f ca="1">IFERROR(__xludf.DUMMYFUNCTION("""COMPUTED_VALUE"""),100.4)</f>
        <v>100.4</v>
      </c>
      <c r="I18" s="1">
        <f ca="1">IFERROR(__xludf.DUMMYFUNCTION("""COMPUTED_VALUE"""),85)</f>
        <v>85</v>
      </c>
      <c r="J18" s="1">
        <f ca="1">IFERROR(__xludf.DUMMYFUNCTION("""COMPUTED_VALUE"""),72.6)</f>
        <v>72.599999999999994</v>
      </c>
      <c r="K18" s="1">
        <f ca="1">IFERROR(__xludf.DUMMYFUNCTION("""COMPUTED_VALUE"""),20)</f>
        <v>20</v>
      </c>
      <c r="L18" s="1" t="str">
        <f ca="1">IFERROR(__xludf.DUMMYFUNCTION("""COMPUTED_VALUE"""),"+.021")</f>
        <v>+.021</v>
      </c>
      <c r="M18" s="1">
        <f ca="1">IFERROR(__xludf.DUMMYFUNCTION("""COMPUTED_VALUE"""),132)</f>
        <v>132</v>
      </c>
      <c r="N18" s="1" t="str">
        <f ca="1">IFERROR(__xludf.DUMMYFUNCTION("""COMPUTED_VALUE"""),"+5.17")</f>
        <v>+5.17</v>
      </c>
      <c r="O18" s="1">
        <f ca="1">IFERROR(__xludf.DUMMYFUNCTION("""COMPUTED_VALUE"""),74)</f>
        <v>74</v>
      </c>
      <c r="P18" s="1">
        <f ca="1">IFERROR(__xludf.DUMMYFUNCTION("""COMPUTED_VALUE"""),108)</f>
        <v>108</v>
      </c>
      <c r="Q18" s="1">
        <f ca="1">IFERROR(__xludf.DUMMYFUNCTION("""COMPUTED_VALUE"""),67)</f>
        <v>67</v>
      </c>
      <c r="R18" s="1">
        <f ca="1">IFERROR(__xludf.DUMMYFUNCTION("""COMPUTED_VALUE"""),102.8)</f>
        <v>102.8</v>
      </c>
      <c r="S18" s="1">
        <f ca="1">IFERROR(__xludf.DUMMYFUNCTION("""COMPUTED_VALUE"""),89)</f>
        <v>89</v>
      </c>
      <c r="T18" s="1">
        <f ca="1">IFERROR(__xludf.DUMMYFUNCTION("""COMPUTED_VALUE"""),-4.66)</f>
        <v>-4.66</v>
      </c>
      <c r="U18" s="1">
        <f ca="1">IFERROR(__xludf.DUMMYFUNCTION("""COMPUTED_VALUE"""),291)</f>
        <v>291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IFERROR(__xludf.DUMMYFUNCTION("""COMPUTED_VALUE"""),"Iowa St.5")</f>
        <v>Iowa St.5</v>
      </c>
      <c r="C19" s="1" t="str">
        <f ca="1">IFERROR(__xludf.DUMMYFUNCTION("""COMPUTED_VALUE"""),"B12")</f>
        <v>B12</v>
      </c>
      <c r="D19" s="1" t="str">
        <f ca="1">IFERROR(__xludf.DUMMYFUNCTION("""COMPUTED_VALUE"""),"24-11")</f>
        <v>24-11</v>
      </c>
      <c r="E19" s="1" t="str">
        <f ca="1">IFERROR(__xludf.DUMMYFUNCTION("""COMPUTED_VALUE"""),"+23.45")</f>
        <v>+23.45</v>
      </c>
      <c r="F19" s="1">
        <f ca="1">IFERROR(__xludf.DUMMYFUNCTION("""COMPUTED_VALUE"""),119.7)</f>
        <v>119.7</v>
      </c>
      <c r="G19" s="1">
        <f ca="1">IFERROR(__xludf.DUMMYFUNCTION("""COMPUTED_VALUE"""),11)</f>
        <v>11</v>
      </c>
      <c r="H19" s="1">
        <f ca="1">IFERROR(__xludf.DUMMYFUNCTION("""COMPUTED_VALUE"""),96.3)</f>
        <v>96.3</v>
      </c>
      <c r="I19" s="1">
        <f ca="1">IFERROR(__xludf.DUMMYFUNCTION("""COMPUTED_VALUE"""),42)</f>
        <v>42</v>
      </c>
      <c r="J19" s="1">
        <f ca="1">IFERROR(__xludf.DUMMYFUNCTION("""COMPUTED_VALUE"""),68.4)</f>
        <v>68.400000000000006</v>
      </c>
      <c r="K19" s="1">
        <f ca="1">IFERROR(__xludf.DUMMYFUNCTION("""COMPUTED_VALUE"""),170)</f>
        <v>170</v>
      </c>
      <c r="L19" s="1">
        <f ca="1">IFERROR(__xludf.DUMMYFUNCTION("""COMPUTED_VALUE"""),-0.019)</f>
        <v>-1.9E-2</v>
      </c>
      <c r="M19" s="1">
        <f ca="1">IFERROR(__xludf.DUMMYFUNCTION("""COMPUTED_VALUE"""),234)</f>
        <v>234</v>
      </c>
      <c r="N19" s="1" t="str">
        <f ca="1">IFERROR(__xludf.DUMMYFUNCTION("""COMPUTED_VALUE"""),"+14.05")</f>
        <v>+14.05</v>
      </c>
      <c r="O19" s="1">
        <f ca="1">IFERROR(__xludf.DUMMYFUNCTION("""COMPUTED_VALUE"""),3)</f>
        <v>3</v>
      </c>
      <c r="P19" s="1">
        <f ca="1">IFERROR(__xludf.DUMMYFUNCTION("""COMPUTED_VALUE"""),112.6)</f>
        <v>112.6</v>
      </c>
      <c r="Q19" s="1">
        <f ca="1">IFERROR(__xludf.DUMMYFUNCTION("""COMPUTED_VALUE"""),2)</f>
        <v>2</v>
      </c>
      <c r="R19" s="1">
        <f ca="1">IFERROR(__xludf.DUMMYFUNCTION("""COMPUTED_VALUE"""),98.6)</f>
        <v>98.6</v>
      </c>
      <c r="S19" s="1">
        <f ca="1">IFERROR(__xludf.DUMMYFUNCTION("""COMPUTED_VALUE"""),5)</f>
        <v>5</v>
      </c>
      <c r="T19" s="1">
        <f ca="1">IFERROR(__xludf.DUMMYFUNCTION("""COMPUTED_VALUE"""),-0.74)</f>
        <v>-0.74</v>
      </c>
      <c r="U19" s="1">
        <f ca="1">IFERROR(__xludf.DUMMYFUNCTION("""COMPUTED_VALUE"""),175)</f>
        <v>175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IFERROR(__xludf.DUMMYFUNCTION("""COMPUTED_VALUE"""),"Arizona2")</f>
        <v>Arizona2</v>
      </c>
      <c r="C20" s="1" t="str">
        <f ca="1">IFERROR(__xludf.DUMMYFUNCTION("""COMPUTED_VALUE"""),"P12")</f>
        <v>P12</v>
      </c>
      <c r="D20" s="1" t="str">
        <f ca="1">IFERROR(__xludf.DUMMYFUNCTION("""COMPUTED_VALUE"""),"32-5")</f>
        <v>32-5</v>
      </c>
      <c r="E20" s="1" t="str">
        <f ca="1">IFERROR(__xludf.DUMMYFUNCTION("""COMPUTED_VALUE"""),"+23.31")</f>
        <v>+23.31</v>
      </c>
      <c r="F20" s="1">
        <f ca="1">IFERROR(__xludf.DUMMYFUNCTION("""COMPUTED_VALUE"""),118.4)</f>
        <v>118.4</v>
      </c>
      <c r="G20" s="1">
        <f ca="1">IFERROR(__xludf.DUMMYFUNCTION("""COMPUTED_VALUE"""),15)</f>
        <v>15</v>
      </c>
      <c r="H20" s="1">
        <f ca="1">IFERROR(__xludf.DUMMYFUNCTION("""COMPUTED_VALUE"""),95.1)</f>
        <v>95.1</v>
      </c>
      <c r="I20" s="1">
        <f ca="1">IFERROR(__xludf.DUMMYFUNCTION("""COMPUTED_VALUE"""),29)</f>
        <v>29</v>
      </c>
      <c r="J20" s="1">
        <f ca="1">IFERROR(__xludf.DUMMYFUNCTION("""COMPUTED_VALUE"""),66)</f>
        <v>66</v>
      </c>
      <c r="K20" s="1">
        <f ca="1">IFERROR(__xludf.DUMMYFUNCTION("""COMPUTED_VALUE"""),277)</f>
        <v>277</v>
      </c>
      <c r="L20" s="1" t="str">
        <f ca="1">IFERROR(__xludf.DUMMYFUNCTION("""COMPUTED_VALUE"""),"+.046")</f>
        <v>+.046</v>
      </c>
      <c r="M20" s="1">
        <f ca="1">IFERROR(__xludf.DUMMYFUNCTION("""COMPUTED_VALUE"""),66)</f>
        <v>66</v>
      </c>
      <c r="N20" s="1" t="str">
        <f ca="1">IFERROR(__xludf.DUMMYFUNCTION("""COMPUTED_VALUE"""),"+7.13")</f>
        <v>+7.13</v>
      </c>
      <c r="O20" s="1">
        <f ca="1">IFERROR(__xludf.DUMMYFUNCTION("""COMPUTED_VALUE"""),59)</f>
        <v>59</v>
      </c>
      <c r="P20" s="1">
        <f ca="1">IFERROR(__xludf.DUMMYFUNCTION("""COMPUTED_VALUE"""),108.7)</f>
        <v>108.7</v>
      </c>
      <c r="Q20" s="1">
        <f ca="1">IFERROR(__xludf.DUMMYFUNCTION("""COMPUTED_VALUE"""),56)</f>
        <v>56</v>
      </c>
      <c r="R20" s="1">
        <f ca="1">IFERROR(__xludf.DUMMYFUNCTION("""COMPUTED_VALUE"""),101.5)</f>
        <v>101.5</v>
      </c>
      <c r="S20" s="1">
        <f ca="1">IFERROR(__xludf.DUMMYFUNCTION("""COMPUTED_VALUE"""),60)</f>
        <v>60</v>
      </c>
      <c r="T20" s="1" t="str">
        <f ca="1">IFERROR(__xludf.DUMMYFUNCTION("""COMPUTED_VALUE"""),"+1.69")</f>
        <v>+1.69</v>
      </c>
      <c r="U20" s="1">
        <f ca="1">IFERROR(__xludf.DUMMYFUNCTION("""COMPUTED_VALUE"""),107)</f>
        <v>107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IFERROR(__xludf.DUMMYFUNCTION("""COMPUTED_VALUE"""),"Purdue4")</f>
        <v>Purdue4</v>
      </c>
      <c r="C21" s="1" t="str">
        <f ca="1">IFERROR(__xludf.DUMMYFUNCTION("""COMPUTED_VALUE"""),"B10")</f>
        <v>B10</v>
      </c>
      <c r="D21" s="1" t="str">
        <f ca="1">IFERROR(__xludf.DUMMYFUNCTION("""COMPUTED_VALUE"""),"27-8")</f>
        <v>27-8</v>
      </c>
      <c r="E21" s="1" t="str">
        <f ca="1">IFERROR(__xludf.DUMMYFUNCTION("""COMPUTED_VALUE"""),"+23.12")</f>
        <v>+23.12</v>
      </c>
      <c r="F21" s="1">
        <f ca="1">IFERROR(__xludf.DUMMYFUNCTION("""COMPUTED_VALUE"""),117)</f>
        <v>117</v>
      </c>
      <c r="G21" s="1">
        <f ca="1">IFERROR(__xludf.DUMMYFUNCTION("""COMPUTED_VALUE"""),24)</f>
        <v>24</v>
      </c>
      <c r="H21" s="1">
        <f ca="1">IFERROR(__xludf.DUMMYFUNCTION("""COMPUTED_VALUE"""),93.9)</f>
        <v>93.9</v>
      </c>
      <c r="I21" s="1">
        <f ca="1">IFERROR(__xludf.DUMMYFUNCTION("""COMPUTED_VALUE"""),23)</f>
        <v>23</v>
      </c>
      <c r="J21" s="1">
        <f ca="1">IFERROR(__xludf.DUMMYFUNCTION("""COMPUTED_VALUE"""),69.1)</f>
        <v>69.099999999999994</v>
      </c>
      <c r="K21" s="1">
        <f ca="1">IFERROR(__xludf.DUMMYFUNCTION("""COMPUTED_VALUE"""),113)</f>
        <v>113</v>
      </c>
      <c r="L21" s="1" t="str">
        <f ca="1">IFERROR(__xludf.DUMMYFUNCTION("""COMPUTED_VALUE"""),"+.016")</f>
        <v>+.016</v>
      </c>
      <c r="M21" s="1">
        <f ca="1">IFERROR(__xludf.DUMMYFUNCTION("""COMPUTED_VALUE"""),142)</f>
        <v>142</v>
      </c>
      <c r="N21" s="1" t="str">
        <f ca="1">IFERROR(__xludf.DUMMYFUNCTION("""COMPUTED_VALUE"""),"+9.00")</f>
        <v>+9.00</v>
      </c>
      <c r="O21" s="1">
        <f ca="1">IFERROR(__xludf.DUMMYFUNCTION("""COMPUTED_VALUE"""),38)</f>
        <v>38</v>
      </c>
      <c r="P21" s="1">
        <f ca="1">IFERROR(__xludf.DUMMYFUNCTION("""COMPUTED_VALUE"""),109.6)</f>
        <v>109.6</v>
      </c>
      <c r="Q21" s="1">
        <f ca="1">IFERROR(__xludf.DUMMYFUNCTION("""COMPUTED_VALUE"""),39)</f>
        <v>39</v>
      </c>
      <c r="R21" s="1">
        <f ca="1">IFERROR(__xludf.DUMMYFUNCTION("""COMPUTED_VALUE"""),100.6)</f>
        <v>100.6</v>
      </c>
      <c r="S21" s="1">
        <f ca="1">IFERROR(__xludf.DUMMYFUNCTION("""COMPUTED_VALUE"""),42)</f>
        <v>42</v>
      </c>
      <c r="T21" s="1">
        <f ca="1">IFERROR(__xludf.DUMMYFUNCTION("""COMPUTED_VALUE"""),-2.38)</f>
        <v>-2.38</v>
      </c>
      <c r="U21" s="1">
        <f ca="1">IFERROR(__xludf.DUMMYFUNCTION("""COMPUTED_VALUE"""),224)</f>
        <v>224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IFERROR(__xludf.DUMMYFUNCTION("""COMPUTED_VALUE"""),"Michigan7")</f>
        <v>Michigan7</v>
      </c>
      <c r="C22" s="1" t="str">
        <f ca="1">IFERROR(__xludf.DUMMYFUNCTION("""COMPUTED_VALUE"""),"B10")</f>
        <v>B10</v>
      </c>
      <c r="D22" s="1" t="str">
        <f ca="1">IFERROR(__xludf.DUMMYFUNCTION("""COMPUTED_VALUE"""),"26-12")</f>
        <v>26-12</v>
      </c>
      <c r="E22" s="1" t="str">
        <f ca="1">IFERROR(__xludf.DUMMYFUNCTION("""COMPUTED_VALUE"""),"+23.05")</f>
        <v>+23.05</v>
      </c>
      <c r="F22" s="1">
        <f ca="1">IFERROR(__xludf.DUMMYFUNCTION("""COMPUTED_VALUE"""),122.3)</f>
        <v>122.3</v>
      </c>
      <c r="G22" s="1">
        <f ca="1">IFERROR(__xludf.DUMMYFUNCTION("""COMPUTED_VALUE"""),4)</f>
        <v>4</v>
      </c>
      <c r="H22" s="1">
        <f ca="1">IFERROR(__xludf.DUMMYFUNCTION("""COMPUTED_VALUE"""),99.2)</f>
        <v>99.2</v>
      </c>
      <c r="I22" s="1">
        <f ca="1">IFERROR(__xludf.DUMMYFUNCTION("""COMPUTED_VALUE"""),69)</f>
        <v>69</v>
      </c>
      <c r="J22" s="1">
        <f ca="1">IFERROR(__xludf.DUMMYFUNCTION("""COMPUTED_VALUE"""),63.1)</f>
        <v>63.1</v>
      </c>
      <c r="K22" s="1">
        <f ca="1">IFERROR(__xludf.DUMMYFUNCTION("""COMPUTED_VALUE"""),338)</f>
        <v>338</v>
      </c>
      <c r="L22" s="1">
        <f ca="1">IFERROR(__xludf.DUMMYFUNCTION("""COMPUTED_VALUE"""),-0.025)</f>
        <v>-2.5000000000000001E-2</v>
      </c>
      <c r="M22" s="1">
        <f ca="1">IFERROR(__xludf.DUMMYFUNCTION("""COMPUTED_VALUE"""),252)</f>
        <v>252</v>
      </c>
      <c r="N22" s="1" t="str">
        <f ca="1">IFERROR(__xludf.DUMMYFUNCTION("""COMPUTED_VALUE"""),"+10.76")</f>
        <v>+10.76</v>
      </c>
      <c r="O22" s="1">
        <f ca="1">IFERROR(__xludf.DUMMYFUNCTION("""COMPUTED_VALUE"""),23)</f>
        <v>23</v>
      </c>
      <c r="P22" s="1">
        <f ca="1">IFERROR(__xludf.DUMMYFUNCTION("""COMPUTED_VALUE"""),110.3)</f>
        <v>110.3</v>
      </c>
      <c r="Q22" s="1">
        <f ca="1">IFERROR(__xludf.DUMMYFUNCTION("""COMPUTED_VALUE"""),26)</f>
        <v>26</v>
      </c>
      <c r="R22" s="1">
        <f ca="1">IFERROR(__xludf.DUMMYFUNCTION("""COMPUTED_VALUE"""),99.5)</f>
        <v>99.5</v>
      </c>
      <c r="S22" s="1">
        <f ca="1">IFERROR(__xludf.DUMMYFUNCTION("""COMPUTED_VALUE"""),18)</f>
        <v>18</v>
      </c>
      <c r="T22" s="1">
        <f ca="1">IFERROR(__xludf.DUMMYFUNCTION("""COMPUTED_VALUE"""),-0.53)</f>
        <v>-0.53</v>
      </c>
      <c r="U22" s="1">
        <f ca="1">IFERROR(__xludf.DUMMYFUNCTION("""COMPUTED_VALUE"""),170)</f>
        <v>170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IFERROR(__xludf.DUMMYFUNCTION("""COMPUTED_VALUE"""),"Wisconsin8")</f>
        <v>Wisconsin8</v>
      </c>
      <c r="C23" s="1" t="str">
        <f ca="1">IFERROR(__xludf.DUMMYFUNCTION("""COMPUTED_VALUE"""),"B10")</f>
        <v>B10</v>
      </c>
      <c r="D23" s="1" t="str">
        <f ca="1">IFERROR(__xludf.DUMMYFUNCTION("""COMPUTED_VALUE"""),"27-10")</f>
        <v>27-10</v>
      </c>
      <c r="E23" s="1" t="str">
        <f ca="1">IFERROR(__xludf.DUMMYFUNCTION("""COMPUTED_VALUE"""),"+22.99")</f>
        <v>+22.99</v>
      </c>
      <c r="F23" s="1">
        <f ca="1">IFERROR(__xludf.DUMMYFUNCTION("""COMPUTED_VALUE"""),115.1)</f>
        <v>115.1</v>
      </c>
      <c r="G23" s="1">
        <f ca="1">IFERROR(__xludf.DUMMYFUNCTION("""COMPUTED_VALUE"""),33)</f>
        <v>33</v>
      </c>
      <c r="H23" s="1">
        <f ca="1">IFERROR(__xludf.DUMMYFUNCTION("""COMPUTED_VALUE"""),92.1)</f>
        <v>92.1</v>
      </c>
      <c r="I23" s="1">
        <f ca="1">IFERROR(__xludf.DUMMYFUNCTION("""COMPUTED_VALUE"""),9)</f>
        <v>9</v>
      </c>
      <c r="J23" s="1">
        <f ca="1">IFERROR(__xludf.DUMMYFUNCTION("""COMPUTED_VALUE"""),63.4)</f>
        <v>63.4</v>
      </c>
      <c r="K23" s="1">
        <f ca="1">IFERROR(__xludf.DUMMYFUNCTION("""COMPUTED_VALUE"""),334)</f>
        <v>334</v>
      </c>
      <c r="L23" s="1">
        <f ca="1">IFERROR(__xludf.DUMMYFUNCTION("""COMPUTED_VALUE"""),-0.003)</f>
        <v>-3.0000000000000001E-3</v>
      </c>
      <c r="M23" s="1">
        <f ca="1">IFERROR(__xludf.DUMMYFUNCTION("""COMPUTED_VALUE"""),193)</f>
        <v>193</v>
      </c>
      <c r="N23" s="1" t="str">
        <f ca="1">IFERROR(__xludf.DUMMYFUNCTION("""COMPUTED_VALUE"""),"+10.00")</f>
        <v>+10.00</v>
      </c>
      <c r="O23" s="1">
        <f ca="1">IFERROR(__xludf.DUMMYFUNCTION("""COMPUTED_VALUE"""),29)</f>
        <v>29</v>
      </c>
      <c r="P23" s="1">
        <f ca="1">IFERROR(__xludf.DUMMYFUNCTION("""COMPUTED_VALUE"""),110.6)</f>
        <v>110.6</v>
      </c>
      <c r="Q23" s="1">
        <f ca="1">IFERROR(__xludf.DUMMYFUNCTION("""COMPUTED_VALUE"""),22)</f>
        <v>22</v>
      </c>
      <c r="R23" s="1">
        <f ca="1">IFERROR(__xludf.DUMMYFUNCTION("""COMPUTED_VALUE"""),100.6)</f>
        <v>100.6</v>
      </c>
      <c r="S23" s="1">
        <f ca="1">IFERROR(__xludf.DUMMYFUNCTION("""COMPUTED_VALUE"""),38)</f>
        <v>38</v>
      </c>
      <c r="T23" s="1">
        <f ca="1">IFERROR(__xludf.DUMMYFUNCTION("""COMPUTED_VALUE"""),-1.29)</f>
        <v>-1.29</v>
      </c>
      <c r="U23" s="1">
        <f ca="1">IFERROR(__xludf.DUMMYFUNCTION("""COMPUTED_VALUE"""),193)</f>
        <v>193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IFERROR(__xludf.DUMMYFUNCTION("""COMPUTED_VALUE"""),"Oklahoma St.10")</f>
        <v>Oklahoma St.10</v>
      </c>
      <c r="C24" s="1" t="str">
        <f ca="1">IFERROR(__xludf.DUMMYFUNCTION("""COMPUTED_VALUE"""),"B12")</f>
        <v>B12</v>
      </c>
      <c r="D24" s="1" t="str">
        <f ca="1">IFERROR(__xludf.DUMMYFUNCTION("""COMPUTED_VALUE"""),"20-13")</f>
        <v>20-13</v>
      </c>
      <c r="E24" s="1" t="str">
        <f ca="1">IFERROR(__xludf.DUMMYFUNCTION("""COMPUTED_VALUE"""),"+22.48")</f>
        <v>+22.48</v>
      </c>
      <c r="F24" s="1">
        <f ca="1">IFERROR(__xludf.DUMMYFUNCTION("""COMPUTED_VALUE"""),126)</f>
        <v>126</v>
      </c>
      <c r="G24" s="1">
        <f ca="1">IFERROR(__xludf.DUMMYFUNCTION("""COMPUTED_VALUE"""),1)</f>
        <v>1</v>
      </c>
      <c r="H24" s="1">
        <f ca="1">IFERROR(__xludf.DUMMYFUNCTION("""COMPUTED_VALUE"""),103.5)</f>
        <v>103.5</v>
      </c>
      <c r="I24" s="1">
        <f ca="1">IFERROR(__xludf.DUMMYFUNCTION("""COMPUTED_VALUE"""),155)</f>
        <v>155</v>
      </c>
      <c r="J24" s="1">
        <f ca="1">IFERROR(__xludf.DUMMYFUNCTION("""COMPUTED_VALUE"""),70.4)</f>
        <v>70.400000000000006</v>
      </c>
      <c r="K24" s="1">
        <f ca="1">IFERROR(__xludf.DUMMYFUNCTION("""COMPUTED_VALUE"""),66)</f>
        <v>66</v>
      </c>
      <c r="L24" s="1">
        <f ca="1">IFERROR(__xludf.DUMMYFUNCTION("""COMPUTED_VALUE"""),-0.071)</f>
        <v>-7.0999999999999994E-2</v>
      </c>
      <c r="M24" s="1">
        <f ca="1">IFERROR(__xludf.DUMMYFUNCTION("""COMPUTED_VALUE"""),324)</f>
        <v>324</v>
      </c>
      <c r="N24" s="1" t="str">
        <f ca="1">IFERROR(__xludf.DUMMYFUNCTION("""COMPUTED_VALUE"""),"+14.42")</f>
        <v>+14.42</v>
      </c>
      <c r="O24" s="1">
        <f ca="1">IFERROR(__xludf.DUMMYFUNCTION("""COMPUTED_VALUE"""),1)</f>
        <v>1</v>
      </c>
      <c r="P24" s="1">
        <f ca="1">IFERROR(__xludf.DUMMYFUNCTION("""COMPUTED_VALUE"""),112)</f>
        <v>112</v>
      </c>
      <c r="Q24" s="1">
        <f ca="1">IFERROR(__xludf.DUMMYFUNCTION("""COMPUTED_VALUE"""),5)</f>
        <v>5</v>
      </c>
      <c r="R24" s="1">
        <f ca="1">IFERROR(__xludf.DUMMYFUNCTION("""COMPUTED_VALUE"""),97.6)</f>
        <v>97.6</v>
      </c>
      <c r="S24" s="1">
        <f ca="1">IFERROR(__xludf.DUMMYFUNCTION("""COMPUTED_VALUE"""),1)</f>
        <v>1</v>
      </c>
      <c r="T24" s="1" t="str">
        <f ca="1">IFERROR(__xludf.DUMMYFUNCTION("""COMPUTED_VALUE"""),"+3.07")</f>
        <v>+3.07</v>
      </c>
      <c r="U24" s="1">
        <f ca="1">IFERROR(__xludf.DUMMYFUNCTION("""COMPUTED_VALUE"""),67)</f>
        <v>67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IFERROR(__xludf.DUMMYFUNCTION("""COMPUTED_VALUE"""),"Cincinnati6")</f>
        <v>Cincinnati6</v>
      </c>
      <c r="C25" s="1" t="str">
        <f ca="1">IFERROR(__xludf.DUMMYFUNCTION("""COMPUTED_VALUE"""),"Amer")</f>
        <v>Amer</v>
      </c>
      <c r="D25" s="1" t="str">
        <f ca="1">IFERROR(__xludf.DUMMYFUNCTION("""COMPUTED_VALUE"""),"30-6")</f>
        <v>30-6</v>
      </c>
      <c r="E25" s="1" t="str">
        <f ca="1">IFERROR(__xludf.DUMMYFUNCTION("""COMPUTED_VALUE"""),"+22.18")</f>
        <v>+22.18</v>
      </c>
      <c r="F25" s="1">
        <f ca="1">IFERROR(__xludf.DUMMYFUNCTION("""COMPUTED_VALUE"""),114.9)</f>
        <v>114.9</v>
      </c>
      <c r="G25" s="1">
        <f ca="1">IFERROR(__xludf.DUMMYFUNCTION("""COMPUTED_VALUE"""),34)</f>
        <v>34</v>
      </c>
      <c r="H25" s="1">
        <f ca="1">IFERROR(__xludf.DUMMYFUNCTION("""COMPUTED_VALUE"""),92.8)</f>
        <v>92.8</v>
      </c>
      <c r="I25" s="1">
        <f ca="1">IFERROR(__xludf.DUMMYFUNCTION("""COMPUTED_VALUE"""),15)</f>
        <v>15</v>
      </c>
      <c r="J25" s="1">
        <f ca="1">IFERROR(__xludf.DUMMYFUNCTION("""COMPUTED_VALUE"""),63.5)</f>
        <v>63.5</v>
      </c>
      <c r="K25" s="1">
        <f ca="1">IFERROR(__xludf.DUMMYFUNCTION("""COMPUTED_VALUE"""),330)</f>
        <v>330</v>
      </c>
      <c r="L25" s="1" t="str">
        <f ca="1">IFERROR(__xludf.DUMMYFUNCTION("""COMPUTED_VALUE"""),"+.026")</f>
        <v>+.026</v>
      </c>
      <c r="M25" s="1">
        <f ca="1">IFERROR(__xludf.DUMMYFUNCTION("""COMPUTED_VALUE"""),116)</f>
        <v>116</v>
      </c>
      <c r="N25" s="1" t="str">
        <f ca="1">IFERROR(__xludf.DUMMYFUNCTION("""COMPUTED_VALUE"""),"+4.17")</f>
        <v>+4.17</v>
      </c>
      <c r="O25" s="1">
        <f ca="1">IFERROR(__xludf.DUMMYFUNCTION("""COMPUTED_VALUE"""),80)</f>
        <v>80</v>
      </c>
      <c r="P25" s="1">
        <f ca="1">IFERROR(__xludf.DUMMYFUNCTION("""COMPUTED_VALUE"""),107.1)</f>
        <v>107.1</v>
      </c>
      <c r="Q25" s="1">
        <f ca="1">IFERROR(__xludf.DUMMYFUNCTION("""COMPUTED_VALUE"""),75)</f>
        <v>75</v>
      </c>
      <c r="R25" s="1">
        <f ca="1">IFERROR(__xludf.DUMMYFUNCTION("""COMPUTED_VALUE"""),103)</f>
        <v>103</v>
      </c>
      <c r="S25" s="1">
        <f ca="1">IFERROR(__xludf.DUMMYFUNCTION("""COMPUTED_VALUE"""),94)</f>
        <v>94</v>
      </c>
      <c r="T25" s="1">
        <f ca="1">IFERROR(__xludf.DUMMYFUNCTION("""COMPUTED_VALUE"""),-0.47)</f>
        <v>-0.47</v>
      </c>
      <c r="U25" s="1">
        <f ca="1">IFERROR(__xludf.DUMMYFUNCTION("""COMPUTED_VALUE"""),167)</f>
        <v>167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IFERROR(__xludf.DUMMYFUNCTION("""COMPUTED_VALUE"""),"South Carolina7")</f>
        <v>South Carolina7</v>
      </c>
      <c r="C26" s="1" t="str">
        <f ca="1">IFERROR(__xludf.DUMMYFUNCTION("""COMPUTED_VALUE"""),"SEC")</f>
        <v>SEC</v>
      </c>
      <c r="D26" s="1" t="str">
        <f ca="1">IFERROR(__xludf.DUMMYFUNCTION("""COMPUTED_VALUE"""),"26-11")</f>
        <v>26-11</v>
      </c>
      <c r="E26" s="1" t="str">
        <f ca="1">IFERROR(__xludf.DUMMYFUNCTION("""COMPUTED_VALUE"""),"+20.80")</f>
        <v>+20.80</v>
      </c>
      <c r="F26" s="1">
        <f ca="1">IFERROR(__xludf.DUMMYFUNCTION("""COMPUTED_VALUE"""),108.9)</f>
        <v>108.9</v>
      </c>
      <c r="G26" s="1">
        <f ca="1">IFERROR(__xludf.DUMMYFUNCTION("""COMPUTED_VALUE"""),91)</f>
        <v>91</v>
      </c>
      <c r="H26" s="1">
        <f ca="1">IFERROR(__xludf.DUMMYFUNCTION("""COMPUTED_VALUE"""),88.1)</f>
        <v>88.1</v>
      </c>
      <c r="I26" s="1">
        <f ca="1">IFERROR(__xludf.DUMMYFUNCTION("""COMPUTED_VALUE"""),3)</f>
        <v>3</v>
      </c>
      <c r="J26" s="1">
        <f ca="1">IFERROR(__xludf.DUMMYFUNCTION("""COMPUTED_VALUE"""),68.6)</f>
        <v>68.599999999999994</v>
      </c>
      <c r="K26" s="1">
        <f ca="1">IFERROR(__xludf.DUMMYFUNCTION("""COMPUTED_VALUE"""),145)</f>
        <v>145</v>
      </c>
      <c r="L26" s="1">
        <f ca="1">IFERROR(__xludf.DUMMYFUNCTION("""COMPUTED_VALUE"""),-0.005)</f>
        <v>-5.0000000000000001E-3</v>
      </c>
      <c r="M26" s="1">
        <f ca="1">IFERROR(__xludf.DUMMYFUNCTION("""COMPUTED_VALUE"""),197)</f>
        <v>197</v>
      </c>
      <c r="N26" s="1" t="str">
        <f ca="1">IFERROR(__xludf.DUMMYFUNCTION("""COMPUTED_VALUE"""),"+10.63")</f>
        <v>+10.63</v>
      </c>
      <c r="O26" s="1">
        <f ca="1">IFERROR(__xludf.DUMMYFUNCTION("""COMPUTED_VALUE"""),24)</f>
        <v>24</v>
      </c>
      <c r="P26" s="1">
        <f ca="1">IFERROR(__xludf.DUMMYFUNCTION("""COMPUTED_VALUE"""),110.2)</f>
        <v>110.2</v>
      </c>
      <c r="Q26" s="1">
        <f ca="1">IFERROR(__xludf.DUMMYFUNCTION("""COMPUTED_VALUE"""),31)</f>
        <v>31</v>
      </c>
      <c r="R26" s="1">
        <f ca="1">IFERROR(__xludf.DUMMYFUNCTION("""COMPUTED_VALUE"""),99.5)</f>
        <v>99.5</v>
      </c>
      <c r="S26" s="1">
        <f ca="1">IFERROR(__xludf.DUMMYFUNCTION("""COMPUTED_VALUE"""),17)</f>
        <v>17</v>
      </c>
      <c r="T26" s="1" t="str">
        <f ca="1">IFERROR(__xludf.DUMMYFUNCTION("""COMPUTED_VALUE"""),"+1.93")</f>
        <v>+1.93</v>
      </c>
      <c r="U26" s="1">
        <f ca="1">IFERROR(__xludf.DUMMYFUNCTION("""COMPUTED_VALUE"""),96)</f>
        <v>96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IFERROR(__xludf.DUMMYFUNCTION("""COMPUTED_VALUE"""),"Butler4")</f>
        <v>Butler4</v>
      </c>
      <c r="C27" s="1" t="str">
        <f ca="1">IFERROR(__xludf.DUMMYFUNCTION("""COMPUTED_VALUE"""),"BE")</f>
        <v>BE</v>
      </c>
      <c r="D27" s="1" t="str">
        <f ca="1">IFERROR(__xludf.DUMMYFUNCTION("""COMPUTED_VALUE"""),"25-9")</f>
        <v>25-9</v>
      </c>
      <c r="E27" s="1" t="str">
        <f ca="1">IFERROR(__xludf.DUMMYFUNCTION("""COMPUTED_VALUE"""),"+20.76")</f>
        <v>+20.76</v>
      </c>
      <c r="F27" s="1">
        <f ca="1">IFERROR(__xludf.DUMMYFUNCTION("""COMPUTED_VALUE"""),117.7)</f>
        <v>117.7</v>
      </c>
      <c r="G27" s="1">
        <f ca="1">IFERROR(__xludf.DUMMYFUNCTION("""COMPUTED_VALUE"""),20)</f>
        <v>20</v>
      </c>
      <c r="H27" s="1">
        <f ca="1">IFERROR(__xludf.DUMMYFUNCTION("""COMPUTED_VALUE"""),97)</f>
        <v>97</v>
      </c>
      <c r="I27" s="1">
        <f ca="1">IFERROR(__xludf.DUMMYFUNCTION("""COMPUTED_VALUE"""),49)</f>
        <v>49</v>
      </c>
      <c r="J27" s="1">
        <f ca="1">IFERROR(__xludf.DUMMYFUNCTION("""COMPUTED_VALUE"""),65.9)</f>
        <v>65.900000000000006</v>
      </c>
      <c r="K27" s="1">
        <f ca="1">IFERROR(__xludf.DUMMYFUNCTION("""COMPUTED_VALUE"""),278)</f>
        <v>278</v>
      </c>
      <c r="L27" s="1" t="str">
        <f ca="1">IFERROR(__xludf.DUMMYFUNCTION("""COMPUTED_VALUE"""),"+.002")</f>
        <v>+.002</v>
      </c>
      <c r="M27" s="1">
        <f ca="1">IFERROR(__xludf.DUMMYFUNCTION("""COMPUTED_VALUE"""),185)</f>
        <v>185</v>
      </c>
      <c r="N27" s="1" t="str">
        <f ca="1">IFERROR(__xludf.DUMMYFUNCTION("""COMPUTED_VALUE"""),"+10.81")</f>
        <v>+10.81</v>
      </c>
      <c r="O27" s="1">
        <f ca="1">IFERROR(__xludf.DUMMYFUNCTION("""COMPUTED_VALUE"""),22)</f>
        <v>22</v>
      </c>
      <c r="P27" s="1">
        <f ca="1">IFERROR(__xludf.DUMMYFUNCTION("""COMPUTED_VALUE"""),110.8)</f>
        <v>110.8</v>
      </c>
      <c r="Q27" s="1">
        <f ca="1">IFERROR(__xludf.DUMMYFUNCTION("""COMPUTED_VALUE"""),17)</f>
        <v>17</v>
      </c>
      <c r="R27" s="1">
        <f ca="1">IFERROR(__xludf.DUMMYFUNCTION("""COMPUTED_VALUE"""),100)</f>
        <v>100</v>
      </c>
      <c r="S27" s="1">
        <f ca="1">IFERROR(__xludf.DUMMYFUNCTION("""COMPUTED_VALUE"""),25)</f>
        <v>25</v>
      </c>
      <c r="T27" s="1" t="str">
        <f ca="1">IFERROR(__xludf.DUMMYFUNCTION("""COMPUTED_VALUE"""),"+5.12")</f>
        <v>+5.12</v>
      </c>
      <c r="U27" s="1">
        <f ca="1">IFERROR(__xludf.DUMMYFUNCTION("""COMPUTED_VALUE"""),40)</f>
        <v>40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IFERROR(__xludf.DUMMYFUNCTION("""COMPUTED_VALUE"""),"Florida St.3")</f>
        <v>Florida St.3</v>
      </c>
      <c r="C28" s="1" t="str">
        <f ca="1">IFERROR(__xludf.DUMMYFUNCTION("""COMPUTED_VALUE"""),"ACC")</f>
        <v>ACC</v>
      </c>
      <c r="D28" s="1" t="str">
        <f ca="1">IFERROR(__xludf.DUMMYFUNCTION("""COMPUTED_VALUE"""),"26-9")</f>
        <v>26-9</v>
      </c>
      <c r="E28" s="1" t="str">
        <f ca="1">IFERROR(__xludf.DUMMYFUNCTION("""COMPUTED_VALUE"""),"+20.06")</f>
        <v>+20.06</v>
      </c>
      <c r="F28" s="1">
        <f ca="1">IFERROR(__xludf.DUMMYFUNCTION("""COMPUTED_VALUE"""),115.5)</f>
        <v>115.5</v>
      </c>
      <c r="G28" s="1">
        <f ca="1">IFERROR(__xludf.DUMMYFUNCTION("""COMPUTED_VALUE"""),31)</f>
        <v>31</v>
      </c>
      <c r="H28" s="1">
        <f ca="1">IFERROR(__xludf.DUMMYFUNCTION("""COMPUTED_VALUE"""),95.5)</f>
        <v>95.5</v>
      </c>
      <c r="I28" s="1">
        <f ca="1">IFERROR(__xludf.DUMMYFUNCTION("""COMPUTED_VALUE"""),31)</f>
        <v>31</v>
      </c>
      <c r="J28" s="1">
        <f ca="1">IFERROR(__xludf.DUMMYFUNCTION("""COMPUTED_VALUE"""),71.3)</f>
        <v>71.3</v>
      </c>
      <c r="K28" s="1">
        <f ca="1">IFERROR(__xludf.DUMMYFUNCTION("""COMPUTED_VALUE"""),41)</f>
        <v>41</v>
      </c>
      <c r="L28" s="1" t="str">
        <f ca="1">IFERROR(__xludf.DUMMYFUNCTION("""COMPUTED_VALUE"""),"+.039")</f>
        <v>+.039</v>
      </c>
      <c r="M28" s="1">
        <f ca="1">IFERROR(__xludf.DUMMYFUNCTION("""COMPUTED_VALUE"""),78)</f>
        <v>78</v>
      </c>
      <c r="N28" s="1" t="str">
        <f ca="1">IFERROR(__xludf.DUMMYFUNCTION("""COMPUTED_VALUE"""),"+8.82")</f>
        <v>+8.82</v>
      </c>
      <c r="O28" s="1">
        <f ca="1">IFERROR(__xludf.DUMMYFUNCTION("""COMPUTED_VALUE"""),40)</f>
        <v>40</v>
      </c>
      <c r="P28" s="1">
        <f ca="1">IFERROR(__xludf.DUMMYFUNCTION("""COMPUTED_VALUE"""),110.6)</f>
        <v>110.6</v>
      </c>
      <c r="Q28" s="1">
        <f ca="1">IFERROR(__xludf.DUMMYFUNCTION("""COMPUTED_VALUE"""),19)</f>
        <v>19</v>
      </c>
      <c r="R28" s="1">
        <f ca="1">IFERROR(__xludf.DUMMYFUNCTION("""COMPUTED_VALUE"""),101.8)</f>
        <v>101.8</v>
      </c>
      <c r="S28" s="1">
        <f ca="1">IFERROR(__xludf.DUMMYFUNCTION("""COMPUTED_VALUE"""),68)</f>
        <v>68</v>
      </c>
      <c r="T28" s="1">
        <f ca="1">IFERROR(__xludf.DUMMYFUNCTION("""COMPUTED_VALUE"""),-3.95)</f>
        <v>-3.95</v>
      </c>
      <c r="U28" s="1">
        <f ca="1">IFERROR(__xludf.DUMMYFUNCTION("""COMPUTED_VALUE"""),272)</f>
        <v>272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IFERROR(__xludf.DUMMYFUNCTION("""COMPUTED_VALUE"""),"Notre Dame5")</f>
        <v>Notre Dame5</v>
      </c>
      <c r="C29" s="1" t="str">
        <f ca="1">IFERROR(__xludf.DUMMYFUNCTION("""COMPUTED_VALUE"""),"ACC")</f>
        <v>ACC</v>
      </c>
      <c r="D29" s="1" t="str">
        <f ca="1">IFERROR(__xludf.DUMMYFUNCTION("""COMPUTED_VALUE"""),"26-10")</f>
        <v>26-10</v>
      </c>
      <c r="E29" s="1" t="str">
        <f ca="1">IFERROR(__xludf.DUMMYFUNCTION("""COMPUTED_VALUE"""),"+19.74")</f>
        <v>+19.74</v>
      </c>
      <c r="F29" s="1">
        <f ca="1">IFERROR(__xludf.DUMMYFUNCTION("""COMPUTED_VALUE"""),118.1)</f>
        <v>118.1</v>
      </c>
      <c r="G29" s="1">
        <f ca="1">IFERROR(__xludf.DUMMYFUNCTION("""COMPUTED_VALUE"""),18)</f>
        <v>18</v>
      </c>
      <c r="H29" s="1">
        <f ca="1">IFERROR(__xludf.DUMMYFUNCTION("""COMPUTED_VALUE"""),98.4)</f>
        <v>98.4</v>
      </c>
      <c r="I29" s="1">
        <f ca="1">IFERROR(__xludf.DUMMYFUNCTION("""COMPUTED_VALUE"""),61)</f>
        <v>61</v>
      </c>
      <c r="J29" s="1">
        <f ca="1">IFERROR(__xludf.DUMMYFUNCTION("""COMPUTED_VALUE"""),67)</f>
        <v>67</v>
      </c>
      <c r="K29" s="1">
        <f ca="1">IFERROR(__xludf.DUMMYFUNCTION("""COMPUTED_VALUE"""),236)</f>
        <v>236</v>
      </c>
      <c r="L29" s="1" t="str">
        <f ca="1">IFERROR(__xludf.DUMMYFUNCTION("""COMPUTED_VALUE"""),"+.024")</f>
        <v>+.024</v>
      </c>
      <c r="M29" s="1">
        <f ca="1">IFERROR(__xludf.DUMMYFUNCTION("""COMPUTED_VALUE"""),120)</f>
        <v>120</v>
      </c>
      <c r="N29" s="1" t="str">
        <f ca="1">IFERROR(__xludf.DUMMYFUNCTION("""COMPUTED_VALUE"""),"+10.24")</f>
        <v>+10.24</v>
      </c>
      <c r="O29" s="1">
        <f ca="1">IFERROR(__xludf.DUMMYFUNCTION("""COMPUTED_VALUE"""),28)</f>
        <v>28</v>
      </c>
      <c r="P29" s="1">
        <f ca="1">IFERROR(__xludf.DUMMYFUNCTION("""COMPUTED_VALUE"""),110.1)</f>
        <v>110.1</v>
      </c>
      <c r="Q29" s="1">
        <f ca="1">IFERROR(__xludf.DUMMYFUNCTION("""COMPUTED_VALUE"""),35)</f>
        <v>35</v>
      </c>
      <c r="R29" s="1">
        <f ca="1">IFERROR(__xludf.DUMMYFUNCTION("""COMPUTED_VALUE"""),99.8)</f>
        <v>99.8</v>
      </c>
      <c r="S29" s="1">
        <f ca="1">IFERROR(__xludf.DUMMYFUNCTION("""COMPUTED_VALUE"""),23)</f>
        <v>23</v>
      </c>
      <c r="T29" s="1">
        <f ca="1">IFERROR(__xludf.DUMMYFUNCTION("""COMPUTED_VALUE"""),-3.85)</f>
        <v>-3.85</v>
      </c>
      <c r="U29" s="1">
        <f ca="1">IFERROR(__xludf.DUMMYFUNCTION("""COMPUTED_VALUE"""),270)</f>
        <v>270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IFERROR(__xludf.DUMMYFUNCTION("""COMPUTED_VALUE"""),"Creighton6")</f>
        <v>Creighton6</v>
      </c>
      <c r="C30" s="1" t="str">
        <f ca="1">IFERROR(__xludf.DUMMYFUNCTION("""COMPUTED_VALUE"""),"BE")</f>
        <v>BE</v>
      </c>
      <c r="D30" s="1" t="str">
        <f ca="1">IFERROR(__xludf.DUMMYFUNCTION("""COMPUTED_VALUE"""),"25-10")</f>
        <v>25-10</v>
      </c>
      <c r="E30" s="1" t="str">
        <f ca="1">IFERROR(__xludf.DUMMYFUNCTION("""COMPUTED_VALUE"""),"+18.83")</f>
        <v>+18.83</v>
      </c>
      <c r="F30" s="1">
        <f ca="1">IFERROR(__xludf.DUMMYFUNCTION("""COMPUTED_VALUE"""),115.3)</f>
        <v>115.3</v>
      </c>
      <c r="G30" s="1">
        <f ca="1">IFERROR(__xludf.DUMMYFUNCTION("""COMPUTED_VALUE"""),32)</f>
        <v>32</v>
      </c>
      <c r="H30" s="1">
        <f ca="1">IFERROR(__xludf.DUMMYFUNCTION("""COMPUTED_VALUE"""),96.5)</f>
        <v>96.5</v>
      </c>
      <c r="I30" s="1">
        <f ca="1">IFERROR(__xludf.DUMMYFUNCTION("""COMPUTED_VALUE"""),46)</f>
        <v>46</v>
      </c>
      <c r="J30" s="1">
        <f ca="1">IFERROR(__xludf.DUMMYFUNCTION("""COMPUTED_VALUE"""),71.2)</f>
        <v>71.2</v>
      </c>
      <c r="K30" s="1">
        <f ca="1">IFERROR(__xludf.DUMMYFUNCTION("""COMPUTED_VALUE"""),45)</f>
        <v>45</v>
      </c>
      <c r="L30" s="1" t="str">
        <f ca="1">IFERROR(__xludf.DUMMYFUNCTION("""COMPUTED_VALUE"""),"+.004")</f>
        <v>+.004</v>
      </c>
      <c r="M30" s="1">
        <f ca="1">IFERROR(__xludf.DUMMYFUNCTION("""COMPUTED_VALUE"""),181)</f>
        <v>181</v>
      </c>
      <c r="N30" s="1" t="str">
        <f ca="1">IFERROR(__xludf.DUMMYFUNCTION("""COMPUTED_VALUE"""),"+8.97")</f>
        <v>+8.97</v>
      </c>
      <c r="O30" s="1">
        <f ca="1">IFERROR(__xludf.DUMMYFUNCTION("""COMPUTED_VALUE"""),39)</f>
        <v>39</v>
      </c>
      <c r="P30" s="1">
        <f ca="1">IFERROR(__xludf.DUMMYFUNCTION("""COMPUTED_VALUE"""),110.3)</f>
        <v>110.3</v>
      </c>
      <c r="Q30" s="1">
        <f ca="1">IFERROR(__xludf.DUMMYFUNCTION("""COMPUTED_VALUE"""),27)</f>
        <v>27</v>
      </c>
      <c r="R30" s="1">
        <f ca="1">IFERROR(__xludf.DUMMYFUNCTION("""COMPUTED_VALUE"""),101.3)</f>
        <v>101.3</v>
      </c>
      <c r="S30" s="1">
        <f ca="1">IFERROR(__xludf.DUMMYFUNCTION("""COMPUTED_VALUE"""),57)</f>
        <v>57</v>
      </c>
      <c r="T30" s="1">
        <f ca="1">IFERROR(__xludf.DUMMYFUNCTION("""COMPUTED_VALUE"""),-1.24)</f>
        <v>-1.24</v>
      </c>
      <c r="U30" s="1">
        <f ca="1">IFERROR(__xludf.DUMMYFUNCTION("""COMPUTED_VALUE"""),192)</f>
        <v>192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IFERROR(__xludf.DUMMYFUNCTION("""COMPUTED_VALUE"""),"TCU4")</f>
        <v>TCU4</v>
      </c>
      <c r="C31" s="1" t="str">
        <f ca="1">IFERROR(__xludf.DUMMYFUNCTION("""COMPUTED_VALUE"""),"B12")</f>
        <v>B12</v>
      </c>
      <c r="D31" s="1" t="str">
        <f ca="1">IFERROR(__xludf.DUMMYFUNCTION("""COMPUTED_VALUE"""),"24-15")</f>
        <v>24-15</v>
      </c>
      <c r="E31" s="1" t="str">
        <f ca="1">IFERROR(__xludf.DUMMYFUNCTION("""COMPUTED_VALUE"""),"+17.51")</f>
        <v>+17.51</v>
      </c>
      <c r="F31" s="1">
        <f ca="1">IFERROR(__xludf.DUMMYFUNCTION("""COMPUTED_VALUE"""),114.5)</f>
        <v>114.5</v>
      </c>
      <c r="G31" s="1">
        <f ca="1">IFERROR(__xludf.DUMMYFUNCTION("""COMPUTED_VALUE"""),37)</f>
        <v>37</v>
      </c>
      <c r="H31" s="1">
        <f ca="1">IFERROR(__xludf.DUMMYFUNCTION("""COMPUTED_VALUE"""),97)</f>
        <v>97</v>
      </c>
      <c r="I31" s="1">
        <f ca="1">IFERROR(__xludf.DUMMYFUNCTION("""COMPUTED_VALUE"""),50)</f>
        <v>50</v>
      </c>
      <c r="J31" s="1">
        <f ca="1">IFERROR(__xludf.DUMMYFUNCTION("""COMPUTED_VALUE"""),67.1)</f>
        <v>67.099999999999994</v>
      </c>
      <c r="K31" s="1">
        <f ca="1">IFERROR(__xludf.DUMMYFUNCTION("""COMPUTED_VALUE"""),230)</f>
        <v>230</v>
      </c>
      <c r="L31" s="1">
        <f ca="1">IFERROR(__xludf.DUMMYFUNCTION("""COMPUTED_VALUE"""),-0.008)</f>
        <v>-8.0000000000000002E-3</v>
      </c>
      <c r="M31" s="1">
        <f ca="1">IFERROR(__xludf.DUMMYFUNCTION("""COMPUTED_VALUE"""),203)</f>
        <v>203</v>
      </c>
      <c r="N31" s="1" t="str">
        <f ca="1">IFERROR(__xludf.DUMMYFUNCTION("""COMPUTED_VALUE"""),"+11.28")</f>
        <v>+11.28</v>
      </c>
      <c r="O31" s="1">
        <f ca="1">IFERROR(__xludf.DUMMYFUNCTION("""COMPUTED_VALUE"""),15)</f>
        <v>15</v>
      </c>
      <c r="P31" s="1">
        <f ca="1">IFERROR(__xludf.DUMMYFUNCTION("""COMPUTED_VALUE"""),110.6)</f>
        <v>110.6</v>
      </c>
      <c r="Q31" s="1">
        <f ca="1">IFERROR(__xludf.DUMMYFUNCTION("""COMPUTED_VALUE"""),23)</f>
        <v>23</v>
      </c>
      <c r="R31" s="1">
        <f ca="1">IFERROR(__xludf.DUMMYFUNCTION("""COMPUTED_VALUE"""),99.3)</f>
        <v>99.3</v>
      </c>
      <c r="S31" s="1">
        <f ca="1">IFERROR(__xludf.DUMMYFUNCTION("""COMPUTED_VALUE"""),13)</f>
        <v>13</v>
      </c>
      <c r="T31" s="1">
        <f ca="1">IFERROR(__xludf.DUMMYFUNCTION("""COMPUTED_VALUE"""),-3.16)</f>
        <v>-3.16</v>
      </c>
      <c r="U31" s="1">
        <f ca="1">IFERROR(__xludf.DUMMYFUNCTION("""COMPUTED_VALUE"""),245)</f>
        <v>245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IFERROR(__xludf.DUMMYFUNCTION("""COMPUTED_VALUE"""),"Kansas St.11")</f>
        <v>Kansas St.11</v>
      </c>
      <c r="C32" s="1" t="str">
        <f ca="1">IFERROR(__xludf.DUMMYFUNCTION("""COMPUTED_VALUE"""),"B12")</f>
        <v>B12</v>
      </c>
      <c r="D32" s="1" t="str">
        <f ca="1">IFERROR(__xludf.DUMMYFUNCTION("""COMPUTED_VALUE"""),"21-14")</f>
        <v>21-14</v>
      </c>
      <c r="E32" s="1" t="str">
        <f ca="1">IFERROR(__xludf.DUMMYFUNCTION("""COMPUTED_VALUE"""),"+17.44")</f>
        <v>+17.44</v>
      </c>
      <c r="F32" s="1">
        <f ca="1">IFERROR(__xludf.DUMMYFUNCTION("""COMPUTED_VALUE"""),113)</f>
        <v>113</v>
      </c>
      <c r="G32" s="1">
        <f ca="1">IFERROR(__xludf.DUMMYFUNCTION("""COMPUTED_VALUE"""),42)</f>
        <v>42</v>
      </c>
      <c r="H32" s="1">
        <f ca="1">IFERROR(__xludf.DUMMYFUNCTION("""COMPUTED_VALUE"""),95.6)</f>
        <v>95.6</v>
      </c>
      <c r="I32" s="1">
        <f ca="1">IFERROR(__xludf.DUMMYFUNCTION("""COMPUTED_VALUE"""),33)</f>
        <v>33</v>
      </c>
      <c r="J32" s="1">
        <f ca="1">IFERROR(__xludf.DUMMYFUNCTION("""COMPUTED_VALUE"""),66.2)</f>
        <v>66.2</v>
      </c>
      <c r="K32" s="1">
        <f ca="1">IFERROR(__xludf.DUMMYFUNCTION("""COMPUTED_VALUE"""),268)</f>
        <v>268</v>
      </c>
      <c r="L32" s="1">
        <f ca="1">IFERROR(__xludf.DUMMYFUNCTION("""COMPUTED_VALUE"""),-0.029)</f>
        <v>-2.9000000000000001E-2</v>
      </c>
      <c r="M32" s="1">
        <f ca="1">IFERROR(__xludf.DUMMYFUNCTION("""COMPUTED_VALUE"""),256)</f>
        <v>256</v>
      </c>
      <c r="N32" s="1" t="str">
        <f ca="1">IFERROR(__xludf.DUMMYFUNCTION("""COMPUTED_VALUE"""),"+11.56")</f>
        <v>+11.56</v>
      </c>
      <c r="O32" s="1">
        <f ca="1">IFERROR(__xludf.DUMMYFUNCTION("""COMPUTED_VALUE"""),11)</f>
        <v>11</v>
      </c>
      <c r="P32" s="1">
        <f ca="1">IFERROR(__xludf.DUMMYFUNCTION("""COMPUTED_VALUE"""),110.6)</f>
        <v>110.6</v>
      </c>
      <c r="Q32" s="1">
        <f ca="1">IFERROR(__xludf.DUMMYFUNCTION("""COMPUTED_VALUE"""),20)</f>
        <v>20</v>
      </c>
      <c r="R32" s="1">
        <f ca="1">IFERROR(__xludf.DUMMYFUNCTION("""COMPUTED_VALUE"""),99)</f>
        <v>99</v>
      </c>
      <c r="S32" s="1">
        <f ca="1">IFERROR(__xludf.DUMMYFUNCTION("""COMPUTED_VALUE"""),11)</f>
        <v>11</v>
      </c>
      <c r="T32" s="1">
        <f ca="1">IFERROR(__xludf.DUMMYFUNCTION("""COMPUTED_VALUE"""),-5.31)</f>
        <v>-5.31</v>
      </c>
      <c r="U32" s="1">
        <f ca="1">IFERROR(__xludf.DUMMYFUNCTION("""COMPUTED_VALUE"""),305)</f>
        <v>305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IFERROR(__xludf.DUMMYFUNCTION("""COMPUTED_VALUE"""),"Xavier11")</f>
        <v>Xavier11</v>
      </c>
      <c r="C33" s="1" t="str">
        <f ca="1">IFERROR(__xludf.DUMMYFUNCTION("""COMPUTED_VALUE"""),"BE")</f>
        <v>BE</v>
      </c>
      <c r="D33" s="1" t="str">
        <f ca="1">IFERROR(__xludf.DUMMYFUNCTION("""COMPUTED_VALUE"""),"24-14")</f>
        <v>24-14</v>
      </c>
      <c r="E33" s="1" t="str">
        <f ca="1">IFERROR(__xludf.DUMMYFUNCTION("""COMPUTED_VALUE"""),"+16.70")</f>
        <v>+16.70</v>
      </c>
      <c r="F33" s="1">
        <f ca="1">IFERROR(__xludf.DUMMYFUNCTION("""COMPUTED_VALUE"""),115.7)</f>
        <v>115.7</v>
      </c>
      <c r="G33" s="1">
        <f ca="1">IFERROR(__xludf.DUMMYFUNCTION("""COMPUTED_VALUE"""),29)</f>
        <v>29</v>
      </c>
      <c r="H33" s="1">
        <f ca="1">IFERROR(__xludf.DUMMYFUNCTION("""COMPUTED_VALUE"""),99)</f>
        <v>99</v>
      </c>
      <c r="I33" s="1">
        <f ca="1">IFERROR(__xludf.DUMMYFUNCTION("""COMPUTED_VALUE"""),67)</f>
        <v>67</v>
      </c>
      <c r="J33" s="1">
        <f ca="1">IFERROR(__xludf.DUMMYFUNCTION("""COMPUTED_VALUE"""),67.2)</f>
        <v>67.2</v>
      </c>
      <c r="K33" s="1">
        <f ca="1">IFERROR(__xludf.DUMMYFUNCTION("""COMPUTED_VALUE"""),223)</f>
        <v>223</v>
      </c>
      <c r="L33" s="1" t="str">
        <f ca="1">IFERROR(__xludf.DUMMYFUNCTION("""COMPUTED_VALUE"""),"+.044")</f>
        <v>+.044</v>
      </c>
      <c r="M33" s="1">
        <f ca="1">IFERROR(__xludf.DUMMYFUNCTION("""COMPUTED_VALUE"""),71)</f>
        <v>71</v>
      </c>
      <c r="N33" s="1" t="str">
        <f ca="1">IFERROR(__xludf.DUMMYFUNCTION("""COMPUTED_VALUE"""),"+11.73")</f>
        <v>+11.73</v>
      </c>
      <c r="O33" s="1">
        <f ca="1">IFERROR(__xludf.DUMMYFUNCTION("""COMPUTED_VALUE"""),9)</f>
        <v>9</v>
      </c>
      <c r="P33" s="1">
        <f ca="1">IFERROR(__xludf.DUMMYFUNCTION("""COMPUTED_VALUE"""),111.2)</f>
        <v>111.2</v>
      </c>
      <c r="Q33" s="1">
        <f ca="1">IFERROR(__xludf.DUMMYFUNCTION("""COMPUTED_VALUE"""),9)</f>
        <v>9</v>
      </c>
      <c r="R33" s="1">
        <f ca="1">IFERROR(__xludf.DUMMYFUNCTION("""COMPUTED_VALUE"""),99.5)</f>
        <v>99.5</v>
      </c>
      <c r="S33" s="1">
        <f ca="1">IFERROR(__xludf.DUMMYFUNCTION("""COMPUTED_VALUE"""),16)</f>
        <v>16</v>
      </c>
      <c r="T33" s="1" t="str">
        <f ca="1">IFERROR(__xludf.DUMMYFUNCTION("""COMPUTED_VALUE"""),"+5.32")</f>
        <v>+5.32</v>
      </c>
      <c r="U33" s="1">
        <f ca="1">IFERROR(__xludf.DUMMYFUNCTION("""COMPUTED_VALUE"""),38)</f>
        <v>38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IFERROR(__xludf.DUMMYFUNCTION("""COMPUTED_VALUE"""),"Marquette10")</f>
        <v>Marquette10</v>
      </c>
      <c r="C34" s="1" t="str">
        <f ca="1">IFERROR(__xludf.DUMMYFUNCTION("""COMPUTED_VALUE"""),"BE")</f>
        <v>BE</v>
      </c>
      <c r="D34" s="1" t="str">
        <f ca="1">IFERROR(__xludf.DUMMYFUNCTION("""COMPUTED_VALUE"""),"19-13")</f>
        <v>19-13</v>
      </c>
      <c r="E34" s="1" t="str">
        <f ca="1">IFERROR(__xludf.DUMMYFUNCTION("""COMPUTED_VALUE"""),"+16.58")</f>
        <v>+16.58</v>
      </c>
      <c r="F34" s="1">
        <f ca="1">IFERROR(__xludf.DUMMYFUNCTION("""COMPUTED_VALUE"""),120.8)</f>
        <v>120.8</v>
      </c>
      <c r="G34" s="1">
        <f ca="1">IFERROR(__xludf.DUMMYFUNCTION("""COMPUTED_VALUE"""),8)</f>
        <v>8</v>
      </c>
      <c r="H34" s="1">
        <f ca="1">IFERROR(__xludf.DUMMYFUNCTION("""COMPUTED_VALUE"""),104.2)</f>
        <v>104.2</v>
      </c>
      <c r="I34" s="1">
        <f ca="1">IFERROR(__xludf.DUMMYFUNCTION("""COMPUTED_VALUE"""),165)</f>
        <v>165</v>
      </c>
      <c r="J34" s="1">
        <f ca="1">IFERROR(__xludf.DUMMYFUNCTION("""COMPUTED_VALUE"""),70.1)</f>
        <v>70.099999999999994</v>
      </c>
      <c r="K34" s="1">
        <f ca="1">IFERROR(__xludf.DUMMYFUNCTION("""COMPUTED_VALUE"""),75)</f>
        <v>75</v>
      </c>
      <c r="L34" s="1">
        <f ca="1">IFERROR(__xludf.DUMMYFUNCTION("""COMPUTED_VALUE"""),-0.058)</f>
        <v>-5.8000000000000003E-2</v>
      </c>
      <c r="M34" s="1">
        <f ca="1">IFERROR(__xludf.DUMMYFUNCTION("""COMPUTED_VALUE"""),311)</f>
        <v>311</v>
      </c>
      <c r="N34" s="1" t="str">
        <f ca="1">IFERROR(__xludf.DUMMYFUNCTION("""COMPUTED_VALUE"""),"+9.03")</f>
        <v>+9.03</v>
      </c>
      <c r="O34" s="1">
        <f ca="1">IFERROR(__xludf.DUMMYFUNCTION("""COMPUTED_VALUE"""),37)</f>
        <v>37</v>
      </c>
      <c r="P34" s="1">
        <f ca="1">IFERROR(__xludf.DUMMYFUNCTION("""COMPUTED_VALUE"""),109.1)</f>
        <v>109.1</v>
      </c>
      <c r="Q34" s="1">
        <f ca="1">IFERROR(__xludf.DUMMYFUNCTION("""COMPUTED_VALUE"""),50)</f>
        <v>50</v>
      </c>
      <c r="R34" s="1">
        <f ca="1">IFERROR(__xludf.DUMMYFUNCTION("""COMPUTED_VALUE"""),100.1)</f>
        <v>100.1</v>
      </c>
      <c r="S34" s="1">
        <f ca="1">IFERROR(__xludf.DUMMYFUNCTION("""COMPUTED_VALUE"""),27)</f>
        <v>27</v>
      </c>
      <c r="T34" s="1">
        <f ca="1">IFERROR(__xludf.DUMMYFUNCTION("""COMPUTED_VALUE"""),-2.16)</f>
        <v>-2.16</v>
      </c>
      <c r="U34" s="1">
        <f ca="1">IFERROR(__xludf.DUMMYFUNCTION("""COMPUTED_VALUE"""),219)</f>
        <v>219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IFERROR(__xludf.DUMMYFUNCTION("""COMPUTED_VALUE"""),"Vanderbilt9")</f>
        <v>Vanderbilt9</v>
      </c>
      <c r="C35" s="1" t="str">
        <f ca="1">IFERROR(__xludf.DUMMYFUNCTION("""COMPUTED_VALUE"""),"SEC")</f>
        <v>SEC</v>
      </c>
      <c r="D35" s="1" t="str">
        <f ca="1">IFERROR(__xludf.DUMMYFUNCTION("""COMPUTED_VALUE"""),"19-16")</f>
        <v>19-16</v>
      </c>
      <c r="E35" s="1" t="str">
        <f ca="1">IFERROR(__xludf.DUMMYFUNCTION("""COMPUTED_VALUE"""),"+16.53")</f>
        <v>+16.53</v>
      </c>
      <c r="F35" s="1">
        <f ca="1">IFERROR(__xludf.DUMMYFUNCTION("""COMPUTED_VALUE"""),112.4)</f>
        <v>112.4</v>
      </c>
      <c r="G35" s="1">
        <f ca="1">IFERROR(__xludf.DUMMYFUNCTION("""COMPUTED_VALUE"""),48)</f>
        <v>48</v>
      </c>
      <c r="H35" s="1">
        <f ca="1">IFERROR(__xludf.DUMMYFUNCTION("""COMPUTED_VALUE"""),95.9)</f>
        <v>95.9</v>
      </c>
      <c r="I35" s="1">
        <f ca="1">IFERROR(__xludf.DUMMYFUNCTION("""COMPUTED_VALUE"""),38)</f>
        <v>38</v>
      </c>
      <c r="J35" s="1">
        <f ca="1">IFERROR(__xludf.DUMMYFUNCTION("""COMPUTED_VALUE"""),65.8)</f>
        <v>65.8</v>
      </c>
      <c r="K35" s="1">
        <f ca="1">IFERROR(__xludf.DUMMYFUNCTION("""COMPUTED_VALUE"""),285)</f>
        <v>285</v>
      </c>
      <c r="L35" s="1">
        <f ca="1">IFERROR(__xludf.DUMMYFUNCTION("""COMPUTED_VALUE"""),-0.048)</f>
        <v>-4.8000000000000001E-2</v>
      </c>
      <c r="M35" s="1">
        <f ca="1">IFERROR(__xludf.DUMMYFUNCTION("""COMPUTED_VALUE"""),292)</f>
        <v>292</v>
      </c>
      <c r="N35" s="1" t="str">
        <f ca="1">IFERROR(__xludf.DUMMYFUNCTION("""COMPUTED_VALUE"""),"+11.43")</f>
        <v>+11.43</v>
      </c>
      <c r="O35" s="1">
        <f ca="1">IFERROR(__xludf.DUMMYFUNCTION("""COMPUTED_VALUE"""),13)</f>
        <v>13</v>
      </c>
      <c r="P35" s="1">
        <f ca="1">IFERROR(__xludf.DUMMYFUNCTION("""COMPUTED_VALUE"""),110.1)</f>
        <v>110.1</v>
      </c>
      <c r="Q35" s="1">
        <f ca="1">IFERROR(__xludf.DUMMYFUNCTION("""COMPUTED_VALUE"""),33)</f>
        <v>33</v>
      </c>
      <c r="R35" s="1">
        <f ca="1">IFERROR(__xludf.DUMMYFUNCTION("""COMPUTED_VALUE"""),98.7)</f>
        <v>98.7</v>
      </c>
      <c r="S35" s="1">
        <f ca="1">IFERROR(__xludf.DUMMYFUNCTION("""COMPUTED_VALUE"""),7)</f>
        <v>7</v>
      </c>
      <c r="T35" s="1" t="str">
        <f ca="1">IFERROR(__xludf.DUMMYFUNCTION("""COMPUTED_VALUE"""),"+6.30")</f>
        <v>+6.30</v>
      </c>
      <c r="U35" s="1">
        <f ca="1">IFERROR(__xludf.DUMMYFUNCTION("""COMPUTED_VALUE"""),32)</f>
        <v>32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IFERROR(__xludf.DUMMYFUNCTION("""COMPUTED_VALUE"""),"Rhode Island11")</f>
        <v>Rhode Island11</v>
      </c>
      <c r="C36" s="1" t="str">
        <f ca="1">IFERROR(__xludf.DUMMYFUNCTION("""COMPUTED_VALUE"""),"A10")</f>
        <v>A10</v>
      </c>
      <c r="D36" s="1" t="str">
        <f ca="1">IFERROR(__xludf.DUMMYFUNCTION("""COMPUTED_VALUE"""),"25-10")</f>
        <v>25-10</v>
      </c>
      <c r="E36" s="1" t="str">
        <f ca="1">IFERROR(__xludf.DUMMYFUNCTION("""COMPUTED_VALUE"""),"+16.26")</f>
        <v>+16.26</v>
      </c>
      <c r="F36" s="1">
        <f ca="1">IFERROR(__xludf.DUMMYFUNCTION("""COMPUTED_VALUE"""),111.5)</f>
        <v>111.5</v>
      </c>
      <c r="G36" s="1">
        <f ca="1">IFERROR(__xludf.DUMMYFUNCTION("""COMPUTED_VALUE"""),57)</f>
        <v>57</v>
      </c>
      <c r="H36" s="1">
        <f ca="1">IFERROR(__xludf.DUMMYFUNCTION("""COMPUTED_VALUE"""),95.2)</f>
        <v>95.2</v>
      </c>
      <c r="I36" s="1">
        <f ca="1">IFERROR(__xludf.DUMMYFUNCTION("""COMPUTED_VALUE"""),30)</f>
        <v>30</v>
      </c>
      <c r="J36" s="1">
        <f ca="1">IFERROR(__xludf.DUMMYFUNCTION("""COMPUTED_VALUE"""),66.4)</f>
        <v>66.400000000000006</v>
      </c>
      <c r="K36" s="1">
        <f ca="1">IFERROR(__xludf.DUMMYFUNCTION("""COMPUTED_VALUE"""),262)</f>
        <v>262</v>
      </c>
      <c r="L36" s="1">
        <f ca="1">IFERROR(__xludf.DUMMYFUNCTION("""COMPUTED_VALUE"""),-0.033)</f>
        <v>-3.3000000000000002E-2</v>
      </c>
      <c r="M36" s="1">
        <f ca="1">IFERROR(__xludf.DUMMYFUNCTION("""COMPUTED_VALUE"""),267)</f>
        <v>267</v>
      </c>
      <c r="N36" s="1" t="str">
        <f ca="1">IFERROR(__xludf.DUMMYFUNCTION("""COMPUTED_VALUE"""),"+4.27")</f>
        <v>+4.27</v>
      </c>
      <c r="O36" s="1">
        <f ca="1">IFERROR(__xludf.DUMMYFUNCTION("""COMPUTED_VALUE"""),78)</f>
        <v>78</v>
      </c>
      <c r="P36" s="1">
        <f ca="1">IFERROR(__xludf.DUMMYFUNCTION("""COMPUTED_VALUE"""),106.8)</f>
        <v>106.8</v>
      </c>
      <c r="Q36" s="1">
        <f ca="1">IFERROR(__xludf.DUMMYFUNCTION("""COMPUTED_VALUE"""),79)</f>
        <v>79</v>
      </c>
      <c r="R36" s="1">
        <f ca="1">IFERROR(__xludf.DUMMYFUNCTION("""COMPUTED_VALUE"""),102.5)</f>
        <v>102.5</v>
      </c>
      <c r="S36" s="1">
        <f ca="1">IFERROR(__xludf.DUMMYFUNCTION("""COMPUTED_VALUE"""),79)</f>
        <v>79</v>
      </c>
      <c r="T36" s="1" t="str">
        <f ca="1">IFERROR(__xludf.DUMMYFUNCTION("""COMPUTED_VALUE"""),"+1.62")</f>
        <v>+1.62</v>
      </c>
      <c r="U36" s="1">
        <f ca="1">IFERROR(__xludf.DUMMYFUNCTION("""COMPUTED_VALUE"""),113)</f>
        <v>113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IFERROR(__xludf.DUMMYFUNCTION("""COMPUTED_VALUE"""),"Arkansas8")</f>
        <v>Arkansas8</v>
      </c>
      <c r="C37" s="1" t="str">
        <f ca="1">IFERROR(__xludf.DUMMYFUNCTION("""COMPUTED_VALUE"""),"SEC")</f>
        <v>SEC</v>
      </c>
      <c r="D37" s="1" t="str">
        <f ca="1">IFERROR(__xludf.DUMMYFUNCTION("""COMPUTED_VALUE"""),"26-10")</f>
        <v>26-10</v>
      </c>
      <c r="E37" s="1" t="str">
        <f ca="1">IFERROR(__xludf.DUMMYFUNCTION("""COMPUTED_VALUE"""),"+16.25")</f>
        <v>+16.25</v>
      </c>
      <c r="F37" s="1">
        <f ca="1">IFERROR(__xludf.DUMMYFUNCTION("""COMPUTED_VALUE"""),116.1)</f>
        <v>116.1</v>
      </c>
      <c r="G37" s="1">
        <f ca="1">IFERROR(__xludf.DUMMYFUNCTION("""COMPUTED_VALUE"""),28)</f>
        <v>28</v>
      </c>
      <c r="H37" s="1">
        <f ca="1">IFERROR(__xludf.DUMMYFUNCTION("""COMPUTED_VALUE"""),99.8)</f>
        <v>99.8</v>
      </c>
      <c r="I37" s="1">
        <f ca="1">IFERROR(__xludf.DUMMYFUNCTION("""COMPUTED_VALUE"""),76)</f>
        <v>76</v>
      </c>
      <c r="J37" s="1">
        <f ca="1">IFERROR(__xludf.DUMMYFUNCTION("""COMPUTED_VALUE"""),69.7)</f>
        <v>69.7</v>
      </c>
      <c r="K37" s="1">
        <f ca="1">IFERROR(__xludf.DUMMYFUNCTION("""COMPUTED_VALUE"""),87)</f>
        <v>87</v>
      </c>
      <c r="L37" s="1" t="str">
        <f ca="1">IFERROR(__xludf.DUMMYFUNCTION("""COMPUTED_VALUE"""),"+.086")</f>
        <v>+.086</v>
      </c>
      <c r="M37" s="1">
        <f ca="1">IFERROR(__xludf.DUMMYFUNCTION("""COMPUTED_VALUE"""),9)</f>
        <v>9</v>
      </c>
      <c r="N37" s="1" t="str">
        <f ca="1">IFERROR(__xludf.DUMMYFUNCTION("""COMPUTED_VALUE"""),"+8.37")</f>
        <v>+8.37</v>
      </c>
      <c r="O37" s="1">
        <f ca="1">IFERROR(__xludf.DUMMYFUNCTION("""COMPUTED_VALUE"""),45)</f>
        <v>45</v>
      </c>
      <c r="P37" s="1">
        <f ca="1">IFERROR(__xludf.DUMMYFUNCTION("""COMPUTED_VALUE"""),108.6)</f>
        <v>108.6</v>
      </c>
      <c r="Q37" s="1">
        <f ca="1">IFERROR(__xludf.DUMMYFUNCTION("""COMPUTED_VALUE"""),59)</f>
        <v>59</v>
      </c>
      <c r="R37" s="1">
        <f ca="1">IFERROR(__xludf.DUMMYFUNCTION("""COMPUTED_VALUE"""),100.2)</f>
        <v>100.2</v>
      </c>
      <c r="S37" s="1">
        <f ca="1">IFERROR(__xludf.DUMMYFUNCTION("""COMPUTED_VALUE"""),28)</f>
        <v>28</v>
      </c>
      <c r="T37" s="1">
        <f ca="1">IFERROR(__xludf.DUMMYFUNCTION("""COMPUTED_VALUE"""),-1.55)</f>
        <v>-1.55</v>
      </c>
      <c r="U37" s="1">
        <f ca="1">IFERROR(__xludf.DUMMYFUNCTION("""COMPUTED_VALUE"""),202)</f>
        <v>202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IFERROR(__xludf.DUMMYFUNCTION("""COMPUTED_VALUE"""),"Wake Forest11")</f>
        <v>Wake Forest11</v>
      </c>
      <c r="C38" s="1" t="str">
        <f ca="1">IFERROR(__xludf.DUMMYFUNCTION("""COMPUTED_VALUE"""),"ACC")</f>
        <v>ACC</v>
      </c>
      <c r="D38" s="1" t="str">
        <f ca="1">IFERROR(__xludf.DUMMYFUNCTION("""COMPUTED_VALUE"""),"19-14")</f>
        <v>19-14</v>
      </c>
      <c r="E38" s="1" t="str">
        <f ca="1">IFERROR(__xludf.DUMMYFUNCTION("""COMPUTED_VALUE"""),"+16.25")</f>
        <v>+16.25</v>
      </c>
      <c r="F38" s="1">
        <f ca="1">IFERROR(__xludf.DUMMYFUNCTION("""COMPUTED_VALUE"""),120.9)</f>
        <v>120.9</v>
      </c>
      <c r="G38" s="1">
        <f ca="1">IFERROR(__xludf.DUMMYFUNCTION("""COMPUTED_VALUE"""),7)</f>
        <v>7</v>
      </c>
      <c r="H38" s="1">
        <f ca="1">IFERROR(__xludf.DUMMYFUNCTION("""COMPUTED_VALUE"""),104.7)</f>
        <v>104.7</v>
      </c>
      <c r="I38" s="1">
        <f ca="1">IFERROR(__xludf.DUMMYFUNCTION("""COMPUTED_VALUE"""),176)</f>
        <v>176</v>
      </c>
      <c r="J38" s="1">
        <f ca="1">IFERROR(__xludf.DUMMYFUNCTION("""COMPUTED_VALUE"""),70.7)</f>
        <v>70.7</v>
      </c>
      <c r="K38" s="1">
        <f ca="1">IFERROR(__xludf.DUMMYFUNCTION("""COMPUTED_VALUE"""),57)</f>
        <v>57</v>
      </c>
      <c r="L38" s="1">
        <f ca="1">IFERROR(__xludf.DUMMYFUNCTION("""COMPUTED_VALUE"""),-0.043)</f>
        <v>-4.2999999999999997E-2</v>
      </c>
      <c r="M38" s="1">
        <f ca="1">IFERROR(__xludf.DUMMYFUNCTION("""COMPUTED_VALUE"""),290)</f>
        <v>290</v>
      </c>
      <c r="N38" s="1" t="str">
        <f ca="1">IFERROR(__xludf.DUMMYFUNCTION("""COMPUTED_VALUE"""),"+10.54")</f>
        <v>+10.54</v>
      </c>
      <c r="O38" s="1">
        <f ca="1">IFERROR(__xludf.DUMMYFUNCTION("""COMPUTED_VALUE"""),25)</f>
        <v>25</v>
      </c>
      <c r="P38" s="1">
        <f ca="1">IFERROR(__xludf.DUMMYFUNCTION("""COMPUTED_VALUE"""),111.1)</f>
        <v>111.1</v>
      </c>
      <c r="Q38" s="1">
        <f ca="1">IFERROR(__xludf.DUMMYFUNCTION("""COMPUTED_VALUE"""),12)</f>
        <v>12</v>
      </c>
      <c r="R38" s="1">
        <f ca="1">IFERROR(__xludf.DUMMYFUNCTION("""COMPUTED_VALUE"""),100.6)</f>
        <v>100.6</v>
      </c>
      <c r="S38" s="1">
        <f ca="1">IFERROR(__xludf.DUMMYFUNCTION("""COMPUTED_VALUE"""),39)</f>
        <v>39</v>
      </c>
      <c r="T38" s="1" t="str">
        <f ca="1">IFERROR(__xludf.DUMMYFUNCTION("""COMPUTED_VALUE"""),"+4.51")</f>
        <v>+4.51</v>
      </c>
      <c r="U38" s="1">
        <f ca="1">IFERROR(__xludf.DUMMYFUNCTION("""COMPUTED_VALUE"""),45)</f>
        <v>45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IFERROR(__xludf.DUMMYFUNCTION("""COMPUTED_VALUE"""),"Minnesota5")</f>
        <v>Minnesota5</v>
      </c>
      <c r="C39" s="1" t="str">
        <f ca="1">IFERROR(__xludf.DUMMYFUNCTION("""COMPUTED_VALUE"""),"B10")</f>
        <v>B10</v>
      </c>
      <c r="D39" s="1" t="str">
        <f ca="1">IFERROR(__xludf.DUMMYFUNCTION("""COMPUTED_VALUE"""),"24-10")</f>
        <v>24-10</v>
      </c>
      <c r="E39" s="1" t="str">
        <f ca="1">IFERROR(__xludf.DUMMYFUNCTION("""COMPUTED_VALUE"""),"+16.00")</f>
        <v>+16.00</v>
      </c>
      <c r="F39" s="1">
        <f ca="1">IFERROR(__xludf.DUMMYFUNCTION("""COMPUTED_VALUE"""),109.7)</f>
        <v>109.7</v>
      </c>
      <c r="G39" s="1">
        <f ca="1">IFERROR(__xludf.DUMMYFUNCTION("""COMPUTED_VALUE"""),77)</f>
        <v>77</v>
      </c>
      <c r="H39" s="1">
        <f ca="1">IFERROR(__xludf.DUMMYFUNCTION("""COMPUTED_VALUE"""),93.7)</f>
        <v>93.7</v>
      </c>
      <c r="I39" s="1">
        <f ca="1">IFERROR(__xludf.DUMMYFUNCTION("""COMPUTED_VALUE"""),22)</f>
        <v>22</v>
      </c>
      <c r="J39" s="1">
        <f ca="1">IFERROR(__xludf.DUMMYFUNCTION("""COMPUTED_VALUE"""),69.5)</f>
        <v>69.5</v>
      </c>
      <c r="K39" s="1">
        <f ca="1">IFERROR(__xludf.DUMMYFUNCTION("""COMPUTED_VALUE"""),98)</f>
        <v>98</v>
      </c>
      <c r="L39" s="1" t="str">
        <f ca="1">IFERROR(__xludf.DUMMYFUNCTION("""COMPUTED_VALUE"""),"+.022")</f>
        <v>+.022</v>
      </c>
      <c r="M39" s="1">
        <f ca="1">IFERROR(__xludf.DUMMYFUNCTION("""COMPUTED_VALUE"""),127)</f>
        <v>127</v>
      </c>
      <c r="N39" s="1" t="str">
        <f ca="1">IFERROR(__xludf.DUMMYFUNCTION("""COMPUTED_VALUE"""),"+8.09")</f>
        <v>+8.09</v>
      </c>
      <c r="O39" s="1">
        <f ca="1">IFERROR(__xludf.DUMMYFUNCTION("""COMPUTED_VALUE"""),49)</f>
        <v>49</v>
      </c>
      <c r="P39" s="1">
        <f ca="1">IFERROR(__xludf.DUMMYFUNCTION("""COMPUTED_VALUE"""),108.9)</f>
        <v>108.9</v>
      </c>
      <c r="Q39" s="1">
        <f ca="1">IFERROR(__xludf.DUMMYFUNCTION("""COMPUTED_VALUE"""),52)</f>
        <v>52</v>
      </c>
      <c r="R39" s="1">
        <f ca="1">IFERROR(__xludf.DUMMYFUNCTION("""COMPUTED_VALUE"""),100.8)</f>
        <v>100.8</v>
      </c>
      <c r="S39" s="1">
        <f ca="1">IFERROR(__xludf.DUMMYFUNCTION("""COMPUTED_VALUE"""),45)</f>
        <v>45</v>
      </c>
      <c r="T39" s="1">
        <f ca="1">IFERROR(__xludf.DUMMYFUNCTION("""COMPUTED_VALUE"""),-1.81)</f>
        <v>-1.81</v>
      </c>
      <c r="U39" s="1">
        <f ca="1">IFERROR(__xludf.DUMMYFUNCTION("""COMPUTED_VALUE"""),209)</f>
        <v>209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IFERROR(__xludf.DUMMYFUNCTION("""COMPUTED_VALUE"""),"Northwestern8")</f>
        <v>Northwestern8</v>
      </c>
      <c r="C40" s="1" t="str">
        <f ca="1">IFERROR(__xludf.DUMMYFUNCTION("""COMPUTED_VALUE"""),"B10")</f>
        <v>B10</v>
      </c>
      <c r="D40" s="1" t="str">
        <f ca="1">IFERROR(__xludf.DUMMYFUNCTION("""COMPUTED_VALUE"""),"24-12")</f>
        <v>24-12</v>
      </c>
      <c r="E40" s="1" t="str">
        <f ca="1">IFERROR(__xludf.DUMMYFUNCTION("""COMPUTED_VALUE"""),"+15.81")</f>
        <v>+15.81</v>
      </c>
      <c r="F40" s="1">
        <f ca="1">IFERROR(__xludf.DUMMYFUNCTION("""COMPUTED_VALUE"""),111.3)</f>
        <v>111.3</v>
      </c>
      <c r="G40" s="1">
        <f ca="1">IFERROR(__xludf.DUMMYFUNCTION("""COMPUTED_VALUE"""),59)</f>
        <v>59</v>
      </c>
      <c r="H40" s="1">
        <f ca="1">IFERROR(__xludf.DUMMYFUNCTION("""COMPUTED_VALUE"""),95.5)</f>
        <v>95.5</v>
      </c>
      <c r="I40" s="1">
        <f ca="1">IFERROR(__xludf.DUMMYFUNCTION("""COMPUTED_VALUE"""),32)</f>
        <v>32</v>
      </c>
      <c r="J40" s="1">
        <f ca="1">IFERROR(__xludf.DUMMYFUNCTION("""COMPUTED_VALUE"""),65.6)</f>
        <v>65.599999999999994</v>
      </c>
      <c r="K40" s="1">
        <f ca="1">IFERROR(__xludf.DUMMYFUNCTION("""COMPUTED_VALUE"""),292)</f>
        <v>292</v>
      </c>
      <c r="L40" s="1" t="str">
        <f ca="1">IFERROR(__xludf.DUMMYFUNCTION("""COMPUTED_VALUE"""),"+.019")</f>
        <v>+.019</v>
      </c>
      <c r="M40" s="1">
        <f ca="1">IFERROR(__xludf.DUMMYFUNCTION("""COMPUTED_VALUE"""),135)</f>
        <v>135</v>
      </c>
      <c r="N40" s="1" t="str">
        <f ca="1">IFERROR(__xludf.DUMMYFUNCTION("""COMPUTED_VALUE"""),"+8.32")</f>
        <v>+8.32</v>
      </c>
      <c r="O40" s="1">
        <f ca="1">IFERROR(__xludf.DUMMYFUNCTION("""COMPUTED_VALUE"""),46)</f>
        <v>46</v>
      </c>
      <c r="P40" s="1">
        <f ca="1">IFERROR(__xludf.DUMMYFUNCTION("""COMPUTED_VALUE"""),109)</f>
        <v>109</v>
      </c>
      <c r="Q40" s="1">
        <f ca="1">IFERROR(__xludf.DUMMYFUNCTION("""COMPUTED_VALUE"""),51)</f>
        <v>51</v>
      </c>
      <c r="R40" s="1">
        <f ca="1">IFERROR(__xludf.DUMMYFUNCTION("""COMPUTED_VALUE"""),100.7)</f>
        <v>100.7</v>
      </c>
      <c r="S40" s="1">
        <f ca="1">IFERROR(__xludf.DUMMYFUNCTION("""COMPUTED_VALUE"""),43)</f>
        <v>43</v>
      </c>
      <c r="T40" s="1">
        <f ca="1">IFERROR(__xludf.DUMMYFUNCTION("""COMPUTED_VALUE"""),-3.23)</f>
        <v>-3.23</v>
      </c>
      <c r="U40" s="1">
        <f ca="1">IFERROR(__xludf.DUMMYFUNCTION("""COMPUTED_VALUE"""),249)</f>
        <v>249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IFERROR(__xludf.DUMMYFUNCTION("""COMPUTED_VALUE"""),"Dayton7")</f>
        <v>Dayton7</v>
      </c>
      <c r="C41" s="1" t="str">
        <f ca="1">IFERROR(__xludf.DUMMYFUNCTION("""COMPUTED_VALUE"""),"A10")</f>
        <v>A10</v>
      </c>
      <c r="D41" s="1" t="str">
        <f ca="1">IFERROR(__xludf.DUMMYFUNCTION("""COMPUTED_VALUE"""),"24-8")</f>
        <v>24-8</v>
      </c>
      <c r="E41" s="1" t="str">
        <f ca="1">IFERROR(__xludf.DUMMYFUNCTION("""COMPUTED_VALUE"""),"+15.57")</f>
        <v>+15.57</v>
      </c>
      <c r="F41" s="1">
        <f ca="1">IFERROR(__xludf.DUMMYFUNCTION("""COMPUTED_VALUE"""),111.9)</f>
        <v>111.9</v>
      </c>
      <c r="G41" s="1">
        <f ca="1">IFERROR(__xludf.DUMMYFUNCTION("""COMPUTED_VALUE"""),53)</f>
        <v>53</v>
      </c>
      <c r="H41" s="1">
        <f ca="1">IFERROR(__xludf.DUMMYFUNCTION("""COMPUTED_VALUE"""),96.3)</f>
        <v>96.3</v>
      </c>
      <c r="I41" s="1">
        <f ca="1">IFERROR(__xludf.DUMMYFUNCTION("""COMPUTED_VALUE"""),43)</f>
        <v>43</v>
      </c>
      <c r="J41" s="1">
        <f ca="1">IFERROR(__xludf.DUMMYFUNCTION("""COMPUTED_VALUE"""),68.4)</f>
        <v>68.400000000000006</v>
      </c>
      <c r="K41" s="1">
        <f ca="1">IFERROR(__xludf.DUMMYFUNCTION("""COMPUTED_VALUE"""),163)</f>
        <v>163</v>
      </c>
      <c r="L41" s="1">
        <f ca="1">IFERROR(__xludf.DUMMYFUNCTION("""COMPUTED_VALUE"""),-0.021)</f>
        <v>-2.1000000000000001E-2</v>
      </c>
      <c r="M41" s="1">
        <f ca="1">IFERROR(__xludf.DUMMYFUNCTION("""COMPUTED_VALUE"""),235)</f>
        <v>235</v>
      </c>
      <c r="N41" s="1" t="str">
        <f ca="1">IFERROR(__xludf.DUMMYFUNCTION("""COMPUTED_VALUE"""),"+3.64")</f>
        <v>+3.64</v>
      </c>
      <c r="O41" s="1">
        <f ca="1">IFERROR(__xludf.DUMMYFUNCTION("""COMPUTED_VALUE"""),82)</f>
        <v>82</v>
      </c>
      <c r="P41" s="1">
        <f ca="1">IFERROR(__xludf.DUMMYFUNCTION("""COMPUTED_VALUE"""),105.9)</f>
        <v>105.9</v>
      </c>
      <c r="Q41" s="1">
        <f ca="1">IFERROR(__xludf.DUMMYFUNCTION("""COMPUTED_VALUE"""),90)</f>
        <v>90</v>
      </c>
      <c r="R41" s="1">
        <f ca="1">IFERROR(__xludf.DUMMYFUNCTION("""COMPUTED_VALUE"""),102.3)</f>
        <v>102.3</v>
      </c>
      <c r="S41" s="1">
        <f ca="1">IFERROR(__xludf.DUMMYFUNCTION("""COMPUTED_VALUE"""),75)</f>
        <v>75</v>
      </c>
      <c r="T41" s="1" t="str">
        <f ca="1">IFERROR(__xludf.DUMMYFUNCTION("""COMPUTED_VALUE"""),"+2.53")</f>
        <v>+2.53</v>
      </c>
      <c r="U41" s="1">
        <f ca="1">IFERROR(__xludf.DUMMYFUNCTION("""COMPUTED_VALUE"""),77)</f>
        <v>77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IFERROR(__xludf.DUMMYFUNCTION("""COMPUTED_VALUE"""),"Michigan St.9")</f>
        <v>Michigan St.9</v>
      </c>
      <c r="C42" s="1" t="str">
        <f ca="1">IFERROR(__xludf.DUMMYFUNCTION("""COMPUTED_VALUE"""),"B10")</f>
        <v>B10</v>
      </c>
      <c r="D42" s="1" t="str">
        <f ca="1">IFERROR(__xludf.DUMMYFUNCTION("""COMPUTED_VALUE"""),"20-15")</f>
        <v>20-15</v>
      </c>
      <c r="E42" s="1" t="str">
        <f ca="1">IFERROR(__xludf.DUMMYFUNCTION("""COMPUTED_VALUE"""),"+15.51")</f>
        <v>+15.51</v>
      </c>
      <c r="F42" s="1">
        <f ca="1">IFERROR(__xludf.DUMMYFUNCTION("""COMPUTED_VALUE"""),111.4)</f>
        <v>111.4</v>
      </c>
      <c r="G42" s="1">
        <f ca="1">IFERROR(__xludf.DUMMYFUNCTION("""COMPUTED_VALUE"""),58)</f>
        <v>58</v>
      </c>
      <c r="H42" s="1">
        <f ca="1">IFERROR(__xludf.DUMMYFUNCTION("""COMPUTED_VALUE"""),95.9)</f>
        <v>95.9</v>
      </c>
      <c r="I42" s="1">
        <f ca="1">IFERROR(__xludf.DUMMYFUNCTION("""COMPUTED_VALUE"""),37)</f>
        <v>37</v>
      </c>
      <c r="J42" s="1">
        <f ca="1">IFERROR(__xludf.DUMMYFUNCTION("""COMPUTED_VALUE"""),66.9)</f>
        <v>66.900000000000006</v>
      </c>
      <c r="K42" s="1">
        <f ca="1">IFERROR(__xludf.DUMMYFUNCTION("""COMPUTED_VALUE"""),241)</f>
        <v>241</v>
      </c>
      <c r="L42" s="1">
        <f ca="1">IFERROR(__xludf.DUMMYFUNCTION("""COMPUTED_VALUE"""),-0.011)</f>
        <v>-1.0999999999999999E-2</v>
      </c>
      <c r="M42" s="1">
        <f ca="1">IFERROR(__xludf.DUMMYFUNCTION("""COMPUTED_VALUE"""),214)</f>
        <v>214</v>
      </c>
      <c r="N42" s="1" t="str">
        <f ca="1">IFERROR(__xludf.DUMMYFUNCTION("""COMPUTED_VALUE"""),"+10.99")</f>
        <v>+10.99</v>
      </c>
      <c r="O42" s="1">
        <f ca="1">IFERROR(__xludf.DUMMYFUNCTION("""COMPUTED_VALUE"""),18)</f>
        <v>18</v>
      </c>
      <c r="P42" s="1">
        <f ca="1">IFERROR(__xludf.DUMMYFUNCTION("""COMPUTED_VALUE"""),110.6)</f>
        <v>110.6</v>
      </c>
      <c r="Q42" s="1">
        <f ca="1">IFERROR(__xludf.DUMMYFUNCTION("""COMPUTED_VALUE"""),21)</f>
        <v>21</v>
      </c>
      <c r="R42" s="1">
        <f ca="1">IFERROR(__xludf.DUMMYFUNCTION("""COMPUTED_VALUE"""),99.6)</f>
        <v>99.6</v>
      </c>
      <c r="S42" s="1">
        <f ca="1">IFERROR(__xludf.DUMMYFUNCTION("""COMPUTED_VALUE"""),20)</f>
        <v>20</v>
      </c>
      <c r="T42" s="1" t="str">
        <f ca="1">IFERROR(__xludf.DUMMYFUNCTION("""COMPUTED_VALUE"""),"+4.01")</f>
        <v>+4.01</v>
      </c>
      <c r="U42" s="1">
        <f ca="1">IFERROR(__xludf.DUMMYFUNCTION("""COMPUTED_VALUE"""),51)</f>
        <v>51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IFERROR(__xludf.DUMMYFUNCTION("""COMPUTED_VALUE"""),"Texas Tech")</f>
        <v>Texas Tech</v>
      </c>
      <c r="C45" s="1" t="str">
        <f ca="1">IFERROR(__xludf.DUMMYFUNCTION("""COMPUTED_VALUE"""),"B12")</f>
        <v>B12</v>
      </c>
      <c r="D45" s="1" t="str">
        <f ca="1">IFERROR(__xludf.DUMMYFUNCTION("""COMPUTED_VALUE"""),"18-14")</f>
        <v>18-14</v>
      </c>
      <c r="E45" s="1" t="str">
        <f ca="1">IFERROR(__xludf.DUMMYFUNCTION("""COMPUTED_VALUE"""),"+15.11")</f>
        <v>+15.11</v>
      </c>
      <c r="F45" s="1">
        <f ca="1">IFERROR(__xludf.DUMMYFUNCTION("""COMPUTED_VALUE"""),112.6)</f>
        <v>112.6</v>
      </c>
      <c r="G45" s="1">
        <f ca="1">IFERROR(__xludf.DUMMYFUNCTION("""COMPUTED_VALUE"""),44)</f>
        <v>44</v>
      </c>
      <c r="H45" s="1">
        <f ca="1">IFERROR(__xludf.DUMMYFUNCTION("""COMPUTED_VALUE"""),97.5)</f>
        <v>97.5</v>
      </c>
      <c r="I45" s="1">
        <f ca="1">IFERROR(__xludf.DUMMYFUNCTION("""COMPUTED_VALUE"""),56)</f>
        <v>56</v>
      </c>
      <c r="J45" s="1">
        <f ca="1">IFERROR(__xludf.DUMMYFUNCTION("""COMPUTED_VALUE"""),63.8)</f>
        <v>63.8</v>
      </c>
      <c r="K45" s="1">
        <f ca="1">IFERROR(__xludf.DUMMYFUNCTION("""COMPUTED_VALUE"""),327)</f>
        <v>327</v>
      </c>
      <c r="L45" s="1">
        <f ca="1">IFERROR(__xludf.DUMMYFUNCTION("""COMPUTED_VALUE"""),-0.082)</f>
        <v>-8.2000000000000003E-2</v>
      </c>
      <c r="M45" s="1">
        <f ca="1">IFERROR(__xludf.DUMMYFUNCTION("""COMPUTED_VALUE"""),333)</f>
        <v>333</v>
      </c>
      <c r="N45" s="1" t="str">
        <f ca="1">IFERROR(__xludf.DUMMYFUNCTION("""COMPUTED_VALUE"""),"+7.89")</f>
        <v>+7.89</v>
      </c>
      <c r="O45" s="1">
        <f ca="1">IFERROR(__xludf.DUMMYFUNCTION("""COMPUTED_VALUE"""),53)</f>
        <v>53</v>
      </c>
      <c r="P45" s="1">
        <f ca="1">IFERROR(__xludf.DUMMYFUNCTION("""COMPUTED_VALUE"""),109.5)</f>
        <v>109.5</v>
      </c>
      <c r="Q45" s="1">
        <f ca="1">IFERROR(__xludf.DUMMYFUNCTION("""COMPUTED_VALUE"""),44)</f>
        <v>44</v>
      </c>
      <c r="R45" s="1">
        <f ca="1">IFERROR(__xludf.DUMMYFUNCTION("""COMPUTED_VALUE"""),101.6)</f>
        <v>101.6</v>
      </c>
      <c r="S45" s="1">
        <f ca="1">IFERROR(__xludf.DUMMYFUNCTION("""COMPUTED_VALUE"""),61)</f>
        <v>61</v>
      </c>
      <c r="T45" s="1">
        <f ca="1">IFERROR(__xludf.DUMMYFUNCTION("""COMPUTED_VALUE"""),-11.69)</f>
        <v>-11.69</v>
      </c>
      <c r="U45" s="1">
        <f ca="1">IFERROR(__xludf.DUMMYFUNCTION("""COMPUTED_VALUE"""),351)</f>
        <v>351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IFERROR(__xludf.DUMMYFUNCTION("""COMPUTED_VALUE"""),"Miami FL8")</f>
        <v>Miami FL8</v>
      </c>
      <c r="C46" s="1" t="str">
        <f ca="1">IFERROR(__xludf.DUMMYFUNCTION("""COMPUTED_VALUE"""),"ACC")</f>
        <v>ACC</v>
      </c>
      <c r="D46" s="1" t="str">
        <f ca="1">IFERROR(__xludf.DUMMYFUNCTION("""COMPUTED_VALUE"""),"21-12")</f>
        <v>21-12</v>
      </c>
      <c r="E46" s="1" t="str">
        <f ca="1">IFERROR(__xludf.DUMMYFUNCTION("""COMPUTED_VALUE"""),"+15.03")</f>
        <v>+15.03</v>
      </c>
      <c r="F46" s="1">
        <f ca="1">IFERROR(__xludf.DUMMYFUNCTION("""COMPUTED_VALUE"""),109.9)</f>
        <v>109.9</v>
      </c>
      <c r="G46" s="1">
        <f ca="1">IFERROR(__xludf.DUMMYFUNCTION("""COMPUTED_VALUE"""),76)</f>
        <v>76</v>
      </c>
      <c r="H46" s="1">
        <f ca="1">IFERROR(__xludf.DUMMYFUNCTION("""COMPUTED_VALUE"""),94.9)</f>
        <v>94.9</v>
      </c>
      <c r="I46" s="1">
        <f ca="1">IFERROR(__xludf.DUMMYFUNCTION("""COMPUTED_VALUE"""),25)</f>
        <v>25</v>
      </c>
      <c r="J46" s="1">
        <f ca="1">IFERROR(__xludf.DUMMYFUNCTION("""COMPUTED_VALUE"""),63)</f>
        <v>63</v>
      </c>
      <c r="K46" s="1">
        <f ca="1">IFERROR(__xludf.DUMMYFUNCTION("""COMPUTED_VALUE"""),339)</f>
        <v>339</v>
      </c>
      <c r="L46" s="1" t="str">
        <f ca="1">IFERROR(__xludf.DUMMYFUNCTION("""COMPUTED_VALUE"""),"+.031")</f>
        <v>+.031</v>
      </c>
      <c r="M46" s="1">
        <f ca="1">IFERROR(__xludf.DUMMYFUNCTION("""COMPUTED_VALUE"""),98)</f>
        <v>98</v>
      </c>
      <c r="N46" s="1" t="str">
        <f ca="1">IFERROR(__xludf.DUMMYFUNCTION("""COMPUTED_VALUE"""),"+9.39")</f>
        <v>+9.39</v>
      </c>
      <c r="O46" s="1">
        <f ca="1">IFERROR(__xludf.DUMMYFUNCTION("""COMPUTED_VALUE"""),32)</f>
        <v>32</v>
      </c>
      <c r="P46" s="1">
        <f ca="1">IFERROR(__xludf.DUMMYFUNCTION("""COMPUTED_VALUE"""),110.7)</f>
        <v>110.7</v>
      </c>
      <c r="Q46" s="1">
        <f ca="1">IFERROR(__xludf.DUMMYFUNCTION("""COMPUTED_VALUE"""),18)</f>
        <v>18</v>
      </c>
      <c r="R46" s="1">
        <f ca="1">IFERROR(__xludf.DUMMYFUNCTION("""COMPUTED_VALUE"""),101.3)</f>
        <v>101.3</v>
      </c>
      <c r="S46" s="1">
        <f ca="1">IFERROR(__xludf.DUMMYFUNCTION("""COMPUTED_VALUE"""),58)</f>
        <v>58</v>
      </c>
      <c r="T46" s="1">
        <f ca="1">IFERROR(__xludf.DUMMYFUNCTION("""COMPUTED_VALUE"""),-4.48)</f>
        <v>-4.4800000000000004</v>
      </c>
      <c r="U46" s="1">
        <f ca="1">IFERROR(__xludf.DUMMYFUNCTION("""COMPUTED_VALUE"""),286)</f>
        <v>286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IFERROR(__xludf.DUMMYFUNCTION("""COMPUTED_VALUE"""),"Middle Tennessee12")</f>
        <v>Middle Tennessee12</v>
      </c>
      <c r="C47" s="1" t="str">
        <f ca="1">IFERROR(__xludf.DUMMYFUNCTION("""COMPUTED_VALUE"""),"CUSA")</f>
        <v>CUSA</v>
      </c>
      <c r="D47" s="1" t="str">
        <f ca="1">IFERROR(__xludf.DUMMYFUNCTION("""COMPUTED_VALUE"""),"31-5")</f>
        <v>31-5</v>
      </c>
      <c r="E47" s="1" t="str">
        <f ca="1">IFERROR(__xludf.DUMMYFUNCTION("""COMPUTED_VALUE"""),"+14.95")</f>
        <v>+14.95</v>
      </c>
      <c r="F47" s="1">
        <f ca="1">IFERROR(__xludf.DUMMYFUNCTION("""COMPUTED_VALUE"""),112.2)</f>
        <v>112.2</v>
      </c>
      <c r="G47" s="1">
        <f ca="1">IFERROR(__xludf.DUMMYFUNCTION("""COMPUTED_VALUE"""),51)</f>
        <v>51</v>
      </c>
      <c r="H47" s="1">
        <f ca="1">IFERROR(__xludf.DUMMYFUNCTION("""COMPUTED_VALUE"""),97.2)</f>
        <v>97.2</v>
      </c>
      <c r="I47" s="1">
        <f ca="1">IFERROR(__xludf.DUMMYFUNCTION("""COMPUTED_VALUE"""),53)</f>
        <v>53</v>
      </c>
      <c r="J47" s="1">
        <f ca="1">IFERROR(__xludf.DUMMYFUNCTION("""COMPUTED_VALUE"""),64.6)</f>
        <v>64.599999999999994</v>
      </c>
      <c r="K47" s="1">
        <f ca="1">IFERROR(__xludf.DUMMYFUNCTION("""COMPUTED_VALUE"""),311)</f>
        <v>311</v>
      </c>
      <c r="L47" s="1" t="str">
        <f ca="1">IFERROR(__xludf.DUMMYFUNCTION("""COMPUTED_VALUE"""),"+.011")</f>
        <v>+.011</v>
      </c>
      <c r="M47" s="1">
        <f ca="1">IFERROR(__xludf.DUMMYFUNCTION("""COMPUTED_VALUE"""),162)</f>
        <v>162</v>
      </c>
      <c r="N47" s="1">
        <f ca="1">IFERROR(__xludf.DUMMYFUNCTION("""COMPUTED_VALUE"""),-0.93)</f>
        <v>-0.93</v>
      </c>
      <c r="O47" s="1">
        <f ca="1">IFERROR(__xludf.DUMMYFUNCTION("""COMPUTED_VALUE"""),154)</f>
        <v>154</v>
      </c>
      <c r="P47" s="1">
        <f ca="1">IFERROR(__xludf.DUMMYFUNCTION("""COMPUTED_VALUE"""),104.4)</f>
        <v>104.4</v>
      </c>
      <c r="Q47" s="1">
        <f ca="1">IFERROR(__xludf.DUMMYFUNCTION("""COMPUTED_VALUE"""),158)</f>
        <v>158</v>
      </c>
      <c r="R47" s="1">
        <f ca="1">IFERROR(__xludf.DUMMYFUNCTION("""COMPUTED_VALUE"""),105.3)</f>
        <v>105.3</v>
      </c>
      <c r="S47" s="1">
        <f ca="1">IFERROR(__xludf.DUMMYFUNCTION("""COMPUTED_VALUE"""),165)</f>
        <v>165</v>
      </c>
      <c r="T47" s="1" t="str">
        <f ca="1">IFERROR(__xludf.DUMMYFUNCTION("""COMPUTED_VALUE"""),"+3.86")</f>
        <v>+3.86</v>
      </c>
      <c r="U47" s="1">
        <f ca="1">IFERROR(__xludf.DUMMYFUNCTION("""COMPUTED_VALUE"""),54)</f>
        <v>54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IFERROR(__xludf.DUMMYFUNCTION("""COMPUTED_VALUE"""),"Indiana3")</f>
        <v>Indiana3</v>
      </c>
      <c r="C48" s="1" t="str">
        <f ca="1">IFERROR(__xludf.DUMMYFUNCTION("""COMPUTED_VALUE"""),"B10")</f>
        <v>B10</v>
      </c>
      <c r="D48" s="1" t="str">
        <f ca="1">IFERROR(__xludf.DUMMYFUNCTION("""COMPUTED_VALUE"""),"18-16")</f>
        <v>18-16</v>
      </c>
      <c r="E48" s="1" t="str">
        <f ca="1">IFERROR(__xludf.DUMMYFUNCTION("""COMPUTED_VALUE"""),"+14.49")</f>
        <v>+14.49</v>
      </c>
      <c r="F48" s="1">
        <f ca="1">IFERROR(__xludf.DUMMYFUNCTION("""COMPUTED_VALUE"""),116.1)</f>
        <v>116.1</v>
      </c>
      <c r="G48" s="1">
        <f ca="1">IFERROR(__xludf.DUMMYFUNCTION("""COMPUTED_VALUE"""),27)</f>
        <v>27</v>
      </c>
      <c r="H48" s="1">
        <f ca="1">IFERROR(__xludf.DUMMYFUNCTION("""COMPUTED_VALUE"""),101.6)</f>
        <v>101.6</v>
      </c>
      <c r="I48" s="1">
        <f ca="1">IFERROR(__xludf.DUMMYFUNCTION("""COMPUTED_VALUE"""),104)</f>
        <v>104</v>
      </c>
      <c r="J48" s="1">
        <f ca="1">IFERROR(__xludf.DUMMYFUNCTION("""COMPUTED_VALUE"""),68.4)</f>
        <v>68.400000000000006</v>
      </c>
      <c r="K48" s="1">
        <f ca="1">IFERROR(__xludf.DUMMYFUNCTION("""COMPUTED_VALUE"""),168)</f>
        <v>168</v>
      </c>
      <c r="L48" s="1">
        <f ca="1">IFERROR(__xludf.DUMMYFUNCTION("""COMPUTED_VALUE"""),-0.09)</f>
        <v>-0.09</v>
      </c>
      <c r="M48" s="1">
        <f ca="1">IFERROR(__xludf.DUMMYFUNCTION("""COMPUTED_VALUE"""),341)</f>
        <v>341</v>
      </c>
      <c r="N48" s="1" t="str">
        <f ca="1">IFERROR(__xludf.DUMMYFUNCTION("""COMPUTED_VALUE"""),"+9.11")</f>
        <v>+9.11</v>
      </c>
      <c r="O48" s="1">
        <f ca="1">IFERROR(__xludf.DUMMYFUNCTION("""COMPUTED_VALUE"""),36)</f>
        <v>36</v>
      </c>
      <c r="P48" s="1">
        <f ca="1">IFERROR(__xludf.DUMMYFUNCTION("""COMPUTED_VALUE"""),109.6)</f>
        <v>109.6</v>
      </c>
      <c r="Q48" s="1">
        <f ca="1">IFERROR(__xludf.DUMMYFUNCTION("""COMPUTED_VALUE"""),41)</f>
        <v>41</v>
      </c>
      <c r="R48" s="1">
        <f ca="1">IFERROR(__xludf.DUMMYFUNCTION("""COMPUTED_VALUE"""),100.5)</f>
        <v>100.5</v>
      </c>
      <c r="S48" s="1">
        <f ca="1">IFERROR(__xludf.DUMMYFUNCTION("""COMPUTED_VALUE"""),34)</f>
        <v>34</v>
      </c>
      <c r="T48" s="1">
        <f ca="1">IFERROR(__xludf.DUMMYFUNCTION("""COMPUTED_VALUE"""),-5.48)</f>
        <v>-5.48</v>
      </c>
      <c r="U48" s="1">
        <f ca="1">IFERROR(__xludf.DUMMYFUNCTION("""COMPUTED_VALUE"""),310)</f>
        <v>310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IFERROR(__xludf.DUMMYFUNCTION("""COMPUTED_VALUE"""),"Clemson2")</f>
        <v>Clemson2</v>
      </c>
      <c r="C49" s="1" t="str">
        <f ca="1">IFERROR(__xludf.DUMMYFUNCTION("""COMPUTED_VALUE"""),"ACC")</f>
        <v>ACC</v>
      </c>
      <c r="D49" s="1" t="str">
        <f ca="1">IFERROR(__xludf.DUMMYFUNCTION("""COMPUTED_VALUE"""),"17-16")</f>
        <v>17-16</v>
      </c>
      <c r="E49" s="1" t="str">
        <f ca="1">IFERROR(__xludf.DUMMYFUNCTION("""COMPUTED_VALUE"""),"+14.46")</f>
        <v>+14.46</v>
      </c>
      <c r="F49" s="1">
        <f ca="1">IFERROR(__xludf.DUMMYFUNCTION("""COMPUTED_VALUE"""),114.9)</f>
        <v>114.9</v>
      </c>
      <c r="G49" s="1">
        <f ca="1">IFERROR(__xludf.DUMMYFUNCTION("""COMPUTED_VALUE"""),35)</f>
        <v>35</v>
      </c>
      <c r="H49" s="1">
        <f ca="1">IFERROR(__xludf.DUMMYFUNCTION("""COMPUTED_VALUE"""),100.5)</f>
        <v>100.5</v>
      </c>
      <c r="I49" s="1">
        <f ca="1">IFERROR(__xludf.DUMMYFUNCTION("""COMPUTED_VALUE"""),86)</f>
        <v>86</v>
      </c>
      <c r="J49" s="1">
        <f ca="1">IFERROR(__xludf.DUMMYFUNCTION("""COMPUTED_VALUE"""),66.4)</f>
        <v>66.400000000000006</v>
      </c>
      <c r="K49" s="1">
        <f ca="1">IFERROR(__xludf.DUMMYFUNCTION("""COMPUTED_VALUE"""),261)</f>
        <v>261</v>
      </c>
      <c r="L49" s="1">
        <f ca="1">IFERROR(__xludf.DUMMYFUNCTION("""COMPUTED_VALUE"""),-0.064)</f>
        <v>-6.4000000000000001E-2</v>
      </c>
      <c r="M49" s="1">
        <f ca="1">IFERROR(__xludf.DUMMYFUNCTION("""COMPUTED_VALUE"""),315)</f>
        <v>315</v>
      </c>
      <c r="N49" s="1" t="str">
        <f ca="1">IFERROR(__xludf.DUMMYFUNCTION("""COMPUTED_VALUE"""),"+10.32")</f>
        <v>+10.32</v>
      </c>
      <c r="O49" s="1">
        <f ca="1">IFERROR(__xludf.DUMMYFUNCTION("""COMPUTED_VALUE"""),27)</f>
        <v>27</v>
      </c>
      <c r="P49" s="1">
        <f ca="1">IFERROR(__xludf.DUMMYFUNCTION("""COMPUTED_VALUE"""),110.8)</f>
        <v>110.8</v>
      </c>
      <c r="Q49" s="1">
        <f ca="1">IFERROR(__xludf.DUMMYFUNCTION("""COMPUTED_VALUE"""),16)</f>
        <v>16</v>
      </c>
      <c r="R49" s="1">
        <f ca="1">IFERROR(__xludf.DUMMYFUNCTION("""COMPUTED_VALUE"""),100.5)</f>
        <v>100.5</v>
      </c>
      <c r="S49" s="1">
        <f ca="1">IFERROR(__xludf.DUMMYFUNCTION("""COMPUTED_VALUE"""),31)</f>
        <v>31</v>
      </c>
      <c r="T49" s="1" t="str">
        <f ca="1">IFERROR(__xludf.DUMMYFUNCTION("""COMPUTED_VALUE"""),"+2.12")</f>
        <v>+2.12</v>
      </c>
      <c r="U49" s="1">
        <f ca="1">IFERROR(__xludf.DUMMYFUNCTION("""COMPUTED_VALUE"""),91)</f>
        <v>91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IFERROR(__xludf.DUMMYFUNCTION("""COMPUTED_VALUE"""),"Maryland6")</f>
        <v>Maryland6</v>
      </c>
      <c r="C50" s="1" t="str">
        <f ca="1">IFERROR(__xludf.DUMMYFUNCTION("""COMPUTED_VALUE"""),"B10")</f>
        <v>B10</v>
      </c>
      <c r="D50" s="1" t="str">
        <f ca="1">IFERROR(__xludf.DUMMYFUNCTION("""COMPUTED_VALUE"""),"24-9")</f>
        <v>24-9</v>
      </c>
      <c r="E50" s="1" t="str">
        <f ca="1">IFERROR(__xludf.DUMMYFUNCTION("""COMPUTED_VALUE"""),"+14.34")</f>
        <v>+14.34</v>
      </c>
      <c r="F50" s="1">
        <f ca="1">IFERROR(__xludf.DUMMYFUNCTION("""COMPUTED_VALUE"""),113.1)</f>
        <v>113.1</v>
      </c>
      <c r="G50" s="1">
        <f ca="1">IFERROR(__xludf.DUMMYFUNCTION("""COMPUTED_VALUE"""),41)</f>
        <v>41</v>
      </c>
      <c r="H50" s="1">
        <f ca="1">IFERROR(__xludf.DUMMYFUNCTION("""COMPUTED_VALUE"""),98.7)</f>
        <v>98.7</v>
      </c>
      <c r="I50" s="1">
        <f ca="1">IFERROR(__xludf.DUMMYFUNCTION("""COMPUTED_VALUE"""),64)</f>
        <v>64</v>
      </c>
      <c r="J50" s="1">
        <f ca="1">IFERROR(__xludf.DUMMYFUNCTION("""COMPUTED_VALUE"""),67.2)</f>
        <v>67.2</v>
      </c>
      <c r="K50" s="1">
        <f ca="1">IFERROR(__xludf.DUMMYFUNCTION("""COMPUTED_VALUE"""),219)</f>
        <v>219</v>
      </c>
      <c r="L50" s="1" t="str">
        <f ca="1">IFERROR(__xludf.DUMMYFUNCTION("""COMPUTED_VALUE"""),"+.061")</f>
        <v>+.061</v>
      </c>
      <c r="M50" s="1">
        <f ca="1">IFERROR(__xludf.DUMMYFUNCTION("""COMPUTED_VALUE"""),39)</f>
        <v>39</v>
      </c>
      <c r="N50" s="1" t="str">
        <f ca="1">IFERROR(__xludf.DUMMYFUNCTION("""COMPUTED_VALUE"""),"+7.74")</f>
        <v>+7.74</v>
      </c>
      <c r="O50" s="1">
        <f ca="1">IFERROR(__xludf.DUMMYFUNCTION("""COMPUTED_VALUE"""),54)</f>
        <v>54</v>
      </c>
      <c r="P50" s="1">
        <f ca="1">IFERROR(__xludf.DUMMYFUNCTION("""COMPUTED_VALUE"""),108.3)</f>
        <v>108.3</v>
      </c>
      <c r="Q50" s="1">
        <f ca="1">IFERROR(__xludf.DUMMYFUNCTION("""COMPUTED_VALUE"""),62)</f>
        <v>62</v>
      </c>
      <c r="R50" s="1">
        <f ca="1">IFERROR(__xludf.DUMMYFUNCTION("""COMPUTED_VALUE"""),100.6)</f>
        <v>100.6</v>
      </c>
      <c r="S50" s="1">
        <f ca="1">IFERROR(__xludf.DUMMYFUNCTION("""COMPUTED_VALUE"""),40)</f>
        <v>40</v>
      </c>
      <c r="T50" s="1">
        <f ca="1">IFERROR(__xludf.DUMMYFUNCTION("""COMPUTED_VALUE"""),-1.1)</f>
        <v>-1.1000000000000001</v>
      </c>
      <c r="U50" s="1">
        <f ca="1">IFERROR(__xludf.DUMMYFUNCTION("""COMPUTED_VALUE"""),188)</f>
        <v>188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IFERROR(__xludf.DUMMYFUNCTION("""COMPUTED_VALUE"""),"Utah3")</f>
        <v>Utah3</v>
      </c>
      <c r="C51" s="1" t="str">
        <f ca="1">IFERROR(__xludf.DUMMYFUNCTION("""COMPUTED_VALUE"""),"P12")</f>
        <v>P12</v>
      </c>
      <c r="D51" s="1" t="str">
        <f ca="1">IFERROR(__xludf.DUMMYFUNCTION("""COMPUTED_VALUE"""),"20-12")</f>
        <v>20-12</v>
      </c>
      <c r="E51" s="1" t="str">
        <f ca="1">IFERROR(__xludf.DUMMYFUNCTION("""COMPUTED_VALUE"""),"+14.20")</f>
        <v>+14.20</v>
      </c>
      <c r="F51" s="1">
        <f ca="1">IFERROR(__xludf.DUMMYFUNCTION("""COMPUTED_VALUE"""),113.5)</f>
        <v>113.5</v>
      </c>
      <c r="G51" s="1">
        <f ca="1">IFERROR(__xludf.DUMMYFUNCTION("""COMPUTED_VALUE"""),40)</f>
        <v>40</v>
      </c>
      <c r="H51" s="1">
        <f ca="1">IFERROR(__xludf.DUMMYFUNCTION("""COMPUTED_VALUE"""),99.3)</f>
        <v>99.3</v>
      </c>
      <c r="I51" s="1">
        <f ca="1">IFERROR(__xludf.DUMMYFUNCTION("""COMPUTED_VALUE"""),72)</f>
        <v>72</v>
      </c>
      <c r="J51" s="1">
        <f ca="1">IFERROR(__xludf.DUMMYFUNCTION("""COMPUTED_VALUE"""),68.7)</f>
        <v>68.7</v>
      </c>
      <c r="K51" s="1">
        <f ca="1">IFERROR(__xludf.DUMMYFUNCTION("""COMPUTED_VALUE"""),142)</f>
        <v>142</v>
      </c>
      <c r="L51" s="1">
        <f ca="1">IFERROR(__xludf.DUMMYFUNCTION("""COMPUTED_VALUE"""),-0.099)</f>
        <v>-9.9000000000000005E-2</v>
      </c>
      <c r="M51" s="1">
        <f ca="1">IFERROR(__xludf.DUMMYFUNCTION("""COMPUTED_VALUE"""),342)</f>
        <v>342</v>
      </c>
      <c r="N51" s="1" t="str">
        <f ca="1">IFERROR(__xludf.DUMMYFUNCTION("""COMPUTED_VALUE"""),"+3.36")</f>
        <v>+3.36</v>
      </c>
      <c r="O51" s="1">
        <f ca="1">IFERROR(__xludf.DUMMYFUNCTION("""COMPUTED_VALUE"""),85)</f>
        <v>85</v>
      </c>
      <c r="P51" s="1">
        <f ca="1">IFERROR(__xludf.DUMMYFUNCTION("""COMPUTED_VALUE"""),106)</f>
        <v>106</v>
      </c>
      <c r="Q51" s="1">
        <f ca="1">IFERROR(__xludf.DUMMYFUNCTION("""COMPUTED_VALUE"""),88)</f>
        <v>88</v>
      </c>
      <c r="R51" s="1">
        <f ca="1">IFERROR(__xludf.DUMMYFUNCTION("""COMPUTED_VALUE"""),102.7)</f>
        <v>102.7</v>
      </c>
      <c r="S51" s="1">
        <f ca="1">IFERROR(__xludf.DUMMYFUNCTION("""COMPUTED_VALUE"""),83)</f>
        <v>83</v>
      </c>
      <c r="T51" s="1">
        <f ca="1">IFERROR(__xludf.DUMMYFUNCTION("""COMPUTED_VALUE"""),-6.19)</f>
        <v>-6.19</v>
      </c>
      <c r="U51" s="1">
        <f ca="1">IFERROR(__xludf.DUMMYFUNCTION("""COMPUTED_VALUE"""),322)</f>
        <v>322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IFERROR(__xludf.DUMMYFUNCTION("""COMPUTED_VALUE"""),"VCU10")</f>
        <v>VCU10</v>
      </c>
      <c r="C52" s="1" t="str">
        <f ca="1">IFERROR(__xludf.DUMMYFUNCTION("""COMPUTED_VALUE"""),"A10")</f>
        <v>A10</v>
      </c>
      <c r="D52" s="1" t="str">
        <f ca="1">IFERROR(__xludf.DUMMYFUNCTION("""COMPUTED_VALUE"""),"26-9")</f>
        <v>26-9</v>
      </c>
      <c r="E52" s="1" t="str">
        <f ca="1">IFERROR(__xludf.DUMMYFUNCTION("""COMPUTED_VALUE"""),"+14.07")</f>
        <v>+14.07</v>
      </c>
      <c r="F52" s="1">
        <f ca="1">IFERROR(__xludf.DUMMYFUNCTION("""COMPUTED_VALUE"""),110.1)</f>
        <v>110.1</v>
      </c>
      <c r="G52" s="1">
        <f ca="1">IFERROR(__xludf.DUMMYFUNCTION("""COMPUTED_VALUE"""),72)</f>
        <v>72</v>
      </c>
      <c r="H52" s="1">
        <f ca="1">IFERROR(__xludf.DUMMYFUNCTION("""COMPUTED_VALUE"""),96)</f>
        <v>96</v>
      </c>
      <c r="I52" s="1">
        <f ca="1">IFERROR(__xludf.DUMMYFUNCTION("""COMPUTED_VALUE"""),41)</f>
        <v>41</v>
      </c>
      <c r="J52" s="1">
        <f ca="1">IFERROR(__xludf.DUMMYFUNCTION("""COMPUTED_VALUE"""),68.8)</f>
        <v>68.8</v>
      </c>
      <c r="K52" s="1">
        <f ca="1">IFERROR(__xludf.DUMMYFUNCTION("""COMPUTED_VALUE"""),134)</f>
        <v>134</v>
      </c>
      <c r="L52" s="1" t="str">
        <f ca="1">IFERROR(__xludf.DUMMYFUNCTION("""COMPUTED_VALUE"""),"+.026")</f>
        <v>+.026</v>
      </c>
      <c r="M52" s="1">
        <f ca="1">IFERROR(__xludf.DUMMYFUNCTION("""COMPUTED_VALUE"""),113)</f>
        <v>113</v>
      </c>
      <c r="N52" s="1" t="str">
        <f ca="1">IFERROR(__xludf.DUMMYFUNCTION("""COMPUTED_VALUE"""),"+3.65")</f>
        <v>+3.65</v>
      </c>
      <c r="O52" s="1">
        <f ca="1">IFERROR(__xludf.DUMMYFUNCTION("""COMPUTED_VALUE"""),81)</f>
        <v>81</v>
      </c>
      <c r="P52" s="1">
        <f ca="1">IFERROR(__xludf.DUMMYFUNCTION("""COMPUTED_VALUE"""),105.8)</f>
        <v>105.8</v>
      </c>
      <c r="Q52" s="1">
        <f ca="1">IFERROR(__xludf.DUMMYFUNCTION("""COMPUTED_VALUE"""),93)</f>
        <v>93</v>
      </c>
      <c r="R52" s="1">
        <f ca="1">IFERROR(__xludf.DUMMYFUNCTION("""COMPUTED_VALUE"""),102.2)</f>
        <v>102.2</v>
      </c>
      <c r="S52" s="1">
        <f ca="1">IFERROR(__xludf.DUMMYFUNCTION("""COMPUTED_VALUE"""),73)</f>
        <v>73</v>
      </c>
      <c r="T52" s="1" t="str">
        <f ca="1">IFERROR(__xludf.DUMMYFUNCTION("""COMPUTED_VALUE"""),"+0.91")</f>
        <v>+0.91</v>
      </c>
      <c r="U52" s="1">
        <f ca="1">IFERROR(__xludf.DUMMYFUNCTION("""COMPUTED_VALUE"""),128)</f>
        <v>128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IFERROR(__xludf.DUMMYFUNCTION("""COMPUTED_VALUE"""),"Illinois St.1")</f>
        <v>Illinois St.1</v>
      </c>
      <c r="C53" s="1" t="str">
        <f ca="1">IFERROR(__xludf.DUMMYFUNCTION("""COMPUTED_VALUE"""),"MVC")</f>
        <v>MVC</v>
      </c>
      <c r="D53" s="1" t="str">
        <f ca="1">IFERROR(__xludf.DUMMYFUNCTION("""COMPUTED_VALUE"""),"28-7")</f>
        <v>28-7</v>
      </c>
      <c r="E53" s="1" t="str">
        <f ca="1">IFERROR(__xludf.DUMMYFUNCTION("""COMPUTED_VALUE"""),"+14.00")</f>
        <v>+14.00</v>
      </c>
      <c r="F53" s="1">
        <f ca="1">IFERROR(__xludf.DUMMYFUNCTION("""COMPUTED_VALUE"""),107.6)</f>
        <v>107.6</v>
      </c>
      <c r="G53" s="1">
        <f ca="1">IFERROR(__xludf.DUMMYFUNCTION("""COMPUTED_VALUE"""),115)</f>
        <v>115</v>
      </c>
      <c r="H53" s="1">
        <f ca="1">IFERROR(__xludf.DUMMYFUNCTION("""COMPUTED_VALUE"""),93.6)</f>
        <v>93.6</v>
      </c>
      <c r="I53" s="1">
        <f ca="1">IFERROR(__xludf.DUMMYFUNCTION("""COMPUTED_VALUE"""),19)</f>
        <v>19</v>
      </c>
      <c r="J53" s="1">
        <f ca="1">IFERROR(__xludf.DUMMYFUNCTION("""COMPUTED_VALUE"""),64.9)</f>
        <v>64.900000000000006</v>
      </c>
      <c r="K53" s="1">
        <f ca="1">IFERROR(__xludf.DUMMYFUNCTION("""COMPUTED_VALUE"""),308)</f>
        <v>308</v>
      </c>
      <c r="L53" s="1" t="str">
        <f ca="1">IFERROR(__xludf.DUMMYFUNCTION("""COMPUTED_VALUE"""),"+.081")</f>
        <v>+.081</v>
      </c>
      <c r="M53" s="1">
        <f ca="1">IFERROR(__xludf.DUMMYFUNCTION("""COMPUTED_VALUE"""),15)</f>
        <v>15</v>
      </c>
      <c r="N53" s="1" t="str">
        <f ca="1">IFERROR(__xludf.DUMMYFUNCTION("""COMPUTED_VALUE"""),"+0.99")</f>
        <v>+0.99</v>
      </c>
      <c r="O53" s="1">
        <f ca="1">IFERROR(__xludf.DUMMYFUNCTION("""COMPUTED_VALUE"""),113)</f>
        <v>113</v>
      </c>
      <c r="P53" s="1">
        <f ca="1">IFERROR(__xludf.DUMMYFUNCTION("""COMPUTED_VALUE"""),104.5)</f>
        <v>104.5</v>
      </c>
      <c r="Q53" s="1">
        <f ca="1">IFERROR(__xludf.DUMMYFUNCTION("""COMPUTED_VALUE"""),156)</f>
        <v>156</v>
      </c>
      <c r="R53" s="1">
        <f ca="1">IFERROR(__xludf.DUMMYFUNCTION("""COMPUTED_VALUE"""),103.5)</f>
        <v>103.5</v>
      </c>
      <c r="S53" s="1">
        <f ca="1">IFERROR(__xludf.DUMMYFUNCTION("""COMPUTED_VALUE"""),109)</f>
        <v>109</v>
      </c>
      <c r="T53" s="1">
        <f ca="1">IFERROR(__xludf.DUMMYFUNCTION("""COMPUTED_VALUE"""),-0.69)</f>
        <v>-0.69</v>
      </c>
      <c r="U53" s="1">
        <f ca="1">IFERROR(__xludf.DUMMYFUNCTION("""COMPUTED_VALUE"""),173)</f>
        <v>173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IFERROR(__xludf.DUMMYFUNCTION("""COMPUTED_VALUE"""),"Virginia Tech9")</f>
        <v>Virginia Tech9</v>
      </c>
      <c r="C54" s="1" t="str">
        <f ca="1">IFERROR(__xludf.DUMMYFUNCTION("""COMPUTED_VALUE"""),"ACC")</f>
        <v>ACC</v>
      </c>
      <c r="D54" s="1" t="str">
        <f ca="1">IFERROR(__xludf.DUMMYFUNCTION("""COMPUTED_VALUE"""),"22-11")</f>
        <v>22-11</v>
      </c>
      <c r="E54" s="1" t="str">
        <f ca="1">IFERROR(__xludf.DUMMYFUNCTION("""COMPUTED_VALUE"""),"+13.80")</f>
        <v>+13.80</v>
      </c>
      <c r="F54" s="1">
        <f ca="1">IFERROR(__xludf.DUMMYFUNCTION("""COMPUTED_VALUE"""),117.3)</f>
        <v>117.3</v>
      </c>
      <c r="G54" s="1">
        <f ca="1">IFERROR(__xludf.DUMMYFUNCTION("""COMPUTED_VALUE"""),21)</f>
        <v>21</v>
      </c>
      <c r="H54" s="1">
        <f ca="1">IFERROR(__xludf.DUMMYFUNCTION("""COMPUTED_VALUE"""),103.5)</f>
        <v>103.5</v>
      </c>
      <c r="I54" s="1">
        <f ca="1">IFERROR(__xludf.DUMMYFUNCTION("""COMPUTED_VALUE"""),156)</f>
        <v>156</v>
      </c>
      <c r="J54" s="1">
        <f ca="1">IFERROR(__xludf.DUMMYFUNCTION("""COMPUTED_VALUE"""),68.4)</f>
        <v>68.400000000000006</v>
      </c>
      <c r="K54" s="1">
        <f ca="1">IFERROR(__xludf.DUMMYFUNCTION("""COMPUTED_VALUE"""),167)</f>
        <v>167</v>
      </c>
      <c r="L54" s="1" t="str">
        <f ca="1">IFERROR(__xludf.DUMMYFUNCTION("""COMPUTED_VALUE"""),"+.053")</f>
        <v>+.053</v>
      </c>
      <c r="M54" s="1">
        <f ca="1">IFERROR(__xludf.DUMMYFUNCTION("""COMPUTED_VALUE"""),51)</f>
        <v>51</v>
      </c>
      <c r="N54" s="1" t="str">
        <f ca="1">IFERROR(__xludf.DUMMYFUNCTION("""COMPUTED_VALUE"""),"+8.23")</f>
        <v>+8.23</v>
      </c>
      <c r="O54" s="1">
        <f ca="1">IFERROR(__xludf.DUMMYFUNCTION("""COMPUTED_VALUE"""),47)</f>
        <v>47</v>
      </c>
      <c r="P54" s="1">
        <f ca="1">IFERROR(__xludf.DUMMYFUNCTION("""COMPUTED_VALUE"""),110)</f>
        <v>110</v>
      </c>
      <c r="Q54" s="1">
        <f ca="1">IFERROR(__xludf.DUMMYFUNCTION("""COMPUTED_VALUE"""),36)</f>
        <v>36</v>
      </c>
      <c r="R54" s="1">
        <f ca="1">IFERROR(__xludf.DUMMYFUNCTION("""COMPUTED_VALUE"""),101.7)</f>
        <v>101.7</v>
      </c>
      <c r="S54" s="1">
        <f ca="1">IFERROR(__xludf.DUMMYFUNCTION("""COMPUTED_VALUE"""),65)</f>
        <v>65</v>
      </c>
      <c r="T54" s="1">
        <f ca="1">IFERROR(__xludf.DUMMYFUNCTION("""COMPUTED_VALUE"""),-7.98)</f>
        <v>-7.98</v>
      </c>
      <c r="U54" s="1">
        <f ca="1">IFERROR(__xludf.DUMMYFUNCTION("""COMPUTED_VALUE"""),342)</f>
        <v>342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IFERROR(__xludf.DUMMYFUNCTION("""COMPUTED_VALUE"""),"Seton Hall9")</f>
        <v>Seton Hall9</v>
      </c>
      <c r="C55" s="1" t="str">
        <f ca="1">IFERROR(__xludf.DUMMYFUNCTION("""COMPUTED_VALUE"""),"BE")</f>
        <v>BE</v>
      </c>
      <c r="D55" s="1" t="str">
        <f ca="1">IFERROR(__xludf.DUMMYFUNCTION("""COMPUTED_VALUE"""),"21-12")</f>
        <v>21-12</v>
      </c>
      <c r="E55" s="1" t="str">
        <f ca="1">IFERROR(__xludf.DUMMYFUNCTION("""COMPUTED_VALUE"""),"+13.63")</f>
        <v>+13.63</v>
      </c>
      <c r="F55" s="1">
        <f ca="1">IFERROR(__xludf.DUMMYFUNCTION("""COMPUTED_VALUE"""),109.4)</f>
        <v>109.4</v>
      </c>
      <c r="G55" s="1">
        <f ca="1">IFERROR(__xludf.DUMMYFUNCTION("""COMPUTED_VALUE"""),84)</f>
        <v>84</v>
      </c>
      <c r="H55" s="1">
        <f ca="1">IFERROR(__xludf.DUMMYFUNCTION("""COMPUTED_VALUE"""),95.8)</f>
        <v>95.8</v>
      </c>
      <c r="I55" s="1">
        <f ca="1">IFERROR(__xludf.DUMMYFUNCTION("""COMPUTED_VALUE"""),34)</f>
        <v>34</v>
      </c>
      <c r="J55" s="1">
        <f ca="1">IFERROR(__xludf.DUMMYFUNCTION("""COMPUTED_VALUE"""),67.5)</f>
        <v>67.5</v>
      </c>
      <c r="K55" s="1">
        <f ca="1">IFERROR(__xludf.DUMMYFUNCTION("""COMPUTED_VALUE"""),214)</f>
        <v>214</v>
      </c>
      <c r="L55" s="1" t="str">
        <f ca="1">IFERROR(__xludf.DUMMYFUNCTION("""COMPUTED_VALUE"""),"+.058")</f>
        <v>+.058</v>
      </c>
      <c r="M55" s="1">
        <f ca="1">IFERROR(__xludf.DUMMYFUNCTION("""COMPUTED_VALUE"""),43)</f>
        <v>43</v>
      </c>
      <c r="N55" s="1" t="str">
        <f ca="1">IFERROR(__xludf.DUMMYFUNCTION("""COMPUTED_VALUE"""),"+9.65")</f>
        <v>+9.65</v>
      </c>
      <c r="O55" s="1">
        <f ca="1">IFERROR(__xludf.DUMMYFUNCTION("""COMPUTED_VALUE"""),31)</f>
        <v>31</v>
      </c>
      <c r="P55" s="1">
        <f ca="1">IFERROR(__xludf.DUMMYFUNCTION("""COMPUTED_VALUE"""),110.2)</f>
        <v>110.2</v>
      </c>
      <c r="Q55" s="1">
        <f ca="1">IFERROR(__xludf.DUMMYFUNCTION("""COMPUTED_VALUE"""),29)</f>
        <v>29</v>
      </c>
      <c r="R55" s="1">
        <f ca="1">IFERROR(__xludf.DUMMYFUNCTION("""COMPUTED_VALUE"""),100.6)</f>
        <v>100.6</v>
      </c>
      <c r="S55" s="1">
        <f ca="1">IFERROR(__xludf.DUMMYFUNCTION("""COMPUTED_VALUE"""),37)</f>
        <v>37</v>
      </c>
      <c r="T55" s="1">
        <f ca="1">IFERROR(__xludf.DUMMYFUNCTION("""COMPUTED_VALUE"""),-2.11)</f>
        <v>-2.11</v>
      </c>
      <c r="U55" s="1">
        <f ca="1">IFERROR(__xludf.DUMMYFUNCTION("""COMPUTED_VALUE"""),218)</f>
        <v>218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IFERROR(__xludf.DUMMYFUNCTION("""COMPUTED_VALUE"""),"Houston2")</f>
        <v>Houston2</v>
      </c>
      <c r="C56" s="1" t="str">
        <f ca="1">IFERROR(__xludf.DUMMYFUNCTION("""COMPUTED_VALUE"""),"Amer")</f>
        <v>Amer</v>
      </c>
      <c r="D56" s="1" t="str">
        <f ca="1">IFERROR(__xludf.DUMMYFUNCTION("""COMPUTED_VALUE"""),"21-11")</f>
        <v>21-11</v>
      </c>
      <c r="E56" s="1" t="str">
        <f ca="1">IFERROR(__xludf.DUMMYFUNCTION("""COMPUTED_VALUE"""),"+13.61")</f>
        <v>+13.61</v>
      </c>
      <c r="F56" s="1">
        <f ca="1">IFERROR(__xludf.DUMMYFUNCTION("""COMPUTED_VALUE"""),113.5)</f>
        <v>113.5</v>
      </c>
      <c r="G56" s="1">
        <f ca="1">IFERROR(__xludf.DUMMYFUNCTION("""COMPUTED_VALUE"""),39)</f>
        <v>39</v>
      </c>
      <c r="H56" s="1">
        <f ca="1">IFERROR(__xludf.DUMMYFUNCTION("""COMPUTED_VALUE"""),99.9)</f>
        <v>99.9</v>
      </c>
      <c r="I56" s="1">
        <f ca="1">IFERROR(__xludf.DUMMYFUNCTION("""COMPUTED_VALUE"""),79)</f>
        <v>79</v>
      </c>
      <c r="J56" s="1">
        <f ca="1">IFERROR(__xludf.DUMMYFUNCTION("""COMPUTED_VALUE"""),65.4)</f>
        <v>65.400000000000006</v>
      </c>
      <c r="K56" s="1">
        <f ca="1">IFERROR(__xludf.DUMMYFUNCTION("""COMPUTED_VALUE"""),300)</f>
        <v>300</v>
      </c>
      <c r="L56" s="1">
        <f ca="1">IFERROR(__xludf.DUMMYFUNCTION("""COMPUTED_VALUE"""),-0.032)</f>
        <v>-3.2000000000000001E-2</v>
      </c>
      <c r="M56" s="1">
        <f ca="1">IFERROR(__xludf.DUMMYFUNCTION("""COMPUTED_VALUE"""),263)</f>
        <v>263</v>
      </c>
      <c r="N56" s="1" t="str">
        <f ca="1">IFERROR(__xludf.DUMMYFUNCTION("""COMPUTED_VALUE"""),"+2.32")</f>
        <v>+2.32</v>
      </c>
      <c r="O56" s="1">
        <f ca="1">IFERROR(__xludf.DUMMYFUNCTION("""COMPUTED_VALUE"""),95)</f>
        <v>95</v>
      </c>
      <c r="P56" s="1">
        <f ca="1">IFERROR(__xludf.DUMMYFUNCTION("""COMPUTED_VALUE"""),105)</f>
        <v>105</v>
      </c>
      <c r="Q56" s="1">
        <f ca="1">IFERROR(__xludf.DUMMYFUNCTION("""COMPUTED_VALUE"""),128)</f>
        <v>128</v>
      </c>
      <c r="R56" s="1">
        <f ca="1">IFERROR(__xludf.DUMMYFUNCTION("""COMPUTED_VALUE"""),102.7)</f>
        <v>102.7</v>
      </c>
      <c r="S56" s="1">
        <f ca="1">IFERROR(__xludf.DUMMYFUNCTION("""COMPUTED_VALUE"""),87)</f>
        <v>87</v>
      </c>
      <c r="T56" s="1">
        <f ca="1">IFERROR(__xludf.DUMMYFUNCTION("""COMPUTED_VALUE"""),-3.28)</f>
        <v>-3.28</v>
      </c>
      <c r="U56" s="1">
        <f ca="1">IFERROR(__xludf.DUMMYFUNCTION("""COMPUTED_VALUE"""),250)</f>
        <v>250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IFERROR(__xludf.DUMMYFUNCTION("""COMPUTED_VALUE"""),"USC11")</f>
        <v>USC11</v>
      </c>
      <c r="C57" s="1" t="str">
        <f ca="1">IFERROR(__xludf.DUMMYFUNCTION("""COMPUTED_VALUE"""),"P12")</f>
        <v>P12</v>
      </c>
      <c r="D57" s="1" t="str">
        <f ca="1">IFERROR(__xludf.DUMMYFUNCTION("""COMPUTED_VALUE"""),"26-10")</f>
        <v>26-10</v>
      </c>
      <c r="E57" s="1" t="str">
        <f ca="1">IFERROR(__xludf.DUMMYFUNCTION("""COMPUTED_VALUE"""),"+13.45")</f>
        <v>+13.45</v>
      </c>
      <c r="F57" s="1">
        <f ca="1">IFERROR(__xludf.DUMMYFUNCTION("""COMPUTED_VALUE"""),114.2)</f>
        <v>114.2</v>
      </c>
      <c r="G57" s="1">
        <f ca="1">IFERROR(__xludf.DUMMYFUNCTION("""COMPUTED_VALUE"""),38)</f>
        <v>38</v>
      </c>
      <c r="H57" s="1">
        <f ca="1">IFERROR(__xludf.DUMMYFUNCTION("""COMPUTED_VALUE"""),100.7)</f>
        <v>100.7</v>
      </c>
      <c r="I57" s="1">
        <f ca="1">IFERROR(__xludf.DUMMYFUNCTION("""COMPUTED_VALUE"""),91)</f>
        <v>91</v>
      </c>
      <c r="J57" s="1">
        <f ca="1">IFERROR(__xludf.DUMMYFUNCTION("""COMPUTED_VALUE"""),68.7)</f>
        <v>68.7</v>
      </c>
      <c r="K57" s="1">
        <f ca="1">IFERROR(__xludf.DUMMYFUNCTION("""COMPUTED_VALUE"""),138)</f>
        <v>138</v>
      </c>
      <c r="L57" s="1" t="str">
        <f ca="1">IFERROR(__xludf.DUMMYFUNCTION("""COMPUTED_VALUE"""),"+.079")</f>
        <v>+.079</v>
      </c>
      <c r="M57" s="1">
        <f ca="1">IFERROR(__xludf.DUMMYFUNCTION("""COMPUTED_VALUE"""),16)</f>
        <v>16</v>
      </c>
      <c r="N57" s="1" t="str">
        <f ca="1">IFERROR(__xludf.DUMMYFUNCTION("""COMPUTED_VALUE"""),"+5.49")</f>
        <v>+5.49</v>
      </c>
      <c r="O57" s="1">
        <f ca="1">IFERROR(__xludf.DUMMYFUNCTION("""COMPUTED_VALUE"""),71)</f>
        <v>71</v>
      </c>
      <c r="P57" s="1">
        <f ca="1">IFERROR(__xludf.DUMMYFUNCTION("""COMPUTED_VALUE"""),108.8)</f>
        <v>108.8</v>
      </c>
      <c r="Q57" s="1">
        <f ca="1">IFERROR(__xludf.DUMMYFUNCTION("""COMPUTED_VALUE"""),54)</f>
        <v>54</v>
      </c>
      <c r="R57" s="1">
        <f ca="1">IFERROR(__xludf.DUMMYFUNCTION("""COMPUTED_VALUE"""),103.3)</f>
        <v>103.3</v>
      </c>
      <c r="S57" s="1">
        <f ca="1">IFERROR(__xludf.DUMMYFUNCTION("""COMPUTED_VALUE"""),106)</f>
        <v>106</v>
      </c>
      <c r="T57" s="1">
        <f ca="1">IFERROR(__xludf.DUMMYFUNCTION("""COMPUTED_VALUE"""),-3.37)</f>
        <v>-3.37</v>
      </c>
      <c r="U57" s="1">
        <f ca="1">IFERROR(__xludf.DUMMYFUNCTION("""COMPUTED_VALUE"""),255)</f>
        <v>255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IFERROR(__xludf.DUMMYFUNCTION("""COMPUTED_VALUE"""),"Nevada12")</f>
        <v>Nevada12</v>
      </c>
      <c r="C58" s="1" t="str">
        <f ca="1">IFERROR(__xludf.DUMMYFUNCTION("""COMPUTED_VALUE"""),"MWC")</f>
        <v>MWC</v>
      </c>
      <c r="D58" s="1" t="str">
        <f ca="1">IFERROR(__xludf.DUMMYFUNCTION("""COMPUTED_VALUE"""),"28-7")</f>
        <v>28-7</v>
      </c>
      <c r="E58" s="1" t="str">
        <f ca="1">IFERROR(__xludf.DUMMYFUNCTION("""COMPUTED_VALUE"""),"+13.31")</f>
        <v>+13.31</v>
      </c>
      <c r="F58" s="1">
        <f ca="1">IFERROR(__xludf.DUMMYFUNCTION("""COMPUTED_VALUE"""),114.6)</f>
        <v>114.6</v>
      </c>
      <c r="G58" s="1">
        <f ca="1">IFERROR(__xludf.DUMMYFUNCTION("""COMPUTED_VALUE"""),36)</f>
        <v>36</v>
      </c>
      <c r="H58" s="1">
        <f ca="1">IFERROR(__xludf.DUMMYFUNCTION("""COMPUTED_VALUE"""),101.3)</f>
        <v>101.3</v>
      </c>
      <c r="I58" s="1">
        <f ca="1">IFERROR(__xludf.DUMMYFUNCTION("""COMPUTED_VALUE"""),101)</f>
        <v>101</v>
      </c>
      <c r="J58" s="1">
        <f ca="1">IFERROR(__xludf.DUMMYFUNCTION("""COMPUTED_VALUE"""),69.7)</f>
        <v>69.7</v>
      </c>
      <c r="K58" s="1">
        <f ca="1">IFERROR(__xludf.DUMMYFUNCTION("""COMPUTED_VALUE"""),90)</f>
        <v>90</v>
      </c>
      <c r="L58" s="1" t="str">
        <f ca="1">IFERROR(__xludf.DUMMYFUNCTION("""COMPUTED_VALUE"""),"+.055")</f>
        <v>+.055</v>
      </c>
      <c r="M58" s="1">
        <f ca="1">IFERROR(__xludf.DUMMYFUNCTION("""COMPUTED_VALUE"""),45)</f>
        <v>45</v>
      </c>
      <c r="N58" s="1" t="str">
        <f ca="1">IFERROR(__xludf.DUMMYFUNCTION("""COMPUTED_VALUE"""),"+1.29")</f>
        <v>+1.29</v>
      </c>
      <c r="O58" s="1">
        <f ca="1">IFERROR(__xludf.DUMMYFUNCTION("""COMPUTED_VALUE"""),105)</f>
        <v>105</v>
      </c>
      <c r="P58" s="1">
        <f ca="1">IFERROR(__xludf.DUMMYFUNCTION("""COMPUTED_VALUE"""),104.5)</f>
        <v>104.5</v>
      </c>
      <c r="Q58" s="1">
        <f ca="1">IFERROR(__xludf.DUMMYFUNCTION("""COMPUTED_VALUE"""),155)</f>
        <v>155</v>
      </c>
      <c r="R58" s="1">
        <f ca="1">IFERROR(__xludf.DUMMYFUNCTION("""COMPUTED_VALUE"""),103.2)</f>
        <v>103.2</v>
      </c>
      <c r="S58" s="1">
        <f ca="1">IFERROR(__xludf.DUMMYFUNCTION("""COMPUTED_VALUE"""),104)</f>
        <v>104</v>
      </c>
      <c r="T58" s="1">
        <f ca="1">IFERROR(__xludf.DUMMYFUNCTION("""COMPUTED_VALUE"""),-1.12)</f>
        <v>-1.1200000000000001</v>
      </c>
      <c r="U58" s="1">
        <f ca="1">IFERROR(__xludf.DUMMYFUNCTION("""COMPUTED_VALUE"""),189)</f>
        <v>189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IFERROR(__xludf.DUMMYFUNCTION("""COMPUTED_VALUE"""),"Syracuse1")</f>
        <v>Syracuse1</v>
      </c>
      <c r="C59" s="1" t="str">
        <f ca="1">IFERROR(__xludf.DUMMYFUNCTION("""COMPUTED_VALUE"""),"ACC")</f>
        <v>ACC</v>
      </c>
      <c r="D59" s="1" t="str">
        <f ca="1">IFERROR(__xludf.DUMMYFUNCTION("""COMPUTED_VALUE"""),"19-15")</f>
        <v>19-15</v>
      </c>
      <c r="E59" s="1" t="str">
        <f ca="1">IFERROR(__xludf.DUMMYFUNCTION("""COMPUTED_VALUE"""),"+13.31")</f>
        <v>+13.31</v>
      </c>
      <c r="F59" s="1">
        <f ca="1">IFERROR(__xludf.DUMMYFUNCTION("""COMPUTED_VALUE"""),115.7)</f>
        <v>115.7</v>
      </c>
      <c r="G59" s="1">
        <f ca="1">IFERROR(__xludf.DUMMYFUNCTION("""COMPUTED_VALUE"""),30)</f>
        <v>30</v>
      </c>
      <c r="H59" s="1">
        <f ca="1">IFERROR(__xludf.DUMMYFUNCTION("""COMPUTED_VALUE"""),102.3)</f>
        <v>102.3</v>
      </c>
      <c r="I59" s="1">
        <f ca="1">IFERROR(__xludf.DUMMYFUNCTION("""COMPUTED_VALUE"""),119)</f>
        <v>119</v>
      </c>
      <c r="J59" s="1">
        <f ca="1">IFERROR(__xludf.DUMMYFUNCTION("""COMPUTED_VALUE"""),66.8)</f>
        <v>66.8</v>
      </c>
      <c r="K59" s="1">
        <f ca="1">IFERROR(__xludf.DUMMYFUNCTION("""COMPUTED_VALUE"""),243)</f>
        <v>243</v>
      </c>
      <c r="L59" s="1">
        <f ca="1">IFERROR(__xludf.DUMMYFUNCTION("""COMPUTED_VALUE"""),-0.048)</f>
        <v>-4.8000000000000001E-2</v>
      </c>
      <c r="M59" s="1">
        <f ca="1">IFERROR(__xludf.DUMMYFUNCTION("""COMPUTED_VALUE"""),293)</f>
        <v>293</v>
      </c>
      <c r="N59" s="1" t="str">
        <f ca="1">IFERROR(__xludf.DUMMYFUNCTION("""COMPUTED_VALUE"""),"+7.20")</f>
        <v>+7.20</v>
      </c>
      <c r="O59" s="1">
        <f ca="1">IFERROR(__xludf.DUMMYFUNCTION("""COMPUTED_VALUE"""),57)</f>
        <v>57</v>
      </c>
      <c r="P59" s="1">
        <f ca="1">IFERROR(__xludf.DUMMYFUNCTION("""COMPUTED_VALUE"""),108.3)</f>
        <v>108.3</v>
      </c>
      <c r="Q59" s="1">
        <f ca="1">IFERROR(__xludf.DUMMYFUNCTION("""COMPUTED_VALUE"""),61)</f>
        <v>61</v>
      </c>
      <c r="R59" s="1">
        <f ca="1">IFERROR(__xludf.DUMMYFUNCTION("""COMPUTED_VALUE"""),101.1)</f>
        <v>101.1</v>
      </c>
      <c r="S59" s="1">
        <f ca="1">IFERROR(__xludf.DUMMYFUNCTION("""COMPUTED_VALUE"""),50)</f>
        <v>50</v>
      </c>
      <c r="T59" s="1">
        <f ca="1">IFERROR(__xludf.DUMMYFUNCTION("""COMPUTED_VALUE"""),-3.21)</f>
        <v>-3.21</v>
      </c>
      <c r="U59" s="1">
        <f ca="1">IFERROR(__xludf.DUMMYFUNCTION("""COMPUTED_VALUE"""),248)</f>
        <v>248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IFERROR(__xludf.DUMMYFUNCTION("""COMPUTED_VALUE"""),"Alabama3")</f>
        <v>Alabama3</v>
      </c>
      <c r="C60" s="1" t="str">
        <f ca="1">IFERROR(__xludf.DUMMYFUNCTION("""COMPUTED_VALUE"""),"SEC")</f>
        <v>SEC</v>
      </c>
      <c r="D60" s="1" t="str">
        <f ca="1">IFERROR(__xludf.DUMMYFUNCTION("""COMPUTED_VALUE"""),"19-15")</f>
        <v>19-15</v>
      </c>
      <c r="E60" s="1" t="str">
        <f ca="1">IFERROR(__xludf.DUMMYFUNCTION("""COMPUTED_VALUE"""),"+13.08")</f>
        <v>+13.08</v>
      </c>
      <c r="F60" s="1">
        <f ca="1">IFERROR(__xludf.DUMMYFUNCTION("""COMPUTED_VALUE"""),105.3)</f>
        <v>105.3</v>
      </c>
      <c r="G60" s="1">
        <f ca="1">IFERROR(__xludf.DUMMYFUNCTION("""COMPUTED_VALUE"""),152)</f>
        <v>152</v>
      </c>
      <c r="H60" s="1">
        <f ca="1">IFERROR(__xludf.DUMMYFUNCTION("""COMPUTED_VALUE"""),92.2)</f>
        <v>92.2</v>
      </c>
      <c r="I60" s="1">
        <f ca="1">IFERROR(__xludf.DUMMYFUNCTION("""COMPUTED_VALUE"""),10)</f>
        <v>10</v>
      </c>
      <c r="J60" s="1">
        <f ca="1">IFERROR(__xludf.DUMMYFUNCTION("""COMPUTED_VALUE"""),65.1)</f>
        <v>65.099999999999994</v>
      </c>
      <c r="K60" s="1">
        <f ca="1">IFERROR(__xludf.DUMMYFUNCTION("""COMPUTED_VALUE"""),302)</f>
        <v>302</v>
      </c>
      <c r="L60" s="1">
        <f ca="1">IFERROR(__xludf.DUMMYFUNCTION("""COMPUTED_VALUE"""),-0.055)</f>
        <v>-5.5E-2</v>
      </c>
      <c r="M60" s="1">
        <f ca="1">IFERROR(__xludf.DUMMYFUNCTION("""COMPUTED_VALUE"""),307)</f>
        <v>307</v>
      </c>
      <c r="N60" s="1" t="str">
        <f ca="1">IFERROR(__xludf.DUMMYFUNCTION("""COMPUTED_VALUE"""),"+7.16")</f>
        <v>+7.16</v>
      </c>
      <c r="O60" s="1">
        <f ca="1">IFERROR(__xludf.DUMMYFUNCTION("""COMPUTED_VALUE"""),58)</f>
        <v>58</v>
      </c>
      <c r="P60" s="1">
        <f ca="1">IFERROR(__xludf.DUMMYFUNCTION("""COMPUTED_VALUE"""),108.1)</f>
        <v>108.1</v>
      </c>
      <c r="Q60" s="1">
        <f ca="1">IFERROR(__xludf.DUMMYFUNCTION("""COMPUTED_VALUE"""),65)</f>
        <v>65</v>
      </c>
      <c r="R60" s="1">
        <f ca="1">IFERROR(__xludf.DUMMYFUNCTION("""COMPUTED_VALUE"""),100.9)</f>
        <v>100.9</v>
      </c>
      <c r="S60" s="1">
        <f ca="1">IFERROR(__xludf.DUMMYFUNCTION("""COMPUTED_VALUE"""),46)</f>
        <v>46</v>
      </c>
      <c r="T60" s="1">
        <f ca="1">IFERROR(__xludf.DUMMYFUNCTION("""COMPUTED_VALUE"""),-1.64)</f>
        <v>-1.64</v>
      </c>
      <c r="U60" s="1">
        <f ca="1">IFERROR(__xludf.DUMMYFUNCTION("""COMPUTED_VALUE"""),204)</f>
        <v>204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IFERROR(__xludf.DUMMYFUNCTION("""COMPUTED_VALUE"""),"Tennessee")</f>
        <v>Tennessee</v>
      </c>
      <c r="C61" s="1" t="str">
        <f ca="1">IFERROR(__xludf.DUMMYFUNCTION("""COMPUTED_VALUE"""),"SEC")</f>
        <v>SEC</v>
      </c>
      <c r="D61" s="1" t="str">
        <f ca="1">IFERROR(__xludf.DUMMYFUNCTION("""COMPUTED_VALUE"""),"16-16")</f>
        <v>16-16</v>
      </c>
      <c r="E61" s="1" t="str">
        <f ca="1">IFERROR(__xludf.DUMMYFUNCTION("""COMPUTED_VALUE"""),"+12.62")</f>
        <v>+12.62</v>
      </c>
      <c r="F61" s="1">
        <f ca="1">IFERROR(__xludf.DUMMYFUNCTION("""COMPUTED_VALUE"""),110.1)</f>
        <v>110.1</v>
      </c>
      <c r="G61" s="1">
        <f ca="1">IFERROR(__xludf.DUMMYFUNCTION("""COMPUTED_VALUE"""),73)</f>
        <v>73</v>
      </c>
      <c r="H61" s="1">
        <f ca="1">IFERROR(__xludf.DUMMYFUNCTION("""COMPUTED_VALUE"""),97.5)</f>
        <v>97.5</v>
      </c>
      <c r="I61" s="1">
        <f ca="1">IFERROR(__xludf.DUMMYFUNCTION("""COMPUTED_VALUE"""),55)</f>
        <v>55</v>
      </c>
      <c r="J61" s="1">
        <f ca="1">IFERROR(__xludf.DUMMYFUNCTION("""COMPUTED_VALUE"""),69.4)</f>
        <v>69.400000000000006</v>
      </c>
      <c r="K61" s="1">
        <f ca="1">IFERROR(__xludf.DUMMYFUNCTION("""COMPUTED_VALUE"""),100)</f>
        <v>100</v>
      </c>
      <c r="L61" s="1">
        <f ca="1">IFERROR(__xludf.DUMMYFUNCTION("""COMPUTED_VALUE"""),-0.053)</f>
        <v>-5.2999999999999999E-2</v>
      </c>
      <c r="M61" s="1">
        <f ca="1">IFERROR(__xludf.DUMMYFUNCTION("""COMPUTED_VALUE"""),299)</f>
        <v>299</v>
      </c>
      <c r="N61" s="1" t="str">
        <f ca="1">IFERROR(__xludf.DUMMYFUNCTION("""COMPUTED_VALUE"""),"+11.20")</f>
        <v>+11.20</v>
      </c>
      <c r="O61" s="1">
        <f ca="1">IFERROR(__xludf.DUMMYFUNCTION("""COMPUTED_VALUE"""),16)</f>
        <v>16</v>
      </c>
      <c r="P61" s="1">
        <f ca="1">IFERROR(__xludf.DUMMYFUNCTION("""COMPUTED_VALUE"""),109.3)</f>
        <v>109.3</v>
      </c>
      <c r="Q61" s="1">
        <f ca="1">IFERROR(__xludf.DUMMYFUNCTION("""COMPUTED_VALUE"""),46)</f>
        <v>46</v>
      </c>
      <c r="R61" s="1">
        <f ca="1">IFERROR(__xludf.DUMMYFUNCTION("""COMPUTED_VALUE"""),98.1)</f>
        <v>98.1</v>
      </c>
      <c r="S61" s="1">
        <f ca="1">IFERROR(__xludf.DUMMYFUNCTION("""COMPUTED_VALUE"""),3)</f>
        <v>3</v>
      </c>
      <c r="T61" s="1" t="str">
        <f ca="1">IFERROR(__xludf.DUMMYFUNCTION("""COMPUTED_VALUE"""),"+6.58")</f>
        <v>+6.58</v>
      </c>
      <c r="U61" s="1">
        <f ca="1">IFERROR(__xludf.DUMMYFUNCTION("""COMPUTED_VALUE"""),29)</f>
        <v>29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IFERROR(__xludf.DUMMYFUNCTION("""COMPUTED_VALUE"""),"Princeton12")</f>
        <v>Princeton12</v>
      </c>
      <c r="C62" s="1" t="str">
        <f ca="1">IFERROR(__xludf.DUMMYFUNCTION("""COMPUTED_VALUE"""),"Ivy")</f>
        <v>Ivy</v>
      </c>
      <c r="D62" s="1" t="str">
        <f ca="1">IFERROR(__xludf.DUMMYFUNCTION("""COMPUTED_VALUE"""),"23-7")</f>
        <v>23-7</v>
      </c>
      <c r="E62" s="1" t="str">
        <f ca="1">IFERROR(__xludf.DUMMYFUNCTION("""COMPUTED_VALUE"""),"+12.61")</f>
        <v>+12.61</v>
      </c>
      <c r="F62" s="1">
        <f ca="1">IFERROR(__xludf.DUMMYFUNCTION("""COMPUTED_VALUE"""),109)</f>
        <v>109</v>
      </c>
      <c r="G62" s="1">
        <f ca="1">IFERROR(__xludf.DUMMYFUNCTION("""COMPUTED_VALUE"""),89)</f>
        <v>89</v>
      </c>
      <c r="H62" s="1">
        <f ca="1">IFERROR(__xludf.DUMMYFUNCTION("""COMPUTED_VALUE"""),96.4)</f>
        <v>96.4</v>
      </c>
      <c r="I62" s="1">
        <f ca="1">IFERROR(__xludf.DUMMYFUNCTION("""COMPUTED_VALUE"""),45)</f>
        <v>45</v>
      </c>
      <c r="J62" s="1">
        <f ca="1">IFERROR(__xludf.DUMMYFUNCTION("""COMPUTED_VALUE"""),63.2)</f>
        <v>63.2</v>
      </c>
      <c r="K62" s="1">
        <f ca="1">IFERROR(__xludf.DUMMYFUNCTION("""COMPUTED_VALUE"""),337)</f>
        <v>337</v>
      </c>
      <c r="L62" s="1" t="str">
        <f ca="1">IFERROR(__xludf.DUMMYFUNCTION("""COMPUTED_VALUE"""),"+.007")</f>
        <v>+.007</v>
      </c>
      <c r="M62" s="1">
        <f ca="1">IFERROR(__xludf.DUMMYFUNCTION("""COMPUTED_VALUE"""),172)</f>
        <v>172</v>
      </c>
      <c r="N62" s="1">
        <f ca="1">IFERROR(__xludf.DUMMYFUNCTION("""COMPUTED_VALUE"""),-1.08)</f>
        <v>-1.08</v>
      </c>
      <c r="O62" s="1">
        <f ca="1">IFERROR(__xludf.DUMMYFUNCTION("""COMPUTED_VALUE"""),157)</f>
        <v>157</v>
      </c>
      <c r="P62" s="1">
        <f ca="1">IFERROR(__xludf.DUMMYFUNCTION("""COMPUTED_VALUE"""),103.9)</f>
        <v>103.9</v>
      </c>
      <c r="Q62" s="1">
        <f ca="1">IFERROR(__xludf.DUMMYFUNCTION("""COMPUTED_VALUE"""),187)</f>
        <v>187</v>
      </c>
      <c r="R62" s="1">
        <f ca="1">IFERROR(__xludf.DUMMYFUNCTION("""COMPUTED_VALUE"""),105)</f>
        <v>105</v>
      </c>
      <c r="S62" s="1">
        <f ca="1">IFERROR(__xludf.DUMMYFUNCTION("""COMPUTED_VALUE"""),144)</f>
        <v>144</v>
      </c>
      <c r="T62" s="1" t="str">
        <f ca="1">IFERROR(__xludf.DUMMYFUNCTION("""COMPUTED_VALUE"""),"+2.17")</f>
        <v>+2.17</v>
      </c>
      <c r="U62" s="1">
        <f ca="1">IFERROR(__xludf.DUMMYFUNCTION("""COMPUTED_VALUE"""),86)</f>
        <v>86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IFERROR(__xludf.DUMMYFUNCTION("""COMPUTED_VALUE"""),"UNC Wilmington12")</f>
        <v>UNC Wilmington12</v>
      </c>
      <c r="C63" s="1" t="str">
        <f ca="1">IFERROR(__xludf.DUMMYFUNCTION("""COMPUTED_VALUE"""),"CAA")</f>
        <v>CAA</v>
      </c>
      <c r="D63" s="1" t="str">
        <f ca="1">IFERROR(__xludf.DUMMYFUNCTION("""COMPUTED_VALUE"""),"29-6")</f>
        <v>29-6</v>
      </c>
      <c r="E63" s="1" t="str">
        <f ca="1">IFERROR(__xludf.DUMMYFUNCTION("""COMPUTED_VALUE"""),"+12.46")</f>
        <v>+12.46</v>
      </c>
      <c r="F63" s="1">
        <f ca="1">IFERROR(__xludf.DUMMYFUNCTION("""COMPUTED_VALUE"""),118)</f>
        <v>118</v>
      </c>
      <c r="G63" s="1">
        <f ca="1">IFERROR(__xludf.DUMMYFUNCTION("""COMPUTED_VALUE"""),19)</f>
        <v>19</v>
      </c>
      <c r="H63" s="1">
        <f ca="1">IFERROR(__xludf.DUMMYFUNCTION("""COMPUTED_VALUE"""),105.5)</f>
        <v>105.5</v>
      </c>
      <c r="I63" s="1">
        <f ca="1">IFERROR(__xludf.DUMMYFUNCTION("""COMPUTED_VALUE"""),193)</f>
        <v>193</v>
      </c>
      <c r="J63" s="1">
        <f ca="1">IFERROR(__xludf.DUMMYFUNCTION("""COMPUTED_VALUE"""),70.3)</f>
        <v>70.3</v>
      </c>
      <c r="K63" s="1">
        <f ca="1">IFERROR(__xludf.DUMMYFUNCTION("""COMPUTED_VALUE"""),67)</f>
        <v>67</v>
      </c>
      <c r="L63" s="1" t="str">
        <f ca="1">IFERROR(__xludf.DUMMYFUNCTION("""COMPUTED_VALUE"""),"+.039")</f>
        <v>+.039</v>
      </c>
      <c r="M63" s="1">
        <f ca="1">IFERROR(__xludf.DUMMYFUNCTION("""COMPUTED_VALUE"""),76)</f>
        <v>76</v>
      </c>
      <c r="N63" s="1" t="str">
        <f ca="1">IFERROR(__xludf.DUMMYFUNCTION("""COMPUTED_VALUE"""),"+0.40")</f>
        <v>+0.40</v>
      </c>
      <c r="O63" s="1">
        <f ca="1">IFERROR(__xludf.DUMMYFUNCTION("""COMPUTED_VALUE"""),128)</f>
        <v>128</v>
      </c>
      <c r="P63" s="1">
        <f ca="1">IFERROR(__xludf.DUMMYFUNCTION("""COMPUTED_VALUE"""),105.1)</f>
        <v>105.1</v>
      </c>
      <c r="Q63" s="1">
        <f ca="1">IFERROR(__xludf.DUMMYFUNCTION("""COMPUTED_VALUE"""),123)</f>
        <v>123</v>
      </c>
      <c r="R63" s="1">
        <f ca="1">IFERROR(__xludf.DUMMYFUNCTION("""COMPUTED_VALUE"""),104.7)</f>
        <v>104.7</v>
      </c>
      <c r="S63" s="1">
        <f ca="1">IFERROR(__xludf.DUMMYFUNCTION("""COMPUTED_VALUE"""),139)</f>
        <v>139</v>
      </c>
      <c r="T63" s="1" t="str">
        <f ca="1">IFERROR(__xludf.DUMMYFUNCTION("""COMPUTED_VALUE"""),"+2.17")</f>
        <v>+2.17</v>
      </c>
      <c r="U63" s="1">
        <f ca="1">IFERROR(__xludf.DUMMYFUNCTION("""COMPUTED_VALUE"""),87)</f>
        <v>87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IFERROR(__xludf.DUMMYFUNCTION("""COMPUTED_VALUE"""),"Providence11")</f>
        <v>Providence11</v>
      </c>
      <c r="C64" s="1" t="str">
        <f ca="1">IFERROR(__xludf.DUMMYFUNCTION("""COMPUTED_VALUE"""),"BE")</f>
        <v>BE</v>
      </c>
      <c r="D64" s="1" t="str">
        <f ca="1">IFERROR(__xludf.DUMMYFUNCTION("""COMPUTED_VALUE"""),"20-13")</f>
        <v>20-13</v>
      </c>
      <c r="E64" s="1" t="str">
        <f ca="1">IFERROR(__xludf.DUMMYFUNCTION("""COMPUTED_VALUE"""),"+12.43")</f>
        <v>+12.43</v>
      </c>
      <c r="F64" s="1">
        <f ca="1">IFERROR(__xludf.DUMMYFUNCTION("""COMPUTED_VALUE"""),108.5)</f>
        <v>108.5</v>
      </c>
      <c r="G64" s="1">
        <f ca="1">IFERROR(__xludf.DUMMYFUNCTION("""COMPUTED_VALUE"""),101)</f>
        <v>101</v>
      </c>
      <c r="H64" s="1">
        <f ca="1">IFERROR(__xludf.DUMMYFUNCTION("""COMPUTED_VALUE"""),96)</f>
        <v>96</v>
      </c>
      <c r="I64" s="1">
        <f ca="1">IFERROR(__xludf.DUMMYFUNCTION("""COMPUTED_VALUE"""),40)</f>
        <v>40</v>
      </c>
      <c r="J64" s="1">
        <f ca="1">IFERROR(__xludf.DUMMYFUNCTION("""COMPUTED_VALUE"""),66.2)</f>
        <v>66.2</v>
      </c>
      <c r="K64" s="1">
        <f ca="1">IFERROR(__xludf.DUMMYFUNCTION("""COMPUTED_VALUE"""),270)</f>
        <v>270</v>
      </c>
      <c r="L64" s="1" t="str">
        <f ca="1">IFERROR(__xludf.DUMMYFUNCTION("""COMPUTED_VALUE"""),"+.014")</f>
        <v>+.014</v>
      </c>
      <c r="M64" s="1">
        <f ca="1">IFERROR(__xludf.DUMMYFUNCTION("""COMPUTED_VALUE"""),152)</f>
        <v>152</v>
      </c>
      <c r="N64" s="1" t="str">
        <f ca="1">IFERROR(__xludf.DUMMYFUNCTION("""COMPUTED_VALUE"""),"+7.90")</f>
        <v>+7.90</v>
      </c>
      <c r="O64" s="1">
        <f ca="1">IFERROR(__xludf.DUMMYFUNCTION("""COMPUTED_VALUE"""),52)</f>
        <v>52</v>
      </c>
      <c r="P64" s="1">
        <f ca="1">IFERROR(__xludf.DUMMYFUNCTION("""COMPUTED_VALUE"""),109.1)</f>
        <v>109.1</v>
      </c>
      <c r="Q64" s="1">
        <f ca="1">IFERROR(__xludf.DUMMYFUNCTION("""COMPUTED_VALUE"""),49)</f>
        <v>49</v>
      </c>
      <c r="R64" s="1">
        <f ca="1">IFERROR(__xludf.DUMMYFUNCTION("""COMPUTED_VALUE"""),101.2)</f>
        <v>101.2</v>
      </c>
      <c r="S64" s="1">
        <f ca="1">IFERROR(__xludf.DUMMYFUNCTION("""COMPUTED_VALUE"""),54)</f>
        <v>54</v>
      </c>
      <c r="T64" s="1">
        <f ca="1">IFERROR(__xludf.DUMMYFUNCTION("""COMPUTED_VALUE"""),-4.48)</f>
        <v>-4.4800000000000004</v>
      </c>
      <c r="U64" s="1">
        <f ca="1">IFERROR(__xludf.DUMMYFUNCTION("""COMPUTED_VALUE"""),287)</f>
        <v>287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IFERROR(__xludf.DUMMYFUNCTION("""COMPUTED_VALUE"""),"Georgia2")</f>
        <v>Georgia2</v>
      </c>
      <c r="C65" s="1" t="str">
        <f ca="1">IFERROR(__xludf.DUMMYFUNCTION("""COMPUTED_VALUE"""),"SEC")</f>
        <v>SEC</v>
      </c>
      <c r="D65" s="1" t="str">
        <f ca="1">IFERROR(__xludf.DUMMYFUNCTION("""COMPUTED_VALUE"""),"19-15")</f>
        <v>19-15</v>
      </c>
      <c r="E65" s="1" t="str">
        <f ca="1">IFERROR(__xludf.DUMMYFUNCTION("""COMPUTED_VALUE"""),"+12.39")</f>
        <v>+12.39</v>
      </c>
      <c r="F65" s="1">
        <f ca="1">IFERROR(__xludf.DUMMYFUNCTION("""COMPUTED_VALUE"""),108.7)</f>
        <v>108.7</v>
      </c>
      <c r="G65" s="1">
        <f ca="1">IFERROR(__xludf.DUMMYFUNCTION("""COMPUTED_VALUE"""),96)</f>
        <v>96</v>
      </c>
      <c r="H65" s="1">
        <f ca="1">IFERROR(__xludf.DUMMYFUNCTION("""COMPUTED_VALUE"""),96.3)</f>
        <v>96.3</v>
      </c>
      <c r="I65" s="1">
        <f ca="1">IFERROR(__xludf.DUMMYFUNCTION("""COMPUTED_VALUE"""),44)</f>
        <v>44</v>
      </c>
      <c r="J65" s="1">
        <f ca="1">IFERROR(__xludf.DUMMYFUNCTION("""COMPUTED_VALUE"""),67.1)</f>
        <v>67.099999999999994</v>
      </c>
      <c r="K65" s="1">
        <f ca="1">IFERROR(__xludf.DUMMYFUNCTION("""COMPUTED_VALUE"""),228)</f>
        <v>228</v>
      </c>
      <c r="L65" s="1" t="str">
        <f ca="1">IFERROR(__xludf.DUMMYFUNCTION("""COMPUTED_VALUE"""),"+.015")</f>
        <v>+.015</v>
      </c>
      <c r="M65" s="1">
        <f ca="1">IFERROR(__xludf.DUMMYFUNCTION("""COMPUTED_VALUE"""),148)</f>
        <v>148</v>
      </c>
      <c r="N65" s="1" t="str">
        <f ca="1">IFERROR(__xludf.DUMMYFUNCTION("""COMPUTED_VALUE"""),"+10.96")</f>
        <v>+10.96</v>
      </c>
      <c r="O65" s="1">
        <f ca="1">IFERROR(__xludf.DUMMYFUNCTION("""COMPUTED_VALUE"""),20)</f>
        <v>20</v>
      </c>
      <c r="P65" s="1">
        <f ca="1">IFERROR(__xludf.DUMMYFUNCTION("""COMPUTED_VALUE"""),109.9)</f>
        <v>109.9</v>
      </c>
      <c r="Q65" s="1">
        <f ca="1">IFERROR(__xludf.DUMMYFUNCTION("""COMPUTED_VALUE"""),37)</f>
        <v>37</v>
      </c>
      <c r="R65" s="1">
        <f ca="1">IFERROR(__xludf.DUMMYFUNCTION("""COMPUTED_VALUE"""),99)</f>
        <v>99</v>
      </c>
      <c r="S65" s="1">
        <f ca="1">IFERROR(__xludf.DUMMYFUNCTION("""COMPUTED_VALUE"""),10)</f>
        <v>10</v>
      </c>
      <c r="T65" s="1" t="str">
        <f ca="1">IFERROR(__xludf.DUMMYFUNCTION("""COMPUTED_VALUE"""),"+4.54")</f>
        <v>+4.54</v>
      </c>
      <c r="U65" s="1">
        <f ca="1">IFERROR(__xludf.DUMMYFUNCTION("""COMPUTED_VALUE"""),44)</f>
        <v>44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IFERROR(__xludf.DUMMYFUNCTION("""COMPUTED_VALUE"""),"California1")</f>
        <v>California1</v>
      </c>
      <c r="C66" s="1" t="str">
        <f ca="1">IFERROR(__xludf.DUMMYFUNCTION("""COMPUTED_VALUE"""),"P12")</f>
        <v>P12</v>
      </c>
      <c r="D66" s="1" t="str">
        <f ca="1">IFERROR(__xludf.DUMMYFUNCTION("""COMPUTED_VALUE"""),"21-13")</f>
        <v>21-13</v>
      </c>
      <c r="E66" s="1" t="str">
        <f ca="1">IFERROR(__xludf.DUMMYFUNCTION("""COMPUTED_VALUE"""),"+12.13")</f>
        <v>+12.13</v>
      </c>
      <c r="F66" s="1">
        <f ca="1">IFERROR(__xludf.DUMMYFUNCTION("""COMPUTED_VALUE"""),104.9)</f>
        <v>104.9</v>
      </c>
      <c r="G66" s="1">
        <f ca="1">IFERROR(__xludf.DUMMYFUNCTION("""COMPUTED_VALUE"""),160)</f>
        <v>160</v>
      </c>
      <c r="H66" s="1">
        <f ca="1">IFERROR(__xludf.DUMMYFUNCTION("""COMPUTED_VALUE"""),92.7)</f>
        <v>92.7</v>
      </c>
      <c r="I66" s="1">
        <f ca="1">IFERROR(__xludf.DUMMYFUNCTION("""COMPUTED_VALUE"""),14)</f>
        <v>14</v>
      </c>
      <c r="J66" s="1">
        <f ca="1">IFERROR(__xludf.DUMMYFUNCTION("""COMPUTED_VALUE"""),65.7)</f>
        <v>65.7</v>
      </c>
      <c r="K66" s="1">
        <f ca="1">IFERROR(__xludf.DUMMYFUNCTION("""COMPUTED_VALUE"""),290)</f>
        <v>290</v>
      </c>
      <c r="L66" s="1">
        <f ca="1">IFERROR(__xludf.DUMMYFUNCTION("""COMPUTED_VALUE"""),-0.012)</f>
        <v>-1.2E-2</v>
      </c>
      <c r="M66" s="1">
        <f ca="1">IFERROR(__xludf.DUMMYFUNCTION("""COMPUTED_VALUE"""),217)</f>
        <v>217</v>
      </c>
      <c r="N66" s="1" t="str">
        <f ca="1">IFERROR(__xludf.DUMMYFUNCTION("""COMPUTED_VALUE"""),"+5.01")</f>
        <v>+5.01</v>
      </c>
      <c r="O66" s="1">
        <f ca="1">IFERROR(__xludf.DUMMYFUNCTION("""COMPUTED_VALUE"""),75)</f>
        <v>75</v>
      </c>
      <c r="P66" s="1">
        <f ca="1">IFERROR(__xludf.DUMMYFUNCTION("""COMPUTED_VALUE"""),107.1)</f>
        <v>107.1</v>
      </c>
      <c r="Q66" s="1">
        <f ca="1">IFERROR(__xludf.DUMMYFUNCTION("""COMPUTED_VALUE"""),76)</f>
        <v>76</v>
      </c>
      <c r="R66" s="1">
        <f ca="1">IFERROR(__xludf.DUMMYFUNCTION("""COMPUTED_VALUE"""),102.1)</f>
        <v>102.1</v>
      </c>
      <c r="S66" s="1">
        <f ca="1">IFERROR(__xludf.DUMMYFUNCTION("""COMPUTED_VALUE"""),71)</f>
        <v>71</v>
      </c>
      <c r="T66" s="1">
        <f ca="1">IFERROR(__xludf.DUMMYFUNCTION("""COMPUTED_VALUE"""),-2.42)</f>
        <v>-2.42</v>
      </c>
      <c r="U66" s="1">
        <f ca="1">IFERROR(__xludf.DUMMYFUNCTION("""COMPUTED_VALUE"""),226)</f>
        <v>226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IFERROR(__xludf.DUMMYFUNCTION("""COMPUTED_VALUE"""),"Vermont13")</f>
        <v>Vermont13</v>
      </c>
      <c r="C67" s="1" t="str">
        <f ca="1">IFERROR(__xludf.DUMMYFUNCTION("""COMPUTED_VALUE"""),"AE")</f>
        <v>AE</v>
      </c>
      <c r="D67" s="1" t="str">
        <f ca="1">IFERROR(__xludf.DUMMYFUNCTION("""COMPUTED_VALUE"""),"29-6")</f>
        <v>29-6</v>
      </c>
      <c r="E67" s="1" t="str">
        <f ca="1">IFERROR(__xludf.DUMMYFUNCTION("""COMPUTED_VALUE"""),"+11.67")</f>
        <v>+11.67</v>
      </c>
      <c r="F67" s="1">
        <f ca="1">IFERROR(__xludf.DUMMYFUNCTION("""COMPUTED_VALUE"""),111.1)</f>
        <v>111.1</v>
      </c>
      <c r="G67" s="1">
        <f ca="1">IFERROR(__xludf.DUMMYFUNCTION("""COMPUTED_VALUE"""),62)</f>
        <v>62</v>
      </c>
      <c r="H67" s="1">
        <f ca="1">IFERROR(__xludf.DUMMYFUNCTION("""COMPUTED_VALUE"""),99.4)</f>
        <v>99.4</v>
      </c>
      <c r="I67" s="1">
        <f ca="1">IFERROR(__xludf.DUMMYFUNCTION("""COMPUTED_VALUE"""),73)</f>
        <v>73</v>
      </c>
      <c r="J67" s="1">
        <f ca="1">IFERROR(__xludf.DUMMYFUNCTION("""COMPUTED_VALUE"""),64.5)</f>
        <v>64.5</v>
      </c>
      <c r="K67" s="1">
        <f ca="1">IFERROR(__xludf.DUMMYFUNCTION("""COMPUTED_VALUE"""),315)</f>
        <v>315</v>
      </c>
      <c r="L67" s="1" t="str">
        <f ca="1">IFERROR(__xludf.DUMMYFUNCTION("""COMPUTED_VALUE"""),"+.053")</f>
        <v>+.053</v>
      </c>
      <c r="M67" s="1">
        <f ca="1">IFERROR(__xludf.DUMMYFUNCTION("""COMPUTED_VALUE"""),53)</f>
        <v>53</v>
      </c>
      <c r="N67" s="1">
        <f ca="1">IFERROR(__xludf.DUMMYFUNCTION("""COMPUTED_VALUE"""),-4.42)</f>
        <v>-4.42</v>
      </c>
      <c r="O67" s="1">
        <f ca="1">IFERROR(__xludf.DUMMYFUNCTION("""COMPUTED_VALUE"""),263)</f>
        <v>263</v>
      </c>
      <c r="P67" s="1">
        <f ca="1">IFERROR(__xludf.DUMMYFUNCTION("""COMPUTED_VALUE"""),103)</f>
        <v>103</v>
      </c>
      <c r="Q67" s="1">
        <f ca="1">IFERROR(__xludf.DUMMYFUNCTION("""COMPUTED_VALUE"""),234)</f>
        <v>234</v>
      </c>
      <c r="R67" s="1">
        <f ca="1">IFERROR(__xludf.DUMMYFUNCTION("""COMPUTED_VALUE"""),107.4)</f>
        <v>107.4</v>
      </c>
      <c r="S67" s="1">
        <f ca="1">IFERROR(__xludf.DUMMYFUNCTION("""COMPUTED_VALUE"""),282)</f>
        <v>282</v>
      </c>
      <c r="T67" s="1" t="str">
        <f ca="1">IFERROR(__xludf.DUMMYFUNCTION("""COMPUTED_VALUE"""),"+1.65")</f>
        <v>+1.65</v>
      </c>
      <c r="U67" s="1">
        <f ca="1">IFERROR(__xludf.DUMMYFUNCTION("""COMPUTED_VALUE"""),112)</f>
        <v>112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IFERROR(__xludf.DUMMYFUNCTION("""COMPUTED_VALUE"""),"Texas A&amp;M")</f>
        <v>Texas A&amp;M</v>
      </c>
      <c r="C68" s="1" t="str">
        <f ca="1">IFERROR(__xludf.DUMMYFUNCTION("""COMPUTED_VALUE"""),"SEC")</f>
        <v>SEC</v>
      </c>
      <c r="D68" s="1" t="str">
        <f ca="1">IFERROR(__xludf.DUMMYFUNCTION("""COMPUTED_VALUE"""),"16-15")</f>
        <v>16-15</v>
      </c>
      <c r="E68" s="1" t="str">
        <f ca="1">IFERROR(__xludf.DUMMYFUNCTION("""COMPUTED_VALUE"""),"+11.49")</f>
        <v>+11.49</v>
      </c>
      <c r="F68" s="1">
        <f ca="1">IFERROR(__xludf.DUMMYFUNCTION("""COMPUTED_VALUE"""),108.7)</f>
        <v>108.7</v>
      </c>
      <c r="G68" s="1">
        <f ca="1">IFERROR(__xludf.DUMMYFUNCTION("""COMPUTED_VALUE"""),95)</f>
        <v>95</v>
      </c>
      <c r="H68" s="1">
        <f ca="1">IFERROR(__xludf.DUMMYFUNCTION("""COMPUTED_VALUE"""),97.3)</f>
        <v>97.3</v>
      </c>
      <c r="I68" s="1">
        <f ca="1">IFERROR(__xludf.DUMMYFUNCTION("""COMPUTED_VALUE"""),54)</f>
        <v>54</v>
      </c>
      <c r="J68" s="1">
        <f ca="1">IFERROR(__xludf.DUMMYFUNCTION("""COMPUTED_VALUE"""),64.5)</f>
        <v>64.5</v>
      </c>
      <c r="K68" s="1">
        <f ca="1">IFERROR(__xludf.DUMMYFUNCTION("""COMPUTED_VALUE"""),313)</f>
        <v>313</v>
      </c>
      <c r="L68" s="1">
        <f ca="1">IFERROR(__xludf.DUMMYFUNCTION("""COMPUTED_VALUE"""),-0.042)</f>
        <v>-4.2000000000000003E-2</v>
      </c>
      <c r="M68" s="1">
        <f ca="1">IFERROR(__xludf.DUMMYFUNCTION("""COMPUTED_VALUE"""),287)</f>
        <v>287</v>
      </c>
      <c r="N68" s="1" t="str">
        <f ca="1">IFERROR(__xludf.DUMMYFUNCTION("""COMPUTED_VALUE"""),"+7.97")</f>
        <v>+7.97</v>
      </c>
      <c r="O68" s="1">
        <f ca="1">IFERROR(__xludf.DUMMYFUNCTION("""COMPUTED_VALUE"""),51)</f>
        <v>51</v>
      </c>
      <c r="P68" s="1">
        <f ca="1">IFERROR(__xludf.DUMMYFUNCTION("""COMPUTED_VALUE"""),109.4)</f>
        <v>109.4</v>
      </c>
      <c r="Q68" s="1">
        <f ca="1">IFERROR(__xludf.DUMMYFUNCTION("""COMPUTED_VALUE"""),45)</f>
        <v>45</v>
      </c>
      <c r="R68" s="1">
        <f ca="1">IFERROR(__xludf.DUMMYFUNCTION("""COMPUTED_VALUE"""),101.5)</f>
        <v>101.5</v>
      </c>
      <c r="S68" s="1">
        <f ca="1">IFERROR(__xludf.DUMMYFUNCTION("""COMPUTED_VALUE"""),59)</f>
        <v>59</v>
      </c>
      <c r="T68" s="1">
        <f ca="1">IFERROR(__xludf.DUMMYFUNCTION("""COMPUTED_VALUE"""),-1.94)</f>
        <v>-1.94</v>
      </c>
      <c r="U68" s="1">
        <f ca="1">IFERROR(__xludf.DUMMYFUNCTION("""COMPUTED_VALUE"""),215)</f>
        <v>215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IFERROR(__xludf.DUMMYFUNCTION("""COMPUTED_VALUE"""),"Oklahoma")</f>
        <v>Oklahoma</v>
      </c>
      <c r="C69" s="1" t="str">
        <f ca="1">IFERROR(__xludf.DUMMYFUNCTION("""COMPUTED_VALUE"""),"B12")</f>
        <v>B12</v>
      </c>
      <c r="D69" s="2">
        <f ca="1">IFERROR(__xludf.DUMMYFUNCTION("""COMPUTED_VALUE"""),44885)</f>
        <v>44885</v>
      </c>
      <c r="E69" s="1" t="str">
        <f ca="1">IFERROR(__xludf.DUMMYFUNCTION("""COMPUTED_VALUE"""),"+11.49")</f>
        <v>+11.49</v>
      </c>
      <c r="F69" s="1">
        <f ca="1">IFERROR(__xludf.DUMMYFUNCTION("""COMPUTED_VALUE"""),107.4)</f>
        <v>107.4</v>
      </c>
      <c r="G69" s="1">
        <f ca="1">IFERROR(__xludf.DUMMYFUNCTION("""COMPUTED_VALUE"""),118)</f>
        <v>118</v>
      </c>
      <c r="H69" s="1">
        <f ca="1">IFERROR(__xludf.DUMMYFUNCTION("""COMPUTED_VALUE"""),95.9)</f>
        <v>95.9</v>
      </c>
      <c r="I69" s="1">
        <f ca="1">IFERROR(__xludf.DUMMYFUNCTION("""COMPUTED_VALUE"""),39)</f>
        <v>39</v>
      </c>
      <c r="J69" s="1">
        <f ca="1">IFERROR(__xludf.DUMMYFUNCTION("""COMPUTED_VALUE"""),70)</f>
        <v>70</v>
      </c>
      <c r="K69" s="1">
        <f ca="1">IFERROR(__xludf.DUMMYFUNCTION("""COMPUTED_VALUE"""),81)</f>
        <v>81</v>
      </c>
      <c r="L69" s="1">
        <f ca="1">IFERROR(__xludf.DUMMYFUNCTION("""COMPUTED_VALUE"""),-0.102)</f>
        <v>-0.10199999999999999</v>
      </c>
      <c r="M69" s="1">
        <f ca="1">IFERROR(__xludf.DUMMYFUNCTION("""COMPUTED_VALUE"""),344)</f>
        <v>344</v>
      </c>
      <c r="N69" s="1" t="str">
        <f ca="1">IFERROR(__xludf.DUMMYFUNCTION("""COMPUTED_VALUE"""),"+14.13")</f>
        <v>+14.13</v>
      </c>
      <c r="O69" s="1">
        <f ca="1">IFERROR(__xludf.DUMMYFUNCTION("""COMPUTED_VALUE"""),2)</f>
        <v>2</v>
      </c>
      <c r="P69" s="1">
        <f ca="1">IFERROR(__xludf.DUMMYFUNCTION("""COMPUTED_VALUE"""),112.5)</f>
        <v>112.5</v>
      </c>
      <c r="Q69" s="1">
        <f ca="1">IFERROR(__xludf.DUMMYFUNCTION("""COMPUTED_VALUE"""),3)</f>
        <v>3</v>
      </c>
      <c r="R69" s="1">
        <f ca="1">IFERROR(__xludf.DUMMYFUNCTION("""COMPUTED_VALUE"""),98.3)</f>
        <v>98.3</v>
      </c>
      <c r="S69" s="1">
        <f ca="1">IFERROR(__xludf.DUMMYFUNCTION("""COMPUTED_VALUE"""),4)</f>
        <v>4</v>
      </c>
      <c r="T69" s="1" t="str">
        <f ca="1">IFERROR(__xludf.DUMMYFUNCTION("""COMPUTED_VALUE"""),"+1.16")</f>
        <v>+1.16</v>
      </c>
      <c r="U69" s="1">
        <f ca="1">IFERROR(__xludf.DUMMYFUNCTION("""COMPUTED_VALUE"""),121)</f>
        <v>121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IFERROR(__xludf.DUMMYFUNCTION("""COMPUTED_VALUE"""),"Illinois2")</f>
        <v>Illinois2</v>
      </c>
      <c r="C70" s="1" t="str">
        <f ca="1">IFERROR(__xludf.DUMMYFUNCTION("""COMPUTED_VALUE"""),"B10")</f>
        <v>B10</v>
      </c>
      <c r="D70" s="1" t="str">
        <f ca="1">IFERROR(__xludf.DUMMYFUNCTION("""COMPUTED_VALUE"""),"20-15")</f>
        <v>20-15</v>
      </c>
      <c r="E70" s="1" t="str">
        <f ca="1">IFERROR(__xludf.DUMMYFUNCTION("""COMPUTED_VALUE"""),"+11.31")</f>
        <v>+11.31</v>
      </c>
      <c r="F70" s="1">
        <f ca="1">IFERROR(__xludf.DUMMYFUNCTION("""COMPUTED_VALUE"""),107.2)</f>
        <v>107.2</v>
      </c>
      <c r="G70" s="1">
        <f ca="1">IFERROR(__xludf.DUMMYFUNCTION("""COMPUTED_VALUE"""),123)</f>
        <v>123</v>
      </c>
      <c r="H70" s="1">
        <f ca="1">IFERROR(__xludf.DUMMYFUNCTION("""COMPUTED_VALUE"""),95.8)</f>
        <v>95.8</v>
      </c>
      <c r="I70" s="1">
        <f ca="1">IFERROR(__xludf.DUMMYFUNCTION("""COMPUTED_VALUE"""),35)</f>
        <v>35</v>
      </c>
      <c r="J70" s="1">
        <f ca="1">IFERROR(__xludf.DUMMYFUNCTION("""COMPUTED_VALUE"""),66.7)</f>
        <v>66.7</v>
      </c>
      <c r="K70" s="1">
        <f ca="1">IFERROR(__xludf.DUMMYFUNCTION("""COMPUTED_VALUE"""),249)</f>
        <v>249</v>
      </c>
      <c r="L70" s="1" t="str">
        <f ca="1">IFERROR(__xludf.DUMMYFUNCTION("""COMPUTED_VALUE"""),"+.028")</f>
        <v>+.028</v>
      </c>
      <c r="M70" s="1">
        <f ca="1">IFERROR(__xludf.DUMMYFUNCTION("""COMPUTED_VALUE"""),105)</f>
        <v>105</v>
      </c>
      <c r="N70" s="1" t="str">
        <f ca="1">IFERROR(__xludf.DUMMYFUNCTION("""COMPUTED_VALUE"""),"+8.41")</f>
        <v>+8.41</v>
      </c>
      <c r="O70" s="1">
        <f ca="1">IFERROR(__xludf.DUMMYFUNCTION("""COMPUTED_VALUE"""),44)</f>
        <v>44</v>
      </c>
      <c r="P70" s="1">
        <f ca="1">IFERROR(__xludf.DUMMYFUNCTION("""COMPUTED_VALUE"""),109.6)</f>
        <v>109.6</v>
      </c>
      <c r="Q70" s="1">
        <f ca="1">IFERROR(__xludf.DUMMYFUNCTION("""COMPUTED_VALUE"""),40)</f>
        <v>40</v>
      </c>
      <c r="R70" s="1">
        <f ca="1">IFERROR(__xludf.DUMMYFUNCTION("""COMPUTED_VALUE"""),101.2)</f>
        <v>101.2</v>
      </c>
      <c r="S70" s="1">
        <f ca="1">IFERROR(__xludf.DUMMYFUNCTION("""COMPUTED_VALUE"""),53)</f>
        <v>53</v>
      </c>
      <c r="T70" s="1">
        <f ca="1">IFERROR(__xludf.DUMMYFUNCTION("""COMPUTED_VALUE"""),-0.16)</f>
        <v>-0.16</v>
      </c>
      <c r="U70" s="1">
        <f ca="1">IFERROR(__xludf.DUMMYFUNCTION("""COMPUTED_VALUE"""),158)</f>
        <v>158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IFERROR(__xludf.DUMMYFUNCTION("""COMPUTED_VALUE"""),"East Tennessee St.13")</f>
        <v>East Tennessee St.13</v>
      </c>
      <c r="C71" s="1" t="str">
        <f ca="1">IFERROR(__xludf.DUMMYFUNCTION("""COMPUTED_VALUE"""),"SC")</f>
        <v>SC</v>
      </c>
      <c r="D71" s="1" t="str">
        <f ca="1">IFERROR(__xludf.DUMMYFUNCTION("""COMPUTED_VALUE"""),"27-8")</f>
        <v>27-8</v>
      </c>
      <c r="E71" s="1" t="str">
        <f ca="1">IFERROR(__xludf.DUMMYFUNCTION("""COMPUTED_VALUE"""),"+11.10")</f>
        <v>+11.10</v>
      </c>
      <c r="F71" s="1">
        <f ca="1">IFERROR(__xludf.DUMMYFUNCTION("""COMPUTED_VALUE"""),108)</f>
        <v>108</v>
      </c>
      <c r="G71" s="1">
        <f ca="1">IFERROR(__xludf.DUMMYFUNCTION("""COMPUTED_VALUE"""),106)</f>
        <v>106</v>
      </c>
      <c r="H71" s="1">
        <f ca="1">IFERROR(__xludf.DUMMYFUNCTION("""COMPUTED_VALUE"""),96.9)</f>
        <v>96.9</v>
      </c>
      <c r="I71" s="1">
        <f ca="1">IFERROR(__xludf.DUMMYFUNCTION("""COMPUTED_VALUE"""),48)</f>
        <v>48</v>
      </c>
      <c r="J71" s="1">
        <f ca="1">IFERROR(__xludf.DUMMYFUNCTION("""COMPUTED_VALUE"""),70.1)</f>
        <v>70.099999999999994</v>
      </c>
      <c r="K71" s="1">
        <f ca="1">IFERROR(__xludf.DUMMYFUNCTION("""COMPUTED_VALUE"""),74)</f>
        <v>74</v>
      </c>
      <c r="L71" s="1" t="str">
        <f ca="1">IFERROR(__xludf.DUMMYFUNCTION("""COMPUTED_VALUE"""),"+.005")</f>
        <v>+.005</v>
      </c>
      <c r="M71" s="1">
        <f ca="1">IFERROR(__xludf.DUMMYFUNCTION("""COMPUTED_VALUE"""),179)</f>
        <v>179</v>
      </c>
      <c r="N71" s="1">
        <f ca="1">IFERROR(__xludf.DUMMYFUNCTION("""COMPUTED_VALUE"""),-1.17)</f>
        <v>-1.17</v>
      </c>
      <c r="O71" s="1">
        <f ca="1">IFERROR(__xludf.DUMMYFUNCTION("""COMPUTED_VALUE"""),163)</f>
        <v>163</v>
      </c>
      <c r="P71" s="1">
        <f ca="1">IFERROR(__xludf.DUMMYFUNCTION("""COMPUTED_VALUE"""),105.4)</f>
        <v>105.4</v>
      </c>
      <c r="Q71" s="1">
        <f ca="1">IFERROR(__xludf.DUMMYFUNCTION("""COMPUTED_VALUE"""),106)</f>
        <v>106</v>
      </c>
      <c r="R71" s="1">
        <f ca="1">IFERROR(__xludf.DUMMYFUNCTION("""COMPUTED_VALUE"""),106.6)</f>
        <v>106.6</v>
      </c>
      <c r="S71" s="1">
        <f ca="1">IFERROR(__xludf.DUMMYFUNCTION("""COMPUTED_VALUE"""),240)</f>
        <v>240</v>
      </c>
      <c r="T71" s="1" t="str">
        <f ca="1">IFERROR(__xludf.DUMMYFUNCTION("""COMPUTED_VALUE"""),"+0.38")</f>
        <v>+0.38</v>
      </c>
      <c r="U71" s="1">
        <f ca="1">IFERROR(__xludf.DUMMYFUNCTION("""COMPUTED_VALUE"""),143)</f>
        <v>143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IFERROR(__xludf.DUMMYFUNCTION("""COMPUTED_VALUE"""),"UCF4")</f>
        <v>UCF4</v>
      </c>
      <c r="C72" s="1" t="str">
        <f ca="1">IFERROR(__xludf.DUMMYFUNCTION("""COMPUTED_VALUE"""),"Amer")</f>
        <v>Amer</v>
      </c>
      <c r="D72" s="1" t="str">
        <f ca="1">IFERROR(__xludf.DUMMYFUNCTION("""COMPUTED_VALUE"""),"24-12")</f>
        <v>24-12</v>
      </c>
      <c r="E72" s="1" t="str">
        <f ca="1">IFERROR(__xludf.DUMMYFUNCTION("""COMPUTED_VALUE"""),"+10.91")</f>
        <v>+10.91</v>
      </c>
      <c r="F72" s="1">
        <f ca="1">IFERROR(__xludf.DUMMYFUNCTION("""COMPUTED_VALUE"""),104.2)</f>
        <v>104.2</v>
      </c>
      <c r="G72" s="1">
        <f ca="1">IFERROR(__xludf.DUMMYFUNCTION("""COMPUTED_VALUE"""),178)</f>
        <v>178</v>
      </c>
      <c r="H72" s="1">
        <f ca="1">IFERROR(__xludf.DUMMYFUNCTION("""COMPUTED_VALUE"""),93.3)</f>
        <v>93.3</v>
      </c>
      <c r="I72" s="1">
        <f ca="1">IFERROR(__xludf.DUMMYFUNCTION("""COMPUTED_VALUE"""),18)</f>
        <v>18</v>
      </c>
      <c r="J72" s="1">
        <f ca="1">IFERROR(__xludf.DUMMYFUNCTION("""COMPUTED_VALUE"""),66)</f>
        <v>66</v>
      </c>
      <c r="K72" s="1">
        <f ca="1">IFERROR(__xludf.DUMMYFUNCTION("""COMPUTED_VALUE"""),276)</f>
        <v>276</v>
      </c>
      <c r="L72" s="1" t="str">
        <f ca="1">IFERROR(__xludf.DUMMYFUNCTION("""COMPUTED_VALUE"""),"+.022")</f>
        <v>+.022</v>
      </c>
      <c r="M72" s="1">
        <f ca="1">IFERROR(__xludf.DUMMYFUNCTION("""COMPUTED_VALUE"""),129)</f>
        <v>129</v>
      </c>
      <c r="N72" s="1" t="str">
        <f ca="1">IFERROR(__xludf.DUMMYFUNCTION("""COMPUTED_VALUE"""),"+2.82")</f>
        <v>+2.82</v>
      </c>
      <c r="O72" s="1">
        <f ca="1">IFERROR(__xludf.DUMMYFUNCTION("""COMPUTED_VALUE"""),91)</f>
        <v>91</v>
      </c>
      <c r="P72" s="1">
        <f ca="1">IFERROR(__xludf.DUMMYFUNCTION("""COMPUTED_VALUE"""),105.4)</f>
        <v>105.4</v>
      </c>
      <c r="Q72" s="1">
        <f ca="1">IFERROR(__xludf.DUMMYFUNCTION("""COMPUTED_VALUE"""),108)</f>
        <v>108</v>
      </c>
      <c r="R72" s="1">
        <f ca="1">IFERROR(__xludf.DUMMYFUNCTION("""COMPUTED_VALUE"""),102.6)</f>
        <v>102.6</v>
      </c>
      <c r="S72" s="1">
        <f ca="1">IFERROR(__xludf.DUMMYFUNCTION("""COMPUTED_VALUE"""),80)</f>
        <v>80</v>
      </c>
      <c r="T72" s="1">
        <f ca="1">IFERROR(__xludf.DUMMYFUNCTION("""COMPUTED_VALUE"""),-6.71)</f>
        <v>-6.71</v>
      </c>
      <c r="U72" s="1">
        <f ca="1">IFERROR(__xludf.DUMMYFUNCTION("""COMPUTED_VALUE"""),332)</f>
        <v>332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IFERROR(__xludf.DUMMYFUNCTION("""COMPUTED_VALUE"""),"Georgetown")</f>
        <v>Georgetown</v>
      </c>
      <c r="C73" s="1" t="str">
        <f ca="1">IFERROR(__xludf.DUMMYFUNCTION("""COMPUTED_VALUE"""),"BE")</f>
        <v>BE</v>
      </c>
      <c r="D73" s="1" t="str">
        <f ca="1">IFERROR(__xludf.DUMMYFUNCTION("""COMPUTED_VALUE"""),"14-18")</f>
        <v>14-18</v>
      </c>
      <c r="E73" s="1" t="str">
        <f ca="1">IFERROR(__xludf.DUMMYFUNCTION("""COMPUTED_VALUE"""),"+10.72")</f>
        <v>+10.72</v>
      </c>
      <c r="F73" s="1">
        <f ca="1">IFERROR(__xludf.DUMMYFUNCTION("""COMPUTED_VALUE"""),108.4)</f>
        <v>108.4</v>
      </c>
      <c r="G73" s="1">
        <f ca="1">IFERROR(__xludf.DUMMYFUNCTION("""COMPUTED_VALUE"""),102)</f>
        <v>102</v>
      </c>
      <c r="H73" s="1">
        <f ca="1">IFERROR(__xludf.DUMMYFUNCTION("""COMPUTED_VALUE"""),97.7)</f>
        <v>97.7</v>
      </c>
      <c r="I73" s="1">
        <f ca="1">IFERROR(__xludf.DUMMYFUNCTION("""COMPUTED_VALUE"""),58)</f>
        <v>58</v>
      </c>
      <c r="J73" s="1">
        <f ca="1">IFERROR(__xludf.DUMMYFUNCTION("""COMPUTED_VALUE"""),68.6)</f>
        <v>68.599999999999994</v>
      </c>
      <c r="K73" s="1">
        <f ca="1">IFERROR(__xludf.DUMMYFUNCTION("""COMPUTED_VALUE"""),147)</f>
        <v>147</v>
      </c>
      <c r="L73" s="1">
        <f ca="1">IFERROR(__xludf.DUMMYFUNCTION("""COMPUTED_VALUE"""),-0.102)</f>
        <v>-0.10199999999999999</v>
      </c>
      <c r="M73" s="1">
        <f ca="1">IFERROR(__xludf.DUMMYFUNCTION("""COMPUTED_VALUE"""),345)</f>
        <v>345</v>
      </c>
      <c r="N73" s="1" t="str">
        <f ca="1">IFERROR(__xludf.DUMMYFUNCTION("""COMPUTED_VALUE"""),"+9.68")</f>
        <v>+9.68</v>
      </c>
      <c r="O73" s="1">
        <f ca="1">IFERROR(__xludf.DUMMYFUNCTION("""COMPUTED_VALUE"""),30)</f>
        <v>30</v>
      </c>
      <c r="P73" s="1">
        <f ca="1">IFERROR(__xludf.DUMMYFUNCTION("""COMPUTED_VALUE"""),110.9)</f>
        <v>110.9</v>
      </c>
      <c r="Q73" s="1">
        <f ca="1">IFERROR(__xludf.DUMMYFUNCTION("""COMPUTED_VALUE"""),14)</f>
        <v>14</v>
      </c>
      <c r="R73" s="1">
        <f ca="1">IFERROR(__xludf.DUMMYFUNCTION("""COMPUTED_VALUE"""),101.3)</f>
        <v>101.3</v>
      </c>
      <c r="S73" s="1">
        <f ca="1">IFERROR(__xludf.DUMMYFUNCTION("""COMPUTED_VALUE"""),55)</f>
        <v>55</v>
      </c>
      <c r="T73" s="1" t="str">
        <f ca="1">IFERROR(__xludf.DUMMYFUNCTION("""COMPUTED_VALUE"""),"+1.85")</f>
        <v>+1.85</v>
      </c>
      <c r="U73" s="1">
        <f ca="1">IFERROR(__xludf.DUMMYFUNCTION("""COMPUTED_VALUE"""),99)</f>
        <v>99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IFERROR(__xludf.DUMMYFUNCTION("""COMPUTED_VALUE"""),"Texas")</f>
        <v>Texas</v>
      </c>
      <c r="C74" s="1" t="str">
        <f ca="1">IFERROR(__xludf.DUMMYFUNCTION("""COMPUTED_VALUE"""),"B12")</f>
        <v>B12</v>
      </c>
      <c r="D74" s="2">
        <f ca="1">IFERROR(__xludf.DUMMYFUNCTION("""COMPUTED_VALUE"""),44887)</f>
        <v>44887</v>
      </c>
      <c r="E74" s="1" t="str">
        <f ca="1">IFERROR(__xludf.DUMMYFUNCTION("""COMPUTED_VALUE"""),"+10.51")</f>
        <v>+10.51</v>
      </c>
      <c r="F74" s="1">
        <f ca="1">IFERROR(__xludf.DUMMYFUNCTION("""COMPUTED_VALUE"""),104.2)</f>
        <v>104.2</v>
      </c>
      <c r="G74" s="1">
        <f ca="1">IFERROR(__xludf.DUMMYFUNCTION("""COMPUTED_VALUE"""),177)</f>
        <v>177</v>
      </c>
      <c r="H74" s="1">
        <f ca="1">IFERROR(__xludf.DUMMYFUNCTION("""COMPUTED_VALUE"""),93.7)</f>
        <v>93.7</v>
      </c>
      <c r="I74" s="1">
        <f ca="1">IFERROR(__xludf.DUMMYFUNCTION("""COMPUTED_VALUE"""),21)</f>
        <v>21</v>
      </c>
      <c r="J74" s="1">
        <f ca="1">IFERROR(__xludf.DUMMYFUNCTION("""COMPUTED_VALUE"""),67.6)</f>
        <v>67.599999999999994</v>
      </c>
      <c r="K74" s="1">
        <f ca="1">IFERROR(__xludf.DUMMYFUNCTION("""COMPUTED_VALUE"""),212)</f>
        <v>212</v>
      </c>
      <c r="L74" s="1">
        <f ca="1">IFERROR(__xludf.DUMMYFUNCTION("""COMPUTED_VALUE"""),-0.105)</f>
        <v>-0.105</v>
      </c>
      <c r="M74" s="1">
        <f ca="1">IFERROR(__xludf.DUMMYFUNCTION("""COMPUTED_VALUE"""),348)</f>
        <v>348</v>
      </c>
      <c r="N74" s="1" t="str">
        <f ca="1">IFERROR(__xludf.DUMMYFUNCTION("""COMPUTED_VALUE"""),"+13.92")</f>
        <v>+13.92</v>
      </c>
      <c r="O74" s="1">
        <f ca="1">IFERROR(__xludf.DUMMYFUNCTION("""COMPUTED_VALUE"""),4)</f>
        <v>4</v>
      </c>
      <c r="P74" s="1">
        <f ca="1">IFERROR(__xludf.DUMMYFUNCTION("""COMPUTED_VALUE"""),112.8)</f>
        <v>112.8</v>
      </c>
      <c r="Q74" s="1">
        <f ca="1">IFERROR(__xludf.DUMMYFUNCTION("""COMPUTED_VALUE"""),1)</f>
        <v>1</v>
      </c>
      <c r="R74" s="1">
        <f ca="1">IFERROR(__xludf.DUMMYFUNCTION("""COMPUTED_VALUE"""),98.9)</f>
        <v>98.9</v>
      </c>
      <c r="S74" s="1">
        <f ca="1">IFERROR(__xludf.DUMMYFUNCTION("""COMPUTED_VALUE"""),9)</f>
        <v>9</v>
      </c>
      <c r="T74" s="1" t="str">
        <f ca="1">IFERROR(__xludf.DUMMYFUNCTION("""COMPUTED_VALUE"""),"+1.81")</f>
        <v>+1.81</v>
      </c>
      <c r="U74" s="1">
        <f ca="1">IFERROR(__xludf.DUMMYFUNCTION("""COMPUTED_VALUE"""),103)</f>
        <v>103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IFERROR(__xludf.DUMMYFUNCTION("""COMPUTED_VALUE"""),"Iowa1")</f>
        <v>Iowa1</v>
      </c>
      <c r="C75" s="1" t="str">
        <f ca="1">IFERROR(__xludf.DUMMYFUNCTION("""COMPUTED_VALUE"""),"B10")</f>
        <v>B10</v>
      </c>
      <c r="D75" s="1" t="str">
        <f ca="1">IFERROR(__xludf.DUMMYFUNCTION("""COMPUTED_VALUE"""),"19-15")</f>
        <v>19-15</v>
      </c>
      <c r="E75" s="1" t="str">
        <f ca="1">IFERROR(__xludf.DUMMYFUNCTION("""COMPUTED_VALUE"""),"+10.48")</f>
        <v>+10.48</v>
      </c>
      <c r="F75" s="1">
        <f ca="1">IFERROR(__xludf.DUMMYFUNCTION("""COMPUTED_VALUE"""),113)</f>
        <v>113</v>
      </c>
      <c r="G75" s="1">
        <f ca="1">IFERROR(__xludf.DUMMYFUNCTION("""COMPUTED_VALUE"""),43)</f>
        <v>43</v>
      </c>
      <c r="H75" s="1">
        <f ca="1">IFERROR(__xludf.DUMMYFUNCTION("""COMPUTED_VALUE"""),102.5)</f>
        <v>102.5</v>
      </c>
      <c r="I75" s="1">
        <f ca="1">IFERROR(__xludf.DUMMYFUNCTION("""COMPUTED_VALUE"""),123)</f>
        <v>123</v>
      </c>
      <c r="J75" s="1">
        <f ca="1">IFERROR(__xludf.DUMMYFUNCTION("""COMPUTED_VALUE"""),71.2)</f>
        <v>71.2</v>
      </c>
      <c r="K75" s="1">
        <f ca="1">IFERROR(__xludf.DUMMYFUNCTION("""COMPUTED_VALUE"""),44)</f>
        <v>44</v>
      </c>
      <c r="L75" s="1" t="str">
        <f ca="1">IFERROR(__xludf.DUMMYFUNCTION("""COMPUTED_VALUE"""),"+.011")</f>
        <v>+.011</v>
      </c>
      <c r="M75" s="1">
        <f ca="1">IFERROR(__xludf.DUMMYFUNCTION("""COMPUTED_VALUE"""),161)</f>
        <v>161</v>
      </c>
      <c r="N75" s="1" t="str">
        <f ca="1">IFERROR(__xludf.DUMMYFUNCTION("""COMPUTED_VALUE"""),"+6.95")</f>
        <v>+6.95</v>
      </c>
      <c r="O75" s="1">
        <f ca="1">IFERROR(__xludf.DUMMYFUNCTION("""COMPUTED_VALUE"""),62)</f>
        <v>62</v>
      </c>
      <c r="P75" s="1">
        <f ca="1">IFERROR(__xludf.DUMMYFUNCTION("""COMPUTED_VALUE"""),108)</f>
        <v>108</v>
      </c>
      <c r="Q75" s="1">
        <f ca="1">IFERROR(__xludf.DUMMYFUNCTION("""COMPUTED_VALUE"""),66)</f>
        <v>66</v>
      </c>
      <c r="R75" s="1">
        <f ca="1">IFERROR(__xludf.DUMMYFUNCTION("""COMPUTED_VALUE"""),101.1)</f>
        <v>101.1</v>
      </c>
      <c r="S75" s="1">
        <f ca="1">IFERROR(__xludf.DUMMYFUNCTION("""COMPUTED_VALUE"""),49)</f>
        <v>49</v>
      </c>
      <c r="T75" s="1">
        <f ca="1">IFERROR(__xludf.DUMMYFUNCTION("""COMPUTED_VALUE"""),-3.6)</f>
        <v>-3.6</v>
      </c>
      <c r="U75" s="1">
        <f ca="1">IFERROR(__xludf.DUMMYFUNCTION("""COMPUTED_VALUE"""),263)</f>
        <v>263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IFERROR(__xludf.DUMMYFUNCTION("""COMPUTED_VALUE"""),"Colorado5")</f>
        <v>Colorado5</v>
      </c>
      <c r="C76" s="1" t="str">
        <f ca="1">IFERROR(__xludf.DUMMYFUNCTION("""COMPUTED_VALUE"""),"P12")</f>
        <v>P12</v>
      </c>
      <c r="D76" s="1" t="str">
        <f ca="1">IFERROR(__xludf.DUMMYFUNCTION("""COMPUTED_VALUE"""),"19-15")</f>
        <v>19-15</v>
      </c>
      <c r="E76" s="1" t="str">
        <f ca="1">IFERROR(__xludf.DUMMYFUNCTION("""COMPUTED_VALUE"""),"+10.30")</f>
        <v>+10.30</v>
      </c>
      <c r="F76" s="1">
        <f ca="1">IFERROR(__xludf.DUMMYFUNCTION("""COMPUTED_VALUE"""),112.6)</f>
        <v>112.6</v>
      </c>
      <c r="G76" s="1">
        <f ca="1">IFERROR(__xludf.DUMMYFUNCTION("""COMPUTED_VALUE"""),45)</f>
        <v>45</v>
      </c>
      <c r="H76" s="1">
        <f ca="1">IFERROR(__xludf.DUMMYFUNCTION("""COMPUTED_VALUE"""),102.3)</f>
        <v>102.3</v>
      </c>
      <c r="I76" s="1">
        <f ca="1">IFERROR(__xludf.DUMMYFUNCTION("""COMPUTED_VALUE"""),116)</f>
        <v>116</v>
      </c>
      <c r="J76" s="1">
        <f ca="1">IFERROR(__xludf.DUMMYFUNCTION("""COMPUTED_VALUE"""),67.7)</f>
        <v>67.7</v>
      </c>
      <c r="K76" s="1">
        <f ca="1">IFERROR(__xludf.DUMMYFUNCTION("""COMPUTED_VALUE"""),202)</f>
        <v>202</v>
      </c>
      <c r="L76" s="1">
        <f ca="1">IFERROR(__xludf.DUMMYFUNCTION("""COMPUTED_VALUE"""),-0.05)</f>
        <v>-0.05</v>
      </c>
      <c r="M76" s="1">
        <f ca="1">IFERROR(__xludf.DUMMYFUNCTION("""COMPUTED_VALUE"""),295)</f>
        <v>295</v>
      </c>
      <c r="N76" s="1" t="str">
        <f ca="1">IFERROR(__xludf.DUMMYFUNCTION("""COMPUTED_VALUE"""),"+5.25")</f>
        <v>+5.25</v>
      </c>
      <c r="O76" s="1">
        <f ca="1">IFERROR(__xludf.DUMMYFUNCTION("""COMPUTED_VALUE"""),73)</f>
        <v>73</v>
      </c>
      <c r="P76" s="1">
        <f ca="1">IFERROR(__xludf.DUMMYFUNCTION("""COMPUTED_VALUE"""),107.7)</f>
        <v>107.7</v>
      </c>
      <c r="Q76" s="1">
        <f ca="1">IFERROR(__xludf.DUMMYFUNCTION("""COMPUTED_VALUE"""),69)</f>
        <v>69</v>
      </c>
      <c r="R76" s="1">
        <f ca="1">IFERROR(__xludf.DUMMYFUNCTION("""COMPUTED_VALUE"""),102.4)</f>
        <v>102.4</v>
      </c>
      <c r="S76" s="1">
        <f ca="1">IFERROR(__xludf.DUMMYFUNCTION("""COMPUTED_VALUE"""),77)</f>
        <v>77</v>
      </c>
      <c r="T76" s="1">
        <f ca="1">IFERROR(__xludf.DUMMYFUNCTION("""COMPUTED_VALUE"""),-0.92)</f>
        <v>-0.92</v>
      </c>
      <c r="U76" s="1">
        <f ca="1">IFERROR(__xludf.DUMMYFUNCTION("""COMPUTED_VALUE"""),180)</f>
        <v>180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IFERROR(__xludf.DUMMYFUNCTION("""COMPUTED_VALUE"""),"Ohio St.")</f>
        <v>Ohio St.</v>
      </c>
      <c r="C77" s="1" t="str">
        <f ca="1">IFERROR(__xludf.DUMMYFUNCTION("""COMPUTED_VALUE"""),"B10")</f>
        <v>B10</v>
      </c>
      <c r="D77" s="1" t="str">
        <f ca="1">IFERROR(__xludf.DUMMYFUNCTION("""COMPUTED_VALUE"""),"17-15")</f>
        <v>17-15</v>
      </c>
      <c r="E77" s="1" t="str">
        <f ca="1">IFERROR(__xludf.DUMMYFUNCTION("""COMPUTED_VALUE"""),"+10.20")</f>
        <v>+10.20</v>
      </c>
      <c r="F77" s="1">
        <f ca="1">IFERROR(__xludf.DUMMYFUNCTION("""COMPUTED_VALUE"""),111.2)</f>
        <v>111.2</v>
      </c>
      <c r="G77" s="1">
        <f ca="1">IFERROR(__xludf.DUMMYFUNCTION("""COMPUTED_VALUE"""),60)</f>
        <v>60</v>
      </c>
      <c r="H77" s="1">
        <f ca="1">IFERROR(__xludf.DUMMYFUNCTION("""COMPUTED_VALUE"""),101)</f>
        <v>101</v>
      </c>
      <c r="I77" s="1">
        <f ca="1">IFERROR(__xludf.DUMMYFUNCTION("""COMPUTED_VALUE"""),99)</f>
        <v>99</v>
      </c>
      <c r="J77" s="1">
        <f ca="1">IFERROR(__xludf.DUMMYFUNCTION("""COMPUTED_VALUE"""),68)</f>
        <v>68</v>
      </c>
      <c r="K77" s="1">
        <f ca="1">IFERROR(__xludf.DUMMYFUNCTION("""COMPUTED_VALUE"""),192)</f>
        <v>192</v>
      </c>
      <c r="L77" s="1">
        <f ca="1">IFERROR(__xludf.DUMMYFUNCTION("""COMPUTED_VALUE"""),-0.054)</f>
        <v>-5.3999999999999999E-2</v>
      </c>
      <c r="M77" s="1">
        <f ca="1">IFERROR(__xludf.DUMMYFUNCTION("""COMPUTED_VALUE"""),302)</f>
        <v>302</v>
      </c>
      <c r="N77" s="1" t="str">
        <f ca="1">IFERROR(__xludf.DUMMYFUNCTION("""COMPUTED_VALUE"""),"+6.78")</f>
        <v>+6.78</v>
      </c>
      <c r="O77" s="1">
        <f ca="1">IFERROR(__xludf.DUMMYFUNCTION("""COMPUTED_VALUE"""),65)</f>
        <v>65</v>
      </c>
      <c r="P77" s="1">
        <f ca="1">IFERROR(__xludf.DUMMYFUNCTION("""COMPUTED_VALUE"""),107.4)</f>
        <v>107.4</v>
      </c>
      <c r="Q77" s="1">
        <f ca="1">IFERROR(__xludf.DUMMYFUNCTION("""COMPUTED_VALUE"""),73)</f>
        <v>73</v>
      </c>
      <c r="R77" s="1">
        <f ca="1">IFERROR(__xludf.DUMMYFUNCTION("""COMPUTED_VALUE"""),100.6)</f>
        <v>100.6</v>
      </c>
      <c r="S77" s="1">
        <f ca="1">IFERROR(__xludf.DUMMYFUNCTION("""COMPUTED_VALUE"""),41)</f>
        <v>41</v>
      </c>
      <c r="T77" s="1">
        <f ca="1">IFERROR(__xludf.DUMMYFUNCTION("""COMPUTED_VALUE"""),-4.55)</f>
        <v>-4.55</v>
      </c>
      <c r="U77" s="1">
        <f ca="1">IFERROR(__xludf.DUMMYFUNCTION("""COMPUTED_VALUE"""),290)</f>
        <v>290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IFERROR(__xludf.DUMMYFUNCTION("""COMPUTED_VALUE"""),"Mississippi5")</f>
        <v>Mississippi5</v>
      </c>
      <c r="C78" s="1" t="str">
        <f ca="1">IFERROR(__xludf.DUMMYFUNCTION("""COMPUTED_VALUE"""),"SEC")</f>
        <v>SEC</v>
      </c>
      <c r="D78" s="1" t="str">
        <f ca="1">IFERROR(__xludf.DUMMYFUNCTION("""COMPUTED_VALUE"""),"22-14")</f>
        <v>22-14</v>
      </c>
      <c r="E78" s="1" t="str">
        <f ca="1">IFERROR(__xludf.DUMMYFUNCTION("""COMPUTED_VALUE"""),"+10.16")</f>
        <v>+10.16</v>
      </c>
      <c r="F78" s="1">
        <f ca="1">IFERROR(__xludf.DUMMYFUNCTION("""COMPUTED_VALUE"""),111.1)</f>
        <v>111.1</v>
      </c>
      <c r="G78" s="1">
        <f ca="1">IFERROR(__xludf.DUMMYFUNCTION("""COMPUTED_VALUE"""),63)</f>
        <v>63</v>
      </c>
      <c r="H78" s="1">
        <f ca="1">IFERROR(__xludf.DUMMYFUNCTION("""COMPUTED_VALUE"""),100.9)</f>
        <v>100.9</v>
      </c>
      <c r="I78" s="1">
        <f ca="1">IFERROR(__xludf.DUMMYFUNCTION("""COMPUTED_VALUE"""),96)</f>
        <v>96</v>
      </c>
      <c r="J78" s="1">
        <f ca="1">IFERROR(__xludf.DUMMYFUNCTION("""COMPUTED_VALUE"""),71.6)</f>
        <v>71.599999999999994</v>
      </c>
      <c r="K78" s="1">
        <f ca="1">IFERROR(__xludf.DUMMYFUNCTION("""COMPUTED_VALUE"""),33)</f>
        <v>33</v>
      </c>
      <c r="L78" s="1" t="str">
        <f ca="1">IFERROR(__xludf.DUMMYFUNCTION("""COMPUTED_VALUE"""),"+.062")</f>
        <v>+.062</v>
      </c>
      <c r="M78" s="1">
        <f ca="1">IFERROR(__xludf.DUMMYFUNCTION("""COMPUTED_VALUE"""),37)</f>
        <v>37</v>
      </c>
      <c r="N78" s="1" t="str">
        <f ca="1">IFERROR(__xludf.DUMMYFUNCTION("""COMPUTED_VALUE"""),"+7.31")</f>
        <v>+7.31</v>
      </c>
      <c r="O78" s="1">
        <f ca="1">IFERROR(__xludf.DUMMYFUNCTION("""COMPUTED_VALUE"""),56)</f>
        <v>56</v>
      </c>
      <c r="P78" s="1">
        <f ca="1">IFERROR(__xludf.DUMMYFUNCTION("""COMPUTED_VALUE"""),107.8)</f>
        <v>107.8</v>
      </c>
      <c r="Q78" s="1">
        <f ca="1">IFERROR(__xludf.DUMMYFUNCTION("""COMPUTED_VALUE"""),68)</f>
        <v>68</v>
      </c>
      <c r="R78" s="1">
        <f ca="1">IFERROR(__xludf.DUMMYFUNCTION("""COMPUTED_VALUE"""),100.5)</f>
        <v>100.5</v>
      </c>
      <c r="S78" s="1">
        <f ca="1">IFERROR(__xludf.DUMMYFUNCTION("""COMPUTED_VALUE"""),35)</f>
        <v>35</v>
      </c>
      <c r="T78" s="1">
        <f ca="1">IFERROR(__xludf.DUMMYFUNCTION("""COMPUTED_VALUE"""),-0.73)</f>
        <v>-0.73</v>
      </c>
      <c r="U78" s="1">
        <f ca="1">IFERROR(__xludf.DUMMYFUNCTION("""COMPUTED_VALUE"""),174)</f>
        <v>174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IFERROR(__xludf.DUMMYFUNCTION("""COMPUTED_VALUE"""),"UT Arlington6")</f>
        <v>UT Arlington6</v>
      </c>
      <c r="C79" s="1" t="str">
        <f ca="1">IFERROR(__xludf.DUMMYFUNCTION("""COMPUTED_VALUE"""),"SB")</f>
        <v>SB</v>
      </c>
      <c r="D79" s="1" t="str">
        <f ca="1">IFERROR(__xludf.DUMMYFUNCTION("""COMPUTED_VALUE"""),"27-9")</f>
        <v>27-9</v>
      </c>
      <c r="E79" s="1" t="str">
        <f ca="1">IFERROR(__xludf.DUMMYFUNCTION("""COMPUTED_VALUE"""),"+9.80")</f>
        <v>+9.80</v>
      </c>
      <c r="F79" s="1">
        <f ca="1">IFERROR(__xludf.DUMMYFUNCTION("""COMPUTED_VALUE"""),110.6)</f>
        <v>110.6</v>
      </c>
      <c r="G79" s="1">
        <f ca="1">IFERROR(__xludf.DUMMYFUNCTION("""COMPUTED_VALUE"""),68)</f>
        <v>68</v>
      </c>
      <c r="H79" s="1">
        <f ca="1">IFERROR(__xludf.DUMMYFUNCTION("""COMPUTED_VALUE"""),100.8)</f>
        <v>100.8</v>
      </c>
      <c r="I79" s="1">
        <f ca="1">IFERROR(__xludf.DUMMYFUNCTION("""COMPUTED_VALUE"""),93)</f>
        <v>93</v>
      </c>
      <c r="J79" s="1">
        <f ca="1">IFERROR(__xludf.DUMMYFUNCTION("""COMPUTED_VALUE"""),70.6)</f>
        <v>70.599999999999994</v>
      </c>
      <c r="K79" s="1">
        <f ca="1">IFERROR(__xludf.DUMMYFUNCTION("""COMPUTED_VALUE"""),59)</f>
        <v>59</v>
      </c>
      <c r="L79" s="1" t="str">
        <f ca="1">IFERROR(__xludf.DUMMYFUNCTION("""COMPUTED_VALUE"""),"+.038")</f>
        <v>+.038</v>
      </c>
      <c r="M79" s="1">
        <f ca="1">IFERROR(__xludf.DUMMYFUNCTION("""COMPUTED_VALUE"""),80)</f>
        <v>80</v>
      </c>
      <c r="N79" s="1">
        <f ca="1">IFERROR(__xludf.DUMMYFUNCTION("""COMPUTED_VALUE"""),-0.01)</f>
        <v>-0.01</v>
      </c>
      <c r="O79" s="1">
        <f ca="1">IFERROR(__xludf.DUMMYFUNCTION("""COMPUTED_VALUE"""),134)</f>
        <v>134</v>
      </c>
      <c r="P79" s="1">
        <f ca="1">IFERROR(__xludf.DUMMYFUNCTION("""COMPUTED_VALUE"""),104)</f>
        <v>104</v>
      </c>
      <c r="Q79" s="1">
        <f ca="1">IFERROR(__xludf.DUMMYFUNCTION("""COMPUTED_VALUE"""),181)</f>
        <v>181</v>
      </c>
      <c r="R79" s="1">
        <f ca="1">IFERROR(__xludf.DUMMYFUNCTION("""COMPUTED_VALUE"""),104)</f>
        <v>104</v>
      </c>
      <c r="S79" s="1">
        <f ca="1">IFERROR(__xludf.DUMMYFUNCTION("""COMPUTED_VALUE"""),121)</f>
        <v>121</v>
      </c>
      <c r="T79" s="1" t="str">
        <f ca="1">IFERROR(__xludf.DUMMYFUNCTION("""COMPUTED_VALUE"""),"+6.30")</f>
        <v>+6.30</v>
      </c>
      <c r="U79" s="1">
        <f ca="1">IFERROR(__xludf.DUMMYFUNCTION("""COMPUTED_VALUE"""),31)</f>
        <v>31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IFERROR(__xludf.DUMMYFUNCTION("""COMPUTED_VALUE"""),"Bucknell13")</f>
        <v>Bucknell13</v>
      </c>
      <c r="C80" s="1" t="str">
        <f ca="1">IFERROR(__xludf.DUMMYFUNCTION("""COMPUTED_VALUE"""),"Pat")</f>
        <v>Pat</v>
      </c>
      <c r="D80" s="1" t="str">
        <f ca="1">IFERROR(__xludf.DUMMYFUNCTION("""COMPUTED_VALUE"""),"26-9")</f>
        <v>26-9</v>
      </c>
      <c r="E80" s="1" t="str">
        <f ca="1">IFERROR(__xludf.DUMMYFUNCTION("""COMPUTED_VALUE"""),"+9.38")</f>
        <v>+9.38</v>
      </c>
      <c r="F80" s="1">
        <f ca="1">IFERROR(__xludf.DUMMYFUNCTION("""COMPUTED_VALUE"""),109.7)</f>
        <v>109.7</v>
      </c>
      <c r="G80" s="1">
        <f ca="1">IFERROR(__xludf.DUMMYFUNCTION("""COMPUTED_VALUE"""),78)</f>
        <v>78</v>
      </c>
      <c r="H80" s="1">
        <f ca="1">IFERROR(__xludf.DUMMYFUNCTION("""COMPUTED_VALUE"""),100.3)</f>
        <v>100.3</v>
      </c>
      <c r="I80" s="1">
        <f ca="1">IFERROR(__xludf.DUMMYFUNCTION("""COMPUTED_VALUE"""),83)</f>
        <v>83</v>
      </c>
      <c r="J80" s="1">
        <f ca="1">IFERROR(__xludf.DUMMYFUNCTION("""COMPUTED_VALUE"""),70)</f>
        <v>70</v>
      </c>
      <c r="K80" s="1">
        <f ca="1">IFERROR(__xludf.DUMMYFUNCTION("""COMPUTED_VALUE"""),83)</f>
        <v>83</v>
      </c>
      <c r="L80" s="1" t="str">
        <f ca="1">IFERROR(__xludf.DUMMYFUNCTION("""COMPUTED_VALUE"""),"+.006")</f>
        <v>+.006</v>
      </c>
      <c r="M80" s="1">
        <f ca="1">IFERROR(__xludf.DUMMYFUNCTION("""COMPUTED_VALUE"""),174)</f>
        <v>174</v>
      </c>
      <c r="N80" s="1">
        <f ca="1">IFERROR(__xludf.DUMMYFUNCTION("""COMPUTED_VALUE"""),-3.62)</f>
        <v>-3.62</v>
      </c>
      <c r="O80" s="1">
        <f ca="1">IFERROR(__xludf.DUMMYFUNCTION("""COMPUTED_VALUE"""),241)</f>
        <v>241</v>
      </c>
      <c r="P80" s="1">
        <f ca="1">IFERROR(__xludf.DUMMYFUNCTION("""COMPUTED_VALUE"""),101.4)</f>
        <v>101.4</v>
      </c>
      <c r="Q80" s="1">
        <f ca="1">IFERROR(__xludf.DUMMYFUNCTION("""COMPUTED_VALUE"""),298)</f>
        <v>298</v>
      </c>
      <c r="R80" s="1">
        <f ca="1">IFERROR(__xludf.DUMMYFUNCTION("""COMPUTED_VALUE"""),105)</f>
        <v>105</v>
      </c>
      <c r="S80" s="1">
        <f ca="1">IFERROR(__xludf.DUMMYFUNCTION("""COMPUTED_VALUE"""),145)</f>
        <v>145</v>
      </c>
      <c r="T80" s="1" t="str">
        <f ca="1">IFERROR(__xludf.DUMMYFUNCTION("""COMPUTED_VALUE"""),"+0.89")</f>
        <v>+0.89</v>
      </c>
      <c r="U80" s="1">
        <f ca="1">IFERROR(__xludf.DUMMYFUNCTION("""COMPUTED_VALUE"""),129)</f>
        <v>129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IFERROR(__xludf.DUMMYFUNCTION("""COMPUTED_VALUE"""),"Georgia Tech6")</f>
        <v>Georgia Tech6</v>
      </c>
      <c r="C81" s="1" t="str">
        <f ca="1">IFERROR(__xludf.DUMMYFUNCTION("""COMPUTED_VALUE"""),"ACC")</f>
        <v>ACC</v>
      </c>
      <c r="D81" s="1" t="str">
        <f ca="1">IFERROR(__xludf.DUMMYFUNCTION("""COMPUTED_VALUE"""),"21-16")</f>
        <v>21-16</v>
      </c>
      <c r="E81" s="1" t="str">
        <f ca="1">IFERROR(__xludf.DUMMYFUNCTION("""COMPUTED_VALUE"""),"+9.00")</f>
        <v>+9.00</v>
      </c>
      <c r="F81" s="1">
        <f ca="1">IFERROR(__xludf.DUMMYFUNCTION("""COMPUTED_VALUE"""),100)</f>
        <v>100</v>
      </c>
      <c r="G81" s="1">
        <f ca="1">IFERROR(__xludf.DUMMYFUNCTION("""COMPUTED_VALUE"""),259)</f>
        <v>259</v>
      </c>
      <c r="H81" s="1">
        <f ca="1">IFERROR(__xludf.DUMMYFUNCTION("""COMPUTED_VALUE"""),91)</f>
        <v>91</v>
      </c>
      <c r="I81" s="1">
        <f ca="1">IFERROR(__xludf.DUMMYFUNCTION("""COMPUTED_VALUE"""),6)</f>
        <v>6</v>
      </c>
      <c r="J81" s="1">
        <f ca="1">IFERROR(__xludf.DUMMYFUNCTION("""COMPUTED_VALUE"""),68.2)</f>
        <v>68.2</v>
      </c>
      <c r="K81" s="1">
        <f ca="1">IFERROR(__xludf.DUMMYFUNCTION("""COMPUTED_VALUE"""),179)</f>
        <v>179</v>
      </c>
      <c r="L81" s="1" t="str">
        <f ca="1">IFERROR(__xludf.DUMMYFUNCTION("""COMPUTED_VALUE"""),"+.069")</f>
        <v>+.069</v>
      </c>
      <c r="M81" s="1">
        <f ca="1">IFERROR(__xludf.DUMMYFUNCTION("""COMPUTED_VALUE"""),26)</f>
        <v>26</v>
      </c>
      <c r="N81" s="1" t="str">
        <f ca="1">IFERROR(__xludf.DUMMYFUNCTION("""COMPUTED_VALUE"""),"+8.41")</f>
        <v>+8.41</v>
      </c>
      <c r="O81" s="1">
        <f ca="1">IFERROR(__xludf.DUMMYFUNCTION("""COMPUTED_VALUE"""),43)</f>
        <v>43</v>
      </c>
      <c r="P81" s="1">
        <f ca="1">IFERROR(__xludf.DUMMYFUNCTION("""COMPUTED_VALUE"""),110.2)</f>
        <v>110.2</v>
      </c>
      <c r="Q81" s="1">
        <f ca="1">IFERROR(__xludf.DUMMYFUNCTION("""COMPUTED_VALUE"""),32)</f>
        <v>32</v>
      </c>
      <c r="R81" s="1">
        <f ca="1">IFERROR(__xludf.DUMMYFUNCTION("""COMPUTED_VALUE"""),101.7)</f>
        <v>101.7</v>
      </c>
      <c r="S81" s="1">
        <f ca="1">IFERROR(__xludf.DUMMYFUNCTION("""COMPUTED_VALUE"""),66)</f>
        <v>66</v>
      </c>
      <c r="T81" s="1">
        <f ca="1">IFERROR(__xludf.DUMMYFUNCTION("""COMPUTED_VALUE"""),-5.28)</f>
        <v>-5.28</v>
      </c>
      <c r="U81" s="1">
        <f ca="1">IFERROR(__xludf.DUMMYFUNCTION("""COMPUTED_VALUE"""),304)</f>
        <v>304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IFERROR(__xludf.DUMMYFUNCTION("""COMPUTED_VALUE"""),"San Diego St.")</f>
        <v>San Diego St.</v>
      </c>
      <c r="C82" s="1" t="str">
        <f ca="1">IFERROR(__xludf.DUMMYFUNCTION("""COMPUTED_VALUE"""),"MWC")</f>
        <v>MWC</v>
      </c>
      <c r="D82" s="1" t="str">
        <f ca="1">IFERROR(__xludf.DUMMYFUNCTION("""COMPUTED_VALUE"""),"19-14")</f>
        <v>19-14</v>
      </c>
      <c r="E82" s="1" t="str">
        <f ca="1">IFERROR(__xludf.DUMMYFUNCTION("""COMPUTED_VALUE"""),"+8.99")</f>
        <v>+8.99</v>
      </c>
      <c r="F82" s="1">
        <f ca="1">IFERROR(__xludf.DUMMYFUNCTION("""COMPUTED_VALUE"""),104)</f>
        <v>104</v>
      </c>
      <c r="G82" s="1">
        <f ca="1">IFERROR(__xludf.DUMMYFUNCTION("""COMPUTED_VALUE"""),183)</f>
        <v>183</v>
      </c>
      <c r="H82" s="1">
        <f ca="1">IFERROR(__xludf.DUMMYFUNCTION("""COMPUTED_VALUE"""),95.1)</f>
        <v>95.1</v>
      </c>
      <c r="I82" s="1">
        <f ca="1">IFERROR(__xludf.DUMMYFUNCTION("""COMPUTED_VALUE"""),28)</f>
        <v>28</v>
      </c>
      <c r="J82" s="1">
        <f ca="1">IFERROR(__xludf.DUMMYFUNCTION("""COMPUTED_VALUE"""),64.9)</f>
        <v>64.900000000000006</v>
      </c>
      <c r="K82" s="1">
        <f ca="1">IFERROR(__xludf.DUMMYFUNCTION("""COMPUTED_VALUE"""),309)</f>
        <v>309</v>
      </c>
      <c r="L82" s="1">
        <f ca="1">IFERROR(__xludf.DUMMYFUNCTION("""COMPUTED_VALUE"""),-0.101)</f>
        <v>-0.10100000000000001</v>
      </c>
      <c r="M82" s="1">
        <f ca="1">IFERROR(__xludf.DUMMYFUNCTION("""COMPUTED_VALUE"""),343)</f>
        <v>343</v>
      </c>
      <c r="N82" s="1" t="str">
        <f ca="1">IFERROR(__xludf.DUMMYFUNCTION("""COMPUTED_VALUE"""),"+0.95")</f>
        <v>+0.95</v>
      </c>
      <c r="O82" s="1">
        <f ca="1">IFERROR(__xludf.DUMMYFUNCTION("""COMPUTED_VALUE"""),116)</f>
        <v>116</v>
      </c>
      <c r="P82" s="1">
        <f ca="1">IFERROR(__xludf.DUMMYFUNCTION("""COMPUTED_VALUE"""),104.5)</f>
        <v>104.5</v>
      </c>
      <c r="Q82" s="1">
        <f ca="1">IFERROR(__xludf.DUMMYFUNCTION("""COMPUTED_VALUE"""),154)</f>
        <v>154</v>
      </c>
      <c r="R82" s="1">
        <f ca="1">IFERROR(__xludf.DUMMYFUNCTION("""COMPUTED_VALUE"""),103.6)</f>
        <v>103.6</v>
      </c>
      <c r="S82" s="1">
        <f ca="1">IFERROR(__xludf.DUMMYFUNCTION("""COMPUTED_VALUE"""),111)</f>
        <v>111</v>
      </c>
      <c r="T82" s="1">
        <f ca="1">IFERROR(__xludf.DUMMYFUNCTION("""COMPUTED_VALUE"""),-1.88)</f>
        <v>-1.88</v>
      </c>
      <c r="U82" s="1">
        <f ca="1">IFERROR(__xludf.DUMMYFUNCTION("""COMPUTED_VALUE"""),213)</f>
        <v>213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IFERROR(__xludf.DUMMYFUNCTION("""COMPUTED_VALUE"""),"Pittsburgh")</f>
        <v>Pittsburgh</v>
      </c>
      <c r="C83" s="1" t="str">
        <f ca="1">IFERROR(__xludf.DUMMYFUNCTION("""COMPUTED_VALUE"""),"ACC")</f>
        <v>ACC</v>
      </c>
      <c r="D83" s="1" t="str">
        <f ca="1">IFERROR(__xludf.DUMMYFUNCTION("""COMPUTED_VALUE"""),"16-17")</f>
        <v>16-17</v>
      </c>
      <c r="E83" s="1" t="str">
        <f ca="1">IFERROR(__xludf.DUMMYFUNCTION("""COMPUTED_VALUE"""),"+8.72")</f>
        <v>+8.72</v>
      </c>
      <c r="F83" s="1">
        <f ca="1">IFERROR(__xludf.DUMMYFUNCTION("""COMPUTED_VALUE"""),112.4)</f>
        <v>112.4</v>
      </c>
      <c r="G83" s="1">
        <f ca="1">IFERROR(__xludf.DUMMYFUNCTION("""COMPUTED_VALUE"""),49)</f>
        <v>49</v>
      </c>
      <c r="H83" s="1">
        <f ca="1">IFERROR(__xludf.DUMMYFUNCTION("""COMPUTED_VALUE"""),103.7)</f>
        <v>103.7</v>
      </c>
      <c r="I83" s="1">
        <f ca="1">IFERROR(__xludf.DUMMYFUNCTION("""COMPUTED_VALUE"""),158)</f>
        <v>158</v>
      </c>
      <c r="J83" s="1">
        <f ca="1">IFERROR(__xludf.DUMMYFUNCTION("""COMPUTED_VALUE"""),65.4)</f>
        <v>65.400000000000006</v>
      </c>
      <c r="K83" s="1">
        <f ca="1">IFERROR(__xludf.DUMMYFUNCTION("""COMPUTED_VALUE"""),298)</f>
        <v>298</v>
      </c>
      <c r="L83" s="1" t="str">
        <f ca="1">IFERROR(__xludf.DUMMYFUNCTION("""COMPUTED_VALUE"""),"+.044")</f>
        <v>+.044</v>
      </c>
      <c r="M83" s="1">
        <f ca="1">IFERROR(__xludf.DUMMYFUNCTION("""COMPUTED_VALUE"""),70)</f>
        <v>70</v>
      </c>
      <c r="N83" s="1" t="str">
        <f ca="1">IFERROR(__xludf.DUMMYFUNCTION("""COMPUTED_VALUE"""),"+10.42")</f>
        <v>+10.42</v>
      </c>
      <c r="O83" s="1">
        <f ca="1">IFERROR(__xludf.DUMMYFUNCTION("""COMPUTED_VALUE"""),26)</f>
        <v>26</v>
      </c>
      <c r="P83" s="1">
        <f ca="1">IFERROR(__xludf.DUMMYFUNCTION("""COMPUTED_VALUE"""),110.9)</f>
        <v>110.9</v>
      </c>
      <c r="Q83" s="1">
        <f ca="1">IFERROR(__xludf.DUMMYFUNCTION("""COMPUTED_VALUE"""),15)</f>
        <v>15</v>
      </c>
      <c r="R83" s="1">
        <f ca="1">IFERROR(__xludf.DUMMYFUNCTION("""COMPUTED_VALUE"""),100.4)</f>
        <v>100.4</v>
      </c>
      <c r="S83" s="1">
        <f ca="1">IFERROR(__xludf.DUMMYFUNCTION("""COMPUTED_VALUE"""),30)</f>
        <v>30</v>
      </c>
      <c r="T83" s="1" t="str">
        <f ca="1">IFERROR(__xludf.DUMMYFUNCTION("""COMPUTED_VALUE"""),"+0.08")</f>
        <v>+0.08</v>
      </c>
      <c r="U83" s="1">
        <f ca="1">IFERROR(__xludf.DUMMYFUNCTION("""COMPUTED_VALUE"""),152)</f>
        <v>152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IFERROR(__xludf.DUMMYFUNCTION("""COMPUTED_VALUE"""),"BYU3")</f>
        <v>BYU3</v>
      </c>
      <c r="C84" s="1" t="str">
        <f ca="1">IFERROR(__xludf.DUMMYFUNCTION("""COMPUTED_VALUE"""),"WCC")</f>
        <v>WCC</v>
      </c>
      <c r="D84" s="1" t="str">
        <f ca="1">IFERROR(__xludf.DUMMYFUNCTION("""COMPUTED_VALUE"""),"22-12")</f>
        <v>22-12</v>
      </c>
      <c r="E84" s="1" t="str">
        <f ca="1">IFERROR(__xludf.DUMMYFUNCTION("""COMPUTED_VALUE"""),"+8.66")</f>
        <v>+8.66</v>
      </c>
      <c r="F84" s="1">
        <f ca="1">IFERROR(__xludf.DUMMYFUNCTION("""COMPUTED_VALUE"""),109.1)</f>
        <v>109.1</v>
      </c>
      <c r="G84" s="1">
        <f ca="1">IFERROR(__xludf.DUMMYFUNCTION("""COMPUTED_VALUE"""),86)</f>
        <v>86</v>
      </c>
      <c r="H84" s="1">
        <f ca="1">IFERROR(__xludf.DUMMYFUNCTION("""COMPUTED_VALUE"""),100.5)</f>
        <v>100.5</v>
      </c>
      <c r="I84" s="1">
        <f ca="1">IFERROR(__xludf.DUMMYFUNCTION("""COMPUTED_VALUE"""),87)</f>
        <v>87</v>
      </c>
      <c r="J84" s="1">
        <f ca="1">IFERROR(__xludf.DUMMYFUNCTION("""COMPUTED_VALUE"""),75.6)</f>
        <v>75.599999999999994</v>
      </c>
      <c r="K84" s="1">
        <f ca="1">IFERROR(__xludf.DUMMYFUNCTION("""COMPUTED_VALUE"""),4)</f>
        <v>4</v>
      </c>
      <c r="L84" s="1" t="str">
        <f ca="1">IFERROR(__xludf.DUMMYFUNCTION("""COMPUTED_VALUE"""),"+.006")</f>
        <v>+.006</v>
      </c>
      <c r="M84" s="1">
        <f ca="1">IFERROR(__xludf.DUMMYFUNCTION("""COMPUTED_VALUE"""),176)</f>
        <v>176</v>
      </c>
      <c r="N84" s="1" t="str">
        <f ca="1">IFERROR(__xludf.DUMMYFUNCTION("""COMPUTED_VALUE"""),"+0.24")</f>
        <v>+0.24</v>
      </c>
      <c r="O84" s="1">
        <f ca="1">IFERROR(__xludf.DUMMYFUNCTION("""COMPUTED_VALUE"""),131)</f>
        <v>131</v>
      </c>
      <c r="P84" s="1">
        <f ca="1">IFERROR(__xludf.DUMMYFUNCTION("""COMPUTED_VALUE"""),104.2)</f>
        <v>104.2</v>
      </c>
      <c r="Q84" s="1">
        <f ca="1">IFERROR(__xludf.DUMMYFUNCTION("""COMPUTED_VALUE"""),168)</f>
        <v>168</v>
      </c>
      <c r="R84" s="1">
        <f ca="1">IFERROR(__xludf.DUMMYFUNCTION("""COMPUTED_VALUE"""),104)</f>
        <v>104</v>
      </c>
      <c r="S84" s="1">
        <f ca="1">IFERROR(__xludf.DUMMYFUNCTION("""COMPUTED_VALUE"""),120)</f>
        <v>120</v>
      </c>
      <c r="T84" s="1">
        <f ca="1">IFERROR(__xludf.DUMMYFUNCTION("""COMPUTED_VALUE"""),-1.86)</f>
        <v>-1.86</v>
      </c>
      <c r="U84" s="1">
        <f ca="1">IFERROR(__xludf.DUMMYFUNCTION("""COMPUTED_VALUE"""),212)</f>
        <v>212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IFERROR(__xludf.DUMMYFUNCTION("""COMPUTED_VALUE"""),"Monmouth4")</f>
        <v>Monmouth4</v>
      </c>
      <c r="C87" s="1" t="str">
        <f ca="1">IFERROR(__xludf.DUMMYFUNCTION("""COMPUTED_VALUE"""),"MAAC")</f>
        <v>MAAC</v>
      </c>
      <c r="D87" s="1" t="str">
        <f ca="1">IFERROR(__xludf.DUMMYFUNCTION("""COMPUTED_VALUE"""),"27-7")</f>
        <v>27-7</v>
      </c>
      <c r="E87" s="1" t="str">
        <f ca="1">IFERROR(__xludf.DUMMYFUNCTION("""COMPUTED_VALUE"""),"+8.61")</f>
        <v>+8.61</v>
      </c>
      <c r="F87" s="1">
        <f ca="1">IFERROR(__xludf.DUMMYFUNCTION("""COMPUTED_VALUE"""),109.1)</f>
        <v>109.1</v>
      </c>
      <c r="G87" s="1">
        <f ca="1">IFERROR(__xludf.DUMMYFUNCTION("""COMPUTED_VALUE"""),87)</f>
        <v>87</v>
      </c>
      <c r="H87" s="1">
        <f ca="1">IFERROR(__xludf.DUMMYFUNCTION("""COMPUTED_VALUE"""),100.5)</f>
        <v>100.5</v>
      </c>
      <c r="I87" s="1">
        <f ca="1">IFERROR(__xludf.DUMMYFUNCTION("""COMPUTED_VALUE"""),89)</f>
        <v>89</v>
      </c>
      <c r="J87" s="1">
        <f ca="1">IFERROR(__xludf.DUMMYFUNCTION("""COMPUTED_VALUE"""),72.4)</f>
        <v>72.400000000000006</v>
      </c>
      <c r="K87" s="1">
        <f ca="1">IFERROR(__xludf.DUMMYFUNCTION("""COMPUTED_VALUE"""),21)</f>
        <v>21</v>
      </c>
      <c r="L87" s="1" t="str">
        <f ca="1">IFERROR(__xludf.DUMMYFUNCTION("""COMPUTED_VALUE"""),"+.070")</f>
        <v>+.070</v>
      </c>
      <c r="M87" s="1">
        <f ca="1">IFERROR(__xludf.DUMMYFUNCTION("""COMPUTED_VALUE"""),23)</f>
        <v>23</v>
      </c>
      <c r="N87" s="1">
        <f ca="1">IFERROR(__xludf.DUMMYFUNCTION("""COMPUTED_VALUE"""),-2.63)</f>
        <v>-2.63</v>
      </c>
      <c r="O87" s="1">
        <f ca="1">IFERROR(__xludf.DUMMYFUNCTION("""COMPUTED_VALUE"""),208)</f>
        <v>208</v>
      </c>
      <c r="P87" s="1">
        <f ca="1">IFERROR(__xludf.DUMMYFUNCTION("""COMPUTED_VALUE"""),103.6)</f>
        <v>103.6</v>
      </c>
      <c r="Q87" s="1">
        <f ca="1">IFERROR(__xludf.DUMMYFUNCTION("""COMPUTED_VALUE"""),205)</f>
        <v>205</v>
      </c>
      <c r="R87" s="1">
        <f ca="1">IFERROR(__xludf.DUMMYFUNCTION("""COMPUTED_VALUE"""),106.2)</f>
        <v>106.2</v>
      </c>
      <c r="S87" s="1">
        <f ca="1">IFERROR(__xludf.DUMMYFUNCTION("""COMPUTED_VALUE"""),219)</f>
        <v>219</v>
      </c>
      <c r="T87" s="1" t="str">
        <f ca="1">IFERROR(__xludf.DUMMYFUNCTION("""COMPUTED_VALUE"""),"+2.02")</f>
        <v>+2.02</v>
      </c>
      <c r="U87" s="1">
        <f ca="1">IFERROR(__xludf.DUMMYFUNCTION("""COMPUTED_VALUE"""),94)</f>
        <v>94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IFERROR(__xludf.DUMMYFUNCTION("""COMPUTED_VALUE"""),"Auburn")</f>
        <v>Auburn</v>
      </c>
      <c r="C88" s="1" t="str">
        <f ca="1">IFERROR(__xludf.DUMMYFUNCTION("""COMPUTED_VALUE"""),"SEC")</f>
        <v>SEC</v>
      </c>
      <c r="D88" s="1" t="str">
        <f ca="1">IFERROR(__xludf.DUMMYFUNCTION("""COMPUTED_VALUE"""),"18-14")</f>
        <v>18-14</v>
      </c>
      <c r="E88" s="1" t="str">
        <f ca="1">IFERROR(__xludf.DUMMYFUNCTION("""COMPUTED_VALUE"""),"+8.52")</f>
        <v>+8.52</v>
      </c>
      <c r="F88" s="1">
        <f ca="1">IFERROR(__xludf.DUMMYFUNCTION("""COMPUTED_VALUE"""),111.9)</f>
        <v>111.9</v>
      </c>
      <c r="G88" s="1">
        <f ca="1">IFERROR(__xludf.DUMMYFUNCTION("""COMPUTED_VALUE"""),54)</f>
        <v>54</v>
      </c>
      <c r="H88" s="1">
        <f ca="1">IFERROR(__xludf.DUMMYFUNCTION("""COMPUTED_VALUE"""),103.3)</f>
        <v>103.3</v>
      </c>
      <c r="I88" s="1">
        <f ca="1">IFERROR(__xludf.DUMMYFUNCTION("""COMPUTED_VALUE"""),147)</f>
        <v>147</v>
      </c>
      <c r="J88" s="1">
        <f ca="1">IFERROR(__xludf.DUMMYFUNCTION("""COMPUTED_VALUE"""),73.6)</f>
        <v>73.599999999999994</v>
      </c>
      <c r="K88" s="1">
        <f ca="1">IFERROR(__xludf.DUMMYFUNCTION("""COMPUTED_VALUE"""),10)</f>
        <v>10</v>
      </c>
      <c r="L88" s="1" t="str">
        <f ca="1">IFERROR(__xludf.DUMMYFUNCTION("""COMPUTED_VALUE"""),"+.045")</f>
        <v>+.045</v>
      </c>
      <c r="M88" s="1">
        <f ca="1">IFERROR(__xludf.DUMMYFUNCTION("""COMPUTED_VALUE"""),68)</f>
        <v>68</v>
      </c>
      <c r="N88" s="1" t="str">
        <f ca="1">IFERROR(__xludf.DUMMYFUNCTION("""COMPUTED_VALUE"""),"+6.99")</f>
        <v>+6.99</v>
      </c>
      <c r="O88" s="1">
        <f ca="1">IFERROR(__xludf.DUMMYFUNCTION("""COMPUTED_VALUE"""),61)</f>
        <v>61</v>
      </c>
      <c r="P88" s="1">
        <f ca="1">IFERROR(__xludf.DUMMYFUNCTION("""COMPUTED_VALUE"""),107.5)</f>
        <v>107.5</v>
      </c>
      <c r="Q88" s="1">
        <f ca="1">IFERROR(__xludf.DUMMYFUNCTION("""COMPUTED_VALUE"""),70)</f>
        <v>70</v>
      </c>
      <c r="R88" s="1">
        <f ca="1">IFERROR(__xludf.DUMMYFUNCTION("""COMPUTED_VALUE"""),100.5)</f>
        <v>100.5</v>
      </c>
      <c r="S88" s="1">
        <f ca="1">IFERROR(__xludf.DUMMYFUNCTION("""COMPUTED_VALUE"""),36)</f>
        <v>36</v>
      </c>
      <c r="T88" s="1" t="str">
        <f ca="1">IFERROR(__xludf.DUMMYFUNCTION("""COMPUTED_VALUE"""),"+1.35")</f>
        <v>+1.35</v>
      </c>
      <c r="U88" s="1">
        <f ca="1">IFERROR(__xludf.DUMMYFUNCTION("""COMPUTED_VALUE"""),119)</f>
        <v>119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IFERROR(__xludf.DUMMYFUNCTION("""COMPUTED_VALUE"""),"Belmont7")</f>
        <v>Belmont7</v>
      </c>
      <c r="C89" s="1" t="str">
        <f ca="1">IFERROR(__xludf.DUMMYFUNCTION("""COMPUTED_VALUE"""),"OVC")</f>
        <v>OVC</v>
      </c>
      <c r="D89" s="1" t="str">
        <f ca="1">IFERROR(__xludf.DUMMYFUNCTION("""COMPUTED_VALUE"""),"23-7")</f>
        <v>23-7</v>
      </c>
      <c r="E89" s="1" t="str">
        <f ca="1">IFERROR(__xludf.DUMMYFUNCTION("""COMPUTED_VALUE"""),"+8.17")</f>
        <v>+8.17</v>
      </c>
      <c r="F89" s="1">
        <f ca="1">IFERROR(__xludf.DUMMYFUNCTION("""COMPUTED_VALUE"""),110.8)</f>
        <v>110.8</v>
      </c>
      <c r="G89" s="1">
        <f ca="1">IFERROR(__xludf.DUMMYFUNCTION("""COMPUTED_VALUE"""),65)</f>
        <v>65</v>
      </c>
      <c r="H89" s="1">
        <f ca="1">IFERROR(__xludf.DUMMYFUNCTION("""COMPUTED_VALUE"""),102.7)</f>
        <v>102.7</v>
      </c>
      <c r="I89" s="1">
        <f ca="1">IFERROR(__xludf.DUMMYFUNCTION("""COMPUTED_VALUE"""),125)</f>
        <v>125</v>
      </c>
      <c r="J89" s="1">
        <f ca="1">IFERROR(__xludf.DUMMYFUNCTION("""COMPUTED_VALUE"""),68)</f>
        <v>68</v>
      </c>
      <c r="K89" s="1">
        <f ca="1">IFERROR(__xludf.DUMMYFUNCTION("""COMPUTED_VALUE"""),188)</f>
        <v>188</v>
      </c>
      <c r="L89" s="1" t="str">
        <f ca="1">IFERROR(__xludf.DUMMYFUNCTION("""COMPUTED_VALUE"""),"+.069")</f>
        <v>+.069</v>
      </c>
      <c r="M89" s="1">
        <f ca="1">IFERROR(__xludf.DUMMYFUNCTION("""COMPUTED_VALUE"""),24)</f>
        <v>24</v>
      </c>
      <c r="N89" s="1">
        <f ca="1">IFERROR(__xludf.DUMMYFUNCTION("""COMPUTED_VALUE"""),-1.36)</f>
        <v>-1.36</v>
      </c>
      <c r="O89" s="1">
        <f ca="1">IFERROR(__xludf.DUMMYFUNCTION("""COMPUTED_VALUE"""),170)</f>
        <v>170</v>
      </c>
      <c r="P89" s="1">
        <f ca="1">IFERROR(__xludf.DUMMYFUNCTION("""COMPUTED_VALUE"""),103.9)</f>
        <v>103.9</v>
      </c>
      <c r="Q89" s="1">
        <f ca="1">IFERROR(__xludf.DUMMYFUNCTION("""COMPUTED_VALUE"""),188)</f>
        <v>188</v>
      </c>
      <c r="R89" s="1">
        <f ca="1">IFERROR(__xludf.DUMMYFUNCTION("""COMPUTED_VALUE"""),105.2)</f>
        <v>105.2</v>
      </c>
      <c r="S89" s="1">
        <f ca="1">IFERROR(__xludf.DUMMYFUNCTION("""COMPUTED_VALUE"""),156)</f>
        <v>156</v>
      </c>
      <c r="T89" s="1" t="str">
        <f ca="1">IFERROR(__xludf.DUMMYFUNCTION("""COMPUTED_VALUE"""),"+3.64")</f>
        <v>+3.64</v>
      </c>
      <c r="U89" s="1">
        <f ca="1">IFERROR(__xludf.DUMMYFUNCTION("""COMPUTED_VALUE"""),57)</f>
        <v>57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IFERROR(__xludf.DUMMYFUNCTION("""COMPUTED_VALUE"""),"New Mexico St.14")</f>
        <v>New Mexico St.14</v>
      </c>
      <c r="C90" s="1" t="str">
        <f ca="1">IFERROR(__xludf.DUMMYFUNCTION("""COMPUTED_VALUE"""),"WAC")</f>
        <v>WAC</v>
      </c>
      <c r="D90" s="1" t="str">
        <f ca="1">IFERROR(__xludf.DUMMYFUNCTION("""COMPUTED_VALUE"""),"28-6")</f>
        <v>28-6</v>
      </c>
      <c r="E90" s="1" t="str">
        <f ca="1">IFERROR(__xludf.DUMMYFUNCTION("""COMPUTED_VALUE"""),"+7.89")</f>
        <v>+7.89</v>
      </c>
      <c r="F90" s="1">
        <f ca="1">IFERROR(__xludf.DUMMYFUNCTION("""COMPUTED_VALUE"""),110.5)</f>
        <v>110.5</v>
      </c>
      <c r="G90" s="1">
        <f ca="1">IFERROR(__xludf.DUMMYFUNCTION("""COMPUTED_VALUE"""),70)</f>
        <v>70</v>
      </c>
      <c r="H90" s="1">
        <f ca="1">IFERROR(__xludf.DUMMYFUNCTION("""COMPUTED_VALUE"""),102.6)</f>
        <v>102.6</v>
      </c>
      <c r="I90" s="1">
        <f ca="1">IFERROR(__xludf.DUMMYFUNCTION("""COMPUTED_VALUE"""),124)</f>
        <v>124</v>
      </c>
      <c r="J90" s="1">
        <f ca="1">IFERROR(__xludf.DUMMYFUNCTION("""COMPUTED_VALUE"""),67.9)</f>
        <v>67.900000000000006</v>
      </c>
      <c r="K90" s="1">
        <f ca="1">IFERROR(__xludf.DUMMYFUNCTION("""COMPUTED_VALUE"""),195)</f>
        <v>195</v>
      </c>
      <c r="L90" s="1" t="str">
        <f ca="1">IFERROR(__xludf.DUMMYFUNCTION("""COMPUTED_VALUE"""),"+.063")</f>
        <v>+.063</v>
      </c>
      <c r="M90" s="1">
        <f ca="1">IFERROR(__xludf.DUMMYFUNCTION("""COMPUTED_VALUE"""),35)</f>
        <v>35</v>
      </c>
      <c r="N90" s="1">
        <f ca="1">IFERROR(__xludf.DUMMYFUNCTION("""COMPUTED_VALUE"""),-4.52)</f>
        <v>-4.5199999999999996</v>
      </c>
      <c r="O90" s="1">
        <f ca="1">IFERROR(__xludf.DUMMYFUNCTION("""COMPUTED_VALUE"""),267)</f>
        <v>267</v>
      </c>
      <c r="P90" s="1">
        <f ca="1">IFERROR(__xludf.DUMMYFUNCTION("""COMPUTED_VALUE"""),101)</f>
        <v>101</v>
      </c>
      <c r="Q90" s="1">
        <f ca="1">IFERROR(__xludf.DUMMYFUNCTION("""COMPUTED_VALUE"""),307)</f>
        <v>307</v>
      </c>
      <c r="R90" s="1">
        <f ca="1">IFERROR(__xludf.DUMMYFUNCTION("""COMPUTED_VALUE"""),105.6)</f>
        <v>105.6</v>
      </c>
      <c r="S90" s="1">
        <f ca="1">IFERROR(__xludf.DUMMYFUNCTION("""COMPUTED_VALUE"""),174)</f>
        <v>174</v>
      </c>
      <c r="T90" s="1">
        <f ca="1">IFERROR(__xludf.DUMMYFUNCTION("""COMPUTED_VALUE"""),-4.82)</f>
        <v>-4.82</v>
      </c>
      <c r="U90" s="1">
        <f ca="1">IFERROR(__xludf.DUMMYFUNCTION("""COMPUTED_VALUE"""),295)</f>
        <v>295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IFERROR(__xludf.DUMMYFUNCTION("""COMPUTED_VALUE"""),"Davidson")</f>
        <v>Davidson</v>
      </c>
      <c r="C91" s="1" t="str">
        <f ca="1">IFERROR(__xludf.DUMMYFUNCTION("""COMPUTED_VALUE"""),"A10")</f>
        <v>A10</v>
      </c>
      <c r="D91" s="1" t="str">
        <f ca="1">IFERROR(__xludf.DUMMYFUNCTION("""COMPUTED_VALUE"""),"17-15")</f>
        <v>17-15</v>
      </c>
      <c r="E91" s="1" t="str">
        <f ca="1">IFERROR(__xludf.DUMMYFUNCTION("""COMPUTED_VALUE"""),"+7.70")</f>
        <v>+7.70</v>
      </c>
      <c r="F91" s="1">
        <f ca="1">IFERROR(__xludf.DUMMYFUNCTION("""COMPUTED_VALUE"""),108.4)</f>
        <v>108.4</v>
      </c>
      <c r="G91" s="1">
        <f ca="1">IFERROR(__xludf.DUMMYFUNCTION("""COMPUTED_VALUE"""),103)</f>
        <v>103</v>
      </c>
      <c r="H91" s="1">
        <f ca="1">IFERROR(__xludf.DUMMYFUNCTION("""COMPUTED_VALUE"""),100.7)</f>
        <v>100.7</v>
      </c>
      <c r="I91" s="1">
        <f ca="1">IFERROR(__xludf.DUMMYFUNCTION("""COMPUTED_VALUE"""),92)</f>
        <v>92</v>
      </c>
      <c r="J91" s="1">
        <f ca="1">IFERROR(__xludf.DUMMYFUNCTION("""COMPUTED_VALUE"""),68.5)</f>
        <v>68.5</v>
      </c>
      <c r="K91" s="1">
        <f ca="1">IFERROR(__xludf.DUMMYFUNCTION("""COMPUTED_VALUE"""),161)</f>
        <v>161</v>
      </c>
      <c r="L91" s="1">
        <f ca="1">IFERROR(__xludf.DUMMYFUNCTION("""COMPUTED_VALUE"""),-0.031)</f>
        <v>-3.1E-2</v>
      </c>
      <c r="M91" s="1">
        <f ca="1">IFERROR(__xludf.DUMMYFUNCTION("""COMPUTED_VALUE"""),259)</f>
        <v>259</v>
      </c>
      <c r="N91" s="1" t="str">
        <f ca="1">IFERROR(__xludf.DUMMYFUNCTION("""COMPUTED_VALUE"""),"+4.23")</f>
        <v>+4.23</v>
      </c>
      <c r="O91" s="1">
        <f ca="1">IFERROR(__xludf.DUMMYFUNCTION("""COMPUTED_VALUE"""),79)</f>
        <v>79</v>
      </c>
      <c r="P91" s="1">
        <f ca="1">IFERROR(__xludf.DUMMYFUNCTION("""COMPUTED_VALUE"""),106.9)</f>
        <v>106.9</v>
      </c>
      <c r="Q91" s="1">
        <f ca="1">IFERROR(__xludf.DUMMYFUNCTION("""COMPUTED_VALUE"""),78)</f>
        <v>78</v>
      </c>
      <c r="R91" s="1">
        <f ca="1">IFERROR(__xludf.DUMMYFUNCTION("""COMPUTED_VALUE"""),102.6)</f>
        <v>102.6</v>
      </c>
      <c r="S91" s="1">
        <f ca="1">IFERROR(__xludf.DUMMYFUNCTION("""COMPUTED_VALUE"""),82)</f>
        <v>82</v>
      </c>
      <c r="T91" s="1" t="str">
        <f ca="1">IFERROR(__xludf.DUMMYFUNCTION("""COMPUTED_VALUE"""),"+1.87")</f>
        <v>+1.87</v>
      </c>
      <c r="U91" s="1">
        <f ca="1">IFERROR(__xludf.DUMMYFUNCTION("""COMPUTED_VALUE"""),98)</f>
        <v>98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IFERROR(__xludf.DUMMYFUNCTION("""COMPUTED_VALUE"""),"Colorado St.4")</f>
        <v>Colorado St.4</v>
      </c>
      <c r="C92" s="1" t="str">
        <f ca="1">IFERROR(__xludf.DUMMYFUNCTION("""COMPUTED_VALUE"""),"MWC")</f>
        <v>MWC</v>
      </c>
      <c r="D92" s="1" t="str">
        <f ca="1">IFERROR(__xludf.DUMMYFUNCTION("""COMPUTED_VALUE"""),"24-12")</f>
        <v>24-12</v>
      </c>
      <c r="E92" s="1" t="str">
        <f ca="1">IFERROR(__xludf.DUMMYFUNCTION("""COMPUTED_VALUE"""),"+7.67")</f>
        <v>+7.67</v>
      </c>
      <c r="F92" s="1">
        <f ca="1">IFERROR(__xludf.DUMMYFUNCTION("""COMPUTED_VALUE"""),108.5)</f>
        <v>108.5</v>
      </c>
      <c r="G92" s="1">
        <f ca="1">IFERROR(__xludf.DUMMYFUNCTION("""COMPUTED_VALUE"""),99)</f>
        <v>99</v>
      </c>
      <c r="H92" s="1">
        <f ca="1">IFERROR(__xludf.DUMMYFUNCTION("""COMPUTED_VALUE"""),100.9)</f>
        <v>100.9</v>
      </c>
      <c r="I92" s="1">
        <f ca="1">IFERROR(__xludf.DUMMYFUNCTION("""COMPUTED_VALUE"""),94)</f>
        <v>94</v>
      </c>
      <c r="J92" s="1">
        <f ca="1">IFERROR(__xludf.DUMMYFUNCTION("""COMPUTED_VALUE"""),66.7)</f>
        <v>66.7</v>
      </c>
      <c r="K92" s="1">
        <f ca="1">IFERROR(__xludf.DUMMYFUNCTION("""COMPUTED_VALUE"""),251)</f>
        <v>251</v>
      </c>
      <c r="L92" s="1" t="str">
        <f ca="1">IFERROR(__xludf.DUMMYFUNCTION("""COMPUTED_VALUE"""),"+.024")</f>
        <v>+.024</v>
      </c>
      <c r="M92" s="1">
        <f ca="1">IFERROR(__xludf.DUMMYFUNCTION("""COMPUTED_VALUE"""),123)</f>
        <v>123</v>
      </c>
      <c r="N92" s="1" t="str">
        <f ca="1">IFERROR(__xludf.DUMMYFUNCTION("""COMPUTED_VALUE"""),"+1.28")</f>
        <v>+1.28</v>
      </c>
      <c r="O92" s="1">
        <f ca="1">IFERROR(__xludf.DUMMYFUNCTION("""COMPUTED_VALUE"""),106)</f>
        <v>106</v>
      </c>
      <c r="P92" s="1">
        <f ca="1">IFERROR(__xludf.DUMMYFUNCTION("""COMPUTED_VALUE"""),104.3)</f>
        <v>104.3</v>
      </c>
      <c r="Q92" s="1">
        <f ca="1">IFERROR(__xludf.DUMMYFUNCTION("""COMPUTED_VALUE"""),164)</f>
        <v>164</v>
      </c>
      <c r="R92" s="1">
        <f ca="1">IFERROR(__xludf.DUMMYFUNCTION("""COMPUTED_VALUE"""),103)</f>
        <v>103</v>
      </c>
      <c r="S92" s="1">
        <f ca="1">IFERROR(__xludf.DUMMYFUNCTION("""COMPUTED_VALUE"""),97)</f>
        <v>97</v>
      </c>
      <c r="T92" s="1">
        <f ca="1">IFERROR(__xludf.DUMMYFUNCTION("""COMPUTED_VALUE"""),-1.29)</f>
        <v>-1.29</v>
      </c>
      <c r="U92" s="1">
        <f ca="1">IFERROR(__xludf.DUMMYFUNCTION("""COMPUTED_VALUE"""),194)</f>
        <v>194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IFERROR(__xludf.DUMMYFUNCTION("""COMPUTED_VALUE"""),"Penn St.")</f>
        <v>Penn St.</v>
      </c>
      <c r="C93" s="1" t="str">
        <f ca="1">IFERROR(__xludf.DUMMYFUNCTION("""COMPUTED_VALUE"""),"B10")</f>
        <v>B10</v>
      </c>
      <c r="D93" s="1" t="str">
        <f ca="1">IFERROR(__xludf.DUMMYFUNCTION("""COMPUTED_VALUE"""),"15-18")</f>
        <v>15-18</v>
      </c>
      <c r="E93" s="1" t="str">
        <f ca="1">IFERROR(__xludf.DUMMYFUNCTION("""COMPUTED_VALUE"""),"+7.30")</f>
        <v>+7.30</v>
      </c>
      <c r="F93" s="1">
        <f ca="1">IFERROR(__xludf.DUMMYFUNCTION("""COMPUTED_VALUE"""),104.5)</f>
        <v>104.5</v>
      </c>
      <c r="G93" s="1">
        <f ca="1">IFERROR(__xludf.DUMMYFUNCTION("""COMPUTED_VALUE"""),168)</f>
        <v>168</v>
      </c>
      <c r="H93" s="1">
        <f ca="1">IFERROR(__xludf.DUMMYFUNCTION("""COMPUTED_VALUE"""),97.2)</f>
        <v>97.2</v>
      </c>
      <c r="I93" s="1">
        <f ca="1">IFERROR(__xludf.DUMMYFUNCTION("""COMPUTED_VALUE"""),51)</f>
        <v>51</v>
      </c>
      <c r="J93" s="1">
        <f ca="1">IFERROR(__xludf.DUMMYFUNCTION("""COMPUTED_VALUE"""),70.4)</f>
        <v>70.400000000000006</v>
      </c>
      <c r="K93" s="1">
        <f ca="1">IFERROR(__xludf.DUMMYFUNCTION("""COMPUTED_VALUE"""),63)</f>
        <v>63</v>
      </c>
      <c r="L93" s="1">
        <f ca="1">IFERROR(__xludf.DUMMYFUNCTION("""COMPUTED_VALUE"""),-0.013)</f>
        <v>-1.2999999999999999E-2</v>
      </c>
      <c r="M93" s="1">
        <f ca="1">IFERROR(__xludf.DUMMYFUNCTION("""COMPUTED_VALUE"""),220)</f>
        <v>220</v>
      </c>
      <c r="N93" s="1" t="str">
        <f ca="1">IFERROR(__xludf.DUMMYFUNCTION("""COMPUTED_VALUE"""),"+8.52")</f>
        <v>+8.52</v>
      </c>
      <c r="O93" s="1">
        <f ca="1">IFERROR(__xludf.DUMMYFUNCTION("""COMPUTED_VALUE"""),42)</f>
        <v>42</v>
      </c>
      <c r="P93" s="1">
        <f ca="1">IFERROR(__xludf.DUMMYFUNCTION("""COMPUTED_VALUE"""),108.5)</f>
        <v>108.5</v>
      </c>
      <c r="Q93" s="1">
        <f ca="1">IFERROR(__xludf.DUMMYFUNCTION("""COMPUTED_VALUE"""),60)</f>
        <v>60</v>
      </c>
      <c r="R93" s="1">
        <f ca="1">IFERROR(__xludf.DUMMYFUNCTION("""COMPUTED_VALUE"""),100)</f>
        <v>100</v>
      </c>
      <c r="S93" s="1">
        <f ca="1">IFERROR(__xludf.DUMMYFUNCTION("""COMPUTED_VALUE"""),26)</f>
        <v>26</v>
      </c>
      <c r="T93" s="1" t="str">
        <f ca="1">IFERROR(__xludf.DUMMYFUNCTION("""COMPUTED_VALUE"""),"+0.43")</f>
        <v>+0.43</v>
      </c>
      <c r="U93" s="1">
        <f ca="1">IFERROR(__xludf.DUMMYFUNCTION("""COMPUTED_VALUE"""),141)</f>
        <v>141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IFERROR(__xludf.DUMMYFUNCTION("""COMPUTED_VALUE"""),"Mississippi St.")</f>
        <v>Mississippi St.</v>
      </c>
      <c r="C94" s="1" t="str">
        <f ca="1">IFERROR(__xludf.DUMMYFUNCTION("""COMPUTED_VALUE"""),"SEC")</f>
        <v>SEC</v>
      </c>
      <c r="D94" s="1" t="str">
        <f ca="1">IFERROR(__xludf.DUMMYFUNCTION("""COMPUTED_VALUE"""),"16-16")</f>
        <v>16-16</v>
      </c>
      <c r="E94" s="1" t="str">
        <f ca="1">IFERROR(__xludf.DUMMYFUNCTION("""COMPUTED_VALUE"""),"+7.27")</f>
        <v>+7.27</v>
      </c>
      <c r="F94" s="1">
        <f ca="1">IFERROR(__xludf.DUMMYFUNCTION("""COMPUTED_VALUE"""),106.6)</f>
        <v>106.6</v>
      </c>
      <c r="G94" s="1">
        <f ca="1">IFERROR(__xludf.DUMMYFUNCTION("""COMPUTED_VALUE"""),135)</f>
        <v>135</v>
      </c>
      <c r="H94" s="1">
        <f ca="1">IFERROR(__xludf.DUMMYFUNCTION("""COMPUTED_VALUE"""),99.3)</f>
        <v>99.3</v>
      </c>
      <c r="I94" s="1">
        <f ca="1">IFERROR(__xludf.DUMMYFUNCTION("""COMPUTED_VALUE"""),71)</f>
        <v>71</v>
      </c>
      <c r="J94" s="1">
        <f ca="1">IFERROR(__xludf.DUMMYFUNCTION("""COMPUTED_VALUE"""),68.9)</f>
        <v>68.900000000000006</v>
      </c>
      <c r="K94" s="1">
        <f ca="1">IFERROR(__xludf.DUMMYFUNCTION("""COMPUTED_VALUE"""),118)</f>
        <v>118</v>
      </c>
      <c r="L94" s="1">
        <f ca="1">IFERROR(__xludf.DUMMYFUNCTION("""COMPUTED_VALUE"""),-0.032)</f>
        <v>-3.2000000000000001E-2</v>
      </c>
      <c r="M94" s="1">
        <f ca="1">IFERROR(__xludf.DUMMYFUNCTION("""COMPUTED_VALUE"""),264)</f>
        <v>264</v>
      </c>
      <c r="N94" s="1" t="str">
        <f ca="1">IFERROR(__xludf.DUMMYFUNCTION("""COMPUTED_VALUE"""),"+5.29")</f>
        <v>+5.29</v>
      </c>
      <c r="O94" s="1">
        <f ca="1">IFERROR(__xludf.DUMMYFUNCTION("""COMPUTED_VALUE"""),72)</f>
        <v>72</v>
      </c>
      <c r="P94" s="1">
        <f ca="1">IFERROR(__xludf.DUMMYFUNCTION("""COMPUTED_VALUE"""),106.3)</f>
        <v>106.3</v>
      </c>
      <c r="Q94" s="1">
        <f ca="1">IFERROR(__xludf.DUMMYFUNCTION("""COMPUTED_VALUE"""),83)</f>
        <v>83</v>
      </c>
      <c r="R94" s="1">
        <f ca="1">IFERROR(__xludf.DUMMYFUNCTION("""COMPUTED_VALUE"""),101)</f>
        <v>101</v>
      </c>
      <c r="S94" s="1">
        <f ca="1">IFERROR(__xludf.DUMMYFUNCTION("""COMPUTED_VALUE"""),48)</f>
        <v>48</v>
      </c>
      <c r="T94" s="1">
        <f ca="1">IFERROR(__xludf.DUMMYFUNCTION("""COMPUTED_VALUE"""),-6.24)</f>
        <v>-6.24</v>
      </c>
      <c r="U94" s="1">
        <f ca="1">IFERROR(__xludf.DUMMYFUNCTION("""COMPUTED_VALUE"""),323)</f>
        <v>323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IFERROR(__xludf.DUMMYFUNCTION("""COMPUTED_VALUE"""),"College of Charleston5")</f>
        <v>College of Charleston5</v>
      </c>
      <c r="C95" s="1" t="str">
        <f ca="1">IFERROR(__xludf.DUMMYFUNCTION("""COMPUTED_VALUE"""),"CAA")</f>
        <v>CAA</v>
      </c>
      <c r="D95" s="1" t="str">
        <f ca="1">IFERROR(__xludf.DUMMYFUNCTION("""COMPUTED_VALUE"""),"25-10")</f>
        <v>25-10</v>
      </c>
      <c r="E95" s="1" t="str">
        <f ca="1">IFERROR(__xludf.DUMMYFUNCTION("""COMPUTED_VALUE"""),"+7.25")</f>
        <v>+7.25</v>
      </c>
      <c r="F95" s="1">
        <f ca="1">IFERROR(__xludf.DUMMYFUNCTION("""COMPUTED_VALUE"""),106.2)</f>
        <v>106.2</v>
      </c>
      <c r="G95" s="1">
        <f ca="1">IFERROR(__xludf.DUMMYFUNCTION("""COMPUTED_VALUE"""),142)</f>
        <v>142</v>
      </c>
      <c r="H95" s="1">
        <f ca="1">IFERROR(__xludf.DUMMYFUNCTION("""COMPUTED_VALUE"""),98.9)</f>
        <v>98.9</v>
      </c>
      <c r="I95" s="1">
        <f ca="1">IFERROR(__xludf.DUMMYFUNCTION("""COMPUTED_VALUE"""),66)</f>
        <v>66</v>
      </c>
      <c r="J95" s="1">
        <f ca="1">IFERROR(__xludf.DUMMYFUNCTION("""COMPUTED_VALUE"""),64.5)</f>
        <v>64.5</v>
      </c>
      <c r="K95" s="1">
        <f ca="1">IFERROR(__xludf.DUMMYFUNCTION("""COMPUTED_VALUE"""),314)</f>
        <v>314</v>
      </c>
      <c r="L95" s="1" t="str">
        <f ca="1">IFERROR(__xludf.DUMMYFUNCTION("""COMPUTED_VALUE"""),"+.054")</f>
        <v>+.054</v>
      </c>
      <c r="M95" s="1">
        <f ca="1">IFERROR(__xludf.DUMMYFUNCTION("""COMPUTED_VALUE"""),49)</f>
        <v>49</v>
      </c>
      <c r="N95" s="1">
        <f ca="1">IFERROR(__xludf.DUMMYFUNCTION("""COMPUTED_VALUE"""),-0.07)</f>
        <v>-7.0000000000000007E-2</v>
      </c>
      <c r="O95" s="1">
        <f ca="1">IFERROR(__xludf.DUMMYFUNCTION("""COMPUTED_VALUE"""),135)</f>
        <v>135</v>
      </c>
      <c r="P95" s="1">
        <f ca="1">IFERROR(__xludf.DUMMYFUNCTION("""COMPUTED_VALUE"""),105.8)</f>
        <v>105.8</v>
      </c>
      <c r="Q95" s="1">
        <f ca="1">IFERROR(__xludf.DUMMYFUNCTION("""COMPUTED_VALUE"""),96)</f>
        <v>96</v>
      </c>
      <c r="R95" s="1">
        <f ca="1">IFERROR(__xludf.DUMMYFUNCTION("""COMPUTED_VALUE"""),105.8)</f>
        <v>105.8</v>
      </c>
      <c r="S95" s="1">
        <f ca="1">IFERROR(__xludf.DUMMYFUNCTION("""COMPUTED_VALUE"""),195)</f>
        <v>195</v>
      </c>
      <c r="T95" s="1">
        <f ca="1">IFERROR(__xludf.DUMMYFUNCTION("""COMPUTED_VALUE"""),-0.04)</f>
        <v>-0.04</v>
      </c>
      <c r="U95" s="1">
        <f ca="1">IFERROR(__xludf.DUMMYFUNCTION("""COMPUTED_VALUE"""),156)</f>
        <v>156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IFERROR(__xludf.DUMMYFUNCTION("""COMPUTED_VALUE"""),"Cal St. Bakersfield8")</f>
        <v>Cal St. Bakersfield8</v>
      </c>
      <c r="C96" s="1" t="str">
        <f ca="1">IFERROR(__xludf.DUMMYFUNCTION("""COMPUTED_VALUE"""),"WAC")</f>
        <v>WAC</v>
      </c>
      <c r="D96" s="1" t="str">
        <f ca="1">IFERROR(__xludf.DUMMYFUNCTION("""COMPUTED_VALUE"""),"25-10")</f>
        <v>25-10</v>
      </c>
      <c r="E96" s="1" t="str">
        <f ca="1">IFERROR(__xludf.DUMMYFUNCTION("""COMPUTED_VALUE"""),"+7.24")</f>
        <v>+7.24</v>
      </c>
      <c r="F96" s="1">
        <f ca="1">IFERROR(__xludf.DUMMYFUNCTION("""COMPUTED_VALUE"""),100.9)</f>
        <v>100.9</v>
      </c>
      <c r="G96" s="1">
        <f ca="1">IFERROR(__xludf.DUMMYFUNCTION("""COMPUTED_VALUE"""),244)</f>
        <v>244</v>
      </c>
      <c r="H96" s="1">
        <f ca="1">IFERROR(__xludf.DUMMYFUNCTION("""COMPUTED_VALUE"""),93.7)</f>
        <v>93.7</v>
      </c>
      <c r="I96" s="1">
        <f ca="1">IFERROR(__xludf.DUMMYFUNCTION("""COMPUTED_VALUE"""),20)</f>
        <v>20</v>
      </c>
      <c r="J96" s="1">
        <f ca="1">IFERROR(__xludf.DUMMYFUNCTION("""COMPUTED_VALUE"""),67.2)</f>
        <v>67.2</v>
      </c>
      <c r="K96" s="1">
        <f ca="1">IFERROR(__xludf.DUMMYFUNCTION("""COMPUTED_VALUE"""),221)</f>
        <v>221</v>
      </c>
      <c r="L96" s="1" t="str">
        <f ca="1">IFERROR(__xludf.DUMMYFUNCTION("""COMPUTED_VALUE"""),"+.014")</f>
        <v>+.014</v>
      </c>
      <c r="M96" s="1">
        <f ca="1">IFERROR(__xludf.DUMMYFUNCTION("""COMPUTED_VALUE"""),153)</f>
        <v>153</v>
      </c>
      <c r="N96" s="1">
        <f ca="1">IFERROR(__xludf.DUMMYFUNCTION("""COMPUTED_VALUE"""),-0.84)</f>
        <v>-0.84</v>
      </c>
      <c r="O96" s="1">
        <f ca="1">IFERROR(__xludf.DUMMYFUNCTION("""COMPUTED_VALUE"""),152)</f>
        <v>152</v>
      </c>
      <c r="P96" s="1">
        <f ca="1">IFERROR(__xludf.DUMMYFUNCTION("""COMPUTED_VALUE"""),103)</f>
        <v>103</v>
      </c>
      <c r="Q96" s="1">
        <f ca="1">IFERROR(__xludf.DUMMYFUNCTION("""COMPUTED_VALUE"""),235)</f>
        <v>235</v>
      </c>
      <c r="R96" s="1">
        <f ca="1">IFERROR(__xludf.DUMMYFUNCTION("""COMPUTED_VALUE"""),103.8)</f>
        <v>103.8</v>
      </c>
      <c r="S96" s="1">
        <f ca="1">IFERROR(__xludf.DUMMYFUNCTION("""COMPUTED_VALUE"""),114)</f>
        <v>114</v>
      </c>
      <c r="T96" s="1">
        <f ca="1">IFERROR(__xludf.DUMMYFUNCTION("""COMPUTED_VALUE"""),-1.22)</f>
        <v>-1.22</v>
      </c>
      <c r="U96" s="1">
        <f ca="1">IFERROR(__xludf.DUMMYFUNCTION("""COMPUTED_VALUE"""),191)</f>
        <v>191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IFERROR(__xludf.DUMMYFUNCTION("""COMPUTED_VALUE"""),"St. Bonaventure")</f>
        <v>St. Bonaventure</v>
      </c>
      <c r="C97" s="1" t="str">
        <f ca="1">IFERROR(__xludf.DUMMYFUNCTION("""COMPUTED_VALUE"""),"A10")</f>
        <v>A10</v>
      </c>
      <c r="D97" s="1" t="str">
        <f ca="1">IFERROR(__xludf.DUMMYFUNCTION("""COMPUTED_VALUE"""),"20-12")</f>
        <v>20-12</v>
      </c>
      <c r="E97" s="1" t="str">
        <f ca="1">IFERROR(__xludf.DUMMYFUNCTION("""COMPUTED_VALUE"""),"+7.23")</f>
        <v>+7.23</v>
      </c>
      <c r="F97" s="1">
        <f ca="1">IFERROR(__xludf.DUMMYFUNCTION("""COMPUTED_VALUE"""),109)</f>
        <v>109</v>
      </c>
      <c r="G97" s="1">
        <f ca="1">IFERROR(__xludf.DUMMYFUNCTION("""COMPUTED_VALUE"""),88)</f>
        <v>88</v>
      </c>
      <c r="H97" s="1">
        <f ca="1">IFERROR(__xludf.DUMMYFUNCTION("""COMPUTED_VALUE"""),101.8)</f>
        <v>101.8</v>
      </c>
      <c r="I97" s="1">
        <f ca="1">IFERROR(__xludf.DUMMYFUNCTION("""COMPUTED_VALUE"""),108)</f>
        <v>108</v>
      </c>
      <c r="J97" s="1">
        <f ca="1">IFERROR(__xludf.DUMMYFUNCTION("""COMPUTED_VALUE"""),68.8)</f>
        <v>68.8</v>
      </c>
      <c r="K97" s="1">
        <f ca="1">IFERROR(__xludf.DUMMYFUNCTION("""COMPUTED_VALUE"""),136)</f>
        <v>136</v>
      </c>
      <c r="L97" s="1">
        <f ca="1">IFERROR(__xludf.DUMMYFUNCTION("""COMPUTED_VALUE"""),-0.027)</f>
        <v>-2.7E-2</v>
      </c>
      <c r="M97" s="1">
        <f ca="1">IFERROR(__xludf.DUMMYFUNCTION("""COMPUTED_VALUE"""),254)</f>
        <v>254</v>
      </c>
      <c r="N97" s="1" t="str">
        <f ca="1">IFERROR(__xludf.DUMMYFUNCTION("""COMPUTED_VALUE"""),"+0.05")</f>
        <v>+0.05</v>
      </c>
      <c r="O97" s="1">
        <f ca="1">IFERROR(__xludf.DUMMYFUNCTION("""COMPUTED_VALUE"""),133)</f>
        <v>133</v>
      </c>
      <c r="P97" s="1">
        <f ca="1">IFERROR(__xludf.DUMMYFUNCTION("""COMPUTED_VALUE"""),104.7)</f>
        <v>104.7</v>
      </c>
      <c r="Q97" s="1">
        <f ca="1">IFERROR(__xludf.DUMMYFUNCTION("""COMPUTED_VALUE"""),144)</f>
        <v>144</v>
      </c>
      <c r="R97" s="1">
        <f ca="1">IFERROR(__xludf.DUMMYFUNCTION("""COMPUTED_VALUE"""),104.7)</f>
        <v>104.7</v>
      </c>
      <c r="S97" s="1">
        <f ca="1">IFERROR(__xludf.DUMMYFUNCTION("""COMPUTED_VALUE"""),134)</f>
        <v>134</v>
      </c>
      <c r="T97" s="1">
        <f ca="1">IFERROR(__xludf.DUMMYFUNCTION("""COMPUTED_VALUE"""),-4.39)</f>
        <v>-4.3899999999999997</v>
      </c>
      <c r="U97" s="1">
        <f ca="1">IFERROR(__xludf.DUMMYFUNCTION("""COMPUTED_VALUE"""),281)</f>
        <v>281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IFERROR(__xludf.DUMMYFUNCTION("""COMPUTED_VALUE"""),"Richmond6")</f>
        <v>Richmond6</v>
      </c>
      <c r="C98" s="1" t="str">
        <f ca="1">IFERROR(__xludf.DUMMYFUNCTION("""COMPUTED_VALUE"""),"A10")</f>
        <v>A10</v>
      </c>
      <c r="D98" s="1" t="str">
        <f ca="1">IFERROR(__xludf.DUMMYFUNCTION("""COMPUTED_VALUE"""),"22-13")</f>
        <v>22-13</v>
      </c>
      <c r="E98" s="1" t="str">
        <f ca="1">IFERROR(__xludf.DUMMYFUNCTION("""COMPUTED_VALUE"""),"+7.21")</f>
        <v>+7.21</v>
      </c>
      <c r="F98" s="1">
        <f ca="1">IFERROR(__xludf.DUMMYFUNCTION("""COMPUTED_VALUE"""),110)</f>
        <v>110</v>
      </c>
      <c r="G98" s="1">
        <f ca="1">IFERROR(__xludf.DUMMYFUNCTION("""COMPUTED_VALUE"""),74)</f>
        <v>74</v>
      </c>
      <c r="H98" s="1">
        <f ca="1">IFERROR(__xludf.DUMMYFUNCTION("""COMPUTED_VALUE"""),102.8)</f>
        <v>102.8</v>
      </c>
      <c r="I98" s="1">
        <f ca="1">IFERROR(__xludf.DUMMYFUNCTION("""COMPUTED_VALUE"""),132)</f>
        <v>132</v>
      </c>
      <c r="J98" s="1">
        <f ca="1">IFERROR(__xludf.DUMMYFUNCTION("""COMPUTED_VALUE"""),68.9)</f>
        <v>68.900000000000006</v>
      </c>
      <c r="K98" s="1">
        <f ca="1">IFERROR(__xludf.DUMMYFUNCTION("""COMPUTED_VALUE"""),120)</f>
        <v>120</v>
      </c>
      <c r="L98" s="1" t="str">
        <f ca="1">IFERROR(__xludf.DUMMYFUNCTION("""COMPUTED_VALUE"""),"+.043")</f>
        <v>+.043</v>
      </c>
      <c r="M98" s="1">
        <f ca="1">IFERROR(__xludf.DUMMYFUNCTION("""COMPUTED_VALUE"""),72)</f>
        <v>72</v>
      </c>
      <c r="N98" s="1" t="str">
        <f ca="1">IFERROR(__xludf.DUMMYFUNCTION("""COMPUTED_VALUE"""),"+2.92")</f>
        <v>+2.92</v>
      </c>
      <c r="O98" s="1">
        <f ca="1">IFERROR(__xludf.DUMMYFUNCTION("""COMPUTED_VALUE"""),90)</f>
        <v>90</v>
      </c>
      <c r="P98" s="1">
        <f ca="1">IFERROR(__xludf.DUMMYFUNCTION("""COMPUTED_VALUE"""),105.4)</f>
        <v>105.4</v>
      </c>
      <c r="Q98" s="1">
        <f ca="1">IFERROR(__xludf.DUMMYFUNCTION("""COMPUTED_VALUE"""),113)</f>
        <v>113</v>
      </c>
      <c r="R98" s="1">
        <f ca="1">IFERROR(__xludf.DUMMYFUNCTION("""COMPUTED_VALUE"""),102.4)</f>
        <v>102.4</v>
      </c>
      <c r="S98" s="1">
        <f ca="1">IFERROR(__xludf.DUMMYFUNCTION("""COMPUTED_VALUE"""),78)</f>
        <v>78</v>
      </c>
      <c r="T98" s="1">
        <f ca="1">IFERROR(__xludf.DUMMYFUNCTION("""COMPUTED_VALUE"""),-1.89)</f>
        <v>-1.89</v>
      </c>
      <c r="U98" s="1">
        <f ca="1">IFERROR(__xludf.DUMMYFUNCTION("""COMPUTED_VALUE"""),214)</f>
        <v>214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IFERROR(__xludf.DUMMYFUNCTION("""COMPUTED_VALUE"""),"Louisiana Tech")</f>
        <v>Louisiana Tech</v>
      </c>
      <c r="C99" s="1" t="str">
        <f ca="1">IFERROR(__xludf.DUMMYFUNCTION("""COMPUTED_VALUE"""),"CUSA")</f>
        <v>CUSA</v>
      </c>
      <c r="D99" s="1" t="str">
        <f ca="1">IFERROR(__xludf.DUMMYFUNCTION("""COMPUTED_VALUE"""),"23-10")</f>
        <v>23-10</v>
      </c>
      <c r="E99" s="1" t="str">
        <f ca="1">IFERROR(__xludf.DUMMYFUNCTION("""COMPUTED_VALUE"""),"+7.06")</f>
        <v>+7.06</v>
      </c>
      <c r="F99" s="1">
        <f ca="1">IFERROR(__xludf.DUMMYFUNCTION("""COMPUTED_VALUE"""),107.9)</f>
        <v>107.9</v>
      </c>
      <c r="G99" s="1">
        <f ca="1">IFERROR(__xludf.DUMMYFUNCTION("""COMPUTED_VALUE"""),107)</f>
        <v>107</v>
      </c>
      <c r="H99" s="1">
        <f ca="1">IFERROR(__xludf.DUMMYFUNCTION("""COMPUTED_VALUE"""),100.9)</f>
        <v>100.9</v>
      </c>
      <c r="I99" s="1">
        <f ca="1">IFERROR(__xludf.DUMMYFUNCTION("""COMPUTED_VALUE"""),95)</f>
        <v>95</v>
      </c>
      <c r="J99" s="1">
        <f ca="1">IFERROR(__xludf.DUMMYFUNCTION("""COMPUTED_VALUE"""),68.5)</f>
        <v>68.5</v>
      </c>
      <c r="K99" s="1">
        <f ca="1">IFERROR(__xludf.DUMMYFUNCTION("""COMPUTED_VALUE"""),156)</f>
        <v>156</v>
      </c>
      <c r="L99" s="1">
        <f ca="1">IFERROR(__xludf.DUMMYFUNCTION("""COMPUTED_VALUE"""),-0.062)</f>
        <v>-6.2E-2</v>
      </c>
      <c r="M99" s="1">
        <f ca="1">IFERROR(__xludf.DUMMYFUNCTION("""COMPUTED_VALUE"""),312)</f>
        <v>312</v>
      </c>
      <c r="N99" s="1">
        <f ca="1">IFERROR(__xludf.DUMMYFUNCTION("""COMPUTED_VALUE"""),-5.77)</f>
        <v>-5.77</v>
      </c>
      <c r="O99" s="1">
        <f ca="1">IFERROR(__xludf.DUMMYFUNCTION("""COMPUTED_VALUE"""),298)</f>
        <v>298</v>
      </c>
      <c r="P99" s="1">
        <f ca="1">IFERROR(__xludf.DUMMYFUNCTION("""COMPUTED_VALUE"""),100.9)</f>
        <v>100.9</v>
      </c>
      <c r="Q99" s="1">
        <f ca="1">IFERROR(__xludf.DUMMYFUNCTION("""COMPUTED_VALUE"""),312)</f>
        <v>312</v>
      </c>
      <c r="R99" s="1">
        <f ca="1">IFERROR(__xludf.DUMMYFUNCTION("""COMPUTED_VALUE"""),106.7)</f>
        <v>106.7</v>
      </c>
      <c r="S99" s="1">
        <f ca="1">IFERROR(__xludf.DUMMYFUNCTION("""COMPUTED_VALUE"""),253)</f>
        <v>253</v>
      </c>
      <c r="T99" s="1">
        <f ca="1">IFERROR(__xludf.DUMMYFUNCTION("""COMPUTED_VALUE"""),-6.32)</f>
        <v>-6.32</v>
      </c>
      <c r="U99" s="1">
        <f ca="1">IFERROR(__xludf.DUMMYFUNCTION("""COMPUTED_VALUE"""),326)</f>
        <v>326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IFERROR(__xludf.DUMMYFUNCTION("""COMPUTED_VALUE"""),"Boise St.6")</f>
        <v>Boise St.6</v>
      </c>
      <c r="C100" s="1" t="str">
        <f ca="1">IFERROR(__xludf.DUMMYFUNCTION("""COMPUTED_VALUE"""),"MWC")</f>
        <v>MWC</v>
      </c>
      <c r="D100" s="1" t="str">
        <f ca="1">IFERROR(__xludf.DUMMYFUNCTION("""COMPUTED_VALUE"""),"20-12")</f>
        <v>20-12</v>
      </c>
      <c r="E100" s="1" t="str">
        <f ca="1">IFERROR(__xludf.DUMMYFUNCTION("""COMPUTED_VALUE"""),"+7.00")</f>
        <v>+7.00</v>
      </c>
      <c r="F100" s="1">
        <f ca="1">IFERROR(__xludf.DUMMYFUNCTION("""COMPUTED_VALUE"""),109.2)</f>
        <v>109.2</v>
      </c>
      <c r="G100" s="1">
        <f ca="1">IFERROR(__xludf.DUMMYFUNCTION("""COMPUTED_VALUE"""),85)</f>
        <v>85</v>
      </c>
      <c r="H100" s="1">
        <f ca="1">IFERROR(__xludf.DUMMYFUNCTION("""COMPUTED_VALUE"""),102.2)</f>
        <v>102.2</v>
      </c>
      <c r="I100" s="1">
        <f ca="1">IFERROR(__xludf.DUMMYFUNCTION("""COMPUTED_VALUE"""),112)</f>
        <v>112</v>
      </c>
      <c r="J100" s="1">
        <f ca="1">IFERROR(__xludf.DUMMYFUNCTION("""COMPUTED_VALUE"""),69.5)</f>
        <v>69.5</v>
      </c>
      <c r="K100" s="1">
        <f ca="1">IFERROR(__xludf.DUMMYFUNCTION("""COMPUTED_VALUE"""),97)</f>
        <v>97</v>
      </c>
      <c r="L100" s="1" t="str">
        <f ca="1">IFERROR(__xludf.DUMMYFUNCTION("""COMPUTED_VALUE"""),"+.032")</f>
        <v>+.032</v>
      </c>
      <c r="M100" s="1">
        <f ca="1">IFERROR(__xludf.DUMMYFUNCTION("""COMPUTED_VALUE"""),92)</f>
        <v>92</v>
      </c>
      <c r="N100" s="1" t="str">
        <f ca="1">IFERROR(__xludf.DUMMYFUNCTION("""COMPUTED_VALUE"""),"+3.39")</f>
        <v>+3.39</v>
      </c>
      <c r="O100" s="1">
        <f ca="1">IFERROR(__xludf.DUMMYFUNCTION("""COMPUTED_VALUE"""),84)</f>
        <v>84</v>
      </c>
      <c r="P100" s="1">
        <f ca="1">IFERROR(__xludf.DUMMYFUNCTION("""COMPUTED_VALUE"""),106.1)</f>
        <v>106.1</v>
      </c>
      <c r="Q100" s="1">
        <f ca="1">IFERROR(__xludf.DUMMYFUNCTION("""COMPUTED_VALUE"""),86)</f>
        <v>86</v>
      </c>
      <c r="R100" s="1">
        <f ca="1">IFERROR(__xludf.DUMMYFUNCTION("""COMPUTED_VALUE"""),102.7)</f>
        <v>102.7</v>
      </c>
      <c r="S100" s="1">
        <f ca="1">IFERROR(__xludf.DUMMYFUNCTION("""COMPUTED_VALUE"""),86)</f>
        <v>86</v>
      </c>
      <c r="T100" s="1" t="str">
        <f ca="1">IFERROR(__xludf.DUMMYFUNCTION("""COMPUTED_VALUE"""),"+1.38")</f>
        <v>+1.38</v>
      </c>
      <c r="U100" s="1">
        <f ca="1">IFERROR(__xludf.DUMMYFUNCTION("""COMPUTED_VALUE"""),118)</f>
        <v>118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IFERROR(__xludf.DUMMYFUNCTION("""COMPUTED_VALUE"""),"Saint Peter's")</f>
        <v>Saint Peter's</v>
      </c>
      <c r="C101" s="1" t="str">
        <f ca="1">IFERROR(__xludf.DUMMYFUNCTION("""COMPUTED_VALUE"""),"MAAC")</f>
        <v>MAAC</v>
      </c>
      <c r="D101" s="1" t="str">
        <f ca="1">IFERROR(__xludf.DUMMYFUNCTION("""COMPUTED_VALUE"""),"23-13")</f>
        <v>23-13</v>
      </c>
      <c r="E101" s="1" t="str">
        <f ca="1">IFERROR(__xludf.DUMMYFUNCTION("""COMPUTED_VALUE"""),"+6.67")</f>
        <v>+6.67</v>
      </c>
      <c r="F101" s="1">
        <f ca="1">IFERROR(__xludf.DUMMYFUNCTION("""COMPUTED_VALUE"""),102.5)</f>
        <v>102.5</v>
      </c>
      <c r="G101" s="1">
        <f ca="1">IFERROR(__xludf.DUMMYFUNCTION("""COMPUTED_VALUE"""),210)</f>
        <v>210</v>
      </c>
      <c r="H101" s="1">
        <f ca="1">IFERROR(__xludf.DUMMYFUNCTION("""COMPUTED_VALUE"""),95.9)</f>
        <v>95.9</v>
      </c>
      <c r="I101" s="1">
        <f ca="1">IFERROR(__xludf.DUMMYFUNCTION("""COMPUTED_VALUE"""),36)</f>
        <v>36</v>
      </c>
      <c r="J101" s="1">
        <f ca="1">IFERROR(__xludf.DUMMYFUNCTION("""COMPUTED_VALUE"""),61.3)</f>
        <v>61.3</v>
      </c>
      <c r="K101" s="1">
        <f ca="1">IFERROR(__xludf.DUMMYFUNCTION("""COMPUTED_VALUE"""),347)</f>
        <v>347</v>
      </c>
      <c r="L101" s="1">
        <f ca="1">IFERROR(__xludf.DUMMYFUNCTION("""COMPUTED_VALUE"""),-0.024)</f>
        <v>-2.4E-2</v>
      </c>
      <c r="M101" s="1">
        <f ca="1">IFERROR(__xludf.DUMMYFUNCTION("""COMPUTED_VALUE"""),249)</f>
        <v>249</v>
      </c>
      <c r="N101" s="1">
        <f ca="1">IFERROR(__xludf.DUMMYFUNCTION("""COMPUTED_VALUE"""),-2.64)</f>
        <v>-2.64</v>
      </c>
      <c r="O101" s="1">
        <f ca="1">IFERROR(__xludf.DUMMYFUNCTION("""COMPUTED_VALUE"""),209)</f>
        <v>209</v>
      </c>
      <c r="P101" s="1">
        <f ca="1">IFERROR(__xludf.DUMMYFUNCTION("""COMPUTED_VALUE"""),104)</f>
        <v>104</v>
      </c>
      <c r="Q101" s="1">
        <f ca="1">IFERROR(__xludf.DUMMYFUNCTION("""COMPUTED_VALUE"""),179)</f>
        <v>179</v>
      </c>
      <c r="R101" s="1">
        <f ca="1">IFERROR(__xludf.DUMMYFUNCTION("""COMPUTED_VALUE"""),106.6)</f>
        <v>106.6</v>
      </c>
      <c r="S101" s="1">
        <f ca="1">IFERROR(__xludf.DUMMYFUNCTION("""COMPUTED_VALUE"""),247)</f>
        <v>247</v>
      </c>
      <c r="T101" s="1">
        <f ca="1">IFERROR(__xludf.DUMMYFUNCTION("""COMPUTED_VALUE"""),-2.34)</f>
        <v>-2.34</v>
      </c>
      <c r="U101" s="1">
        <f ca="1">IFERROR(__xludf.DUMMYFUNCTION("""COMPUTED_VALUE"""),222)</f>
        <v>222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IFERROR(__xludf.DUMMYFUNCTION("""COMPUTED_VALUE"""),"Connecticut")</f>
        <v>Connecticut</v>
      </c>
      <c r="C102" s="1" t="str">
        <f ca="1">IFERROR(__xludf.DUMMYFUNCTION("""COMPUTED_VALUE"""),"Amer")</f>
        <v>Amer</v>
      </c>
      <c r="D102" s="1" t="str">
        <f ca="1">IFERROR(__xludf.DUMMYFUNCTION("""COMPUTED_VALUE"""),"16-17")</f>
        <v>16-17</v>
      </c>
      <c r="E102" s="1" t="str">
        <f ca="1">IFERROR(__xludf.DUMMYFUNCTION("""COMPUTED_VALUE"""),"+6.53")</f>
        <v>+6.53</v>
      </c>
      <c r="F102" s="1">
        <f ca="1">IFERROR(__xludf.DUMMYFUNCTION("""COMPUTED_VALUE"""),105.2)</f>
        <v>105.2</v>
      </c>
      <c r="G102" s="1">
        <f ca="1">IFERROR(__xludf.DUMMYFUNCTION("""COMPUTED_VALUE"""),154)</f>
        <v>154</v>
      </c>
      <c r="H102" s="1">
        <f ca="1">IFERROR(__xludf.DUMMYFUNCTION("""COMPUTED_VALUE"""),98.7)</f>
        <v>98.7</v>
      </c>
      <c r="I102" s="1">
        <f ca="1">IFERROR(__xludf.DUMMYFUNCTION("""COMPUTED_VALUE"""),63)</f>
        <v>63</v>
      </c>
      <c r="J102" s="1">
        <f ca="1">IFERROR(__xludf.DUMMYFUNCTION("""COMPUTED_VALUE"""),65)</f>
        <v>65</v>
      </c>
      <c r="K102" s="1">
        <f ca="1">IFERROR(__xludf.DUMMYFUNCTION("""COMPUTED_VALUE"""),304)</f>
        <v>304</v>
      </c>
      <c r="L102" s="1">
        <f ca="1">IFERROR(__xludf.DUMMYFUNCTION("""COMPUTED_VALUE"""),-0.047)</f>
        <v>-4.7E-2</v>
      </c>
      <c r="M102" s="1">
        <f ca="1">IFERROR(__xludf.DUMMYFUNCTION("""COMPUTED_VALUE"""),291)</f>
        <v>291</v>
      </c>
      <c r="N102" s="1" t="str">
        <f ca="1">IFERROR(__xludf.DUMMYFUNCTION("""COMPUTED_VALUE"""),"+5.67")</f>
        <v>+5.67</v>
      </c>
      <c r="O102" s="1">
        <f ca="1">IFERROR(__xludf.DUMMYFUNCTION("""COMPUTED_VALUE"""),70)</f>
        <v>70</v>
      </c>
      <c r="P102" s="1">
        <f ca="1">IFERROR(__xludf.DUMMYFUNCTION("""COMPUTED_VALUE"""),107.4)</f>
        <v>107.4</v>
      </c>
      <c r="Q102" s="1">
        <f ca="1">IFERROR(__xludf.DUMMYFUNCTION("""COMPUTED_VALUE"""),72)</f>
        <v>72</v>
      </c>
      <c r="R102" s="1">
        <f ca="1">IFERROR(__xludf.DUMMYFUNCTION("""COMPUTED_VALUE"""),101.7)</f>
        <v>101.7</v>
      </c>
      <c r="S102" s="1">
        <f ca="1">IFERROR(__xludf.DUMMYFUNCTION("""COMPUTED_VALUE"""),64)</f>
        <v>64</v>
      </c>
      <c r="T102" s="1" t="str">
        <f ca="1">IFERROR(__xludf.DUMMYFUNCTION("""COMPUTED_VALUE"""),"+5.25")</f>
        <v>+5.25</v>
      </c>
      <c r="U102" s="1">
        <f ca="1">IFERROR(__xludf.DUMMYFUNCTION("""COMPUTED_VALUE"""),39)</f>
        <v>39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IFERROR(__xludf.DUMMYFUNCTION("""COMPUTED_VALUE"""),"Loyola Chicago")</f>
        <v>Loyola Chicago</v>
      </c>
      <c r="C103" s="1" t="str">
        <f ca="1">IFERROR(__xludf.DUMMYFUNCTION("""COMPUTED_VALUE"""),"MVC")</f>
        <v>MVC</v>
      </c>
      <c r="D103" s="1" t="str">
        <f ca="1">IFERROR(__xludf.DUMMYFUNCTION("""COMPUTED_VALUE"""),"18-14")</f>
        <v>18-14</v>
      </c>
      <c r="E103" s="1" t="str">
        <f ca="1">IFERROR(__xludf.DUMMYFUNCTION("""COMPUTED_VALUE"""),"+6.45")</f>
        <v>+6.45</v>
      </c>
      <c r="F103" s="1">
        <f ca="1">IFERROR(__xludf.DUMMYFUNCTION("""COMPUTED_VALUE"""),108.9)</f>
        <v>108.9</v>
      </c>
      <c r="G103" s="1">
        <f ca="1">IFERROR(__xludf.DUMMYFUNCTION("""COMPUTED_VALUE"""),92)</f>
        <v>92</v>
      </c>
      <c r="H103" s="1">
        <f ca="1">IFERROR(__xludf.DUMMYFUNCTION("""COMPUTED_VALUE"""),102.5)</f>
        <v>102.5</v>
      </c>
      <c r="I103" s="1">
        <f ca="1">IFERROR(__xludf.DUMMYFUNCTION("""COMPUTED_VALUE"""),121)</f>
        <v>121</v>
      </c>
      <c r="J103" s="1">
        <f ca="1">IFERROR(__xludf.DUMMYFUNCTION("""COMPUTED_VALUE"""),65.8)</f>
        <v>65.8</v>
      </c>
      <c r="K103" s="1">
        <f ca="1">IFERROR(__xludf.DUMMYFUNCTION("""COMPUTED_VALUE"""),287)</f>
        <v>287</v>
      </c>
      <c r="L103" s="1">
        <f ca="1">IFERROR(__xludf.DUMMYFUNCTION("""COMPUTED_VALUE"""),-0.104)</f>
        <v>-0.104</v>
      </c>
      <c r="M103" s="1">
        <f ca="1">IFERROR(__xludf.DUMMYFUNCTION("""COMPUTED_VALUE"""),347)</f>
        <v>347</v>
      </c>
      <c r="N103" s="1">
        <f ca="1">IFERROR(__xludf.DUMMYFUNCTION("""COMPUTED_VALUE"""),-0.5)</f>
        <v>-0.5</v>
      </c>
      <c r="O103" s="1">
        <f ca="1">IFERROR(__xludf.DUMMYFUNCTION("""COMPUTED_VALUE"""),143)</f>
        <v>143</v>
      </c>
      <c r="P103" s="1">
        <f ca="1">IFERROR(__xludf.DUMMYFUNCTION("""COMPUTED_VALUE"""),103.4)</f>
        <v>103.4</v>
      </c>
      <c r="Q103" s="1">
        <f ca="1">IFERROR(__xludf.DUMMYFUNCTION("""COMPUTED_VALUE"""),217)</f>
        <v>217</v>
      </c>
      <c r="R103" s="1">
        <f ca="1">IFERROR(__xludf.DUMMYFUNCTION("""COMPUTED_VALUE"""),103.9)</f>
        <v>103.9</v>
      </c>
      <c r="S103" s="1">
        <f ca="1">IFERROR(__xludf.DUMMYFUNCTION("""COMPUTED_VALUE"""),115)</f>
        <v>115</v>
      </c>
      <c r="T103" s="1">
        <f ca="1">IFERROR(__xludf.DUMMYFUNCTION("""COMPUTED_VALUE"""),-4.35)</f>
        <v>-4.3499999999999996</v>
      </c>
      <c r="U103" s="1">
        <f ca="1">IFERROR(__xludf.DUMMYFUNCTION("""COMPUTED_VALUE"""),280)</f>
        <v>280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IFERROR(__xludf.DUMMYFUNCTION("""COMPUTED_VALUE"""),"Fresno St.5")</f>
        <v>Fresno St.5</v>
      </c>
      <c r="C104" s="1" t="str">
        <f ca="1">IFERROR(__xludf.DUMMYFUNCTION("""COMPUTED_VALUE"""),"MWC")</f>
        <v>MWC</v>
      </c>
      <c r="D104" s="1" t="str">
        <f ca="1">IFERROR(__xludf.DUMMYFUNCTION("""COMPUTED_VALUE"""),"20-13")</f>
        <v>20-13</v>
      </c>
      <c r="E104" s="1" t="str">
        <f ca="1">IFERROR(__xludf.DUMMYFUNCTION("""COMPUTED_VALUE"""),"+6.37")</f>
        <v>+6.37</v>
      </c>
      <c r="F104" s="1">
        <f ca="1">IFERROR(__xludf.DUMMYFUNCTION("""COMPUTED_VALUE"""),104.6)</f>
        <v>104.6</v>
      </c>
      <c r="G104" s="1">
        <f ca="1">IFERROR(__xludf.DUMMYFUNCTION("""COMPUTED_VALUE"""),167)</f>
        <v>167</v>
      </c>
      <c r="H104" s="1">
        <f ca="1">IFERROR(__xludf.DUMMYFUNCTION("""COMPUTED_VALUE"""),98.2)</f>
        <v>98.2</v>
      </c>
      <c r="I104" s="1">
        <f ca="1">IFERROR(__xludf.DUMMYFUNCTION("""COMPUTED_VALUE"""),60)</f>
        <v>60</v>
      </c>
      <c r="J104" s="1">
        <f ca="1">IFERROR(__xludf.DUMMYFUNCTION("""COMPUTED_VALUE"""),68.5)</f>
        <v>68.5</v>
      </c>
      <c r="K104" s="1">
        <f ca="1">IFERROR(__xludf.DUMMYFUNCTION("""COMPUTED_VALUE"""),158)</f>
        <v>158</v>
      </c>
      <c r="L104" s="1">
        <f ca="1">IFERROR(__xludf.DUMMYFUNCTION("""COMPUTED_VALUE"""),-0.001)</f>
        <v>-1E-3</v>
      </c>
      <c r="M104" s="1">
        <f ca="1">IFERROR(__xludf.DUMMYFUNCTION("""COMPUTED_VALUE"""),190)</f>
        <v>190</v>
      </c>
      <c r="N104" s="1" t="str">
        <f ca="1">IFERROR(__xludf.DUMMYFUNCTION("""COMPUTED_VALUE"""),"+2.50")</f>
        <v>+2.50</v>
      </c>
      <c r="O104" s="1">
        <f ca="1">IFERROR(__xludf.DUMMYFUNCTION("""COMPUTED_VALUE"""),92)</f>
        <v>92</v>
      </c>
      <c r="P104" s="1">
        <f ca="1">IFERROR(__xludf.DUMMYFUNCTION("""COMPUTED_VALUE"""),105.8)</f>
        <v>105.8</v>
      </c>
      <c r="Q104" s="1">
        <f ca="1">IFERROR(__xludf.DUMMYFUNCTION("""COMPUTED_VALUE"""),94)</f>
        <v>94</v>
      </c>
      <c r="R104" s="1">
        <f ca="1">IFERROR(__xludf.DUMMYFUNCTION("""COMPUTED_VALUE"""),103.3)</f>
        <v>103.3</v>
      </c>
      <c r="S104" s="1">
        <f ca="1">IFERROR(__xludf.DUMMYFUNCTION("""COMPUTED_VALUE"""),107)</f>
        <v>107</v>
      </c>
      <c r="T104" s="1">
        <f ca="1">IFERROR(__xludf.DUMMYFUNCTION("""COMPUTED_VALUE"""),-2.36)</f>
        <v>-2.36</v>
      </c>
      <c r="U104" s="1">
        <f ca="1">IFERROR(__xludf.DUMMYFUNCTION("""COMPUTED_VALUE"""),223)</f>
        <v>223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IFERROR(__xludf.DUMMYFUNCTION("""COMPUTED_VALUE"""),"St. John's")</f>
        <v>St. John's</v>
      </c>
      <c r="C105" s="1" t="str">
        <f ca="1">IFERROR(__xludf.DUMMYFUNCTION("""COMPUTED_VALUE"""),"BE")</f>
        <v>BE</v>
      </c>
      <c r="D105" s="1" t="str">
        <f ca="1">IFERROR(__xludf.DUMMYFUNCTION("""COMPUTED_VALUE"""),"14-19")</f>
        <v>14-19</v>
      </c>
      <c r="E105" s="1" t="str">
        <f ca="1">IFERROR(__xludf.DUMMYFUNCTION("""COMPUTED_VALUE"""),"+6.26")</f>
        <v>+6.26</v>
      </c>
      <c r="F105" s="1">
        <f ca="1">IFERROR(__xludf.DUMMYFUNCTION("""COMPUTED_VALUE"""),109)</f>
        <v>109</v>
      </c>
      <c r="G105" s="1">
        <f ca="1">IFERROR(__xludf.DUMMYFUNCTION("""COMPUTED_VALUE"""),90)</f>
        <v>90</v>
      </c>
      <c r="H105" s="1">
        <f ca="1">IFERROR(__xludf.DUMMYFUNCTION("""COMPUTED_VALUE"""),102.7)</f>
        <v>102.7</v>
      </c>
      <c r="I105" s="1">
        <f ca="1">IFERROR(__xludf.DUMMYFUNCTION("""COMPUTED_VALUE"""),131)</f>
        <v>131</v>
      </c>
      <c r="J105" s="1">
        <f ca="1">IFERROR(__xludf.DUMMYFUNCTION("""COMPUTED_VALUE"""),73.3)</f>
        <v>73.3</v>
      </c>
      <c r="K105" s="1">
        <f ca="1">IFERROR(__xludf.DUMMYFUNCTION("""COMPUTED_VALUE"""),11)</f>
        <v>11</v>
      </c>
      <c r="L105" s="1">
        <f ca="1">IFERROR(__xludf.DUMMYFUNCTION("""COMPUTED_VALUE"""),-0.039)</f>
        <v>-3.9E-2</v>
      </c>
      <c r="M105" s="1">
        <f ca="1">IFERROR(__xludf.DUMMYFUNCTION("""COMPUTED_VALUE"""),283)</f>
        <v>283</v>
      </c>
      <c r="N105" s="1" t="str">
        <f ca="1">IFERROR(__xludf.DUMMYFUNCTION("""COMPUTED_VALUE"""),"+9.18")</f>
        <v>+9.18</v>
      </c>
      <c r="O105" s="1">
        <f ca="1">IFERROR(__xludf.DUMMYFUNCTION("""COMPUTED_VALUE"""),35)</f>
        <v>35</v>
      </c>
      <c r="P105" s="1">
        <f ca="1">IFERROR(__xludf.DUMMYFUNCTION("""COMPUTED_VALUE"""),109.6)</f>
        <v>109.6</v>
      </c>
      <c r="Q105" s="1">
        <f ca="1">IFERROR(__xludf.DUMMYFUNCTION("""COMPUTED_VALUE"""),42)</f>
        <v>42</v>
      </c>
      <c r="R105" s="1">
        <f ca="1">IFERROR(__xludf.DUMMYFUNCTION("""COMPUTED_VALUE"""),100.4)</f>
        <v>100.4</v>
      </c>
      <c r="S105" s="1">
        <f ca="1">IFERROR(__xludf.DUMMYFUNCTION("""COMPUTED_VALUE"""),29)</f>
        <v>29</v>
      </c>
      <c r="T105" s="1">
        <f ca="1">IFERROR(__xludf.DUMMYFUNCTION("""COMPUTED_VALUE"""),-2.77)</f>
        <v>-2.77</v>
      </c>
      <c r="U105" s="1">
        <f ca="1">IFERROR(__xludf.DUMMYFUNCTION("""COMPUTED_VALUE"""),234)</f>
        <v>234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IFERROR(__xludf.DUMMYFUNCTION("""COMPUTED_VALUE"""),"Akron7")</f>
        <v>Akron7</v>
      </c>
      <c r="C106" s="1" t="str">
        <f ca="1">IFERROR(__xludf.DUMMYFUNCTION("""COMPUTED_VALUE"""),"MAC")</f>
        <v>MAC</v>
      </c>
      <c r="D106" s="1" t="str">
        <f ca="1">IFERROR(__xludf.DUMMYFUNCTION("""COMPUTED_VALUE"""),"27-9")</f>
        <v>27-9</v>
      </c>
      <c r="E106" s="1" t="str">
        <f ca="1">IFERROR(__xludf.DUMMYFUNCTION("""COMPUTED_VALUE"""),"+6.10")</f>
        <v>+6.10</v>
      </c>
      <c r="F106" s="1">
        <f ca="1">IFERROR(__xludf.DUMMYFUNCTION("""COMPUTED_VALUE"""),112.6)</f>
        <v>112.6</v>
      </c>
      <c r="G106" s="1">
        <f ca="1">IFERROR(__xludf.DUMMYFUNCTION("""COMPUTED_VALUE"""),47)</f>
        <v>47</v>
      </c>
      <c r="H106" s="1">
        <f ca="1">IFERROR(__xludf.DUMMYFUNCTION("""COMPUTED_VALUE"""),106.4)</f>
        <v>106.4</v>
      </c>
      <c r="I106" s="1">
        <f ca="1">IFERROR(__xludf.DUMMYFUNCTION("""COMPUTED_VALUE"""),209)</f>
        <v>209</v>
      </c>
      <c r="J106" s="1">
        <f ca="1">IFERROR(__xludf.DUMMYFUNCTION("""COMPUTED_VALUE"""),66.3)</f>
        <v>66.3</v>
      </c>
      <c r="K106" s="1">
        <f ca="1">IFERROR(__xludf.DUMMYFUNCTION("""COMPUTED_VALUE"""),266)</f>
        <v>266</v>
      </c>
      <c r="L106" s="1" t="str">
        <f ca="1">IFERROR(__xludf.DUMMYFUNCTION("""COMPUTED_VALUE"""),"+.084")</f>
        <v>+.084</v>
      </c>
      <c r="M106" s="1">
        <f ca="1">IFERROR(__xludf.DUMMYFUNCTION("""COMPUTED_VALUE"""),10)</f>
        <v>10</v>
      </c>
      <c r="N106" s="1">
        <f ca="1">IFERROR(__xludf.DUMMYFUNCTION("""COMPUTED_VALUE"""),-1.48)</f>
        <v>-1.48</v>
      </c>
      <c r="O106" s="1">
        <f ca="1">IFERROR(__xludf.DUMMYFUNCTION("""COMPUTED_VALUE"""),176)</f>
        <v>176</v>
      </c>
      <c r="P106" s="1">
        <f ca="1">IFERROR(__xludf.DUMMYFUNCTION("""COMPUTED_VALUE"""),104.2)</f>
        <v>104.2</v>
      </c>
      <c r="Q106" s="1">
        <f ca="1">IFERROR(__xludf.DUMMYFUNCTION("""COMPUTED_VALUE"""),166)</f>
        <v>166</v>
      </c>
      <c r="R106" s="1">
        <f ca="1">IFERROR(__xludf.DUMMYFUNCTION("""COMPUTED_VALUE"""),105.7)</f>
        <v>105.7</v>
      </c>
      <c r="S106" s="1">
        <f ca="1">IFERROR(__xludf.DUMMYFUNCTION("""COMPUTED_VALUE"""),181)</f>
        <v>181</v>
      </c>
      <c r="T106" s="1">
        <f ca="1">IFERROR(__xludf.DUMMYFUNCTION("""COMPUTED_VALUE"""),-5.23)</f>
        <v>-5.23</v>
      </c>
      <c r="U106" s="1">
        <f ca="1">IFERROR(__xludf.DUMMYFUNCTION("""COMPUTED_VALUE"""),302)</f>
        <v>302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IFERROR(__xludf.DUMMYFUNCTION("""COMPUTED_VALUE"""),"Memphis")</f>
        <v>Memphis</v>
      </c>
      <c r="C107" s="1" t="str">
        <f ca="1">IFERROR(__xludf.DUMMYFUNCTION("""COMPUTED_VALUE"""),"Amer")</f>
        <v>Amer</v>
      </c>
      <c r="D107" s="1" t="str">
        <f ca="1">IFERROR(__xludf.DUMMYFUNCTION("""COMPUTED_VALUE"""),"19-13")</f>
        <v>19-13</v>
      </c>
      <c r="E107" s="1" t="str">
        <f ca="1">IFERROR(__xludf.DUMMYFUNCTION("""COMPUTED_VALUE"""),"+6.02")</f>
        <v>+6.02</v>
      </c>
      <c r="F107" s="1">
        <f ca="1">IFERROR(__xludf.DUMMYFUNCTION("""COMPUTED_VALUE"""),107)</f>
        <v>107</v>
      </c>
      <c r="G107" s="1">
        <f ca="1">IFERROR(__xludf.DUMMYFUNCTION("""COMPUTED_VALUE"""),127)</f>
        <v>127</v>
      </c>
      <c r="H107" s="1">
        <f ca="1">IFERROR(__xludf.DUMMYFUNCTION("""COMPUTED_VALUE"""),101)</f>
        <v>101</v>
      </c>
      <c r="I107" s="1">
        <f ca="1">IFERROR(__xludf.DUMMYFUNCTION("""COMPUTED_VALUE"""),98)</f>
        <v>98</v>
      </c>
      <c r="J107" s="1">
        <f ca="1">IFERROR(__xludf.DUMMYFUNCTION("""COMPUTED_VALUE"""),68.4)</f>
        <v>68.400000000000006</v>
      </c>
      <c r="K107" s="1">
        <f ca="1">IFERROR(__xludf.DUMMYFUNCTION("""COMPUTED_VALUE"""),165)</f>
        <v>165</v>
      </c>
      <c r="L107" s="1" t="str">
        <f ca="1">IFERROR(__xludf.DUMMYFUNCTION("""COMPUTED_VALUE"""),"+.026")</f>
        <v>+.026</v>
      </c>
      <c r="M107" s="1">
        <f ca="1">IFERROR(__xludf.DUMMYFUNCTION("""COMPUTED_VALUE"""),114)</f>
        <v>114</v>
      </c>
      <c r="N107" s="1" t="str">
        <f ca="1">IFERROR(__xludf.DUMMYFUNCTION("""COMPUTED_VALUE"""),"+1.65")</f>
        <v>+1.65</v>
      </c>
      <c r="O107" s="1">
        <f ca="1">IFERROR(__xludf.DUMMYFUNCTION("""COMPUTED_VALUE"""),101)</f>
        <v>101</v>
      </c>
      <c r="P107" s="1">
        <f ca="1">IFERROR(__xludf.DUMMYFUNCTION("""COMPUTED_VALUE"""),104.7)</f>
        <v>104.7</v>
      </c>
      <c r="Q107" s="1">
        <f ca="1">IFERROR(__xludf.DUMMYFUNCTION("""COMPUTED_VALUE"""),146)</f>
        <v>146</v>
      </c>
      <c r="R107" s="1">
        <f ca="1">IFERROR(__xludf.DUMMYFUNCTION("""COMPUTED_VALUE"""),103)</f>
        <v>103</v>
      </c>
      <c r="S107" s="1">
        <f ca="1">IFERROR(__xludf.DUMMYFUNCTION("""COMPUTED_VALUE"""),99)</f>
        <v>99</v>
      </c>
      <c r="T107" s="1">
        <f ca="1">IFERROR(__xludf.DUMMYFUNCTION("""COMPUTED_VALUE"""),-4.46)</f>
        <v>-4.46</v>
      </c>
      <c r="U107" s="1">
        <f ca="1">IFERROR(__xludf.DUMMYFUNCTION("""COMPUTED_VALUE"""),283)</f>
        <v>283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IFERROR(__xludf.DUMMYFUNCTION("""COMPUTED_VALUE"""),"Stanford")</f>
        <v>Stanford</v>
      </c>
      <c r="C108" s="1" t="str">
        <f ca="1">IFERROR(__xludf.DUMMYFUNCTION("""COMPUTED_VALUE"""),"P12")</f>
        <v>P12</v>
      </c>
      <c r="D108" s="1" t="str">
        <f ca="1">IFERROR(__xludf.DUMMYFUNCTION("""COMPUTED_VALUE"""),"14-17")</f>
        <v>14-17</v>
      </c>
      <c r="E108" s="1" t="str">
        <f ca="1">IFERROR(__xludf.DUMMYFUNCTION("""COMPUTED_VALUE"""),"+5.91")</f>
        <v>+5.91</v>
      </c>
      <c r="F108" s="1">
        <f ca="1">IFERROR(__xludf.DUMMYFUNCTION("""COMPUTED_VALUE"""),104.8)</f>
        <v>104.8</v>
      </c>
      <c r="G108" s="1">
        <f ca="1">IFERROR(__xludf.DUMMYFUNCTION("""COMPUTED_VALUE"""),161)</f>
        <v>161</v>
      </c>
      <c r="H108" s="1">
        <f ca="1">IFERROR(__xludf.DUMMYFUNCTION("""COMPUTED_VALUE"""),98.9)</f>
        <v>98.9</v>
      </c>
      <c r="I108" s="1">
        <f ca="1">IFERROR(__xludf.DUMMYFUNCTION("""COMPUTED_VALUE"""),65)</f>
        <v>65</v>
      </c>
      <c r="J108" s="1">
        <f ca="1">IFERROR(__xludf.DUMMYFUNCTION("""COMPUTED_VALUE"""),68.3)</f>
        <v>68.3</v>
      </c>
      <c r="K108" s="1">
        <f ca="1">IFERROR(__xludf.DUMMYFUNCTION("""COMPUTED_VALUE"""),171)</f>
        <v>171</v>
      </c>
      <c r="L108" s="1">
        <f ca="1">IFERROR(__xludf.DUMMYFUNCTION("""COMPUTED_VALUE"""),-0.008)</f>
        <v>-8.0000000000000002E-3</v>
      </c>
      <c r="M108" s="1">
        <f ca="1">IFERROR(__xludf.DUMMYFUNCTION("""COMPUTED_VALUE"""),202)</f>
        <v>202</v>
      </c>
      <c r="N108" s="1" t="str">
        <f ca="1">IFERROR(__xludf.DUMMYFUNCTION("""COMPUTED_VALUE"""),"+8.53")</f>
        <v>+8.53</v>
      </c>
      <c r="O108" s="1">
        <f ca="1">IFERROR(__xludf.DUMMYFUNCTION("""COMPUTED_VALUE"""),41)</f>
        <v>41</v>
      </c>
      <c r="P108" s="1">
        <f ca="1">IFERROR(__xludf.DUMMYFUNCTION("""COMPUTED_VALUE"""),110.2)</f>
        <v>110.2</v>
      </c>
      <c r="Q108" s="1">
        <f ca="1">IFERROR(__xludf.DUMMYFUNCTION("""COMPUTED_VALUE"""),30)</f>
        <v>30</v>
      </c>
      <c r="R108" s="1">
        <f ca="1">IFERROR(__xludf.DUMMYFUNCTION("""COMPUTED_VALUE"""),101.6)</f>
        <v>101.6</v>
      </c>
      <c r="S108" s="1">
        <f ca="1">IFERROR(__xludf.DUMMYFUNCTION("""COMPUTED_VALUE"""),63)</f>
        <v>63</v>
      </c>
      <c r="T108" s="1" t="str">
        <f ca="1">IFERROR(__xludf.DUMMYFUNCTION("""COMPUTED_VALUE"""),"+6.04")</f>
        <v>+6.04</v>
      </c>
      <c r="U108" s="1">
        <f ca="1">IFERROR(__xludf.DUMMYFUNCTION("""COMPUTED_VALUE"""),33)</f>
        <v>33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IFERROR(__xludf.DUMMYFUNCTION("""COMPUTED_VALUE"""),"Oakland7")</f>
        <v>Oakland7</v>
      </c>
      <c r="C109" s="1" t="str">
        <f ca="1">IFERROR(__xludf.DUMMYFUNCTION("""COMPUTED_VALUE"""),"Horz")</f>
        <v>Horz</v>
      </c>
      <c r="D109" s="1" t="str">
        <f ca="1">IFERROR(__xludf.DUMMYFUNCTION("""COMPUTED_VALUE"""),"25-9")</f>
        <v>25-9</v>
      </c>
      <c r="E109" s="1" t="str">
        <f ca="1">IFERROR(__xludf.DUMMYFUNCTION("""COMPUTED_VALUE"""),"+5.90")</f>
        <v>+5.90</v>
      </c>
      <c r="F109" s="1">
        <f ca="1">IFERROR(__xludf.DUMMYFUNCTION("""COMPUTED_VALUE"""),105)</f>
        <v>105</v>
      </c>
      <c r="G109" s="1">
        <f ca="1">IFERROR(__xludf.DUMMYFUNCTION("""COMPUTED_VALUE"""),158)</f>
        <v>158</v>
      </c>
      <c r="H109" s="1">
        <f ca="1">IFERROR(__xludf.DUMMYFUNCTION("""COMPUTED_VALUE"""),99.1)</f>
        <v>99.1</v>
      </c>
      <c r="I109" s="1">
        <f ca="1">IFERROR(__xludf.DUMMYFUNCTION("""COMPUTED_VALUE"""),68)</f>
        <v>68</v>
      </c>
      <c r="J109" s="1">
        <f ca="1">IFERROR(__xludf.DUMMYFUNCTION("""COMPUTED_VALUE"""),71.9)</f>
        <v>71.900000000000006</v>
      </c>
      <c r="K109" s="1">
        <f ca="1">IFERROR(__xludf.DUMMYFUNCTION("""COMPUTED_VALUE"""),28)</f>
        <v>28</v>
      </c>
      <c r="L109" s="1">
        <f ca="1">IFERROR(__xludf.DUMMYFUNCTION("""COMPUTED_VALUE"""),-0.011)</f>
        <v>-1.0999999999999999E-2</v>
      </c>
      <c r="M109" s="1">
        <f ca="1">IFERROR(__xludf.DUMMYFUNCTION("""COMPUTED_VALUE"""),215)</f>
        <v>215</v>
      </c>
      <c r="N109" s="1">
        <f ca="1">IFERROR(__xludf.DUMMYFUNCTION("""COMPUTED_VALUE"""),-4.1)</f>
        <v>-4.0999999999999996</v>
      </c>
      <c r="O109" s="1">
        <f ca="1">IFERROR(__xludf.DUMMYFUNCTION("""COMPUTED_VALUE"""),251)</f>
        <v>251</v>
      </c>
      <c r="P109" s="1">
        <f ca="1">IFERROR(__xludf.DUMMYFUNCTION("""COMPUTED_VALUE"""),102.8)</f>
        <v>102.8</v>
      </c>
      <c r="Q109" s="1">
        <f ca="1">IFERROR(__xludf.DUMMYFUNCTION("""COMPUTED_VALUE"""),246)</f>
        <v>246</v>
      </c>
      <c r="R109" s="1">
        <f ca="1">IFERROR(__xludf.DUMMYFUNCTION("""COMPUTED_VALUE"""),106.9)</f>
        <v>106.9</v>
      </c>
      <c r="S109" s="1">
        <f ca="1">IFERROR(__xludf.DUMMYFUNCTION("""COMPUTED_VALUE"""),262)</f>
        <v>262</v>
      </c>
      <c r="T109" s="1">
        <f ca="1">IFERROR(__xludf.DUMMYFUNCTION("""COMPUTED_VALUE"""),-5.42)</f>
        <v>-5.42</v>
      </c>
      <c r="U109" s="1">
        <f ca="1">IFERROR(__xludf.DUMMYFUNCTION("""COMPUTED_VALUE"""),308)</f>
        <v>308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IFERROR(__xludf.DUMMYFUNCTION("""COMPUTED_VALUE"""),"Valparaiso7")</f>
        <v>Valparaiso7</v>
      </c>
      <c r="C110" s="1" t="str">
        <f ca="1">IFERROR(__xludf.DUMMYFUNCTION("""COMPUTED_VALUE"""),"Horz")</f>
        <v>Horz</v>
      </c>
      <c r="D110" s="1" t="str">
        <f ca="1">IFERROR(__xludf.DUMMYFUNCTION("""COMPUTED_VALUE"""),"24-9")</f>
        <v>24-9</v>
      </c>
      <c r="E110" s="1" t="str">
        <f ca="1">IFERROR(__xludf.DUMMYFUNCTION("""COMPUTED_VALUE"""),"+5.82")</f>
        <v>+5.82</v>
      </c>
      <c r="F110" s="1">
        <f ca="1">IFERROR(__xludf.DUMMYFUNCTION("""COMPUTED_VALUE"""),106.3)</f>
        <v>106.3</v>
      </c>
      <c r="G110" s="1">
        <f ca="1">IFERROR(__xludf.DUMMYFUNCTION("""COMPUTED_VALUE"""),139)</f>
        <v>139</v>
      </c>
      <c r="H110" s="1">
        <f ca="1">IFERROR(__xludf.DUMMYFUNCTION("""COMPUTED_VALUE"""),100.5)</f>
        <v>100.5</v>
      </c>
      <c r="I110" s="1">
        <f ca="1">IFERROR(__xludf.DUMMYFUNCTION("""COMPUTED_VALUE"""),88)</f>
        <v>88</v>
      </c>
      <c r="J110" s="1">
        <f ca="1">IFERROR(__xludf.DUMMYFUNCTION("""COMPUTED_VALUE"""),67.2)</f>
        <v>67.2</v>
      </c>
      <c r="K110" s="1">
        <f ca="1">IFERROR(__xludf.DUMMYFUNCTION("""COMPUTED_VALUE"""),220)</f>
        <v>220</v>
      </c>
      <c r="L110" s="1" t="str">
        <f ca="1">IFERROR(__xludf.DUMMYFUNCTION("""COMPUTED_VALUE"""),"+.069")</f>
        <v>+.069</v>
      </c>
      <c r="M110" s="1">
        <f ca="1">IFERROR(__xludf.DUMMYFUNCTION("""COMPUTED_VALUE"""),25)</f>
        <v>25</v>
      </c>
      <c r="N110" s="1">
        <f ca="1">IFERROR(__xludf.DUMMYFUNCTION("""COMPUTED_VALUE"""),-2.87)</f>
        <v>-2.87</v>
      </c>
      <c r="O110" s="1">
        <f ca="1">IFERROR(__xludf.DUMMYFUNCTION("""COMPUTED_VALUE"""),220)</f>
        <v>220</v>
      </c>
      <c r="P110" s="1">
        <f ca="1">IFERROR(__xludf.DUMMYFUNCTION("""COMPUTED_VALUE"""),103)</f>
        <v>103</v>
      </c>
      <c r="Q110" s="1">
        <f ca="1">IFERROR(__xludf.DUMMYFUNCTION("""COMPUTED_VALUE"""),239)</f>
        <v>239</v>
      </c>
      <c r="R110" s="1">
        <f ca="1">IFERROR(__xludf.DUMMYFUNCTION("""COMPUTED_VALUE"""),105.8)</f>
        <v>105.8</v>
      </c>
      <c r="S110" s="1">
        <f ca="1">IFERROR(__xludf.DUMMYFUNCTION("""COMPUTED_VALUE"""),193)</f>
        <v>193</v>
      </c>
      <c r="T110" s="1" t="str">
        <f ca="1">IFERROR(__xludf.DUMMYFUNCTION("""COMPUTED_VALUE"""),"+0.08")</f>
        <v>+0.08</v>
      </c>
      <c r="U110" s="1">
        <f ca="1">IFERROR(__xludf.DUMMYFUNCTION("""COMPUTED_VALUE"""),150)</f>
        <v>150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IFERROR(__xludf.DUMMYFUNCTION("""COMPUTED_VALUE"""),"Ohio")</f>
        <v>Ohio</v>
      </c>
      <c r="C111" s="1" t="str">
        <f ca="1">IFERROR(__xludf.DUMMYFUNCTION("""COMPUTED_VALUE"""),"MAC")</f>
        <v>MAC</v>
      </c>
      <c r="D111" s="1" t="str">
        <f ca="1">IFERROR(__xludf.DUMMYFUNCTION("""COMPUTED_VALUE"""),"20-11")</f>
        <v>20-11</v>
      </c>
      <c r="E111" s="1" t="str">
        <f ca="1">IFERROR(__xludf.DUMMYFUNCTION("""COMPUTED_VALUE"""),"+5.73")</f>
        <v>+5.73</v>
      </c>
      <c r="F111" s="1">
        <f ca="1">IFERROR(__xludf.DUMMYFUNCTION("""COMPUTED_VALUE"""),105.6)</f>
        <v>105.6</v>
      </c>
      <c r="G111" s="1">
        <f ca="1">IFERROR(__xludf.DUMMYFUNCTION("""COMPUTED_VALUE"""),148)</f>
        <v>148</v>
      </c>
      <c r="H111" s="1">
        <f ca="1">IFERROR(__xludf.DUMMYFUNCTION("""COMPUTED_VALUE"""),99.9)</f>
        <v>99.9</v>
      </c>
      <c r="I111" s="1">
        <f ca="1">IFERROR(__xludf.DUMMYFUNCTION("""COMPUTED_VALUE"""),78)</f>
        <v>78</v>
      </c>
      <c r="J111" s="1">
        <f ca="1">IFERROR(__xludf.DUMMYFUNCTION("""COMPUTED_VALUE"""),70.4)</f>
        <v>70.400000000000006</v>
      </c>
      <c r="K111" s="1">
        <f ca="1">IFERROR(__xludf.DUMMYFUNCTION("""COMPUTED_VALUE"""),65)</f>
        <v>65</v>
      </c>
      <c r="L111" s="1">
        <f ca="1">IFERROR(__xludf.DUMMYFUNCTION("""COMPUTED_VALUE"""),-0.072)</f>
        <v>-7.1999999999999995E-2</v>
      </c>
      <c r="M111" s="1">
        <f ca="1">IFERROR(__xludf.DUMMYFUNCTION("""COMPUTED_VALUE"""),325)</f>
        <v>325</v>
      </c>
      <c r="N111" s="1">
        <f ca="1">IFERROR(__xludf.DUMMYFUNCTION("""COMPUTED_VALUE"""),-2.9)</f>
        <v>-2.9</v>
      </c>
      <c r="O111" s="1">
        <f ca="1">IFERROR(__xludf.DUMMYFUNCTION("""COMPUTED_VALUE"""),222)</f>
        <v>222</v>
      </c>
      <c r="P111" s="1">
        <f ca="1">IFERROR(__xludf.DUMMYFUNCTION("""COMPUTED_VALUE"""),103.5)</f>
        <v>103.5</v>
      </c>
      <c r="Q111" s="1">
        <f ca="1">IFERROR(__xludf.DUMMYFUNCTION("""COMPUTED_VALUE"""),209)</f>
        <v>209</v>
      </c>
      <c r="R111" s="1">
        <f ca="1">IFERROR(__xludf.DUMMYFUNCTION("""COMPUTED_VALUE"""),106.4)</f>
        <v>106.4</v>
      </c>
      <c r="S111" s="1">
        <f ca="1">IFERROR(__xludf.DUMMYFUNCTION("""COMPUTED_VALUE"""),235)</f>
        <v>235</v>
      </c>
      <c r="T111" s="1">
        <f ca="1">IFERROR(__xludf.DUMMYFUNCTION("""COMPUTED_VALUE"""),-6.82)</f>
        <v>-6.82</v>
      </c>
      <c r="U111" s="1">
        <f ca="1">IFERROR(__xludf.DUMMYFUNCTION("""COMPUTED_VALUE"""),335)</f>
        <v>335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IFERROR(__xludf.DUMMYFUNCTION("""COMPUTED_VALUE"""),"Furman")</f>
        <v>Furman</v>
      </c>
      <c r="C112" s="1" t="str">
        <f ca="1">IFERROR(__xludf.DUMMYFUNCTION("""COMPUTED_VALUE"""),"SC")</f>
        <v>SC</v>
      </c>
      <c r="D112" s="1" t="str">
        <f ca="1">IFERROR(__xludf.DUMMYFUNCTION("""COMPUTED_VALUE"""),"23-12")</f>
        <v>23-12</v>
      </c>
      <c r="E112" s="1" t="str">
        <f ca="1">IFERROR(__xludf.DUMMYFUNCTION("""COMPUTED_VALUE"""),"+5.21")</f>
        <v>+5.21</v>
      </c>
      <c r="F112" s="1">
        <f ca="1">IFERROR(__xludf.DUMMYFUNCTION("""COMPUTED_VALUE"""),107)</f>
        <v>107</v>
      </c>
      <c r="G112" s="1">
        <f ca="1">IFERROR(__xludf.DUMMYFUNCTION("""COMPUTED_VALUE"""),128)</f>
        <v>128</v>
      </c>
      <c r="H112" s="1">
        <f ca="1">IFERROR(__xludf.DUMMYFUNCTION("""COMPUTED_VALUE"""),101.7)</f>
        <v>101.7</v>
      </c>
      <c r="I112" s="1">
        <f ca="1">IFERROR(__xludf.DUMMYFUNCTION("""COMPUTED_VALUE"""),106)</f>
        <v>106</v>
      </c>
      <c r="J112" s="1">
        <f ca="1">IFERROR(__xludf.DUMMYFUNCTION("""COMPUTED_VALUE"""),66.1)</f>
        <v>66.099999999999994</v>
      </c>
      <c r="K112" s="1">
        <f ca="1">IFERROR(__xludf.DUMMYFUNCTION("""COMPUTED_VALUE"""),273)</f>
        <v>273</v>
      </c>
      <c r="L112" s="1" t="str">
        <f ca="1">IFERROR(__xludf.DUMMYFUNCTION("""COMPUTED_VALUE"""),"+.010")</f>
        <v>+.010</v>
      </c>
      <c r="M112" s="1">
        <f ca="1">IFERROR(__xludf.DUMMYFUNCTION("""COMPUTED_VALUE"""),167)</f>
        <v>167</v>
      </c>
      <c r="N112" s="1">
        <f ca="1">IFERROR(__xludf.DUMMYFUNCTION("""COMPUTED_VALUE"""),-1.5)</f>
        <v>-1.5</v>
      </c>
      <c r="O112" s="1">
        <f ca="1">IFERROR(__xludf.DUMMYFUNCTION("""COMPUTED_VALUE"""),177)</f>
        <v>177</v>
      </c>
      <c r="P112" s="1">
        <f ca="1">IFERROR(__xludf.DUMMYFUNCTION("""COMPUTED_VALUE"""),104.6)</f>
        <v>104.6</v>
      </c>
      <c r="Q112" s="1">
        <f ca="1">IFERROR(__xludf.DUMMYFUNCTION("""COMPUTED_VALUE"""),151)</f>
        <v>151</v>
      </c>
      <c r="R112" s="1">
        <f ca="1">IFERROR(__xludf.DUMMYFUNCTION("""COMPUTED_VALUE"""),106.1)</f>
        <v>106.1</v>
      </c>
      <c r="S112" s="1">
        <f ca="1">IFERROR(__xludf.DUMMYFUNCTION("""COMPUTED_VALUE"""),213)</f>
        <v>213</v>
      </c>
      <c r="T112" s="1" t="str">
        <f ca="1">IFERROR(__xludf.DUMMYFUNCTION("""COMPUTED_VALUE"""),"+0.19")</f>
        <v>+0.19</v>
      </c>
      <c r="U112" s="1">
        <f ca="1">IFERROR(__xludf.DUMMYFUNCTION("""COMPUTED_VALUE"""),147)</f>
        <v>147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IFERROR(__xludf.DUMMYFUNCTION("""COMPUTED_VALUE"""),"Nebraska")</f>
        <v>Nebraska</v>
      </c>
      <c r="C113" s="1" t="str">
        <f ca="1">IFERROR(__xludf.DUMMYFUNCTION("""COMPUTED_VALUE"""),"B10")</f>
        <v>B10</v>
      </c>
      <c r="D113" s="2">
        <f ca="1">IFERROR(__xludf.DUMMYFUNCTION("""COMPUTED_VALUE"""),44914)</f>
        <v>44914</v>
      </c>
      <c r="E113" s="1" t="str">
        <f ca="1">IFERROR(__xludf.DUMMYFUNCTION("""COMPUTED_VALUE"""),"+5.14")</f>
        <v>+5.14</v>
      </c>
      <c r="F113" s="1">
        <f ca="1">IFERROR(__xludf.DUMMYFUNCTION("""COMPUTED_VALUE"""),105)</f>
        <v>105</v>
      </c>
      <c r="G113" s="1">
        <f ca="1">IFERROR(__xludf.DUMMYFUNCTION("""COMPUTED_VALUE"""),157)</f>
        <v>157</v>
      </c>
      <c r="H113" s="1">
        <f ca="1">IFERROR(__xludf.DUMMYFUNCTION("""COMPUTED_VALUE"""),99.8)</f>
        <v>99.8</v>
      </c>
      <c r="I113" s="1">
        <f ca="1">IFERROR(__xludf.DUMMYFUNCTION("""COMPUTED_VALUE"""),77)</f>
        <v>77</v>
      </c>
      <c r="J113" s="1">
        <f ca="1">IFERROR(__xludf.DUMMYFUNCTION("""COMPUTED_VALUE"""),68.1)</f>
        <v>68.099999999999994</v>
      </c>
      <c r="K113" s="1">
        <f ca="1">IFERROR(__xludf.DUMMYFUNCTION("""COMPUTED_VALUE"""),185)</f>
        <v>185</v>
      </c>
      <c r="L113" s="1" t="str">
        <f ca="1">IFERROR(__xludf.DUMMYFUNCTION("""COMPUTED_VALUE"""),"+.011")</f>
        <v>+.011</v>
      </c>
      <c r="M113" s="1">
        <f ca="1">IFERROR(__xludf.DUMMYFUNCTION("""COMPUTED_VALUE"""),164)</f>
        <v>164</v>
      </c>
      <c r="N113" s="1" t="str">
        <f ca="1">IFERROR(__xludf.DUMMYFUNCTION("""COMPUTED_VALUE"""),"+11.37")</f>
        <v>+11.37</v>
      </c>
      <c r="O113" s="1">
        <f ca="1">IFERROR(__xludf.DUMMYFUNCTION("""COMPUTED_VALUE"""),14)</f>
        <v>14</v>
      </c>
      <c r="P113" s="1">
        <f ca="1">IFERROR(__xludf.DUMMYFUNCTION("""COMPUTED_VALUE"""),111.2)</f>
        <v>111.2</v>
      </c>
      <c r="Q113" s="1">
        <f ca="1">IFERROR(__xludf.DUMMYFUNCTION("""COMPUTED_VALUE"""),11)</f>
        <v>11</v>
      </c>
      <c r="R113" s="1">
        <f ca="1">IFERROR(__xludf.DUMMYFUNCTION("""COMPUTED_VALUE"""),99.8)</f>
        <v>99.8</v>
      </c>
      <c r="S113" s="1">
        <f ca="1">IFERROR(__xludf.DUMMYFUNCTION("""COMPUTED_VALUE"""),24)</f>
        <v>24</v>
      </c>
      <c r="T113" s="1" t="str">
        <f ca="1">IFERROR(__xludf.DUMMYFUNCTION("""COMPUTED_VALUE"""),"+6.66")</f>
        <v>+6.66</v>
      </c>
      <c r="U113" s="1">
        <f ca="1">IFERROR(__xludf.DUMMYFUNCTION("""COMPUTED_VALUE"""),27)</f>
        <v>27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IFERROR(__xludf.DUMMYFUNCTION("""COMPUTED_VALUE"""),"Florida Gulf Coast14")</f>
        <v>Florida Gulf Coast14</v>
      </c>
      <c r="C114" s="1" t="str">
        <f ca="1">IFERROR(__xludf.DUMMYFUNCTION("""COMPUTED_VALUE"""),"ASun")</f>
        <v>ASun</v>
      </c>
      <c r="D114" s="1" t="str">
        <f ca="1">IFERROR(__xludf.DUMMYFUNCTION("""COMPUTED_VALUE"""),"26-8")</f>
        <v>26-8</v>
      </c>
      <c r="E114" s="1" t="str">
        <f ca="1">IFERROR(__xludf.DUMMYFUNCTION("""COMPUTED_VALUE"""),"+5.07")</f>
        <v>+5.07</v>
      </c>
      <c r="F114" s="1">
        <f ca="1">IFERROR(__xludf.DUMMYFUNCTION("""COMPUTED_VALUE"""),109.4)</f>
        <v>109.4</v>
      </c>
      <c r="G114" s="1">
        <f ca="1">IFERROR(__xludf.DUMMYFUNCTION("""COMPUTED_VALUE"""),83)</f>
        <v>83</v>
      </c>
      <c r="H114" s="1">
        <f ca="1">IFERROR(__xludf.DUMMYFUNCTION("""COMPUTED_VALUE"""),104.4)</f>
        <v>104.4</v>
      </c>
      <c r="I114" s="1">
        <f ca="1">IFERROR(__xludf.DUMMYFUNCTION("""COMPUTED_VALUE"""),168)</f>
        <v>168</v>
      </c>
      <c r="J114" s="1">
        <f ca="1">IFERROR(__xludf.DUMMYFUNCTION("""COMPUTED_VALUE"""),65.9)</f>
        <v>65.900000000000006</v>
      </c>
      <c r="K114" s="1">
        <f ca="1">IFERROR(__xludf.DUMMYFUNCTION("""COMPUTED_VALUE"""),280)</f>
        <v>280</v>
      </c>
      <c r="L114" s="1" t="str">
        <f ca="1">IFERROR(__xludf.DUMMYFUNCTION("""COMPUTED_VALUE"""),"+.037")</f>
        <v>+.037</v>
      </c>
      <c r="M114" s="1">
        <f ca="1">IFERROR(__xludf.DUMMYFUNCTION("""COMPUTED_VALUE"""),83)</f>
        <v>83</v>
      </c>
      <c r="N114" s="1">
        <f ca="1">IFERROR(__xludf.DUMMYFUNCTION("""COMPUTED_VALUE"""),-4.8)</f>
        <v>-4.8</v>
      </c>
      <c r="O114" s="1">
        <f ca="1">IFERROR(__xludf.DUMMYFUNCTION("""COMPUTED_VALUE"""),275)</f>
        <v>275</v>
      </c>
      <c r="P114" s="1">
        <f ca="1">IFERROR(__xludf.DUMMYFUNCTION("""COMPUTED_VALUE"""),103.7)</f>
        <v>103.7</v>
      </c>
      <c r="Q114" s="1">
        <f ca="1">IFERROR(__xludf.DUMMYFUNCTION("""COMPUTED_VALUE"""),194)</f>
        <v>194</v>
      </c>
      <c r="R114" s="1">
        <f ca="1">IFERROR(__xludf.DUMMYFUNCTION("""COMPUTED_VALUE"""),108.5)</f>
        <v>108.5</v>
      </c>
      <c r="S114" s="1">
        <f ca="1">IFERROR(__xludf.DUMMYFUNCTION("""COMPUTED_VALUE"""),328)</f>
        <v>328</v>
      </c>
      <c r="T114" s="1" t="str">
        <f ca="1">IFERROR(__xludf.DUMMYFUNCTION("""COMPUTED_VALUE"""),"+2.14")</f>
        <v>+2.14</v>
      </c>
      <c r="U114" s="1">
        <f ca="1">IFERROR(__xludf.DUMMYFUNCTION("""COMPUTED_VALUE"""),90)</f>
        <v>90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IFERROR(__xludf.DUMMYFUNCTION("""COMPUTED_VALUE"""),"N.C. State")</f>
        <v>N.C. State</v>
      </c>
      <c r="C115" s="1" t="str">
        <f ca="1">IFERROR(__xludf.DUMMYFUNCTION("""COMPUTED_VALUE"""),"ACC")</f>
        <v>ACC</v>
      </c>
      <c r="D115" s="1" t="str">
        <f ca="1">IFERROR(__xludf.DUMMYFUNCTION("""COMPUTED_VALUE"""),"15-17")</f>
        <v>15-17</v>
      </c>
      <c r="E115" s="1" t="str">
        <f ca="1">IFERROR(__xludf.DUMMYFUNCTION("""COMPUTED_VALUE"""),"+4.98")</f>
        <v>+4.98</v>
      </c>
      <c r="F115" s="1">
        <f ca="1">IFERROR(__xludf.DUMMYFUNCTION("""COMPUTED_VALUE"""),112.6)</f>
        <v>112.6</v>
      </c>
      <c r="G115" s="1">
        <f ca="1">IFERROR(__xludf.DUMMYFUNCTION("""COMPUTED_VALUE"""),46)</f>
        <v>46</v>
      </c>
      <c r="H115" s="1">
        <f ca="1">IFERROR(__xludf.DUMMYFUNCTION("""COMPUTED_VALUE"""),107.6)</f>
        <v>107.6</v>
      </c>
      <c r="I115" s="1">
        <f ca="1">IFERROR(__xludf.DUMMYFUNCTION("""COMPUTED_VALUE"""),229)</f>
        <v>229</v>
      </c>
      <c r="J115" s="1">
        <f ca="1">IFERROR(__xludf.DUMMYFUNCTION("""COMPUTED_VALUE"""),70.3)</f>
        <v>70.3</v>
      </c>
      <c r="K115" s="1">
        <f ca="1">IFERROR(__xludf.DUMMYFUNCTION("""COMPUTED_VALUE"""),71)</f>
        <v>71</v>
      </c>
      <c r="L115" s="1" t="str">
        <f ca="1">IFERROR(__xludf.DUMMYFUNCTION("""COMPUTED_VALUE"""),"+.019")</f>
        <v>+.019</v>
      </c>
      <c r="M115" s="1">
        <f ca="1">IFERROR(__xludf.DUMMYFUNCTION("""COMPUTED_VALUE"""),134)</f>
        <v>134</v>
      </c>
      <c r="N115" s="1" t="str">
        <f ca="1">IFERROR(__xludf.DUMMYFUNCTION("""COMPUTED_VALUE"""),"+7.58")</f>
        <v>+7.58</v>
      </c>
      <c r="O115" s="1">
        <f ca="1">IFERROR(__xludf.DUMMYFUNCTION("""COMPUTED_VALUE"""),55)</f>
        <v>55</v>
      </c>
      <c r="P115" s="1">
        <f ca="1">IFERROR(__xludf.DUMMYFUNCTION("""COMPUTED_VALUE"""),108.6)</f>
        <v>108.6</v>
      </c>
      <c r="Q115" s="1">
        <f ca="1">IFERROR(__xludf.DUMMYFUNCTION("""COMPUTED_VALUE"""),58)</f>
        <v>58</v>
      </c>
      <c r="R115" s="1">
        <f ca="1">IFERROR(__xludf.DUMMYFUNCTION("""COMPUTED_VALUE"""),101)</f>
        <v>101</v>
      </c>
      <c r="S115" s="1">
        <f ca="1">IFERROR(__xludf.DUMMYFUNCTION("""COMPUTED_VALUE"""),47)</f>
        <v>47</v>
      </c>
      <c r="T115" s="1">
        <f ca="1">IFERROR(__xludf.DUMMYFUNCTION("""COMPUTED_VALUE"""),-6.15)</f>
        <v>-6.15</v>
      </c>
      <c r="U115" s="1">
        <f ca="1">IFERROR(__xludf.DUMMYFUNCTION("""COMPUTED_VALUE"""),321)</f>
        <v>321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IFERROR(__xludf.DUMMYFUNCTION("""COMPUTED_VALUE"""),"UNC Asheville")</f>
        <v>UNC Asheville</v>
      </c>
      <c r="C116" s="1" t="str">
        <f ca="1">IFERROR(__xludf.DUMMYFUNCTION("""COMPUTED_VALUE"""),"BSth")</f>
        <v>BSth</v>
      </c>
      <c r="D116" s="1" t="str">
        <f ca="1">IFERROR(__xludf.DUMMYFUNCTION("""COMPUTED_VALUE"""),"23-10")</f>
        <v>23-10</v>
      </c>
      <c r="E116" s="1" t="str">
        <f ca="1">IFERROR(__xludf.DUMMYFUNCTION("""COMPUTED_VALUE"""),"+4.85")</f>
        <v>+4.85</v>
      </c>
      <c r="F116" s="1">
        <f ca="1">IFERROR(__xludf.DUMMYFUNCTION("""COMPUTED_VALUE"""),107.4)</f>
        <v>107.4</v>
      </c>
      <c r="G116" s="1">
        <f ca="1">IFERROR(__xludf.DUMMYFUNCTION("""COMPUTED_VALUE"""),119)</f>
        <v>119</v>
      </c>
      <c r="H116" s="1">
        <f ca="1">IFERROR(__xludf.DUMMYFUNCTION("""COMPUTED_VALUE"""),102.5)</f>
        <v>102.5</v>
      </c>
      <c r="I116" s="1">
        <f ca="1">IFERROR(__xludf.DUMMYFUNCTION("""COMPUTED_VALUE"""),122)</f>
        <v>122</v>
      </c>
      <c r="J116" s="1">
        <f ca="1">IFERROR(__xludf.DUMMYFUNCTION("""COMPUTED_VALUE"""),68.3)</f>
        <v>68.3</v>
      </c>
      <c r="K116" s="1">
        <f ca="1">IFERROR(__xludf.DUMMYFUNCTION("""COMPUTED_VALUE"""),174)</f>
        <v>174</v>
      </c>
      <c r="L116" s="1" t="str">
        <f ca="1">IFERROR(__xludf.DUMMYFUNCTION("""COMPUTED_VALUE"""),"+.012")</f>
        <v>+.012</v>
      </c>
      <c r="M116" s="1">
        <f ca="1">IFERROR(__xludf.DUMMYFUNCTION("""COMPUTED_VALUE"""),159)</f>
        <v>159</v>
      </c>
      <c r="N116" s="1">
        <f ca="1">IFERROR(__xludf.DUMMYFUNCTION("""COMPUTED_VALUE"""),-4.96)</f>
        <v>-4.96</v>
      </c>
      <c r="O116" s="1">
        <f ca="1">IFERROR(__xludf.DUMMYFUNCTION("""COMPUTED_VALUE"""),279)</f>
        <v>279</v>
      </c>
      <c r="P116" s="1">
        <f ca="1">IFERROR(__xludf.DUMMYFUNCTION("""COMPUTED_VALUE"""),102)</f>
        <v>102</v>
      </c>
      <c r="Q116" s="1">
        <f ca="1">IFERROR(__xludf.DUMMYFUNCTION("""COMPUTED_VALUE"""),276)</f>
        <v>276</v>
      </c>
      <c r="R116" s="1">
        <f ca="1">IFERROR(__xludf.DUMMYFUNCTION("""COMPUTED_VALUE"""),107)</f>
        <v>107</v>
      </c>
      <c r="S116" s="1">
        <f ca="1">IFERROR(__xludf.DUMMYFUNCTION("""COMPUTED_VALUE"""),266)</f>
        <v>266</v>
      </c>
      <c r="T116" s="1" t="str">
        <f ca="1">IFERROR(__xludf.DUMMYFUNCTION("""COMPUTED_VALUE"""),"+6.43")</f>
        <v>+6.43</v>
      </c>
      <c r="U116" s="1">
        <f ca="1">IFERROR(__xludf.DUMMYFUNCTION("""COMPUTED_VALUE"""),30)</f>
        <v>30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IFERROR(__xludf.DUMMYFUNCTION("""COMPUTED_VALUE"""),"San Francisco")</f>
        <v>San Francisco</v>
      </c>
      <c r="C117" s="1" t="str">
        <f ca="1">IFERROR(__xludf.DUMMYFUNCTION("""COMPUTED_VALUE"""),"WCC")</f>
        <v>WCC</v>
      </c>
      <c r="D117" s="1" t="str">
        <f ca="1">IFERROR(__xludf.DUMMYFUNCTION("""COMPUTED_VALUE"""),"20-13")</f>
        <v>20-13</v>
      </c>
      <c r="E117" s="1" t="str">
        <f ca="1">IFERROR(__xludf.DUMMYFUNCTION("""COMPUTED_VALUE"""),"+4.74")</f>
        <v>+4.74</v>
      </c>
      <c r="F117" s="1">
        <f ca="1">IFERROR(__xludf.DUMMYFUNCTION("""COMPUTED_VALUE"""),102.8)</f>
        <v>102.8</v>
      </c>
      <c r="G117" s="1">
        <f ca="1">IFERROR(__xludf.DUMMYFUNCTION("""COMPUTED_VALUE"""),204)</f>
        <v>204</v>
      </c>
      <c r="H117" s="1">
        <f ca="1">IFERROR(__xludf.DUMMYFUNCTION("""COMPUTED_VALUE"""),98)</f>
        <v>98</v>
      </c>
      <c r="I117" s="1">
        <f ca="1">IFERROR(__xludf.DUMMYFUNCTION("""COMPUTED_VALUE"""),59)</f>
        <v>59</v>
      </c>
      <c r="J117" s="1">
        <f ca="1">IFERROR(__xludf.DUMMYFUNCTION("""COMPUTED_VALUE"""),69.1)</f>
        <v>69.099999999999994</v>
      </c>
      <c r="K117" s="1">
        <f ca="1">IFERROR(__xludf.DUMMYFUNCTION("""COMPUTED_VALUE"""),109)</f>
        <v>109</v>
      </c>
      <c r="L117" s="1" t="str">
        <f ca="1">IFERROR(__xludf.DUMMYFUNCTION("""COMPUTED_VALUE"""),"+.008")</f>
        <v>+.008</v>
      </c>
      <c r="M117" s="1">
        <f ca="1">IFERROR(__xludf.DUMMYFUNCTION("""COMPUTED_VALUE"""),170)</f>
        <v>170</v>
      </c>
      <c r="N117" s="1">
        <f ca="1">IFERROR(__xludf.DUMMYFUNCTION("""COMPUTED_VALUE"""),-1.24)</f>
        <v>-1.24</v>
      </c>
      <c r="O117" s="1">
        <f ca="1">IFERROR(__xludf.DUMMYFUNCTION("""COMPUTED_VALUE"""),164)</f>
        <v>164</v>
      </c>
      <c r="P117" s="1">
        <f ca="1">IFERROR(__xludf.DUMMYFUNCTION("""COMPUTED_VALUE"""),104)</f>
        <v>104</v>
      </c>
      <c r="Q117" s="1">
        <f ca="1">IFERROR(__xludf.DUMMYFUNCTION("""COMPUTED_VALUE"""),180)</f>
        <v>180</v>
      </c>
      <c r="R117" s="1">
        <f ca="1">IFERROR(__xludf.DUMMYFUNCTION("""COMPUTED_VALUE"""),105.2)</f>
        <v>105.2</v>
      </c>
      <c r="S117" s="1">
        <f ca="1">IFERROR(__xludf.DUMMYFUNCTION("""COMPUTED_VALUE"""),155)</f>
        <v>155</v>
      </c>
      <c r="T117" s="1">
        <f ca="1">IFERROR(__xludf.DUMMYFUNCTION("""COMPUTED_VALUE"""),-5.69)</f>
        <v>-5.69</v>
      </c>
      <c r="U117" s="1">
        <f ca="1">IFERROR(__xludf.DUMMYFUNCTION("""COMPUTED_VALUE"""),314)</f>
        <v>314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IFERROR(__xludf.DUMMYFUNCTION("""COMPUTED_VALUE"""),"Harvard")</f>
        <v>Harvard</v>
      </c>
      <c r="C118" s="1" t="str">
        <f ca="1">IFERROR(__xludf.DUMMYFUNCTION("""COMPUTED_VALUE"""),"Ivy")</f>
        <v>Ivy</v>
      </c>
      <c r="D118" s="1" t="str">
        <f ca="1">IFERROR(__xludf.DUMMYFUNCTION("""COMPUTED_VALUE"""),"18-10")</f>
        <v>18-10</v>
      </c>
      <c r="E118" s="1" t="str">
        <f ca="1">IFERROR(__xludf.DUMMYFUNCTION("""COMPUTED_VALUE"""),"+4.73")</f>
        <v>+4.73</v>
      </c>
      <c r="F118" s="1">
        <f ca="1">IFERROR(__xludf.DUMMYFUNCTION("""COMPUTED_VALUE"""),106.7)</f>
        <v>106.7</v>
      </c>
      <c r="G118" s="1">
        <f ca="1">IFERROR(__xludf.DUMMYFUNCTION("""COMPUTED_VALUE"""),133)</f>
        <v>133</v>
      </c>
      <c r="H118" s="1">
        <f ca="1">IFERROR(__xludf.DUMMYFUNCTION("""COMPUTED_VALUE"""),101.9)</f>
        <v>101.9</v>
      </c>
      <c r="I118" s="1">
        <f ca="1">IFERROR(__xludf.DUMMYFUNCTION("""COMPUTED_VALUE"""),110)</f>
        <v>110</v>
      </c>
      <c r="J118" s="1">
        <f ca="1">IFERROR(__xludf.DUMMYFUNCTION("""COMPUTED_VALUE"""),67)</f>
        <v>67</v>
      </c>
      <c r="K118" s="1">
        <f ca="1">IFERROR(__xludf.DUMMYFUNCTION("""COMPUTED_VALUE"""),233)</f>
        <v>233</v>
      </c>
      <c r="L118" s="1">
        <f ca="1">IFERROR(__xludf.DUMMYFUNCTION("""COMPUTED_VALUE"""),-0.07)</f>
        <v>-7.0000000000000007E-2</v>
      </c>
      <c r="M118" s="1">
        <f ca="1">IFERROR(__xludf.DUMMYFUNCTION("""COMPUTED_VALUE"""),323)</f>
        <v>323</v>
      </c>
      <c r="N118" s="1">
        <f ca="1">IFERROR(__xludf.DUMMYFUNCTION("""COMPUTED_VALUE"""),-2.82)</f>
        <v>-2.82</v>
      </c>
      <c r="O118" s="1">
        <f ca="1">IFERROR(__xludf.DUMMYFUNCTION("""COMPUTED_VALUE"""),216)</f>
        <v>216</v>
      </c>
      <c r="P118" s="1">
        <f ca="1">IFERROR(__xludf.DUMMYFUNCTION("""COMPUTED_VALUE"""),102.9)</f>
        <v>102.9</v>
      </c>
      <c r="Q118" s="1">
        <f ca="1">IFERROR(__xludf.DUMMYFUNCTION("""COMPUTED_VALUE"""),243)</f>
        <v>243</v>
      </c>
      <c r="R118" s="1">
        <f ca="1">IFERROR(__xludf.DUMMYFUNCTION("""COMPUTED_VALUE"""),105.7)</f>
        <v>105.7</v>
      </c>
      <c r="S118" s="1">
        <f ca="1">IFERROR(__xludf.DUMMYFUNCTION("""COMPUTED_VALUE"""),185)</f>
        <v>185</v>
      </c>
      <c r="T118" s="1">
        <f ca="1">IFERROR(__xludf.DUMMYFUNCTION("""COMPUTED_VALUE"""),-0.82)</f>
        <v>-0.82</v>
      </c>
      <c r="U118" s="1">
        <f ca="1">IFERROR(__xludf.DUMMYFUNCTION("""COMPUTED_VALUE"""),177)</f>
        <v>177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IFERROR(__xludf.DUMMYFUNCTION("""COMPUTED_VALUE"""),"Winthrop13")</f>
        <v>Winthrop13</v>
      </c>
      <c r="C119" s="1" t="str">
        <f ca="1">IFERROR(__xludf.DUMMYFUNCTION("""COMPUTED_VALUE"""),"BSth")</f>
        <v>BSth</v>
      </c>
      <c r="D119" s="1" t="str">
        <f ca="1">IFERROR(__xludf.DUMMYFUNCTION("""COMPUTED_VALUE"""),"26-7")</f>
        <v>26-7</v>
      </c>
      <c r="E119" s="1" t="str">
        <f ca="1">IFERROR(__xludf.DUMMYFUNCTION("""COMPUTED_VALUE"""),"+4.53")</f>
        <v>+4.53</v>
      </c>
      <c r="F119" s="1">
        <f ca="1">IFERROR(__xludf.DUMMYFUNCTION("""COMPUTED_VALUE"""),106.1)</f>
        <v>106.1</v>
      </c>
      <c r="G119" s="1">
        <f ca="1">IFERROR(__xludf.DUMMYFUNCTION("""COMPUTED_VALUE"""),144)</f>
        <v>144</v>
      </c>
      <c r="H119" s="1">
        <f ca="1">IFERROR(__xludf.DUMMYFUNCTION("""COMPUTED_VALUE"""),101.6)</f>
        <v>101.6</v>
      </c>
      <c r="I119" s="1">
        <f ca="1">IFERROR(__xludf.DUMMYFUNCTION("""COMPUTED_VALUE"""),103)</f>
        <v>103</v>
      </c>
      <c r="J119" s="1">
        <f ca="1">IFERROR(__xludf.DUMMYFUNCTION("""COMPUTED_VALUE"""),71.1)</f>
        <v>71.099999999999994</v>
      </c>
      <c r="K119" s="1">
        <f ca="1">IFERROR(__xludf.DUMMYFUNCTION("""COMPUTED_VALUE"""),47)</f>
        <v>47</v>
      </c>
      <c r="L119" s="1" t="str">
        <f ca="1">IFERROR(__xludf.DUMMYFUNCTION("""COMPUTED_VALUE"""),"+.029")</f>
        <v>+.029</v>
      </c>
      <c r="M119" s="1">
        <f ca="1">IFERROR(__xludf.DUMMYFUNCTION("""COMPUTED_VALUE"""),104)</f>
        <v>104</v>
      </c>
      <c r="N119" s="1">
        <f ca="1">IFERROR(__xludf.DUMMYFUNCTION("""COMPUTED_VALUE"""),-7.13)</f>
        <v>-7.13</v>
      </c>
      <c r="O119" s="1">
        <f ca="1">IFERROR(__xludf.DUMMYFUNCTION("""COMPUTED_VALUE"""),320)</f>
        <v>320</v>
      </c>
      <c r="P119" s="1">
        <f ca="1">IFERROR(__xludf.DUMMYFUNCTION("""COMPUTED_VALUE"""),100.7)</f>
        <v>100.7</v>
      </c>
      <c r="Q119" s="1">
        <f ca="1">IFERROR(__xludf.DUMMYFUNCTION("""COMPUTED_VALUE"""),316)</f>
        <v>316</v>
      </c>
      <c r="R119" s="1">
        <f ca="1">IFERROR(__xludf.DUMMYFUNCTION("""COMPUTED_VALUE"""),107.8)</f>
        <v>107.8</v>
      </c>
      <c r="S119" s="1">
        <f ca="1">IFERROR(__xludf.DUMMYFUNCTION("""COMPUTED_VALUE"""),305)</f>
        <v>305</v>
      </c>
      <c r="T119" s="1" t="str">
        <f ca="1">IFERROR(__xludf.DUMMYFUNCTION("""COMPUTED_VALUE"""),"+1.93")</f>
        <v>+1.93</v>
      </c>
      <c r="U119" s="1">
        <f ca="1">IFERROR(__xludf.DUMMYFUNCTION("""COMPUTED_VALUE"""),97)</f>
        <v>97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IFERROR(__xludf.DUMMYFUNCTION("""COMPUTED_VALUE"""),"Chattanooga")</f>
        <v>Chattanooga</v>
      </c>
      <c r="C120" s="1" t="str">
        <f ca="1">IFERROR(__xludf.DUMMYFUNCTION("""COMPUTED_VALUE"""),"SC")</f>
        <v>SC</v>
      </c>
      <c r="D120" s="1" t="str">
        <f ca="1">IFERROR(__xludf.DUMMYFUNCTION("""COMPUTED_VALUE"""),"19-12")</f>
        <v>19-12</v>
      </c>
      <c r="E120" s="1" t="str">
        <f ca="1">IFERROR(__xludf.DUMMYFUNCTION("""COMPUTED_VALUE"""),"+4.32")</f>
        <v>+4.32</v>
      </c>
      <c r="F120" s="1">
        <f ca="1">IFERROR(__xludf.DUMMYFUNCTION("""COMPUTED_VALUE"""),106.6)</f>
        <v>106.6</v>
      </c>
      <c r="G120" s="1">
        <f ca="1">IFERROR(__xludf.DUMMYFUNCTION("""COMPUTED_VALUE"""),134)</f>
        <v>134</v>
      </c>
      <c r="H120" s="1">
        <f ca="1">IFERROR(__xludf.DUMMYFUNCTION("""COMPUTED_VALUE"""),102.3)</f>
        <v>102.3</v>
      </c>
      <c r="I120" s="1">
        <f ca="1">IFERROR(__xludf.DUMMYFUNCTION("""COMPUTED_VALUE"""),117)</f>
        <v>117</v>
      </c>
      <c r="J120" s="1">
        <f ca="1">IFERROR(__xludf.DUMMYFUNCTION("""COMPUTED_VALUE"""),65.5)</f>
        <v>65.5</v>
      </c>
      <c r="K120" s="1">
        <f ca="1">IFERROR(__xludf.DUMMYFUNCTION("""COMPUTED_VALUE"""),295)</f>
        <v>295</v>
      </c>
      <c r="L120" s="1">
        <f ca="1">IFERROR(__xludf.DUMMYFUNCTION("""COMPUTED_VALUE"""),-0.01)</f>
        <v>-0.01</v>
      </c>
      <c r="M120" s="1">
        <f ca="1">IFERROR(__xludf.DUMMYFUNCTION("""COMPUTED_VALUE"""),211)</f>
        <v>211</v>
      </c>
      <c r="N120" s="1">
        <f ca="1">IFERROR(__xludf.DUMMYFUNCTION("""COMPUTED_VALUE"""),-1.12)</f>
        <v>-1.1200000000000001</v>
      </c>
      <c r="O120" s="1">
        <f ca="1">IFERROR(__xludf.DUMMYFUNCTION("""COMPUTED_VALUE"""),160)</f>
        <v>160</v>
      </c>
      <c r="P120" s="1">
        <f ca="1">IFERROR(__xludf.DUMMYFUNCTION("""COMPUTED_VALUE"""),105.5)</f>
        <v>105.5</v>
      </c>
      <c r="Q120" s="1">
        <f ca="1">IFERROR(__xludf.DUMMYFUNCTION("""COMPUTED_VALUE"""),103)</f>
        <v>103</v>
      </c>
      <c r="R120" s="1">
        <f ca="1">IFERROR(__xludf.DUMMYFUNCTION("""COMPUTED_VALUE"""),106.6)</f>
        <v>106.6</v>
      </c>
      <c r="S120" s="1">
        <f ca="1">IFERROR(__xludf.DUMMYFUNCTION("""COMPUTED_VALUE"""),239)</f>
        <v>239</v>
      </c>
      <c r="T120" s="1" t="str">
        <f ca="1">IFERROR(__xludf.DUMMYFUNCTION("""COMPUTED_VALUE"""),"+2.21")</f>
        <v>+2.21</v>
      </c>
      <c r="U120" s="1">
        <f ca="1">IFERROR(__xludf.DUMMYFUNCTION("""COMPUTED_VALUE"""),85)</f>
        <v>85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IFERROR(__xludf.DUMMYFUNCTION("""COMPUTED_VALUE"""),"Lehigh")</f>
        <v>Lehigh</v>
      </c>
      <c r="C121" s="1" t="str">
        <f ca="1">IFERROR(__xludf.DUMMYFUNCTION("""COMPUTED_VALUE"""),"Pat")</f>
        <v>Pat</v>
      </c>
      <c r="D121" s="1" t="str">
        <f ca="1">IFERROR(__xludf.DUMMYFUNCTION("""COMPUTED_VALUE"""),"20-12")</f>
        <v>20-12</v>
      </c>
      <c r="E121" s="1" t="str">
        <f ca="1">IFERROR(__xludf.DUMMYFUNCTION("""COMPUTED_VALUE"""),"+4.23")</f>
        <v>+4.23</v>
      </c>
      <c r="F121" s="1">
        <f ca="1">IFERROR(__xludf.DUMMYFUNCTION("""COMPUTED_VALUE"""),107.5)</f>
        <v>107.5</v>
      </c>
      <c r="G121" s="1">
        <f ca="1">IFERROR(__xludf.DUMMYFUNCTION("""COMPUTED_VALUE"""),117)</f>
        <v>117</v>
      </c>
      <c r="H121" s="1">
        <f ca="1">IFERROR(__xludf.DUMMYFUNCTION("""COMPUTED_VALUE"""),103.3)</f>
        <v>103.3</v>
      </c>
      <c r="I121" s="1">
        <f ca="1">IFERROR(__xludf.DUMMYFUNCTION("""COMPUTED_VALUE"""),144)</f>
        <v>144</v>
      </c>
      <c r="J121" s="1">
        <f ca="1">IFERROR(__xludf.DUMMYFUNCTION("""COMPUTED_VALUE"""),69.6)</f>
        <v>69.599999999999994</v>
      </c>
      <c r="K121" s="1">
        <f ca="1">IFERROR(__xludf.DUMMYFUNCTION("""COMPUTED_VALUE"""),93)</f>
        <v>93</v>
      </c>
      <c r="L121" s="1">
        <f ca="1">IFERROR(__xludf.DUMMYFUNCTION("""COMPUTED_VALUE"""),-0.034)</f>
        <v>-3.4000000000000002E-2</v>
      </c>
      <c r="M121" s="1">
        <f ca="1">IFERROR(__xludf.DUMMYFUNCTION("""COMPUTED_VALUE"""),268)</f>
        <v>268</v>
      </c>
      <c r="N121" s="1">
        <f ca="1">IFERROR(__xludf.DUMMYFUNCTION("""COMPUTED_VALUE"""),-2.53)</f>
        <v>-2.5299999999999998</v>
      </c>
      <c r="O121" s="1">
        <f ca="1">IFERROR(__xludf.DUMMYFUNCTION("""COMPUTED_VALUE"""),204)</f>
        <v>204</v>
      </c>
      <c r="P121" s="1">
        <f ca="1">IFERROR(__xludf.DUMMYFUNCTION("""COMPUTED_VALUE"""),101.9)</f>
        <v>101.9</v>
      </c>
      <c r="Q121" s="1">
        <f ca="1">IFERROR(__xludf.DUMMYFUNCTION("""COMPUTED_VALUE"""),283)</f>
        <v>283</v>
      </c>
      <c r="R121" s="1">
        <f ca="1">IFERROR(__xludf.DUMMYFUNCTION("""COMPUTED_VALUE"""),104.4)</f>
        <v>104.4</v>
      </c>
      <c r="S121" s="1">
        <f ca="1">IFERROR(__xludf.DUMMYFUNCTION("""COMPUTED_VALUE"""),129)</f>
        <v>129</v>
      </c>
      <c r="T121" s="1" t="str">
        <f ca="1">IFERROR(__xludf.DUMMYFUNCTION("""COMPUTED_VALUE"""),"+3.52")</f>
        <v>+3.52</v>
      </c>
      <c r="U121" s="1">
        <f ca="1">IFERROR(__xludf.DUMMYFUNCTION("""COMPUTED_VALUE"""),62)</f>
        <v>62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IFERROR(__xludf.DUMMYFUNCTION("""COMPUTED_VALUE"""),"Towson")</f>
        <v>Towson</v>
      </c>
      <c r="C122" s="1" t="str">
        <f ca="1">IFERROR(__xludf.DUMMYFUNCTION("""COMPUTED_VALUE"""),"CAA")</f>
        <v>CAA</v>
      </c>
      <c r="D122" s="1" t="str">
        <f ca="1">IFERROR(__xludf.DUMMYFUNCTION("""COMPUTED_VALUE"""),"20-13")</f>
        <v>20-13</v>
      </c>
      <c r="E122" s="1" t="str">
        <f ca="1">IFERROR(__xludf.DUMMYFUNCTION("""COMPUTED_VALUE"""),"+4.22")</f>
        <v>+4.22</v>
      </c>
      <c r="F122" s="1">
        <f ca="1">IFERROR(__xludf.DUMMYFUNCTION("""COMPUTED_VALUE"""),105.5)</f>
        <v>105.5</v>
      </c>
      <c r="G122" s="1">
        <f ca="1">IFERROR(__xludf.DUMMYFUNCTION("""COMPUTED_VALUE"""),151)</f>
        <v>151</v>
      </c>
      <c r="H122" s="1">
        <f ca="1">IFERROR(__xludf.DUMMYFUNCTION("""COMPUTED_VALUE"""),101.2)</f>
        <v>101.2</v>
      </c>
      <c r="I122" s="1">
        <f ca="1">IFERROR(__xludf.DUMMYFUNCTION("""COMPUTED_VALUE"""),100)</f>
        <v>100</v>
      </c>
      <c r="J122" s="1">
        <f ca="1">IFERROR(__xludf.DUMMYFUNCTION("""COMPUTED_VALUE"""),67.9)</f>
        <v>67.900000000000006</v>
      </c>
      <c r="K122" s="1">
        <f ca="1">IFERROR(__xludf.DUMMYFUNCTION("""COMPUTED_VALUE"""),196)</f>
        <v>196</v>
      </c>
      <c r="L122" s="1">
        <f ca="1">IFERROR(__xludf.DUMMYFUNCTION("""COMPUTED_VALUE"""),-0.009)</f>
        <v>-8.9999999999999993E-3</v>
      </c>
      <c r="M122" s="1">
        <f ca="1">IFERROR(__xludf.DUMMYFUNCTION("""COMPUTED_VALUE"""),207)</f>
        <v>207</v>
      </c>
      <c r="N122" s="1">
        <f ca="1">IFERROR(__xludf.DUMMYFUNCTION("""COMPUTED_VALUE"""),-0.59)</f>
        <v>-0.59</v>
      </c>
      <c r="O122" s="1">
        <f ca="1">IFERROR(__xludf.DUMMYFUNCTION("""COMPUTED_VALUE"""),146)</f>
        <v>146</v>
      </c>
      <c r="P122" s="1">
        <f ca="1">IFERROR(__xludf.DUMMYFUNCTION("""COMPUTED_VALUE"""),105.1)</f>
        <v>105.1</v>
      </c>
      <c r="Q122" s="1">
        <f ca="1">IFERROR(__xludf.DUMMYFUNCTION("""COMPUTED_VALUE"""),122)</f>
        <v>122</v>
      </c>
      <c r="R122" s="1">
        <f ca="1">IFERROR(__xludf.DUMMYFUNCTION("""COMPUTED_VALUE"""),105.7)</f>
        <v>105.7</v>
      </c>
      <c r="S122" s="1">
        <f ca="1">IFERROR(__xludf.DUMMYFUNCTION("""COMPUTED_VALUE"""),184)</f>
        <v>184</v>
      </c>
      <c r="T122" s="1">
        <f ca="1">IFERROR(__xludf.DUMMYFUNCTION("""COMPUTED_VALUE"""),-1.51)</f>
        <v>-1.51</v>
      </c>
      <c r="U122" s="1">
        <f ca="1">IFERROR(__xludf.DUMMYFUNCTION("""COMPUTED_VALUE"""),201)</f>
        <v>201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IFERROR(__xludf.DUMMYFUNCTION("""COMPUTED_VALUE"""),"Iona14")</f>
        <v>Iona14</v>
      </c>
      <c r="C123" s="1" t="str">
        <f ca="1">IFERROR(__xludf.DUMMYFUNCTION("""COMPUTED_VALUE"""),"MAAC")</f>
        <v>MAAC</v>
      </c>
      <c r="D123" s="1" t="str">
        <f ca="1">IFERROR(__xludf.DUMMYFUNCTION("""COMPUTED_VALUE"""),"22-13")</f>
        <v>22-13</v>
      </c>
      <c r="E123" s="1" t="str">
        <f ca="1">IFERROR(__xludf.DUMMYFUNCTION("""COMPUTED_VALUE"""),"+4.20")</f>
        <v>+4.20</v>
      </c>
      <c r="F123" s="1">
        <f ca="1">IFERROR(__xludf.DUMMYFUNCTION("""COMPUTED_VALUE"""),110.8)</f>
        <v>110.8</v>
      </c>
      <c r="G123" s="1">
        <f ca="1">IFERROR(__xludf.DUMMYFUNCTION("""COMPUTED_VALUE"""),67)</f>
        <v>67</v>
      </c>
      <c r="H123" s="1">
        <f ca="1">IFERROR(__xludf.DUMMYFUNCTION("""COMPUTED_VALUE"""),106.6)</f>
        <v>106.6</v>
      </c>
      <c r="I123" s="1">
        <f ca="1">IFERROR(__xludf.DUMMYFUNCTION("""COMPUTED_VALUE"""),211)</f>
        <v>211</v>
      </c>
      <c r="J123" s="1">
        <f ca="1">IFERROR(__xludf.DUMMYFUNCTION("""COMPUTED_VALUE"""),70.6)</f>
        <v>70.599999999999994</v>
      </c>
      <c r="K123" s="1">
        <f ca="1">IFERROR(__xludf.DUMMYFUNCTION("""COMPUTED_VALUE"""),60)</f>
        <v>60</v>
      </c>
      <c r="L123" s="1" t="str">
        <f ca="1">IFERROR(__xludf.DUMMYFUNCTION("""COMPUTED_VALUE"""),"+.013")</f>
        <v>+.013</v>
      </c>
      <c r="M123" s="1">
        <f ca="1">IFERROR(__xludf.DUMMYFUNCTION("""COMPUTED_VALUE"""),158)</f>
        <v>158</v>
      </c>
      <c r="N123" s="1">
        <f ca="1">IFERROR(__xludf.DUMMYFUNCTION("""COMPUTED_VALUE"""),-1.94)</f>
        <v>-1.94</v>
      </c>
      <c r="O123" s="1">
        <f ca="1">IFERROR(__xludf.DUMMYFUNCTION("""COMPUTED_VALUE"""),191)</f>
        <v>191</v>
      </c>
      <c r="P123" s="1">
        <f ca="1">IFERROR(__xludf.DUMMYFUNCTION("""COMPUTED_VALUE"""),103.7)</f>
        <v>103.7</v>
      </c>
      <c r="Q123" s="1">
        <f ca="1">IFERROR(__xludf.DUMMYFUNCTION("""COMPUTED_VALUE"""),193)</f>
        <v>193</v>
      </c>
      <c r="R123" s="1">
        <f ca="1">IFERROR(__xludf.DUMMYFUNCTION("""COMPUTED_VALUE"""),105.7)</f>
        <v>105.7</v>
      </c>
      <c r="S123" s="1">
        <f ca="1">IFERROR(__xludf.DUMMYFUNCTION("""COMPUTED_VALUE"""),179)</f>
        <v>179</v>
      </c>
      <c r="T123" s="1">
        <f ca="1">IFERROR(__xludf.DUMMYFUNCTION("""COMPUTED_VALUE"""),-0.05)</f>
        <v>-0.05</v>
      </c>
      <c r="U123" s="1">
        <f ca="1">IFERROR(__xludf.DUMMYFUNCTION("""COMPUTED_VALUE"""),157)</f>
        <v>157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IFERROR(__xludf.DUMMYFUNCTION("""COMPUTED_VALUE"""),"Temple")</f>
        <v>Temple</v>
      </c>
      <c r="C124" s="1" t="str">
        <f ca="1">IFERROR(__xludf.DUMMYFUNCTION("""COMPUTED_VALUE"""),"Amer")</f>
        <v>Amer</v>
      </c>
      <c r="D124" s="1" t="str">
        <f ca="1">IFERROR(__xludf.DUMMYFUNCTION("""COMPUTED_VALUE"""),"16-16")</f>
        <v>16-16</v>
      </c>
      <c r="E124" s="1" t="str">
        <f ca="1">IFERROR(__xludf.DUMMYFUNCTION("""COMPUTED_VALUE"""),"+3.93")</f>
        <v>+3.93</v>
      </c>
      <c r="F124" s="1">
        <f ca="1">IFERROR(__xludf.DUMMYFUNCTION("""COMPUTED_VALUE"""),108.3)</f>
        <v>108.3</v>
      </c>
      <c r="G124" s="1">
        <f ca="1">IFERROR(__xludf.DUMMYFUNCTION("""COMPUTED_VALUE"""),105)</f>
        <v>105</v>
      </c>
      <c r="H124" s="1">
        <f ca="1">IFERROR(__xludf.DUMMYFUNCTION("""COMPUTED_VALUE"""),104.3)</f>
        <v>104.3</v>
      </c>
      <c r="I124" s="1">
        <f ca="1">IFERROR(__xludf.DUMMYFUNCTION("""COMPUTED_VALUE"""),167)</f>
        <v>167</v>
      </c>
      <c r="J124" s="1">
        <f ca="1">IFERROR(__xludf.DUMMYFUNCTION("""COMPUTED_VALUE"""),67.1)</f>
        <v>67.099999999999994</v>
      </c>
      <c r="K124" s="1">
        <f ca="1">IFERROR(__xludf.DUMMYFUNCTION("""COMPUTED_VALUE"""),229)</f>
        <v>229</v>
      </c>
      <c r="L124" s="1" t="str">
        <f ca="1">IFERROR(__xludf.DUMMYFUNCTION("""COMPUTED_VALUE"""),"+.015")</f>
        <v>+.015</v>
      </c>
      <c r="M124" s="1">
        <f ca="1">IFERROR(__xludf.DUMMYFUNCTION("""COMPUTED_VALUE"""),149)</f>
        <v>149</v>
      </c>
      <c r="N124" s="1" t="str">
        <f ca="1">IFERROR(__xludf.DUMMYFUNCTION("""COMPUTED_VALUE"""),"+3.27")</f>
        <v>+3.27</v>
      </c>
      <c r="O124" s="1">
        <f ca="1">IFERROR(__xludf.DUMMYFUNCTION("""COMPUTED_VALUE"""),87)</f>
        <v>87</v>
      </c>
      <c r="P124" s="1">
        <f ca="1">IFERROR(__xludf.DUMMYFUNCTION("""COMPUTED_VALUE"""),105)</f>
        <v>105</v>
      </c>
      <c r="Q124" s="1">
        <f ca="1">IFERROR(__xludf.DUMMYFUNCTION("""COMPUTED_VALUE"""),126)</f>
        <v>126</v>
      </c>
      <c r="R124" s="1">
        <f ca="1">IFERROR(__xludf.DUMMYFUNCTION("""COMPUTED_VALUE"""),101.8)</f>
        <v>101.8</v>
      </c>
      <c r="S124" s="1">
        <f ca="1">IFERROR(__xludf.DUMMYFUNCTION("""COMPUTED_VALUE"""),67)</f>
        <v>67</v>
      </c>
      <c r="T124" s="1" t="str">
        <f ca="1">IFERROR(__xludf.DUMMYFUNCTION("""COMPUTED_VALUE"""),"+0.71")</f>
        <v>+0.71</v>
      </c>
      <c r="U124" s="1">
        <f ca="1">IFERROR(__xludf.DUMMYFUNCTION("""COMPUTED_VALUE"""),133)</f>
        <v>133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IFERROR(__xludf.DUMMYFUNCTION("""COMPUTED_VALUE"""),"New Mexico")</f>
        <v>New Mexico</v>
      </c>
      <c r="C125" s="1" t="str">
        <f ca="1">IFERROR(__xludf.DUMMYFUNCTION("""COMPUTED_VALUE"""),"MWC")</f>
        <v>MWC</v>
      </c>
      <c r="D125" s="1" t="str">
        <f ca="1">IFERROR(__xludf.DUMMYFUNCTION("""COMPUTED_VALUE"""),"17-14")</f>
        <v>17-14</v>
      </c>
      <c r="E125" s="1" t="str">
        <f ca="1">IFERROR(__xludf.DUMMYFUNCTION("""COMPUTED_VALUE"""),"+3.44")</f>
        <v>+3.44</v>
      </c>
      <c r="F125" s="1">
        <f ca="1">IFERROR(__xludf.DUMMYFUNCTION("""COMPUTED_VALUE"""),106.5)</f>
        <v>106.5</v>
      </c>
      <c r="G125" s="1">
        <f ca="1">IFERROR(__xludf.DUMMYFUNCTION("""COMPUTED_VALUE"""),137)</f>
        <v>137</v>
      </c>
      <c r="H125" s="1">
        <f ca="1">IFERROR(__xludf.DUMMYFUNCTION("""COMPUTED_VALUE"""),103.1)</f>
        <v>103.1</v>
      </c>
      <c r="I125" s="1">
        <f ca="1">IFERROR(__xludf.DUMMYFUNCTION("""COMPUTED_VALUE"""),137)</f>
        <v>137</v>
      </c>
      <c r="J125" s="1">
        <f ca="1">IFERROR(__xludf.DUMMYFUNCTION("""COMPUTED_VALUE"""),68.8)</f>
        <v>68.8</v>
      </c>
      <c r="K125" s="1">
        <f ca="1">IFERROR(__xludf.DUMMYFUNCTION("""COMPUTED_VALUE"""),126)</f>
        <v>126</v>
      </c>
      <c r="L125" s="1" t="str">
        <f ca="1">IFERROR(__xludf.DUMMYFUNCTION("""COMPUTED_VALUE"""),"+.024")</f>
        <v>+.024</v>
      </c>
      <c r="M125" s="1">
        <f ca="1">IFERROR(__xludf.DUMMYFUNCTION("""COMPUTED_VALUE"""),121)</f>
        <v>121</v>
      </c>
      <c r="N125" s="1" t="str">
        <f ca="1">IFERROR(__xludf.DUMMYFUNCTION("""COMPUTED_VALUE"""),"+2.14")</f>
        <v>+2.14</v>
      </c>
      <c r="O125" s="1">
        <f ca="1">IFERROR(__xludf.DUMMYFUNCTION("""COMPUTED_VALUE"""),97)</f>
        <v>97</v>
      </c>
      <c r="P125" s="1">
        <f ca="1">IFERROR(__xludf.DUMMYFUNCTION("""COMPUTED_VALUE"""),105.4)</f>
        <v>105.4</v>
      </c>
      <c r="Q125" s="1">
        <f ca="1">IFERROR(__xludf.DUMMYFUNCTION("""COMPUTED_VALUE"""),111)</f>
        <v>111</v>
      </c>
      <c r="R125" s="1">
        <f ca="1">IFERROR(__xludf.DUMMYFUNCTION("""COMPUTED_VALUE"""),103.2)</f>
        <v>103.2</v>
      </c>
      <c r="S125" s="1">
        <f ca="1">IFERROR(__xludf.DUMMYFUNCTION("""COMPUTED_VALUE"""),103)</f>
        <v>103</v>
      </c>
      <c r="T125" s="1">
        <f ca="1">IFERROR(__xludf.DUMMYFUNCTION("""COMPUTED_VALUE"""),-1.32)</f>
        <v>-1.32</v>
      </c>
      <c r="U125" s="1">
        <f ca="1">IFERROR(__xludf.DUMMYFUNCTION("""COMPUTED_VALUE"""),196)</f>
        <v>196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IFERROR(__xludf.DUMMYFUNCTION("""COMPUTED_VALUE"""),"Old Dominion")</f>
        <v>Old Dominion</v>
      </c>
      <c r="C126" s="1" t="str">
        <f ca="1">IFERROR(__xludf.DUMMYFUNCTION("""COMPUTED_VALUE"""),"CUSA")</f>
        <v>CUSA</v>
      </c>
      <c r="D126" s="1" t="str">
        <f ca="1">IFERROR(__xludf.DUMMYFUNCTION("""COMPUTED_VALUE"""),"19-12")</f>
        <v>19-12</v>
      </c>
      <c r="E126" s="1" t="str">
        <f ca="1">IFERROR(__xludf.DUMMYFUNCTION("""COMPUTED_VALUE"""),"+3.44")</f>
        <v>+3.44</v>
      </c>
      <c r="F126" s="1">
        <f ca="1">IFERROR(__xludf.DUMMYFUNCTION("""COMPUTED_VALUE"""),100.7)</f>
        <v>100.7</v>
      </c>
      <c r="G126" s="1">
        <f ca="1">IFERROR(__xludf.DUMMYFUNCTION("""COMPUTED_VALUE"""),247)</f>
        <v>247</v>
      </c>
      <c r="H126" s="1">
        <f ca="1">IFERROR(__xludf.DUMMYFUNCTION("""COMPUTED_VALUE"""),97.2)</f>
        <v>97.2</v>
      </c>
      <c r="I126" s="1">
        <f ca="1">IFERROR(__xludf.DUMMYFUNCTION("""COMPUTED_VALUE"""),52)</f>
        <v>52</v>
      </c>
      <c r="J126" s="1">
        <f ca="1">IFERROR(__xludf.DUMMYFUNCTION("""COMPUTED_VALUE"""),61.1)</f>
        <v>61.1</v>
      </c>
      <c r="K126" s="1">
        <f ca="1">IFERROR(__xludf.DUMMYFUNCTION("""COMPUTED_VALUE"""),348)</f>
        <v>348</v>
      </c>
      <c r="L126" s="1">
        <f ca="1">IFERROR(__xludf.DUMMYFUNCTION("""COMPUTED_VALUE"""),-0.013)</f>
        <v>-1.2999999999999999E-2</v>
      </c>
      <c r="M126" s="1">
        <f ca="1">IFERROR(__xludf.DUMMYFUNCTION("""COMPUTED_VALUE"""),221)</f>
        <v>221</v>
      </c>
      <c r="N126" s="1">
        <f ca="1">IFERROR(__xludf.DUMMYFUNCTION("""COMPUTED_VALUE"""),-2.4)</f>
        <v>-2.4</v>
      </c>
      <c r="O126" s="1">
        <f ca="1">IFERROR(__xludf.DUMMYFUNCTION("""COMPUTED_VALUE"""),201)</f>
        <v>201</v>
      </c>
      <c r="P126" s="1">
        <f ca="1">IFERROR(__xludf.DUMMYFUNCTION("""COMPUTED_VALUE"""),104)</f>
        <v>104</v>
      </c>
      <c r="Q126" s="1">
        <f ca="1">IFERROR(__xludf.DUMMYFUNCTION("""COMPUTED_VALUE"""),178)</f>
        <v>178</v>
      </c>
      <c r="R126" s="1">
        <f ca="1">IFERROR(__xludf.DUMMYFUNCTION("""COMPUTED_VALUE"""),106.4)</f>
        <v>106.4</v>
      </c>
      <c r="S126" s="1">
        <f ca="1">IFERROR(__xludf.DUMMYFUNCTION("""COMPUTED_VALUE"""),234)</f>
        <v>234</v>
      </c>
      <c r="T126" s="1" t="str">
        <f ca="1">IFERROR(__xludf.DUMMYFUNCTION("""COMPUTED_VALUE"""),"+1.50")</f>
        <v>+1.50</v>
      </c>
      <c r="U126" s="1">
        <f ca="1">IFERROR(__xludf.DUMMYFUNCTION("""COMPUTED_VALUE"""),114)</f>
        <v>114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IFERROR(__xludf.DUMMYFUNCTION("""COMPUTED_VALUE"""),"UNC Greensboro8")</f>
        <v>UNC Greensboro8</v>
      </c>
      <c r="C129" s="1" t="str">
        <f ca="1">IFERROR(__xludf.DUMMYFUNCTION("""COMPUTED_VALUE"""),"SC")</f>
        <v>SC</v>
      </c>
      <c r="D129" s="1" t="str">
        <f ca="1">IFERROR(__xludf.DUMMYFUNCTION("""COMPUTED_VALUE"""),"25-10")</f>
        <v>25-10</v>
      </c>
      <c r="E129" s="1" t="str">
        <f ca="1">IFERROR(__xludf.DUMMYFUNCTION("""COMPUTED_VALUE"""),"+3.19")</f>
        <v>+3.19</v>
      </c>
      <c r="F129" s="1">
        <f ca="1">IFERROR(__xludf.DUMMYFUNCTION("""COMPUTED_VALUE"""),107.7)</f>
        <v>107.7</v>
      </c>
      <c r="G129" s="1">
        <f ca="1">IFERROR(__xludf.DUMMYFUNCTION("""COMPUTED_VALUE"""),113)</f>
        <v>113</v>
      </c>
      <c r="H129" s="1">
        <f ca="1">IFERROR(__xludf.DUMMYFUNCTION("""COMPUTED_VALUE"""),104.5)</f>
        <v>104.5</v>
      </c>
      <c r="I129" s="1">
        <f ca="1">IFERROR(__xludf.DUMMYFUNCTION("""COMPUTED_VALUE"""),173)</f>
        <v>173</v>
      </c>
      <c r="J129" s="1">
        <f ca="1">IFERROR(__xludf.DUMMYFUNCTION("""COMPUTED_VALUE"""),66.9)</f>
        <v>66.900000000000006</v>
      </c>
      <c r="K129" s="1">
        <f ca="1">IFERROR(__xludf.DUMMYFUNCTION("""COMPUTED_VALUE"""),240)</f>
        <v>240</v>
      </c>
      <c r="L129" s="1" t="str">
        <f ca="1">IFERROR(__xludf.DUMMYFUNCTION("""COMPUTED_VALUE"""),"+.110")</f>
        <v>+.110</v>
      </c>
      <c r="M129" s="1">
        <f ca="1">IFERROR(__xludf.DUMMYFUNCTION("""COMPUTED_VALUE"""),4)</f>
        <v>4</v>
      </c>
      <c r="N129" s="1">
        <f ca="1">IFERROR(__xludf.DUMMYFUNCTION("""COMPUTED_VALUE"""),-1.56)</f>
        <v>-1.56</v>
      </c>
      <c r="O129" s="1">
        <f ca="1">IFERROR(__xludf.DUMMYFUNCTION("""COMPUTED_VALUE"""),179)</f>
        <v>179</v>
      </c>
      <c r="P129" s="1">
        <f ca="1">IFERROR(__xludf.DUMMYFUNCTION("""COMPUTED_VALUE"""),104.9)</f>
        <v>104.9</v>
      </c>
      <c r="Q129" s="1">
        <f ca="1">IFERROR(__xludf.DUMMYFUNCTION("""COMPUTED_VALUE"""),139)</f>
        <v>139</v>
      </c>
      <c r="R129" s="1">
        <f ca="1">IFERROR(__xludf.DUMMYFUNCTION("""COMPUTED_VALUE"""),106.4)</f>
        <v>106.4</v>
      </c>
      <c r="S129" s="1">
        <f ca="1">IFERROR(__xludf.DUMMYFUNCTION("""COMPUTED_VALUE"""),232)</f>
        <v>232</v>
      </c>
      <c r="T129" s="1">
        <f ca="1">IFERROR(__xludf.DUMMYFUNCTION("""COMPUTED_VALUE"""),-1.63)</f>
        <v>-1.63</v>
      </c>
      <c r="U129" s="1">
        <f ca="1">IFERROR(__xludf.DUMMYFUNCTION("""COMPUTED_VALUE"""),203)</f>
        <v>203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IFERROR(__xludf.DUMMYFUNCTION("""COMPUTED_VALUE"""),"Buffalo")</f>
        <v>Buffalo</v>
      </c>
      <c r="C130" s="1" t="str">
        <f ca="1">IFERROR(__xludf.DUMMYFUNCTION("""COMPUTED_VALUE"""),"MAC")</f>
        <v>MAC</v>
      </c>
      <c r="D130" s="1" t="str">
        <f ca="1">IFERROR(__xludf.DUMMYFUNCTION("""COMPUTED_VALUE"""),"17-15")</f>
        <v>17-15</v>
      </c>
      <c r="E130" s="1" t="str">
        <f ca="1">IFERROR(__xludf.DUMMYFUNCTION("""COMPUTED_VALUE"""),"+3.14")</f>
        <v>+3.14</v>
      </c>
      <c r="F130" s="1">
        <f ca="1">IFERROR(__xludf.DUMMYFUNCTION("""COMPUTED_VALUE"""),105.3)</f>
        <v>105.3</v>
      </c>
      <c r="G130" s="1">
        <f ca="1">IFERROR(__xludf.DUMMYFUNCTION("""COMPUTED_VALUE"""),153)</f>
        <v>153</v>
      </c>
      <c r="H130" s="1">
        <f ca="1">IFERROR(__xludf.DUMMYFUNCTION("""COMPUTED_VALUE"""),102.2)</f>
        <v>102.2</v>
      </c>
      <c r="I130" s="1">
        <f ca="1">IFERROR(__xludf.DUMMYFUNCTION("""COMPUTED_VALUE"""),114)</f>
        <v>114</v>
      </c>
      <c r="J130" s="1">
        <f ca="1">IFERROR(__xludf.DUMMYFUNCTION("""COMPUTED_VALUE"""),71.4)</f>
        <v>71.400000000000006</v>
      </c>
      <c r="K130" s="1">
        <f ca="1">IFERROR(__xludf.DUMMYFUNCTION("""COMPUTED_VALUE"""),37)</f>
        <v>37</v>
      </c>
      <c r="L130" s="1">
        <f ca="1">IFERROR(__xludf.DUMMYFUNCTION("""COMPUTED_VALUE"""),-0.053)</f>
        <v>-5.2999999999999999E-2</v>
      </c>
      <c r="M130" s="1">
        <f ca="1">IFERROR(__xludf.DUMMYFUNCTION("""COMPUTED_VALUE"""),300)</f>
        <v>300</v>
      </c>
      <c r="N130" s="1">
        <f ca="1">IFERROR(__xludf.DUMMYFUNCTION("""COMPUTED_VALUE"""),-0.41)</f>
        <v>-0.41</v>
      </c>
      <c r="O130" s="1">
        <f ca="1">IFERROR(__xludf.DUMMYFUNCTION("""COMPUTED_VALUE"""),140)</f>
        <v>140</v>
      </c>
      <c r="P130" s="1">
        <f ca="1">IFERROR(__xludf.DUMMYFUNCTION("""COMPUTED_VALUE"""),105.3)</f>
        <v>105.3</v>
      </c>
      <c r="Q130" s="1">
        <f ca="1">IFERROR(__xludf.DUMMYFUNCTION("""COMPUTED_VALUE"""),116)</f>
        <v>116</v>
      </c>
      <c r="R130" s="1">
        <f ca="1">IFERROR(__xludf.DUMMYFUNCTION("""COMPUTED_VALUE"""),105.7)</f>
        <v>105.7</v>
      </c>
      <c r="S130" s="1">
        <f ca="1">IFERROR(__xludf.DUMMYFUNCTION("""COMPUTED_VALUE"""),187)</f>
        <v>187</v>
      </c>
      <c r="T130" s="1" t="str">
        <f ca="1">IFERROR(__xludf.DUMMYFUNCTION("""COMPUTED_VALUE"""),"+2.55")</f>
        <v>+2.55</v>
      </c>
      <c r="U130" s="1">
        <f ca="1">IFERROR(__xludf.DUMMYFUNCTION("""COMPUTED_VALUE"""),76)</f>
        <v>76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IFERROR(__xludf.DUMMYFUNCTION("""COMPUTED_VALUE"""),"George Mason")</f>
        <v>George Mason</v>
      </c>
      <c r="C131" s="1" t="str">
        <f ca="1">IFERROR(__xludf.DUMMYFUNCTION("""COMPUTED_VALUE"""),"A10")</f>
        <v>A10</v>
      </c>
      <c r="D131" s="1" t="str">
        <f ca="1">IFERROR(__xludf.DUMMYFUNCTION("""COMPUTED_VALUE"""),"20-14")</f>
        <v>20-14</v>
      </c>
      <c r="E131" s="1" t="str">
        <f ca="1">IFERROR(__xludf.DUMMYFUNCTION("""COMPUTED_VALUE"""),"+3.14")</f>
        <v>+3.14</v>
      </c>
      <c r="F131" s="1">
        <f ca="1">IFERROR(__xludf.DUMMYFUNCTION("""COMPUTED_VALUE"""),107.3)</f>
        <v>107.3</v>
      </c>
      <c r="G131" s="1">
        <f ca="1">IFERROR(__xludf.DUMMYFUNCTION("""COMPUTED_VALUE"""),120)</f>
        <v>120</v>
      </c>
      <c r="H131" s="1">
        <f ca="1">IFERROR(__xludf.DUMMYFUNCTION("""COMPUTED_VALUE"""),104.2)</f>
        <v>104.2</v>
      </c>
      <c r="I131" s="1">
        <f ca="1">IFERROR(__xludf.DUMMYFUNCTION("""COMPUTED_VALUE"""),164)</f>
        <v>164</v>
      </c>
      <c r="J131" s="1">
        <f ca="1">IFERROR(__xludf.DUMMYFUNCTION("""COMPUTED_VALUE"""),68.8)</f>
        <v>68.8</v>
      </c>
      <c r="K131" s="1">
        <f ca="1">IFERROR(__xludf.DUMMYFUNCTION("""COMPUTED_VALUE"""),131)</f>
        <v>131</v>
      </c>
      <c r="L131" s="1" t="str">
        <f ca="1">IFERROR(__xludf.DUMMYFUNCTION("""COMPUTED_VALUE"""),"+.027")</f>
        <v>+.027</v>
      </c>
      <c r="M131" s="1">
        <f ca="1">IFERROR(__xludf.DUMMYFUNCTION("""COMPUTED_VALUE"""),112)</f>
        <v>112</v>
      </c>
      <c r="N131" s="1" t="str">
        <f ca="1">IFERROR(__xludf.DUMMYFUNCTION("""COMPUTED_VALUE"""),"+0.53")</f>
        <v>+0.53</v>
      </c>
      <c r="O131" s="1">
        <f ca="1">IFERROR(__xludf.DUMMYFUNCTION("""COMPUTED_VALUE"""),125)</f>
        <v>125</v>
      </c>
      <c r="P131" s="1">
        <f ca="1">IFERROR(__xludf.DUMMYFUNCTION("""COMPUTED_VALUE"""),103.5)</f>
        <v>103.5</v>
      </c>
      <c r="Q131" s="1">
        <f ca="1">IFERROR(__xludf.DUMMYFUNCTION("""COMPUTED_VALUE"""),212)</f>
        <v>212</v>
      </c>
      <c r="R131" s="1">
        <f ca="1">IFERROR(__xludf.DUMMYFUNCTION("""COMPUTED_VALUE"""),103)</f>
        <v>103</v>
      </c>
      <c r="S131" s="1">
        <f ca="1">IFERROR(__xludf.DUMMYFUNCTION("""COMPUTED_VALUE"""),95)</f>
        <v>95</v>
      </c>
      <c r="T131" s="1">
        <f ca="1">IFERROR(__xludf.DUMMYFUNCTION("""COMPUTED_VALUE"""),-3.55)</f>
        <v>-3.55</v>
      </c>
      <c r="U131" s="1">
        <f ca="1">IFERROR(__xludf.DUMMYFUNCTION("""COMPUTED_VALUE"""),259)</f>
        <v>259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IFERROR(__xludf.DUMMYFUNCTION("""COMPUTED_VALUE"""),"Arkansas St.")</f>
        <v>Arkansas St.</v>
      </c>
      <c r="C132" s="1" t="str">
        <f ca="1">IFERROR(__xludf.DUMMYFUNCTION("""COMPUTED_VALUE"""),"SB")</f>
        <v>SB</v>
      </c>
      <c r="D132" s="1" t="str">
        <f ca="1">IFERROR(__xludf.DUMMYFUNCTION("""COMPUTED_VALUE"""),"20-12")</f>
        <v>20-12</v>
      </c>
      <c r="E132" s="1" t="str">
        <f ca="1">IFERROR(__xludf.DUMMYFUNCTION("""COMPUTED_VALUE"""),"+2.99")</f>
        <v>+2.99</v>
      </c>
      <c r="F132" s="1">
        <f ca="1">IFERROR(__xludf.DUMMYFUNCTION("""COMPUTED_VALUE"""),106.3)</f>
        <v>106.3</v>
      </c>
      <c r="G132" s="1">
        <f ca="1">IFERROR(__xludf.DUMMYFUNCTION("""COMPUTED_VALUE"""),138)</f>
        <v>138</v>
      </c>
      <c r="H132" s="1">
        <f ca="1">IFERROR(__xludf.DUMMYFUNCTION("""COMPUTED_VALUE"""),103.3)</f>
        <v>103.3</v>
      </c>
      <c r="I132" s="1">
        <f ca="1">IFERROR(__xludf.DUMMYFUNCTION("""COMPUTED_VALUE"""),146)</f>
        <v>146</v>
      </c>
      <c r="J132" s="1">
        <f ca="1">IFERROR(__xludf.DUMMYFUNCTION("""COMPUTED_VALUE"""),67.3)</f>
        <v>67.3</v>
      </c>
      <c r="K132" s="1">
        <f ca="1">IFERROR(__xludf.DUMMYFUNCTION("""COMPUTED_VALUE"""),217)</f>
        <v>217</v>
      </c>
      <c r="L132" s="1" t="str">
        <f ca="1">IFERROR(__xludf.DUMMYFUNCTION("""COMPUTED_VALUE"""),"+.022")</f>
        <v>+.022</v>
      </c>
      <c r="M132" s="1">
        <f ca="1">IFERROR(__xludf.DUMMYFUNCTION("""COMPUTED_VALUE"""),130)</f>
        <v>130</v>
      </c>
      <c r="N132" s="1">
        <f ca="1">IFERROR(__xludf.DUMMYFUNCTION("""COMPUTED_VALUE"""),-1.48)</f>
        <v>-1.48</v>
      </c>
      <c r="O132" s="1">
        <f ca="1">IFERROR(__xludf.DUMMYFUNCTION("""COMPUTED_VALUE"""),175)</f>
        <v>175</v>
      </c>
      <c r="P132" s="1">
        <f ca="1">IFERROR(__xludf.DUMMYFUNCTION("""COMPUTED_VALUE"""),103.6)</f>
        <v>103.6</v>
      </c>
      <c r="Q132" s="1">
        <f ca="1">IFERROR(__xludf.DUMMYFUNCTION("""COMPUTED_VALUE"""),204)</f>
        <v>204</v>
      </c>
      <c r="R132" s="1">
        <f ca="1">IFERROR(__xludf.DUMMYFUNCTION("""COMPUTED_VALUE"""),105)</f>
        <v>105</v>
      </c>
      <c r="S132" s="1">
        <f ca="1">IFERROR(__xludf.DUMMYFUNCTION("""COMPUTED_VALUE"""),146)</f>
        <v>146</v>
      </c>
      <c r="T132" s="1" t="str">
        <f ca="1">IFERROR(__xludf.DUMMYFUNCTION("""COMPUTED_VALUE"""),"+3.26")</f>
        <v>+3.26</v>
      </c>
      <c r="U132" s="1">
        <f ca="1">IFERROR(__xludf.DUMMYFUNCTION("""COMPUTED_VALUE"""),65)</f>
        <v>65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IFERROR(__xludf.DUMMYFUNCTION("""COMPUTED_VALUE"""),"Santa Clara")</f>
        <v>Santa Clara</v>
      </c>
      <c r="C133" s="1" t="str">
        <f ca="1">IFERROR(__xludf.DUMMYFUNCTION("""COMPUTED_VALUE"""),"WCC")</f>
        <v>WCC</v>
      </c>
      <c r="D133" s="1" t="str">
        <f ca="1">IFERROR(__xludf.DUMMYFUNCTION("""COMPUTED_VALUE"""),"17-16")</f>
        <v>17-16</v>
      </c>
      <c r="E133" s="1" t="str">
        <f ca="1">IFERROR(__xludf.DUMMYFUNCTION("""COMPUTED_VALUE"""),"+2.81")</f>
        <v>+2.81</v>
      </c>
      <c r="F133" s="1">
        <f ca="1">IFERROR(__xludf.DUMMYFUNCTION("""COMPUTED_VALUE"""),105.5)</f>
        <v>105.5</v>
      </c>
      <c r="G133" s="1">
        <f ca="1">IFERROR(__xludf.DUMMYFUNCTION("""COMPUTED_VALUE"""),149)</f>
        <v>149</v>
      </c>
      <c r="H133" s="1">
        <f ca="1">IFERROR(__xludf.DUMMYFUNCTION("""COMPUTED_VALUE"""),102.7)</f>
        <v>102.7</v>
      </c>
      <c r="I133" s="1">
        <f ca="1">IFERROR(__xludf.DUMMYFUNCTION("""COMPUTED_VALUE"""),129)</f>
        <v>129</v>
      </c>
      <c r="J133" s="1">
        <f ca="1">IFERROR(__xludf.DUMMYFUNCTION("""COMPUTED_VALUE"""),62.6)</f>
        <v>62.6</v>
      </c>
      <c r="K133" s="1">
        <f ca="1">IFERROR(__xludf.DUMMYFUNCTION("""COMPUTED_VALUE"""),343)</f>
        <v>343</v>
      </c>
      <c r="L133" s="1">
        <f ca="1">IFERROR(__xludf.DUMMYFUNCTION("""COMPUTED_VALUE"""),-0.014)</f>
        <v>-1.4E-2</v>
      </c>
      <c r="M133" s="1">
        <f ca="1">IFERROR(__xludf.DUMMYFUNCTION("""COMPUTED_VALUE"""),226)</f>
        <v>226</v>
      </c>
      <c r="N133" s="1" t="str">
        <f ca="1">IFERROR(__xludf.DUMMYFUNCTION("""COMPUTED_VALUE"""),"+0.38")</f>
        <v>+0.38</v>
      </c>
      <c r="O133" s="1">
        <f ca="1">IFERROR(__xludf.DUMMYFUNCTION("""COMPUTED_VALUE"""),129)</f>
        <v>129</v>
      </c>
      <c r="P133" s="1">
        <f ca="1">IFERROR(__xludf.DUMMYFUNCTION("""COMPUTED_VALUE"""),103.5)</f>
        <v>103.5</v>
      </c>
      <c r="Q133" s="1">
        <f ca="1">IFERROR(__xludf.DUMMYFUNCTION("""COMPUTED_VALUE"""),207)</f>
        <v>207</v>
      </c>
      <c r="R133" s="1">
        <f ca="1">IFERROR(__xludf.DUMMYFUNCTION("""COMPUTED_VALUE"""),103.2)</f>
        <v>103.2</v>
      </c>
      <c r="S133" s="1">
        <f ca="1">IFERROR(__xludf.DUMMYFUNCTION("""COMPUTED_VALUE"""),102)</f>
        <v>102</v>
      </c>
      <c r="T133" s="1">
        <f ca="1">IFERROR(__xludf.DUMMYFUNCTION("""COMPUTED_VALUE"""),-4.47)</f>
        <v>-4.47</v>
      </c>
      <c r="U133" s="1">
        <f ca="1">IFERROR(__xludf.DUMMYFUNCTION("""COMPUTED_VALUE"""),284)</f>
        <v>284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IFERROR(__xludf.DUMMYFUNCTION("""COMPUTED_VALUE"""),"Arizona St.")</f>
        <v>Arizona St.</v>
      </c>
      <c r="C134" s="1" t="str">
        <f ca="1">IFERROR(__xludf.DUMMYFUNCTION("""COMPUTED_VALUE"""),"P12")</f>
        <v>P12</v>
      </c>
      <c r="D134" s="1" t="str">
        <f ca="1">IFERROR(__xludf.DUMMYFUNCTION("""COMPUTED_VALUE"""),"15-18")</f>
        <v>15-18</v>
      </c>
      <c r="E134" s="1" t="str">
        <f ca="1">IFERROR(__xludf.DUMMYFUNCTION("""COMPUTED_VALUE"""),"+2.81")</f>
        <v>+2.81</v>
      </c>
      <c r="F134" s="1">
        <f ca="1">IFERROR(__xludf.DUMMYFUNCTION("""COMPUTED_VALUE"""),111.9)</f>
        <v>111.9</v>
      </c>
      <c r="G134" s="1">
        <f ca="1">IFERROR(__xludf.DUMMYFUNCTION("""COMPUTED_VALUE"""),55)</f>
        <v>55</v>
      </c>
      <c r="H134" s="1">
        <f ca="1">IFERROR(__xludf.DUMMYFUNCTION("""COMPUTED_VALUE"""),109.1)</f>
        <v>109.1</v>
      </c>
      <c r="I134" s="1">
        <f ca="1">IFERROR(__xludf.DUMMYFUNCTION("""COMPUTED_VALUE"""),257)</f>
        <v>257</v>
      </c>
      <c r="J134" s="1">
        <f ca="1">IFERROR(__xludf.DUMMYFUNCTION("""COMPUTED_VALUE"""),70)</f>
        <v>70</v>
      </c>
      <c r="K134" s="1">
        <f ca="1">IFERROR(__xludf.DUMMYFUNCTION("""COMPUTED_VALUE"""),79)</f>
        <v>79</v>
      </c>
      <c r="L134" s="1" t="str">
        <f ca="1">IFERROR(__xludf.DUMMYFUNCTION("""COMPUTED_VALUE"""),"+.035")</f>
        <v>+.035</v>
      </c>
      <c r="M134" s="1">
        <f ca="1">IFERROR(__xludf.DUMMYFUNCTION("""COMPUTED_VALUE"""),87)</f>
        <v>87</v>
      </c>
      <c r="N134" s="1" t="str">
        <f ca="1">IFERROR(__xludf.DUMMYFUNCTION("""COMPUTED_VALUE"""),"+6.49")</f>
        <v>+6.49</v>
      </c>
      <c r="O134" s="1">
        <f ca="1">IFERROR(__xludf.DUMMYFUNCTION("""COMPUTED_VALUE"""),67)</f>
        <v>67</v>
      </c>
      <c r="P134" s="1">
        <f ca="1">IFERROR(__xludf.DUMMYFUNCTION("""COMPUTED_VALUE"""),108.6)</f>
        <v>108.6</v>
      </c>
      <c r="Q134" s="1">
        <f ca="1">IFERROR(__xludf.DUMMYFUNCTION("""COMPUTED_VALUE"""),57)</f>
        <v>57</v>
      </c>
      <c r="R134" s="1">
        <f ca="1">IFERROR(__xludf.DUMMYFUNCTION("""COMPUTED_VALUE"""),102.1)</f>
        <v>102.1</v>
      </c>
      <c r="S134" s="1">
        <f ca="1">IFERROR(__xludf.DUMMYFUNCTION("""COMPUTED_VALUE"""),72)</f>
        <v>72</v>
      </c>
      <c r="T134" s="1">
        <f ca="1">IFERROR(__xludf.DUMMYFUNCTION("""COMPUTED_VALUE"""),-1.06)</f>
        <v>-1.06</v>
      </c>
      <c r="U134" s="1">
        <f ca="1">IFERROR(__xludf.DUMMYFUNCTION("""COMPUTED_VALUE"""),185)</f>
        <v>185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IFERROR(__xludf.DUMMYFUNCTION("""COMPUTED_VALUE"""),"Wyoming")</f>
        <v>Wyoming</v>
      </c>
      <c r="C135" s="1" t="str">
        <f ca="1">IFERROR(__xludf.DUMMYFUNCTION("""COMPUTED_VALUE"""),"MWC")</f>
        <v>MWC</v>
      </c>
      <c r="D135" s="1" t="str">
        <f ca="1">IFERROR(__xludf.DUMMYFUNCTION("""COMPUTED_VALUE"""),"23-15")</f>
        <v>23-15</v>
      </c>
      <c r="E135" s="1" t="str">
        <f ca="1">IFERROR(__xludf.DUMMYFUNCTION("""COMPUTED_VALUE"""),"+2.78")</f>
        <v>+2.78</v>
      </c>
      <c r="F135" s="1">
        <f ca="1">IFERROR(__xludf.DUMMYFUNCTION("""COMPUTED_VALUE"""),104.8)</f>
        <v>104.8</v>
      </c>
      <c r="G135" s="1">
        <f ca="1">IFERROR(__xludf.DUMMYFUNCTION("""COMPUTED_VALUE"""),163)</f>
        <v>163</v>
      </c>
      <c r="H135" s="1">
        <f ca="1">IFERROR(__xludf.DUMMYFUNCTION("""COMPUTED_VALUE"""),102)</f>
        <v>102</v>
      </c>
      <c r="I135" s="1">
        <f ca="1">IFERROR(__xludf.DUMMYFUNCTION("""COMPUTED_VALUE"""),111)</f>
        <v>111</v>
      </c>
      <c r="J135" s="1">
        <f ca="1">IFERROR(__xludf.DUMMYFUNCTION("""COMPUTED_VALUE"""),72.9)</f>
        <v>72.900000000000006</v>
      </c>
      <c r="K135" s="1">
        <f ca="1">IFERROR(__xludf.DUMMYFUNCTION("""COMPUTED_VALUE"""),14)</f>
        <v>14</v>
      </c>
      <c r="L135" s="1">
        <f ca="1">IFERROR(__xludf.DUMMYFUNCTION("""COMPUTED_VALUE"""),-0.004)</f>
        <v>-4.0000000000000001E-3</v>
      </c>
      <c r="M135" s="1">
        <f ca="1">IFERROR(__xludf.DUMMYFUNCTION("""COMPUTED_VALUE"""),196)</f>
        <v>196</v>
      </c>
      <c r="N135" s="1">
        <f ca="1">IFERROR(__xludf.DUMMYFUNCTION("""COMPUTED_VALUE"""),-1.08)</f>
        <v>-1.08</v>
      </c>
      <c r="O135" s="1">
        <f ca="1">IFERROR(__xludf.DUMMYFUNCTION("""COMPUTED_VALUE"""),158)</f>
        <v>158</v>
      </c>
      <c r="P135" s="1">
        <f ca="1">IFERROR(__xludf.DUMMYFUNCTION("""COMPUTED_VALUE"""),104.1)</f>
        <v>104.1</v>
      </c>
      <c r="Q135" s="1">
        <f ca="1">IFERROR(__xludf.DUMMYFUNCTION("""COMPUTED_VALUE"""),176)</f>
        <v>176</v>
      </c>
      <c r="R135" s="1">
        <f ca="1">IFERROR(__xludf.DUMMYFUNCTION("""COMPUTED_VALUE"""),105.2)</f>
        <v>105.2</v>
      </c>
      <c r="S135" s="1">
        <f ca="1">IFERROR(__xludf.DUMMYFUNCTION("""COMPUTED_VALUE"""),152)</f>
        <v>152</v>
      </c>
      <c r="T135" s="1">
        <f ca="1">IFERROR(__xludf.DUMMYFUNCTION("""COMPUTED_VALUE"""),-2.1)</f>
        <v>-2.1</v>
      </c>
      <c r="U135" s="1">
        <f ca="1">IFERROR(__xludf.DUMMYFUNCTION("""COMPUTED_VALUE"""),217)</f>
        <v>217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IFERROR(__xludf.DUMMYFUNCTION("""COMPUTED_VALUE"""),"Toledo")</f>
        <v>Toledo</v>
      </c>
      <c r="C136" s="1" t="str">
        <f ca="1">IFERROR(__xludf.DUMMYFUNCTION("""COMPUTED_VALUE"""),"MAC")</f>
        <v>MAC</v>
      </c>
      <c r="D136" s="1" t="str">
        <f ca="1">IFERROR(__xludf.DUMMYFUNCTION("""COMPUTED_VALUE"""),"17-17")</f>
        <v>17-17</v>
      </c>
      <c r="E136" s="1" t="str">
        <f ca="1">IFERROR(__xludf.DUMMYFUNCTION("""COMPUTED_VALUE"""),"+2.69")</f>
        <v>+2.69</v>
      </c>
      <c r="F136" s="1">
        <f ca="1">IFERROR(__xludf.DUMMYFUNCTION("""COMPUTED_VALUE"""),108.8)</f>
        <v>108.8</v>
      </c>
      <c r="G136" s="1">
        <f ca="1">IFERROR(__xludf.DUMMYFUNCTION("""COMPUTED_VALUE"""),93)</f>
        <v>93</v>
      </c>
      <c r="H136" s="1">
        <f ca="1">IFERROR(__xludf.DUMMYFUNCTION("""COMPUTED_VALUE"""),106.1)</f>
        <v>106.1</v>
      </c>
      <c r="I136" s="1">
        <f ca="1">IFERROR(__xludf.DUMMYFUNCTION("""COMPUTED_VALUE"""),203)</f>
        <v>203</v>
      </c>
      <c r="J136" s="1">
        <f ca="1">IFERROR(__xludf.DUMMYFUNCTION("""COMPUTED_VALUE"""),66.4)</f>
        <v>66.400000000000006</v>
      </c>
      <c r="K136" s="1">
        <f ca="1">IFERROR(__xludf.DUMMYFUNCTION("""COMPUTED_VALUE"""),263)</f>
        <v>263</v>
      </c>
      <c r="L136" s="1">
        <f ca="1">IFERROR(__xludf.DUMMYFUNCTION("""COMPUTED_VALUE"""),-0.081)</f>
        <v>-8.1000000000000003E-2</v>
      </c>
      <c r="M136" s="1">
        <f ca="1">IFERROR(__xludf.DUMMYFUNCTION("""COMPUTED_VALUE"""),332)</f>
        <v>332</v>
      </c>
      <c r="N136" s="1">
        <f ca="1">IFERROR(__xludf.DUMMYFUNCTION("""COMPUTED_VALUE"""),-0.96)</f>
        <v>-0.96</v>
      </c>
      <c r="O136" s="1">
        <f ca="1">IFERROR(__xludf.DUMMYFUNCTION("""COMPUTED_VALUE"""),155)</f>
        <v>155</v>
      </c>
      <c r="P136" s="1">
        <f ca="1">IFERROR(__xludf.DUMMYFUNCTION("""COMPUTED_VALUE"""),105)</f>
        <v>105</v>
      </c>
      <c r="Q136" s="1">
        <f ca="1">IFERROR(__xludf.DUMMYFUNCTION("""COMPUTED_VALUE"""),129)</f>
        <v>129</v>
      </c>
      <c r="R136" s="1">
        <f ca="1">IFERROR(__xludf.DUMMYFUNCTION("""COMPUTED_VALUE"""),106)</f>
        <v>106</v>
      </c>
      <c r="S136" s="1">
        <f ca="1">IFERROR(__xludf.DUMMYFUNCTION("""COMPUTED_VALUE"""),204)</f>
        <v>204</v>
      </c>
      <c r="T136" s="1" t="str">
        <f ca="1">IFERROR(__xludf.DUMMYFUNCTION("""COMPUTED_VALUE"""),"+0.52")</f>
        <v>+0.52</v>
      </c>
      <c r="U136" s="1">
        <f ca="1">IFERROR(__xludf.DUMMYFUNCTION("""COMPUTED_VALUE"""),136)</f>
        <v>136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IFERROR(__xludf.DUMMYFUNCTION("""COMPUTED_VALUE"""),"Albany")</f>
        <v>Albany</v>
      </c>
      <c r="C137" s="1" t="str">
        <f ca="1">IFERROR(__xludf.DUMMYFUNCTION("""COMPUTED_VALUE"""),"AE")</f>
        <v>AE</v>
      </c>
      <c r="D137" s="1" t="str">
        <f ca="1">IFERROR(__xludf.DUMMYFUNCTION("""COMPUTED_VALUE"""),"21-14")</f>
        <v>21-14</v>
      </c>
      <c r="E137" s="1" t="str">
        <f ca="1">IFERROR(__xludf.DUMMYFUNCTION("""COMPUTED_VALUE"""),"+2.66")</f>
        <v>+2.66</v>
      </c>
      <c r="F137" s="1">
        <f ca="1">IFERROR(__xludf.DUMMYFUNCTION("""COMPUTED_VALUE"""),107.5)</f>
        <v>107.5</v>
      </c>
      <c r="G137" s="1">
        <f ca="1">IFERROR(__xludf.DUMMYFUNCTION("""COMPUTED_VALUE"""),116)</f>
        <v>116</v>
      </c>
      <c r="H137" s="1">
        <f ca="1">IFERROR(__xludf.DUMMYFUNCTION("""COMPUTED_VALUE"""),104.9)</f>
        <v>104.9</v>
      </c>
      <c r="I137" s="1">
        <f ca="1">IFERROR(__xludf.DUMMYFUNCTION("""COMPUTED_VALUE"""),180)</f>
        <v>180</v>
      </c>
      <c r="J137" s="1">
        <f ca="1">IFERROR(__xludf.DUMMYFUNCTION("""COMPUTED_VALUE"""),64.2)</f>
        <v>64.2</v>
      </c>
      <c r="K137" s="1">
        <f ca="1">IFERROR(__xludf.DUMMYFUNCTION("""COMPUTED_VALUE"""),320)</f>
        <v>320</v>
      </c>
      <c r="L137" s="1">
        <f ca="1">IFERROR(__xludf.DUMMYFUNCTION("""COMPUTED_VALUE"""),-0.038)</f>
        <v>-3.7999999999999999E-2</v>
      </c>
      <c r="M137" s="1">
        <f ca="1">IFERROR(__xludf.DUMMYFUNCTION("""COMPUTED_VALUE"""),279)</f>
        <v>279</v>
      </c>
      <c r="N137" s="1">
        <f ca="1">IFERROR(__xludf.DUMMYFUNCTION("""COMPUTED_VALUE"""),-5.16)</f>
        <v>-5.16</v>
      </c>
      <c r="O137" s="1">
        <f ca="1">IFERROR(__xludf.DUMMYFUNCTION("""COMPUTED_VALUE"""),283)</f>
        <v>283</v>
      </c>
      <c r="P137" s="1">
        <f ca="1">IFERROR(__xludf.DUMMYFUNCTION("""COMPUTED_VALUE"""),101.8)</f>
        <v>101.8</v>
      </c>
      <c r="Q137" s="1">
        <f ca="1">IFERROR(__xludf.DUMMYFUNCTION("""COMPUTED_VALUE"""),286)</f>
        <v>286</v>
      </c>
      <c r="R137" s="1">
        <f ca="1">IFERROR(__xludf.DUMMYFUNCTION("""COMPUTED_VALUE"""),106.9)</f>
        <v>106.9</v>
      </c>
      <c r="S137" s="1">
        <f ca="1">IFERROR(__xludf.DUMMYFUNCTION("""COMPUTED_VALUE"""),263)</f>
        <v>263</v>
      </c>
      <c r="T137" s="1">
        <f ca="1">IFERROR(__xludf.DUMMYFUNCTION("""COMPUTED_VALUE"""),-2)</f>
        <v>-2</v>
      </c>
      <c r="U137" s="1">
        <f ca="1">IFERROR(__xludf.DUMMYFUNCTION("""COMPUTED_VALUE"""),216)</f>
        <v>216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IFERROR(__xludf.DUMMYFUNCTION("""COMPUTED_VALUE"""),"Utah St.")</f>
        <v>Utah St.</v>
      </c>
      <c r="C138" s="1" t="str">
        <f ca="1">IFERROR(__xludf.DUMMYFUNCTION("""COMPUTED_VALUE"""),"MWC")</f>
        <v>MWC</v>
      </c>
      <c r="D138" s="1" t="str">
        <f ca="1">IFERROR(__xludf.DUMMYFUNCTION("""COMPUTED_VALUE"""),"15-17")</f>
        <v>15-17</v>
      </c>
      <c r="E138" s="1" t="str">
        <f ca="1">IFERROR(__xludf.DUMMYFUNCTION("""COMPUTED_VALUE"""),"+2.42")</f>
        <v>+2.42</v>
      </c>
      <c r="F138" s="1">
        <f ca="1">IFERROR(__xludf.DUMMYFUNCTION("""COMPUTED_VALUE"""),106.9)</f>
        <v>106.9</v>
      </c>
      <c r="G138" s="1">
        <f ca="1">IFERROR(__xludf.DUMMYFUNCTION("""COMPUTED_VALUE"""),129)</f>
        <v>129</v>
      </c>
      <c r="H138" s="1">
        <f ca="1">IFERROR(__xludf.DUMMYFUNCTION("""COMPUTED_VALUE"""),104.5)</f>
        <v>104.5</v>
      </c>
      <c r="I138" s="1">
        <f ca="1">IFERROR(__xludf.DUMMYFUNCTION("""COMPUTED_VALUE"""),170)</f>
        <v>170</v>
      </c>
      <c r="J138" s="1">
        <f ca="1">IFERROR(__xludf.DUMMYFUNCTION("""COMPUTED_VALUE"""),66.6)</f>
        <v>66.599999999999994</v>
      </c>
      <c r="K138" s="1">
        <f ca="1">IFERROR(__xludf.DUMMYFUNCTION("""COMPUTED_VALUE"""),257)</f>
        <v>257</v>
      </c>
      <c r="L138" s="1">
        <f ca="1">IFERROR(__xludf.DUMMYFUNCTION("""COMPUTED_VALUE"""),-0.066)</f>
        <v>-6.6000000000000003E-2</v>
      </c>
      <c r="M138" s="1">
        <f ca="1">IFERROR(__xludf.DUMMYFUNCTION("""COMPUTED_VALUE"""),318)</f>
        <v>318</v>
      </c>
      <c r="N138" s="1" t="str">
        <f ca="1">IFERROR(__xludf.DUMMYFUNCTION("""COMPUTED_VALUE"""),"+1.99")</f>
        <v>+1.99</v>
      </c>
      <c r="O138" s="1">
        <f ca="1">IFERROR(__xludf.DUMMYFUNCTION("""COMPUTED_VALUE"""),99)</f>
        <v>99</v>
      </c>
      <c r="P138" s="1">
        <f ca="1">IFERROR(__xludf.DUMMYFUNCTION("""COMPUTED_VALUE"""),105.1)</f>
        <v>105.1</v>
      </c>
      <c r="Q138" s="1">
        <f ca="1">IFERROR(__xludf.DUMMYFUNCTION("""COMPUTED_VALUE"""),124)</f>
        <v>124</v>
      </c>
      <c r="R138" s="1">
        <f ca="1">IFERROR(__xludf.DUMMYFUNCTION("""COMPUTED_VALUE"""),103.1)</f>
        <v>103.1</v>
      </c>
      <c r="S138" s="1">
        <f ca="1">IFERROR(__xludf.DUMMYFUNCTION("""COMPUTED_VALUE"""),101)</f>
        <v>101</v>
      </c>
      <c r="T138" s="1">
        <f ca="1">IFERROR(__xludf.DUMMYFUNCTION("""COMPUTED_VALUE"""),-0.45)</f>
        <v>-0.45</v>
      </c>
      <c r="U138" s="1">
        <f ca="1">IFERROR(__xludf.DUMMYFUNCTION("""COMPUTED_VALUE"""),166)</f>
        <v>166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IFERROR(__xludf.DUMMYFUNCTION("""COMPUTED_VALUE"""),"Georgia St.")</f>
        <v>Georgia St.</v>
      </c>
      <c r="C139" s="1" t="str">
        <f ca="1">IFERROR(__xludf.DUMMYFUNCTION("""COMPUTED_VALUE"""),"SB")</f>
        <v>SB</v>
      </c>
      <c r="D139" s="1" t="str">
        <f ca="1">IFERROR(__xludf.DUMMYFUNCTION("""COMPUTED_VALUE"""),"20-13")</f>
        <v>20-13</v>
      </c>
      <c r="E139" s="1" t="str">
        <f ca="1">IFERROR(__xludf.DUMMYFUNCTION("""COMPUTED_VALUE"""),"+2.40")</f>
        <v>+2.40</v>
      </c>
      <c r="F139" s="1">
        <f ca="1">IFERROR(__xludf.DUMMYFUNCTION("""COMPUTED_VALUE"""),103.9)</f>
        <v>103.9</v>
      </c>
      <c r="G139" s="1">
        <f ca="1">IFERROR(__xludf.DUMMYFUNCTION("""COMPUTED_VALUE"""),185)</f>
        <v>185</v>
      </c>
      <c r="H139" s="1">
        <f ca="1">IFERROR(__xludf.DUMMYFUNCTION("""COMPUTED_VALUE"""),101.5)</f>
        <v>101.5</v>
      </c>
      <c r="I139" s="1">
        <f ca="1">IFERROR(__xludf.DUMMYFUNCTION("""COMPUTED_VALUE"""),102)</f>
        <v>102</v>
      </c>
      <c r="J139" s="1">
        <f ca="1">IFERROR(__xludf.DUMMYFUNCTION("""COMPUTED_VALUE"""),68.6)</f>
        <v>68.599999999999994</v>
      </c>
      <c r="K139" s="1">
        <f ca="1">IFERROR(__xludf.DUMMYFUNCTION("""COMPUTED_VALUE"""),152)</f>
        <v>152</v>
      </c>
      <c r="L139" s="1" t="str">
        <f ca="1">IFERROR(__xludf.DUMMYFUNCTION("""COMPUTED_VALUE"""),"+.014")</f>
        <v>+.014</v>
      </c>
      <c r="M139" s="1">
        <f ca="1">IFERROR(__xludf.DUMMYFUNCTION("""COMPUTED_VALUE"""),154)</f>
        <v>154</v>
      </c>
      <c r="N139" s="1">
        <f ca="1">IFERROR(__xludf.DUMMYFUNCTION("""COMPUTED_VALUE"""),-1.27)</f>
        <v>-1.27</v>
      </c>
      <c r="O139" s="1">
        <f ca="1">IFERROR(__xludf.DUMMYFUNCTION("""COMPUTED_VALUE"""),168)</f>
        <v>168</v>
      </c>
      <c r="P139" s="1">
        <f ca="1">IFERROR(__xludf.DUMMYFUNCTION("""COMPUTED_VALUE"""),104.3)</f>
        <v>104.3</v>
      </c>
      <c r="Q139" s="1">
        <f ca="1">IFERROR(__xludf.DUMMYFUNCTION("""COMPUTED_VALUE"""),165)</f>
        <v>165</v>
      </c>
      <c r="R139" s="1">
        <f ca="1">IFERROR(__xludf.DUMMYFUNCTION("""COMPUTED_VALUE"""),105.6)</f>
        <v>105.6</v>
      </c>
      <c r="S139" s="1">
        <f ca="1">IFERROR(__xludf.DUMMYFUNCTION("""COMPUTED_VALUE"""),175)</f>
        <v>175</v>
      </c>
      <c r="T139" s="1" t="str">
        <f ca="1">IFERROR(__xludf.DUMMYFUNCTION("""COMPUTED_VALUE"""),"+2.23")</f>
        <v>+2.23</v>
      </c>
      <c r="U139" s="1">
        <f ca="1">IFERROR(__xludf.DUMMYFUNCTION("""COMPUTED_VALUE"""),84)</f>
        <v>84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IFERROR(__xludf.DUMMYFUNCTION("""COMPUTED_VALUE"""),"George Washington")</f>
        <v>George Washington</v>
      </c>
      <c r="C140" s="1" t="str">
        <f ca="1">IFERROR(__xludf.DUMMYFUNCTION("""COMPUTED_VALUE"""),"A10")</f>
        <v>A10</v>
      </c>
      <c r="D140" s="1" t="str">
        <f ca="1">IFERROR(__xludf.DUMMYFUNCTION("""COMPUTED_VALUE"""),"20-15")</f>
        <v>20-15</v>
      </c>
      <c r="E140" s="1" t="str">
        <f ca="1">IFERROR(__xludf.DUMMYFUNCTION("""COMPUTED_VALUE"""),"+2.32")</f>
        <v>+2.32</v>
      </c>
      <c r="F140" s="1">
        <f ca="1">IFERROR(__xludf.DUMMYFUNCTION("""COMPUTED_VALUE"""),107.7)</f>
        <v>107.7</v>
      </c>
      <c r="G140" s="1">
        <f ca="1">IFERROR(__xludf.DUMMYFUNCTION("""COMPUTED_VALUE"""),114)</f>
        <v>114</v>
      </c>
      <c r="H140" s="1">
        <f ca="1">IFERROR(__xludf.DUMMYFUNCTION("""COMPUTED_VALUE"""),105.3)</f>
        <v>105.3</v>
      </c>
      <c r="I140" s="1">
        <f ca="1">IFERROR(__xludf.DUMMYFUNCTION("""COMPUTED_VALUE"""),189)</f>
        <v>189</v>
      </c>
      <c r="J140" s="1">
        <f ca="1">IFERROR(__xludf.DUMMYFUNCTION("""COMPUTED_VALUE"""),65.8)</f>
        <v>65.8</v>
      </c>
      <c r="K140" s="1">
        <f ca="1">IFERROR(__xludf.DUMMYFUNCTION("""COMPUTED_VALUE"""),286)</f>
        <v>286</v>
      </c>
      <c r="L140" s="1" t="str">
        <f ca="1">IFERROR(__xludf.DUMMYFUNCTION("""COMPUTED_VALUE"""),"+.067")</f>
        <v>+.067</v>
      </c>
      <c r="M140" s="1">
        <f ca="1">IFERROR(__xludf.DUMMYFUNCTION("""COMPUTED_VALUE"""),30)</f>
        <v>30</v>
      </c>
      <c r="N140" s="1" t="str">
        <f ca="1">IFERROR(__xludf.DUMMYFUNCTION("""COMPUTED_VALUE"""),"+1.38")</f>
        <v>+1.38</v>
      </c>
      <c r="O140" s="1">
        <f ca="1">IFERROR(__xludf.DUMMYFUNCTION("""COMPUTED_VALUE"""),103)</f>
        <v>103</v>
      </c>
      <c r="P140" s="1">
        <f ca="1">IFERROR(__xludf.DUMMYFUNCTION("""COMPUTED_VALUE"""),104.4)</f>
        <v>104.4</v>
      </c>
      <c r="Q140" s="1">
        <f ca="1">IFERROR(__xludf.DUMMYFUNCTION("""COMPUTED_VALUE"""),159)</f>
        <v>159</v>
      </c>
      <c r="R140" s="1">
        <f ca="1">IFERROR(__xludf.DUMMYFUNCTION("""COMPUTED_VALUE"""),103)</f>
        <v>103</v>
      </c>
      <c r="S140" s="1">
        <f ca="1">IFERROR(__xludf.DUMMYFUNCTION("""COMPUTED_VALUE"""),98)</f>
        <v>98</v>
      </c>
      <c r="T140" s="1">
        <f ca="1">IFERROR(__xludf.DUMMYFUNCTION("""COMPUTED_VALUE"""),-1.71)</f>
        <v>-1.71</v>
      </c>
      <c r="U140" s="1">
        <f ca="1">IFERROR(__xludf.DUMMYFUNCTION("""COMPUTED_VALUE"""),207)</f>
        <v>207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IFERROR(__xludf.DUMMYFUNCTION("""COMPUTED_VALUE"""),"William &amp; Mary")</f>
        <v>William &amp; Mary</v>
      </c>
      <c r="C141" s="1" t="str">
        <f ca="1">IFERROR(__xludf.DUMMYFUNCTION("""COMPUTED_VALUE"""),"CAA")</f>
        <v>CAA</v>
      </c>
      <c r="D141" s="1" t="str">
        <f ca="1">IFERROR(__xludf.DUMMYFUNCTION("""COMPUTED_VALUE"""),"17-14")</f>
        <v>17-14</v>
      </c>
      <c r="E141" s="1" t="str">
        <f ca="1">IFERROR(__xludf.DUMMYFUNCTION("""COMPUTED_VALUE"""),"+2.28")</f>
        <v>+2.28</v>
      </c>
      <c r="F141" s="1">
        <f ca="1">IFERROR(__xludf.DUMMYFUNCTION("""COMPUTED_VALUE"""),111.9)</f>
        <v>111.9</v>
      </c>
      <c r="G141" s="1">
        <f ca="1">IFERROR(__xludf.DUMMYFUNCTION("""COMPUTED_VALUE"""),52)</f>
        <v>52</v>
      </c>
      <c r="H141" s="1">
        <f ca="1">IFERROR(__xludf.DUMMYFUNCTION("""COMPUTED_VALUE"""),109.7)</f>
        <v>109.7</v>
      </c>
      <c r="I141" s="1">
        <f ca="1">IFERROR(__xludf.DUMMYFUNCTION("""COMPUTED_VALUE"""),272)</f>
        <v>272</v>
      </c>
      <c r="J141" s="1">
        <f ca="1">IFERROR(__xludf.DUMMYFUNCTION("""COMPUTED_VALUE"""),70.9)</f>
        <v>70.900000000000006</v>
      </c>
      <c r="K141" s="1">
        <f ca="1">IFERROR(__xludf.DUMMYFUNCTION("""COMPUTED_VALUE"""),53)</f>
        <v>53</v>
      </c>
      <c r="L141" s="1">
        <f ca="1">IFERROR(__xludf.DUMMYFUNCTION("""COMPUTED_VALUE"""),-0.003)</f>
        <v>-3.0000000000000001E-3</v>
      </c>
      <c r="M141" s="1">
        <f ca="1">IFERROR(__xludf.DUMMYFUNCTION("""COMPUTED_VALUE"""),192)</f>
        <v>192</v>
      </c>
      <c r="N141" s="1" t="str">
        <f ca="1">IFERROR(__xludf.DUMMYFUNCTION("""COMPUTED_VALUE"""),"+0.51")</f>
        <v>+0.51</v>
      </c>
      <c r="O141" s="1">
        <f ca="1">IFERROR(__xludf.DUMMYFUNCTION("""COMPUTED_VALUE"""),126)</f>
        <v>126</v>
      </c>
      <c r="P141" s="1">
        <f ca="1">IFERROR(__xludf.DUMMYFUNCTION("""COMPUTED_VALUE"""),105.8)</f>
        <v>105.8</v>
      </c>
      <c r="Q141" s="1">
        <f ca="1">IFERROR(__xludf.DUMMYFUNCTION("""COMPUTED_VALUE"""),97)</f>
        <v>97</v>
      </c>
      <c r="R141" s="1">
        <f ca="1">IFERROR(__xludf.DUMMYFUNCTION("""COMPUTED_VALUE"""),105.3)</f>
        <v>105.3</v>
      </c>
      <c r="S141" s="1">
        <f ca="1">IFERROR(__xludf.DUMMYFUNCTION("""COMPUTED_VALUE"""),159)</f>
        <v>159</v>
      </c>
      <c r="T141" s="1" t="str">
        <f ca="1">IFERROR(__xludf.DUMMYFUNCTION("""COMPUTED_VALUE"""),"+1.05")</f>
        <v>+1.05</v>
      </c>
      <c r="U141" s="1">
        <f ca="1">IFERROR(__xludf.DUMMYFUNCTION("""COMPUTED_VALUE"""),126)</f>
        <v>126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IFERROR(__xludf.DUMMYFUNCTION("""COMPUTED_VALUE"""),"Missouri St.")</f>
        <v>Missouri St.</v>
      </c>
      <c r="C142" s="1" t="str">
        <f ca="1">IFERROR(__xludf.DUMMYFUNCTION("""COMPUTED_VALUE"""),"MVC")</f>
        <v>MVC</v>
      </c>
      <c r="D142" s="1" t="str">
        <f ca="1">IFERROR(__xludf.DUMMYFUNCTION("""COMPUTED_VALUE"""),"17-16")</f>
        <v>17-16</v>
      </c>
      <c r="E142" s="1" t="str">
        <f ca="1">IFERROR(__xludf.DUMMYFUNCTION("""COMPUTED_VALUE"""),"+2.27")</f>
        <v>+2.27</v>
      </c>
      <c r="F142" s="1">
        <f ca="1">IFERROR(__xludf.DUMMYFUNCTION("""COMPUTED_VALUE"""),108.3)</f>
        <v>108.3</v>
      </c>
      <c r="G142" s="1">
        <f ca="1">IFERROR(__xludf.DUMMYFUNCTION("""COMPUTED_VALUE"""),104)</f>
        <v>104</v>
      </c>
      <c r="H142" s="1">
        <f ca="1">IFERROR(__xludf.DUMMYFUNCTION("""COMPUTED_VALUE"""),106)</f>
        <v>106</v>
      </c>
      <c r="I142" s="1">
        <f ca="1">IFERROR(__xludf.DUMMYFUNCTION("""COMPUTED_VALUE"""),201)</f>
        <v>201</v>
      </c>
      <c r="J142" s="1">
        <f ca="1">IFERROR(__xludf.DUMMYFUNCTION("""COMPUTED_VALUE"""),66.2)</f>
        <v>66.2</v>
      </c>
      <c r="K142" s="1">
        <f ca="1">IFERROR(__xludf.DUMMYFUNCTION("""COMPUTED_VALUE"""),271)</f>
        <v>271</v>
      </c>
      <c r="L142" s="1">
        <f ca="1">IFERROR(__xludf.DUMMYFUNCTION("""COMPUTED_VALUE"""),-0.055)</f>
        <v>-5.5E-2</v>
      </c>
      <c r="M142" s="1">
        <f ca="1">IFERROR(__xludf.DUMMYFUNCTION("""COMPUTED_VALUE"""),306)</f>
        <v>306</v>
      </c>
      <c r="N142" s="1">
        <f ca="1">IFERROR(__xludf.DUMMYFUNCTION("""COMPUTED_VALUE"""),-0.26)</f>
        <v>-0.26</v>
      </c>
      <c r="O142" s="1">
        <f ca="1">IFERROR(__xludf.DUMMYFUNCTION("""COMPUTED_VALUE"""),138)</f>
        <v>138</v>
      </c>
      <c r="P142" s="1">
        <f ca="1">IFERROR(__xludf.DUMMYFUNCTION("""COMPUTED_VALUE"""),103.6)</f>
        <v>103.6</v>
      </c>
      <c r="Q142" s="1">
        <f ca="1">IFERROR(__xludf.DUMMYFUNCTION("""COMPUTED_VALUE"""),198)</f>
        <v>198</v>
      </c>
      <c r="R142" s="1">
        <f ca="1">IFERROR(__xludf.DUMMYFUNCTION("""COMPUTED_VALUE"""),103.9)</f>
        <v>103.9</v>
      </c>
      <c r="S142" s="1">
        <f ca="1">IFERROR(__xludf.DUMMYFUNCTION("""COMPUTED_VALUE"""),116)</f>
        <v>116</v>
      </c>
      <c r="T142" s="1">
        <f ca="1">IFERROR(__xludf.DUMMYFUNCTION("""COMPUTED_VALUE"""),-6.25)</f>
        <v>-6.25</v>
      </c>
      <c r="U142" s="1">
        <f ca="1">IFERROR(__xludf.DUMMYFUNCTION("""COMPUTED_VALUE"""),325)</f>
        <v>325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IFERROR(__xludf.DUMMYFUNCTION("""COMPUTED_VALUE"""),"Rutgers")</f>
        <v>Rutgers</v>
      </c>
      <c r="C143" s="1" t="str">
        <f ca="1">IFERROR(__xludf.DUMMYFUNCTION("""COMPUTED_VALUE"""),"B10")</f>
        <v>B10</v>
      </c>
      <c r="D143" s="1" t="str">
        <f ca="1">IFERROR(__xludf.DUMMYFUNCTION("""COMPUTED_VALUE"""),"15-18")</f>
        <v>15-18</v>
      </c>
      <c r="E143" s="1" t="str">
        <f ca="1">IFERROR(__xludf.DUMMYFUNCTION("""COMPUTED_VALUE"""),"+2.23")</f>
        <v>+2.23</v>
      </c>
      <c r="F143" s="1">
        <f ca="1">IFERROR(__xludf.DUMMYFUNCTION("""COMPUTED_VALUE"""),101.5)</f>
        <v>101.5</v>
      </c>
      <c r="G143" s="1">
        <f ca="1">IFERROR(__xludf.DUMMYFUNCTION("""COMPUTED_VALUE"""),231)</f>
        <v>231</v>
      </c>
      <c r="H143" s="1">
        <f ca="1">IFERROR(__xludf.DUMMYFUNCTION("""COMPUTED_VALUE"""),99.3)</f>
        <v>99.3</v>
      </c>
      <c r="I143" s="1">
        <f ca="1">IFERROR(__xludf.DUMMYFUNCTION("""COMPUTED_VALUE"""),70)</f>
        <v>70</v>
      </c>
      <c r="J143" s="1">
        <f ca="1">IFERROR(__xludf.DUMMYFUNCTION("""COMPUTED_VALUE"""),66.2)</f>
        <v>66.2</v>
      </c>
      <c r="K143" s="1">
        <f ca="1">IFERROR(__xludf.DUMMYFUNCTION("""COMPUTED_VALUE"""),267)</f>
        <v>267</v>
      </c>
      <c r="L143" s="1" t="str">
        <f ca="1">IFERROR(__xludf.DUMMYFUNCTION("""COMPUTED_VALUE"""),"+.006")</f>
        <v>+.006</v>
      </c>
      <c r="M143" s="1">
        <f ca="1">IFERROR(__xludf.DUMMYFUNCTION("""COMPUTED_VALUE"""),177)</f>
        <v>177</v>
      </c>
      <c r="N143" s="1" t="str">
        <f ca="1">IFERROR(__xludf.DUMMYFUNCTION("""COMPUTED_VALUE"""),"+6.70")</f>
        <v>+6.70</v>
      </c>
      <c r="O143" s="1">
        <f ca="1">IFERROR(__xludf.DUMMYFUNCTION("""COMPUTED_VALUE"""),66)</f>
        <v>66</v>
      </c>
      <c r="P143" s="1">
        <f ca="1">IFERROR(__xludf.DUMMYFUNCTION("""COMPUTED_VALUE"""),107.5)</f>
        <v>107.5</v>
      </c>
      <c r="Q143" s="1">
        <f ca="1">IFERROR(__xludf.DUMMYFUNCTION("""COMPUTED_VALUE"""),71)</f>
        <v>71</v>
      </c>
      <c r="R143" s="1">
        <f ca="1">IFERROR(__xludf.DUMMYFUNCTION("""COMPUTED_VALUE"""),100.8)</f>
        <v>100.8</v>
      </c>
      <c r="S143" s="1">
        <f ca="1">IFERROR(__xludf.DUMMYFUNCTION("""COMPUTED_VALUE"""),44)</f>
        <v>44</v>
      </c>
      <c r="T143" s="1">
        <f ca="1">IFERROR(__xludf.DUMMYFUNCTION("""COMPUTED_VALUE"""),-9.39)</f>
        <v>-9.39</v>
      </c>
      <c r="U143" s="1">
        <f ca="1">IFERROR(__xludf.DUMMYFUNCTION("""COMPUTED_VALUE"""),347)</f>
        <v>347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IFERROR(__xludf.DUMMYFUNCTION("""COMPUTED_VALUE"""),"Elon")</f>
        <v>Elon</v>
      </c>
      <c r="C144" s="1" t="str">
        <f ca="1">IFERROR(__xludf.DUMMYFUNCTION("""COMPUTED_VALUE"""),"CAA")</f>
        <v>CAA</v>
      </c>
      <c r="D144" s="1" t="str">
        <f ca="1">IFERROR(__xludf.DUMMYFUNCTION("""COMPUTED_VALUE"""),"18-14")</f>
        <v>18-14</v>
      </c>
      <c r="E144" s="1" t="str">
        <f ca="1">IFERROR(__xludf.DUMMYFUNCTION("""COMPUTED_VALUE"""),"+2.19")</f>
        <v>+2.19</v>
      </c>
      <c r="F144" s="1">
        <f ca="1">IFERROR(__xludf.DUMMYFUNCTION("""COMPUTED_VALUE"""),104.4)</f>
        <v>104.4</v>
      </c>
      <c r="G144" s="1">
        <f ca="1">IFERROR(__xludf.DUMMYFUNCTION("""COMPUTED_VALUE"""),170)</f>
        <v>170</v>
      </c>
      <c r="H144" s="1">
        <f ca="1">IFERROR(__xludf.DUMMYFUNCTION("""COMPUTED_VALUE"""),102.2)</f>
        <v>102.2</v>
      </c>
      <c r="I144" s="1">
        <f ca="1">IFERROR(__xludf.DUMMYFUNCTION("""COMPUTED_VALUE"""),113)</f>
        <v>113</v>
      </c>
      <c r="J144" s="1">
        <f ca="1">IFERROR(__xludf.DUMMYFUNCTION("""COMPUTED_VALUE"""),67.8)</f>
        <v>67.8</v>
      </c>
      <c r="K144" s="1">
        <f ca="1">IFERROR(__xludf.DUMMYFUNCTION("""COMPUTED_VALUE"""),200)</f>
        <v>200</v>
      </c>
      <c r="L144" s="1">
        <f ca="1">IFERROR(__xludf.DUMMYFUNCTION("""COMPUTED_VALUE"""),-0.021)</f>
        <v>-2.1000000000000001E-2</v>
      </c>
      <c r="M144" s="1">
        <f ca="1">IFERROR(__xludf.DUMMYFUNCTION("""COMPUTED_VALUE"""),237)</f>
        <v>237</v>
      </c>
      <c r="N144" s="1">
        <f ca="1">IFERROR(__xludf.DUMMYFUNCTION("""COMPUTED_VALUE"""),-0.77)</f>
        <v>-0.77</v>
      </c>
      <c r="O144" s="1">
        <f ca="1">IFERROR(__xludf.DUMMYFUNCTION("""COMPUTED_VALUE"""),150)</f>
        <v>150</v>
      </c>
      <c r="P144" s="1">
        <f ca="1">IFERROR(__xludf.DUMMYFUNCTION("""COMPUTED_VALUE"""),105.4)</f>
        <v>105.4</v>
      </c>
      <c r="Q144" s="1">
        <f ca="1">IFERROR(__xludf.DUMMYFUNCTION("""COMPUTED_VALUE"""),109)</f>
        <v>109</v>
      </c>
      <c r="R144" s="1">
        <f ca="1">IFERROR(__xludf.DUMMYFUNCTION("""COMPUTED_VALUE"""),106.2)</f>
        <v>106.2</v>
      </c>
      <c r="S144" s="1">
        <f ca="1">IFERROR(__xludf.DUMMYFUNCTION("""COMPUTED_VALUE"""),216)</f>
        <v>216</v>
      </c>
      <c r="T144" s="1">
        <f ca="1">IFERROR(__xludf.DUMMYFUNCTION("""COMPUTED_VALUE"""),-1.75)</f>
        <v>-1.75</v>
      </c>
      <c r="U144" s="1">
        <f ca="1">IFERROR(__xludf.DUMMYFUNCTION("""COMPUTED_VALUE"""),208)</f>
        <v>208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IFERROR(__xludf.DUMMYFUNCTION("""COMPUTED_VALUE"""),"Troy15")</f>
        <v>Troy15</v>
      </c>
      <c r="C145" s="1" t="str">
        <f ca="1">IFERROR(__xludf.DUMMYFUNCTION("""COMPUTED_VALUE"""),"SB")</f>
        <v>SB</v>
      </c>
      <c r="D145" s="1" t="str">
        <f ca="1">IFERROR(__xludf.DUMMYFUNCTION("""COMPUTED_VALUE"""),"22-15")</f>
        <v>22-15</v>
      </c>
      <c r="E145" s="1" t="str">
        <f ca="1">IFERROR(__xludf.DUMMYFUNCTION("""COMPUTED_VALUE"""),"+2.04")</f>
        <v>+2.04</v>
      </c>
      <c r="F145" s="1">
        <f ca="1">IFERROR(__xludf.DUMMYFUNCTION("""COMPUTED_VALUE"""),109.7)</f>
        <v>109.7</v>
      </c>
      <c r="G145" s="1">
        <f ca="1">IFERROR(__xludf.DUMMYFUNCTION("""COMPUTED_VALUE"""),79)</f>
        <v>79</v>
      </c>
      <c r="H145" s="1">
        <f ca="1">IFERROR(__xludf.DUMMYFUNCTION("""COMPUTED_VALUE"""),107.6)</f>
        <v>107.6</v>
      </c>
      <c r="I145" s="1">
        <f ca="1">IFERROR(__xludf.DUMMYFUNCTION("""COMPUTED_VALUE"""),232)</f>
        <v>232</v>
      </c>
      <c r="J145" s="1">
        <f ca="1">IFERROR(__xludf.DUMMYFUNCTION("""COMPUTED_VALUE"""),68.1)</f>
        <v>68.099999999999994</v>
      </c>
      <c r="K145" s="1">
        <f ca="1">IFERROR(__xludf.DUMMYFUNCTION("""COMPUTED_VALUE"""),182)</f>
        <v>182</v>
      </c>
      <c r="L145" s="1">
        <f ca="1">IFERROR(__xludf.DUMMYFUNCTION("""COMPUTED_VALUE"""),-0.023)</f>
        <v>-2.3E-2</v>
      </c>
      <c r="M145" s="1">
        <f ca="1">IFERROR(__xludf.DUMMYFUNCTION("""COMPUTED_VALUE"""),246)</f>
        <v>246</v>
      </c>
      <c r="N145" s="1">
        <f ca="1">IFERROR(__xludf.DUMMYFUNCTION("""COMPUTED_VALUE"""),-2.86)</f>
        <v>-2.86</v>
      </c>
      <c r="O145" s="1">
        <f ca="1">IFERROR(__xludf.DUMMYFUNCTION("""COMPUTED_VALUE"""),219)</f>
        <v>219</v>
      </c>
      <c r="P145" s="1">
        <f ca="1">IFERROR(__xludf.DUMMYFUNCTION("""COMPUTED_VALUE"""),102.4)</f>
        <v>102.4</v>
      </c>
      <c r="Q145" s="1">
        <f ca="1">IFERROR(__xludf.DUMMYFUNCTION("""COMPUTED_VALUE"""),263)</f>
        <v>263</v>
      </c>
      <c r="R145" s="1">
        <f ca="1">IFERROR(__xludf.DUMMYFUNCTION("""COMPUTED_VALUE"""),105.3)</f>
        <v>105.3</v>
      </c>
      <c r="S145" s="1">
        <f ca="1">IFERROR(__xludf.DUMMYFUNCTION("""COMPUTED_VALUE"""),161)</f>
        <v>161</v>
      </c>
      <c r="T145" s="1">
        <f ca="1">IFERROR(__xludf.DUMMYFUNCTION("""COMPUTED_VALUE"""),-6.78)</f>
        <v>-6.78</v>
      </c>
      <c r="U145" s="1">
        <f ca="1">IFERROR(__xludf.DUMMYFUNCTION("""COMPUTED_VALUE"""),334)</f>
        <v>334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IFERROR(__xludf.DUMMYFUNCTION("""COMPUTED_VALUE"""),"Northern Kentucky15")</f>
        <v>Northern Kentucky15</v>
      </c>
      <c r="C146" s="1" t="str">
        <f ca="1">IFERROR(__xludf.DUMMYFUNCTION("""COMPUTED_VALUE"""),"Horz")</f>
        <v>Horz</v>
      </c>
      <c r="D146" s="1" t="str">
        <f ca="1">IFERROR(__xludf.DUMMYFUNCTION("""COMPUTED_VALUE"""),"24-11")</f>
        <v>24-11</v>
      </c>
      <c r="E146" s="1" t="str">
        <f ca="1">IFERROR(__xludf.DUMMYFUNCTION("""COMPUTED_VALUE"""),"+1.91")</f>
        <v>+1.91</v>
      </c>
      <c r="F146" s="1">
        <f ca="1">IFERROR(__xludf.DUMMYFUNCTION("""COMPUTED_VALUE"""),106.8)</f>
        <v>106.8</v>
      </c>
      <c r="G146" s="1">
        <f ca="1">IFERROR(__xludf.DUMMYFUNCTION("""COMPUTED_VALUE"""),130)</f>
        <v>130</v>
      </c>
      <c r="H146" s="1">
        <f ca="1">IFERROR(__xludf.DUMMYFUNCTION("""COMPUTED_VALUE"""),104.9)</f>
        <v>104.9</v>
      </c>
      <c r="I146" s="1">
        <f ca="1">IFERROR(__xludf.DUMMYFUNCTION("""COMPUTED_VALUE"""),178)</f>
        <v>178</v>
      </c>
      <c r="J146" s="1">
        <f ca="1">IFERROR(__xludf.DUMMYFUNCTION("""COMPUTED_VALUE"""),68)</f>
        <v>68</v>
      </c>
      <c r="K146" s="1">
        <f ca="1">IFERROR(__xludf.DUMMYFUNCTION("""COMPUTED_VALUE"""),189)</f>
        <v>189</v>
      </c>
      <c r="L146" s="1" t="str">
        <f ca="1">IFERROR(__xludf.DUMMYFUNCTION("""COMPUTED_VALUE"""),"+.073")</f>
        <v>+.073</v>
      </c>
      <c r="M146" s="1">
        <f ca="1">IFERROR(__xludf.DUMMYFUNCTION("""COMPUTED_VALUE"""),22)</f>
        <v>22</v>
      </c>
      <c r="N146" s="1">
        <f ca="1">IFERROR(__xludf.DUMMYFUNCTION("""COMPUTED_VALUE"""),-3.35)</f>
        <v>-3.35</v>
      </c>
      <c r="O146" s="1">
        <f ca="1">IFERROR(__xludf.DUMMYFUNCTION("""COMPUTED_VALUE"""),234)</f>
        <v>234</v>
      </c>
      <c r="P146" s="1">
        <f ca="1">IFERROR(__xludf.DUMMYFUNCTION("""COMPUTED_VALUE"""),102.9)</f>
        <v>102.9</v>
      </c>
      <c r="Q146" s="1">
        <f ca="1">IFERROR(__xludf.DUMMYFUNCTION("""COMPUTED_VALUE"""),242)</f>
        <v>242</v>
      </c>
      <c r="R146" s="1">
        <f ca="1">IFERROR(__xludf.DUMMYFUNCTION("""COMPUTED_VALUE"""),106.3)</f>
        <v>106.3</v>
      </c>
      <c r="S146" s="1">
        <f ca="1">IFERROR(__xludf.DUMMYFUNCTION("""COMPUTED_VALUE"""),224)</f>
        <v>224</v>
      </c>
      <c r="T146" s="1">
        <f ca="1">IFERROR(__xludf.DUMMYFUNCTION("""COMPUTED_VALUE"""),-2.55)</f>
        <v>-2.5499999999999998</v>
      </c>
      <c r="U146" s="1">
        <f ca="1">IFERROR(__xludf.DUMMYFUNCTION("""COMPUTED_VALUE"""),228)</f>
        <v>228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IFERROR(__xludf.DUMMYFUNCTION("""COMPUTED_VALUE"""),"UC Irvine8")</f>
        <v>UC Irvine8</v>
      </c>
      <c r="C147" s="1" t="str">
        <f ca="1">IFERROR(__xludf.DUMMYFUNCTION("""COMPUTED_VALUE"""),"BW")</f>
        <v>BW</v>
      </c>
      <c r="D147" s="1" t="str">
        <f ca="1">IFERROR(__xludf.DUMMYFUNCTION("""COMPUTED_VALUE"""),"21-15")</f>
        <v>21-15</v>
      </c>
      <c r="E147" s="1" t="str">
        <f ca="1">IFERROR(__xludf.DUMMYFUNCTION("""COMPUTED_VALUE"""),"+1.86")</f>
        <v>+1.86</v>
      </c>
      <c r="F147" s="1">
        <f ca="1">IFERROR(__xludf.DUMMYFUNCTION("""COMPUTED_VALUE"""),101.8)</f>
        <v>101.8</v>
      </c>
      <c r="G147" s="1">
        <f ca="1">IFERROR(__xludf.DUMMYFUNCTION("""COMPUTED_VALUE"""),222)</f>
        <v>222</v>
      </c>
      <c r="H147" s="1">
        <f ca="1">IFERROR(__xludf.DUMMYFUNCTION("""COMPUTED_VALUE"""),100)</f>
        <v>100</v>
      </c>
      <c r="I147" s="1">
        <f ca="1">IFERROR(__xludf.DUMMYFUNCTION("""COMPUTED_VALUE"""),81)</f>
        <v>81</v>
      </c>
      <c r="J147" s="1">
        <f ca="1">IFERROR(__xludf.DUMMYFUNCTION("""COMPUTED_VALUE"""),66.5)</f>
        <v>66.5</v>
      </c>
      <c r="K147" s="1">
        <f ca="1">IFERROR(__xludf.DUMMYFUNCTION("""COMPUTED_VALUE"""),258)</f>
        <v>258</v>
      </c>
      <c r="L147" s="1">
        <f ca="1">IFERROR(__xludf.DUMMYFUNCTION("""COMPUTED_VALUE"""),-0.011)</f>
        <v>-1.0999999999999999E-2</v>
      </c>
      <c r="M147" s="1">
        <f ca="1">IFERROR(__xludf.DUMMYFUNCTION("""COMPUTED_VALUE"""),212)</f>
        <v>212</v>
      </c>
      <c r="N147" s="1">
        <f ca="1">IFERROR(__xludf.DUMMYFUNCTION("""COMPUTED_VALUE"""),-3.29)</f>
        <v>-3.29</v>
      </c>
      <c r="O147" s="1">
        <f ca="1">IFERROR(__xludf.DUMMYFUNCTION("""COMPUTED_VALUE"""),231)</f>
        <v>231</v>
      </c>
      <c r="P147" s="1">
        <f ca="1">IFERROR(__xludf.DUMMYFUNCTION("""COMPUTED_VALUE"""),102.4)</f>
        <v>102.4</v>
      </c>
      <c r="Q147" s="1">
        <f ca="1">IFERROR(__xludf.DUMMYFUNCTION("""COMPUTED_VALUE"""),264)</f>
        <v>264</v>
      </c>
      <c r="R147" s="1">
        <f ca="1">IFERROR(__xludf.DUMMYFUNCTION("""COMPUTED_VALUE"""),105.7)</f>
        <v>105.7</v>
      </c>
      <c r="S147" s="1">
        <f ca="1">IFERROR(__xludf.DUMMYFUNCTION("""COMPUTED_VALUE"""),180)</f>
        <v>180</v>
      </c>
      <c r="T147" s="1" t="str">
        <f ca="1">IFERROR(__xludf.DUMMYFUNCTION("""COMPUTED_VALUE"""),"+6.93")</f>
        <v>+6.93</v>
      </c>
      <c r="U147" s="1">
        <f ca="1">IFERROR(__xludf.DUMMYFUNCTION("""COMPUTED_VALUE"""),23)</f>
        <v>23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IFERROR(__xludf.DUMMYFUNCTION("""COMPUTED_VALUE"""),"La Salle")</f>
        <v>La Salle</v>
      </c>
      <c r="C148" s="1" t="str">
        <f ca="1">IFERROR(__xludf.DUMMYFUNCTION("""COMPUTED_VALUE"""),"A10")</f>
        <v>A10</v>
      </c>
      <c r="D148" s="1" t="str">
        <f ca="1">IFERROR(__xludf.DUMMYFUNCTION("""COMPUTED_VALUE"""),"15-15")</f>
        <v>15-15</v>
      </c>
      <c r="E148" s="1" t="str">
        <f ca="1">IFERROR(__xludf.DUMMYFUNCTION("""COMPUTED_VALUE"""),"+1.80")</f>
        <v>+1.80</v>
      </c>
      <c r="F148" s="1">
        <f ca="1">IFERROR(__xludf.DUMMYFUNCTION("""COMPUTED_VALUE"""),110.6)</f>
        <v>110.6</v>
      </c>
      <c r="G148" s="1">
        <f ca="1">IFERROR(__xludf.DUMMYFUNCTION("""COMPUTED_VALUE"""),69)</f>
        <v>69</v>
      </c>
      <c r="H148" s="1">
        <f ca="1">IFERROR(__xludf.DUMMYFUNCTION("""COMPUTED_VALUE"""),108.7)</f>
        <v>108.7</v>
      </c>
      <c r="I148" s="1">
        <f ca="1">IFERROR(__xludf.DUMMYFUNCTION("""COMPUTED_VALUE"""),251)</f>
        <v>251</v>
      </c>
      <c r="J148" s="1">
        <f ca="1">IFERROR(__xludf.DUMMYFUNCTION("""COMPUTED_VALUE"""),68.7)</f>
        <v>68.7</v>
      </c>
      <c r="K148" s="1">
        <f ca="1">IFERROR(__xludf.DUMMYFUNCTION("""COMPUTED_VALUE"""),139)</f>
        <v>139</v>
      </c>
      <c r="L148" s="1" t="str">
        <f ca="1">IFERROR(__xludf.DUMMYFUNCTION("""COMPUTED_VALUE"""),"+.028")</f>
        <v>+.028</v>
      </c>
      <c r="M148" s="1">
        <f ca="1">IFERROR(__xludf.DUMMYFUNCTION("""COMPUTED_VALUE"""),108)</f>
        <v>108</v>
      </c>
      <c r="N148" s="1" t="str">
        <f ca="1">IFERROR(__xludf.DUMMYFUNCTION("""COMPUTED_VALUE"""),"+2.18")</f>
        <v>+2.18</v>
      </c>
      <c r="O148" s="1">
        <f ca="1">IFERROR(__xludf.DUMMYFUNCTION("""COMPUTED_VALUE"""),96)</f>
        <v>96</v>
      </c>
      <c r="P148" s="1">
        <f ca="1">IFERROR(__xludf.DUMMYFUNCTION("""COMPUTED_VALUE"""),105)</f>
        <v>105</v>
      </c>
      <c r="Q148" s="1">
        <f ca="1">IFERROR(__xludf.DUMMYFUNCTION("""COMPUTED_VALUE"""),133)</f>
        <v>133</v>
      </c>
      <c r="R148" s="1">
        <f ca="1">IFERROR(__xludf.DUMMYFUNCTION("""COMPUTED_VALUE"""),102.8)</f>
        <v>102.8</v>
      </c>
      <c r="S148" s="1">
        <f ca="1">IFERROR(__xludf.DUMMYFUNCTION("""COMPUTED_VALUE"""),90)</f>
        <v>90</v>
      </c>
      <c r="T148" s="1" t="str">
        <f ca="1">IFERROR(__xludf.DUMMYFUNCTION("""COMPUTED_VALUE"""),"+1.13")</f>
        <v>+1.13</v>
      </c>
      <c r="U148" s="1">
        <f ca="1">IFERROR(__xludf.DUMMYFUNCTION("""COMPUTED_VALUE"""),124)</f>
        <v>124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IFERROR(__xludf.DUMMYFUNCTION("""COMPUTED_VALUE"""),"Kent St.14")</f>
        <v>Kent St.14</v>
      </c>
      <c r="C149" s="1" t="str">
        <f ca="1">IFERROR(__xludf.DUMMYFUNCTION("""COMPUTED_VALUE"""),"MAC")</f>
        <v>MAC</v>
      </c>
      <c r="D149" s="1" t="str">
        <f ca="1">IFERROR(__xludf.DUMMYFUNCTION("""COMPUTED_VALUE"""),"22-14")</f>
        <v>22-14</v>
      </c>
      <c r="E149" s="1" t="str">
        <f ca="1">IFERROR(__xludf.DUMMYFUNCTION("""COMPUTED_VALUE"""),"+1.68")</f>
        <v>+1.68</v>
      </c>
      <c r="F149" s="1">
        <f ca="1">IFERROR(__xludf.DUMMYFUNCTION("""COMPUTED_VALUE"""),104.9)</f>
        <v>104.9</v>
      </c>
      <c r="G149" s="1">
        <f ca="1">IFERROR(__xludf.DUMMYFUNCTION("""COMPUTED_VALUE"""),159)</f>
        <v>159</v>
      </c>
      <c r="H149" s="1">
        <f ca="1">IFERROR(__xludf.DUMMYFUNCTION("""COMPUTED_VALUE"""),103.3)</f>
        <v>103.3</v>
      </c>
      <c r="I149" s="1">
        <f ca="1">IFERROR(__xludf.DUMMYFUNCTION("""COMPUTED_VALUE"""),142)</f>
        <v>142</v>
      </c>
      <c r="J149" s="1">
        <f ca="1">IFERROR(__xludf.DUMMYFUNCTION("""COMPUTED_VALUE"""),68.3)</f>
        <v>68.3</v>
      </c>
      <c r="K149" s="1">
        <f ca="1">IFERROR(__xludf.DUMMYFUNCTION("""COMPUTED_VALUE"""),176)</f>
        <v>176</v>
      </c>
      <c r="L149" s="1" t="str">
        <f ca="1">IFERROR(__xludf.DUMMYFUNCTION("""COMPUTED_VALUE"""),"+.024")</f>
        <v>+.024</v>
      </c>
      <c r="M149" s="1">
        <f ca="1">IFERROR(__xludf.DUMMYFUNCTION("""COMPUTED_VALUE"""),122)</f>
        <v>122</v>
      </c>
      <c r="N149" s="1">
        <f ca="1">IFERROR(__xludf.DUMMYFUNCTION("""COMPUTED_VALUE"""),-1.92)</f>
        <v>-1.92</v>
      </c>
      <c r="O149" s="1">
        <f ca="1">IFERROR(__xludf.DUMMYFUNCTION("""COMPUTED_VALUE"""),188)</f>
        <v>188</v>
      </c>
      <c r="P149" s="1">
        <f ca="1">IFERROR(__xludf.DUMMYFUNCTION("""COMPUTED_VALUE"""),104.4)</f>
        <v>104.4</v>
      </c>
      <c r="Q149" s="1">
        <f ca="1">IFERROR(__xludf.DUMMYFUNCTION("""COMPUTED_VALUE"""),160)</f>
        <v>160</v>
      </c>
      <c r="R149" s="1">
        <f ca="1">IFERROR(__xludf.DUMMYFUNCTION("""COMPUTED_VALUE"""),106.3)</f>
        <v>106.3</v>
      </c>
      <c r="S149" s="1">
        <f ca="1">IFERROR(__xludf.DUMMYFUNCTION("""COMPUTED_VALUE"""),225)</f>
        <v>225</v>
      </c>
      <c r="T149" s="1">
        <f ca="1">IFERROR(__xludf.DUMMYFUNCTION("""COMPUTED_VALUE"""),-5.91)</f>
        <v>-5.91</v>
      </c>
      <c r="U149" s="1">
        <f ca="1">IFERROR(__xludf.DUMMYFUNCTION("""COMPUTED_VALUE"""),316)</f>
        <v>316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IFERROR(__xludf.DUMMYFUNCTION("""COMPUTED_VALUE"""),"Wofford")</f>
        <v>Wofford</v>
      </c>
      <c r="C150" s="1" t="str">
        <f ca="1">IFERROR(__xludf.DUMMYFUNCTION("""COMPUTED_VALUE"""),"SC")</f>
        <v>SC</v>
      </c>
      <c r="D150" s="1" t="str">
        <f ca="1">IFERROR(__xludf.DUMMYFUNCTION("""COMPUTED_VALUE"""),"16-17")</f>
        <v>16-17</v>
      </c>
      <c r="E150" s="1" t="str">
        <f ca="1">IFERROR(__xludf.DUMMYFUNCTION("""COMPUTED_VALUE"""),"+1.54")</f>
        <v>+1.54</v>
      </c>
      <c r="F150" s="1">
        <f ca="1">IFERROR(__xludf.DUMMYFUNCTION("""COMPUTED_VALUE"""),109.9)</f>
        <v>109.9</v>
      </c>
      <c r="G150" s="1">
        <f ca="1">IFERROR(__xludf.DUMMYFUNCTION("""COMPUTED_VALUE"""),75)</f>
        <v>75</v>
      </c>
      <c r="H150" s="1">
        <f ca="1">IFERROR(__xludf.DUMMYFUNCTION("""COMPUTED_VALUE"""),108.4)</f>
        <v>108.4</v>
      </c>
      <c r="I150" s="1">
        <f ca="1">IFERROR(__xludf.DUMMYFUNCTION("""COMPUTED_VALUE"""),246)</f>
        <v>246</v>
      </c>
      <c r="J150" s="1">
        <f ca="1">IFERROR(__xludf.DUMMYFUNCTION("""COMPUTED_VALUE"""),66.7)</f>
        <v>66.7</v>
      </c>
      <c r="K150" s="1">
        <f ca="1">IFERROR(__xludf.DUMMYFUNCTION("""COMPUTED_VALUE"""),252)</f>
        <v>252</v>
      </c>
      <c r="L150" s="1">
        <f ca="1">IFERROR(__xludf.DUMMYFUNCTION("""COMPUTED_VALUE"""),-0.067)</f>
        <v>-6.7000000000000004E-2</v>
      </c>
      <c r="M150" s="1">
        <f ca="1">IFERROR(__xludf.DUMMYFUNCTION("""COMPUTED_VALUE"""),319)</f>
        <v>319</v>
      </c>
      <c r="N150" s="1" t="str">
        <f ca="1">IFERROR(__xludf.DUMMYFUNCTION("""COMPUTED_VALUE"""),"+0.90")</f>
        <v>+0.90</v>
      </c>
      <c r="O150" s="1">
        <f ca="1">IFERROR(__xludf.DUMMYFUNCTION("""COMPUTED_VALUE"""),118)</f>
        <v>118</v>
      </c>
      <c r="P150" s="1">
        <f ca="1">IFERROR(__xludf.DUMMYFUNCTION("""COMPUTED_VALUE"""),105.6)</f>
        <v>105.6</v>
      </c>
      <c r="Q150" s="1">
        <f ca="1">IFERROR(__xludf.DUMMYFUNCTION("""COMPUTED_VALUE"""),100)</f>
        <v>100</v>
      </c>
      <c r="R150" s="1">
        <f ca="1">IFERROR(__xludf.DUMMYFUNCTION("""COMPUTED_VALUE"""),104.7)</f>
        <v>104.7</v>
      </c>
      <c r="S150" s="1">
        <f ca="1">IFERROR(__xludf.DUMMYFUNCTION("""COMPUTED_VALUE"""),136)</f>
        <v>136</v>
      </c>
      <c r="T150" s="1" t="str">
        <f ca="1">IFERROR(__xludf.DUMMYFUNCTION("""COMPUTED_VALUE"""),"+6.75")</f>
        <v>+6.75</v>
      </c>
      <c r="U150" s="1">
        <f ca="1">IFERROR(__xludf.DUMMYFUNCTION("""COMPUTED_VALUE"""),26)</f>
        <v>26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IFERROR(__xludf.DUMMYFUNCTION("""COMPUTED_VALUE"""),"South Dakota8")</f>
        <v>South Dakota8</v>
      </c>
      <c r="C151" s="1" t="str">
        <f ca="1">IFERROR(__xludf.DUMMYFUNCTION("""COMPUTED_VALUE"""),"Sum")</f>
        <v>Sum</v>
      </c>
      <c r="D151" s="1" t="str">
        <f ca="1">IFERROR(__xludf.DUMMYFUNCTION("""COMPUTED_VALUE"""),"22-12")</f>
        <v>22-12</v>
      </c>
      <c r="E151" s="1" t="str">
        <f ca="1">IFERROR(__xludf.DUMMYFUNCTION("""COMPUTED_VALUE"""),"+1.48")</f>
        <v>+1.48</v>
      </c>
      <c r="F151" s="1">
        <f ca="1">IFERROR(__xludf.DUMMYFUNCTION("""COMPUTED_VALUE"""),104.2)</f>
        <v>104.2</v>
      </c>
      <c r="G151" s="1">
        <f ca="1">IFERROR(__xludf.DUMMYFUNCTION("""COMPUTED_VALUE"""),179)</f>
        <v>179</v>
      </c>
      <c r="H151" s="1">
        <f ca="1">IFERROR(__xludf.DUMMYFUNCTION("""COMPUTED_VALUE"""),102.7)</f>
        <v>102.7</v>
      </c>
      <c r="I151" s="1">
        <f ca="1">IFERROR(__xludf.DUMMYFUNCTION("""COMPUTED_VALUE"""),126)</f>
        <v>126</v>
      </c>
      <c r="J151" s="1">
        <f ca="1">IFERROR(__xludf.DUMMYFUNCTION("""COMPUTED_VALUE"""),70.7)</f>
        <v>70.7</v>
      </c>
      <c r="K151" s="1">
        <f ca="1">IFERROR(__xludf.DUMMYFUNCTION("""COMPUTED_VALUE"""),56)</f>
        <v>56</v>
      </c>
      <c r="L151" s="1" t="str">
        <f ca="1">IFERROR(__xludf.DUMMYFUNCTION("""COMPUTED_VALUE"""),"+.066")</f>
        <v>+.066</v>
      </c>
      <c r="M151" s="1">
        <f ca="1">IFERROR(__xludf.DUMMYFUNCTION("""COMPUTED_VALUE"""),33)</f>
        <v>33</v>
      </c>
      <c r="N151" s="1">
        <f ca="1">IFERROR(__xludf.DUMMYFUNCTION("""COMPUTED_VALUE"""),-2.62)</f>
        <v>-2.62</v>
      </c>
      <c r="O151" s="1">
        <f ca="1">IFERROR(__xludf.DUMMYFUNCTION("""COMPUTED_VALUE"""),207)</f>
        <v>207</v>
      </c>
      <c r="P151" s="1">
        <f ca="1">IFERROR(__xludf.DUMMYFUNCTION("""COMPUTED_VALUE"""),105.4)</f>
        <v>105.4</v>
      </c>
      <c r="Q151" s="1">
        <f ca="1">IFERROR(__xludf.DUMMYFUNCTION("""COMPUTED_VALUE"""),105)</f>
        <v>105</v>
      </c>
      <c r="R151" s="1">
        <f ca="1">IFERROR(__xludf.DUMMYFUNCTION("""COMPUTED_VALUE"""),108.1)</f>
        <v>108.1</v>
      </c>
      <c r="S151" s="1">
        <f ca="1">IFERROR(__xludf.DUMMYFUNCTION("""COMPUTED_VALUE"""),311)</f>
        <v>311</v>
      </c>
      <c r="T151" s="1">
        <f ca="1">IFERROR(__xludf.DUMMYFUNCTION("""COMPUTED_VALUE"""),-1.86)</f>
        <v>-1.86</v>
      </c>
      <c r="U151" s="1">
        <f ca="1">IFERROR(__xludf.DUMMYFUNCTION("""COMPUTED_VALUE"""),211)</f>
        <v>211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IFERROR(__xludf.DUMMYFUNCTION("""COMPUTED_VALUE"""),"Tulsa")</f>
        <v>Tulsa</v>
      </c>
      <c r="C152" s="1" t="str">
        <f ca="1">IFERROR(__xludf.DUMMYFUNCTION("""COMPUTED_VALUE"""),"Amer")</f>
        <v>Amer</v>
      </c>
      <c r="D152" s="1" t="str">
        <f ca="1">IFERROR(__xludf.DUMMYFUNCTION("""COMPUTED_VALUE"""),"15-17")</f>
        <v>15-17</v>
      </c>
      <c r="E152" s="1" t="str">
        <f ca="1">IFERROR(__xludf.DUMMYFUNCTION("""COMPUTED_VALUE"""),"+1.44")</f>
        <v>+1.44</v>
      </c>
      <c r="F152" s="1">
        <f ca="1">IFERROR(__xludf.DUMMYFUNCTION("""COMPUTED_VALUE"""),104.3)</f>
        <v>104.3</v>
      </c>
      <c r="G152" s="1">
        <f ca="1">IFERROR(__xludf.DUMMYFUNCTION("""COMPUTED_VALUE"""),172)</f>
        <v>172</v>
      </c>
      <c r="H152" s="1">
        <f ca="1">IFERROR(__xludf.DUMMYFUNCTION("""COMPUTED_VALUE"""),102.9)</f>
        <v>102.9</v>
      </c>
      <c r="I152" s="1">
        <f ca="1">IFERROR(__xludf.DUMMYFUNCTION("""COMPUTED_VALUE"""),135)</f>
        <v>135</v>
      </c>
      <c r="J152" s="1">
        <f ca="1">IFERROR(__xludf.DUMMYFUNCTION("""COMPUTED_VALUE"""),68.2)</f>
        <v>68.2</v>
      </c>
      <c r="K152" s="1">
        <f ca="1">IFERROR(__xludf.DUMMYFUNCTION("""COMPUTED_VALUE"""),180)</f>
        <v>180</v>
      </c>
      <c r="L152" s="1" t="str">
        <f ca="1">IFERROR(__xludf.DUMMYFUNCTION("""COMPUTED_VALUE"""),"+.055")</f>
        <v>+.055</v>
      </c>
      <c r="M152" s="1">
        <f ca="1">IFERROR(__xludf.DUMMYFUNCTION("""COMPUTED_VALUE"""),46)</f>
        <v>46</v>
      </c>
      <c r="N152" s="1" t="str">
        <f ca="1">IFERROR(__xludf.DUMMYFUNCTION("""COMPUTED_VALUE"""),"+4.59")</f>
        <v>+4.59</v>
      </c>
      <c r="O152" s="1">
        <f ca="1">IFERROR(__xludf.DUMMYFUNCTION("""COMPUTED_VALUE"""),76)</f>
        <v>76</v>
      </c>
      <c r="P152" s="1">
        <f ca="1">IFERROR(__xludf.DUMMYFUNCTION("""COMPUTED_VALUE"""),105.8)</f>
        <v>105.8</v>
      </c>
      <c r="Q152" s="1">
        <f ca="1">IFERROR(__xludf.DUMMYFUNCTION("""COMPUTED_VALUE"""),95)</f>
        <v>95</v>
      </c>
      <c r="R152" s="1">
        <f ca="1">IFERROR(__xludf.DUMMYFUNCTION("""COMPUTED_VALUE"""),101.2)</f>
        <v>101.2</v>
      </c>
      <c r="S152" s="1">
        <f ca="1">IFERROR(__xludf.DUMMYFUNCTION("""COMPUTED_VALUE"""),52)</f>
        <v>52</v>
      </c>
      <c r="T152" s="1" t="str">
        <f ca="1">IFERROR(__xludf.DUMMYFUNCTION("""COMPUTED_VALUE"""),"+2.08")</f>
        <v>+2.08</v>
      </c>
      <c r="U152" s="1">
        <f ca="1">IFERROR(__xludf.DUMMYFUNCTION("""COMPUTED_VALUE"""),92)</f>
        <v>92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IFERROR(__xludf.DUMMYFUNCTION("""COMPUTED_VALUE"""),"Mercer")</f>
        <v>Mercer</v>
      </c>
      <c r="C153" s="1" t="str">
        <f ca="1">IFERROR(__xludf.DUMMYFUNCTION("""COMPUTED_VALUE"""),"SC")</f>
        <v>SC</v>
      </c>
      <c r="D153" s="1" t="str">
        <f ca="1">IFERROR(__xludf.DUMMYFUNCTION("""COMPUTED_VALUE"""),"15-17")</f>
        <v>15-17</v>
      </c>
      <c r="E153" s="1" t="str">
        <f ca="1">IFERROR(__xludf.DUMMYFUNCTION("""COMPUTED_VALUE"""),"+1.37")</f>
        <v>+1.37</v>
      </c>
      <c r="F153" s="1">
        <f ca="1">IFERROR(__xludf.DUMMYFUNCTION("""COMPUTED_VALUE"""),109.6)</f>
        <v>109.6</v>
      </c>
      <c r="G153" s="1">
        <f ca="1">IFERROR(__xludf.DUMMYFUNCTION("""COMPUTED_VALUE"""),81)</f>
        <v>81</v>
      </c>
      <c r="H153" s="1">
        <f ca="1">IFERROR(__xludf.DUMMYFUNCTION("""COMPUTED_VALUE"""),108.2)</f>
        <v>108.2</v>
      </c>
      <c r="I153" s="1">
        <f ca="1">IFERROR(__xludf.DUMMYFUNCTION("""COMPUTED_VALUE"""),243)</f>
        <v>243</v>
      </c>
      <c r="J153" s="1">
        <f ca="1">IFERROR(__xludf.DUMMYFUNCTION("""COMPUTED_VALUE"""),61.7)</f>
        <v>61.7</v>
      </c>
      <c r="K153" s="1">
        <f ca="1">IFERROR(__xludf.DUMMYFUNCTION("""COMPUTED_VALUE"""),346)</f>
        <v>346</v>
      </c>
      <c r="L153" s="1">
        <f ca="1">IFERROR(__xludf.DUMMYFUNCTION("""COMPUTED_VALUE"""),-0.064)</f>
        <v>-6.4000000000000001E-2</v>
      </c>
      <c r="M153" s="1">
        <f ca="1">IFERROR(__xludf.DUMMYFUNCTION("""COMPUTED_VALUE"""),314)</f>
        <v>314</v>
      </c>
      <c r="N153" s="1" t="str">
        <f ca="1">IFERROR(__xludf.DUMMYFUNCTION("""COMPUTED_VALUE"""),"+0.10")</f>
        <v>+0.10</v>
      </c>
      <c r="O153" s="1">
        <f ca="1">IFERROR(__xludf.DUMMYFUNCTION("""COMPUTED_VALUE"""),132)</f>
        <v>132</v>
      </c>
      <c r="P153" s="1">
        <f ca="1">IFERROR(__xludf.DUMMYFUNCTION("""COMPUTED_VALUE"""),105.4)</f>
        <v>105.4</v>
      </c>
      <c r="Q153" s="1">
        <f ca="1">IFERROR(__xludf.DUMMYFUNCTION("""COMPUTED_VALUE"""),107)</f>
        <v>107</v>
      </c>
      <c r="R153" s="1">
        <f ca="1">IFERROR(__xludf.DUMMYFUNCTION("""COMPUTED_VALUE"""),105.3)</f>
        <v>105.3</v>
      </c>
      <c r="S153" s="1">
        <f ca="1">IFERROR(__xludf.DUMMYFUNCTION("""COMPUTED_VALUE"""),163)</f>
        <v>163</v>
      </c>
      <c r="T153" s="1" t="str">
        <f ca="1">IFERROR(__xludf.DUMMYFUNCTION("""COMPUTED_VALUE"""),"+3.55")</f>
        <v>+3.55</v>
      </c>
      <c r="U153" s="1">
        <f ca="1">IFERROR(__xludf.DUMMYFUNCTION("""COMPUTED_VALUE"""),60)</f>
        <v>60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IFERROR(__xludf.DUMMYFUNCTION("""COMPUTED_VALUE"""),"Louisiana Lafayette")</f>
        <v>Louisiana Lafayette</v>
      </c>
      <c r="C154" s="1" t="str">
        <f ca="1">IFERROR(__xludf.DUMMYFUNCTION("""COMPUTED_VALUE"""),"SB")</f>
        <v>SB</v>
      </c>
      <c r="D154" s="1" t="str">
        <f ca="1">IFERROR(__xludf.DUMMYFUNCTION("""COMPUTED_VALUE"""),"21-12")</f>
        <v>21-12</v>
      </c>
      <c r="E154" s="1" t="str">
        <f ca="1">IFERROR(__xludf.DUMMYFUNCTION("""COMPUTED_VALUE"""),"+1.29")</f>
        <v>+1.29</v>
      </c>
      <c r="F154" s="1">
        <f ca="1">IFERROR(__xludf.DUMMYFUNCTION("""COMPUTED_VALUE"""),111.1)</f>
        <v>111.1</v>
      </c>
      <c r="G154" s="1">
        <f ca="1">IFERROR(__xludf.DUMMYFUNCTION("""COMPUTED_VALUE"""),61)</f>
        <v>61</v>
      </c>
      <c r="H154" s="1">
        <f ca="1">IFERROR(__xludf.DUMMYFUNCTION("""COMPUTED_VALUE"""),109.8)</f>
        <v>109.8</v>
      </c>
      <c r="I154" s="1">
        <f ca="1">IFERROR(__xludf.DUMMYFUNCTION("""COMPUTED_VALUE"""),279)</f>
        <v>279</v>
      </c>
      <c r="J154" s="1">
        <f ca="1">IFERROR(__xludf.DUMMYFUNCTION("""COMPUTED_VALUE"""),72.2)</f>
        <v>72.2</v>
      </c>
      <c r="K154" s="1">
        <f ca="1">IFERROR(__xludf.DUMMYFUNCTION("""COMPUTED_VALUE"""),23)</f>
        <v>23</v>
      </c>
      <c r="L154" s="1" t="str">
        <f ca="1">IFERROR(__xludf.DUMMYFUNCTION("""COMPUTED_VALUE"""),"+.034")</f>
        <v>+.034</v>
      </c>
      <c r="M154" s="1">
        <f ca="1">IFERROR(__xludf.DUMMYFUNCTION("""COMPUTED_VALUE"""),89)</f>
        <v>89</v>
      </c>
      <c r="N154" s="1">
        <f ca="1">IFERROR(__xludf.DUMMYFUNCTION("""COMPUTED_VALUE"""),-2.71)</f>
        <v>-2.71</v>
      </c>
      <c r="O154" s="1">
        <f ca="1">IFERROR(__xludf.DUMMYFUNCTION("""COMPUTED_VALUE"""),212)</f>
        <v>212</v>
      </c>
      <c r="P154" s="1">
        <f ca="1">IFERROR(__xludf.DUMMYFUNCTION("""COMPUTED_VALUE"""),102.6)</f>
        <v>102.6</v>
      </c>
      <c r="Q154" s="1">
        <f ca="1">IFERROR(__xludf.DUMMYFUNCTION("""COMPUTED_VALUE"""),259)</f>
        <v>259</v>
      </c>
      <c r="R154" s="1">
        <f ca="1">IFERROR(__xludf.DUMMYFUNCTION("""COMPUTED_VALUE"""),105.3)</f>
        <v>105.3</v>
      </c>
      <c r="S154" s="1">
        <f ca="1">IFERROR(__xludf.DUMMYFUNCTION("""COMPUTED_VALUE"""),160)</f>
        <v>160</v>
      </c>
      <c r="T154" s="1">
        <f ca="1">IFERROR(__xludf.DUMMYFUNCTION("""COMPUTED_VALUE"""),-4.27)</f>
        <v>-4.2699999999999996</v>
      </c>
      <c r="U154" s="1">
        <f ca="1">IFERROR(__xludf.DUMMYFUNCTION("""COMPUTED_VALUE"""),278)</f>
        <v>278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IFERROR(__xludf.DUMMYFUNCTION("""COMPUTED_VALUE"""),"Utah Valley")</f>
        <v>Utah Valley</v>
      </c>
      <c r="C155" s="1" t="str">
        <f ca="1">IFERROR(__xludf.DUMMYFUNCTION("""COMPUTED_VALUE"""),"WAC")</f>
        <v>WAC</v>
      </c>
      <c r="D155" s="1" t="str">
        <f ca="1">IFERROR(__xludf.DUMMYFUNCTION("""COMPUTED_VALUE"""),"17-17")</f>
        <v>17-17</v>
      </c>
      <c r="E155" s="1" t="str">
        <f ca="1">IFERROR(__xludf.DUMMYFUNCTION("""COMPUTED_VALUE"""),"+1.25")</f>
        <v>+1.25</v>
      </c>
      <c r="F155" s="1">
        <f ca="1">IFERROR(__xludf.DUMMYFUNCTION("""COMPUTED_VALUE"""),101)</f>
        <v>101</v>
      </c>
      <c r="G155" s="1">
        <f ca="1">IFERROR(__xludf.DUMMYFUNCTION("""COMPUTED_VALUE"""),240)</f>
        <v>240</v>
      </c>
      <c r="H155" s="1">
        <f ca="1">IFERROR(__xludf.DUMMYFUNCTION("""COMPUTED_VALUE"""),99.7)</f>
        <v>99.7</v>
      </c>
      <c r="I155" s="1">
        <f ca="1">IFERROR(__xludf.DUMMYFUNCTION("""COMPUTED_VALUE"""),75)</f>
        <v>75</v>
      </c>
      <c r="J155" s="1">
        <f ca="1">IFERROR(__xludf.DUMMYFUNCTION("""COMPUTED_VALUE"""),73)</f>
        <v>73</v>
      </c>
      <c r="K155" s="1">
        <f ca="1">IFERROR(__xludf.DUMMYFUNCTION("""COMPUTED_VALUE"""),13)</f>
        <v>13</v>
      </c>
      <c r="L155" s="1">
        <f ca="1">IFERROR(__xludf.DUMMYFUNCTION("""COMPUTED_VALUE"""),-0.085)</f>
        <v>-8.5000000000000006E-2</v>
      </c>
      <c r="M155" s="1">
        <f ca="1">IFERROR(__xludf.DUMMYFUNCTION("""COMPUTED_VALUE"""),336)</f>
        <v>336</v>
      </c>
      <c r="N155" s="1">
        <f ca="1">IFERROR(__xludf.DUMMYFUNCTION("""COMPUTED_VALUE"""),-1.13)</f>
        <v>-1.1299999999999999</v>
      </c>
      <c r="O155" s="1">
        <f ca="1">IFERROR(__xludf.DUMMYFUNCTION("""COMPUTED_VALUE"""),161)</f>
        <v>161</v>
      </c>
      <c r="P155" s="1">
        <f ca="1">IFERROR(__xludf.DUMMYFUNCTION("""COMPUTED_VALUE"""),102.6)</f>
        <v>102.6</v>
      </c>
      <c r="Q155" s="1">
        <f ca="1">IFERROR(__xludf.DUMMYFUNCTION("""COMPUTED_VALUE"""),255)</f>
        <v>255</v>
      </c>
      <c r="R155" s="1">
        <f ca="1">IFERROR(__xludf.DUMMYFUNCTION("""COMPUTED_VALUE"""),103.8)</f>
        <v>103.8</v>
      </c>
      <c r="S155" s="1">
        <f ca="1">IFERROR(__xludf.DUMMYFUNCTION("""COMPUTED_VALUE"""),113)</f>
        <v>113</v>
      </c>
      <c r="T155" s="1" t="str">
        <f ca="1">IFERROR(__xludf.DUMMYFUNCTION("""COMPUTED_VALUE"""),"+1.42")</f>
        <v>+1.42</v>
      </c>
      <c r="U155" s="1">
        <f ca="1">IFERROR(__xludf.DUMMYFUNCTION("""COMPUTED_VALUE"""),116)</f>
        <v>116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IFERROR(__xludf.DUMMYFUNCTION("""COMPUTED_VALUE"""),"Eastern Michigan")</f>
        <v>Eastern Michigan</v>
      </c>
      <c r="C156" s="1" t="str">
        <f ca="1">IFERROR(__xludf.DUMMYFUNCTION("""COMPUTED_VALUE"""),"MAC")</f>
        <v>MAC</v>
      </c>
      <c r="D156" s="1" t="str">
        <f ca="1">IFERROR(__xludf.DUMMYFUNCTION("""COMPUTED_VALUE"""),"16-17")</f>
        <v>16-17</v>
      </c>
      <c r="E156" s="1" t="str">
        <f ca="1">IFERROR(__xludf.DUMMYFUNCTION("""COMPUTED_VALUE"""),"+1.20")</f>
        <v>+1.20</v>
      </c>
      <c r="F156" s="1">
        <f ca="1">IFERROR(__xludf.DUMMYFUNCTION("""COMPUTED_VALUE"""),106.1)</f>
        <v>106.1</v>
      </c>
      <c r="G156" s="1">
        <f ca="1">IFERROR(__xludf.DUMMYFUNCTION("""COMPUTED_VALUE"""),146)</f>
        <v>146</v>
      </c>
      <c r="H156" s="1">
        <f ca="1">IFERROR(__xludf.DUMMYFUNCTION("""COMPUTED_VALUE"""),104.9)</f>
        <v>104.9</v>
      </c>
      <c r="I156" s="1">
        <f ca="1">IFERROR(__xludf.DUMMYFUNCTION("""COMPUTED_VALUE"""),179)</f>
        <v>179</v>
      </c>
      <c r="J156" s="1">
        <f ca="1">IFERROR(__xludf.DUMMYFUNCTION("""COMPUTED_VALUE"""),68.1)</f>
        <v>68.099999999999994</v>
      </c>
      <c r="K156" s="1">
        <f ca="1">IFERROR(__xludf.DUMMYFUNCTION("""COMPUTED_VALUE"""),184)</f>
        <v>184</v>
      </c>
      <c r="L156" s="1">
        <f ca="1">IFERROR(__xludf.DUMMYFUNCTION("""COMPUTED_VALUE"""),-0.078)</f>
        <v>-7.8E-2</v>
      </c>
      <c r="M156" s="1">
        <f ca="1">IFERROR(__xludf.DUMMYFUNCTION("""COMPUTED_VALUE"""),330)</f>
        <v>330</v>
      </c>
      <c r="N156" s="1" t="str">
        <f ca="1">IFERROR(__xludf.DUMMYFUNCTION("""COMPUTED_VALUE"""),"+0.58")</f>
        <v>+0.58</v>
      </c>
      <c r="O156" s="1">
        <f ca="1">IFERROR(__xludf.DUMMYFUNCTION("""COMPUTED_VALUE"""),123)</f>
        <v>123</v>
      </c>
      <c r="P156" s="1">
        <f ca="1">IFERROR(__xludf.DUMMYFUNCTION("""COMPUTED_VALUE"""),106.6)</f>
        <v>106.6</v>
      </c>
      <c r="Q156" s="1">
        <f ca="1">IFERROR(__xludf.DUMMYFUNCTION("""COMPUTED_VALUE"""),81)</f>
        <v>81</v>
      </c>
      <c r="R156" s="1">
        <f ca="1">IFERROR(__xludf.DUMMYFUNCTION("""COMPUTED_VALUE"""),106)</f>
        <v>106</v>
      </c>
      <c r="S156" s="1">
        <f ca="1">IFERROR(__xludf.DUMMYFUNCTION("""COMPUTED_VALUE"""),210)</f>
        <v>210</v>
      </c>
      <c r="T156" s="1" t="str">
        <f ca="1">IFERROR(__xludf.DUMMYFUNCTION("""COMPUTED_VALUE"""),"+5.08")</f>
        <v>+5.08</v>
      </c>
      <c r="U156" s="1">
        <f ca="1">IFERROR(__xludf.DUMMYFUNCTION("""COMPUTED_VALUE"""),41)</f>
        <v>41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IFERROR(__xludf.DUMMYFUNCTION("""COMPUTED_VALUE"""),"Marshall")</f>
        <v>Marshall</v>
      </c>
      <c r="C157" s="1" t="str">
        <f ca="1">IFERROR(__xludf.DUMMYFUNCTION("""COMPUTED_VALUE"""),"CUSA")</f>
        <v>CUSA</v>
      </c>
      <c r="D157" s="1" t="str">
        <f ca="1">IFERROR(__xludf.DUMMYFUNCTION("""COMPUTED_VALUE"""),"20-15")</f>
        <v>20-15</v>
      </c>
      <c r="E157" s="1" t="str">
        <f ca="1">IFERROR(__xludf.DUMMYFUNCTION("""COMPUTED_VALUE"""),"+1.13")</f>
        <v>+1.13</v>
      </c>
      <c r="F157" s="1">
        <f ca="1">IFERROR(__xludf.DUMMYFUNCTION("""COMPUTED_VALUE"""),110.8)</f>
        <v>110.8</v>
      </c>
      <c r="G157" s="1">
        <f ca="1">IFERROR(__xludf.DUMMYFUNCTION("""COMPUTED_VALUE"""),66)</f>
        <v>66</v>
      </c>
      <c r="H157" s="1">
        <f ca="1">IFERROR(__xludf.DUMMYFUNCTION("""COMPUTED_VALUE"""),109.7)</f>
        <v>109.7</v>
      </c>
      <c r="I157" s="1">
        <f ca="1">IFERROR(__xludf.DUMMYFUNCTION("""COMPUTED_VALUE"""),273)</f>
        <v>273</v>
      </c>
      <c r="J157" s="1">
        <f ca="1">IFERROR(__xludf.DUMMYFUNCTION("""COMPUTED_VALUE"""),77.6)</f>
        <v>77.599999999999994</v>
      </c>
      <c r="K157" s="1">
        <f ca="1">IFERROR(__xludf.DUMMYFUNCTION("""COMPUTED_VALUE"""),3)</f>
        <v>3</v>
      </c>
      <c r="L157" s="1" t="str">
        <f ca="1">IFERROR(__xludf.DUMMYFUNCTION("""COMPUTED_VALUE"""),"+.027")</f>
        <v>+.027</v>
      </c>
      <c r="M157" s="1">
        <f ca="1">IFERROR(__xludf.DUMMYFUNCTION("""COMPUTED_VALUE"""),110)</f>
        <v>110</v>
      </c>
      <c r="N157" s="1">
        <f ca="1">IFERROR(__xludf.DUMMYFUNCTION("""COMPUTED_VALUE"""),-1.36)</f>
        <v>-1.36</v>
      </c>
      <c r="O157" s="1">
        <f ca="1">IFERROR(__xludf.DUMMYFUNCTION("""COMPUTED_VALUE"""),169)</f>
        <v>169</v>
      </c>
      <c r="P157" s="1">
        <f ca="1">IFERROR(__xludf.DUMMYFUNCTION("""COMPUTED_VALUE"""),103.3)</f>
        <v>103.3</v>
      </c>
      <c r="Q157" s="1">
        <f ca="1">IFERROR(__xludf.DUMMYFUNCTION("""COMPUTED_VALUE"""),220)</f>
        <v>220</v>
      </c>
      <c r="R157" s="1">
        <f ca="1">IFERROR(__xludf.DUMMYFUNCTION("""COMPUTED_VALUE"""),104.7)</f>
        <v>104.7</v>
      </c>
      <c r="S157" s="1">
        <f ca="1">IFERROR(__xludf.DUMMYFUNCTION("""COMPUTED_VALUE"""),135)</f>
        <v>135</v>
      </c>
      <c r="T157" s="1" t="str">
        <f ca="1">IFERROR(__xludf.DUMMYFUNCTION("""COMPUTED_VALUE"""),"+0.72")</f>
        <v>+0.72</v>
      </c>
      <c r="U157" s="1">
        <f ca="1">IFERROR(__xludf.DUMMYFUNCTION("""COMPUTED_VALUE"""),132)</f>
        <v>132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IFERROR(__xludf.DUMMYFUNCTION("""COMPUTED_VALUE"""),"Southern Illinois")</f>
        <v>Southern Illinois</v>
      </c>
      <c r="C158" s="1" t="str">
        <f ca="1">IFERROR(__xludf.DUMMYFUNCTION("""COMPUTED_VALUE"""),"MVC")</f>
        <v>MVC</v>
      </c>
      <c r="D158" s="1" t="str">
        <f ca="1">IFERROR(__xludf.DUMMYFUNCTION("""COMPUTED_VALUE"""),"17-16")</f>
        <v>17-16</v>
      </c>
      <c r="E158" s="1" t="str">
        <f ca="1">IFERROR(__xludf.DUMMYFUNCTION("""COMPUTED_VALUE"""),"+1.09")</f>
        <v>+1.09</v>
      </c>
      <c r="F158" s="1">
        <f ca="1">IFERROR(__xludf.DUMMYFUNCTION("""COMPUTED_VALUE"""),104.8)</f>
        <v>104.8</v>
      </c>
      <c r="G158" s="1">
        <f ca="1">IFERROR(__xludf.DUMMYFUNCTION("""COMPUTED_VALUE"""),162)</f>
        <v>162</v>
      </c>
      <c r="H158" s="1">
        <f ca="1">IFERROR(__xludf.DUMMYFUNCTION("""COMPUTED_VALUE"""),103.7)</f>
        <v>103.7</v>
      </c>
      <c r="I158" s="1">
        <f ca="1">IFERROR(__xludf.DUMMYFUNCTION("""COMPUTED_VALUE"""),159)</f>
        <v>159</v>
      </c>
      <c r="J158" s="1">
        <f ca="1">IFERROR(__xludf.DUMMYFUNCTION("""COMPUTED_VALUE"""),65.4)</f>
        <v>65.400000000000006</v>
      </c>
      <c r="K158" s="1">
        <f ca="1">IFERROR(__xludf.DUMMYFUNCTION("""COMPUTED_VALUE"""),299)</f>
        <v>299</v>
      </c>
      <c r="L158" s="1" t="str">
        <f ca="1">IFERROR(__xludf.DUMMYFUNCTION("""COMPUTED_VALUE"""),"+.047")</f>
        <v>+.047</v>
      </c>
      <c r="M158" s="1">
        <f ca="1">IFERROR(__xludf.DUMMYFUNCTION("""COMPUTED_VALUE"""),65)</f>
        <v>65</v>
      </c>
      <c r="N158" s="1" t="str">
        <f ca="1">IFERROR(__xludf.DUMMYFUNCTION("""COMPUTED_VALUE"""),"+1.18")</f>
        <v>+1.18</v>
      </c>
      <c r="O158" s="1">
        <f ca="1">IFERROR(__xludf.DUMMYFUNCTION("""COMPUTED_VALUE"""),108)</f>
        <v>108</v>
      </c>
      <c r="P158" s="1">
        <f ca="1">IFERROR(__xludf.DUMMYFUNCTION("""COMPUTED_VALUE"""),104.2)</f>
        <v>104.2</v>
      </c>
      <c r="Q158" s="1">
        <f ca="1">IFERROR(__xludf.DUMMYFUNCTION("""COMPUTED_VALUE"""),171)</f>
        <v>171</v>
      </c>
      <c r="R158" s="1">
        <f ca="1">IFERROR(__xludf.DUMMYFUNCTION("""COMPUTED_VALUE"""),103)</f>
        <v>103</v>
      </c>
      <c r="S158" s="1">
        <f ca="1">IFERROR(__xludf.DUMMYFUNCTION("""COMPUTED_VALUE"""),96)</f>
        <v>96</v>
      </c>
      <c r="T158" s="1">
        <f ca="1">IFERROR(__xludf.DUMMYFUNCTION("""COMPUTED_VALUE"""),-2.95)</f>
        <v>-2.95</v>
      </c>
      <c r="U158" s="1">
        <f ca="1">IFERROR(__xludf.DUMMYFUNCTION("""COMPUTED_VALUE"""),238)</f>
        <v>238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IFERROR(__xludf.DUMMYFUNCTION("""COMPUTED_VALUE"""),"Yale")</f>
        <v>Yale</v>
      </c>
      <c r="C159" s="1" t="str">
        <f ca="1">IFERROR(__xludf.DUMMYFUNCTION("""COMPUTED_VALUE"""),"Ivy")</f>
        <v>Ivy</v>
      </c>
      <c r="D159" s="1" t="str">
        <f ca="1">IFERROR(__xludf.DUMMYFUNCTION("""COMPUTED_VALUE"""),"18-11")</f>
        <v>18-11</v>
      </c>
      <c r="E159" s="1" t="str">
        <f ca="1">IFERROR(__xludf.DUMMYFUNCTION("""COMPUTED_VALUE"""),"+1.01")</f>
        <v>+1.01</v>
      </c>
      <c r="F159" s="1">
        <f ca="1">IFERROR(__xludf.DUMMYFUNCTION("""COMPUTED_VALUE"""),106.2)</f>
        <v>106.2</v>
      </c>
      <c r="G159" s="1">
        <f ca="1">IFERROR(__xludf.DUMMYFUNCTION("""COMPUTED_VALUE"""),141)</f>
        <v>141</v>
      </c>
      <c r="H159" s="1">
        <f ca="1">IFERROR(__xludf.DUMMYFUNCTION("""COMPUTED_VALUE"""),105.2)</f>
        <v>105.2</v>
      </c>
      <c r="I159" s="1">
        <f ca="1">IFERROR(__xludf.DUMMYFUNCTION("""COMPUTED_VALUE"""),184)</f>
        <v>184</v>
      </c>
      <c r="J159" s="1">
        <f ca="1">IFERROR(__xludf.DUMMYFUNCTION("""COMPUTED_VALUE"""),68.2)</f>
        <v>68.2</v>
      </c>
      <c r="K159" s="1">
        <f ca="1">IFERROR(__xludf.DUMMYFUNCTION("""COMPUTED_VALUE"""),181)</f>
        <v>181</v>
      </c>
      <c r="L159" s="1" t="str">
        <f ca="1">IFERROR(__xludf.DUMMYFUNCTION("""COMPUTED_VALUE"""),"+.055")</f>
        <v>+.055</v>
      </c>
      <c r="M159" s="1">
        <f ca="1">IFERROR(__xludf.DUMMYFUNCTION("""COMPUTED_VALUE"""),47)</f>
        <v>47</v>
      </c>
      <c r="N159" s="1">
        <f ca="1">IFERROR(__xludf.DUMMYFUNCTION("""COMPUTED_VALUE"""),-2.03)</f>
        <v>-2.0299999999999998</v>
      </c>
      <c r="O159" s="1">
        <f ca="1">IFERROR(__xludf.DUMMYFUNCTION("""COMPUTED_VALUE"""),193)</f>
        <v>193</v>
      </c>
      <c r="P159" s="1">
        <f ca="1">IFERROR(__xludf.DUMMYFUNCTION("""COMPUTED_VALUE"""),103.6)</f>
        <v>103.6</v>
      </c>
      <c r="Q159" s="1">
        <f ca="1">IFERROR(__xludf.DUMMYFUNCTION("""COMPUTED_VALUE"""),197)</f>
        <v>197</v>
      </c>
      <c r="R159" s="1">
        <f ca="1">IFERROR(__xludf.DUMMYFUNCTION("""COMPUTED_VALUE"""),105.7)</f>
        <v>105.7</v>
      </c>
      <c r="S159" s="1">
        <f ca="1">IFERROR(__xludf.DUMMYFUNCTION("""COMPUTED_VALUE"""),178)</f>
        <v>178</v>
      </c>
      <c r="T159" s="1">
        <f ca="1">IFERROR(__xludf.DUMMYFUNCTION("""COMPUTED_VALUE"""),-1.36)</f>
        <v>-1.36</v>
      </c>
      <c r="U159" s="1">
        <f ca="1">IFERROR(__xludf.DUMMYFUNCTION("""COMPUTED_VALUE"""),199)</f>
        <v>199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IFERROR(__xludf.DUMMYFUNCTION("""COMPUTED_VALUE"""),"Grand Canyon")</f>
        <v>Grand Canyon</v>
      </c>
      <c r="C160" s="1" t="str">
        <f ca="1">IFERROR(__xludf.DUMMYFUNCTION("""COMPUTED_VALUE"""),"WAC")</f>
        <v>WAC</v>
      </c>
      <c r="D160" s="1" t="str">
        <f ca="1">IFERROR(__xludf.DUMMYFUNCTION("""COMPUTED_VALUE"""),"22-9")</f>
        <v>22-9</v>
      </c>
      <c r="E160" s="1" t="str">
        <f ca="1">IFERROR(__xludf.DUMMYFUNCTION("""COMPUTED_VALUE"""),"+0.97")</f>
        <v>+0.97</v>
      </c>
      <c r="F160" s="1">
        <f ca="1">IFERROR(__xludf.DUMMYFUNCTION("""COMPUTED_VALUE"""),101.6)</f>
        <v>101.6</v>
      </c>
      <c r="G160" s="1">
        <f ca="1">IFERROR(__xludf.DUMMYFUNCTION("""COMPUTED_VALUE"""),229)</f>
        <v>229</v>
      </c>
      <c r="H160" s="1">
        <f ca="1">IFERROR(__xludf.DUMMYFUNCTION("""COMPUTED_VALUE"""),100.6)</f>
        <v>100.6</v>
      </c>
      <c r="I160" s="1">
        <f ca="1">IFERROR(__xludf.DUMMYFUNCTION("""COMPUTED_VALUE"""),90)</f>
        <v>90</v>
      </c>
      <c r="J160" s="1">
        <f ca="1">IFERROR(__xludf.DUMMYFUNCTION("""COMPUTED_VALUE"""),68.9)</f>
        <v>68.900000000000006</v>
      </c>
      <c r="K160" s="1">
        <f ca="1">IFERROR(__xludf.DUMMYFUNCTION("""COMPUTED_VALUE"""),122)</f>
        <v>122</v>
      </c>
      <c r="L160" s="1" t="str">
        <f ca="1">IFERROR(__xludf.DUMMYFUNCTION("""COMPUTED_VALUE"""),"+.078")</f>
        <v>+.078</v>
      </c>
      <c r="M160" s="1">
        <f ca="1">IFERROR(__xludf.DUMMYFUNCTION("""COMPUTED_VALUE"""),17)</f>
        <v>17</v>
      </c>
      <c r="N160" s="1">
        <f ca="1">IFERROR(__xludf.DUMMYFUNCTION("""COMPUTED_VALUE"""),-5.95)</f>
        <v>-5.95</v>
      </c>
      <c r="O160" s="1">
        <f ca="1">IFERROR(__xludf.DUMMYFUNCTION("""COMPUTED_VALUE"""),301)</f>
        <v>301</v>
      </c>
      <c r="P160" s="1">
        <f ca="1">IFERROR(__xludf.DUMMYFUNCTION("""COMPUTED_VALUE"""),100.3)</f>
        <v>100.3</v>
      </c>
      <c r="Q160" s="1">
        <f ca="1">IFERROR(__xludf.DUMMYFUNCTION("""COMPUTED_VALUE"""),326)</f>
        <v>326</v>
      </c>
      <c r="R160" s="1">
        <f ca="1">IFERROR(__xludf.DUMMYFUNCTION("""COMPUTED_VALUE"""),106.2)</f>
        <v>106.2</v>
      </c>
      <c r="S160" s="1">
        <f ca="1">IFERROR(__xludf.DUMMYFUNCTION("""COMPUTED_VALUE"""),223)</f>
        <v>223</v>
      </c>
      <c r="T160" s="1">
        <f ca="1">IFERROR(__xludf.DUMMYFUNCTION("""COMPUTED_VALUE"""),-7.8)</f>
        <v>-7.8</v>
      </c>
      <c r="U160" s="1">
        <f ca="1">IFERROR(__xludf.DUMMYFUNCTION("""COMPUTED_VALUE"""),338)</f>
        <v>338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IFERROR(__xludf.DUMMYFUNCTION("""COMPUTED_VALUE"""),"Fort Wayne")</f>
        <v>Fort Wayne</v>
      </c>
      <c r="C161" s="1" t="str">
        <f ca="1">IFERROR(__xludf.DUMMYFUNCTION("""COMPUTED_VALUE"""),"Sum")</f>
        <v>Sum</v>
      </c>
      <c r="D161" s="1" t="str">
        <f ca="1">IFERROR(__xludf.DUMMYFUNCTION("""COMPUTED_VALUE"""),"20-13")</f>
        <v>20-13</v>
      </c>
      <c r="E161" s="1" t="str">
        <f ca="1">IFERROR(__xludf.DUMMYFUNCTION("""COMPUTED_VALUE"""),"+0.84")</f>
        <v>+0.84</v>
      </c>
      <c r="F161" s="1">
        <f ca="1">IFERROR(__xludf.DUMMYFUNCTION("""COMPUTED_VALUE"""),108.8)</f>
        <v>108.8</v>
      </c>
      <c r="G161" s="1">
        <f ca="1">IFERROR(__xludf.DUMMYFUNCTION("""COMPUTED_VALUE"""),94)</f>
        <v>94</v>
      </c>
      <c r="H161" s="1">
        <f ca="1">IFERROR(__xludf.DUMMYFUNCTION("""COMPUTED_VALUE"""),108)</f>
        <v>108</v>
      </c>
      <c r="I161" s="1">
        <f ca="1">IFERROR(__xludf.DUMMYFUNCTION("""COMPUTED_VALUE"""),238)</f>
        <v>238</v>
      </c>
      <c r="J161" s="1">
        <f ca="1">IFERROR(__xludf.DUMMYFUNCTION("""COMPUTED_VALUE"""),71.6)</f>
        <v>71.599999999999994</v>
      </c>
      <c r="K161" s="1">
        <f ca="1">IFERROR(__xludf.DUMMYFUNCTION("""COMPUTED_VALUE"""),34)</f>
        <v>34</v>
      </c>
      <c r="L161" s="1">
        <f ca="1">IFERROR(__xludf.DUMMYFUNCTION("""COMPUTED_VALUE"""),-0.025)</f>
        <v>-2.5000000000000001E-2</v>
      </c>
      <c r="M161" s="1">
        <f ca="1">IFERROR(__xludf.DUMMYFUNCTION("""COMPUTED_VALUE"""),251)</f>
        <v>251</v>
      </c>
      <c r="N161" s="1">
        <f ca="1">IFERROR(__xludf.DUMMYFUNCTION("""COMPUTED_VALUE"""),-3.36)</f>
        <v>-3.36</v>
      </c>
      <c r="O161" s="1">
        <f ca="1">IFERROR(__xludf.DUMMYFUNCTION("""COMPUTED_VALUE"""),235)</f>
        <v>235</v>
      </c>
      <c r="P161" s="1">
        <f ca="1">IFERROR(__xludf.DUMMYFUNCTION("""COMPUTED_VALUE"""),105.4)</f>
        <v>105.4</v>
      </c>
      <c r="Q161" s="1">
        <f ca="1">IFERROR(__xludf.DUMMYFUNCTION("""COMPUTED_VALUE"""),110)</f>
        <v>110</v>
      </c>
      <c r="R161" s="1">
        <f ca="1">IFERROR(__xludf.DUMMYFUNCTION("""COMPUTED_VALUE"""),108.7)</f>
        <v>108.7</v>
      </c>
      <c r="S161" s="1">
        <f ca="1">IFERROR(__xludf.DUMMYFUNCTION("""COMPUTED_VALUE"""),332)</f>
        <v>332</v>
      </c>
      <c r="T161" s="1">
        <f ca="1">IFERROR(__xludf.DUMMYFUNCTION("""COMPUTED_VALUE"""),-4.33)</f>
        <v>-4.33</v>
      </c>
      <c r="U161" s="1">
        <f ca="1">IFERROR(__xludf.DUMMYFUNCTION("""COMPUTED_VALUE"""),279)</f>
        <v>279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IFERROR(__xludf.DUMMYFUNCTION("""COMPUTED_VALUE"""),"Evansville")</f>
        <v>Evansville</v>
      </c>
      <c r="C162" s="1" t="str">
        <f ca="1">IFERROR(__xludf.DUMMYFUNCTION("""COMPUTED_VALUE"""),"MVC")</f>
        <v>MVC</v>
      </c>
      <c r="D162" s="1" t="str">
        <f ca="1">IFERROR(__xludf.DUMMYFUNCTION("""COMPUTED_VALUE"""),"16-17")</f>
        <v>16-17</v>
      </c>
      <c r="E162" s="1" t="str">
        <f ca="1">IFERROR(__xludf.DUMMYFUNCTION("""COMPUTED_VALUE"""),"+0.83")</f>
        <v>+0.83</v>
      </c>
      <c r="F162" s="1">
        <f ca="1">IFERROR(__xludf.DUMMYFUNCTION("""COMPUTED_VALUE"""),104.1)</f>
        <v>104.1</v>
      </c>
      <c r="G162" s="1">
        <f ca="1">IFERROR(__xludf.DUMMYFUNCTION("""COMPUTED_VALUE"""),182)</f>
        <v>182</v>
      </c>
      <c r="H162" s="1">
        <f ca="1">IFERROR(__xludf.DUMMYFUNCTION("""COMPUTED_VALUE"""),103.2)</f>
        <v>103.2</v>
      </c>
      <c r="I162" s="1">
        <f ca="1">IFERROR(__xludf.DUMMYFUNCTION("""COMPUTED_VALUE"""),141)</f>
        <v>141</v>
      </c>
      <c r="J162" s="1">
        <f ca="1">IFERROR(__xludf.DUMMYFUNCTION("""COMPUTED_VALUE"""),66.8)</f>
        <v>66.8</v>
      </c>
      <c r="K162" s="1">
        <f ca="1">IFERROR(__xludf.DUMMYFUNCTION("""COMPUTED_VALUE"""),248)</f>
        <v>248</v>
      </c>
      <c r="L162" s="1">
        <f ca="1">IFERROR(__xludf.DUMMYFUNCTION("""COMPUTED_VALUE"""),-0.024)</f>
        <v>-2.4E-2</v>
      </c>
      <c r="M162" s="1">
        <f ca="1">IFERROR(__xludf.DUMMYFUNCTION("""COMPUTED_VALUE"""),247)</f>
        <v>247</v>
      </c>
      <c r="N162" s="1" t="str">
        <f ca="1">IFERROR(__xludf.DUMMYFUNCTION("""COMPUTED_VALUE"""),"+1.09")</f>
        <v>+1.09</v>
      </c>
      <c r="O162" s="1">
        <f ca="1">IFERROR(__xludf.DUMMYFUNCTION("""COMPUTED_VALUE"""),109)</f>
        <v>109</v>
      </c>
      <c r="P162" s="1">
        <f ca="1">IFERROR(__xludf.DUMMYFUNCTION("""COMPUTED_VALUE"""),104.7)</f>
        <v>104.7</v>
      </c>
      <c r="Q162" s="1">
        <f ca="1">IFERROR(__xludf.DUMMYFUNCTION("""COMPUTED_VALUE"""),145)</f>
        <v>145</v>
      </c>
      <c r="R162" s="1">
        <f ca="1">IFERROR(__xludf.DUMMYFUNCTION("""COMPUTED_VALUE"""),103.6)</f>
        <v>103.6</v>
      </c>
      <c r="S162" s="1">
        <f ca="1">IFERROR(__xludf.DUMMYFUNCTION("""COMPUTED_VALUE"""),112)</f>
        <v>112</v>
      </c>
      <c r="T162" s="1">
        <f ca="1">IFERROR(__xludf.DUMMYFUNCTION("""COMPUTED_VALUE"""),-2.4)</f>
        <v>-2.4</v>
      </c>
      <c r="U162" s="1">
        <f ca="1">IFERROR(__xludf.DUMMYFUNCTION("""COMPUTED_VALUE"""),225)</f>
        <v>225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IFERROR(__xludf.DUMMYFUNCTION("""COMPUTED_VALUE"""),"Rice")</f>
        <v>Rice</v>
      </c>
      <c r="C163" s="1" t="str">
        <f ca="1">IFERROR(__xludf.DUMMYFUNCTION("""COMPUTED_VALUE"""),"CUSA")</f>
        <v>CUSA</v>
      </c>
      <c r="D163" s="1" t="str">
        <f ca="1">IFERROR(__xludf.DUMMYFUNCTION("""COMPUTED_VALUE"""),"23-12")</f>
        <v>23-12</v>
      </c>
      <c r="E163" s="1" t="str">
        <f ca="1">IFERROR(__xludf.DUMMYFUNCTION("""COMPUTED_VALUE"""),"+0.73")</f>
        <v>+0.73</v>
      </c>
      <c r="F163" s="1">
        <f ca="1">IFERROR(__xludf.DUMMYFUNCTION("""COMPUTED_VALUE"""),107.8)</f>
        <v>107.8</v>
      </c>
      <c r="G163" s="1">
        <f ca="1">IFERROR(__xludf.DUMMYFUNCTION("""COMPUTED_VALUE"""),109)</f>
        <v>109</v>
      </c>
      <c r="H163" s="1">
        <f ca="1">IFERROR(__xludf.DUMMYFUNCTION("""COMPUTED_VALUE"""),107.1)</f>
        <v>107.1</v>
      </c>
      <c r="I163" s="1">
        <f ca="1">IFERROR(__xludf.DUMMYFUNCTION("""COMPUTED_VALUE"""),219)</f>
        <v>219</v>
      </c>
      <c r="J163" s="1">
        <f ca="1">IFERROR(__xludf.DUMMYFUNCTION("""COMPUTED_VALUE"""),72.7)</f>
        <v>72.7</v>
      </c>
      <c r="K163" s="1">
        <f ca="1">IFERROR(__xludf.DUMMYFUNCTION("""COMPUTED_VALUE"""),17)</f>
        <v>17</v>
      </c>
      <c r="L163" s="1">
        <f ca="1">IFERROR(__xludf.DUMMYFUNCTION("""COMPUTED_VALUE"""),-0.028)</f>
        <v>-2.8000000000000001E-2</v>
      </c>
      <c r="M163" s="1">
        <f ca="1">IFERROR(__xludf.DUMMYFUNCTION("""COMPUTED_VALUE"""),255)</f>
        <v>255</v>
      </c>
      <c r="N163" s="1">
        <f ca="1">IFERROR(__xludf.DUMMYFUNCTION("""COMPUTED_VALUE"""),-5.44)</f>
        <v>-5.44</v>
      </c>
      <c r="O163" s="1">
        <f ca="1">IFERROR(__xludf.DUMMYFUNCTION("""COMPUTED_VALUE"""),291)</f>
        <v>291</v>
      </c>
      <c r="P163" s="1">
        <f ca="1">IFERROR(__xludf.DUMMYFUNCTION("""COMPUTED_VALUE"""),101.2)</f>
        <v>101.2</v>
      </c>
      <c r="Q163" s="1">
        <f ca="1">IFERROR(__xludf.DUMMYFUNCTION("""COMPUTED_VALUE"""),305)</f>
        <v>305</v>
      </c>
      <c r="R163" s="1">
        <f ca="1">IFERROR(__xludf.DUMMYFUNCTION("""COMPUTED_VALUE"""),106.7)</f>
        <v>106.7</v>
      </c>
      <c r="S163" s="1">
        <f ca="1">IFERROR(__xludf.DUMMYFUNCTION("""COMPUTED_VALUE"""),252)</f>
        <v>252</v>
      </c>
      <c r="T163" s="1">
        <f ca="1">IFERROR(__xludf.DUMMYFUNCTION("""COMPUTED_VALUE"""),-6.25)</f>
        <v>-6.25</v>
      </c>
      <c r="U163" s="1">
        <f ca="1">IFERROR(__xludf.DUMMYFUNCTION("""COMPUTED_VALUE"""),324)</f>
        <v>324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IFERROR(__xludf.DUMMYFUNCTION("""COMPUTED_VALUE"""),"Missouri")</f>
        <v>Missouri</v>
      </c>
      <c r="C164" s="1" t="str">
        <f ca="1">IFERROR(__xludf.DUMMYFUNCTION("""COMPUTED_VALUE"""),"SEC")</f>
        <v>SEC</v>
      </c>
      <c r="D164" s="2">
        <f ca="1">IFERROR(__xludf.DUMMYFUNCTION("""COMPUTED_VALUE"""),44797)</f>
        <v>44797</v>
      </c>
      <c r="E164" s="1" t="str">
        <f ca="1">IFERROR(__xludf.DUMMYFUNCTION("""COMPUTED_VALUE"""),"+0.64")</f>
        <v>+0.64</v>
      </c>
      <c r="F164" s="1">
        <f ca="1">IFERROR(__xludf.DUMMYFUNCTION("""COMPUTED_VALUE"""),101.5)</f>
        <v>101.5</v>
      </c>
      <c r="G164" s="1">
        <f ca="1">IFERROR(__xludf.DUMMYFUNCTION("""COMPUTED_VALUE"""),230)</f>
        <v>230</v>
      </c>
      <c r="H164" s="1">
        <f ca="1">IFERROR(__xludf.DUMMYFUNCTION("""COMPUTED_VALUE"""),100.9)</f>
        <v>100.9</v>
      </c>
      <c r="I164" s="1">
        <f ca="1">IFERROR(__xludf.DUMMYFUNCTION("""COMPUTED_VALUE"""),97)</f>
        <v>97</v>
      </c>
      <c r="J164" s="1">
        <f ca="1">IFERROR(__xludf.DUMMYFUNCTION("""COMPUTED_VALUE"""),68)</f>
        <v>68</v>
      </c>
      <c r="K164" s="1">
        <f ca="1">IFERROR(__xludf.DUMMYFUNCTION("""COMPUTED_VALUE"""),190)</f>
        <v>190</v>
      </c>
      <c r="L164" s="1">
        <f ca="1">IFERROR(__xludf.DUMMYFUNCTION("""COMPUTED_VALUE"""),-0.16)</f>
        <v>-0.16</v>
      </c>
      <c r="M164" s="1">
        <f ca="1">IFERROR(__xludf.DUMMYFUNCTION("""COMPUTED_VALUE"""),350)</f>
        <v>350</v>
      </c>
      <c r="N164" s="1" t="str">
        <f ca="1">IFERROR(__xludf.DUMMYFUNCTION("""COMPUTED_VALUE"""),"+6.83")</f>
        <v>+6.83</v>
      </c>
      <c r="O164" s="1">
        <f ca="1">IFERROR(__xludf.DUMMYFUNCTION("""COMPUTED_VALUE"""),64)</f>
        <v>64</v>
      </c>
      <c r="P164" s="1">
        <f ca="1">IFERROR(__xludf.DUMMYFUNCTION("""COMPUTED_VALUE"""),108.1)</f>
        <v>108.1</v>
      </c>
      <c r="Q164" s="1">
        <f ca="1">IFERROR(__xludf.DUMMYFUNCTION("""COMPUTED_VALUE"""),64)</f>
        <v>64</v>
      </c>
      <c r="R164" s="1">
        <f ca="1">IFERROR(__xludf.DUMMYFUNCTION("""COMPUTED_VALUE"""),101.3)</f>
        <v>101.3</v>
      </c>
      <c r="S164" s="1">
        <f ca="1">IFERROR(__xludf.DUMMYFUNCTION("""COMPUTED_VALUE"""),56)</f>
        <v>56</v>
      </c>
      <c r="T164" s="1">
        <f ca="1">IFERROR(__xludf.DUMMYFUNCTION("""COMPUTED_VALUE"""),-5.07)</f>
        <v>-5.07</v>
      </c>
      <c r="U164" s="1">
        <f ca="1">IFERROR(__xludf.DUMMYFUNCTION("""COMPUTED_VALUE"""),301)</f>
        <v>301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IFERROR(__xludf.DUMMYFUNCTION("""COMPUTED_VALUE"""),"Jacksonville St.15")</f>
        <v>Jacksonville St.15</v>
      </c>
      <c r="C165" s="1" t="str">
        <f ca="1">IFERROR(__xludf.DUMMYFUNCTION("""COMPUTED_VALUE"""),"OVC")</f>
        <v>OVC</v>
      </c>
      <c r="D165" s="1" t="str">
        <f ca="1">IFERROR(__xludf.DUMMYFUNCTION("""COMPUTED_VALUE"""),"20-15")</f>
        <v>20-15</v>
      </c>
      <c r="E165" s="1" t="str">
        <f ca="1">IFERROR(__xludf.DUMMYFUNCTION("""COMPUTED_VALUE"""),"+0.63")</f>
        <v>+0.63</v>
      </c>
      <c r="F165" s="1">
        <f ca="1">IFERROR(__xludf.DUMMYFUNCTION("""COMPUTED_VALUE"""),105.8)</f>
        <v>105.8</v>
      </c>
      <c r="G165" s="1">
        <f ca="1">IFERROR(__xludf.DUMMYFUNCTION("""COMPUTED_VALUE"""),147)</f>
        <v>147</v>
      </c>
      <c r="H165" s="1">
        <f ca="1">IFERROR(__xludf.DUMMYFUNCTION("""COMPUTED_VALUE"""),105.2)</f>
        <v>105.2</v>
      </c>
      <c r="I165" s="1">
        <f ca="1">IFERROR(__xludf.DUMMYFUNCTION("""COMPUTED_VALUE"""),186)</f>
        <v>186</v>
      </c>
      <c r="J165" s="1">
        <f ca="1">IFERROR(__xludf.DUMMYFUNCTION("""COMPUTED_VALUE"""),63.6)</f>
        <v>63.6</v>
      </c>
      <c r="K165" s="1">
        <f ca="1">IFERROR(__xludf.DUMMYFUNCTION("""COMPUTED_VALUE"""),329)</f>
        <v>329</v>
      </c>
      <c r="L165" s="1" t="str">
        <f ca="1">IFERROR(__xludf.DUMMYFUNCTION("""COMPUTED_VALUE"""),"+.028")</f>
        <v>+.028</v>
      </c>
      <c r="M165" s="1">
        <f ca="1">IFERROR(__xludf.DUMMYFUNCTION("""COMPUTED_VALUE"""),107)</f>
        <v>107</v>
      </c>
      <c r="N165" s="1">
        <f ca="1">IFERROR(__xludf.DUMMYFUNCTION("""COMPUTED_VALUE"""),-1.68)</f>
        <v>-1.68</v>
      </c>
      <c r="O165" s="1">
        <f ca="1">IFERROR(__xludf.DUMMYFUNCTION("""COMPUTED_VALUE"""),183)</f>
        <v>183</v>
      </c>
      <c r="P165" s="1">
        <f ca="1">IFERROR(__xludf.DUMMYFUNCTION("""COMPUTED_VALUE"""),104.2)</f>
        <v>104.2</v>
      </c>
      <c r="Q165" s="1">
        <f ca="1">IFERROR(__xludf.DUMMYFUNCTION("""COMPUTED_VALUE"""),167)</f>
        <v>167</v>
      </c>
      <c r="R165" s="1">
        <f ca="1">IFERROR(__xludf.DUMMYFUNCTION("""COMPUTED_VALUE"""),105.9)</f>
        <v>105.9</v>
      </c>
      <c r="S165" s="1">
        <f ca="1">IFERROR(__xludf.DUMMYFUNCTION("""COMPUTED_VALUE"""),197)</f>
        <v>197</v>
      </c>
      <c r="T165" s="1" t="str">
        <f ca="1">IFERROR(__xludf.DUMMYFUNCTION("""COMPUTED_VALUE"""),"+0.61")</f>
        <v>+0.61</v>
      </c>
      <c r="U165" s="1">
        <f ca="1">IFERROR(__xludf.DUMMYFUNCTION("""COMPUTED_VALUE"""),134)</f>
        <v>134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IFERROR(__xludf.DUMMYFUNCTION("""COMPUTED_VALUE"""),"Massachusetts")</f>
        <v>Massachusetts</v>
      </c>
      <c r="C166" s="1" t="str">
        <f ca="1">IFERROR(__xludf.DUMMYFUNCTION("""COMPUTED_VALUE"""),"A10")</f>
        <v>A10</v>
      </c>
      <c r="D166" s="1" t="str">
        <f ca="1">IFERROR(__xludf.DUMMYFUNCTION("""COMPUTED_VALUE"""),"15-18")</f>
        <v>15-18</v>
      </c>
      <c r="E166" s="1" t="str">
        <f ca="1">IFERROR(__xludf.DUMMYFUNCTION("""COMPUTED_VALUE"""),"+0.63")</f>
        <v>+0.63</v>
      </c>
      <c r="F166" s="1">
        <f ca="1">IFERROR(__xludf.DUMMYFUNCTION("""COMPUTED_VALUE"""),100.6)</f>
        <v>100.6</v>
      </c>
      <c r="G166" s="1">
        <f ca="1">IFERROR(__xludf.DUMMYFUNCTION("""COMPUTED_VALUE"""),249)</f>
        <v>249</v>
      </c>
      <c r="H166" s="1">
        <f ca="1">IFERROR(__xludf.DUMMYFUNCTION("""COMPUTED_VALUE"""),100)</f>
        <v>100</v>
      </c>
      <c r="I166" s="1">
        <f ca="1">IFERROR(__xludf.DUMMYFUNCTION("""COMPUTED_VALUE"""),80)</f>
        <v>80</v>
      </c>
      <c r="J166" s="1">
        <f ca="1">IFERROR(__xludf.DUMMYFUNCTION("""COMPUTED_VALUE"""),71.9)</f>
        <v>71.900000000000006</v>
      </c>
      <c r="K166" s="1">
        <f ca="1">IFERROR(__xludf.DUMMYFUNCTION("""COMPUTED_VALUE"""),29)</f>
        <v>29</v>
      </c>
      <c r="L166" s="1">
        <f ca="1">IFERROR(__xludf.DUMMYFUNCTION("""COMPUTED_VALUE"""),-0.042)</f>
        <v>-4.2000000000000003E-2</v>
      </c>
      <c r="M166" s="1">
        <f ca="1">IFERROR(__xludf.DUMMYFUNCTION("""COMPUTED_VALUE"""),288)</f>
        <v>288</v>
      </c>
      <c r="N166" s="1" t="str">
        <f ca="1">IFERROR(__xludf.DUMMYFUNCTION("""COMPUTED_VALUE"""),"+0.85")</f>
        <v>+0.85</v>
      </c>
      <c r="O166" s="1">
        <f ca="1">IFERROR(__xludf.DUMMYFUNCTION("""COMPUTED_VALUE"""),121)</f>
        <v>121</v>
      </c>
      <c r="P166" s="1">
        <f ca="1">IFERROR(__xludf.DUMMYFUNCTION("""COMPUTED_VALUE"""),104.9)</f>
        <v>104.9</v>
      </c>
      <c r="Q166" s="1">
        <f ca="1">IFERROR(__xludf.DUMMYFUNCTION("""COMPUTED_VALUE"""),135)</f>
        <v>135</v>
      </c>
      <c r="R166" s="1">
        <f ca="1">IFERROR(__xludf.DUMMYFUNCTION("""COMPUTED_VALUE"""),104.1)</f>
        <v>104.1</v>
      </c>
      <c r="S166" s="1">
        <f ca="1">IFERROR(__xludf.DUMMYFUNCTION("""COMPUTED_VALUE"""),122)</f>
        <v>122</v>
      </c>
      <c r="T166" s="1">
        <f ca="1">IFERROR(__xludf.DUMMYFUNCTION("""COMPUTED_VALUE"""),-4.53)</f>
        <v>-4.53</v>
      </c>
      <c r="U166" s="1">
        <f ca="1">IFERROR(__xludf.DUMMYFUNCTION("""COMPUTED_VALUE"""),289)</f>
        <v>289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IFERROR(__xludf.DUMMYFUNCTION("""COMPUTED_VALUE"""),"Northeastern")</f>
        <v>Northeastern</v>
      </c>
      <c r="C167" s="1" t="str">
        <f ca="1">IFERROR(__xludf.DUMMYFUNCTION("""COMPUTED_VALUE"""),"CAA")</f>
        <v>CAA</v>
      </c>
      <c r="D167" s="1" t="str">
        <f ca="1">IFERROR(__xludf.DUMMYFUNCTION("""COMPUTED_VALUE"""),"15-16")</f>
        <v>15-16</v>
      </c>
      <c r="E167" s="1" t="str">
        <f ca="1">IFERROR(__xludf.DUMMYFUNCTION("""COMPUTED_VALUE"""),"+0.63")</f>
        <v>+0.63</v>
      </c>
      <c r="F167" s="1">
        <f ca="1">IFERROR(__xludf.DUMMYFUNCTION("""COMPUTED_VALUE"""),107)</f>
        <v>107</v>
      </c>
      <c r="G167" s="1">
        <f ca="1">IFERROR(__xludf.DUMMYFUNCTION("""COMPUTED_VALUE"""),125)</f>
        <v>125</v>
      </c>
      <c r="H167" s="1">
        <f ca="1">IFERROR(__xludf.DUMMYFUNCTION("""COMPUTED_VALUE"""),106.4)</f>
        <v>106.4</v>
      </c>
      <c r="I167" s="1">
        <f ca="1">IFERROR(__xludf.DUMMYFUNCTION("""COMPUTED_VALUE"""),208)</f>
        <v>208</v>
      </c>
      <c r="J167" s="1">
        <f ca="1">IFERROR(__xludf.DUMMYFUNCTION("""COMPUTED_VALUE"""),66.1)</f>
        <v>66.099999999999994</v>
      </c>
      <c r="K167" s="1">
        <f ca="1">IFERROR(__xludf.DUMMYFUNCTION("""COMPUTED_VALUE"""),274)</f>
        <v>274</v>
      </c>
      <c r="L167" s="1">
        <f ca="1">IFERROR(__xludf.DUMMYFUNCTION("""COMPUTED_VALUE"""),-0.014)</f>
        <v>-1.4E-2</v>
      </c>
      <c r="M167" s="1">
        <f ca="1">IFERROR(__xludf.DUMMYFUNCTION("""COMPUTED_VALUE"""),225)</f>
        <v>225</v>
      </c>
      <c r="N167" s="1" t="str">
        <f ca="1">IFERROR(__xludf.DUMMYFUNCTION("""COMPUTED_VALUE"""),"+0.90")</f>
        <v>+0.90</v>
      </c>
      <c r="O167" s="1">
        <f ca="1">IFERROR(__xludf.DUMMYFUNCTION("""COMPUTED_VALUE"""),117)</f>
        <v>117</v>
      </c>
      <c r="P167" s="1">
        <f ca="1">IFERROR(__xludf.DUMMYFUNCTION("""COMPUTED_VALUE"""),105.4)</f>
        <v>105.4</v>
      </c>
      <c r="Q167" s="1">
        <f ca="1">IFERROR(__xludf.DUMMYFUNCTION("""COMPUTED_VALUE"""),114)</f>
        <v>114</v>
      </c>
      <c r="R167" s="1">
        <f ca="1">IFERROR(__xludf.DUMMYFUNCTION("""COMPUTED_VALUE"""),104.5)</f>
        <v>104.5</v>
      </c>
      <c r="S167" s="1">
        <f ca="1">IFERROR(__xludf.DUMMYFUNCTION("""COMPUTED_VALUE"""),130)</f>
        <v>130</v>
      </c>
      <c r="T167" s="1" t="str">
        <f ca="1">IFERROR(__xludf.DUMMYFUNCTION("""COMPUTED_VALUE"""),"+2.41")</f>
        <v>+2.41</v>
      </c>
      <c r="U167" s="1">
        <f ca="1">IFERROR(__xludf.DUMMYFUNCTION("""COMPUTED_VALUE"""),78)</f>
        <v>78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IFERROR(__xludf.DUMMYFUNCTION("""COMPUTED_VALUE"""),"Tennessee St.")</f>
        <v>Tennessee St.</v>
      </c>
      <c r="C168" s="1" t="str">
        <f ca="1">IFERROR(__xludf.DUMMYFUNCTION("""COMPUTED_VALUE"""),"OVC")</f>
        <v>OVC</v>
      </c>
      <c r="D168" s="1" t="str">
        <f ca="1">IFERROR(__xludf.DUMMYFUNCTION("""COMPUTED_VALUE"""),"17-13")</f>
        <v>17-13</v>
      </c>
      <c r="E168" s="1" t="str">
        <f ca="1">IFERROR(__xludf.DUMMYFUNCTION("""COMPUTED_VALUE"""),"+0.59")</f>
        <v>+0.59</v>
      </c>
      <c r="F168" s="1">
        <f ca="1">IFERROR(__xludf.DUMMYFUNCTION("""COMPUTED_VALUE"""),100.3)</f>
        <v>100.3</v>
      </c>
      <c r="G168" s="1">
        <f ca="1">IFERROR(__xludf.DUMMYFUNCTION("""COMPUTED_VALUE"""),253)</f>
        <v>253</v>
      </c>
      <c r="H168" s="1">
        <f ca="1">IFERROR(__xludf.DUMMYFUNCTION("""COMPUTED_VALUE"""),99.7)</f>
        <v>99.7</v>
      </c>
      <c r="I168" s="1">
        <f ca="1">IFERROR(__xludf.DUMMYFUNCTION("""COMPUTED_VALUE"""),74)</f>
        <v>74</v>
      </c>
      <c r="J168" s="1">
        <f ca="1">IFERROR(__xludf.DUMMYFUNCTION("""COMPUTED_VALUE"""),67)</f>
        <v>67</v>
      </c>
      <c r="K168" s="1">
        <f ca="1">IFERROR(__xludf.DUMMYFUNCTION("""COMPUTED_VALUE"""),237)</f>
        <v>237</v>
      </c>
      <c r="L168" s="1">
        <f ca="1">IFERROR(__xludf.DUMMYFUNCTION("""COMPUTED_VALUE"""),-0.016)</f>
        <v>-1.6E-2</v>
      </c>
      <c r="M168" s="1">
        <f ca="1">IFERROR(__xludf.DUMMYFUNCTION("""COMPUTED_VALUE"""),229)</f>
        <v>229</v>
      </c>
      <c r="N168" s="1">
        <f ca="1">IFERROR(__xludf.DUMMYFUNCTION("""COMPUTED_VALUE"""),-2.29)</f>
        <v>-2.29</v>
      </c>
      <c r="O168" s="1">
        <f ca="1">IFERROR(__xludf.DUMMYFUNCTION("""COMPUTED_VALUE"""),197)</f>
        <v>197</v>
      </c>
      <c r="P168" s="1">
        <f ca="1">IFERROR(__xludf.DUMMYFUNCTION("""COMPUTED_VALUE"""),104.6)</f>
        <v>104.6</v>
      </c>
      <c r="Q168" s="1">
        <f ca="1">IFERROR(__xludf.DUMMYFUNCTION("""COMPUTED_VALUE"""),152)</f>
        <v>152</v>
      </c>
      <c r="R168" s="1">
        <f ca="1">IFERROR(__xludf.DUMMYFUNCTION("""COMPUTED_VALUE"""),106.9)</f>
        <v>106.9</v>
      </c>
      <c r="S168" s="1">
        <f ca="1">IFERROR(__xludf.DUMMYFUNCTION("""COMPUTED_VALUE"""),258)</f>
        <v>258</v>
      </c>
      <c r="T168" s="1" t="str">
        <f ca="1">IFERROR(__xludf.DUMMYFUNCTION("""COMPUTED_VALUE"""),"+3.55")</f>
        <v>+3.55</v>
      </c>
      <c r="U168" s="1">
        <f ca="1">IFERROR(__xludf.DUMMYFUNCTION("""COMPUTED_VALUE"""),59)</f>
        <v>59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IFERROR(__xludf.DUMMYFUNCTION("""COMPUTED_VALUE"""),"North Carolina Central16")</f>
        <v>North Carolina Central16</v>
      </c>
      <c r="C171" s="1" t="str">
        <f ca="1">IFERROR(__xludf.DUMMYFUNCTION("""COMPUTED_VALUE"""),"MEAC")</f>
        <v>MEAC</v>
      </c>
      <c r="D171" s="1" t="str">
        <f ca="1">IFERROR(__xludf.DUMMYFUNCTION("""COMPUTED_VALUE"""),"25-9")</f>
        <v>25-9</v>
      </c>
      <c r="E171" s="1" t="str">
        <f ca="1">IFERROR(__xludf.DUMMYFUNCTION("""COMPUTED_VALUE"""),"+0.36")</f>
        <v>+0.36</v>
      </c>
      <c r="F171" s="1">
        <f ca="1">IFERROR(__xludf.DUMMYFUNCTION("""COMPUTED_VALUE"""),102.2)</f>
        <v>102.2</v>
      </c>
      <c r="G171" s="1">
        <f ca="1">IFERROR(__xludf.DUMMYFUNCTION("""COMPUTED_VALUE"""),214)</f>
        <v>214</v>
      </c>
      <c r="H171" s="1">
        <f ca="1">IFERROR(__xludf.DUMMYFUNCTION("""COMPUTED_VALUE"""),101.9)</f>
        <v>101.9</v>
      </c>
      <c r="I171" s="1">
        <f ca="1">IFERROR(__xludf.DUMMYFUNCTION("""COMPUTED_VALUE"""),109)</f>
        <v>109</v>
      </c>
      <c r="J171" s="1">
        <f ca="1">IFERROR(__xludf.DUMMYFUNCTION("""COMPUTED_VALUE"""),66.7)</f>
        <v>66.7</v>
      </c>
      <c r="K171" s="1">
        <f ca="1">IFERROR(__xludf.DUMMYFUNCTION("""COMPUTED_VALUE"""),254)</f>
        <v>254</v>
      </c>
      <c r="L171" s="1">
        <f ca="1">IFERROR(__xludf.DUMMYFUNCTION("""COMPUTED_VALUE"""),-0.055)</f>
        <v>-5.5E-2</v>
      </c>
      <c r="M171" s="1">
        <f ca="1">IFERROR(__xludf.DUMMYFUNCTION("""COMPUTED_VALUE"""),304)</f>
        <v>304</v>
      </c>
      <c r="N171" s="1">
        <f ca="1">IFERROR(__xludf.DUMMYFUNCTION("""COMPUTED_VALUE"""),-12.44)</f>
        <v>-12.44</v>
      </c>
      <c r="O171" s="1">
        <f ca="1">IFERROR(__xludf.DUMMYFUNCTION("""COMPUTED_VALUE"""),348)</f>
        <v>348</v>
      </c>
      <c r="P171" s="1">
        <f ca="1">IFERROR(__xludf.DUMMYFUNCTION("""COMPUTED_VALUE"""),97.7)</f>
        <v>97.7</v>
      </c>
      <c r="Q171" s="1">
        <f ca="1">IFERROR(__xludf.DUMMYFUNCTION("""COMPUTED_VALUE"""),348)</f>
        <v>348</v>
      </c>
      <c r="R171" s="1">
        <f ca="1">IFERROR(__xludf.DUMMYFUNCTION("""COMPUTED_VALUE"""),110.1)</f>
        <v>110.1</v>
      </c>
      <c r="S171" s="1">
        <f ca="1">IFERROR(__xludf.DUMMYFUNCTION("""COMPUTED_VALUE"""),347)</f>
        <v>347</v>
      </c>
      <c r="T171" s="1">
        <f ca="1">IFERROR(__xludf.DUMMYFUNCTION("""COMPUTED_VALUE"""),-0.66)</f>
        <v>-0.66</v>
      </c>
      <c r="U171" s="1">
        <f ca="1">IFERROR(__xludf.DUMMYFUNCTION("""COMPUTED_VALUE"""),172)</f>
        <v>172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IFERROR(__xludf.DUMMYFUNCTION("""COMPUTED_VALUE"""),"Western Michigan")</f>
        <v>Western Michigan</v>
      </c>
      <c r="C172" s="1" t="str">
        <f ca="1">IFERROR(__xludf.DUMMYFUNCTION("""COMPUTED_VALUE"""),"MAC")</f>
        <v>MAC</v>
      </c>
      <c r="D172" s="1" t="str">
        <f ca="1">IFERROR(__xludf.DUMMYFUNCTION("""COMPUTED_VALUE"""),"16-16")</f>
        <v>16-16</v>
      </c>
      <c r="E172" s="1" t="str">
        <f ca="1">IFERROR(__xludf.DUMMYFUNCTION("""COMPUTED_VALUE"""),"+0.36")</f>
        <v>+0.36</v>
      </c>
      <c r="F172" s="1">
        <f ca="1">IFERROR(__xludf.DUMMYFUNCTION("""COMPUTED_VALUE"""),107.1)</f>
        <v>107.1</v>
      </c>
      <c r="G172" s="1">
        <f ca="1">IFERROR(__xludf.DUMMYFUNCTION("""COMPUTED_VALUE"""),124)</f>
        <v>124</v>
      </c>
      <c r="H172" s="1">
        <f ca="1">IFERROR(__xludf.DUMMYFUNCTION("""COMPUTED_VALUE"""),106.8)</f>
        <v>106.8</v>
      </c>
      <c r="I172" s="1">
        <f ca="1">IFERROR(__xludf.DUMMYFUNCTION("""COMPUTED_VALUE"""),213)</f>
        <v>213</v>
      </c>
      <c r="J172" s="1">
        <f ca="1">IFERROR(__xludf.DUMMYFUNCTION("""COMPUTED_VALUE"""),67.9)</f>
        <v>67.900000000000006</v>
      </c>
      <c r="K172" s="1">
        <f ca="1">IFERROR(__xludf.DUMMYFUNCTION("""COMPUTED_VALUE"""),199)</f>
        <v>199</v>
      </c>
      <c r="L172" s="1">
        <f ca="1">IFERROR(__xludf.DUMMYFUNCTION("""COMPUTED_VALUE"""),-0.016)</f>
        <v>-1.6E-2</v>
      </c>
      <c r="M172" s="1">
        <f ca="1">IFERROR(__xludf.DUMMYFUNCTION("""COMPUTED_VALUE"""),228)</f>
        <v>228</v>
      </c>
      <c r="N172" s="1">
        <f ca="1">IFERROR(__xludf.DUMMYFUNCTION("""COMPUTED_VALUE"""),-0.54)</f>
        <v>-0.54</v>
      </c>
      <c r="O172" s="1">
        <f ca="1">IFERROR(__xludf.DUMMYFUNCTION("""COMPUTED_VALUE"""),144)</f>
        <v>144</v>
      </c>
      <c r="P172" s="1">
        <f ca="1">IFERROR(__xludf.DUMMYFUNCTION("""COMPUTED_VALUE"""),105.4)</f>
        <v>105.4</v>
      </c>
      <c r="Q172" s="1">
        <f ca="1">IFERROR(__xludf.DUMMYFUNCTION("""COMPUTED_VALUE"""),104)</f>
        <v>104</v>
      </c>
      <c r="R172" s="1">
        <f ca="1">IFERROR(__xludf.DUMMYFUNCTION("""COMPUTED_VALUE"""),106)</f>
        <v>106</v>
      </c>
      <c r="S172" s="1">
        <f ca="1">IFERROR(__xludf.DUMMYFUNCTION("""COMPUTED_VALUE"""),205)</f>
        <v>205</v>
      </c>
      <c r="T172" s="1" t="str">
        <f ca="1">IFERROR(__xludf.DUMMYFUNCTION("""COMPUTED_VALUE"""),"+1.99")</f>
        <v>+1.99</v>
      </c>
      <c r="U172" s="1">
        <f ca="1">IFERROR(__xludf.DUMMYFUNCTION("""COMPUTED_VALUE"""),95)</f>
        <v>95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IFERROR(__xludf.DUMMYFUNCTION("""COMPUTED_VALUE"""),"Washington")</f>
        <v>Washington</v>
      </c>
      <c r="C173" s="1" t="str">
        <f ca="1">IFERROR(__xludf.DUMMYFUNCTION("""COMPUTED_VALUE"""),"P12")</f>
        <v>P12</v>
      </c>
      <c r="D173" s="2">
        <f ca="1">IFERROR(__xludf.DUMMYFUNCTION("""COMPUTED_VALUE"""),44826)</f>
        <v>44826</v>
      </c>
      <c r="E173" s="1" t="str">
        <f ca="1">IFERROR(__xludf.DUMMYFUNCTION("""COMPUTED_VALUE"""),"+0.34")</f>
        <v>+0.34</v>
      </c>
      <c r="F173" s="1">
        <f ca="1">IFERROR(__xludf.DUMMYFUNCTION("""COMPUTED_VALUE"""),107.7)</f>
        <v>107.7</v>
      </c>
      <c r="G173" s="1">
        <f ca="1">IFERROR(__xludf.DUMMYFUNCTION("""COMPUTED_VALUE"""),111)</f>
        <v>111</v>
      </c>
      <c r="H173" s="1">
        <f ca="1">IFERROR(__xludf.DUMMYFUNCTION("""COMPUTED_VALUE"""),107.4)</f>
        <v>107.4</v>
      </c>
      <c r="I173" s="1">
        <f ca="1">IFERROR(__xludf.DUMMYFUNCTION("""COMPUTED_VALUE"""),224)</f>
        <v>224</v>
      </c>
      <c r="J173" s="1">
        <f ca="1">IFERROR(__xludf.DUMMYFUNCTION("""COMPUTED_VALUE"""),71.1)</f>
        <v>71.099999999999994</v>
      </c>
      <c r="K173" s="1">
        <f ca="1">IFERROR(__xludf.DUMMYFUNCTION("""COMPUTED_VALUE"""),51)</f>
        <v>51</v>
      </c>
      <c r="L173" s="1">
        <f ca="1">IFERROR(__xludf.DUMMYFUNCTION("""COMPUTED_VALUE"""),-0.103)</f>
        <v>-0.10299999999999999</v>
      </c>
      <c r="M173" s="1">
        <f ca="1">IFERROR(__xludf.DUMMYFUNCTION("""COMPUTED_VALUE"""),346)</f>
        <v>346</v>
      </c>
      <c r="N173" s="1" t="str">
        <f ca="1">IFERROR(__xludf.DUMMYFUNCTION("""COMPUTED_VALUE"""),"+6.87")</f>
        <v>+6.87</v>
      </c>
      <c r="O173" s="1">
        <f ca="1">IFERROR(__xludf.DUMMYFUNCTION("""COMPUTED_VALUE"""),63)</f>
        <v>63</v>
      </c>
      <c r="P173" s="1">
        <f ca="1">IFERROR(__xludf.DUMMYFUNCTION("""COMPUTED_VALUE"""),109.5)</f>
        <v>109.5</v>
      </c>
      <c r="Q173" s="1">
        <f ca="1">IFERROR(__xludf.DUMMYFUNCTION("""COMPUTED_VALUE"""),43)</f>
        <v>43</v>
      </c>
      <c r="R173" s="1">
        <f ca="1">IFERROR(__xludf.DUMMYFUNCTION("""COMPUTED_VALUE"""),102.6)</f>
        <v>102.6</v>
      </c>
      <c r="S173" s="1">
        <f ca="1">IFERROR(__xludf.DUMMYFUNCTION("""COMPUTED_VALUE"""),81)</f>
        <v>81</v>
      </c>
      <c r="T173" s="1">
        <f ca="1">IFERROR(__xludf.DUMMYFUNCTION("""COMPUTED_VALUE"""),-2.27)</f>
        <v>-2.27</v>
      </c>
      <c r="U173" s="1">
        <f ca="1">IFERROR(__xludf.DUMMYFUNCTION("""COMPUTED_VALUE"""),220)</f>
        <v>220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IFERROR(__xludf.DUMMYFUNCTION("""COMPUTED_VALUE"""),"Wright St.")</f>
        <v>Wright St.</v>
      </c>
      <c r="C174" s="1" t="str">
        <f ca="1">IFERROR(__xludf.DUMMYFUNCTION("""COMPUTED_VALUE"""),"Horz")</f>
        <v>Horz</v>
      </c>
      <c r="D174" s="1" t="str">
        <f ca="1">IFERROR(__xludf.DUMMYFUNCTION("""COMPUTED_VALUE"""),"20-12")</f>
        <v>20-12</v>
      </c>
      <c r="E174" s="1" t="str">
        <f ca="1">IFERROR(__xludf.DUMMYFUNCTION("""COMPUTED_VALUE"""),"+0.34")</f>
        <v>+0.34</v>
      </c>
      <c r="F174" s="1">
        <f ca="1">IFERROR(__xludf.DUMMYFUNCTION("""COMPUTED_VALUE"""),106.5)</f>
        <v>106.5</v>
      </c>
      <c r="G174" s="1">
        <f ca="1">IFERROR(__xludf.DUMMYFUNCTION("""COMPUTED_VALUE"""),136)</f>
        <v>136</v>
      </c>
      <c r="H174" s="1">
        <f ca="1">IFERROR(__xludf.DUMMYFUNCTION("""COMPUTED_VALUE"""),106.2)</f>
        <v>106.2</v>
      </c>
      <c r="I174" s="1">
        <f ca="1">IFERROR(__xludf.DUMMYFUNCTION("""COMPUTED_VALUE"""),205)</f>
        <v>205</v>
      </c>
      <c r="J174" s="1">
        <f ca="1">IFERROR(__xludf.DUMMYFUNCTION("""COMPUTED_VALUE"""),69)</f>
        <v>69</v>
      </c>
      <c r="K174" s="1">
        <f ca="1">IFERROR(__xludf.DUMMYFUNCTION("""COMPUTED_VALUE"""),116)</f>
        <v>116</v>
      </c>
      <c r="L174" s="1" t="str">
        <f ca="1">IFERROR(__xludf.DUMMYFUNCTION("""COMPUTED_VALUE"""),"+.056")</f>
        <v>+.056</v>
      </c>
      <c r="M174" s="1">
        <f ca="1">IFERROR(__xludf.DUMMYFUNCTION("""COMPUTED_VALUE"""),44)</f>
        <v>44</v>
      </c>
      <c r="N174" s="1">
        <f ca="1">IFERROR(__xludf.DUMMYFUNCTION("""COMPUTED_VALUE"""),-2.21)</f>
        <v>-2.21</v>
      </c>
      <c r="O174" s="1">
        <f ca="1">IFERROR(__xludf.DUMMYFUNCTION("""COMPUTED_VALUE"""),196)</f>
        <v>196</v>
      </c>
      <c r="P174" s="1">
        <f ca="1">IFERROR(__xludf.DUMMYFUNCTION("""COMPUTED_VALUE"""),103)</f>
        <v>103</v>
      </c>
      <c r="Q174" s="1">
        <f ca="1">IFERROR(__xludf.DUMMYFUNCTION("""COMPUTED_VALUE"""),232)</f>
        <v>232</v>
      </c>
      <c r="R174" s="1">
        <f ca="1">IFERROR(__xludf.DUMMYFUNCTION("""COMPUTED_VALUE"""),105.3)</f>
        <v>105.3</v>
      </c>
      <c r="S174" s="1">
        <f ca="1">IFERROR(__xludf.DUMMYFUNCTION("""COMPUTED_VALUE"""),158)</f>
        <v>158</v>
      </c>
      <c r="T174" s="1" t="str">
        <f ca="1">IFERROR(__xludf.DUMMYFUNCTION("""COMPUTED_VALUE"""),"+0.85")</f>
        <v>+0.85</v>
      </c>
      <c r="U174" s="1">
        <f ca="1">IFERROR(__xludf.DUMMYFUNCTION("""COMPUTED_VALUE"""),130)</f>
        <v>130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IFERROR(__xludf.DUMMYFUNCTION("""COMPUTED_VALUE"""),"Lipscomb")</f>
        <v>Lipscomb</v>
      </c>
      <c r="C175" s="1" t="str">
        <f ca="1">IFERROR(__xludf.DUMMYFUNCTION("""COMPUTED_VALUE"""),"ASun")</f>
        <v>ASun</v>
      </c>
      <c r="D175" s="1" t="str">
        <f ca="1">IFERROR(__xludf.DUMMYFUNCTION("""COMPUTED_VALUE"""),"20-13")</f>
        <v>20-13</v>
      </c>
      <c r="E175" s="1" t="str">
        <f ca="1">IFERROR(__xludf.DUMMYFUNCTION("""COMPUTED_VALUE"""),"+0.30")</f>
        <v>+0.30</v>
      </c>
      <c r="F175" s="1">
        <f ca="1">IFERROR(__xludf.DUMMYFUNCTION("""COMPUTED_VALUE"""),107.3)</f>
        <v>107.3</v>
      </c>
      <c r="G175" s="1">
        <f ca="1">IFERROR(__xludf.DUMMYFUNCTION("""COMPUTED_VALUE"""),121)</f>
        <v>121</v>
      </c>
      <c r="H175" s="1">
        <f ca="1">IFERROR(__xludf.DUMMYFUNCTION("""COMPUTED_VALUE"""),107)</f>
        <v>107</v>
      </c>
      <c r="I175" s="1">
        <f ca="1">IFERROR(__xludf.DUMMYFUNCTION("""COMPUTED_VALUE"""),217)</f>
        <v>217</v>
      </c>
      <c r="J175" s="1">
        <f ca="1">IFERROR(__xludf.DUMMYFUNCTION("""COMPUTED_VALUE"""),74.2)</f>
        <v>74.2</v>
      </c>
      <c r="K175" s="1">
        <f ca="1">IFERROR(__xludf.DUMMYFUNCTION("""COMPUTED_VALUE"""),6)</f>
        <v>6</v>
      </c>
      <c r="L175" s="1">
        <f ca="1">IFERROR(__xludf.DUMMYFUNCTION("""COMPUTED_VALUE"""),-0.017)</f>
        <v>-1.7000000000000001E-2</v>
      </c>
      <c r="M175" s="1">
        <f ca="1">IFERROR(__xludf.DUMMYFUNCTION("""COMPUTED_VALUE"""),231)</f>
        <v>231</v>
      </c>
      <c r="N175" s="1">
        <f ca="1">IFERROR(__xludf.DUMMYFUNCTION("""COMPUTED_VALUE"""),-4.59)</f>
        <v>-4.59</v>
      </c>
      <c r="O175" s="1">
        <f ca="1">IFERROR(__xludf.DUMMYFUNCTION("""COMPUTED_VALUE"""),270)</f>
        <v>270</v>
      </c>
      <c r="P175" s="1">
        <f ca="1">IFERROR(__xludf.DUMMYFUNCTION("""COMPUTED_VALUE"""),103.2)</f>
        <v>103.2</v>
      </c>
      <c r="Q175" s="1">
        <f ca="1">IFERROR(__xludf.DUMMYFUNCTION("""COMPUTED_VALUE"""),226)</f>
        <v>226</v>
      </c>
      <c r="R175" s="1">
        <f ca="1">IFERROR(__xludf.DUMMYFUNCTION("""COMPUTED_VALUE"""),107.8)</f>
        <v>107.8</v>
      </c>
      <c r="S175" s="1">
        <f ca="1">IFERROR(__xludf.DUMMYFUNCTION("""COMPUTED_VALUE"""),299)</f>
        <v>299</v>
      </c>
      <c r="T175" s="1" t="str">
        <f ca="1">IFERROR(__xludf.DUMMYFUNCTION("""COMPUTED_VALUE"""),"+1.17")</f>
        <v>+1.17</v>
      </c>
      <c r="U175" s="1">
        <f ca="1">IFERROR(__xludf.DUMMYFUNCTION("""COMPUTED_VALUE"""),120)</f>
        <v>120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IFERROR(__xludf.DUMMYFUNCTION("""COMPUTED_VALUE"""),"Samford")</f>
        <v>Samford</v>
      </c>
      <c r="C176" s="1" t="str">
        <f ca="1">IFERROR(__xludf.DUMMYFUNCTION("""COMPUTED_VALUE"""),"SC")</f>
        <v>SC</v>
      </c>
      <c r="D176" s="1" t="str">
        <f ca="1">IFERROR(__xludf.DUMMYFUNCTION("""COMPUTED_VALUE"""),"20-16")</f>
        <v>20-16</v>
      </c>
      <c r="E176" s="1" t="str">
        <f ca="1">IFERROR(__xludf.DUMMYFUNCTION("""COMPUTED_VALUE"""),"+0.26")</f>
        <v>+0.26</v>
      </c>
      <c r="F176" s="1">
        <f ca="1">IFERROR(__xludf.DUMMYFUNCTION("""COMPUTED_VALUE"""),107.8)</f>
        <v>107.8</v>
      </c>
      <c r="G176" s="1">
        <f ca="1">IFERROR(__xludf.DUMMYFUNCTION("""COMPUTED_VALUE"""),110)</f>
        <v>110</v>
      </c>
      <c r="H176" s="1">
        <f ca="1">IFERROR(__xludf.DUMMYFUNCTION("""COMPUTED_VALUE"""),107.5)</f>
        <v>107.5</v>
      </c>
      <c r="I176" s="1">
        <f ca="1">IFERROR(__xludf.DUMMYFUNCTION("""COMPUTED_VALUE"""),227)</f>
        <v>227</v>
      </c>
      <c r="J176" s="1">
        <f ca="1">IFERROR(__xludf.DUMMYFUNCTION("""COMPUTED_VALUE"""),68.6)</f>
        <v>68.599999999999994</v>
      </c>
      <c r="K176" s="1">
        <f ca="1">IFERROR(__xludf.DUMMYFUNCTION("""COMPUTED_VALUE"""),150)</f>
        <v>150</v>
      </c>
      <c r="L176" s="1">
        <f ca="1">IFERROR(__xludf.DUMMYFUNCTION("""COMPUTED_VALUE"""),-0.036)</f>
        <v>-3.5999999999999997E-2</v>
      </c>
      <c r="M176" s="1">
        <f ca="1">IFERROR(__xludf.DUMMYFUNCTION("""COMPUTED_VALUE"""),273)</f>
        <v>273</v>
      </c>
      <c r="N176" s="1">
        <f ca="1">IFERROR(__xludf.DUMMYFUNCTION("""COMPUTED_VALUE"""),-2.56)</f>
        <v>-2.56</v>
      </c>
      <c r="O176" s="1">
        <f ca="1">IFERROR(__xludf.DUMMYFUNCTION("""COMPUTED_VALUE"""),205)</f>
        <v>205</v>
      </c>
      <c r="P176" s="1">
        <f ca="1">IFERROR(__xludf.DUMMYFUNCTION("""COMPUTED_VALUE"""),103.9)</f>
        <v>103.9</v>
      </c>
      <c r="Q176" s="1">
        <f ca="1">IFERROR(__xludf.DUMMYFUNCTION("""COMPUTED_VALUE"""),190)</f>
        <v>190</v>
      </c>
      <c r="R176" s="1">
        <f ca="1">IFERROR(__xludf.DUMMYFUNCTION("""COMPUTED_VALUE"""),106.4)</f>
        <v>106.4</v>
      </c>
      <c r="S176" s="1">
        <f ca="1">IFERROR(__xludf.DUMMYFUNCTION("""COMPUTED_VALUE"""),233)</f>
        <v>233</v>
      </c>
      <c r="T176" s="1">
        <f ca="1">IFERROR(__xludf.DUMMYFUNCTION("""COMPUTED_VALUE"""),-3.56)</f>
        <v>-3.56</v>
      </c>
      <c r="U176" s="1">
        <f ca="1">IFERROR(__xludf.DUMMYFUNCTION("""COMPUTED_VALUE"""),260)</f>
        <v>260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IFERROR(__xludf.DUMMYFUNCTION("""COMPUTED_VALUE"""),"North Dakota St.")</f>
        <v>North Dakota St.</v>
      </c>
      <c r="C177" s="1" t="str">
        <f ca="1">IFERROR(__xludf.DUMMYFUNCTION("""COMPUTED_VALUE"""),"Sum")</f>
        <v>Sum</v>
      </c>
      <c r="D177" s="1" t="str">
        <f ca="1">IFERROR(__xludf.DUMMYFUNCTION("""COMPUTED_VALUE"""),"19-11")</f>
        <v>19-11</v>
      </c>
      <c r="E177" s="1" t="str">
        <f ca="1">IFERROR(__xludf.DUMMYFUNCTION("""COMPUTED_VALUE"""),"+0.19")</f>
        <v>+0.19</v>
      </c>
      <c r="F177" s="1">
        <f ca="1">IFERROR(__xludf.DUMMYFUNCTION("""COMPUTED_VALUE"""),104.6)</f>
        <v>104.6</v>
      </c>
      <c r="G177" s="1">
        <f ca="1">IFERROR(__xludf.DUMMYFUNCTION("""COMPUTED_VALUE"""),166)</f>
        <v>166</v>
      </c>
      <c r="H177" s="1">
        <f ca="1">IFERROR(__xludf.DUMMYFUNCTION("""COMPUTED_VALUE"""),104.4)</f>
        <v>104.4</v>
      </c>
      <c r="I177" s="1">
        <f ca="1">IFERROR(__xludf.DUMMYFUNCTION("""COMPUTED_VALUE"""),169)</f>
        <v>169</v>
      </c>
      <c r="J177" s="1">
        <f ca="1">IFERROR(__xludf.DUMMYFUNCTION("""COMPUTED_VALUE"""),66.7)</f>
        <v>66.7</v>
      </c>
      <c r="K177" s="1">
        <f ca="1">IFERROR(__xludf.DUMMYFUNCTION("""COMPUTED_VALUE"""),253)</f>
        <v>253</v>
      </c>
      <c r="L177" s="1" t="str">
        <f ca="1">IFERROR(__xludf.DUMMYFUNCTION("""COMPUTED_VALUE"""),"+.081")</f>
        <v>+.081</v>
      </c>
      <c r="M177" s="1">
        <f ca="1">IFERROR(__xludf.DUMMYFUNCTION("""COMPUTED_VALUE"""),14)</f>
        <v>14</v>
      </c>
      <c r="N177" s="1">
        <f ca="1">IFERROR(__xludf.DUMMYFUNCTION("""COMPUTED_VALUE"""),-1.93)</f>
        <v>-1.93</v>
      </c>
      <c r="O177" s="1">
        <f ca="1">IFERROR(__xludf.DUMMYFUNCTION("""COMPUTED_VALUE"""),189)</f>
        <v>189</v>
      </c>
      <c r="P177" s="1">
        <f ca="1">IFERROR(__xludf.DUMMYFUNCTION("""COMPUTED_VALUE"""),105.5)</f>
        <v>105.5</v>
      </c>
      <c r="Q177" s="1">
        <f ca="1">IFERROR(__xludf.DUMMYFUNCTION("""COMPUTED_VALUE"""),102)</f>
        <v>102</v>
      </c>
      <c r="R177" s="1">
        <f ca="1">IFERROR(__xludf.DUMMYFUNCTION("""COMPUTED_VALUE"""),107.5)</f>
        <v>107.5</v>
      </c>
      <c r="S177" s="1">
        <f ca="1">IFERROR(__xludf.DUMMYFUNCTION("""COMPUTED_VALUE"""),283)</f>
        <v>283</v>
      </c>
      <c r="T177" s="1" t="str">
        <f ca="1">IFERROR(__xludf.DUMMYFUNCTION("""COMPUTED_VALUE"""),"+0.50")</f>
        <v>+0.50</v>
      </c>
      <c r="U177" s="1">
        <f ca="1">IFERROR(__xludf.DUMMYFUNCTION("""COMPUTED_VALUE"""),139)</f>
        <v>139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IFERROR(__xludf.DUMMYFUNCTION("""COMPUTED_VALUE"""),"North Dakota15")</f>
        <v>North Dakota15</v>
      </c>
      <c r="C178" s="1" t="str">
        <f ca="1">IFERROR(__xludf.DUMMYFUNCTION("""COMPUTED_VALUE"""),"BSky")</f>
        <v>BSky</v>
      </c>
      <c r="D178" s="1" t="str">
        <f ca="1">IFERROR(__xludf.DUMMYFUNCTION("""COMPUTED_VALUE"""),"22-10")</f>
        <v>22-10</v>
      </c>
      <c r="E178" s="1" t="str">
        <f ca="1">IFERROR(__xludf.DUMMYFUNCTION("""COMPUTED_VALUE"""),"+0.04")</f>
        <v>+0.04</v>
      </c>
      <c r="F178" s="1">
        <f ca="1">IFERROR(__xludf.DUMMYFUNCTION("""COMPUTED_VALUE"""),103.6)</f>
        <v>103.6</v>
      </c>
      <c r="G178" s="1">
        <f ca="1">IFERROR(__xludf.DUMMYFUNCTION("""COMPUTED_VALUE"""),188)</f>
        <v>188</v>
      </c>
      <c r="H178" s="1">
        <f ca="1">IFERROR(__xludf.DUMMYFUNCTION("""COMPUTED_VALUE"""),103.5)</f>
        <v>103.5</v>
      </c>
      <c r="I178" s="1">
        <f ca="1">IFERROR(__xludf.DUMMYFUNCTION("""COMPUTED_VALUE"""),157)</f>
        <v>157</v>
      </c>
      <c r="J178" s="1">
        <f ca="1">IFERROR(__xludf.DUMMYFUNCTION("""COMPUTED_VALUE"""),71.5)</f>
        <v>71.5</v>
      </c>
      <c r="K178" s="1">
        <f ca="1">IFERROR(__xludf.DUMMYFUNCTION("""COMPUTED_VALUE"""),35)</f>
        <v>35</v>
      </c>
      <c r="L178" s="1" t="str">
        <f ca="1">IFERROR(__xludf.DUMMYFUNCTION("""COMPUTED_VALUE"""),"+.048")</f>
        <v>+.048</v>
      </c>
      <c r="M178" s="1">
        <f ca="1">IFERROR(__xludf.DUMMYFUNCTION("""COMPUTED_VALUE"""),61)</f>
        <v>61</v>
      </c>
      <c r="N178" s="1">
        <f ca="1">IFERROR(__xludf.DUMMYFUNCTION("""COMPUTED_VALUE"""),-5.66)</f>
        <v>-5.66</v>
      </c>
      <c r="O178" s="1">
        <f ca="1">IFERROR(__xludf.DUMMYFUNCTION("""COMPUTED_VALUE"""),296)</f>
        <v>296</v>
      </c>
      <c r="P178" s="1">
        <f ca="1">IFERROR(__xludf.DUMMYFUNCTION("""COMPUTED_VALUE"""),103)</f>
        <v>103</v>
      </c>
      <c r="Q178" s="1">
        <f ca="1">IFERROR(__xludf.DUMMYFUNCTION("""COMPUTED_VALUE"""),237)</f>
        <v>237</v>
      </c>
      <c r="R178" s="1">
        <f ca="1">IFERROR(__xludf.DUMMYFUNCTION("""COMPUTED_VALUE"""),108.6)</f>
        <v>108.6</v>
      </c>
      <c r="S178" s="1">
        <f ca="1">IFERROR(__xludf.DUMMYFUNCTION("""COMPUTED_VALUE"""),330)</f>
        <v>330</v>
      </c>
      <c r="T178" s="1" t="str">
        <f ca="1">IFERROR(__xludf.DUMMYFUNCTION("""COMPUTED_VALUE"""),"+3.24")</f>
        <v>+3.24</v>
      </c>
      <c r="U178" s="1">
        <f ca="1">IFERROR(__xludf.DUMMYFUNCTION("""COMPUTED_VALUE"""),66)</f>
        <v>66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IFERROR(__xludf.DUMMYFUNCTION("""COMPUTED_VALUE"""),"Northern Iowa")</f>
        <v>Northern Iowa</v>
      </c>
      <c r="C179" s="1" t="str">
        <f ca="1">IFERROR(__xludf.DUMMYFUNCTION("""COMPUTED_VALUE"""),"MVC")</f>
        <v>MVC</v>
      </c>
      <c r="D179" s="1" t="str">
        <f ca="1">IFERROR(__xludf.DUMMYFUNCTION("""COMPUTED_VALUE"""),"14-16")</f>
        <v>14-16</v>
      </c>
      <c r="E179" s="1" t="str">
        <f ca="1">IFERROR(__xludf.DUMMYFUNCTION("""COMPUTED_VALUE"""),"+0.01")</f>
        <v>+0.01</v>
      </c>
      <c r="F179" s="1">
        <f ca="1">IFERROR(__xludf.DUMMYFUNCTION("""COMPUTED_VALUE"""),97.6)</f>
        <v>97.6</v>
      </c>
      <c r="G179" s="1">
        <f ca="1">IFERROR(__xludf.DUMMYFUNCTION("""COMPUTED_VALUE"""),295)</f>
        <v>295</v>
      </c>
      <c r="H179" s="1">
        <f ca="1">IFERROR(__xludf.DUMMYFUNCTION("""COMPUTED_VALUE"""),97.6)</f>
        <v>97.6</v>
      </c>
      <c r="I179" s="1">
        <f ca="1">IFERROR(__xludf.DUMMYFUNCTION("""COMPUTED_VALUE"""),57)</f>
        <v>57</v>
      </c>
      <c r="J179" s="1">
        <f ca="1">IFERROR(__xludf.DUMMYFUNCTION("""COMPUTED_VALUE"""),63.5)</f>
        <v>63.5</v>
      </c>
      <c r="K179" s="1">
        <f ca="1">IFERROR(__xludf.DUMMYFUNCTION("""COMPUTED_VALUE"""),332)</f>
        <v>332</v>
      </c>
      <c r="L179" s="1" t="str">
        <f ca="1">IFERROR(__xludf.DUMMYFUNCTION("""COMPUTED_VALUE"""),"+.054")</f>
        <v>+.054</v>
      </c>
      <c r="M179" s="1">
        <f ca="1">IFERROR(__xludf.DUMMYFUNCTION("""COMPUTED_VALUE"""),50)</f>
        <v>50</v>
      </c>
      <c r="N179" s="1" t="str">
        <f ca="1">IFERROR(__xludf.DUMMYFUNCTION("""COMPUTED_VALUE"""),"+4.51")</f>
        <v>+4.51</v>
      </c>
      <c r="O179" s="1">
        <f ca="1">IFERROR(__xludf.DUMMYFUNCTION("""COMPUTED_VALUE"""),77)</f>
        <v>77</v>
      </c>
      <c r="P179" s="1">
        <f ca="1">IFERROR(__xludf.DUMMYFUNCTION("""COMPUTED_VALUE"""),107.2)</f>
        <v>107.2</v>
      </c>
      <c r="Q179" s="1">
        <f ca="1">IFERROR(__xludf.DUMMYFUNCTION("""COMPUTED_VALUE"""),74)</f>
        <v>74</v>
      </c>
      <c r="R179" s="1">
        <f ca="1">IFERROR(__xludf.DUMMYFUNCTION("""COMPUTED_VALUE"""),102.7)</f>
        <v>102.7</v>
      </c>
      <c r="S179" s="1">
        <f ca="1">IFERROR(__xludf.DUMMYFUNCTION("""COMPUTED_VALUE"""),88)</f>
        <v>88</v>
      </c>
      <c r="T179" s="1" t="str">
        <f ca="1">IFERROR(__xludf.DUMMYFUNCTION("""COMPUTED_VALUE"""),"+7.99")</f>
        <v>+7.99</v>
      </c>
      <c r="U179" s="1">
        <f ca="1">IFERROR(__xludf.DUMMYFUNCTION("""COMPUTED_VALUE"""),16)</f>
        <v>16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IFERROR(__xludf.DUMMYFUNCTION("""COMPUTED_VALUE"""),"Siena")</f>
        <v>Siena</v>
      </c>
      <c r="C180" s="1" t="str">
        <f ca="1">IFERROR(__xludf.DUMMYFUNCTION("""COMPUTED_VALUE"""),"MAAC")</f>
        <v>MAAC</v>
      </c>
      <c r="D180" s="1" t="str">
        <f ca="1">IFERROR(__xludf.DUMMYFUNCTION("""COMPUTED_VALUE"""),"17-17")</f>
        <v>17-17</v>
      </c>
      <c r="E180" s="1">
        <f ca="1">IFERROR(__xludf.DUMMYFUNCTION("""COMPUTED_VALUE"""),-0.16)</f>
        <v>-0.16</v>
      </c>
      <c r="F180" s="1">
        <f ca="1">IFERROR(__xludf.DUMMYFUNCTION("""COMPUTED_VALUE"""),106.2)</f>
        <v>106.2</v>
      </c>
      <c r="G180" s="1">
        <f ca="1">IFERROR(__xludf.DUMMYFUNCTION("""COMPUTED_VALUE"""),143)</f>
        <v>143</v>
      </c>
      <c r="H180" s="1">
        <f ca="1">IFERROR(__xludf.DUMMYFUNCTION("""COMPUTED_VALUE"""),106.3)</f>
        <v>106.3</v>
      </c>
      <c r="I180" s="1">
        <f ca="1">IFERROR(__xludf.DUMMYFUNCTION("""COMPUTED_VALUE"""),206)</f>
        <v>206</v>
      </c>
      <c r="J180" s="1">
        <f ca="1">IFERROR(__xludf.DUMMYFUNCTION("""COMPUTED_VALUE"""),68.7)</f>
        <v>68.7</v>
      </c>
      <c r="K180" s="1">
        <f ca="1">IFERROR(__xludf.DUMMYFUNCTION("""COMPUTED_VALUE"""),143)</f>
        <v>143</v>
      </c>
      <c r="L180" s="1">
        <f ca="1">IFERROR(__xludf.DUMMYFUNCTION("""COMPUTED_VALUE"""),-0.009)</f>
        <v>-8.9999999999999993E-3</v>
      </c>
      <c r="M180" s="1">
        <f ca="1">IFERROR(__xludf.DUMMYFUNCTION("""COMPUTED_VALUE"""),209)</f>
        <v>209</v>
      </c>
      <c r="N180" s="1">
        <f ca="1">IFERROR(__xludf.DUMMYFUNCTION("""COMPUTED_VALUE"""),-1.16)</f>
        <v>-1.1599999999999999</v>
      </c>
      <c r="O180" s="1">
        <f ca="1">IFERROR(__xludf.DUMMYFUNCTION("""COMPUTED_VALUE"""),162)</f>
        <v>162</v>
      </c>
      <c r="P180" s="1">
        <f ca="1">IFERROR(__xludf.DUMMYFUNCTION("""COMPUTED_VALUE"""),104.6)</f>
        <v>104.6</v>
      </c>
      <c r="Q180" s="1">
        <f ca="1">IFERROR(__xludf.DUMMYFUNCTION("""COMPUTED_VALUE"""),150)</f>
        <v>150</v>
      </c>
      <c r="R180" s="1">
        <f ca="1">IFERROR(__xludf.DUMMYFUNCTION("""COMPUTED_VALUE"""),105.7)</f>
        <v>105.7</v>
      </c>
      <c r="S180" s="1">
        <f ca="1">IFERROR(__xludf.DUMMYFUNCTION("""COMPUTED_VALUE"""),188)</f>
        <v>188</v>
      </c>
      <c r="T180" s="1" t="str">
        <f ca="1">IFERROR(__xludf.DUMMYFUNCTION("""COMPUTED_VALUE"""),"+5.47")</f>
        <v>+5.47</v>
      </c>
      <c r="U180" s="1">
        <f ca="1">IFERROR(__xludf.DUMMYFUNCTION("""COMPUTED_VALUE"""),37)</f>
        <v>37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IFERROR(__xludf.DUMMYFUNCTION("""COMPUTED_VALUE"""),"Penn")</f>
        <v>Penn</v>
      </c>
      <c r="C181" s="1" t="str">
        <f ca="1">IFERROR(__xludf.DUMMYFUNCTION("""COMPUTED_VALUE"""),"Ivy")</f>
        <v>Ivy</v>
      </c>
      <c r="D181" s="1" t="str">
        <f ca="1">IFERROR(__xludf.DUMMYFUNCTION("""COMPUTED_VALUE"""),"13-15")</f>
        <v>13-15</v>
      </c>
      <c r="E181" s="1">
        <f ca="1">IFERROR(__xludf.DUMMYFUNCTION("""COMPUTED_VALUE"""),-0.2)</f>
        <v>-0.2</v>
      </c>
      <c r="F181" s="1">
        <f ca="1">IFERROR(__xludf.DUMMYFUNCTION("""COMPUTED_VALUE"""),102.6)</f>
        <v>102.6</v>
      </c>
      <c r="G181" s="1">
        <f ca="1">IFERROR(__xludf.DUMMYFUNCTION("""COMPUTED_VALUE"""),206)</f>
        <v>206</v>
      </c>
      <c r="H181" s="1">
        <f ca="1">IFERROR(__xludf.DUMMYFUNCTION("""COMPUTED_VALUE"""),102.8)</f>
        <v>102.8</v>
      </c>
      <c r="I181" s="1">
        <f ca="1">IFERROR(__xludf.DUMMYFUNCTION("""COMPUTED_VALUE"""),133)</f>
        <v>133</v>
      </c>
      <c r="J181" s="1">
        <f ca="1">IFERROR(__xludf.DUMMYFUNCTION("""COMPUTED_VALUE"""),66.7)</f>
        <v>66.7</v>
      </c>
      <c r="K181" s="1">
        <f ca="1">IFERROR(__xludf.DUMMYFUNCTION("""COMPUTED_VALUE"""),255)</f>
        <v>255</v>
      </c>
      <c r="L181" s="1">
        <f ca="1">IFERROR(__xludf.DUMMYFUNCTION("""COMPUTED_VALUE"""),-0.054)</f>
        <v>-5.3999999999999999E-2</v>
      </c>
      <c r="M181" s="1">
        <f ca="1">IFERROR(__xludf.DUMMYFUNCTION("""COMPUTED_VALUE"""),301)</f>
        <v>301</v>
      </c>
      <c r="N181" s="1">
        <f ca="1">IFERROR(__xludf.DUMMYFUNCTION("""COMPUTED_VALUE"""),-1.68)</f>
        <v>-1.68</v>
      </c>
      <c r="O181" s="1">
        <f ca="1">IFERROR(__xludf.DUMMYFUNCTION("""COMPUTED_VALUE"""),184)</f>
        <v>184</v>
      </c>
      <c r="P181" s="1">
        <f ca="1">IFERROR(__xludf.DUMMYFUNCTION("""COMPUTED_VALUE"""),103.5)</f>
        <v>103.5</v>
      </c>
      <c r="Q181" s="1">
        <f ca="1">IFERROR(__xludf.DUMMYFUNCTION("""COMPUTED_VALUE"""),211)</f>
        <v>211</v>
      </c>
      <c r="R181" s="1">
        <f ca="1">IFERROR(__xludf.DUMMYFUNCTION("""COMPUTED_VALUE"""),105.2)</f>
        <v>105.2</v>
      </c>
      <c r="S181" s="1">
        <f ca="1">IFERROR(__xludf.DUMMYFUNCTION("""COMPUTED_VALUE"""),154)</f>
        <v>154</v>
      </c>
      <c r="T181" s="1" t="str">
        <f ca="1">IFERROR(__xludf.DUMMYFUNCTION("""COMPUTED_VALUE"""),"+0.20")</f>
        <v>+0.20</v>
      </c>
      <c r="U181" s="1">
        <f ca="1">IFERROR(__xludf.DUMMYFUNCTION("""COMPUTED_VALUE"""),146)</f>
        <v>146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IFERROR(__xludf.DUMMYFUNCTION("""COMPUTED_VALUE"""),"LSU")</f>
        <v>LSU</v>
      </c>
      <c r="C182" s="1" t="str">
        <f ca="1">IFERROR(__xludf.DUMMYFUNCTION("""COMPUTED_VALUE"""),"SEC")</f>
        <v>SEC</v>
      </c>
      <c r="D182" s="2">
        <f ca="1">IFERROR(__xludf.DUMMYFUNCTION("""COMPUTED_VALUE"""),44855)</f>
        <v>44855</v>
      </c>
      <c r="E182" s="1">
        <f ca="1">IFERROR(__xludf.DUMMYFUNCTION("""COMPUTED_VALUE"""),-0.25)</f>
        <v>-0.25</v>
      </c>
      <c r="F182" s="1">
        <f ca="1">IFERROR(__xludf.DUMMYFUNCTION("""COMPUTED_VALUE"""),109.7)</f>
        <v>109.7</v>
      </c>
      <c r="G182" s="1">
        <f ca="1">IFERROR(__xludf.DUMMYFUNCTION("""COMPUTED_VALUE"""),80)</f>
        <v>80</v>
      </c>
      <c r="H182" s="1">
        <f ca="1">IFERROR(__xludf.DUMMYFUNCTION("""COMPUTED_VALUE"""),109.9)</f>
        <v>109.9</v>
      </c>
      <c r="I182" s="1">
        <f ca="1">IFERROR(__xludf.DUMMYFUNCTION("""COMPUTED_VALUE"""),280)</f>
        <v>280</v>
      </c>
      <c r="J182" s="1">
        <f ca="1">IFERROR(__xludf.DUMMYFUNCTION("""COMPUTED_VALUE"""),71.9)</f>
        <v>71.900000000000006</v>
      </c>
      <c r="K182" s="1">
        <f ca="1">IFERROR(__xludf.DUMMYFUNCTION("""COMPUTED_VALUE"""),27)</f>
        <v>27</v>
      </c>
      <c r="L182" s="1" t="str">
        <f ca="1">IFERROR(__xludf.DUMMYFUNCTION("""COMPUTED_VALUE"""),"+.008")</f>
        <v>+.008</v>
      </c>
      <c r="M182" s="1">
        <f ca="1">IFERROR(__xludf.DUMMYFUNCTION("""COMPUTED_VALUE"""),169)</f>
        <v>169</v>
      </c>
      <c r="N182" s="1" t="str">
        <f ca="1">IFERROR(__xludf.DUMMYFUNCTION("""COMPUTED_VALUE"""),"+9.25")</f>
        <v>+9.25</v>
      </c>
      <c r="O182" s="1">
        <f ca="1">IFERROR(__xludf.DUMMYFUNCTION("""COMPUTED_VALUE"""),34)</f>
        <v>34</v>
      </c>
      <c r="P182" s="1">
        <f ca="1">IFERROR(__xludf.DUMMYFUNCTION("""COMPUTED_VALUE"""),108.7)</f>
        <v>108.7</v>
      </c>
      <c r="Q182" s="1">
        <f ca="1">IFERROR(__xludf.DUMMYFUNCTION("""COMPUTED_VALUE"""),55)</f>
        <v>55</v>
      </c>
      <c r="R182" s="1">
        <f ca="1">IFERROR(__xludf.DUMMYFUNCTION("""COMPUTED_VALUE"""),99.5)</f>
        <v>99.5</v>
      </c>
      <c r="S182" s="1">
        <f ca="1">IFERROR(__xludf.DUMMYFUNCTION("""COMPUTED_VALUE"""),14)</f>
        <v>14</v>
      </c>
      <c r="T182" s="1" t="str">
        <f ca="1">IFERROR(__xludf.DUMMYFUNCTION("""COMPUTED_VALUE"""),"+2.91")</f>
        <v>+2.91</v>
      </c>
      <c r="U182" s="1">
        <f ca="1">IFERROR(__xludf.DUMMYFUNCTION("""COMPUTED_VALUE"""),69)</f>
        <v>69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IFERROR(__xludf.DUMMYFUNCTION("""COMPUTED_VALUE"""),"Boston College")</f>
        <v>Boston College</v>
      </c>
      <c r="C183" s="1" t="str">
        <f ca="1">IFERROR(__xludf.DUMMYFUNCTION("""COMPUTED_VALUE"""),"ACC")</f>
        <v>ACC</v>
      </c>
      <c r="D183" s="2">
        <f ca="1">IFERROR(__xludf.DUMMYFUNCTION("""COMPUTED_VALUE"""),44827)</f>
        <v>44827</v>
      </c>
      <c r="E183" s="1">
        <f ca="1">IFERROR(__xludf.DUMMYFUNCTION("""COMPUTED_VALUE"""),-0.27)</f>
        <v>-0.27</v>
      </c>
      <c r="F183" s="1">
        <f ca="1">IFERROR(__xludf.DUMMYFUNCTION("""COMPUTED_VALUE"""),103.9)</f>
        <v>103.9</v>
      </c>
      <c r="G183" s="1">
        <f ca="1">IFERROR(__xludf.DUMMYFUNCTION("""COMPUTED_VALUE"""),186)</f>
        <v>186</v>
      </c>
      <c r="H183" s="1">
        <f ca="1">IFERROR(__xludf.DUMMYFUNCTION("""COMPUTED_VALUE"""),104.2)</f>
        <v>104.2</v>
      </c>
      <c r="I183" s="1">
        <f ca="1">IFERROR(__xludf.DUMMYFUNCTION("""COMPUTED_VALUE"""),163)</f>
        <v>163</v>
      </c>
      <c r="J183" s="1">
        <f ca="1">IFERROR(__xludf.DUMMYFUNCTION("""COMPUTED_VALUE"""),71.1)</f>
        <v>71.099999999999994</v>
      </c>
      <c r="K183" s="1">
        <f ca="1">IFERROR(__xludf.DUMMYFUNCTION("""COMPUTED_VALUE"""),46)</f>
        <v>46</v>
      </c>
      <c r="L183" s="1">
        <f ca="1">IFERROR(__xludf.DUMMYFUNCTION("""COMPUTED_VALUE"""),-0.032)</f>
        <v>-3.2000000000000001E-2</v>
      </c>
      <c r="M183" s="1">
        <f ca="1">IFERROR(__xludf.DUMMYFUNCTION("""COMPUTED_VALUE"""),266)</f>
        <v>266</v>
      </c>
      <c r="N183" s="1" t="str">
        <f ca="1">IFERROR(__xludf.DUMMYFUNCTION("""COMPUTED_VALUE"""),"+8.18")</f>
        <v>+8.18</v>
      </c>
      <c r="O183" s="1">
        <f ca="1">IFERROR(__xludf.DUMMYFUNCTION("""COMPUTED_VALUE"""),48)</f>
        <v>48</v>
      </c>
      <c r="P183" s="1">
        <f ca="1">IFERROR(__xludf.DUMMYFUNCTION("""COMPUTED_VALUE"""),110.4)</f>
        <v>110.4</v>
      </c>
      <c r="Q183" s="1">
        <f ca="1">IFERROR(__xludf.DUMMYFUNCTION("""COMPUTED_VALUE"""),25)</f>
        <v>25</v>
      </c>
      <c r="R183" s="1">
        <f ca="1">IFERROR(__xludf.DUMMYFUNCTION("""COMPUTED_VALUE"""),102.2)</f>
        <v>102.2</v>
      </c>
      <c r="S183" s="1">
        <f ca="1">IFERROR(__xludf.DUMMYFUNCTION("""COMPUTED_VALUE"""),74)</f>
        <v>74</v>
      </c>
      <c r="T183" s="1">
        <f ca="1">IFERROR(__xludf.DUMMYFUNCTION("""COMPUTED_VALUE"""),-6.42)</f>
        <v>-6.42</v>
      </c>
      <c r="U183" s="1">
        <f ca="1">IFERROR(__xludf.DUMMYFUNCTION("""COMPUTED_VALUE"""),327)</f>
        <v>327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IFERROR(__xludf.DUMMYFUNCTION("""COMPUTED_VALUE"""),"Texas St.")</f>
        <v>Texas St.</v>
      </c>
      <c r="C184" s="1" t="str">
        <f ca="1">IFERROR(__xludf.DUMMYFUNCTION("""COMPUTED_VALUE"""),"SB")</f>
        <v>SB</v>
      </c>
      <c r="D184" s="1" t="str">
        <f ca="1">IFERROR(__xludf.DUMMYFUNCTION("""COMPUTED_VALUE"""),"22-14")</f>
        <v>22-14</v>
      </c>
      <c r="E184" s="1">
        <f ca="1">IFERROR(__xludf.DUMMYFUNCTION("""COMPUTED_VALUE"""),-0.36)</f>
        <v>-0.36</v>
      </c>
      <c r="F184" s="1">
        <f ca="1">IFERROR(__xludf.DUMMYFUNCTION("""COMPUTED_VALUE"""),101.3)</f>
        <v>101.3</v>
      </c>
      <c r="G184" s="1">
        <f ca="1">IFERROR(__xludf.DUMMYFUNCTION("""COMPUTED_VALUE"""),234)</f>
        <v>234</v>
      </c>
      <c r="H184" s="1">
        <f ca="1">IFERROR(__xludf.DUMMYFUNCTION("""COMPUTED_VALUE"""),101.7)</f>
        <v>101.7</v>
      </c>
      <c r="I184" s="1">
        <f ca="1">IFERROR(__xludf.DUMMYFUNCTION("""COMPUTED_VALUE"""),105)</f>
        <v>105</v>
      </c>
      <c r="J184" s="1">
        <f ca="1">IFERROR(__xludf.DUMMYFUNCTION("""COMPUTED_VALUE"""),62.3)</f>
        <v>62.3</v>
      </c>
      <c r="K184" s="1">
        <f ca="1">IFERROR(__xludf.DUMMYFUNCTION("""COMPUTED_VALUE"""),345)</f>
        <v>345</v>
      </c>
      <c r="L184" s="1" t="str">
        <f ca="1">IFERROR(__xludf.DUMMYFUNCTION("""COMPUTED_VALUE"""),"+.016")</f>
        <v>+.016</v>
      </c>
      <c r="M184" s="1">
        <f ca="1">IFERROR(__xludf.DUMMYFUNCTION("""COMPUTED_VALUE"""),144)</f>
        <v>144</v>
      </c>
      <c r="N184" s="1">
        <f ca="1">IFERROR(__xludf.DUMMYFUNCTION("""COMPUTED_VALUE"""),-4.36)</f>
        <v>-4.3600000000000003</v>
      </c>
      <c r="O184" s="1">
        <f ca="1">IFERROR(__xludf.DUMMYFUNCTION("""COMPUTED_VALUE"""),260)</f>
        <v>260</v>
      </c>
      <c r="P184" s="1">
        <f ca="1">IFERROR(__xludf.DUMMYFUNCTION("""COMPUTED_VALUE"""),102.3)</f>
        <v>102.3</v>
      </c>
      <c r="Q184" s="1">
        <f ca="1">IFERROR(__xludf.DUMMYFUNCTION("""COMPUTED_VALUE"""),268)</f>
        <v>268</v>
      </c>
      <c r="R184" s="1">
        <f ca="1">IFERROR(__xludf.DUMMYFUNCTION("""COMPUTED_VALUE"""),106.6)</f>
        <v>106.6</v>
      </c>
      <c r="S184" s="1">
        <f ca="1">IFERROR(__xludf.DUMMYFUNCTION("""COMPUTED_VALUE"""),243)</f>
        <v>243</v>
      </c>
      <c r="T184" s="1">
        <f ca="1">IFERROR(__xludf.DUMMYFUNCTION("""COMPUTED_VALUE"""),-7.98)</f>
        <v>-7.98</v>
      </c>
      <c r="U184" s="1">
        <f ca="1">IFERROR(__xludf.DUMMYFUNCTION("""COMPUTED_VALUE"""),341)</f>
        <v>341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IFERROR(__xludf.DUMMYFUNCTION("""COMPUTED_VALUE"""),"Loyola Marymount")</f>
        <v>Loyola Marymount</v>
      </c>
      <c r="C185" s="1" t="str">
        <f ca="1">IFERROR(__xludf.DUMMYFUNCTION("""COMPUTED_VALUE"""),"WCC")</f>
        <v>WCC</v>
      </c>
      <c r="D185" s="1" t="str">
        <f ca="1">IFERROR(__xludf.DUMMYFUNCTION("""COMPUTED_VALUE"""),"15-15")</f>
        <v>15-15</v>
      </c>
      <c r="E185" s="1">
        <f ca="1">IFERROR(__xludf.DUMMYFUNCTION("""COMPUTED_VALUE"""),-0.4)</f>
        <v>-0.4</v>
      </c>
      <c r="F185" s="1">
        <f ca="1">IFERROR(__xludf.DUMMYFUNCTION("""COMPUTED_VALUE"""),103)</f>
        <v>103</v>
      </c>
      <c r="G185" s="1">
        <f ca="1">IFERROR(__xludf.DUMMYFUNCTION("""COMPUTED_VALUE"""),197)</f>
        <v>197</v>
      </c>
      <c r="H185" s="1">
        <f ca="1">IFERROR(__xludf.DUMMYFUNCTION("""COMPUTED_VALUE"""),103.4)</f>
        <v>103.4</v>
      </c>
      <c r="I185" s="1">
        <f ca="1">IFERROR(__xludf.DUMMYFUNCTION("""COMPUTED_VALUE"""),153)</f>
        <v>153</v>
      </c>
      <c r="J185" s="1">
        <f ca="1">IFERROR(__xludf.DUMMYFUNCTION("""COMPUTED_VALUE"""),67.2)</f>
        <v>67.2</v>
      </c>
      <c r="K185" s="1">
        <f ca="1">IFERROR(__xludf.DUMMYFUNCTION("""COMPUTED_VALUE"""),218)</f>
        <v>218</v>
      </c>
      <c r="L185" s="1" t="str">
        <f ca="1">IFERROR(__xludf.DUMMYFUNCTION("""COMPUTED_VALUE"""),"+.025")</f>
        <v>+.025</v>
      </c>
      <c r="M185" s="1">
        <f ca="1">IFERROR(__xludf.DUMMYFUNCTION("""COMPUTED_VALUE"""),117)</f>
        <v>117</v>
      </c>
      <c r="N185" s="1">
        <f ca="1">IFERROR(__xludf.DUMMYFUNCTION("""COMPUTED_VALUE"""),-0.07)</f>
        <v>-7.0000000000000007E-2</v>
      </c>
      <c r="O185" s="1">
        <f ca="1">IFERROR(__xludf.DUMMYFUNCTION("""COMPUTED_VALUE"""),136)</f>
        <v>136</v>
      </c>
      <c r="P185" s="1">
        <f ca="1">IFERROR(__xludf.DUMMYFUNCTION("""COMPUTED_VALUE"""),104.8)</f>
        <v>104.8</v>
      </c>
      <c r="Q185" s="1">
        <f ca="1">IFERROR(__xludf.DUMMYFUNCTION("""COMPUTED_VALUE"""),140)</f>
        <v>140</v>
      </c>
      <c r="R185" s="1">
        <f ca="1">IFERROR(__xludf.DUMMYFUNCTION("""COMPUTED_VALUE"""),104.9)</f>
        <v>104.9</v>
      </c>
      <c r="S185" s="1">
        <f ca="1">IFERROR(__xludf.DUMMYFUNCTION("""COMPUTED_VALUE"""),143)</f>
        <v>143</v>
      </c>
      <c r="T185" s="1">
        <f ca="1">IFERROR(__xludf.DUMMYFUNCTION("""COMPUTED_VALUE"""),-5.03)</f>
        <v>-5.03</v>
      </c>
      <c r="U185" s="1">
        <f ca="1">IFERROR(__xludf.DUMMYFUNCTION("""COMPUTED_VALUE"""),299)</f>
        <v>299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IFERROR(__xludf.DUMMYFUNCTION("""COMPUTED_VALUE"""),"Nebraska Omaha")</f>
        <v>Nebraska Omaha</v>
      </c>
      <c r="C186" s="1" t="str">
        <f ca="1">IFERROR(__xludf.DUMMYFUNCTION("""COMPUTED_VALUE"""),"Sum")</f>
        <v>Sum</v>
      </c>
      <c r="D186" s="1" t="str">
        <f ca="1">IFERROR(__xludf.DUMMYFUNCTION("""COMPUTED_VALUE"""),"18-14")</f>
        <v>18-14</v>
      </c>
      <c r="E186" s="1">
        <f ca="1">IFERROR(__xludf.DUMMYFUNCTION("""COMPUTED_VALUE"""),-0.4)</f>
        <v>-0.4</v>
      </c>
      <c r="F186" s="1">
        <f ca="1">IFERROR(__xludf.DUMMYFUNCTION("""COMPUTED_VALUE"""),108.6)</f>
        <v>108.6</v>
      </c>
      <c r="G186" s="1">
        <f ca="1">IFERROR(__xludf.DUMMYFUNCTION("""COMPUTED_VALUE"""),98)</f>
        <v>98</v>
      </c>
      <c r="H186" s="1">
        <f ca="1">IFERROR(__xludf.DUMMYFUNCTION("""COMPUTED_VALUE"""),109)</f>
        <v>109</v>
      </c>
      <c r="I186" s="1">
        <f ca="1">IFERROR(__xludf.DUMMYFUNCTION("""COMPUTED_VALUE"""),255)</f>
        <v>255</v>
      </c>
      <c r="J186" s="1">
        <f ca="1">IFERROR(__xludf.DUMMYFUNCTION("""COMPUTED_VALUE"""),73.8)</f>
        <v>73.8</v>
      </c>
      <c r="K186" s="1">
        <f ca="1">IFERROR(__xludf.DUMMYFUNCTION("""COMPUTED_VALUE"""),9)</f>
        <v>9</v>
      </c>
      <c r="L186" s="1" t="str">
        <f ca="1">IFERROR(__xludf.DUMMYFUNCTION("""COMPUTED_VALUE"""),"+.086")</f>
        <v>+.086</v>
      </c>
      <c r="M186" s="1">
        <f ca="1">IFERROR(__xludf.DUMMYFUNCTION("""COMPUTED_VALUE"""),8)</f>
        <v>8</v>
      </c>
      <c r="N186" s="1">
        <f ca="1">IFERROR(__xludf.DUMMYFUNCTION("""COMPUTED_VALUE"""),-0.59)</f>
        <v>-0.59</v>
      </c>
      <c r="O186" s="1">
        <f ca="1">IFERROR(__xludf.DUMMYFUNCTION("""COMPUTED_VALUE"""),147)</f>
        <v>147</v>
      </c>
      <c r="P186" s="1">
        <f ca="1">IFERROR(__xludf.DUMMYFUNCTION("""COMPUTED_VALUE"""),106.2)</f>
        <v>106.2</v>
      </c>
      <c r="Q186" s="1">
        <f ca="1">IFERROR(__xludf.DUMMYFUNCTION("""COMPUTED_VALUE"""),85)</f>
        <v>85</v>
      </c>
      <c r="R186" s="1">
        <f ca="1">IFERROR(__xludf.DUMMYFUNCTION("""COMPUTED_VALUE"""),106.8)</f>
        <v>106.8</v>
      </c>
      <c r="S186" s="1">
        <f ca="1">IFERROR(__xludf.DUMMYFUNCTION("""COMPUTED_VALUE"""),255)</f>
        <v>255</v>
      </c>
      <c r="T186" s="1" t="str">
        <f ca="1">IFERROR(__xludf.DUMMYFUNCTION("""COMPUTED_VALUE"""),"+4.11")</f>
        <v>+4.11</v>
      </c>
      <c r="U186" s="1">
        <f ca="1">IFERROR(__xludf.DUMMYFUNCTION("""COMPUTED_VALUE"""),49)</f>
        <v>49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IFERROR(__xludf.DUMMYFUNCTION("""COMPUTED_VALUE"""),"Texas A&amp;M Corpus Chris")</f>
        <v>Texas A&amp;M Corpus Chris</v>
      </c>
      <c r="C187" s="1" t="str">
        <f ca="1">IFERROR(__xludf.DUMMYFUNCTION("""COMPUTED_VALUE"""),"Slnd")</f>
        <v>Slnd</v>
      </c>
      <c r="D187" s="1" t="str">
        <f ca="1">IFERROR(__xludf.DUMMYFUNCTION("""COMPUTED_VALUE"""),"24-12")</f>
        <v>24-12</v>
      </c>
      <c r="E187" s="1">
        <f ca="1">IFERROR(__xludf.DUMMYFUNCTION("""COMPUTED_VALUE"""),-0.49)</f>
        <v>-0.49</v>
      </c>
      <c r="F187" s="1">
        <f ca="1">IFERROR(__xludf.DUMMYFUNCTION("""COMPUTED_VALUE"""),102.8)</f>
        <v>102.8</v>
      </c>
      <c r="G187" s="1">
        <f ca="1">IFERROR(__xludf.DUMMYFUNCTION("""COMPUTED_VALUE"""),203)</f>
        <v>203</v>
      </c>
      <c r="H187" s="1">
        <f ca="1">IFERROR(__xludf.DUMMYFUNCTION("""COMPUTED_VALUE"""),103.3)</f>
        <v>103.3</v>
      </c>
      <c r="I187" s="1">
        <f ca="1">IFERROR(__xludf.DUMMYFUNCTION("""COMPUTED_VALUE"""),145)</f>
        <v>145</v>
      </c>
      <c r="J187" s="1">
        <f ca="1">IFERROR(__xludf.DUMMYFUNCTION("""COMPUTED_VALUE"""),68.8)</f>
        <v>68.8</v>
      </c>
      <c r="K187" s="1">
        <f ca="1">IFERROR(__xludf.DUMMYFUNCTION("""COMPUTED_VALUE"""),132)</f>
        <v>132</v>
      </c>
      <c r="L187" s="1" t="str">
        <f ca="1">IFERROR(__xludf.DUMMYFUNCTION("""COMPUTED_VALUE"""),"+.062")</f>
        <v>+.062</v>
      </c>
      <c r="M187" s="1">
        <f ca="1">IFERROR(__xludf.DUMMYFUNCTION("""COMPUTED_VALUE"""),38)</f>
        <v>38</v>
      </c>
      <c r="N187" s="1">
        <f ca="1">IFERROR(__xludf.DUMMYFUNCTION("""COMPUTED_VALUE"""),-6)</f>
        <v>-6</v>
      </c>
      <c r="O187" s="1">
        <f ca="1">IFERROR(__xludf.DUMMYFUNCTION("""COMPUTED_VALUE"""),305)</f>
        <v>305</v>
      </c>
      <c r="P187" s="1">
        <f ca="1">IFERROR(__xludf.DUMMYFUNCTION("""COMPUTED_VALUE"""),101.8)</f>
        <v>101.8</v>
      </c>
      <c r="Q187" s="1">
        <f ca="1">IFERROR(__xludf.DUMMYFUNCTION("""COMPUTED_VALUE"""),284)</f>
        <v>284</v>
      </c>
      <c r="R187" s="1">
        <f ca="1">IFERROR(__xludf.DUMMYFUNCTION("""COMPUTED_VALUE"""),107.8)</f>
        <v>107.8</v>
      </c>
      <c r="S187" s="1">
        <f ca="1">IFERROR(__xludf.DUMMYFUNCTION("""COMPUTED_VALUE"""),303)</f>
        <v>303</v>
      </c>
      <c r="T187" s="1" t="str">
        <f ca="1">IFERROR(__xludf.DUMMYFUNCTION("""COMPUTED_VALUE"""),"+2.40")</f>
        <v>+2.40</v>
      </c>
      <c r="U187" s="1">
        <f ca="1">IFERROR(__xludf.DUMMYFUNCTION("""COMPUTED_VALUE"""),79)</f>
        <v>79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IFERROR(__xludf.DUMMYFUNCTION("""COMPUTED_VALUE"""),"New Orleans16")</f>
        <v>New Orleans16</v>
      </c>
      <c r="C188" s="1" t="str">
        <f ca="1">IFERROR(__xludf.DUMMYFUNCTION("""COMPUTED_VALUE"""),"Slnd")</f>
        <v>Slnd</v>
      </c>
      <c r="D188" s="1" t="str">
        <f ca="1">IFERROR(__xludf.DUMMYFUNCTION("""COMPUTED_VALUE"""),"20-12")</f>
        <v>20-12</v>
      </c>
      <c r="E188" s="1">
        <f ca="1">IFERROR(__xludf.DUMMYFUNCTION("""COMPUTED_VALUE"""),-0.52)</f>
        <v>-0.52</v>
      </c>
      <c r="F188" s="1">
        <f ca="1">IFERROR(__xludf.DUMMYFUNCTION("""COMPUTED_VALUE"""),101.3)</f>
        <v>101.3</v>
      </c>
      <c r="G188" s="1">
        <f ca="1">IFERROR(__xludf.DUMMYFUNCTION("""COMPUTED_VALUE"""),235)</f>
        <v>235</v>
      </c>
      <c r="H188" s="1">
        <f ca="1">IFERROR(__xludf.DUMMYFUNCTION("""COMPUTED_VALUE"""),101.8)</f>
        <v>101.8</v>
      </c>
      <c r="I188" s="1">
        <f ca="1">IFERROR(__xludf.DUMMYFUNCTION("""COMPUTED_VALUE"""),107)</f>
        <v>107</v>
      </c>
      <c r="J188" s="1">
        <f ca="1">IFERROR(__xludf.DUMMYFUNCTION("""COMPUTED_VALUE"""),66.2)</f>
        <v>66.2</v>
      </c>
      <c r="K188" s="1">
        <f ca="1">IFERROR(__xludf.DUMMYFUNCTION("""COMPUTED_VALUE"""),272)</f>
        <v>272</v>
      </c>
      <c r="L188" s="1" t="str">
        <f ca="1">IFERROR(__xludf.DUMMYFUNCTION("""COMPUTED_VALUE"""),"+.046")</f>
        <v>+.046</v>
      </c>
      <c r="M188" s="1">
        <f ca="1">IFERROR(__xludf.DUMMYFUNCTION("""COMPUTED_VALUE"""),67)</f>
        <v>67</v>
      </c>
      <c r="N188" s="1">
        <f ca="1">IFERROR(__xludf.DUMMYFUNCTION("""COMPUTED_VALUE"""),-5.29)</f>
        <v>-5.29</v>
      </c>
      <c r="O188" s="1">
        <f ca="1">IFERROR(__xludf.DUMMYFUNCTION("""COMPUTED_VALUE"""),287)</f>
        <v>287</v>
      </c>
      <c r="P188" s="1">
        <f ca="1">IFERROR(__xludf.DUMMYFUNCTION("""COMPUTED_VALUE"""),102.3)</f>
        <v>102.3</v>
      </c>
      <c r="Q188" s="1">
        <f ca="1">IFERROR(__xludf.DUMMYFUNCTION("""COMPUTED_VALUE"""),267)</f>
        <v>267</v>
      </c>
      <c r="R188" s="1">
        <f ca="1">IFERROR(__xludf.DUMMYFUNCTION("""COMPUTED_VALUE"""),107.6)</f>
        <v>107.6</v>
      </c>
      <c r="S188" s="1">
        <f ca="1">IFERROR(__xludf.DUMMYFUNCTION("""COMPUTED_VALUE"""),291)</f>
        <v>291</v>
      </c>
      <c r="T188" s="1" t="str">
        <f ca="1">IFERROR(__xludf.DUMMYFUNCTION("""COMPUTED_VALUE"""),"+8.32")</f>
        <v>+8.32</v>
      </c>
      <c r="U188" s="1">
        <f ca="1">IFERROR(__xludf.DUMMYFUNCTION("""COMPUTED_VALUE"""),13)</f>
        <v>13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IFERROR(__xludf.DUMMYFUNCTION("""COMPUTED_VALUE"""),"Weber St.")</f>
        <v>Weber St.</v>
      </c>
      <c r="C189" s="1" t="str">
        <f ca="1">IFERROR(__xludf.DUMMYFUNCTION("""COMPUTED_VALUE"""),"BSky")</f>
        <v>BSky</v>
      </c>
      <c r="D189" s="1" t="str">
        <f ca="1">IFERROR(__xludf.DUMMYFUNCTION("""COMPUTED_VALUE"""),"20-14")</f>
        <v>20-14</v>
      </c>
      <c r="E189" s="1">
        <f ca="1">IFERROR(__xludf.DUMMYFUNCTION("""COMPUTED_VALUE"""),-0.54)</f>
        <v>-0.54</v>
      </c>
      <c r="F189" s="1">
        <f ca="1">IFERROR(__xludf.DUMMYFUNCTION("""COMPUTED_VALUE"""),108.5)</f>
        <v>108.5</v>
      </c>
      <c r="G189" s="1">
        <f ca="1">IFERROR(__xludf.DUMMYFUNCTION("""COMPUTED_VALUE"""),100)</f>
        <v>100</v>
      </c>
      <c r="H189" s="1">
        <f ca="1">IFERROR(__xludf.DUMMYFUNCTION("""COMPUTED_VALUE"""),109)</f>
        <v>109</v>
      </c>
      <c r="I189" s="1">
        <f ca="1">IFERROR(__xludf.DUMMYFUNCTION("""COMPUTED_VALUE"""),256)</f>
        <v>256</v>
      </c>
      <c r="J189" s="1">
        <f ca="1">IFERROR(__xludf.DUMMYFUNCTION("""COMPUTED_VALUE"""),67)</f>
        <v>67</v>
      </c>
      <c r="K189" s="1">
        <f ca="1">IFERROR(__xludf.DUMMYFUNCTION("""COMPUTED_VALUE"""),238)</f>
        <v>238</v>
      </c>
      <c r="L189" s="1">
        <f ca="1">IFERROR(__xludf.DUMMYFUNCTION("""COMPUTED_VALUE"""),-0.03)</f>
        <v>-0.03</v>
      </c>
      <c r="M189" s="1">
        <f ca="1">IFERROR(__xludf.DUMMYFUNCTION("""COMPUTED_VALUE"""),257)</f>
        <v>257</v>
      </c>
      <c r="N189" s="1">
        <f ca="1">IFERROR(__xludf.DUMMYFUNCTION("""COMPUTED_VALUE"""),-4.67)</f>
        <v>-4.67</v>
      </c>
      <c r="O189" s="1">
        <f ca="1">IFERROR(__xludf.DUMMYFUNCTION("""COMPUTED_VALUE"""),273)</f>
        <v>273</v>
      </c>
      <c r="P189" s="1">
        <f ca="1">IFERROR(__xludf.DUMMYFUNCTION("""COMPUTED_VALUE"""),103.2)</f>
        <v>103.2</v>
      </c>
      <c r="Q189" s="1">
        <f ca="1">IFERROR(__xludf.DUMMYFUNCTION("""COMPUTED_VALUE"""),221)</f>
        <v>221</v>
      </c>
      <c r="R189" s="1">
        <f ca="1">IFERROR(__xludf.DUMMYFUNCTION("""COMPUTED_VALUE"""),107.9)</f>
        <v>107.9</v>
      </c>
      <c r="S189" s="1">
        <f ca="1">IFERROR(__xludf.DUMMYFUNCTION("""COMPUTED_VALUE"""),308)</f>
        <v>308</v>
      </c>
      <c r="T189" s="1" t="str">
        <f ca="1">IFERROR(__xludf.DUMMYFUNCTION("""COMPUTED_VALUE"""),"+1.43")</f>
        <v>+1.43</v>
      </c>
      <c r="U189" s="1">
        <f ca="1">IFERROR(__xludf.DUMMYFUNCTION("""COMPUTED_VALUE"""),115)</f>
        <v>115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IFERROR(__xludf.DUMMYFUNCTION("""COMPUTED_VALUE"""),"Ball St.")</f>
        <v>Ball St.</v>
      </c>
      <c r="C190" s="1" t="str">
        <f ca="1">IFERROR(__xludf.DUMMYFUNCTION("""COMPUTED_VALUE"""),"MAC")</f>
        <v>MAC</v>
      </c>
      <c r="D190" s="1" t="str">
        <f ca="1">IFERROR(__xludf.DUMMYFUNCTION("""COMPUTED_VALUE"""),"21-13")</f>
        <v>21-13</v>
      </c>
      <c r="E190" s="1">
        <f ca="1">IFERROR(__xludf.DUMMYFUNCTION("""COMPUTED_VALUE"""),-0.62)</f>
        <v>-0.62</v>
      </c>
      <c r="F190" s="1">
        <f ca="1">IFERROR(__xludf.DUMMYFUNCTION("""COMPUTED_VALUE"""),104.7)</f>
        <v>104.7</v>
      </c>
      <c r="G190" s="1">
        <f ca="1">IFERROR(__xludf.DUMMYFUNCTION("""COMPUTED_VALUE"""),164)</f>
        <v>164</v>
      </c>
      <c r="H190" s="1">
        <f ca="1">IFERROR(__xludf.DUMMYFUNCTION("""COMPUTED_VALUE"""),105.3)</f>
        <v>105.3</v>
      </c>
      <c r="I190" s="1">
        <f ca="1">IFERROR(__xludf.DUMMYFUNCTION("""COMPUTED_VALUE"""),188)</f>
        <v>188</v>
      </c>
      <c r="J190" s="1">
        <f ca="1">IFERROR(__xludf.DUMMYFUNCTION("""COMPUTED_VALUE"""),71.1)</f>
        <v>71.099999999999994</v>
      </c>
      <c r="K190" s="1">
        <f ca="1">IFERROR(__xludf.DUMMYFUNCTION("""COMPUTED_VALUE"""),50)</f>
        <v>50</v>
      </c>
      <c r="L190" s="1" t="str">
        <f ca="1">IFERROR(__xludf.DUMMYFUNCTION("""COMPUTED_VALUE"""),"+.041")</f>
        <v>+.041</v>
      </c>
      <c r="M190" s="1">
        <f ca="1">IFERROR(__xludf.DUMMYFUNCTION("""COMPUTED_VALUE"""),73)</f>
        <v>73</v>
      </c>
      <c r="N190" s="1">
        <f ca="1">IFERROR(__xludf.DUMMYFUNCTION("""COMPUTED_VALUE"""),-3.92)</f>
        <v>-3.92</v>
      </c>
      <c r="O190" s="1">
        <f ca="1">IFERROR(__xludf.DUMMYFUNCTION("""COMPUTED_VALUE"""),247)</f>
        <v>247</v>
      </c>
      <c r="P190" s="1">
        <f ca="1">IFERROR(__xludf.DUMMYFUNCTION("""COMPUTED_VALUE"""),103.2)</f>
        <v>103.2</v>
      </c>
      <c r="Q190" s="1">
        <f ca="1">IFERROR(__xludf.DUMMYFUNCTION("""COMPUTED_VALUE"""),222)</f>
        <v>222</v>
      </c>
      <c r="R190" s="1">
        <f ca="1">IFERROR(__xludf.DUMMYFUNCTION("""COMPUTED_VALUE"""),107.1)</f>
        <v>107.1</v>
      </c>
      <c r="S190" s="1">
        <f ca="1">IFERROR(__xludf.DUMMYFUNCTION("""COMPUTED_VALUE"""),273)</f>
        <v>273</v>
      </c>
      <c r="T190" s="1">
        <f ca="1">IFERROR(__xludf.DUMMYFUNCTION("""COMPUTED_VALUE"""),-10.95)</f>
        <v>-10.95</v>
      </c>
      <c r="U190" s="1">
        <f ca="1">IFERROR(__xludf.DUMMYFUNCTION("""COMPUTED_VALUE"""),350)</f>
        <v>350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IFERROR(__xludf.DUMMYFUNCTION("""COMPUTED_VALUE"""),"Gardner Webb")</f>
        <v>Gardner Webb</v>
      </c>
      <c r="C191" s="1" t="str">
        <f ca="1">IFERROR(__xludf.DUMMYFUNCTION("""COMPUTED_VALUE"""),"BSth")</f>
        <v>BSth</v>
      </c>
      <c r="D191" s="1" t="str">
        <f ca="1">IFERROR(__xludf.DUMMYFUNCTION("""COMPUTED_VALUE"""),"19-14")</f>
        <v>19-14</v>
      </c>
      <c r="E191" s="1">
        <f ca="1">IFERROR(__xludf.DUMMYFUNCTION("""COMPUTED_VALUE"""),-0.76)</f>
        <v>-0.76</v>
      </c>
      <c r="F191" s="1">
        <f ca="1">IFERROR(__xludf.DUMMYFUNCTION("""COMPUTED_VALUE"""),102.7)</f>
        <v>102.7</v>
      </c>
      <c r="G191" s="1">
        <f ca="1">IFERROR(__xludf.DUMMYFUNCTION("""COMPUTED_VALUE"""),205)</f>
        <v>205</v>
      </c>
      <c r="H191" s="1">
        <f ca="1">IFERROR(__xludf.DUMMYFUNCTION("""COMPUTED_VALUE"""),103.5)</f>
        <v>103.5</v>
      </c>
      <c r="I191" s="1">
        <f ca="1">IFERROR(__xludf.DUMMYFUNCTION("""COMPUTED_VALUE"""),154)</f>
        <v>154</v>
      </c>
      <c r="J191" s="1">
        <f ca="1">IFERROR(__xludf.DUMMYFUNCTION("""COMPUTED_VALUE"""),70.8)</f>
        <v>70.8</v>
      </c>
      <c r="K191" s="1">
        <f ca="1">IFERROR(__xludf.DUMMYFUNCTION("""COMPUTED_VALUE"""),54)</f>
        <v>54</v>
      </c>
      <c r="L191" s="1">
        <f ca="1">IFERROR(__xludf.DUMMYFUNCTION("""COMPUTED_VALUE"""),-0.041)</f>
        <v>-4.1000000000000002E-2</v>
      </c>
      <c r="M191" s="1">
        <f ca="1">IFERROR(__xludf.DUMMYFUNCTION("""COMPUTED_VALUE"""),285)</f>
        <v>285</v>
      </c>
      <c r="N191" s="1">
        <f ca="1">IFERROR(__xludf.DUMMYFUNCTION("""COMPUTED_VALUE"""),-5.65)</f>
        <v>-5.65</v>
      </c>
      <c r="O191" s="1">
        <f ca="1">IFERROR(__xludf.DUMMYFUNCTION("""COMPUTED_VALUE"""),294)</f>
        <v>294</v>
      </c>
      <c r="P191" s="1">
        <f ca="1">IFERROR(__xludf.DUMMYFUNCTION("""COMPUTED_VALUE"""),101.5)</f>
        <v>101.5</v>
      </c>
      <c r="Q191" s="1">
        <f ca="1">IFERROR(__xludf.DUMMYFUNCTION("""COMPUTED_VALUE"""),294)</f>
        <v>294</v>
      </c>
      <c r="R191" s="1">
        <f ca="1">IFERROR(__xludf.DUMMYFUNCTION("""COMPUTED_VALUE"""),107.1)</f>
        <v>107.1</v>
      </c>
      <c r="S191" s="1">
        <f ca="1">IFERROR(__xludf.DUMMYFUNCTION("""COMPUTED_VALUE"""),271)</f>
        <v>271</v>
      </c>
      <c r="T191" s="1" t="str">
        <f ca="1">IFERROR(__xludf.DUMMYFUNCTION("""COMPUTED_VALUE"""),"+4.28")</f>
        <v>+4.28</v>
      </c>
      <c r="U191" s="1">
        <f ca="1">IFERROR(__xludf.DUMMYFUNCTION("""COMPUTED_VALUE"""),47)</f>
        <v>47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IFERROR(__xludf.DUMMYFUNCTION("""COMPUTED_VALUE"""),"New Hampshire")</f>
        <v>New Hampshire</v>
      </c>
      <c r="C192" s="1" t="str">
        <f ca="1">IFERROR(__xludf.DUMMYFUNCTION("""COMPUTED_VALUE"""),"AE")</f>
        <v>AE</v>
      </c>
      <c r="D192" s="1" t="str">
        <f ca="1">IFERROR(__xludf.DUMMYFUNCTION("""COMPUTED_VALUE"""),"20-12")</f>
        <v>20-12</v>
      </c>
      <c r="E192" s="1">
        <f ca="1">IFERROR(__xludf.DUMMYFUNCTION("""COMPUTED_VALUE"""),-0.8)</f>
        <v>-0.8</v>
      </c>
      <c r="F192" s="1">
        <f ca="1">IFERROR(__xludf.DUMMYFUNCTION("""COMPUTED_VALUE"""),102.3)</f>
        <v>102.3</v>
      </c>
      <c r="G192" s="1">
        <f ca="1">IFERROR(__xludf.DUMMYFUNCTION("""COMPUTED_VALUE"""),211)</f>
        <v>211</v>
      </c>
      <c r="H192" s="1">
        <f ca="1">IFERROR(__xludf.DUMMYFUNCTION("""COMPUTED_VALUE"""),103.2)</f>
        <v>103.2</v>
      </c>
      <c r="I192" s="1">
        <f ca="1">IFERROR(__xludf.DUMMYFUNCTION("""COMPUTED_VALUE"""),140)</f>
        <v>140</v>
      </c>
      <c r="J192" s="1">
        <f ca="1">IFERROR(__xludf.DUMMYFUNCTION("""COMPUTED_VALUE"""),65.4)</f>
        <v>65.400000000000006</v>
      </c>
      <c r="K192" s="1">
        <f ca="1">IFERROR(__xludf.DUMMYFUNCTION("""COMPUTED_VALUE"""),296)</f>
        <v>296</v>
      </c>
      <c r="L192" s="1" t="str">
        <f ca="1">IFERROR(__xludf.DUMMYFUNCTION("""COMPUTED_VALUE"""),"+.063")</f>
        <v>+.063</v>
      </c>
      <c r="M192" s="1">
        <f ca="1">IFERROR(__xludf.DUMMYFUNCTION("""COMPUTED_VALUE"""),36)</f>
        <v>36</v>
      </c>
      <c r="N192" s="1">
        <f ca="1">IFERROR(__xludf.DUMMYFUNCTION("""COMPUTED_VALUE"""),-4.58)</f>
        <v>-4.58</v>
      </c>
      <c r="O192" s="1">
        <f ca="1">IFERROR(__xludf.DUMMYFUNCTION("""COMPUTED_VALUE"""),269)</f>
        <v>269</v>
      </c>
      <c r="P192" s="1">
        <f ca="1">IFERROR(__xludf.DUMMYFUNCTION("""COMPUTED_VALUE"""),102.6)</f>
        <v>102.6</v>
      </c>
      <c r="Q192" s="1">
        <f ca="1">IFERROR(__xludf.DUMMYFUNCTION("""COMPUTED_VALUE"""),258)</f>
        <v>258</v>
      </c>
      <c r="R192" s="1">
        <f ca="1">IFERROR(__xludf.DUMMYFUNCTION("""COMPUTED_VALUE"""),107.1)</f>
        <v>107.1</v>
      </c>
      <c r="S192" s="1">
        <f ca="1">IFERROR(__xludf.DUMMYFUNCTION("""COMPUTED_VALUE"""),272)</f>
        <v>272</v>
      </c>
      <c r="T192" s="1">
        <f ca="1">IFERROR(__xludf.DUMMYFUNCTION("""COMPUTED_VALUE"""),-0.5)</f>
        <v>-0.5</v>
      </c>
      <c r="U192" s="1">
        <f ca="1">IFERROR(__xludf.DUMMYFUNCTION("""COMPUTED_VALUE"""),169)</f>
        <v>169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IFERROR(__xludf.DUMMYFUNCTION("""COMPUTED_VALUE"""),"DePaul")</f>
        <v>DePaul</v>
      </c>
      <c r="C193" s="1" t="str">
        <f ca="1">IFERROR(__xludf.DUMMYFUNCTION("""COMPUTED_VALUE"""),"BE")</f>
        <v>BE</v>
      </c>
      <c r="D193" s="2">
        <f ca="1">IFERROR(__xludf.DUMMYFUNCTION("""COMPUTED_VALUE"""),44827)</f>
        <v>44827</v>
      </c>
      <c r="E193" s="1">
        <f ca="1">IFERROR(__xludf.DUMMYFUNCTION("""COMPUTED_VALUE"""),-1.05)</f>
        <v>-1.05</v>
      </c>
      <c r="F193" s="1">
        <f ca="1">IFERROR(__xludf.DUMMYFUNCTION("""COMPUTED_VALUE"""),103.5)</f>
        <v>103.5</v>
      </c>
      <c r="G193" s="1">
        <f ca="1">IFERROR(__xludf.DUMMYFUNCTION("""COMPUTED_VALUE"""),190)</f>
        <v>190</v>
      </c>
      <c r="H193" s="1">
        <f ca="1">IFERROR(__xludf.DUMMYFUNCTION("""COMPUTED_VALUE"""),104.5)</f>
        <v>104.5</v>
      </c>
      <c r="I193" s="1">
        <f ca="1">IFERROR(__xludf.DUMMYFUNCTION("""COMPUTED_VALUE"""),172)</f>
        <v>172</v>
      </c>
      <c r="J193" s="1">
        <f ca="1">IFERROR(__xludf.DUMMYFUNCTION("""COMPUTED_VALUE"""),67.7)</f>
        <v>67.7</v>
      </c>
      <c r="K193" s="1">
        <f ca="1">IFERROR(__xludf.DUMMYFUNCTION("""COMPUTED_VALUE"""),207)</f>
        <v>207</v>
      </c>
      <c r="L193" s="1">
        <f ca="1">IFERROR(__xludf.DUMMYFUNCTION("""COMPUTED_VALUE"""),-0.069)</f>
        <v>-6.9000000000000006E-2</v>
      </c>
      <c r="M193" s="1">
        <f ca="1">IFERROR(__xludf.DUMMYFUNCTION("""COMPUTED_VALUE"""),322)</f>
        <v>322</v>
      </c>
      <c r="N193" s="1" t="str">
        <f ca="1">IFERROR(__xludf.DUMMYFUNCTION("""COMPUTED_VALUE"""),"+6.99")</f>
        <v>+6.99</v>
      </c>
      <c r="O193" s="1">
        <f ca="1">IFERROR(__xludf.DUMMYFUNCTION("""COMPUTED_VALUE"""),60)</f>
        <v>60</v>
      </c>
      <c r="P193" s="1">
        <f ca="1">IFERROR(__xludf.DUMMYFUNCTION("""COMPUTED_VALUE"""),108.8)</f>
        <v>108.8</v>
      </c>
      <c r="Q193" s="1">
        <f ca="1">IFERROR(__xludf.DUMMYFUNCTION("""COMPUTED_VALUE"""),53)</f>
        <v>53</v>
      </c>
      <c r="R193" s="1">
        <f ca="1">IFERROR(__xludf.DUMMYFUNCTION("""COMPUTED_VALUE"""),101.8)</f>
        <v>101.8</v>
      </c>
      <c r="S193" s="1">
        <f ca="1">IFERROR(__xludf.DUMMYFUNCTION("""COMPUTED_VALUE"""),69)</f>
        <v>69</v>
      </c>
      <c r="T193" s="1">
        <f ca="1">IFERROR(__xludf.DUMMYFUNCTION("""COMPUTED_VALUE"""),-7.12)</f>
        <v>-7.12</v>
      </c>
      <c r="U193" s="1">
        <f ca="1">IFERROR(__xludf.DUMMYFUNCTION("""COMPUTED_VALUE"""),336)</f>
        <v>336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IFERROR(__xludf.DUMMYFUNCTION("""COMPUTED_VALUE"""),"Saint Joseph's")</f>
        <v>Saint Joseph's</v>
      </c>
      <c r="C194" s="1" t="str">
        <f ca="1">IFERROR(__xludf.DUMMYFUNCTION("""COMPUTED_VALUE"""),"A10")</f>
        <v>A10</v>
      </c>
      <c r="D194" s="2">
        <f ca="1">IFERROR(__xludf.DUMMYFUNCTION("""COMPUTED_VALUE"""),44885)</f>
        <v>44885</v>
      </c>
      <c r="E194" s="1">
        <f ca="1">IFERROR(__xludf.DUMMYFUNCTION("""COMPUTED_VALUE"""),-1.05)</f>
        <v>-1.05</v>
      </c>
      <c r="F194" s="1">
        <f ca="1">IFERROR(__xludf.DUMMYFUNCTION("""COMPUTED_VALUE"""),102.2)</f>
        <v>102.2</v>
      </c>
      <c r="G194" s="1">
        <f ca="1">IFERROR(__xludf.DUMMYFUNCTION("""COMPUTED_VALUE"""),215)</f>
        <v>215</v>
      </c>
      <c r="H194" s="1">
        <f ca="1">IFERROR(__xludf.DUMMYFUNCTION("""COMPUTED_VALUE"""),103.3)</f>
        <v>103.3</v>
      </c>
      <c r="I194" s="1">
        <f ca="1">IFERROR(__xludf.DUMMYFUNCTION("""COMPUTED_VALUE"""),143)</f>
        <v>143</v>
      </c>
      <c r="J194" s="1">
        <f ca="1">IFERROR(__xludf.DUMMYFUNCTION("""COMPUTED_VALUE"""),68.4)</f>
        <v>68.400000000000006</v>
      </c>
      <c r="K194" s="1">
        <f ca="1">IFERROR(__xludf.DUMMYFUNCTION("""COMPUTED_VALUE"""),162)</f>
        <v>162</v>
      </c>
      <c r="L194" s="1">
        <f ca="1">IFERROR(__xludf.DUMMYFUNCTION("""COMPUTED_VALUE"""),-0.032)</f>
        <v>-3.2000000000000001E-2</v>
      </c>
      <c r="M194" s="1">
        <f ca="1">IFERROR(__xludf.DUMMYFUNCTION("""COMPUTED_VALUE"""),261)</f>
        <v>261</v>
      </c>
      <c r="N194" s="1" t="str">
        <f ca="1">IFERROR(__xludf.DUMMYFUNCTION("""COMPUTED_VALUE"""),"+3.35")</f>
        <v>+3.35</v>
      </c>
      <c r="O194" s="1">
        <f ca="1">IFERROR(__xludf.DUMMYFUNCTION("""COMPUTED_VALUE"""),86)</f>
        <v>86</v>
      </c>
      <c r="P194" s="1">
        <f ca="1">IFERROR(__xludf.DUMMYFUNCTION("""COMPUTED_VALUE"""),106)</f>
        <v>106</v>
      </c>
      <c r="Q194" s="1">
        <f ca="1">IFERROR(__xludf.DUMMYFUNCTION("""COMPUTED_VALUE"""),87)</f>
        <v>87</v>
      </c>
      <c r="R194" s="1">
        <f ca="1">IFERROR(__xludf.DUMMYFUNCTION("""COMPUTED_VALUE"""),102.7)</f>
        <v>102.7</v>
      </c>
      <c r="S194" s="1">
        <f ca="1">IFERROR(__xludf.DUMMYFUNCTION("""COMPUTED_VALUE"""),85)</f>
        <v>85</v>
      </c>
      <c r="T194" s="1" t="str">
        <f ca="1">IFERROR(__xludf.DUMMYFUNCTION("""COMPUTED_VALUE"""),"+3.33")</f>
        <v>+3.33</v>
      </c>
      <c r="U194" s="1">
        <f ca="1">IFERROR(__xludf.DUMMYFUNCTION("""COMPUTED_VALUE"""),63)</f>
        <v>63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IFERROR(__xludf.DUMMYFUNCTION("""COMPUTED_VALUE"""),"South Dakota St.16")</f>
        <v>South Dakota St.16</v>
      </c>
      <c r="C195" s="1" t="str">
        <f ca="1">IFERROR(__xludf.DUMMYFUNCTION("""COMPUTED_VALUE"""),"Sum")</f>
        <v>Sum</v>
      </c>
      <c r="D195" s="1" t="str">
        <f ca="1">IFERROR(__xludf.DUMMYFUNCTION("""COMPUTED_VALUE"""),"18-17")</f>
        <v>18-17</v>
      </c>
      <c r="E195" s="1">
        <f ca="1">IFERROR(__xludf.DUMMYFUNCTION("""COMPUTED_VALUE"""),-1.19)</f>
        <v>-1.19</v>
      </c>
      <c r="F195" s="1">
        <f ca="1">IFERROR(__xludf.DUMMYFUNCTION("""COMPUTED_VALUE"""),110.2)</f>
        <v>110.2</v>
      </c>
      <c r="G195" s="1">
        <f ca="1">IFERROR(__xludf.DUMMYFUNCTION("""COMPUTED_VALUE"""),71)</f>
        <v>71</v>
      </c>
      <c r="H195" s="1">
        <f ca="1">IFERROR(__xludf.DUMMYFUNCTION("""COMPUTED_VALUE"""),111.4)</f>
        <v>111.4</v>
      </c>
      <c r="I195" s="1">
        <f ca="1">IFERROR(__xludf.DUMMYFUNCTION("""COMPUTED_VALUE"""),303)</f>
        <v>303</v>
      </c>
      <c r="J195" s="1">
        <f ca="1">IFERROR(__xludf.DUMMYFUNCTION("""COMPUTED_VALUE"""),67.2)</f>
        <v>67.2</v>
      </c>
      <c r="K195" s="1">
        <f ca="1">IFERROR(__xludf.DUMMYFUNCTION("""COMPUTED_VALUE"""),222)</f>
        <v>222</v>
      </c>
      <c r="L195" s="1" t="str">
        <f ca="1">IFERROR(__xludf.DUMMYFUNCTION("""COMPUTED_VALUE"""),"+.029")</f>
        <v>+.029</v>
      </c>
      <c r="M195" s="1">
        <f ca="1">IFERROR(__xludf.DUMMYFUNCTION("""COMPUTED_VALUE"""),101)</f>
        <v>101</v>
      </c>
      <c r="N195" s="1">
        <f ca="1">IFERROR(__xludf.DUMMYFUNCTION("""COMPUTED_VALUE"""),-0.59)</f>
        <v>-0.59</v>
      </c>
      <c r="O195" s="1">
        <f ca="1">IFERROR(__xludf.DUMMYFUNCTION("""COMPUTED_VALUE"""),145)</f>
        <v>145</v>
      </c>
      <c r="P195" s="1">
        <f ca="1">IFERROR(__xludf.DUMMYFUNCTION("""COMPUTED_VALUE"""),104.9)</f>
        <v>104.9</v>
      </c>
      <c r="Q195" s="1">
        <f ca="1">IFERROR(__xludf.DUMMYFUNCTION("""COMPUTED_VALUE"""),137)</f>
        <v>137</v>
      </c>
      <c r="R195" s="1">
        <f ca="1">IFERROR(__xludf.DUMMYFUNCTION("""COMPUTED_VALUE"""),105.5)</f>
        <v>105.5</v>
      </c>
      <c r="S195" s="1">
        <f ca="1">IFERROR(__xludf.DUMMYFUNCTION("""COMPUTED_VALUE"""),171)</f>
        <v>171</v>
      </c>
      <c r="T195" s="1" t="str">
        <f ca="1">IFERROR(__xludf.DUMMYFUNCTION("""COMPUTED_VALUE"""),"+1.66")</f>
        <v>+1.66</v>
      </c>
      <c r="U195" s="1">
        <f ca="1">IFERROR(__xludf.DUMMYFUNCTION("""COMPUTED_VALUE"""),111)</f>
        <v>111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IFERROR(__xludf.DUMMYFUNCTION("""COMPUTED_VALUE"""),"Eastern Washington")</f>
        <v>Eastern Washington</v>
      </c>
      <c r="C196" s="1" t="str">
        <f ca="1">IFERROR(__xludf.DUMMYFUNCTION("""COMPUTED_VALUE"""),"BSky")</f>
        <v>BSky</v>
      </c>
      <c r="D196" s="1" t="str">
        <f ca="1">IFERROR(__xludf.DUMMYFUNCTION("""COMPUTED_VALUE"""),"22-12")</f>
        <v>22-12</v>
      </c>
      <c r="E196" s="1">
        <f ca="1">IFERROR(__xludf.DUMMYFUNCTION("""COMPUTED_VALUE"""),-1.25)</f>
        <v>-1.25</v>
      </c>
      <c r="F196" s="1">
        <f ca="1">IFERROR(__xludf.DUMMYFUNCTION("""COMPUTED_VALUE"""),109.6)</f>
        <v>109.6</v>
      </c>
      <c r="G196" s="1">
        <f ca="1">IFERROR(__xludf.DUMMYFUNCTION("""COMPUTED_VALUE"""),82)</f>
        <v>82</v>
      </c>
      <c r="H196" s="1">
        <f ca="1">IFERROR(__xludf.DUMMYFUNCTION("""COMPUTED_VALUE"""),110.8)</f>
        <v>110.8</v>
      </c>
      <c r="I196" s="1">
        <f ca="1">IFERROR(__xludf.DUMMYFUNCTION("""COMPUTED_VALUE"""),296)</f>
        <v>296</v>
      </c>
      <c r="J196" s="1">
        <f ca="1">IFERROR(__xludf.DUMMYFUNCTION("""COMPUTED_VALUE"""),66.7)</f>
        <v>66.7</v>
      </c>
      <c r="K196" s="1">
        <f ca="1">IFERROR(__xludf.DUMMYFUNCTION("""COMPUTED_VALUE"""),256)</f>
        <v>256</v>
      </c>
      <c r="L196" s="1" t="str">
        <f ca="1">IFERROR(__xludf.DUMMYFUNCTION("""COMPUTED_VALUE"""),"+.082")</f>
        <v>+.082</v>
      </c>
      <c r="M196" s="1">
        <f ca="1">IFERROR(__xludf.DUMMYFUNCTION("""COMPUTED_VALUE"""),12)</f>
        <v>12</v>
      </c>
      <c r="N196" s="1">
        <f ca="1">IFERROR(__xludf.DUMMYFUNCTION("""COMPUTED_VALUE"""),-5.14)</f>
        <v>-5.14</v>
      </c>
      <c r="O196" s="1">
        <f ca="1">IFERROR(__xludf.DUMMYFUNCTION("""COMPUTED_VALUE"""),281)</f>
        <v>281</v>
      </c>
      <c r="P196" s="1">
        <f ca="1">IFERROR(__xludf.DUMMYFUNCTION("""COMPUTED_VALUE"""),103)</f>
        <v>103</v>
      </c>
      <c r="Q196" s="1">
        <f ca="1">IFERROR(__xludf.DUMMYFUNCTION("""COMPUTED_VALUE"""),233)</f>
        <v>233</v>
      </c>
      <c r="R196" s="1">
        <f ca="1">IFERROR(__xludf.DUMMYFUNCTION("""COMPUTED_VALUE"""),108.2)</f>
        <v>108.2</v>
      </c>
      <c r="S196" s="1">
        <f ca="1">IFERROR(__xludf.DUMMYFUNCTION("""COMPUTED_VALUE"""),318)</f>
        <v>318</v>
      </c>
      <c r="T196" s="1" t="str">
        <f ca="1">IFERROR(__xludf.DUMMYFUNCTION("""COMPUTED_VALUE"""),"+2.16")</f>
        <v>+2.16</v>
      </c>
      <c r="U196" s="1">
        <f ca="1">IFERROR(__xludf.DUMMYFUNCTION("""COMPUTED_VALUE"""),88)</f>
        <v>88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IFERROR(__xludf.DUMMYFUNCTION("""COMPUTED_VALUE"""),"Canisius")</f>
        <v>Canisius</v>
      </c>
      <c r="C197" s="1" t="str">
        <f ca="1">IFERROR(__xludf.DUMMYFUNCTION("""COMPUTED_VALUE"""),"MAAC")</f>
        <v>MAAC</v>
      </c>
      <c r="D197" s="1" t="str">
        <f ca="1">IFERROR(__xludf.DUMMYFUNCTION("""COMPUTED_VALUE"""),"18-16")</f>
        <v>18-16</v>
      </c>
      <c r="E197" s="1">
        <f ca="1">IFERROR(__xludf.DUMMYFUNCTION("""COMPUTED_VALUE"""),-1.27)</f>
        <v>-1.27</v>
      </c>
      <c r="F197" s="1">
        <f ca="1">IFERROR(__xludf.DUMMYFUNCTION("""COMPUTED_VALUE"""),108.7)</f>
        <v>108.7</v>
      </c>
      <c r="G197" s="1">
        <f ca="1">IFERROR(__xludf.DUMMYFUNCTION("""COMPUTED_VALUE"""),97)</f>
        <v>97</v>
      </c>
      <c r="H197" s="1">
        <f ca="1">IFERROR(__xludf.DUMMYFUNCTION("""COMPUTED_VALUE"""),109.9)</f>
        <v>109.9</v>
      </c>
      <c r="I197" s="1">
        <f ca="1">IFERROR(__xludf.DUMMYFUNCTION("""COMPUTED_VALUE"""),281)</f>
        <v>281</v>
      </c>
      <c r="J197" s="1">
        <f ca="1">IFERROR(__xludf.DUMMYFUNCTION("""COMPUTED_VALUE"""),69.6)</f>
        <v>69.599999999999994</v>
      </c>
      <c r="K197" s="1">
        <f ca="1">IFERROR(__xludf.DUMMYFUNCTION("""COMPUTED_VALUE"""),95)</f>
        <v>95</v>
      </c>
      <c r="L197" s="1" t="str">
        <f ca="1">IFERROR(__xludf.DUMMYFUNCTION("""COMPUTED_VALUE"""),"+.005")</f>
        <v>+.005</v>
      </c>
      <c r="M197" s="1">
        <f ca="1">IFERROR(__xludf.DUMMYFUNCTION("""COMPUTED_VALUE"""),178)</f>
        <v>178</v>
      </c>
      <c r="N197" s="1">
        <f ca="1">IFERROR(__xludf.DUMMYFUNCTION("""COMPUTED_VALUE"""),-2.77)</f>
        <v>-2.77</v>
      </c>
      <c r="O197" s="1">
        <f ca="1">IFERROR(__xludf.DUMMYFUNCTION("""COMPUTED_VALUE"""),214)</f>
        <v>214</v>
      </c>
      <c r="P197" s="1">
        <f ca="1">IFERROR(__xludf.DUMMYFUNCTION("""COMPUTED_VALUE"""),103)</f>
        <v>103</v>
      </c>
      <c r="Q197" s="1">
        <f ca="1">IFERROR(__xludf.DUMMYFUNCTION("""COMPUTED_VALUE"""),231)</f>
        <v>231</v>
      </c>
      <c r="R197" s="1">
        <f ca="1">IFERROR(__xludf.DUMMYFUNCTION("""COMPUTED_VALUE"""),105.8)</f>
        <v>105.8</v>
      </c>
      <c r="S197" s="1">
        <f ca="1">IFERROR(__xludf.DUMMYFUNCTION("""COMPUTED_VALUE"""),189)</f>
        <v>189</v>
      </c>
      <c r="T197" s="1">
        <f ca="1">IFERROR(__xludf.DUMMYFUNCTION("""COMPUTED_VALUE"""),-1.07)</f>
        <v>-1.07</v>
      </c>
      <c r="U197" s="1">
        <f ca="1">IFERROR(__xludf.DUMMYFUNCTION("""COMPUTED_VALUE"""),186)</f>
        <v>186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IFERROR(__xludf.DUMMYFUNCTION("""COMPUTED_VALUE"""),"Hofstra")</f>
        <v>Hofstra</v>
      </c>
      <c r="C198" s="1" t="str">
        <f ca="1">IFERROR(__xludf.DUMMYFUNCTION("""COMPUTED_VALUE"""),"CAA")</f>
        <v>CAA</v>
      </c>
      <c r="D198" s="1" t="str">
        <f ca="1">IFERROR(__xludf.DUMMYFUNCTION("""COMPUTED_VALUE"""),"15-17")</f>
        <v>15-17</v>
      </c>
      <c r="E198" s="1">
        <f ca="1">IFERROR(__xludf.DUMMYFUNCTION("""COMPUTED_VALUE"""),-1.35)</f>
        <v>-1.35</v>
      </c>
      <c r="F198" s="1">
        <f ca="1">IFERROR(__xludf.DUMMYFUNCTION("""COMPUTED_VALUE"""),111.1)</f>
        <v>111.1</v>
      </c>
      <c r="G198" s="1">
        <f ca="1">IFERROR(__xludf.DUMMYFUNCTION("""COMPUTED_VALUE"""),64)</f>
        <v>64</v>
      </c>
      <c r="H198" s="1">
        <f ca="1">IFERROR(__xludf.DUMMYFUNCTION("""COMPUTED_VALUE"""),112.4)</f>
        <v>112.4</v>
      </c>
      <c r="I198" s="1">
        <f ca="1">IFERROR(__xludf.DUMMYFUNCTION("""COMPUTED_VALUE"""),311)</f>
        <v>311</v>
      </c>
      <c r="J198" s="1">
        <f ca="1">IFERROR(__xludf.DUMMYFUNCTION("""COMPUTED_VALUE"""),67.7)</f>
        <v>67.7</v>
      </c>
      <c r="K198" s="1">
        <f ca="1">IFERROR(__xludf.DUMMYFUNCTION("""COMPUTED_VALUE"""),206)</f>
        <v>206</v>
      </c>
      <c r="L198" s="1">
        <f ca="1">IFERROR(__xludf.DUMMYFUNCTION("""COMPUTED_VALUE"""),-0.034)</f>
        <v>-3.4000000000000002E-2</v>
      </c>
      <c r="M198" s="1">
        <f ca="1">IFERROR(__xludf.DUMMYFUNCTION("""COMPUTED_VALUE"""),270)</f>
        <v>270</v>
      </c>
      <c r="N198" s="1">
        <f ca="1">IFERROR(__xludf.DUMMYFUNCTION("""COMPUTED_VALUE"""),-1.44)</f>
        <v>-1.44</v>
      </c>
      <c r="O198" s="1">
        <f ca="1">IFERROR(__xludf.DUMMYFUNCTION("""COMPUTED_VALUE"""),174)</f>
        <v>174</v>
      </c>
      <c r="P198" s="1">
        <f ca="1">IFERROR(__xludf.DUMMYFUNCTION("""COMPUTED_VALUE"""),104.1)</f>
        <v>104.1</v>
      </c>
      <c r="Q198" s="1">
        <f ca="1">IFERROR(__xludf.DUMMYFUNCTION("""COMPUTED_VALUE"""),174)</f>
        <v>174</v>
      </c>
      <c r="R198" s="1">
        <f ca="1">IFERROR(__xludf.DUMMYFUNCTION("""COMPUTED_VALUE"""),105.6)</f>
        <v>105.6</v>
      </c>
      <c r="S198" s="1">
        <f ca="1">IFERROR(__xludf.DUMMYFUNCTION("""COMPUTED_VALUE"""),176)</f>
        <v>176</v>
      </c>
      <c r="T198" s="1">
        <f ca="1">IFERROR(__xludf.DUMMYFUNCTION("""COMPUTED_VALUE"""),-2.82)</f>
        <v>-2.82</v>
      </c>
      <c r="U198" s="1">
        <f ca="1">IFERROR(__xludf.DUMMYFUNCTION("""COMPUTED_VALUE"""),235)</f>
        <v>235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IFERROR(__xludf.DUMMYFUNCTION("""COMPUTED_VALUE"""),"Denver")</f>
        <v>Denver</v>
      </c>
      <c r="C199" s="1" t="str">
        <f ca="1">IFERROR(__xludf.DUMMYFUNCTION("""COMPUTED_VALUE"""),"Sum")</f>
        <v>Sum</v>
      </c>
      <c r="D199" s="1" t="str">
        <f ca="1">IFERROR(__xludf.DUMMYFUNCTION("""COMPUTED_VALUE"""),"16-14")</f>
        <v>16-14</v>
      </c>
      <c r="E199" s="1">
        <f ca="1">IFERROR(__xludf.DUMMYFUNCTION("""COMPUTED_VALUE"""),-1.41)</f>
        <v>-1.41</v>
      </c>
      <c r="F199" s="1">
        <f ca="1">IFERROR(__xludf.DUMMYFUNCTION("""COMPUTED_VALUE"""),107.7)</f>
        <v>107.7</v>
      </c>
      <c r="G199" s="1">
        <f ca="1">IFERROR(__xludf.DUMMYFUNCTION("""COMPUTED_VALUE"""),112)</f>
        <v>112</v>
      </c>
      <c r="H199" s="1">
        <f ca="1">IFERROR(__xludf.DUMMYFUNCTION("""COMPUTED_VALUE"""),109.2)</f>
        <v>109.2</v>
      </c>
      <c r="I199" s="1">
        <f ca="1">IFERROR(__xludf.DUMMYFUNCTION("""COMPUTED_VALUE"""),261)</f>
        <v>261</v>
      </c>
      <c r="J199" s="1">
        <f ca="1">IFERROR(__xludf.DUMMYFUNCTION("""COMPUTED_VALUE"""),66.8)</f>
        <v>66.8</v>
      </c>
      <c r="K199" s="1">
        <f ca="1">IFERROR(__xludf.DUMMYFUNCTION("""COMPUTED_VALUE"""),246)</f>
        <v>246</v>
      </c>
      <c r="L199" s="1">
        <f ca="1">IFERROR(__xludf.DUMMYFUNCTION("""COMPUTED_VALUE"""),-0.007)</f>
        <v>-7.0000000000000001E-3</v>
      </c>
      <c r="M199" s="1">
        <f ca="1">IFERROR(__xludf.DUMMYFUNCTION("""COMPUTED_VALUE"""),200)</f>
        <v>200</v>
      </c>
      <c r="N199" s="1">
        <f ca="1">IFERROR(__xludf.DUMMYFUNCTION("""COMPUTED_VALUE"""),-3.65)</f>
        <v>-3.65</v>
      </c>
      <c r="O199" s="1">
        <f ca="1">IFERROR(__xludf.DUMMYFUNCTION("""COMPUTED_VALUE"""),243)</f>
        <v>243</v>
      </c>
      <c r="P199" s="1">
        <f ca="1">IFERROR(__xludf.DUMMYFUNCTION("""COMPUTED_VALUE"""),103.9)</f>
        <v>103.9</v>
      </c>
      <c r="Q199" s="1">
        <f ca="1">IFERROR(__xludf.DUMMYFUNCTION("""COMPUTED_VALUE"""),186)</f>
        <v>186</v>
      </c>
      <c r="R199" s="1">
        <f ca="1">IFERROR(__xludf.DUMMYFUNCTION("""COMPUTED_VALUE"""),107.5)</f>
        <v>107.5</v>
      </c>
      <c r="S199" s="1">
        <f ca="1">IFERROR(__xludf.DUMMYFUNCTION("""COMPUTED_VALUE"""),287)</f>
        <v>287</v>
      </c>
      <c r="T199" s="1">
        <f ca="1">IFERROR(__xludf.DUMMYFUNCTION("""COMPUTED_VALUE"""),-4.94)</f>
        <v>-4.9400000000000004</v>
      </c>
      <c r="U199" s="1">
        <f ca="1">IFERROR(__xludf.DUMMYFUNCTION("""COMPUTED_VALUE"""),297)</f>
        <v>297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IFERROR(__xludf.DUMMYFUNCTION("""COMPUTED_VALUE"""),"Green Bay")</f>
        <v>Green Bay</v>
      </c>
      <c r="C200" s="1" t="str">
        <f ca="1">IFERROR(__xludf.DUMMYFUNCTION("""COMPUTED_VALUE"""),"Horz")</f>
        <v>Horz</v>
      </c>
      <c r="D200" s="1" t="str">
        <f ca="1">IFERROR(__xludf.DUMMYFUNCTION("""COMPUTED_VALUE"""),"18-14")</f>
        <v>18-14</v>
      </c>
      <c r="E200" s="1">
        <f ca="1">IFERROR(__xludf.DUMMYFUNCTION("""COMPUTED_VALUE"""),-1.45)</f>
        <v>-1.45</v>
      </c>
      <c r="F200" s="1">
        <f ca="1">IFERROR(__xludf.DUMMYFUNCTION("""COMPUTED_VALUE"""),102)</f>
        <v>102</v>
      </c>
      <c r="G200" s="1">
        <f ca="1">IFERROR(__xludf.DUMMYFUNCTION("""COMPUTED_VALUE"""),218)</f>
        <v>218</v>
      </c>
      <c r="H200" s="1">
        <f ca="1">IFERROR(__xludf.DUMMYFUNCTION("""COMPUTED_VALUE"""),103.4)</f>
        <v>103.4</v>
      </c>
      <c r="I200" s="1">
        <f ca="1">IFERROR(__xludf.DUMMYFUNCTION("""COMPUTED_VALUE"""),150)</f>
        <v>150</v>
      </c>
      <c r="J200" s="1">
        <f ca="1">IFERROR(__xludf.DUMMYFUNCTION("""COMPUTED_VALUE"""),74)</f>
        <v>74</v>
      </c>
      <c r="K200" s="1">
        <f ca="1">IFERROR(__xludf.DUMMYFUNCTION("""COMPUTED_VALUE"""),7)</f>
        <v>7</v>
      </c>
      <c r="L200" s="1" t="str">
        <f ca="1">IFERROR(__xludf.DUMMYFUNCTION("""COMPUTED_VALUE"""),"+.032")</f>
        <v>+.032</v>
      </c>
      <c r="M200" s="1">
        <f ca="1">IFERROR(__xludf.DUMMYFUNCTION("""COMPUTED_VALUE"""),95)</f>
        <v>95</v>
      </c>
      <c r="N200" s="1">
        <f ca="1">IFERROR(__xludf.DUMMYFUNCTION("""COMPUTED_VALUE"""),-2.88)</f>
        <v>-2.88</v>
      </c>
      <c r="O200" s="1">
        <f ca="1">IFERROR(__xludf.DUMMYFUNCTION("""COMPUTED_VALUE"""),221)</f>
        <v>221</v>
      </c>
      <c r="P200" s="1">
        <f ca="1">IFERROR(__xludf.DUMMYFUNCTION("""COMPUTED_VALUE"""),103.9)</f>
        <v>103.9</v>
      </c>
      <c r="Q200" s="1">
        <f ca="1">IFERROR(__xludf.DUMMYFUNCTION("""COMPUTED_VALUE"""),183)</f>
        <v>183</v>
      </c>
      <c r="R200" s="1">
        <f ca="1">IFERROR(__xludf.DUMMYFUNCTION("""COMPUTED_VALUE"""),106.8)</f>
        <v>106.8</v>
      </c>
      <c r="S200" s="1">
        <f ca="1">IFERROR(__xludf.DUMMYFUNCTION("""COMPUTED_VALUE"""),257)</f>
        <v>257</v>
      </c>
      <c r="T200" s="1">
        <f ca="1">IFERROR(__xludf.DUMMYFUNCTION("""COMPUTED_VALUE"""),-0.33)</f>
        <v>-0.33</v>
      </c>
      <c r="U200" s="1">
        <f ca="1">IFERROR(__xludf.DUMMYFUNCTION("""COMPUTED_VALUE"""),162)</f>
        <v>162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IFERROR(__xludf.DUMMYFUNCTION("""COMPUTED_VALUE"""),"East Carolina")</f>
        <v>East Carolina</v>
      </c>
      <c r="C201" s="1" t="str">
        <f ca="1">IFERROR(__xludf.DUMMYFUNCTION("""COMPUTED_VALUE"""),"Amer")</f>
        <v>Amer</v>
      </c>
      <c r="D201" s="1" t="str">
        <f ca="1">IFERROR(__xludf.DUMMYFUNCTION("""COMPUTED_VALUE"""),"15-18")</f>
        <v>15-18</v>
      </c>
      <c r="E201" s="1">
        <f ca="1">IFERROR(__xludf.DUMMYFUNCTION("""COMPUTED_VALUE"""),-1.49)</f>
        <v>-1.49</v>
      </c>
      <c r="F201" s="1">
        <f ca="1">IFERROR(__xludf.DUMMYFUNCTION("""COMPUTED_VALUE"""),97)</f>
        <v>97</v>
      </c>
      <c r="G201" s="1">
        <f ca="1">IFERROR(__xludf.DUMMYFUNCTION("""COMPUTED_VALUE"""),304)</f>
        <v>304</v>
      </c>
      <c r="H201" s="1">
        <f ca="1">IFERROR(__xludf.DUMMYFUNCTION("""COMPUTED_VALUE"""),98.5)</f>
        <v>98.5</v>
      </c>
      <c r="I201" s="1">
        <f ca="1">IFERROR(__xludf.DUMMYFUNCTION("""COMPUTED_VALUE"""),62)</f>
        <v>62</v>
      </c>
      <c r="J201" s="1">
        <f ca="1">IFERROR(__xludf.DUMMYFUNCTION("""COMPUTED_VALUE"""),66.9)</f>
        <v>66.900000000000006</v>
      </c>
      <c r="K201" s="1">
        <f ca="1">IFERROR(__xludf.DUMMYFUNCTION("""COMPUTED_VALUE"""),239)</f>
        <v>239</v>
      </c>
      <c r="L201" s="1" t="str">
        <f ca="1">IFERROR(__xludf.DUMMYFUNCTION("""COMPUTED_VALUE"""),"+.013")</f>
        <v>+.013</v>
      </c>
      <c r="M201" s="1">
        <f ca="1">IFERROR(__xludf.DUMMYFUNCTION("""COMPUTED_VALUE"""),156)</f>
        <v>156</v>
      </c>
      <c r="N201" s="1" t="str">
        <f ca="1">IFERROR(__xludf.DUMMYFUNCTION("""COMPUTED_VALUE"""),"+0.53")</f>
        <v>+0.53</v>
      </c>
      <c r="O201" s="1">
        <f ca="1">IFERROR(__xludf.DUMMYFUNCTION("""COMPUTED_VALUE"""),124)</f>
        <v>124</v>
      </c>
      <c r="P201" s="1">
        <f ca="1">IFERROR(__xludf.DUMMYFUNCTION("""COMPUTED_VALUE"""),105)</f>
        <v>105</v>
      </c>
      <c r="Q201" s="1">
        <f ca="1">IFERROR(__xludf.DUMMYFUNCTION("""COMPUTED_VALUE"""),127)</f>
        <v>127</v>
      </c>
      <c r="R201" s="1">
        <f ca="1">IFERROR(__xludf.DUMMYFUNCTION("""COMPUTED_VALUE"""),104.5)</f>
        <v>104.5</v>
      </c>
      <c r="S201" s="1">
        <f ca="1">IFERROR(__xludf.DUMMYFUNCTION("""COMPUTED_VALUE"""),131)</f>
        <v>131</v>
      </c>
      <c r="T201" s="1">
        <f ca="1">IFERROR(__xludf.DUMMYFUNCTION("""COMPUTED_VALUE"""),-10.91)</f>
        <v>-10.91</v>
      </c>
      <c r="U201" s="1">
        <f ca="1">IFERROR(__xludf.DUMMYFUNCTION("""COMPUTED_VALUE"""),349)</f>
        <v>349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IFERROR(__xludf.DUMMYFUNCTION("""COMPUTED_VALUE"""),"Boston University")</f>
        <v>Boston University</v>
      </c>
      <c r="C202" s="1" t="str">
        <f ca="1">IFERROR(__xludf.DUMMYFUNCTION("""COMPUTED_VALUE"""),"Pat")</f>
        <v>Pat</v>
      </c>
      <c r="D202" s="1" t="str">
        <f ca="1">IFERROR(__xludf.DUMMYFUNCTION("""COMPUTED_VALUE"""),"18-14")</f>
        <v>18-14</v>
      </c>
      <c r="E202" s="1">
        <f ca="1">IFERROR(__xludf.DUMMYFUNCTION("""COMPUTED_VALUE"""),-1.68)</f>
        <v>-1.68</v>
      </c>
      <c r="F202" s="1">
        <f ca="1">IFERROR(__xludf.DUMMYFUNCTION("""COMPUTED_VALUE"""),101.7)</f>
        <v>101.7</v>
      </c>
      <c r="G202" s="1">
        <f ca="1">IFERROR(__xludf.DUMMYFUNCTION("""COMPUTED_VALUE"""),226)</f>
        <v>226</v>
      </c>
      <c r="H202" s="1">
        <f ca="1">IFERROR(__xludf.DUMMYFUNCTION("""COMPUTED_VALUE"""),103.4)</f>
        <v>103.4</v>
      </c>
      <c r="I202" s="1">
        <f ca="1">IFERROR(__xludf.DUMMYFUNCTION("""COMPUTED_VALUE"""),149)</f>
        <v>149</v>
      </c>
      <c r="J202" s="1">
        <f ca="1">IFERROR(__xludf.DUMMYFUNCTION("""COMPUTED_VALUE"""),69.6)</f>
        <v>69.599999999999994</v>
      </c>
      <c r="K202" s="1">
        <f ca="1">IFERROR(__xludf.DUMMYFUNCTION("""COMPUTED_VALUE"""),94)</f>
        <v>94</v>
      </c>
      <c r="L202" s="1" t="str">
        <f ca="1">IFERROR(__xludf.DUMMYFUNCTION("""COMPUTED_VALUE"""),"+.003")</f>
        <v>+.003</v>
      </c>
      <c r="M202" s="1">
        <f ca="1">IFERROR(__xludf.DUMMYFUNCTION("""COMPUTED_VALUE"""),182)</f>
        <v>182</v>
      </c>
      <c r="N202" s="1">
        <f ca="1">IFERROR(__xludf.DUMMYFUNCTION("""COMPUTED_VALUE"""),-4.1)</f>
        <v>-4.0999999999999996</v>
      </c>
      <c r="O202" s="1">
        <f ca="1">IFERROR(__xludf.DUMMYFUNCTION("""COMPUTED_VALUE"""),252)</f>
        <v>252</v>
      </c>
      <c r="P202" s="1">
        <f ca="1">IFERROR(__xludf.DUMMYFUNCTION("""COMPUTED_VALUE"""),101.8)</f>
        <v>101.8</v>
      </c>
      <c r="Q202" s="1">
        <f ca="1">IFERROR(__xludf.DUMMYFUNCTION("""COMPUTED_VALUE"""),285)</f>
        <v>285</v>
      </c>
      <c r="R202" s="1">
        <f ca="1">IFERROR(__xludf.DUMMYFUNCTION("""COMPUTED_VALUE"""),105.9)</f>
        <v>105.9</v>
      </c>
      <c r="S202" s="1">
        <f ca="1">IFERROR(__xludf.DUMMYFUNCTION("""COMPUTED_VALUE"""),201)</f>
        <v>201</v>
      </c>
      <c r="T202" s="1">
        <f ca="1">IFERROR(__xludf.DUMMYFUNCTION("""COMPUTED_VALUE"""),-0.77)</f>
        <v>-0.77</v>
      </c>
      <c r="U202" s="1">
        <f ca="1">IFERROR(__xludf.DUMMYFUNCTION("""COMPUTED_VALUE"""),176)</f>
        <v>176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IFERROR(__xludf.DUMMYFUNCTION("""COMPUTED_VALUE"""),"Washington St.")</f>
        <v>Washington St.</v>
      </c>
      <c r="C203" s="1" t="str">
        <f ca="1">IFERROR(__xludf.DUMMYFUNCTION("""COMPUTED_VALUE"""),"P12")</f>
        <v>P12</v>
      </c>
      <c r="D203" s="1" t="str">
        <f ca="1">IFERROR(__xludf.DUMMYFUNCTION("""COMPUTED_VALUE"""),"13-18")</f>
        <v>13-18</v>
      </c>
      <c r="E203" s="1">
        <f ca="1">IFERROR(__xludf.DUMMYFUNCTION("""COMPUTED_VALUE"""),-1.73)</f>
        <v>-1.73</v>
      </c>
      <c r="F203" s="1">
        <f ca="1">IFERROR(__xludf.DUMMYFUNCTION("""COMPUTED_VALUE"""),104.4)</f>
        <v>104.4</v>
      </c>
      <c r="G203" s="1">
        <f ca="1">IFERROR(__xludf.DUMMYFUNCTION("""COMPUTED_VALUE"""),171)</f>
        <v>171</v>
      </c>
      <c r="H203" s="1">
        <f ca="1">IFERROR(__xludf.DUMMYFUNCTION("""COMPUTED_VALUE"""),106.1)</f>
        <v>106.1</v>
      </c>
      <c r="I203" s="1">
        <f ca="1">IFERROR(__xludf.DUMMYFUNCTION("""COMPUTED_VALUE"""),202)</f>
        <v>202</v>
      </c>
      <c r="J203" s="1">
        <f ca="1">IFERROR(__xludf.DUMMYFUNCTION("""COMPUTED_VALUE"""),67.7)</f>
        <v>67.7</v>
      </c>
      <c r="K203" s="1">
        <f ca="1">IFERROR(__xludf.DUMMYFUNCTION("""COMPUTED_VALUE"""),204)</f>
        <v>204</v>
      </c>
      <c r="L203" s="1" t="str">
        <f ca="1">IFERROR(__xludf.DUMMYFUNCTION("""COMPUTED_VALUE"""),"+.067")</f>
        <v>+.067</v>
      </c>
      <c r="M203" s="1">
        <f ca="1">IFERROR(__xludf.DUMMYFUNCTION("""COMPUTED_VALUE"""),31)</f>
        <v>31</v>
      </c>
      <c r="N203" s="1" t="str">
        <f ca="1">IFERROR(__xludf.DUMMYFUNCTION("""COMPUTED_VALUE"""),"+6.36")</f>
        <v>+6.36</v>
      </c>
      <c r="O203" s="1">
        <f ca="1">IFERROR(__xludf.DUMMYFUNCTION("""COMPUTED_VALUE"""),68)</f>
        <v>68</v>
      </c>
      <c r="P203" s="1">
        <f ca="1">IFERROR(__xludf.DUMMYFUNCTION("""COMPUTED_VALUE"""),109.2)</f>
        <v>109.2</v>
      </c>
      <c r="Q203" s="1">
        <f ca="1">IFERROR(__xludf.DUMMYFUNCTION("""COMPUTED_VALUE"""),48)</f>
        <v>48</v>
      </c>
      <c r="R203" s="1">
        <f ca="1">IFERROR(__xludf.DUMMYFUNCTION("""COMPUTED_VALUE"""),102.9)</f>
        <v>102.9</v>
      </c>
      <c r="S203" s="1">
        <f ca="1">IFERROR(__xludf.DUMMYFUNCTION("""COMPUTED_VALUE"""),92)</f>
        <v>92</v>
      </c>
      <c r="T203" s="1">
        <f ca="1">IFERROR(__xludf.DUMMYFUNCTION("""COMPUTED_VALUE"""),-3.03)</f>
        <v>-3.03</v>
      </c>
      <c r="U203" s="1">
        <f ca="1">IFERROR(__xludf.DUMMYFUNCTION("""COMPUTED_VALUE"""),243)</f>
        <v>243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IFERROR(__xludf.DUMMYFUNCTION("""COMPUTED_VALUE"""),"Montana")</f>
        <v>Montana</v>
      </c>
      <c r="C204" s="1" t="str">
        <f ca="1">IFERROR(__xludf.DUMMYFUNCTION("""COMPUTED_VALUE"""),"BSky")</f>
        <v>BSky</v>
      </c>
      <c r="D204" s="1" t="str">
        <f ca="1">IFERROR(__xludf.DUMMYFUNCTION("""COMPUTED_VALUE"""),"16-16")</f>
        <v>16-16</v>
      </c>
      <c r="E204" s="1">
        <f ca="1">IFERROR(__xludf.DUMMYFUNCTION("""COMPUTED_VALUE"""),-2.06)</f>
        <v>-2.06</v>
      </c>
      <c r="F204" s="1">
        <f ca="1">IFERROR(__xludf.DUMMYFUNCTION("""COMPUTED_VALUE"""),106.1)</f>
        <v>106.1</v>
      </c>
      <c r="G204" s="1">
        <f ca="1">IFERROR(__xludf.DUMMYFUNCTION("""COMPUTED_VALUE"""),145)</f>
        <v>145</v>
      </c>
      <c r="H204" s="1">
        <f ca="1">IFERROR(__xludf.DUMMYFUNCTION("""COMPUTED_VALUE"""),108.2)</f>
        <v>108.2</v>
      </c>
      <c r="I204" s="1">
        <f ca="1">IFERROR(__xludf.DUMMYFUNCTION("""COMPUTED_VALUE"""),242)</f>
        <v>242</v>
      </c>
      <c r="J204" s="1">
        <f ca="1">IFERROR(__xludf.DUMMYFUNCTION("""COMPUTED_VALUE"""),66.7)</f>
        <v>66.7</v>
      </c>
      <c r="K204" s="1">
        <f ca="1">IFERROR(__xludf.DUMMYFUNCTION("""COMPUTED_VALUE"""),250)</f>
        <v>250</v>
      </c>
      <c r="L204" s="1">
        <f ca="1">IFERROR(__xludf.DUMMYFUNCTION("""COMPUTED_VALUE"""),-0.05)</f>
        <v>-0.05</v>
      </c>
      <c r="M204" s="1">
        <f ca="1">IFERROR(__xludf.DUMMYFUNCTION("""COMPUTED_VALUE"""),297)</f>
        <v>297</v>
      </c>
      <c r="N204" s="1">
        <f ca="1">IFERROR(__xludf.DUMMYFUNCTION("""COMPUTED_VALUE"""),-4.94)</f>
        <v>-4.9400000000000004</v>
      </c>
      <c r="O204" s="1">
        <f ca="1">IFERROR(__xludf.DUMMYFUNCTION("""COMPUTED_VALUE"""),277)</f>
        <v>277</v>
      </c>
      <c r="P204" s="1">
        <f ca="1">IFERROR(__xludf.DUMMYFUNCTION("""COMPUTED_VALUE"""),103.5)</f>
        <v>103.5</v>
      </c>
      <c r="Q204" s="1">
        <f ca="1">IFERROR(__xludf.DUMMYFUNCTION("""COMPUTED_VALUE"""),213)</f>
        <v>213</v>
      </c>
      <c r="R204" s="1">
        <f ca="1">IFERROR(__xludf.DUMMYFUNCTION("""COMPUTED_VALUE"""),108.4)</f>
        <v>108.4</v>
      </c>
      <c r="S204" s="1">
        <f ca="1">IFERROR(__xludf.DUMMYFUNCTION("""COMPUTED_VALUE"""),324)</f>
        <v>324</v>
      </c>
      <c r="T204" s="1" t="str">
        <f ca="1">IFERROR(__xludf.DUMMYFUNCTION("""COMPUTED_VALUE"""),"+0.79")</f>
        <v>+0.79</v>
      </c>
      <c r="U204" s="1">
        <f ca="1">IFERROR(__xludf.DUMMYFUNCTION("""COMPUTED_VALUE"""),131)</f>
        <v>131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IFERROR(__xludf.DUMMYFUNCTION("""COMPUTED_VALUE"""),"Georgia Southern")</f>
        <v>Georgia Southern</v>
      </c>
      <c r="C205" s="1" t="str">
        <f ca="1">IFERROR(__xludf.DUMMYFUNCTION("""COMPUTED_VALUE"""),"SB")</f>
        <v>SB</v>
      </c>
      <c r="D205" s="1" t="str">
        <f ca="1">IFERROR(__xludf.DUMMYFUNCTION("""COMPUTED_VALUE"""),"18-15")</f>
        <v>18-15</v>
      </c>
      <c r="E205" s="1">
        <f ca="1">IFERROR(__xludf.DUMMYFUNCTION("""COMPUTED_VALUE"""),-2.08)</f>
        <v>-2.08</v>
      </c>
      <c r="F205" s="1">
        <f ca="1">IFERROR(__xludf.DUMMYFUNCTION("""COMPUTED_VALUE"""),105.2)</f>
        <v>105.2</v>
      </c>
      <c r="G205" s="1">
        <f ca="1">IFERROR(__xludf.DUMMYFUNCTION("""COMPUTED_VALUE"""),155)</f>
        <v>155</v>
      </c>
      <c r="H205" s="1">
        <f ca="1">IFERROR(__xludf.DUMMYFUNCTION("""COMPUTED_VALUE"""),107.3)</f>
        <v>107.3</v>
      </c>
      <c r="I205" s="1">
        <f ca="1">IFERROR(__xludf.DUMMYFUNCTION("""COMPUTED_VALUE"""),222)</f>
        <v>222</v>
      </c>
      <c r="J205" s="1">
        <f ca="1">IFERROR(__xludf.DUMMYFUNCTION("""COMPUTED_VALUE"""),68.5)</f>
        <v>68.5</v>
      </c>
      <c r="K205" s="1">
        <f ca="1">IFERROR(__xludf.DUMMYFUNCTION("""COMPUTED_VALUE"""),155)</f>
        <v>155</v>
      </c>
      <c r="L205" s="1" t="str">
        <f ca="1">IFERROR(__xludf.DUMMYFUNCTION("""COMPUTED_VALUE"""),"+.049")</f>
        <v>+.049</v>
      </c>
      <c r="M205" s="1">
        <f ca="1">IFERROR(__xludf.DUMMYFUNCTION("""COMPUTED_VALUE"""),60)</f>
        <v>60</v>
      </c>
      <c r="N205" s="1">
        <f ca="1">IFERROR(__xludf.DUMMYFUNCTION("""COMPUTED_VALUE"""),-1.26)</f>
        <v>-1.26</v>
      </c>
      <c r="O205" s="1">
        <f ca="1">IFERROR(__xludf.DUMMYFUNCTION("""COMPUTED_VALUE"""),165)</f>
        <v>165</v>
      </c>
      <c r="P205" s="1">
        <f ca="1">IFERROR(__xludf.DUMMYFUNCTION("""COMPUTED_VALUE"""),104.6)</f>
        <v>104.6</v>
      </c>
      <c r="Q205" s="1">
        <f ca="1">IFERROR(__xludf.DUMMYFUNCTION("""COMPUTED_VALUE"""),148)</f>
        <v>148</v>
      </c>
      <c r="R205" s="1">
        <f ca="1">IFERROR(__xludf.DUMMYFUNCTION("""COMPUTED_VALUE"""),105.9)</f>
        <v>105.9</v>
      </c>
      <c r="S205" s="1">
        <f ca="1">IFERROR(__xludf.DUMMYFUNCTION("""COMPUTED_VALUE"""),198)</f>
        <v>198</v>
      </c>
      <c r="T205" s="1" t="str">
        <f ca="1">IFERROR(__xludf.DUMMYFUNCTION("""COMPUTED_VALUE"""),"+1.82")</f>
        <v>+1.82</v>
      </c>
      <c r="U205" s="1">
        <f ca="1">IFERROR(__xludf.DUMMYFUNCTION("""COMPUTED_VALUE"""),102)</f>
        <v>102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IFERROR(__xludf.DUMMYFUNCTION("""COMPUTED_VALUE"""),"UAB")</f>
        <v>UAB</v>
      </c>
      <c r="C206" s="1" t="str">
        <f ca="1">IFERROR(__xludf.DUMMYFUNCTION("""COMPUTED_VALUE"""),"CUSA")</f>
        <v>CUSA</v>
      </c>
      <c r="D206" s="1" t="str">
        <f ca="1">IFERROR(__xludf.DUMMYFUNCTION("""COMPUTED_VALUE"""),"17-16")</f>
        <v>17-16</v>
      </c>
      <c r="E206" s="1">
        <f ca="1">IFERROR(__xludf.DUMMYFUNCTION("""COMPUTED_VALUE"""),-2.52)</f>
        <v>-2.52</v>
      </c>
      <c r="F206" s="1">
        <f ca="1">IFERROR(__xludf.DUMMYFUNCTION("""COMPUTED_VALUE"""),103.9)</f>
        <v>103.9</v>
      </c>
      <c r="G206" s="1">
        <f ca="1">IFERROR(__xludf.DUMMYFUNCTION("""COMPUTED_VALUE"""),187)</f>
        <v>187</v>
      </c>
      <c r="H206" s="1">
        <f ca="1">IFERROR(__xludf.DUMMYFUNCTION("""COMPUTED_VALUE"""),106.4)</f>
        <v>106.4</v>
      </c>
      <c r="I206" s="1">
        <f ca="1">IFERROR(__xludf.DUMMYFUNCTION("""COMPUTED_VALUE"""),207)</f>
        <v>207</v>
      </c>
      <c r="J206" s="1">
        <f ca="1">IFERROR(__xludf.DUMMYFUNCTION("""COMPUTED_VALUE"""),66.1)</f>
        <v>66.099999999999994</v>
      </c>
      <c r="K206" s="1">
        <f ca="1">IFERROR(__xludf.DUMMYFUNCTION("""COMPUTED_VALUE"""),275)</f>
        <v>275</v>
      </c>
      <c r="L206" s="1">
        <f ca="1">IFERROR(__xludf.DUMMYFUNCTION("""COMPUTED_VALUE"""),-0.008)</f>
        <v>-8.0000000000000002E-3</v>
      </c>
      <c r="M206" s="1">
        <f ca="1">IFERROR(__xludf.DUMMYFUNCTION("""COMPUTED_VALUE"""),204)</f>
        <v>204</v>
      </c>
      <c r="N206" s="1">
        <f ca="1">IFERROR(__xludf.DUMMYFUNCTION("""COMPUTED_VALUE"""),-2.45)</f>
        <v>-2.4500000000000002</v>
      </c>
      <c r="O206" s="1">
        <f ca="1">IFERROR(__xludf.DUMMYFUNCTION("""COMPUTED_VALUE"""),202)</f>
        <v>202</v>
      </c>
      <c r="P206" s="1">
        <f ca="1">IFERROR(__xludf.DUMMYFUNCTION("""COMPUTED_VALUE"""),103.6)</f>
        <v>103.6</v>
      </c>
      <c r="Q206" s="1">
        <f ca="1">IFERROR(__xludf.DUMMYFUNCTION("""COMPUTED_VALUE"""),206)</f>
        <v>206</v>
      </c>
      <c r="R206" s="1">
        <f ca="1">IFERROR(__xludf.DUMMYFUNCTION("""COMPUTED_VALUE"""),106)</f>
        <v>106</v>
      </c>
      <c r="S206" s="1">
        <f ca="1">IFERROR(__xludf.DUMMYFUNCTION("""COMPUTED_VALUE"""),209)</f>
        <v>209</v>
      </c>
      <c r="T206" s="1" t="str">
        <f ca="1">IFERROR(__xludf.DUMMYFUNCTION("""COMPUTED_VALUE"""),"+0.08")</f>
        <v>+0.08</v>
      </c>
      <c r="U206" s="1">
        <f ca="1">IFERROR(__xludf.DUMMYFUNCTION("""COMPUTED_VALUE"""),151)</f>
        <v>151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IFERROR(__xludf.DUMMYFUNCTION("""COMPUTED_VALUE"""),"Murray St.")</f>
        <v>Murray St.</v>
      </c>
      <c r="C207" s="1" t="str">
        <f ca="1">IFERROR(__xludf.DUMMYFUNCTION("""COMPUTED_VALUE"""),"OVC")</f>
        <v>OVC</v>
      </c>
      <c r="D207" s="1" t="str">
        <f ca="1">IFERROR(__xludf.DUMMYFUNCTION("""COMPUTED_VALUE"""),"16-17")</f>
        <v>16-17</v>
      </c>
      <c r="E207" s="1">
        <f ca="1">IFERROR(__xludf.DUMMYFUNCTION("""COMPUTED_VALUE"""),-2.61)</f>
        <v>-2.61</v>
      </c>
      <c r="F207" s="1">
        <f ca="1">IFERROR(__xludf.DUMMYFUNCTION("""COMPUTED_VALUE"""),107.2)</f>
        <v>107.2</v>
      </c>
      <c r="G207" s="1">
        <f ca="1">IFERROR(__xludf.DUMMYFUNCTION("""COMPUTED_VALUE"""),122)</f>
        <v>122</v>
      </c>
      <c r="H207" s="1">
        <f ca="1">IFERROR(__xludf.DUMMYFUNCTION("""COMPUTED_VALUE"""),109.8)</f>
        <v>109.8</v>
      </c>
      <c r="I207" s="1">
        <f ca="1">IFERROR(__xludf.DUMMYFUNCTION("""COMPUTED_VALUE"""),277)</f>
        <v>277</v>
      </c>
      <c r="J207" s="1">
        <f ca="1">IFERROR(__xludf.DUMMYFUNCTION("""COMPUTED_VALUE"""),68.7)</f>
        <v>68.7</v>
      </c>
      <c r="K207" s="1">
        <f ca="1">IFERROR(__xludf.DUMMYFUNCTION("""COMPUTED_VALUE"""),140)</f>
        <v>140</v>
      </c>
      <c r="L207" s="1">
        <f ca="1">IFERROR(__xludf.DUMMYFUNCTION("""COMPUTED_VALUE"""),-0.087)</f>
        <v>-8.6999999999999994E-2</v>
      </c>
      <c r="M207" s="1">
        <f ca="1">IFERROR(__xludf.DUMMYFUNCTION("""COMPUTED_VALUE"""),338)</f>
        <v>338</v>
      </c>
      <c r="N207" s="1">
        <f ca="1">IFERROR(__xludf.DUMMYFUNCTION("""COMPUTED_VALUE"""),-4.05)</f>
        <v>-4.05</v>
      </c>
      <c r="O207" s="1">
        <f ca="1">IFERROR(__xludf.DUMMYFUNCTION("""COMPUTED_VALUE"""),249)</f>
        <v>249</v>
      </c>
      <c r="P207" s="1">
        <f ca="1">IFERROR(__xludf.DUMMYFUNCTION("""COMPUTED_VALUE"""),103.6)</f>
        <v>103.6</v>
      </c>
      <c r="Q207" s="1">
        <f ca="1">IFERROR(__xludf.DUMMYFUNCTION("""COMPUTED_VALUE"""),203)</f>
        <v>203</v>
      </c>
      <c r="R207" s="1">
        <f ca="1">IFERROR(__xludf.DUMMYFUNCTION("""COMPUTED_VALUE"""),107.6)</f>
        <v>107.6</v>
      </c>
      <c r="S207" s="1">
        <f ca="1">IFERROR(__xludf.DUMMYFUNCTION("""COMPUTED_VALUE"""),292)</f>
        <v>292</v>
      </c>
      <c r="T207" s="1" t="str">
        <f ca="1">IFERROR(__xludf.DUMMYFUNCTION("""COMPUTED_VALUE"""),"+0.01")</f>
        <v>+0.01</v>
      </c>
      <c r="U207" s="1">
        <f ca="1">IFERROR(__xludf.DUMMYFUNCTION("""COMPUTED_VALUE"""),154)</f>
        <v>154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IFERROR(__xludf.DUMMYFUNCTION("""COMPUTED_VALUE"""),"IUPUI")</f>
        <v>IUPUI</v>
      </c>
      <c r="C208" s="1" t="str">
        <f ca="1">IFERROR(__xludf.DUMMYFUNCTION("""COMPUTED_VALUE"""),"Sum")</f>
        <v>Sum</v>
      </c>
      <c r="D208" s="1" t="str">
        <f ca="1">IFERROR(__xludf.DUMMYFUNCTION("""COMPUTED_VALUE"""),"14-18")</f>
        <v>14-18</v>
      </c>
      <c r="E208" s="1">
        <f ca="1">IFERROR(__xludf.DUMMYFUNCTION("""COMPUTED_VALUE"""),-2.76)</f>
        <v>-2.76</v>
      </c>
      <c r="F208" s="1">
        <f ca="1">IFERROR(__xludf.DUMMYFUNCTION("""COMPUTED_VALUE"""),107)</f>
        <v>107</v>
      </c>
      <c r="G208" s="1">
        <f ca="1">IFERROR(__xludf.DUMMYFUNCTION("""COMPUTED_VALUE"""),126)</f>
        <v>126</v>
      </c>
      <c r="H208" s="1">
        <f ca="1">IFERROR(__xludf.DUMMYFUNCTION("""COMPUTED_VALUE"""),109.8)</f>
        <v>109.8</v>
      </c>
      <c r="I208" s="1">
        <f ca="1">IFERROR(__xludf.DUMMYFUNCTION("""COMPUTED_VALUE"""),276)</f>
        <v>276</v>
      </c>
      <c r="J208" s="1">
        <f ca="1">IFERROR(__xludf.DUMMYFUNCTION("""COMPUTED_VALUE"""),69.3)</f>
        <v>69.3</v>
      </c>
      <c r="K208" s="1">
        <f ca="1">IFERROR(__xludf.DUMMYFUNCTION("""COMPUTED_VALUE"""),102)</f>
        <v>102</v>
      </c>
      <c r="L208" s="1">
        <f ca="1">IFERROR(__xludf.DUMMYFUNCTION("""COMPUTED_VALUE"""),-0.036)</f>
        <v>-3.5999999999999997E-2</v>
      </c>
      <c r="M208" s="1">
        <f ca="1">IFERROR(__xludf.DUMMYFUNCTION("""COMPUTED_VALUE"""),275)</f>
        <v>275</v>
      </c>
      <c r="N208" s="1">
        <f ca="1">IFERROR(__xludf.DUMMYFUNCTION("""COMPUTED_VALUE"""),-0.64)</f>
        <v>-0.64</v>
      </c>
      <c r="O208" s="1">
        <f ca="1">IFERROR(__xludf.DUMMYFUNCTION("""COMPUTED_VALUE"""),148)</f>
        <v>148</v>
      </c>
      <c r="P208" s="1">
        <f ca="1">IFERROR(__xludf.DUMMYFUNCTION("""COMPUTED_VALUE"""),105.7)</f>
        <v>105.7</v>
      </c>
      <c r="Q208" s="1">
        <f ca="1">IFERROR(__xludf.DUMMYFUNCTION("""COMPUTED_VALUE"""),98)</f>
        <v>98</v>
      </c>
      <c r="R208" s="1">
        <f ca="1">IFERROR(__xludf.DUMMYFUNCTION("""COMPUTED_VALUE"""),106.3)</f>
        <v>106.3</v>
      </c>
      <c r="S208" s="1">
        <f ca="1">IFERROR(__xludf.DUMMYFUNCTION("""COMPUTED_VALUE"""),226)</f>
        <v>226</v>
      </c>
      <c r="T208" s="1" t="str">
        <f ca="1">IFERROR(__xludf.DUMMYFUNCTION("""COMPUTED_VALUE"""),"+3.64")</f>
        <v>+3.64</v>
      </c>
      <c r="U208" s="1">
        <f ca="1">IFERROR(__xludf.DUMMYFUNCTION("""COMPUTED_VALUE"""),58)</f>
        <v>58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IFERROR(__xludf.DUMMYFUNCTION("""COMPUTED_VALUE"""),"Indiana St.")</f>
        <v>Indiana St.</v>
      </c>
      <c r="C209" s="1" t="str">
        <f ca="1">IFERROR(__xludf.DUMMYFUNCTION("""COMPUTED_VALUE"""),"MVC")</f>
        <v>MVC</v>
      </c>
      <c r="D209" s="2">
        <f ca="1">IFERROR(__xludf.DUMMYFUNCTION("""COMPUTED_VALUE"""),44885)</f>
        <v>44885</v>
      </c>
      <c r="E209" s="1">
        <f ca="1">IFERROR(__xludf.DUMMYFUNCTION("""COMPUTED_VALUE"""),-2.78)</f>
        <v>-2.78</v>
      </c>
      <c r="F209" s="1">
        <f ca="1">IFERROR(__xludf.DUMMYFUNCTION("""COMPUTED_VALUE"""),99.6)</f>
        <v>99.6</v>
      </c>
      <c r="G209" s="1">
        <f ca="1">IFERROR(__xludf.DUMMYFUNCTION("""COMPUTED_VALUE"""),266)</f>
        <v>266</v>
      </c>
      <c r="H209" s="1">
        <f ca="1">IFERROR(__xludf.DUMMYFUNCTION("""COMPUTED_VALUE"""),102.3)</f>
        <v>102.3</v>
      </c>
      <c r="I209" s="1">
        <f ca="1">IFERROR(__xludf.DUMMYFUNCTION("""COMPUTED_VALUE"""),118)</f>
        <v>118</v>
      </c>
      <c r="J209" s="1">
        <f ca="1">IFERROR(__xludf.DUMMYFUNCTION("""COMPUTED_VALUE"""),69.7)</f>
        <v>69.7</v>
      </c>
      <c r="K209" s="1">
        <f ca="1">IFERROR(__xludf.DUMMYFUNCTION("""COMPUTED_VALUE"""),91)</f>
        <v>91</v>
      </c>
      <c r="L209" s="1">
        <f ca="1">IFERROR(__xludf.DUMMYFUNCTION("""COMPUTED_VALUE"""),-0.009)</f>
        <v>-8.9999999999999993E-3</v>
      </c>
      <c r="M209" s="1">
        <f ca="1">IFERROR(__xludf.DUMMYFUNCTION("""COMPUTED_VALUE"""),208)</f>
        <v>208</v>
      </c>
      <c r="N209" s="1" t="str">
        <f ca="1">IFERROR(__xludf.DUMMYFUNCTION("""COMPUTED_VALUE"""),"+2.47")</f>
        <v>+2.47</v>
      </c>
      <c r="O209" s="1">
        <f ca="1">IFERROR(__xludf.DUMMYFUNCTION("""COMPUTED_VALUE"""),93)</f>
        <v>93</v>
      </c>
      <c r="P209" s="1">
        <f ca="1">IFERROR(__xludf.DUMMYFUNCTION("""COMPUTED_VALUE"""),105.2)</f>
        <v>105.2</v>
      </c>
      <c r="Q209" s="1">
        <f ca="1">IFERROR(__xludf.DUMMYFUNCTION("""COMPUTED_VALUE"""),121)</f>
        <v>121</v>
      </c>
      <c r="R209" s="1">
        <f ca="1">IFERROR(__xludf.DUMMYFUNCTION("""COMPUTED_VALUE"""),102.7)</f>
        <v>102.7</v>
      </c>
      <c r="S209" s="1">
        <f ca="1">IFERROR(__xludf.DUMMYFUNCTION("""COMPUTED_VALUE"""),84)</f>
        <v>84</v>
      </c>
      <c r="T209" s="1" t="str">
        <f ca="1">IFERROR(__xludf.DUMMYFUNCTION("""COMPUTED_VALUE"""),"+1.71")</f>
        <v>+1.71</v>
      </c>
      <c r="U209" s="1">
        <f ca="1">IFERROR(__xludf.DUMMYFUNCTION("""COMPUTED_VALUE"""),105)</f>
        <v>105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IFERROR(__xludf.DUMMYFUNCTION("""COMPUTED_VALUE"""),"UTEP")</f>
        <v>UTEP</v>
      </c>
      <c r="C210" s="1" t="str">
        <f ca="1">IFERROR(__xludf.DUMMYFUNCTION("""COMPUTED_VALUE"""),"CUSA")</f>
        <v>CUSA</v>
      </c>
      <c r="D210" s="1" t="str">
        <f ca="1">IFERROR(__xludf.DUMMYFUNCTION("""COMPUTED_VALUE"""),"15-17")</f>
        <v>15-17</v>
      </c>
      <c r="E210" s="1">
        <f ca="1">IFERROR(__xludf.DUMMYFUNCTION("""COMPUTED_VALUE"""),-2.93)</f>
        <v>-2.93</v>
      </c>
      <c r="F210" s="1">
        <f ca="1">IFERROR(__xludf.DUMMYFUNCTION("""COMPUTED_VALUE"""),99.7)</f>
        <v>99.7</v>
      </c>
      <c r="G210" s="1">
        <f ca="1">IFERROR(__xludf.DUMMYFUNCTION("""COMPUTED_VALUE"""),264)</f>
        <v>264</v>
      </c>
      <c r="H210" s="1">
        <f ca="1">IFERROR(__xludf.DUMMYFUNCTION("""COMPUTED_VALUE"""),102.7)</f>
        <v>102.7</v>
      </c>
      <c r="I210" s="1">
        <f ca="1">IFERROR(__xludf.DUMMYFUNCTION("""COMPUTED_VALUE"""),128)</f>
        <v>128</v>
      </c>
      <c r="J210" s="1">
        <f ca="1">IFERROR(__xludf.DUMMYFUNCTION("""COMPUTED_VALUE"""),66.3)</f>
        <v>66.3</v>
      </c>
      <c r="K210" s="1">
        <f ca="1">IFERROR(__xludf.DUMMYFUNCTION("""COMPUTED_VALUE"""),265)</f>
        <v>265</v>
      </c>
      <c r="L210" s="1">
        <f ca="1">IFERROR(__xludf.DUMMYFUNCTION("""COMPUTED_VALUE"""),-0.035)</f>
        <v>-3.5000000000000003E-2</v>
      </c>
      <c r="M210" s="1">
        <f ca="1">IFERROR(__xludf.DUMMYFUNCTION("""COMPUTED_VALUE"""),272)</f>
        <v>272</v>
      </c>
      <c r="N210" s="1">
        <f ca="1">IFERROR(__xludf.DUMMYFUNCTION("""COMPUTED_VALUE"""),-3.51)</f>
        <v>-3.51</v>
      </c>
      <c r="O210" s="1">
        <f ca="1">IFERROR(__xludf.DUMMYFUNCTION("""COMPUTED_VALUE"""),240)</f>
        <v>240</v>
      </c>
      <c r="P210" s="1">
        <f ca="1">IFERROR(__xludf.DUMMYFUNCTION("""COMPUTED_VALUE"""),102.9)</f>
        <v>102.9</v>
      </c>
      <c r="Q210" s="1">
        <f ca="1">IFERROR(__xludf.DUMMYFUNCTION("""COMPUTED_VALUE"""),245)</f>
        <v>245</v>
      </c>
      <c r="R210" s="1">
        <f ca="1">IFERROR(__xludf.DUMMYFUNCTION("""COMPUTED_VALUE"""),106.4)</f>
        <v>106.4</v>
      </c>
      <c r="S210" s="1">
        <f ca="1">IFERROR(__xludf.DUMMYFUNCTION("""COMPUTED_VALUE"""),229)</f>
        <v>229</v>
      </c>
      <c r="T210" s="1">
        <f ca="1">IFERROR(__xludf.DUMMYFUNCTION("""COMPUTED_VALUE"""),-2.74)</f>
        <v>-2.74</v>
      </c>
      <c r="U210" s="1">
        <f ca="1">IFERROR(__xludf.DUMMYFUNCTION("""COMPUTED_VALUE"""),233)</f>
        <v>233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IFERROR(__xludf.DUMMYFUNCTION("""COMPUTED_VALUE"""),"UMBC")</f>
        <v>UMBC</v>
      </c>
      <c r="C213" s="1" t="str">
        <f ca="1">IFERROR(__xludf.DUMMYFUNCTION("""COMPUTED_VALUE"""),"AE")</f>
        <v>AE</v>
      </c>
      <c r="D213" s="1" t="str">
        <f ca="1">IFERROR(__xludf.DUMMYFUNCTION("""COMPUTED_VALUE"""),"21-13")</f>
        <v>21-13</v>
      </c>
      <c r="E213" s="1">
        <f ca="1">IFERROR(__xludf.DUMMYFUNCTION("""COMPUTED_VALUE"""),-2.97)</f>
        <v>-2.97</v>
      </c>
      <c r="F213" s="1">
        <f ca="1">IFERROR(__xludf.DUMMYFUNCTION("""COMPUTED_VALUE"""),107.9)</f>
        <v>107.9</v>
      </c>
      <c r="G213" s="1">
        <f ca="1">IFERROR(__xludf.DUMMYFUNCTION("""COMPUTED_VALUE"""),108)</f>
        <v>108</v>
      </c>
      <c r="H213" s="1">
        <f ca="1">IFERROR(__xludf.DUMMYFUNCTION("""COMPUTED_VALUE"""),110.9)</f>
        <v>110.9</v>
      </c>
      <c r="I213" s="1">
        <f ca="1">IFERROR(__xludf.DUMMYFUNCTION("""COMPUTED_VALUE"""),297)</f>
        <v>297</v>
      </c>
      <c r="J213" s="1">
        <f ca="1">IFERROR(__xludf.DUMMYFUNCTION("""COMPUTED_VALUE"""),71)</f>
        <v>71</v>
      </c>
      <c r="K213" s="1">
        <f ca="1">IFERROR(__xludf.DUMMYFUNCTION("""COMPUTED_VALUE"""),52)</f>
        <v>52</v>
      </c>
      <c r="L213" s="1" t="str">
        <f ca="1">IFERROR(__xludf.DUMMYFUNCTION("""COMPUTED_VALUE"""),"+.029")</f>
        <v>+.029</v>
      </c>
      <c r="M213" s="1">
        <f ca="1">IFERROR(__xludf.DUMMYFUNCTION("""COMPUTED_VALUE"""),100)</f>
        <v>100</v>
      </c>
      <c r="N213" s="1">
        <f ca="1">IFERROR(__xludf.DUMMYFUNCTION("""COMPUTED_VALUE"""),-6.24)</f>
        <v>-6.24</v>
      </c>
      <c r="O213" s="1">
        <f ca="1">IFERROR(__xludf.DUMMYFUNCTION("""COMPUTED_VALUE"""),308)</f>
        <v>308</v>
      </c>
      <c r="P213" s="1">
        <f ca="1">IFERROR(__xludf.DUMMYFUNCTION("""COMPUTED_VALUE"""),101.3)</f>
        <v>101.3</v>
      </c>
      <c r="Q213" s="1">
        <f ca="1">IFERROR(__xludf.DUMMYFUNCTION("""COMPUTED_VALUE"""),303)</f>
        <v>303</v>
      </c>
      <c r="R213" s="1">
        <f ca="1">IFERROR(__xludf.DUMMYFUNCTION("""COMPUTED_VALUE"""),107.5)</f>
        <v>107.5</v>
      </c>
      <c r="S213" s="1">
        <f ca="1">IFERROR(__xludf.DUMMYFUNCTION("""COMPUTED_VALUE"""),285)</f>
        <v>285</v>
      </c>
      <c r="T213" s="1">
        <f ca="1">IFERROR(__xludf.DUMMYFUNCTION("""COMPUTED_VALUE"""),-3.41)</f>
        <v>-3.41</v>
      </c>
      <c r="U213" s="1">
        <f ca="1">IFERROR(__xludf.DUMMYFUNCTION("""COMPUTED_VALUE"""),256)</f>
        <v>256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IFERROR(__xludf.DUMMYFUNCTION("""COMPUTED_VALUE"""),"Fordham")</f>
        <v>Fordham</v>
      </c>
      <c r="C214" s="1" t="str">
        <f ca="1">IFERROR(__xludf.DUMMYFUNCTION("""COMPUTED_VALUE"""),"A10")</f>
        <v>A10</v>
      </c>
      <c r="D214" s="1" t="str">
        <f ca="1">IFERROR(__xludf.DUMMYFUNCTION("""COMPUTED_VALUE"""),"13-19")</f>
        <v>13-19</v>
      </c>
      <c r="E214" s="1">
        <f ca="1">IFERROR(__xludf.DUMMYFUNCTION("""COMPUTED_VALUE"""),-3.05)</f>
        <v>-3.05</v>
      </c>
      <c r="F214" s="1">
        <f ca="1">IFERROR(__xludf.DUMMYFUNCTION("""COMPUTED_VALUE"""),97)</f>
        <v>97</v>
      </c>
      <c r="G214" s="1">
        <f ca="1">IFERROR(__xludf.DUMMYFUNCTION("""COMPUTED_VALUE"""),307)</f>
        <v>307</v>
      </c>
      <c r="H214" s="1">
        <f ca="1">IFERROR(__xludf.DUMMYFUNCTION("""COMPUTED_VALUE"""),100)</f>
        <v>100</v>
      </c>
      <c r="I214" s="1">
        <f ca="1">IFERROR(__xludf.DUMMYFUNCTION("""COMPUTED_VALUE"""),82)</f>
        <v>82</v>
      </c>
      <c r="J214" s="1">
        <f ca="1">IFERROR(__xludf.DUMMYFUNCTION("""COMPUTED_VALUE"""),64.3)</f>
        <v>64.3</v>
      </c>
      <c r="K214" s="1">
        <f ca="1">IFERROR(__xludf.DUMMYFUNCTION("""COMPUTED_VALUE"""),319)</f>
        <v>319</v>
      </c>
      <c r="L214" s="1">
        <f ca="1">IFERROR(__xludf.DUMMYFUNCTION("""COMPUTED_VALUE"""),-0.023)</f>
        <v>-2.3E-2</v>
      </c>
      <c r="M214" s="1">
        <f ca="1">IFERROR(__xludf.DUMMYFUNCTION("""COMPUTED_VALUE"""),245)</f>
        <v>245</v>
      </c>
      <c r="N214" s="1" t="str">
        <f ca="1">IFERROR(__xludf.DUMMYFUNCTION("""COMPUTED_VALUE"""),"+0.87")</f>
        <v>+0.87</v>
      </c>
      <c r="O214" s="1">
        <f ca="1">IFERROR(__xludf.DUMMYFUNCTION("""COMPUTED_VALUE"""),119)</f>
        <v>119</v>
      </c>
      <c r="P214" s="1">
        <f ca="1">IFERROR(__xludf.DUMMYFUNCTION("""COMPUTED_VALUE"""),104.8)</f>
        <v>104.8</v>
      </c>
      <c r="Q214" s="1">
        <f ca="1">IFERROR(__xludf.DUMMYFUNCTION("""COMPUTED_VALUE"""),141)</f>
        <v>141</v>
      </c>
      <c r="R214" s="1">
        <f ca="1">IFERROR(__xludf.DUMMYFUNCTION("""COMPUTED_VALUE"""),103.9)</f>
        <v>103.9</v>
      </c>
      <c r="S214" s="1">
        <f ca="1">IFERROR(__xludf.DUMMYFUNCTION("""COMPUTED_VALUE"""),119)</f>
        <v>119</v>
      </c>
      <c r="T214" s="1">
        <f ca="1">IFERROR(__xludf.DUMMYFUNCTION("""COMPUTED_VALUE"""),-3.14)</f>
        <v>-3.14</v>
      </c>
      <c r="U214" s="1">
        <f ca="1">IFERROR(__xludf.DUMMYFUNCTION("""COMPUTED_VALUE"""),244)</f>
        <v>244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IFERROR(__xludf.DUMMYFUNCTION("""COMPUTED_VALUE"""),"Morehead St.")</f>
        <v>Morehead St.</v>
      </c>
      <c r="C215" s="1" t="str">
        <f ca="1">IFERROR(__xludf.DUMMYFUNCTION("""COMPUTED_VALUE"""),"OVC")</f>
        <v>OVC</v>
      </c>
      <c r="D215" s="1" t="str">
        <f ca="1">IFERROR(__xludf.DUMMYFUNCTION("""COMPUTED_VALUE"""),"14-16")</f>
        <v>14-16</v>
      </c>
      <c r="E215" s="1">
        <f ca="1">IFERROR(__xludf.DUMMYFUNCTION("""COMPUTED_VALUE"""),-3.06)</f>
        <v>-3.06</v>
      </c>
      <c r="F215" s="1">
        <f ca="1">IFERROR(__xludf.DUMMYFUNCTION("""COMPUTED_VALUE"""),106.7)</f>
        <v>106.7</v>
      </c>
      <c r="G215" s="1">
        <f ca="1">IFERROR(__xludf.DUMMYFUNCTION("""COMPUTED_VALUE"""),131)</f>
        <v>131</v>
      </c>
      <c r="H215" s="1">
        <f ca="1">IFERROR(__xludf.DUMMYFUNCTION("""COMPUTED_VALUE"""),109.8)</f>
        <v>109.8</v>
      </c>
      <c r="I215" s="1">
        <f ca="1">IFERROR(__xludf.DUMMYFUNCTION("""COMPUTED_VALUE"""),278)</f>
        <v>278</v>
      </c>
      <c r="J215" s="1">
        <f ca="1">IFERROR(__xludf.DUMMYFUNCTION("""COMPUTED_VALUE"""),68.7)</f>
        <v>68.7</v>
      </c>
      <c r="K215" s="1">
        <f ca="1">IFERROR(__xludf.DUMMYFUNCTION("""COMPUTED_VALUE"""),141)</f>
        <v>141</v>
      </c>
      <c r="L215" s="1">
        <f ca="1">IFERROR(__xludf.DUMMYFUNCTION("""COMPUTED_VALUE"""),-0.005)</f>
        <v>-5.0000000000000001E-3</v>
      </c>
      <c r="M215" s="1">
        <f ca="1">IFERROR(__xludf.DUMMYFUNCTION("""COMPUTED_VALUE"""),198)</f>
        <v>198</v>
      </c>
      <c r="N215" s="1">
        <f ca="1">IFERROR(__xludf.DUMMYFUNCTION("""COMPUTED_VALUE"""),-1)</f>
        <v>-1</v>
      </c>
      <c r="O215" s="1">
        <f ca="1">IFERROR(__xludf.DUMMYFUNCTION("""COMPUTED_VALUE"""),156)</f>
        <v>156</v>
      </c>
      <c r="P215" s="1">
        <f ca="1">IFERROR(__xludf.DUMMYFUNCTION("""COMPUTED_VALUE"""),105.2)</f>
        <v>105.2</v>
      </c>
      <c r="Q215" s="1">
        <f ca="1">IFERROR(__xludf.DUMMYFUNCTION("""COMPUTED_VALUE"""),119)</f>
        <v>119</v>
      </c>
      <c r="R215" s="1">
        <f ca="1">IFERROR(__xludf.DUMMYFUNCTION("""COMPUTED_VALUE"""),106.2)</f>
        <v>106.2</v>
      </c>
      <c r="S215" s="1">
        <f ca="1">IFERROR(__xludf.DUMMYFUNCTION("""COMPUTED_VALUE"""),221)</f>
        <v>221</v>
      </c>
      <c r="T215" s="1" t="str">
        <f ca="1">IFERROR(__xludf.DUMMYFUNCTION("""COMPUTED_VALUE"""),"+4.42")</f>
        <v>+4.42</v>
      </c>
      <c r="U215" s="1">
        <f ca="1">IFERROR(__xludf.DUMMYFUNCTION("""COMPUTED_VALUE"""),46)</f>
        <v>46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IFERROR(__xludf.DUMMYFUNCTION("""COMPUTED_VALUE"""),"Fairfield")</f>
        <v>Fairfield</v>
      </c>
      <c r="C216" s="1" t="str">
        <f ca="1">IFERROR(__xludf.DUMMYFUNCTION("""COMPUTED_VALUE"""),"MAAC")</f>
        <v>MAAC</v>
      </c>
      <c r="D216" s="1" t="str">
        <f ca="1">IFERROR(__xludf.DUMMYFUNCTION("""COMPUTED_VALUE"""),"16-15")</f>
        <v>16-15</v>
      </c>
      <c r="E216" s="1">
        <f ca="1">IFERROR(__xludf.DUMMYFUNCTION("""COMPUTED_VALUE"""),-3.3)</f>
        <v>-3.3</v>
      </c>
      <c r="F216" s="1">
        <f ca="1">IFERROR(__xludf.DUMMYFUNCTION("""COMPUTED_VALUE"""),99.8)</f>
        <v>99.8</v>
      </c>
      <c r="G216" s="1">
        <f ca="1">IFERROR(__xludf.DUMMYFUNCTION("""COMPUTED_VALUE"""),263)</f>
        <v>263</v>
      </c>
      <c r="H216" s="1">
        <f ca="1">IFERROR(__xludf.DUMMYFUNCTION("""COMPUTED_VALUE"""),103.1)</f>
        <v>103.1</v>
      </c>
      <c r="I216" s="1">
        <f ca="1">IFERROR(__xludf.DUMMYFUNCTION("""COMPUTED_VALUE"""),138)</f>
        <v>138</v>
      </c>
      <c r="J216" s="1">
        <f ca="1">IFERROR(__xludf.DUMMYFUNCTION("""COMPUTED_VALUE"""),69.2)</f>
        <v>69.2</v>
      </c>
      <c r="K216" s="1">
        <f ca="1">IFERROR(__xludf.DUMMYFUNCTION("""COMPUTED_VALUE"""),108)</f>
        <v>108</v>
      </c>
      <c r="L216" s="1" t="str">
        <f ca="1">IFERROR(__xludf.DUMMYFUNCTION("""COMPUTED_VALUE"""),"+.038")</f>
        <v>+.038</v>
      </c>
      <c r="M216" s="1">
        <f ca="1">IFERROR(__xludf.DUMMYFUNCTION("""COMPUTED_VALUE"""),79)</f>
        <v>79</v>
      </c>
      <c r="N216" s="1">
        <f ca="1">IFERROR(__xludf.DUMMYFUNCTION("""COMPUTED_VALUE"""),-2.85)</f>
        <v>-2.85</v>
      </c>
      <c r="O216" s="1">
        <f ca="1">IFERROR(__xludf.DUMMYFUNCTION("""COMPUTED_VALUE"""),218)</f>
        <v>218</v>
      </c>
      <c r="P216" s="1">
        <f ca="1">IFERROR(__xludf.DUMMYFUNCTION("""COMPUTED_VALUE"""),103.8)</f>
        <v>103.8</v>
      </c>
      <c r="Q216" s="1">
        <f ca="1">IFERROR(__xludf.DUMMYFUNCTION("""COMPUTED_VALUE"""),191)</f>
        <v>191</v>
      </c>
      <c r="R216" s="1">
        <f ca="1">IFERROR(__xludf.DUMMYFUNCTION("""COMPUTED_VALUE"""),106.7)</f>
        <v>106.7</v>
      </c>
      <c r="S216" s="1">
        <f ca="1">IFERROR(__xludf.DUMMYFUNCTION("""COMPUTED_VALUE"""),250)</f>
        <v>250</v>
      </c>
      <c r="T216" s="1">
        <f ca="1">IFERROR(__xludf.DUMMYFUNCTION("""COMPUTED_VALUE"""),-2.55)</f>
        <v>-2.5499999999999998</v>
      </c>
      <c r="U216" s="1">
        <f ca="1">IFERROR(__xludf.DUMMYFUNCTION("""COMPUTED_VALUE"""),229)</f>
        <v>229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IFERROR(__xludf.DUMMYFUNCTION("""COMPUTED_VALUE"""),"Northern Illinois")</f>
        <v>Northern Illinois</v>
      </c>
      <c r="C217" s="1" t="str">
        <f ca="1">IFERROR(__xludf.DUMMYFUNCTION("""COMPUTED_VALUE"""),"MAC")</f>
        <v>MAC</v>
      </c>
      <c r="D217" s="1" t="str">
        <f ca="1">IFERROR(__xludf.DUMMYFUNCTION("""COMPUTED_VALUE"""),"15-17")</f>
        <v>15-17</v>
      </c>
      <c r="E217" s="1">
        <f ca="1">IFERROR(__xludf.DUMMYFUNCTION("""COMPUTED_VALUE"""),-3.47)</f>
        <v>-3.47</v>
      </c>
      <c r="F217" s="1">
        <f ca="1">IFERROR(__xludf.DUMMYFUNCTION("""COMPUTED_VALUE"""),98.9)</f>
        <v>98.9</v>
      </c>
      <c r="G217" s="1">
        <f ca="1">IFERROR(__xludf.DUMMYFUNCTION("""COMPUTED_VALUE"""),273)</f>
        <v>273</v>
      </c>
      <c r="H217" s="1">
        <f ca="1">IFERROR(__xludf.DUMMYFUNCTION("""COMPUTED_VALUE"""),102.4)</f>
        <v>102.4</v>
      </c>
      <c r="I217" s="1">
        <f ca="1">IFERROR(__xludf.DUMMYFUNCTION("""COMPUTED_VALUE"""),120)</f>
        <v>120</v>
      </c>
      <c r="J217" s="1">
        <f ca="1">IFERROR(__xludf.DUMMYFUNCTION("""COMPUTED_VALUE"""),66.8)</f>
        <v>66.8</v>
      </c>
      <c r="K217" s="1">
        <f ca="1">IFERROR(__xludf.DUMMYFUNCTION("""COMPUTED_VALUE"""),247)</f>
        <v>247</v>
      </c>
      <c r="L217" s="1">
        <f ca="1">IFERROR(__xludf.DUMMYFUNCTION("""COMPUTED_VALUE"""),-0.038)</f>
        <v>-3.7999999999999999E-2</v>
      </c>
      <c r="M217" s="1">
        <f ca="1">IFERROR(__xludf.DUMMYFUNCTION("""COMPUTED_VALUE"""),281)</f>
        <v>281</v>
      </c>
      <c r="N217" s="1">
        <f ca="1">IFERROR(__xludf.DUMMYFUNCTION("""COMPUTED_VALUE"""),-2.5)</f>
        <v>-2.5</v>
      </c>
      <c r="O217" s="1">
        <f ca="1">IFERROR(__xludf.DUMMYFUNCTION("""COMPUTED_VALUE"""),203)</f>
        <v>203</v>
      </c>
      <c r="P217" s="1">
        <f ca="1">IFERROR(__xludf.DUMMYFUNCTION("""COMPUTED_VALUE"""),104.1)</f>
        <v>104.1</v>
      </c>
      <c r="Q217" s="1">
        <f ca="1">IFERROR(__xludf.DUMMYFUNCTION("""COMPUTED_VALUE"""),175)</f>
        <v>175</v>
      </c>
      <c r="R217" s="1">
        <f ca="1">IFERROR(__xludf.DUMMYFUNCTION("""COMPUTED_VALUE"""),106.6)</f>
        <v>106.6</v>
      </c>
      <c r="S217" s="1">
        <f ca="1">IFERROR(__xludf.DUMMYFUNCTION("""COMPUTED_VALUE"""),246)</f>
        <v>246</v>
      </c>
      <c r="T217" s="1">
        <f ca="1">IFERROR(__xludf.DUMMYFUNCTION("""COMPUTED_VALUE"""),-5.54)</f>
        <v>-5.54</v>
      </c>
      <c r="U217" s="1">
        <f ca="1">IFERROR(__xludf.DUMMYFUNCTION("""COMPUTED_VALUE"""),312)</f>
        <v>312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IFERROR(__xludf.DUMMYFUNCTION("""COMPUTED_VALUE"""),"Navy")</f>
        <v>Navy</v>
      </c>
      <c r="C218" s="1" t="str">
        <f ca="1">IFERROR(__xludf.DUMMYFUNCTION("""COMPUTED_VALUE"""),"Pat")</f>
        <v>Pat</v>
      </c>
      <c r="D218" s="1" t="str">
        <f ca="1">IFERROR(__xludf.DUMMYFUNCTION("""COMPUTED_VALUE"""),"16-16")</f>
        <v>16-16</v>
      </c>
      <c r="E218" s="1">
        <f ca="1">IFERROR(__xludf.DUMMYFUNCTION("""COMPUTED_VALUE"""),-3.47)</f>
        <v>-3.47</v>
      </c>
      <c r="F218" s="1">
        <f ca="1">IFERROR(__xludf.DUMMYFUNCTION("""COMPUTED_VALUE"""),99.9)</f>
        <v>99.9</v>
      </c>
      <c r="G218" s="1">
        <f ca="1">IFERROR(__xludf.DUMMYFUNCTION("""COMPUTED_VALUE"""),262)</f>
        <v>262</v>
      </c>
      <c r="H218" s="1">
        <f ca="1">IFERROR(__xludf.DUMMYFUNCTION("""COMPUTED_VALUE"""),103.4)</f>
        <v>103.4</v>
      </c>
      <c r="I218" s="1">
        <f ca="1">IFERROR(__xludf.DUMMYFUNCTION("""COMPUTED_VALUE"""),148)</f>
        <v>148</v>
      </c>
      <c r="J218" s="1">
        <f ca="1">IFERROR(__xludf.DUMMYFUNCTION("""COMPUTED_VALUE"""),64.2)</f>
        <v>64.2</v>
      </c>
      <c r="K218" s="1">
        <f ca="1">IFERROR(__xludf.DUMMYFUNCTION("""COMPUTED_VALUE"""),321)</f>
        <v>321</v>
      </c>
      <c r="L218" s="1">
        <f ca="1">IFERROR(__xludf.DUMMYFUNCTION("""COMPUTED_VALUE"""),-0.012)</f>
        <v>-1.2E-2</v>
      </c>
      <c r="M218" s="1">
        <f ca="1">IFERROR(__xludf.DUMMYFUNCTION("""COMPUTED_VALUE"""),218)</f>
        <v>218</v>
      </c>
      <c r="N218" s="1">
        <f ca="1">IFERROR(__xludf.DUMMYFUNCTION("""COMPUTED_VALUE"""),-4.19)</f>
        <v>-4.1900000000000004</v>
      </c>
      <c r="O218" s="1">
        <f ca="1">IFERROR(__xludf.DUMMYFUNCTION("""COMPUTED_VALUE"""),254)</f>
        <v>254</v>
      </c>
      <c r="P218" s="1">
        <f ca="1">IFERROR(__xludf.DUMMYFUNCTION("""COMPUTED_VALUE"""),101.5)</f>
        <v>101.5</v>
      </c>
      <c r="Q218" s="1">
        <f ca="1">IFERROR(__xludf.DUMMYFUNCTION("""COMPUTED_VALUE"""),292)</f>
        <v>292</v>
      </c>
      <c r="R218" s="1">
        <f ca="1">IFERROR(__xludf.DUMMYFUNCTION("""COMPUTED_VALUE"""),105.7)</f>
        <v>105.7</v>
      </c>
      <c r="S218" s="1">
        <f ca="1">IFERROR(__xludf.DUMMYFUNCTION("""COMPUTED_VALUE"""),182)</f>
        <v>182</v>
      </c>
      <c r="T218" s="1">
        <f ca="1">IFERROR(__xludf.DUMMYFUNCTION("""COMPUTED_VALUE"""),-3.3)</f>
        <v>-3.3</v>
      </c>
      <c r="U218" s="1">
        <f ca="1">IFERROR(__xludf.DUMMYFUNCTION("""COMPUTED_VALUE"""),252)</f>
        <v>252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IFERROR(__xludf.DUMMYFUNCTION("""COMPUTED_VALUE"""),"Coastal Carolina")</f>
        <v>Coastal Carolina</v>
      </c>
      <c r="C219" s="1" t="str">
        <f ca="1">IFERROR(__xludf.DUMMYFUNCTION("""COMPUTED_VALUE"""),"SB")</f>
        <v>SB</v>
      </c>
      <c r="D219" s="1" t="str">
        <f ca="1">IFERROR(__xludf.DUMMYFUNCTION("""COMPUTED_VALUE"""),"20-19")</f>
        <v>20-19</v>
      </c>
      <c r="E219" s="1">
        <f ca="1">IFERROR(__xludf.DUMMYFUNCTION("""COMPUTED_VALUE"""),-3.56)</f>
        <v>-3.56</v>
      </c>
      <c r="F219" s="1">
        <f ca="1">IFERROR(__xludf.DUMMYFUNCTION("""COMPUTED_VALUE"""),101.8)</f>
        <v>101.8</v>
      </c>
      <c r="G219" s="1">
        <f ca="1">IFERROR(__xludf.DUMMYFUNCTION("""COMPUTED_VALUE"""),220)</f>
        <v>220</v>
      </c>
      <c r="H219" s="1">
        <f ca="1">IFERROR(__xludf.DUMMYFUNCTION("""COMPUTED_VALUE"""),105.4)</f>
        <v>105.4</v>
      </c>
      <c r="I219" s="1">
        <f ca="1">IFERROR(__xludf.DUMMYFUNCTION("""COMPUTED_VALUE"""),190)</f>
        <v>190</v>
      </c>
      <c r="J219" s="1">
        <f ca="1">IFERROR(__xludf.DUMMYFUNCTION("""COMPUTED_VALUE"""),68.8)</f>
        <v>68.8</v>
      </c>
      <c r="K219" s="1">
        <f ca="1">IFERROR(__xludf.DUMMYFUNCTION("""COMPUTED_VALUE"""),128)</f>
        <v>128</v>
      </c>
      <c r="L219" s="1" t="str">
        <f ca="1">IFERROR(__xludf.DUMMYFUNCTION("""COMPUTED_VALUE"""),"+.050")</f>
        <v>+.050</v>
      </c>
      <c r="M219" s="1">
        <f ca="1">IFERROR(__xludf.DUMMYFUNCTION("""COMPUTED_VALUE"""),56)</f>
        <v>56</v>
      </c>
      <c r="N219" s="1">
        <f ca="1">IFERROR(__xludf.DUMMYFUNCTION("""COMPUTED_VALUE"""),-1.39)</f>
        <v>-1.39</v>
      </c>
      <c r="O219" s="1">
        <f ca="1">IFERROR(__xludf.DUMMYFUNCTION("""COMPUTED_VALUE"""),173)</f>
        <v>173</v>
      </c>
      <c r="P219" s="1">
        <f ca="1">IFERROR(__xludf.DUMMYFUNCTION("""COMPUTED_VALUE"""),103.8)</f>
        <v>103.8</v>
      </c>
      <c r="Q219" s="1">
        <f ca="1">IFERROR(__xludf.DUMMYFUNCTION("""COMPUTED_VALUE"""),192)</f>
        <v>192</v>
      </c>
      <c r="R219" s="1">
        <f ca="1">IFERROR(__xludf.DUMMYFUNCTION("""COMPUTED_VALUE"""),105.2)</f>
        <v>105.2</v>
      </c>
      <c r="S219" s="1">
        <f ca="1">IFERROR(__xludf.DUMMYFUNCTION("""COMPUTED_VALUE"""),153)</f>
        <v>153</v>
      </c>
      <c r="T219" s="1" t="str">
        <f ca="1">IFERROR(__xludf.DUMMYFUNCTION("""COMPUTED_VALUE"""),"+1.16")</f>
        <v>+1.16</v>
      </c>
      <c r="U219" s="1">
        <f ca="1">IFERROR(__xludf.DUMMYFUNCTION("""COMPUTED_VALUE"""),122)</f>
        <v>122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IFERROR(__xludf.DUMMYFUNCTION("""COMPUTED_VALUE"""),"Rider")</f>
        <v>Rider</v>
      </c>
      <c r="C220" s="1" t="str">
        <f ca="1">IFERROR(__xludf.DUMMYFUNCTION("""COMPUTED_VALUE"""),"MAAC")</f>
        <v>MAAC</v>
      </c>
      <c r="D220" s="1" t="str">
        <f ca="1">IFERROR(__xludf.DUMMYFUNCTION("""COMPUTED_VALUE"""),"18-15")</f>
        <v>18-15</v>
      </c>
      <c r="E220" s="1">
        <f ca="1">IFERROR(__xludf.DUMMYFUNCTION("""COMPUTED_VALUE"""),-3.7)</f>
        <v>-3.7</v>
      </c>
      <c r="F220" s="1">
        <f ca="1">IFERROR(__xludf.DUMMYFUNCTION("""COMPUTED_VALUE"""),100.9)</f>
        <v>100.9</v>
      </c>
      <c r="G220" s="1">
        <f ca="1">IFERROR(__xludf.DUMMYFUNCTION("""COMPUTED_VALUE"""),245)</f>
        <v>245</v>
      </c>
      <c r="H220" s="1">
        <f ca="1">IFERROR(__xludf.DUMMYFUNCTION("""COMPUTED_VALUE"""),104.6)</f>
        <v>104.6</v>
      </c>
      <c r="I220" s="1">
        <f ca="1">IFERROR(__xludf.DUMMYFUNCTION("""COMPUTED_VALUE"""),174)</f>
        <v>174</v>
      </c>
      <c r="J220" s="1">
        <f ca="1">IFERROR(__xludf.DUMMYFUNCTION("""COMPUTED_VALUE"""),72.2)</f>
        <v>72.2</v>
      </c>
      <c r="K220" s="1">
        <f ca="1">IFERROR(__xludf.DUMMYFUNCTION("""COMPUTED_VALUE"""),24)</f>
        <v>24</v>
      </c>
      <c r="L220" s="1" t="str">
        <f ca="1">IFERROR(__xludf.DUMMYFUNCTION("""COMPUTED_VALUE"""),"+.047")</f>
        <v>+.047</v>
      </c>
      <c r="M220" s="1">
        <f ca="1">IFERROR(__xludf.DUMMYFUNCTION("""COMPUTED_VALUE"""),64)</f>
        <v>64</v>
      </c>
      <c r="N220" s="1">
        <f ca="1">IFERROR(__xludf.DUMMYFUNCTION("""COMPUTED_VALUE"""),-4.42)</f>
        <v>-4.42</v>
      </c>
      <c r="O220" s="1">
        <f ca="1">IFERROR(__xludf.DUMMYFUNCTION("""COMPUTED_VALUE"""),262)</f>
        <v>262</v>
      </c>
      <c r="P220" s="1">
        <f ca="1">IFERROR(__xludf.DUMMYFUNCTION("""COMPUTED_VALUE"""),102.6)</f>
        <v>102.6</v>
      </c>
      <c r="Q220" s="1">
        <f ca="1">IFERROR(__xludf.DUMMYFUNCTION("""COMPUTED_VALUE"""),257)</f>
        <v>257</v>
      </c>
      <c r="R220" s="1">
        <f ca="1">IFERROR(__xludf.DUMMYFUNCTION("""COMPUTED_VALUE"""),107)</f>
        <v>107</v>
      </c>
      <c r="S220" s="1">
        <f ca="1">IFERROR(__xludf.DUMMYFUNCTION("""COMPUTED_VALUE"""),268)</f>
        <v>268</v>
      </c>
      <c r="T220" s="1">
        <f ca="1">IFERROR(__xludf.DUMMYFUNCTION("""COMPUTED_VALUE"""),-6.04)</f>
        <v>-6.04</v>
      </c>
      <c r="U220" s="1">
        <f ca="1">IFERROR(__xludf.DUMMYFUNCTION("""COMPUTED_VALUE"""),318)</f>
        <v>318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IFERROR(__xludf.DUMMYFUNCTION("""COMPUTED_VALUE"""),"Mount St. Mary's16")</f>
        <v>Mount St. Mary's16</v>
      </c>
      <c r="C221" s="1" t="str">
        <f ca="1">IFERROR(__xludf.DUMMYFUNCTION("""COMPUTED_VALUE"""),"NEC")</f>
        <v>NEC</v>
      </c>
      <c r="D221" s="1" t="str">
        <f ca="1">IFERROR(__xludf.DUMMYFUNCTION("""COMPUTED_VALUE"""),"20-16")</f>
        <v>20-16</v>
      </c>
      <c r="E221" s="1">
        <f ca="1">IFERROR(__xludf.DUMMYFUNCTION("""COMPUTED_VALUE"""),-3.86)</f>
        <v>-3.86</v>
      </c>
      <c r="F221" s="1">
        <f ca="1">IFERROR(__xludf.DUMMYFUNCTION("""COMPUTED_VALUE"""),99.5)</f>
        <v>99.5</v>
      </c>
      <c r="G221" s="1">
        <f ca="1">IFERROR(__xludf.DUMMYFUNCTION("""COMPUTED_VALUE"""),269)</f>
        <v>269</v>
      </c>
      <c r="H221" s="1">
        <f ca="1">IFERROR(__xludf.DUMMYFUNCTION("""COMPUTED_VALUE"""),103.4)</f>
        <v>103.4</v>
      </c>
      <c r="I221" s="1">
        <f ca="1">IFERROR(__xludf.DUMMYFUNCTION("""COMPUTED_VALUE"""),151)</f>
        <v>151</v>
      </c>
      <c r="J221" s="1">
        <f ca="1">IFERROR(__xludf.DUMMYFUNCTION("""COMPUTED_VALUE"""),66.8)</f>
        <v>66.8</v>
      </c>
      <c r="K221" s="1">
        <f ca="1">IFERROR(__xludf.DUMMYFUNCTION("""COMPUTED_VALUE"""),245)</f>
        <v>245</v>
      </c>
      <c r="L221" s="1" t="str">
        <f ca="1">IFERROR(__xludf.DUMMYFUNCTION("""COMPUTED_VALUE"""),"+.074")</f>
        <v>+.074</v>
      </c>
      <c r="M221" s="1">
        <f ca="1">IFERROR(__xludf.DUMMYFUNCTION("""COMPUTED_VALUE"""),20)</f>
        <v>20</v>
      </c>
      <c r="N221" s="1">
        <f ca="1">IFERROR(__xludf.DUMMYFUNCTION("""COMPUTED_VALUE"""),-4.49)</f>
        <v>-4.49</v>
      </c>
      <c r="O221" s="1">
        <f ca="1">IFERROR(__xludf.DUMMYFUNCTION("""COMPUTED_VALUE"""),266)</f>
        <v>266</v>
      </c>
      <c r="P221" s="1">
        <f ca="1">IFERROR(__xludf.DUMMYFUNCTION("""COMPUTED_VALUE"""),102)</f>
        <v>102</v>
      </c>
      <c r="Q221" s="1">
        <f ca="1">IFERROR(__xludf.DUMMYFUNCTION("""COMPUTED_VALUE"""),277)</f>
        <v>277</v>
      </c>
      <c r="R221" s="1">
        <f ca="1">IFERROR(__xludf.DUMMYFUNCTION("""COMPUTED_VALUE"""),106.5)</f>
        <v>106.5</v>
      </c>
      <c r="S221" s="1">
        <f ca="1">IFERROR(__xludf.DUMMYFUNCTION("""COMPUTED_VALUE"""),236)</f>
        <v>236</v>
      </c>
      <c r="T221" s="1" t="str">
        <f ca="1">IFERROR(__xludf.DUMMYFUNCTION("""COMPUTED_VALUE"""),"+11.52")</f>
        <v>+11.52</v>
      </c>
      <c r="U221" s="1">
        <f ca="1">IFERROR(__xludf.DUMMYFUNCTION("""COMPUTED_VALUE"""),6)</f>
        <v>6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IFERROR(__xludf.DUMMYFUNCTION("""COMPUTED_VALUE"""),"Tennessee Martin")</f>
        <v>Tennessee Martin</v>
      </c>
      <c r="C222" s="1" t="str">
        <f ca="1">IFERROR(__xludf.DUMMYFUNCTION("""COMPUTED_VALUE"""),"OVC")</f>
        <v>OVC</v>
      </c>
      <c r="D222" s="1" t="str">
        <f ca="1">IFERROR(__xludf.DUMMYFUNCTION("""COMPUTED_VALUE"""),"22-13")</f>
        <v>22-13</v>
      </c>
      <c r="E222" s="1">
        <f ca="1">IFERROR(__xludf.DUMMYFUNCTION("""COMPUTED_VALUE"""),-3.92)</f>
        <v>-3.92</v>
      </c>
      <c r="F222" s="1">
        <f ca="1">IFERROR(__xludf.DUMMYFUNCTION("""COMPUTED_VALUE"""),106.7)</f>
        <v>106.7</v>
      </c>
      <c r="G222" s="1">
        <f ca="1">IFERROR(__xludf.DUMMYFUNCTION("""COMPUTED_VALUE"""),132)</f>
        <v>132</v>
      </c>
      <c r="H222" s="1">
        <f ca="1">IFERROR(__xludf.DUMMYFUNCTION("""COMPUTED_VALUE"""),110.6)</f>
        <v>110.6</v>
      </c>
      <c r="I222" s="1">
        <f ca="1">IFERROR(__xludf.DUMMYFUNCTION("""COMPUTED_VALUE"""),291)</f>
        <v>291</v>
      </c>
      <c r="J222" s="1">
        <f ca="1">IFERROR(__xludf.DUMMYFUNCTION("""COMPUTED_VALUE"""),67.5)</f>
        <v>67.5</v>
      </c>
      <c r="K222" s="1">
        <f ca="1">IFERROR(__xludf.DUMMYFUNCTION("""COMPUTED_VALUE"""),215)</f>
        <v>215</v>
      </c>
      <c r="L222" s="1" t="str">
        <f ca="1">IFERROR(__xludf.DUMMYFUNCTION("""COMPUTED_VALUE"""),"+.118")</f>
        <v>+.118</v>
      </c>
      <c r="M222" s="1">
        <f ca="1">IFERROR(__xludf.DUMMYFUNCTION("""COMPUTED_VALUE"""),3)</f>
        <v>3</v>
      </c>
      <c r="N222" s="1">
        <f ca="1">IFERROR(__xludf.DUMMYFUNCTION("""COMPUTED_VALUE"""),-4.47)</f>
        <v>-4.47</v>
      </c>
      <c r="O222" s="1">
        <f ca="1">IFERROR(__xludf.DUMMYFUNCTION("""COMPUTED_VALUE"""),265)</f>
        <v>265</v>
      </c>
      <c r="P222" s="1">
        <f ca="1">IFERROR(__xludf.DUMMYFUNCTION("""COMPUTED_VALUE"""),102.9)</f>
        <v>102.9</v>
      </c>
      <c r="Q222" s="1">
        <f ca="1">IFERROR(__xludf.DUMMYFUNCTION("""COMPUTED_VALUE"""),244)</f>
        <v>244</v>
      </c>
      <c r="R222" s="1">
        <f ca="1">IFERROR(__xludf.DUMMYFUNCTION("""COMPUTED_VALUE"""),107.3)</f>
        <v>107.3</v>
      </c>
      <c r="S222" s="1">
        <f ca="1">IFERROR(__xludf.DUMMYFUNCTION("""COMPUTED_VALUE"""),279)</f>
        <v>279</v>
      </c>
      <c r="T222" s="1">
        <f ca="1">IFERROR(__xludf.DUMMYFUNCTION("""COMPUTED_VALUE"""),-2.34)</f>
        <v>-2.34</v>
      </c>
      <c r="U222" s="1">
        <f ca="1">IFERROR(__xludf.DUMMYFUNCTION("""COMPUTED_VALUE"""),221)</f>
        <v>221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IFERROR(__xludf.DUMMYFUNCTION("""COMPUTED_VALUE"""),"Liberty")</f>
        <v>Liberty</v>
      </c>
      <c r="C223" s="1" t="str">
        <f ca="1">IFERROR(__xludf.DUMMYFUNCTION("""COMPUTED_VALUE"""),"BSth")</f>
        <v>BSth</v>
      </c>
      <c r="D223" s="1" t="str">
        <f ca="1">IFERROR(__xludf.DUMMYFUNCTION("""COMPUTED_VALUE"""),"21-14")</f>
        <v>21-14</v>
      </c>
      <c r="E223" s="1">
        <f ca="1">IFERROR(__xludf.DUMMYFUNCTION("""COMPUTED_VALUE"""),-3.93)</f>
        <v>-3.93</v>
      </c>
      <c r="F223" s="1">
        <f ca="1">IFERROR(__xludf.DUMMYFUNCTION("""COMPUTED_VALUE"""),99.9)</f>
        <v>99.9</v>
      </c>
      <c r="G223" s="1">
        <f ca="1">IFERROR(__xludf.DUMMYFUNCTION("""COMPUTED_VALUE"""),260)</f>
        <v>260</v>
      </c>
      <c r="H223" s="1">
        <f ca="1">IFERROR(__xludf.DUMMYFUNCTION("""COMPUTED_VALUE"""),103.8)</f>
        <v>103.8</v>
      </c>
      <c r="I223" s="1">
        <f ca="1">IFERROR(__xludf.DUMMYFUNCTION("""COMPUTED_VALUE"""),160)</f>
        <v>160</v>
      </c>
      <c r="J223" s="1">
        <f ca="1">IFERROR(__xludf.DUMMYFUNCTION("""COMPUTED_VALUE"""),62.7)</f>
        <v>62.7</v>
      </c>
      <c r="K223" s="1">
        <f ca="1">IFERROR(__xludf.DUMMYFUNCTION("""COMPUTED_VALUE"""),342)</f>
        <v>342</v>
      </c>
      <c r="L223" s="1" t="str">
        <f ca="1">IFERROR(__xludf.DUMMYFUNCTION("""COMPUTED_VALUE"""),"+.037")</f>
        <v>+.037</v>
      </c>
      <c r="M223" s="1">
        <f ca="1">IFERROR(__xludf.DUMMYFUNCTION("""COMPUTED_VALUE"""),84)</f>
        <v>84</v>
      </c>
      <c r="N223" s="1">
        <f ca="1">IFERROR(__xludf.DUMMYFUNCTION("""COMPUTED_VALUE"""),-6.25)</f>
        <v>-6.25</v>
      </c>
      <c r="O223" s="1">
        <f ca="1">IFERROR(__xludf.DUMMYFUNCTION("""COMPUTED_VALUE"""),309)</f>
        <v>309</v>
      </c>
      <c r="P223" s="1">
        <f ca="1">IFERROR(__xludf.DUMMYFUNCTION("""COMPUTED_VALUE"""),102.1)</f>
        <v>102.1</v>
      </c>
      <c r="Q223" s="1">
        <f ca="1">IFERROR(__xludf.DUMMYFUNCTION("""COMPUTED_VALUE"""),271)</f>
        <v>271</v>
      </c>
      <c r="R223" s="1">
        <f ca="1">IFERROR(__xludf.DUMMYFUNCTION("""COMPUTED_VALUE"""),108.4)</f>
        <v>108.4</v>
      </c>
      <c r="S223" s="1">
        <f ca="1">IFERROR(__xludf.DUMMYFUNCTION("""COMPUTED_VALUE"""),322)</f>
        <v>322</v>
      </c>
      <c r="T223" s="1" t="str">
        <f ca="1">IFERROR(__xludf.DUMMYFUNCTION("""COMPUTED_VALUE"""),"+2.89")</f>
        <v>+2.89</v>
      </c>
      <c r="U223" s="1">
        <f ca="1">IFERROR(__xludf.DUMMYFUNCTION("""COMPUTED_VALUE"""),70)</f>
        <v>70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IFERROR(__xludf.DUMMYFUNCTION("""COMPUTED_VALUE"""),"Texas Southern16")</f>
        <v>Texas Southern16</v>
      </c>
      <c r="C224" s="1" t="str">
        <f ca="1">IFERROR(__xludf.DUMMYFUNCTION("""COMPUTED_VALUE"""),"SWAC")</f>
        <v>SWAC</v>
      </c>
      <c r="D224" s="1" t="str">
        <f ca="1">IFERROR(__xludf.DUMMYFUNCTION("""COMPUTED_VALUE"""),"23-12")</f>
        <v>23-12</v>
      </c>
      <c r="E224" s="1">
        <f ca="1">IFERROR(__xludf.DUMMYFUNCTION("""COMPUTED_VALUE"""),-4.04)</f>
        <v>-4.04</v>
      </c>
      <c r="F224" s="1">
        <f ca="1">IFERROR(__xludf.DUMMYFUNCTION("""COMPUTED_VALUE"""),103.5)</f>
        <v>103.5</v>
      </c>
      <c r="G224" s="1">
        <f ca="1">IFERROR(__xludf.DUMMYFUNCTION("""COMPUTED_VALUE"""),189)</f>
        <v>189</v>
      </c>
      <c r="H224" s="1">
        <f ca="1">IFERROR(__xludf.DUMMYFUNCTION("""COMPUTED_VALUE"""),107.5)</f>
        <v>107.5</v>
      </c>
      <c r="I224" s="1">
        <f ca="1">IFERROR(__xludf.DUMMYFUNCTION("""COMPUTED_VALUE"""),228)</f>
        <v>228</v>
      </c>
      <c r="J224" s="1">
        <f ca="1">IFERROR(__xludf.DUMMYFUNCTION("""COMPUTED_VALUE"""),68.6)</f>
        <v>68.599999999999994</v>
      </c>
      <c r="K224" s="1">
        <f ca="1">IFERROR(__xludf.DUMMYFUNCTION("""COMPUTED_VALUE"""),146)</f>
        <v>146</v>
      </c>
      <c r="L224" s="1" t="str">
        <f ca="1">IFERROR(__xludf.DUMMYFUNCTION("""COMPUTED_VALUE"""),"+.125")</f>
        <v>+.125</v>
      </c>
      <c r="M224" s="1">
        <f ca="1">IFERROR(__xludf.DUMMYFUNCTION("""COMPUTED_VALUE"""),2)</f>
        <v>2</v>
      </c>
      <c r="N224" s="1">
        <f ca="1">IFERROR(__xludf.DUMMYFUNCTION("""COMPUTED_VALUE"""),-8.49)</f>
        <v>-8.49</v>
      </c>
      <c r="O224" s="1">
        <f ca="1">IFERROR(__xludf.DUMMYFUNCTION("""COMPUTED_VALUE"""),330)</f>
        <v>330</v>
      </c>
      <c r="P224" s="1">
        <f ca="1">IFERROR(__xludf.DUMMYFUNCTION("""COMPUTED_VALUE"""),100.2)</f>
        <v>100.2</v>
      </c>
      <c r="Q224" s="1">
        <f ca="1">IFERROR(__xludf.DUMMYFUNCTION("""COMPUTED_VALUE"""),327)</f>
        <v>327</v>
      </c>
      <c r="R224" s="1">
        <f ca="1">IFERROR(__xludf.DUMMYFUNCTION("""COMPUTED_VALUE"""),108.7)</f>
        <v>108.7</v>
      </c>
      <c r="S224" s="1">
        <f ca="1">IFERROR(__xludf.DUMMYFUNCTION("""COMPUTED_VALUE"""),331)</f>
        <v>331</v>
      </c>
      <c r="T224" s="1" t="str">
        <f ca="1">IFERROR(__xludf.DUMMYFUNCTION("""COMPUTED_VALUE"""),"+12.68")</f>
        <v>+12.68</v>
      </c>
      <c r="U224" s="1">
        <f ca="1">IFERROR(__xludf.DUMMYFUNCTION("""COMPUTED_VALUE"""),3)</f>
        <v>3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IFERROR(__xludf.DUMMYFUNCTION("""COMPUTED_VALUE"""),"Stony Brook")</f>
        <v>Stony Brook</v>
      </c>
      <c r="C225" s="1" t="str">
        <f ca="1">IFERROR(__xludf.DUMMYFUNCTION("""COMPUTED_VALUE"""),"AE")</f>
        <v>AE</v>
      </c>
      <c r="D225" s="1" t="str">
        <f ca="1">IFERROR(__xludf.DUMMYFUNCTION("""COMPUTED_VALUE"""),"18-14")</f>
        <v>18-14</v>
      </c>
      <c r="E225" s="1">
        <f ca="1">IFERROR(__xludf.DUMMYFUNCTION("""COMPUTED_VALUE"""),-4.1)</f>
        <v>-4.0999999999999996</v>
      </c>
      <c r="F225" s="1">
        <f ca="1">IFERROR(__xludf.DUMMYFUNCTION("""COMPUTED_VALUE"""),101.8)</f>
        <v>101.8</v>
      </c>
      <c r="G225" s="1">
        <f ca="1">IFERROR(__xludf.DUMMYFUNCTION("""COMPUTED_VALUE"""),223)</f>
        <v>223</v>
      </c>
      <c r="H225" s="1">
        <f ca="1">IFERROR(__xludf.DUMMYFUNCTION("""COMPUTED_VALUE"""),105.9)</f>
        <v>105.9</v>
      </c>
      <c r="I225" s="1">
        <f ca="1">IFERROR(__xludf.DUMMYFUNCTION("""COMPUTED_VALUE"""),195)</f>
        <v>195</v>
      </c>
      <c r="J225" s="1">
        <f ca="1">IFERROR(__xludf.DUMMYFUNCTION("""COMPUTED_VALUE"""),65.9)</f>
        <v>65.900000000000006</v>
      </c>
      <c r="K225" s="1">
        <f ca="1">IFERROR(__xludf.DUMMYFUNCTION("""COMPUTED_VALUE"""),281)</f>
        <v>281</v>
      </c>
      <c r="L225" s="1" t="str">
        <f ca="1">IFERROR(__xludf.DUMMYFUNCTION("""COMPUTED_VALUE"""),"+.050")</f>
        <v>+.050</v>
      </c>
      <c r="M225" s="1">
        <f ca="1">IFERROR(__xludf.DUMMYFUNCTION("""COMPUTED_VALUE"""),57)</f>
        <v>57</v>
      </c>
      <c r="N225" s="1">
        <f ca="1">IFERROR(__xludf.DUMMYFUNCTION("""COMPUTED_VALUE"""),-5.85)</f>
        <v>-5.85</v>
      </c>
      <c r="O225" s="1">
        <f ca="1">IFERROR(__xludf.DUMMYFUNCTION("""COMPUTED_VALUE"""),300)</f>
        <v>300</v>
      </c>
      <c r="P225" s="1">
        <f ca="1">IFERROR(__xludf.DUMMYFUNCTION("""COMPUTED_VALUE"""),101.9)</f>
        <v>101.9</v>
      </c>
      <c r="Q225" s="1">
        <f ca="1">IFERROR(__xludf.DUMMYFUNCTION("""COMPUTED_VALUE"""),281)</f>
        <v>281</v>
      </c>
      <c r="R225" s="1">
        <f ca="1">IFERROR(__xludf.DUMMYFUNCTION("""COMPUTED_VALUE"""),107.8)</f>
        <v>107.8</v>
      </c>
      <c r="S225" s="1">
        <f ca="1">IFERROR(__xludf.DUMMYFUNCTION("""COMPUTED_VALUE"""),301)</f>
        <v>301</v>
      </c>
      <c r="T225" s="1">
        <f ca="1">IFERROR(__xludf.DUMMYFUNCTION("""COMPUTED_VALUE"""),-3.28)</f>
        <v>-3.28</v>
      </c>
      <c r="U225" s="1">
        <f ca="1">IFERROR(__xludf.DUMMYFUNCTION("""COMPUTED_VALUE"""),251)</f>
        <v>251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IFERROR(__xludf.DUMMYFUNCTION("""COMPUTED_VALUE"""),"San Jose St.")</f>
        <v>San Jose St.</v>
      </c>
      <c r="C226" s="1" t="str">
        <f ca="1">IFERROR(__xludf.DUMMYFUNCTION("""COMPUTED_VALUE"""),"MWC")</f>
        <v>MWC</v>
      </c>
      <c r="D226" s="1" t="str">
        <f ca="1">IFERROR(__xludf.DUMMYFUNCTION("""COMPUTED_VALUE"""),"14-16")</f>
        <v>14-16</v>
      </c>
      <c r="E226" s="1">
        <f ca="1">IFERROR(__xludf.DUMMYFUNCTION("""COMPUTED_VALUE"""),-4.1)</f>
        <v>-4.0999999999999996</v>
      </c>
      <c r="F226" s="1">
        <f ca="1">IFERROR(__xludf.DUMMYFUNCTION("""COMPUTED_VALUE"""),100.4)</f>
        <v>100.4</v>
      </c>
      <c r="G226" s="1">
        <f ca="1">IFERROR(__xludf.DUMMYFUNCTION("""COMPUTED_VALUE"""),252)</f>
        <v>252</v>
      </c>
      <c r="H226" s="1">
        <f ca="1">IFERROR(__xludf.DUMMYFUNCTION("""COMPUTED_VALUE"""),104.5)</f>
        <v>104.5</v>
      </c>
      <c r="I226" s="1">
        <f ca="1">IFERROR(__xludf.DUMMYFUNCTION("""COMPUTED_VALUE"""),171)</f>
        <v>171</v>
      </c>
      <c r="J226" s="1">
        <f ca="1">IFERROR(__xludf.DUMMYFUNCTION("""COMPUTED_VALUE"""),70.8)</f>
        <v>70.8</v>
      </c>
      <c r="K226" s="1">
        <f ca="1">IFERROR(__xludf.DUMMYFUNCTION("""COMPUTED_VALUE"""),55)</f>
        <v>55</v>
      </c>
      <c r="L226" s="1" t="str">
        <f ca="1">IFERROR(__xludf.DUMMYFUNCTION("""COMPUTED_VALUE"""),"+.077")</f>
        <v>+.077</v>
      </c>
      <c r="M226" s="1">
        <f ca="1">IFERROR(__xludf.DUMMYFUNCTION("""COMPUTED_VALUE"""),18)</f>
        <v>18</v>
      </c>
      <c r="N226" s="1" t="str">
        <f ca="1">IFERROR(__xludf.DUMMYFUNCTION("""COMPUTED_VALUE"""),"+1.21")</f>
        <v>+1.21</v>
      </c>
      <c r="O226" s="1">
        <f ca="1">IFERROR(__xludf.DUMMYFUNCTION("""COMPUTED_VALUE"""),107)</f>
        <v>107</v>
      </c>
      <c r="P226" s="1">
        <f ca="1">IFERROR(__xludf.DUMMYFUNCTION("""COMPUTED_VALUE"""),105.4)</f>
        <v>105.4</v>
      </c>
      <c r="Q226" s="1">
        <f ca="1">IFERROR(__xludf.DUMMYFUNCTION("""COMPUTED_VALUE"""),112)</f>
        <v>112</v>
      </c>
      <c r="R226" s="1">
        <f ca="1">IFERROR(__xludf.DUMMYFUNCTION("""COMPUTED_VALUE"""),104.2)</f>
        <v>104.2</v>
      </c>
      <c r="S226" s="1">
        <f ca="1">IFERROR(__xludf.DUMMYFUNCTION("""COMPUTED_VALUE"""),125)</f>
        <v>125</v>
      </c>
      <c r="T226" s="1">
        <f ca="1">IFERROR(__xludf.DUMMYFUNCTION("""COMPUTED_VALUE"""),-4.42)</f>
        <v>-4.42</v>
      </c>
      <c r="U226" s="1">
        <f ca="1">IFERROR(__xludf.DUMMYFUNCTION("""COMPUTED_VALUE"""),282)</f>
        <v>282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IFERROR(__xludf.DUMMYFUNCTION("""COMPUTED_VALUE"""),"Holy Cross")</f>
        <v>Holy Cross</v>
      </c>
      <c r="C227" s="1" t="str">
        <f ca="1">IFERROR(__xludf.DUMMYFUNCTION("""COMPUTED_VALUE"""),"Pat")</f>
        <v>Pat</v>
      </c>
      <c r="D227" s="1" t="str">
        <f ca="1">IFERROR(__xludf.DUMMYFUNCTION("""COMPUTED_VALUE"""),"15-17")</f>
        <v>15-17</v>
      </c>
      <c r="E227" s="1">
        <f ca="1">IFERROR(__xludf.DUMMYFUNCTION("""COMPUTED_VALUE"""),-4.23)</f>
        <v>-4.2300000000000004</v>
      </c>
      <c r="F227" s="1">
        <f ca="1">IFERROR(__xludf.DUMMYFUNCTION("""COMPUTED_VALUE"""),98.7)</f>
        <v>98.7</v>
      </c>
      <c r="G227" s="1">
        <f ca="1">IFERROR(__xludf.DUMMYFUNCTION("""COMPUTED_VALUE"""),278)</f>
        <v>278</v>
      </c>
      <c r="H227" s="1">
        <f ca="1">IFERROR(__xludf.DUMMYFUNCTION("""COMPUTED_VALUE"""),102.9)</f>
        <v>102.9</v>
      </c>
      <c r="I227" s="1">
        <f ca="1">IFERROR(__xludf.DUMMYFUNCTION("""COMPUTED_VALUE"""),136)</f>
        <v>136</v>
      </c>
      <c r="J227" s="1">
        <f ca="1">IFERROR(__xludf.DUMMYFUNCTION("""COMPUTED_VALUE"""),60.4)</f>
        <v>60.4</v>
      </c>
      <c r="K227" s="1">
        <f ca="1">IFERROR(__xludf.DUMMYFUNCTION("""COMPUTED_VALUE"""),349)</f>
        <v>349</v>
      </c>
      <c r="L227" s="1" t="str">
        <f ca="1">IFERROR(__xludf.DUMMYFUNCTION("""COMPUTED_VALUE"""),"+.022")</f>
        <v>+.022</v>
      </c>
      <c r="M227" s="1">
        <f ca="1">IFERROR(__xludf.DUMMYFUNCTION("""COMPUTED_VALUE"""),128)</f>
        <v>128</v>
      </c>
      <c r="N227" s="1">
        <f ca="1">IFERROR(__xludf.DUMMYFUNCTION("""COMPUTED_VALUE"""),-3)</f>
        <v>-3</v>
      </c>
      <c r="O227" s="1">
        <f ca="1">IFERROR(__xludf.DUMMYFUNCTION("""COMPUTED_VALUE"""),224)</f>
        <v>224</v>
      </c>
      <c r="P227" s="1">
        <f ca="1">IFERROR(__xludf.DUMMYFUNCTION("""COMPUTED_VALUE"""),102.1)</f>
        <v>102.1</v>
      </c>
      <c r="Q227" s="1">
        <f ca="1">IFERROR(__xludf.DUMMYFUNCTION("""COMPUTED_VALUE"""),273)</f>
        <v>273</v>
      </c>
      <c r="R227" s="1">
        <f ca="1">IFERROR(__xludf.DUMMYFUNCTION("""COMPUTED_VALUE"""),105.1)</f>
        <v>105.1</v>
      </c>
      <c r="S227" s="1">
        <f ca="1">IFERROR(__xludf.DUMMYFUNCTION("""COMPUTED_VALUE"""),149)</f>
        <v>149</v>
      </c>
      <c r="T227" s="1" t="str">
        <f ca="1">IFERROR(__xludf.DUMMYFUNCTION("""COMPUTED_VALUE"""),"+0.22")</f>
        <v>+0.22</v>
      </c>
      <c r="U227" s="1">
        <f ca="1">IFERROR(__xludf.DUMMYFUNCTION("""COMPUTED_VALUE"""),145)</f>
        <v>145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IFERROR(__xludf.DUMMYFUNCTION("""COMPUTED_VALUE"""),"Idaho")</f>
        <v>Idaho</v>
      </c>
      <c r="C228" s="1" t="str">
        <f ca="1">IFERROR(__xludf.DUMMYFUNCTION("""COMPUTED_VALUE"""),"BSky")</f>
        <v>BSky</v>
      </c>
      <c r="D228" s="1" t="str">
        <f ca="1">IFERROR(__xludf.DUMMYFUNCTION("""COMPUTED_VALUE"""),"19-14")</f>
        <v>19-14</v>
      </c>
      <c r="E228" s="1">
        <f ca="1">IFERROR(__xludf.DUMMYFUNCTION("""COMPUTED_VALUE"""),-4.23)</f>
        <v>-4.2300000000000004</v>
      </c>
      <c r="F228" s="1">
        <f ca="1">IFERROR(__xludf.DUMMYFUNCTION("""COMPUTED_VALUE"""),101.8)</f>
        <v>101.8</v>
      </c>
      <c r="G228" s="1">
        <f ca="1">IFERROR(__xludf.DUMMYFUNCTION("""COMPUTED_VALUE"""),224)</f>
        <v>224</v>
      </c>
      <c r="H228" s="1">
        <f ca="1">IFERROR(__xludf.DUMMYFUNCTION("""COMPUTED_VALUE"""),106)</f>
        <v>106</v>
      </c>
      <c r="I228" s="1">
        <f ca="1">IFERROR(__xludf.DUMMYFUNCTION("""COMPUTED_VALUE"""),199)</f>
        <v>199</v>
      </c>
      <c r="J228" s="1">
        <f ca="1">IFERROR(__xludf.DUMMYFUNCTION("""COMPUTED_VALUE"""),66.5)</f>
        <v>66.5</v>
      </c>
      <c r="K228" s="1">
        <f ca="1">IFERROR(__xludf.DUMMYFUNCTION("""COMPUTED_VALUE"""),260)</f>
        <v>260</v>
      </c>
      <c r="L228" s="1" t="str">
        <f ca="1">IFERROR(__xludf.DUMMYFUNCTION("""COMPUTED_VALUE"""),"+.031")</f>
        <v>+.031</v>
      </c>
      <c r="M228" s="1">
        <f ca="1">IFERROR(__xludf.DUMMYFUNCTION("""COMPUTED_VALUE"""),97)</f>
        <v>97</v>
      </c>
      <c r="N228" s="1">
        <f ca="1">IFERROR(__xludf.DUMMYFUNCTION("""COMPUTED_VALUE"""),-5.98)</f>
        <v>-5.98</v>
      </c>
      <c r="O228" s="1">
        <f ca="1">IFERROR(__xludf.DUMMYFUNCTION("""COMPUTED_VALUE"""),303)</f>
        <v>303</v>
      </c>
      <c r="P228" s="1">
        <f ca="1">IFERROR(__xludf.DUMMYFUNCTION("""COMPUTED_VALUE"""),102.5)</f>
        <v>102.5</v>
      </c>
      <c r="Q228" s="1">
        <f ca="1">IFERROR(__xludf.DUMMYFUNCTION("""COMPUTED_VALUE"""),260)</f>
        <v>260</v>
      </c>
      <c r="R228" s="1">
        <f ca="1">IFERROR(__xludf.DUMMYFUNCTION("""COMPUTED_VALUE"""),108.5)</f>
        <v>108.5</v>
      </c>
      <c r="S228" s="1">
        <f ca="1">IFERROR(__xludf.DUMMYFUNCTION("""COMPUTED_VALUE"""),327)</f>
        <v>327</v>
      </c>
      <c r="T228" s="1">
        <f ca="1">IFERROR(__xludf.DUMMYFUNCTION("""COMPUTED_VALUE"""),-1.34)</f>
        <v>-1.34</v>
      </c>
      <c r="U228" s="1">
        <f ca="1">IFERROR(__xludf.DUMMYFUNCTION("""COMPUTED_VALUE"""),197)</f>
        <v>197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IFERROR(__xludf.DUMMYFUNCTION("""COMPUTED_VALUE"""),"Bradley")</f>
        <v>Bradley</v>
      </c>
      <c r="C229" s="1" t="str">
        <f ca="1">IFERROR(__xludf.DUMMYFUNCTION("""COMPUTED_VALUE"""),"MVC")</f>
        <v>MVC</v>
      </c>
      <c r="D229" s="1" t="str">
        <f ca="1">IFERROR(__xludf.DUMMYFUNCTION("""COMPUTED_VALUE"""),"13-20")</f>
        <v>13-20</v>
      </c>
      <c r="E229" s="1">
        <f ca="1">IFERROR(__xludf.DUMMYFUNCTION("""COMPUTED_VALUE"""),-4.29)</f>
        <v>-4.29</v>
      </c>
      <c r="F229" s="1">
        <f ca="1">IFERROR(__xludf.DUMMYFUNCTION("""COMPUTED_VALUE"""),98.4)</f>
        <v>98.4</v>
      </c>
      <c r="G229" s="1">
        <f ca="1">IFERROR(__xludf.DUMMYFUNCTION("""COMPUTED_VALUE"""),283)</f>
        <v>283</v>
      </c>
      <c r="H229" s="1">
        <f ca="1">IFERROR(__xludf.DUMMYFUNCTION("""COMPUTED_VALUE"""),102.7)</f>
        <v>102.7</v>
      </c>
      <c r="I229" s="1">
        <f ca="1">IFERROR(__xludf.DUMMYFUNCTION("""COMPUTED_VALUE"""),130)</f>
        <v>130</v>
      </c>
      <c r="J229" s="1">
        <f ca="1">IFERROR(__xludf.DUMMYFUNCTION("""COMPUTED_VALUE"""),67.7)</f>
        <v>67.7</v>
      </c>
      <c r="K229" s="1">
        <f ca="1">IFERROR(__xludf.DUMMYFUNCTION("""COMPUTED_VALUE"""),205)</f>
        <v>205</v>
      </c>
      <c r="L229" s="1" t="str">
        <f ca="1">IFERROR(__xludf.DUMMYFUNCTION("""COMPUTED_VALUE"""),"+.018")</f>
        <v>+.018</v>
      </c>
      <c r="M229" s="1">
        <f ca="1">IFERROR(__xludf.DUMMYFUNCTION("""COMPUTED_VALUE"""),137)</f>
        <v>137</v>
      </c>
      <c r="N229" s="1" t="str">
        <f ca="1">IFERROR(__xludf.DUMMYFUNCTION("""COMPUTED_VALUE"""),"+2.40")</f>
        <v>+2.40</v>
      </c>
      <c r="O229" s="1">
        <f ca="1">IFERROR(__xludf.DUMMYFUNCTION("""COMPUTED_VALUE"""),94)</f>
        <v>94</v>
      </c>
      <c r="P229" s="1">
        <f ca="1">IFERROR(__xludf.DUMMYFUNCTION("""COMPUTED_VALUE"""),105.9)</f>
        <v>105.9</v>
      </c>
      <c r="Q229" s="1">
        <f ca="1">IFERROR(__xludf.DUMMYFUNCTION("""COMPUTED_VALUE"""),92)</f>
        <v>92</v>
      </c>
      <c r="R229" s="1">
        <f ca="1">IFERROR(__xludf.DUMMYFUNCTION("""COMPUTED_VALUE"""),103.5)</f>
        <v>103.5</v>
      </c>
      <c r="S229" s="1">
        <f ca="1">IFERROR(__xludf.DUMMYFUNCTION("""COMPUTED_VALUE"""),108)</f>
        <v>108</v>
      </c>
      <c r="T229" s="1" t="str">
        <f ca="1">IFERROR(__xludf.DUMMYFUNCTION("""COMPUTED_VALUE"""),"+0.41")</f>
        <v>+0.41</v>
      </c>
      <c r="U229" s="1">
        <f ca="1">IFERROR(__xludf.DUMMYFUNCTION("""COMPUTED_VALUE"""),142)</f>
        <v>142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IFERROR(__xludf.DUMMYFUNCTION("""COMPUTED_VALUE"""),"UC Davis16")</f>
        <v>UC Davis16</v>
      </c>
      <c r="C230" s="1" t="str">
        <f ca="1">IFERROR(__xludf.DUMMYFUNCTION("""COMPUTED_VALUE"""),"BW")</f>
        <v>BW</v>
      </c>
      <c r="D230" s="1" t="str">
        <f ca="1">IFERROR(__xludf.DUMMYFUNCTION("""COMPUTED_VALUE"""),"23-13")</f>
        <v>23-13</v>
      </c>
      <c r="E230" s="1">
        <f ca="1">IFERROR(__xludf.DUMMYFUNCTION("""COMPUTED_VALUE"""),-4.41)</f>
        <v>-4.41</v>
      </c>
      <c r="F230" s="1">
        <f ca="1">IFERROR(__xludf.DUMMYFUNCTION("""COMPUTED_VALUE"""),97.8)</f>
        <v>97.8</v>
      </c>
      <c r="G230" s="1">
        <f ca="1">IFERROR(__xludf.DUMMYFUNCTION("""COMPUTED_VALUE"""),293)</f>
        <v>293</v>
      </c>
      <c r="H230" s="1">
        <f ca="1">IFERROR(__xludf.DUMMYFUNCTION("""COMPUTED_VALUE"""),102.2)</f>
        <v>102.2</v>
      </c>
      <c r="I230" s="1">
        <f ca="1">IFERROR(__xludf.DUMMYFUNCTION("""COMPUTED_VALUE"""),115)</f>
        <v>115</v>
      </c>
      <c r="J230" s="1">
        <f ca="1">IFERROR(__xludf.DUMMYFUNCTION("""COMPUTED_VALUE"""),68.9)</f>
        <v>68.900000000000006</v>
      </c>
      <c r="K230" s="1">
        <f ca="1">IFERROR(__xludf.DUMMYFUNCTION("""COMPUTED_VALUE"""),125)</f>
        <v>125</v>
      </c>
      <c r="L230" s="1" t="str">
        <f ca="1">IFERROR(__xludf.DUMMYFUNCTION("""COMPUTED_VALUE"""),"+.131")</f>
        <v>+.131</v>
      </c>
      <c r="M230" s="1">
        <f ca="1">IFERROR(__xludf.DUMMYFUNCTION("""COMPUTED_VALUE"""),1)</f>
        <v>1</v>
      </c>
      <c r="N230" s="1">
        <f ca="1">IFERROR(__xludf.DUMMYFUNCTION("""COMPUTED_VALUE"""),-5.31)</f>
        <v>-5.31</v>
      </c>
      <c r="O230" s="1">
        <f ca="1">IFERROR(__xludf.DUMMYFUNCTION("""COMPUTED_VALUE"""),288)</f>
        <v>288</v>
      </c>
      <c r="P230" s="1">
        <f ca="1">IFERROR(__xludf.DUMMYFUNCTION("""COMPUTED_VALUE"""),100.8)</f>
        <v>100.8</v>
      </c>
      <c r="Q230" s="1">
        <f ca="1">IFERROR(__xludf.DUMMYFUNCTION("""COMPUTED_VALUE"""),313)</f>
        <v>313</v>
      </c>
      <c r="R230" s="1">
        <f ca="1">IFERROR(__xludf.DUMMYFUNCTION("""COMPUTED_VALUE"""),106.1)</f>
        <v>106.1</v>
      </c>
      <c r="S230" s="1">
        <f ca="1">IFERROR(__xludf.DUMMYFUNCTION("""COMPUTED_VALUE"""),215)</f>
        <v>215</v>
      </c>
      <c r="T230" s="1">
        <f ca="1">IFERROR(__xludf.DUMMYFUNCTION("""COMPUTED_VALUE"""),-0.94)</f>
        <v>-0.94</v>
      </c>
      <c r="U230" s="1">
        <f ca="1">IFERROR(__xludf.DUMMYFUNCTION("""COMPUTED_VALUE"""),181)</f>
        <v>181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IFERROR(__xludf.DUMMYFUNCTION("""COMPUTED_VALUE"""),"UMKC")</f>
        <v>UMKC</v>
      </c>
      <c r="C231" s="1" t="str">
        <f ca="1">IFERROR(__xludf.DUMMYFUNCTION("""COMPUTED_VALUE"""),"WAC")</f>
        <v>WAC</v>
      </c>
      <c r="D231" s="1" t="str">
        <f ca="1">IFERROR(__xludf.DUMMYFUNCTION("""COMPUTED_VALUE"""),"18-17")</f>
        <v>18-17</v>
      </c>
      <c r="E231" s="1">
        <f ca="1">IFERROR(__xludf.DUMMYFUNCTION("""COMPUTED_VALUE"""),-4.42)</f>
        <v>-4.42</v>
      </c>
      <c r="F231" s="1">
        <f ca="1">IFERROR(__xludf.DUMMYFUNCTION("""COMPUTED_VALUE"""),103)</f>
        <v>103</v>
      </c>
      <c r="G231" s="1">
        <f ca="1">IFERROR(__xludf.DUMMYFUNCTION("""COMPUTED_VALUE"""),198)</f>
        <v>198</v>
      </c>
      <c r="H231" s="1">
        <f ca="1">IFERROR(__xludf.DUMMYFUNCTION("""COMPUTED_VALUE"""),107.4)</f>
        <v>107.4</v>
      </c>
      <c r="I231" s="1">
        <f ca="1">IFERROR(__xludf.DUMMYFUNCTION("""COMPUTED_VALUE"""),225)</f>
        <v>225</v>
      </c>
      <c r="J231" s="1">
        <f ca="1">IFERROR(__xludf.DUMMYFUNCTION("""COMPUTED_VALUE"""),70.7)</f>
        <v>70.7</v>
      </c>
      <c r="K231" s="1">
        <f ca="1">IFERROR(__xludf.DUMMYFUNCTION("""COMPUTED_VALUE"""),58)</f>
        <v>58</v>
      </c>
      <c r="L231" s="1" t="str">
        <f ca="1">IFERROR(__xludf.DUMMYFUNCTION("""COMPUTED_VALUE"""),"+.065")</f>
        <v>+.065</v>
      </c>
      <c r="M231" s="1">
        <f ca="1">IFERROR(__xludf.DUMMYFUNCTION("""COMPUTED_VALUE"""),34)</f>
        <v>34</v>
      </c>
      <c r="N231" s="1">
        <f ca="1">IFERROR(__xludf.DUMMYFUNCTION("""COMPUTED_VALUE"""),-1.63)</f>
        <v>-1.63</v>
      </c>
      <c r="O231" s="1">
        <f ca="1">IFERROR(__xludf.DUMMYFUNCTION("""COMPUTED_VALUE"""),180)</f>
        <v>180</v>
      </c>
      <c r="P231" s="1">
        <f ca="1">IFERROR(__xludf.DUMMYFUNCTION("""COMPUTED_VALUE"""),103.5)</f>
        <v>103.5</v>
      </c>
      <c r="Q231" s="1">
        <f ca="1">IFERROR(__xludf.DUMMYFUNCTION("""COMPUTED_VALUE"""),214)</f>
        <v>214</v>
      </c>
      <c r="R231" s="1">
        <f ca="1">IFERROR(__xludf.DUMMYFUNCTION("""COMPUTED_VALUE"""),105.1)</f>
        <v>105.1</v>
      </c>
      <c r="S231" s="1">
        <f ca="1">IFERROR(__xludf.DUMMYFUNCTION("""COMPUTED_VALUE"""),148)</f>
        <v>148</v>
      </c>
      <c r="T231" s="1" t="str">
        <f ca="1">IFERROR(__xludf.DUMMYFUNCTION("""COMPUTED_VALUE"""),"+0.61")</f>
        <v>+0.61</v>
      </c>
      <c r="U231" s="1">
        <f ca="1">IFERROR(__xludf.DUMMYFUNCTION("""COMPUTED_VALUE"""),135)</f>
        <v>135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IFERROR(__xludf.DUMMYFUNCTION("""COMPUTED_VALUE"""),"Eastern Illinois")</f>
        <v>Eastern Illinois</v>
      </c>
      <c r="C232" s="1" t="str">
        <f ca="1">IFERROR(__xludf.DUMMYFUNCTION("""COMPUTED_VALUE"""),"OVC")</f>
        <v>OVC</v>
      </c>
      <c r="D232" s="1" t="str">
        <f ca="1">IFERROR(__xludf.DUMMYFUNCTION("""COMPUTED_VALUE"""),"14-15")</f>
        <v>14-15</v>
      </c>
      <c r="E232" s="1">
        <f ca="1">IFERROR(__xludf.DUMMYFUNCTION("""COMPUTED_VALUE"""),-4.83)</f>
        <v>-4.83</v>
      </c>
      <c r="F232" s="1">
        <f ca="1">IFERROR(__xludf.DUMMYFUNCTION("""COMPUTED_VALUE"""),100.1)</f>
        <v>100.1</v>
      </c>
      <c r="G232" s="1">
        <f ca="1">IFERROR(__xludf.DUMMYFUNCTION("""COMPUTED_VALUE"""),255)</f>
        <v>255</v>
      </c>
      <c r="H232" s="1">
        <f ca="1">IFERROR(__xludf.DUMMYFUNCTION("""COMPUTED_VALUE"""),105)</f>
        <v>105</v>
      </c>
      <c r="I232" s="1">
        <f ca="1">IFERROR(__xludf.DUMMYFUNCTION("""COMPUTED_VALUE"""),182)</f>
        <v>182</v>
      </c>
      <c r="J232" s="1">
        <f ca="1">IFERROR(__xludf.DUMMYFUNCTION("""COMPUTED_VALUE"""),68.6)</f>
        <v>68.599999999999994</v>
      </c>
      <c r="K232" s="1">
        <f ca="1">IFERROR(__xludf.DUMMYFUNCTION("""COMPUTED_VALUE"""),149)</f>
        <v>149</v>
      </c>
      <c r="L232" s="1">
        <f ca="1">IFERROR(__xludf.DUMMYFUNCTION("""COMPUTED_VALUE"""),-0.049)</f>
        <v>-4.9000000000000002E-2</v>
      </c>
      <c r="M232" s="1">
        <f ca="1">IFERROR(__xludf.DUMMYFUNCTION("""COMPUTED_VALUE"""),294)</f>
        <v>294</v>
      </c>
      <c r="N232" s="1">
        <f ca="1">IFERROR(__xludf.DUMMYFUNCTION("""COMPUTED_VALUE"""),-4.96)</f>
        <v>-4.96</v>
      </c>
      <c r="O232" s="1">
        <f ca="1">IFERROR(__xludf.DUMMYFUNCTION("""COMPUTED_VALUE"""),278)</f>
        <v>278</v>
      </c>
      <c r="P232" s="1">
        <f ca="1">IFERROR(__xludf.DUMMYFUNCTION("""COMPUTED_VALUE"""),102.7)</f>
        <v>102.7</v>
      </c>
      <c r="Q232" s="1">
        <f ca="1">IFERROR(__xludf.DUMMYFUNCTION("""COMPUTED_VALUE"""),251)</f>
        <v>251</v>
      </c>
      <c r="R232" s="1">
        <f ca="1">IFERROR(__xludf.DUMMYFUNCTION("""COMPUTED_VALUE"""),107.7)</f>
        <v>107.7</v>
      </c>
      <c r="S232" s="1">
        <f ca="1">IFERROR(__xludf.DUMMYFUNCTION("""COMPUTED_VALUE"""),295)</f>
        <v>295</v>
      </c>
      <c r="T232" s="1">
        <f ca="1">IFERROR(__xludf.DUMMYFUNCTION("""COMPUTED_VALUE"""),-3.33)</f>
        <v>-3.33</v>
      </c>
      <c r="U232" s="1">
        <f ca="1">IFERROR(__xludf.DUMMYFUNCTION("""COMPUTED_VALUE"""),254)</f>
        <v>254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IFERROR(__xludf.DUMMYFUNCTION("""COMPUTED_VALUE"""),"Houston Baptist")</f>
        <v>Houston Baptist</v>
      </c>
      <c r="C233" s="1" t="str">
        <f ca="1">IFERROR(__xludf.DUMMYFUNCTION("""COMPUTED_VALUE"""),"Slnd")</f>
        <v>Slnd</v>
      </c>
      <c r="D233" s="1" t="str">
        <f ca="1">IFERROR(__xludf.DUMMYFUNCTION("""COMPUTED_VALUE"""),"17-14")</f>
        <v>17-14</v>
      </c>
      <c r="E233" s="1">
        <f ca="1">IFERROR(__xludf.DUMMYFUNCTION("""COMPUTED_VALUE"""),-5.08)</f>
        <v>-5.08</v>
      </c>
      <c r="F233" s="1">
        <f ca="1">IFERROR(__xludf.DUMMYFUNCTION("""COMPUTED_VALUE"""),105.2)</f>
        <v>105.2</v>
      </c>
      <c r="G233" s="1">
        <f ca="1">IFERROR(__xludf.DUMMYFUNCTION("""COMPUTED_VALUE"""),156)</f>
        <v>156</v>
      </c>
      <c r="H233" s="1">
        <f ca="1">IFERROR(__xludf.DUMMYFUNCTION("""COMPUTED_VALUE"""),110.2)</f>
        <v>110.2</v>
      </c>
      <c r="I233" s="1">
        <f ca="1">IFERROR(__xludf.DUMMYFUNCTION("""COMPUTED_VALUE"""),287)</f>
        <v>287</v>
      </c>
      <c r="J233" s="1">
        <f ca="1">IFERROR(__xludf.DUMMYFUNCTION("""COMPUTED_VALUE"""),70.3)</f>
        <v>70.3</v>
      </c>
      <c r="K233" s="1">
        <f ca="1">IFERROR(__xludf.DUMMYFUNCTION("""COMPUTED_VALUE"""),70)</f>
        <v>70</v>
      </c>
      <c r="L233" s="1" t="str">
        <f ca="1">IFERROR(__xludf.DUMMYFUNCTION("""COMPUTED_VALUE"""),"+.052")</f>
        <v>+.052</v>
      </c>
      <c r="M233" s="1">
        <f ca="1">IFERROR(__xludf.DUMMYFUNCTION("""COMPUTED_VALUE"""),55)</f>
        <v>55</v>
      </c>
      <c r="N233" s="1">
        <f ca="1">IFERROR(__xludf.DUMMYFUNCTION("""COMPUTED_VALUE"""),-3.5)</f>
        <v>-3.5</v>
      </c>
      <c r="O233" s="1">
        <f ca="1">IFERROR(__xludf.DUMMYFUNCTION("""COMPUTED_VALUE"""),239)</f>
        <v>239</v>
      </c>
      <c r="P233" s="1">
        <f ca="1">IFERROR(__xludf.DUMMYFUNCTION("""COMPUTED_VALUE"""),102.7)</f>
        <v>102.7</v>
      </c>
      <c r="Q233" s="1">
        <f ca="1">IFERROR(__xludf.DUMMYFUNCTION("""COMPUTED_VALUE"""),253)</f>
        <v>253</v>
      </c>
      <c r="R233" s="1">
        <f ca="1">IFERROR(__xludf.DUMMYFUNCTION("""COMPUTED_VALUE"""),106.2)</f>
        <v>106.2</v>
      </c>
      <c r="S233" s="1">
        <f ca="1">IFERROR(__xludf.DUMMYFUNCTION("""COMPUTED_VALUE"""),218)</f>
        <v>218</v>
      </c>
      <c r="T233" s="1" t="str">
        <f ca="1">IFERROR(__xludf.DUMMYFUNCTION("""COMPUTED_VALUE"""),"+13.67")</f>
        <v>+13.67</v>
      </c>
      <c r="U233" s="1">
        <f ca="1">IFERROR(__xludf.DUMMYFUNCTION("""COMPUTED_VALUE"""),2)</f>
        <v>2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IFERROR(__xludf.DUMMYFUNCTION("""COMPUTED_VALUE"""),"Air Force")</f>
        <v>Air Force</v>
      </c>
      <c r="C234" s="1" t="str">
        <f ca="1">IFERROR(__xludf.DUMMYFUNCTION("""COMPUTED_VALUE"""),"MWC")</f>
        <v>MWC</v>
      </c>
      <c r="D234" s="2">
        <f ca="1">IFERROR(__xludf.DUMMYFUNCTION("""COMPUTED_VALUE"""),44916)</f>
        <v>44916</v>
      </c>
      <c r="E234" s="1">
        <f ca="1">IFERROR(__xludf.DUMMYFUNCTION("""COMPUTED_VALUE"""),-5.22)</f>
        <v>-5.22</v>
      </c>
      <c r="F234" s="1">
        <f ca="1">IFERROR(__xludf.DUMMYFUNCTION("""COMPUTED_VALUE"""),104.3)</f>
        <v>104.3</v>
      </c>
      <c r="G234" s="1">
        <f ca="1">IFERROR(__xludf.DUMMYFUNCTION("""COMPUTED_VALUE"""),175)</f>
        <v>175</v>
      </c>
      <c r="H234" s="1">
        <f ca="1">IFERROR(__xludf.DUMMYFUNCTION("""COMPUTED_VALUE"""),109.5)</f>
        <v>109.5</v>
      </c>
      <c r="I234" s="1">
        <f ca="1">IFERROR(__xludf.DUMMYFUNCTION("""COMPUTED_VALUE"""),270)</f>
        <v>270</v>
      </c>
      <c r="J234" s="1">
        <f ca="1">IFERROR(__xludf.DUMMYFUNCTION("""COMPUTED_VALUE"""),67.1)</f>
        <v>67.099999999999994</v>
      </c>
      <c r="K234" s="1">
        <f ca="1">IFERROR(__xludf.DUMMYFUNCTION("""COMPUTED_VALUE"""),232)</f>
        <v>232</v>
      </c>
      <c r="L234" s="1">
        <f ca="1">IFERROR(__xludf.DUMMYFUNCTION("""COMPUTED_VALUE"""),-0.065)</f>
        <v>-6.5000000000000002E-2</v>
      </c>
      <c r="M234" s="1">
        <f ca="1">IFERROR(__xludf.DUMMYFUNCTION("""COMPUTED_VALUE"""),316)</f>
        <v>316</v>
      </c>
      <c r="N234" s="1" t="str">
        <f ca="1">IFERROR(__xludf.DUMMYFUNCTION("""COMPUTED_VALUE"""),"+0.29")</f>
        <v>+0.29</v>
      </c>
      <c r="O234" s="1">
        <f ca="1">IFERROR(__xludf.DUMMYFUNCTION("""COMPUTED_VALUE"""),130)</f>
        <v>130</v>
      </c>
      <c r="P234" s="1">
        <f ca="1">IFERROR(__xludf.DUMMYFUNCTION("""COMPUTED_VALUE"""),104.4)</f>
        <v>104.4</v>
      </c>
      <c r="Q234" s="1">
        <f ca="1">IFERROR(__xludf.DUMMYFUNCTION("""COMPUTED_VALUE"""),157)</f>
        <v>157</v>
      </c>
      <c r="R234" s="1">
        <f ca="1">IFERROR(__xludf.DUMMYFUNCTION("""COMPUTED_VALUE"""),104.1)</f>
        <v>104.1</v>
      </c>
      <c r="S234" s="1">
        <f ca="1">IFERROR(__xludf.DUMMYFUNCTION("""COMPUTED_VALUE"""),124)</f>
        <v>124</v>
      </c>
      <c r="T234" s="1">
        <f ca="1">IFERROR(__xludf.DUMMYFUNCTION("""COMPUTED_VALUE"""),-6.1)</f>
        <v>-6.1</v>
      </c>
      <c r="U234" s="1">
        <f ca="1">IFERROR(__xludf.DUMMYFUNCTION("""COMPUTED_VALUE"""),319)</f>
        <v>319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IFERROR(__xludf.DUMMYFUNCTION("""COMPUTED_VALUE"""),"James Madison")</f>
        <v>James Madison</v>
      </c>
      <c r="C235" s="1" t="str">
        <f ca="1">IFERROR(__xludf.DUMMYFUNCTION("""COMPUTED_VALUE"""),"CAA")</f>
        <v>CAA</v>
      </c>
      <c r="D235" s="2">
        <f ca="1">IFERROR(__xludf.DUMMYFUNCTION("""COMPUTED_VALUE"""),44857)</f>
        <v>44857</v>
      </c>
      <c r="E235" s="1">
        <f ca="1">IFERROR(__xludf.DUMMYFUNCTION("""COMPUTED_VALUE"""),-5.31)</f>
        <v>-5.31</v>
      </c>
      <c r="F235" s="1">
        <f ca="1">IFERROR(__xludf.DUMMYFUNCTION("""COMPUTED_VALUE"""),98.8)</f>
        <v>98.8</v>
      </c>
      <c r="G235" s="1">
        <f ca="1">IFERROR(__xludf.DUMMYFUNCTION("""COMPUTED_VALUE"""),275)</f>
        <v>275</v>
      </c>
      <c r="H235" s="1">
        <f ca="1">IFERROR(__xludf.DUMMYFUNCTION("""COMPUTED_VALUE"""),104.1)</f>
        <v>104.1</v>
      </c>
      <c r="I235" s="1">
        <f ca="1">IFERROR(__xludf.DUMMYFUNCTION("""COMPUTED_VALUE"""),162)</f>
        <v>162</v>
      </c>
      <c r="J235" s="1">
        <f ca="1">IFERROR(__xludf.DUMMYFUNCTION("""COMPUTED_VALUE"""),64)</f>
        <v>64</v>
      </c>
      <c r="K235" s="1">
        <f ca="1">IFERROR(__xludf.DUMMYFUNCTION("""COMPUTED_VALUE"""),326)</f>
        <v>326</v>
      </c>
      <c r="L235" s="1">
        <f ca="1">IFERROR(__xludf.DUMMYFUNCTION("""COMPUTED_VALUE"""),-0.065)</f>
        <v>-6.5000000000000002E-2</v>
      </c>
      <c r="M235" s="1">
        <f ca="1">IFERROR(__xludf.DUMMYFUNCTION("""COMPUTED_VALUE"""),317)</f>
        <v>317</v>
      </c>
      <c r="N235" s="1">
        <f ca="1">IFERROR(__xludf.DUMMYFUNCTION("""COMPUTED_VALUE"""),-0.84)</f>
        <v>-0.84</v>
      </c>
      <c r="O235" s="1">
        <f ca="1">IFERROR(__xludf.DUMMYFUNCTION("""COMPUTED_VALUE"""),151)</f>
        <v>151</v>
      </c>
      <c r="P235" s="1">
        <f ca="1">IFERROR(__xludf.DUMMYFUNCTION("""COMPUTED_VALUE"""),105.9)</f>
        <v>105.9</v>
      </c>
      <c r="Q235" s="1">
        <f ca="1">IFERROR(__xludf.DUMMYFUNCTION("""COMPUTED_VALUE"""),91)</f>
        <v>91</v>
      </c>
      <c r="R235" s="1">
        <f ca="1">IFERROR(__xludf.DUMMYFUNCTION("""COMPUTED_VALUE"""),106.7)</f>
        <v>106.7</v>
      </c>
      <c r="S235" s="1">
        <f ca="1">IFERROR(__xludf.DUMMYFUNCTION("""COMPUTED_VALUE"""),254)</f>
        <v>254</v>
      </c>
      <c r="T235" s="1">
        <f ca="1">IFERROR(__xludf.DUMMYFUNCTION("""COMPUTED_VALUE"""),-2.9)</f>
        <v>-2.9</v>
      </c>
      <c r="U235" s="1">
        <f ca="1">IFERROR(__xludf.DUMMYFUNCTION("""COMPUTED_VALUE"""),236)</f>
        <v>236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IFERROR(__xludf.DUMMYFUNCTION("""COMPUTED_VALUE"""),"Duquesne")</f>
        <v>Duquesne</v>
      </c>
      <c r="C236" s="1" t="str">
        <f ca="1">IFERROR(__xludf.DUMMYFUNCTION("""COMPUTED_VALUE"""),"A10")</f>
        <v>A10</v>
      </c>
      <c r="D236" s="2">
        <f ca="1">IFERROR(__xludf.DUMMYFUNCTION("""COMPUTED_VALUE"""),44856)</f>
        <v>44856</v>
      </c>
      <c r="E236" s="1">
        <f ca="1">IFERROR(__xludf.DUMMYFUNCTION("""COMPUTED_VALUE"""),-5.32)</f>
        <v>-5.32</v>
      </c>
      <c r="F236" s="1">
        <f ca="1">IFERROR(__xludf.DUMMYFUNCTION("""COMPUTED_VALUE"""),101.9)</f>
        <v>101.9</v>
      </c>
      <c r="G236" s="1">
        <f ca="1">IFERROR(__xludf.DUMMYFUNCTION("""COMPUTED_VALUE"""),219)</f>
        <v>219</v>
      </c>
      <c r="H236" s="1">
        <f ca="1">IFERROR(__xludf.DUMMYFUNCTION("""COMPUTED_VALUE"""),107.3)</f>
        <v>107.3</v>
      </c>
      <c r="I236" s="1">
        <f ca="1">IFERROR(__xludf.DUMMYFUNCTION("""COMPUTED_VALUE"""),221)</f>
        <v>221</v>
      </c>
      <c r="J236" s="1">
        <f ca="1">IFERROR(__xludf.DUMMYFUNCTION("""COMPUTED_VALUE"""),70)</f>
        <v>70</v>
      </c>
      <c r="K236" s="1">
        <f ca="1">IFERROR(__xludf.DUMMYFUNCTION("""COMPUTED_VALUE"""),77)</f>
        <v>77</v>
      </c>
      <c r="L236" s="1">
        <f ca="1">IFERROR(__xludf.DUMMYFUNCTION("""COMPUTED_VALUE"""),-0.075)</f>
        <v>-7.4999999999999997E-2</v>
      </c>
      <c r="M236" s="1">
        <f ca="1">IFERROR(__xludf.DUMMYFUNCTION("""COMPUTED_VALUE"""),327)</f>
        <v>327</v>
      </c>
      <c r="N236" s="1">
        <f ca="1">IFERROR(__xludf.DUMMYFUNCTION("""COMPUTED_VALUE"""),-1.27)</f>
        <v>-1.27</v>
      </c>
      <c r="O236" s="1">
        <f ca="1">IFERROR(__xludf.DUMMYFUNCTION("""COMPUTED_VALUE"""),167)</f>
        <v>167</v>
      </c>
      <c r="P236" s="1">
        <f ca="1">IFERROR(__xludf.DUMMYFUNCTION("""COMPUTED_VALUE"""),103.1)</f>
        <v>103.1</v>
      </c>
      <c r="Q236" s="1">
        <f ca="1">IFERROR(__xludf.DUMMYFUNCTION("""COMPUTED_VALUE"""),230)</f>
        <v>230</v>
      </c>
      <c r="R236" s="1">
        <f ca="1">IFERROR(__xludf.DUMMYFUNCTION("""COMPUTED_VALUE"""),104.3)</f>
        <v>104.3</v>
      </c>
      <c r="S236" s="1">
        <f ca="1">IFERROR(__xludf.DUMMYFUNCTION("""COMPUTED_VALUE"""),127)</f>
        <v>127</v>
      </c>
      <c r="T236" s="1">
        <f ca="1">IFERROR(__xludf.DUMMYFUNCTION("""COMPUTED_VALUE"""),-8.24)</f>
        <v>-8.24</v>
      </c>
      <c r="U236" s="1">
        <f ca="1">IFERROR(__xludf.DUMMYFUNCTION("""COMPUTED_VALUE"""),345)</f>
        <v>345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IFERROR(__xludf.DUMMYFUNCTION("""COMPUTED_VALUE"""),"Long Beach St.")</f>
        <v>Long Beach St.</v>
      </c>
      <c r="C237" s="1" t="str">
        <f ca="1">IFERROR(__xludf.DUMMYFUNCTION("""COMPUTED_VALUE"""),"BW")</f>
        <v>BW</v>
      </c>
      <c r="D237" s="1" t="str">
        <f ca="1">IFERROR(__xludf.DUMMYFUNCTION("""COMPUTED_VALUE"""),"15-19")</f>
        <v>15-19</v>
      </c>
      <c r="E237" s="1">
        <f ca="1">IFERROR(__xludf.DUMMYFUNCTION("""COMPUTED_VALUE"""),-5.48)</f>
        <v>-5.48</v>
      </c>
      <c r="F237" s="1">
        <f ca="1">IFERROR(__xludf.DUMMYFUNCTION("""COMPUTED_VALUE"""),104.6)</f>
        <v>104.6</v>
      </c>
      <c r="G237" s="1">
        <f ca="1">IFERROR(__xludf.DUMMYFUNCTION("""COMPUTED_VALUE"""),165)</f>
        <v>165</v>
      </c>
      <c r="H237" s="1">
        <f ca="1">IFERROR(__xludf.DUMMYFUNCTION("""COMPUTED_VALUE"""),110.1)</f>
        <v>110.1</v>
      </c>
      <c r="I237" s="1">
        <f ca="1">IFERROR(__xludf.DUMMYFUNCTION("""COMPUTED_VALUE"""),284)</f>
        <v>284</v>
      </c>
      <c r="J237" s="1">
        <f ca="1">IFERROR(__xludf.DUMMYFUNCTION("""COMPUTED_VALUE"""),69.5)</f>
        <v>69.5</v>
      </c>
      <c r="K237" s="1">
        <f ca="1">IFERROR(__xludf.DUMMYFUNCTION("""COMPUTED_VALUE"""),96)</f>
        <v>96</v>
      </c>
      <c r="L237" s="1" t="str">
        <f ca="1">IFERROR(__xludf.DUMMYFUNCTION("""COMPUTED_VALUE"""),"+.036")</f>
        <v>+.036</v>
      </c>
      <c r="M237" s="1">
        <f ca="1">IFERROR(__xludf.DUMMYFUNCTION("""COMPUTED_VALUE"""),86)</f>
        <v>86</v>
      </c>
      <c r="N237" s="1">
        <f ca="1">IFERROR(__xludf.DUMMYFUNCTION("""COMPUTED_VALUE"""),-1.65)</f>
        <v>-1.65</v>
      </c>
      <c r="O237" s="1">
        <f ca="1">IFERROR(__xludf.DUMMYFUNCTION("""COMPUTED_VALUE"""),182)</f>
        <v>182</v>
      </c>
      <c r="P237" s="1">
        <f ca="1">IFERROR(__xludf.DUMMYFUNCTION("""COMPUTED_VALUE"""),103)</f>
        <v>103</v>
      </c>
      <c r="Q237" s="1">
        <f ca="1">IFERROR(__xludf.DUMMYFUNCTION("""COMPUTED_VALUE"""),241)</f>
        <v>241</v>
      </c>
      <c r="R237" s="1">
        <f ca="1">IFERROR(__xludf.DUMMYFUNCTION("""COMPUTED_VALUE"""),104.6)</f>
        <v>104.6</v>
      </c>
      <c r="S237" s="1">
        <f ca="1">IFERROR(__xludf.DUMMYFUNCTION("""COMPUTED_VALUE"""),133)</f>
        <v>133</v>
      </c>
      <c r="T237" s="1" t="str">
        <f ca="1">IFERROR(__xludf.DUMMYFUNCTION("""COMPUTED_VALUE"""),"+12.57")</f>
        <v>+12.57</v>
      </c>
      <c r="U237" s="1">
        <f ca="1">IFERROR(__xludf.DUMMYFUNCTION("""COMPUTED_VALUE"""),4)</f>
        <v>4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IFERROR(__xludf.DUMMYFUNCTION("""COMPUTED_VALUE"""),"Lamar")</f>
        <v>Lamar</v>
      </c>
      <c r="C238" s="1" t="str">
        <f ca="1">IFERROR(__xludf.DUMMYFUNCTION("""COMPUTED_VALUE"""),"Slnd")</f>
        <v>Slnd</v>
      </c>
      <c r="D238" s="1" t="str">
        <f ca="1">IFERROR(__xludf.DUMMYFUNCTION("""COMPUTED_VALUE"""),"19-15")</f>
        <v>19-15</v>
      </c>
      <c r="E238" s="1">
        <f ca="1">IFERROR(__xludf.DUMMYFUNCTION("""COMPUTED_VALUE"""),-5.58)</f>
        <v>-5.58</v>
      </c>
      <c r="F238" s="1">
        <f ca="1">IFERROR(__xludf.DUMMYFUNCTION("""COMPUTED_VALUE"""),103.1)</f>
        <v>103.1</v>
      </c>
      <c r="G238" s="1">
        <f ca="1">IFERROR(__xludf.DUMMYFUNCTION("""COMPUTED_VALUE"""),193)</f>
        <v>193</v>
      </c>
      <c r="H238" s="1">
        <f ca="1">IFERROR(__xludf.DUMMYFUNCTION("""COMPUTED_VALUE"""),108.7)</f>
        <v>108.7</v>
      </c>
      <c r="I238" s="1">
        <f ca="1">IFERROR(__xludf.DUMMYFUNCTION("""COMPUTED_VALUE"""),250)</f>
        <v>250</v>
      </c>
      <c r="J238" s="1">
        <f ca="1">IFERROR(__xludf.DUMMYFUNCTION("""COMPUTED_VALUE"""),68.1)</f>
        <v>68.099999999999994</v>
      </c>
      <c r="K238" s="1">
        <f ca="1">IFERROR(__xludf.DUMMYFUNCTION("""COMPUTED_VALUE"""),183)</f>
        <v>183</v>
      </c>
      <c r="L238" s="1">
        <f ca="1">IFERROR(__xludf.DUMMYFUNCTION("""COMPUTED_VALUE"""),-0.014)</f>
        <v>-1.4E-2</v>
      </c>
      <c r="M238" s="1">
        <f ca="1">IFERROR(__xludf.DUMMYFUNCTION("""COMPUTED_VALUE"""),222)</f>
        <v>222</v>
      </c>
      <c r="N238" s="1">
        <f ca="1">IFERROR(__xludf.DUMMYFUNCTION("""COMPUTED_VALUE"""),-7.05)</f>
        <v>-7.05</v>
      </c>
      <c r="O238" s="1">
        <f ca="1">IFERROR(__xludf.DUMMYFUNCTION("""COMPUTED_VALUE"""),318)</f>
        <v>318</v>
      </c>
      <c r="P238" s="1">
        <f ca="1">IFERROR(__xludf.DUMMYFUNCTION("""COMPUTED_VALUE"""),100.2)</f>
        <v>100.2</v>
      </c>
      <c r="Q238" s="1">
        <f ca="1">IFERROR(__xludf.DUMMYFUNCTION("""COMPUTED_VALUE"""),328)</f>
        <v>328</v>
      </c>
      <c r="R238" s="1">
        <f ca="1">IFERROR(__xludf.DUMMYFUNCTION("""COMPUTED_VALUE"""),107.2)</f>
        <v>107.2</v>
      </c>
      <c r="S238" s="1">
        <f ca="1">IFERROR(__xludf.DUMMYFUNCTION("""COMPUTED_VALUE"""),275)</f>
        <v>275</v>
      </c>
      <c r="T238" s="1">
        <f ca="1">IFERROR(__xludf.DUMMYFUNCTION("""COMPUTED_VALUE"""),-3.82)</f>
        <v>-3.82</v>
      </c>
      <c r="U238" s="1">
        <f ca="1">IFERROR(__xludf.DUMMYFUNCTION("""COMPUTED_VALUE"""),268)</f>
        <v>268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IFERROR(__xludf.DUMMYFUNCTION("""COMPUTED_VALUE"""),"Loyola MD")</f>
        <v>Loyola MD</v>
      </c>
      <c r="C239" s="1" t="str">
        <f ca="1">IFERROR(__xludf.DUMMYFUNCTION("""COMPUTED_VALUE"""),"Pat")</f>
        <v>Pat</v>
      </c>
      <c r="D239" s="1" t="str">
        <f ca="1">IFERROR(__xludf.DUMMYFUNCTION("""COMPUTED_VALUE"""),"16-17")</f>
        <v>16-17</v>
      </c>
      <c r="E239" s="1">
        <f ca="1">IFERROR(__xludf.DUMMYFUNCTION("""COMPUTED_VALUE"""),-5.82)</f>
        <v>-5.82</v>
      </c>
      <c r="F239" s="1">
        <f ca="1">IFERROR(__xludf.DUMMYFUNCTION("""COMPUTED_VALUE"""),98.4)</f>
        <v>98.4</v>
      </c>
      <c r="G239" s="1">
        <f ca="1">IFERROR(__xludf.DUMMYFUNCTION("""COMPUTED_VALUE"""),284)</f>
        <v>284</v>
      </c>
      <c r="H239" s="1">
        <f ca="1">IFERROR(__xludf.DUMMYFUNCTION("""COMPUTED_VALUE"""),104.2)</f>
        <v>104.2</v>
      </c>
      <c r="I239" s="1">
        <f ca="1">IFERROR(__xludf.DUMMYFUNCTION("""COMPUTED_VALUE"""),166)</f>
        <v>166</v>
      </c>
      <c r="J239" s="1">
        <f ca="1">IFERROR(__xludf.DUMMYFUNCTION("""COMPUTED_VALUE"""),66.2)</f>
        <v>66.2</v>
      </c>
      <c r="K239" s="1">
        <f ca="1">IFERROR(__xludf.DUMMYFUNCTION("""COMPUTED_VALUE"""),269)</f>
        <v>269</v>
      </c>
      <c r="L239" s="1" t="str">
        <f ca="1">IFERROR(__xludf.DUMMYFUNCTION("""COMPUTED_VALUE"""),"+.067")</f>
        <v>+.067</v>
      </c>
      <c r="M239" s="1">
        <f ca="1">IFERROR(__xludf.DUMMYFUNCTION("""COMPUTED_VALUE"""),29)</f>
        <v>29</v>
      </c>
      <c r="N239" s="1">
        <f ca="1">IFERROR(__xludf.DUMMYFUNCTION("""COMPUTED_VALUE"""),-3.12)</f>
        <v>-3.12</v>
      </c>
      <c r="O239" s="1">
        <f ca="1">IFERROR(__xludf.DUMMYFUNCTION("""COMPUTED_VALUE"""),227)</f>
        <v>227</v>
      </c>
      <c r="P239" s="1">
        <f ca="1">IFERROR(__xludf.DUMMYFUNCTION("""COMPUTED_VALUE"""),102.1)</f>
        <v>102.1</v>
      </c>
      <c r="Q239" s="1">
        <f ca="1">IFERROR(__xludf.DUMMYFUNCTION("""COMPUTED_VALUE"""),272)</f>
        <v>272</v>
      </c>
      <c r="R239" s="1">
        <f ca="1">IFERROR(__xludf.DUMMYFUNCTION("""COMPUTED_VALUE"""),105.2)</f>
        <v>105.2</v>
      </c>
      <c r="S239" s="1">
        <f ca="1">IFERROR(__xludf.DUMMYFUNCTION("""COMPUTED_VALUE"""),157)</f>
        <v>157</v>
      </c>
      <c r="T239" s="1" t="str">
        <f ca="1">IFERROR(__xludf.DUMMYFUNCTION("""COMPUTED_VALUE"""),"+0.14")</f>
        <v>+0.14</v>
      </c>
      <c r="U239" s="1">
        <f ca="1">IFERROR(__xludf.DUMMYFUNCTION("""COMPUTED_VALUE"""),148)</f>
        <v>148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IFERROR(__xludf.DUMMYFUNCTION("""COMPUTED_VALUE"""),"Southeast Missouri St.")</f>
        <v>Southeast Missouri St.</v>
      </c>
      <c r="C240" s="1" t="str">
        <f ca="1">IFERROR(__xludf.DUMMYFUNCTION("""COMPUTED_VALUE"""),"OVC")</f>
        <v>OVC</v>
      </c>
      <c r="D240" s="1" t="str">
        <f ca="1">IFERROR(__xludf.DUMMYFUNCTION("""COMPUTED_VALUE"""),"15-18")</f>
        <v>15-18</v>
      </c>
      <c r="E240" s="1">
        <f ca="1">IFERROR(__xludf.DUMMYFUNCTION("""COMPUTED_VALUE"""),-5.87)</f>
        <v>-5.87</v>
      </c>
      <c r="F240" s="1">
        <f ca="1">IFERROR(__xludf.DUMMYFUNCTION("""COMPUTED_VALUE"""),103.4)</f>
        <v>103.4</v>
      </c>
      <c r="G240" s="1">
        <f ca="1">IFERROR(__xludf.DUMMYFUNCTION("""COMPUTED_VALUE"""),191)</f>
        <v>191</v>
      </c>
      <c r="H240" s="1">
        <f ca="1">IFERROR(__xludf.DUMMYFUNCTION("""COMPUTED_VALUE"""),109.3)</f>
        <v>109.3</v>
      </c>
      <c r="I240" s="1">
        <f ca="1">IFERROR(__xludf.DUMMYFUNCTION("""COMPUTED_VALUE"""),266)</f>
        <v>266</v>
      </c>
      <c r="J240" s="1">
        <f ca="1">IFERROR(__xludf.DUMMYFUNCTION("""COMPUTED_VALUE"""),68.6)</f>
        <v>68.599999999999994</v>
      </c>
      <c r="K240" s="1">
        <f ca="1">IFERROR(__xludf.DUMMYFUNCTION("""COMPUTED_VALUE"""),151)</f>
        <v>151</v>
      </c>
      <c r="L240" s="1">
        <f ca="1">IFERROR(__xludf.DUMMYFUNCTION("""COMPUTED_VALUE"""),-0.038)</f>
        <v>-3.7999999999999999E-2</v>
      </c>
      <c r="M240" s="1">
        <f ca="1">IFERROR(__xludf.DUMMYFUNCTION("""COMPUTED_VALUE"""),280)</f>
        <v>280</v>
      </c>
      <c r="N240" s="1">
        <f ca="1">IFERROR(__xludf.DUMMYFUNCTION("""COMPUTED_VALUE"""),-4.43)</f>
        <v>-4.43</v>
      </c>
      <c r="O240" s="1">
        <f ca="1">IFERROR(__xludf.DUMMYFUNCTION("""COMPUTED_VALUE"""),264)</f>
        <v>264</v>
      </c>
      <c r="P240" s="1">
        <f ca="1">IFERROR(__xludf.DUMMYFUNCTION("""COMPUTED_VALUE"""),103.2)</f>
        <v>103.2</v>
      </c>
      <c r="Q240" s="1">
        <f ca="1">IFERROR(__xludf.DUMMYFUNCTION("""COMPUTED_VALUE"""),227)</f>
        <v>227</v>
      </c>
      <c r="R240" s="1">
        <f ca="1">IFERROR(__xludf.DUMMYFUNCTION("""COMPUTED_VALUE"""),107.6)</f>
        <v>107.6</v>
      </c>
      <c r="S240" s="1">
        <f ca="1">IFERROR(__xludf.DUMMYFUNCTION("""COMPUTED_VALUE"""),290)</f>
        <v>290</v>
      </c>
      <c r="T240" s="1">
        <f ca="1">IFERROR(__xludf.DUMMYFUNCTION("""COMPUTED_VALUE"""),-2.94)</f>
        <v>-2.94</v>
      </c>
      <c r="U240" s="1">
        <f ca="1">IFERROR(__xludf.DUMMYFUNCTION("""COMPUTED_VALUE"""),237)</f>
        <v>237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IFERROR(__xludf.DUMMYFUNCTION("""COMPUTED_VALUE"""),"Central Michigan")</f>
        <v>Central Michigan</v>
      </c>
      <c r="C241" s="1" t="str">
        <f ca="1">IFERROR(__xludf.DUMMYFUNCTION("""COMPUTED_VALUE"""),"MAC")</f>
        <v>MAC</v>
      </c>
      <c r="D241" s="1" t="str">
        <f ca="1">IFERROR(__xludf.DUMMYFUNCTION("""COMPUTED_VALUE"""),"16-16")</f>
        <v>16-16</v>
      </c>
      <c r="E241" s="1">
        <f ca="1">IFERROR(__xludf.DUMMYFUNCTION("""COMPUTED_VALUE"""),-6.01)</f>
        <v>-6.01</v>
      </c>
      <c r="F241" s="1">
        <f ca="1">IFERROR(__xludf.DUMMYFUNCTION("""COMPUTED_VALUE"""),111.6)</f>
        <v>111.6</v>
      </c>
      <c r="G241" s="1">
        <f ca="1">IFERROR(__xludf.DUMMYFUNCTION("""COMPUTED_VALUE"""),56)</f>
        <v>56</v>
      </c>
      <c r="H241" s="1">
        <f ca="1">IFERROR(__xludf.DUMMYFUNCTION("""COMPUTED_VALUE"""),117.6)</f>
        <v>117.6</v>
      </c>
      <c r="I241" s="1">
        <f ca="1">IFERROR(__xludf.DUMMYFUNCTION("""COMPUTED_VALUE"""),345)</f>
        <v>345</v>
      </c>
      <c r="J241" s="1">
        <f ca="1">IFERROR(__xludf.DUMMYFUNCTION("""COMPUTED_VALUE"""),75.3)</f>
        <v>75.3</v>
      </c>
      <c r="K241" s="1">
        <f ca="1">IFERROR(__xludf.DUMMYFUNCTION("""COMPUTED_VALUE"""),5)</f>
        <v>5</v>
      </c>
      <c r="L241" s="1" t="str">
        <f ca="1">IFERROR(__xludf.DUMMYFUNCTION("""COMPUTED_VALUE"""),"+.053")</f>
        <v>+.053</v>
      </c>
      <c r="M241" s="1">
        <f ca="1">IFERROR(__xludf.DUMMYFUNCTION("""COMPUTED_VALUE"""),52)</f>
        <v>52</v>
      </c>
      <c r="N241" s="1">
        <f ca="1">IFERROR(__xludf.DUMMYFUNCTION("""COMPUTED_VALUE"""),-2.21)</f>
        <v>-2.21</v>
      </c>
      <c r="O241" s="1">
        <f ca="1">IFERROR(__xludf.DUMMYFUNCTION("""COMPUTED_VALUE"""),195)</f>
        <v>195</v>
      </c>
      <c r="P241" s="1">
        <f ca="1">IFERROR(__xludf.DUMMYFUNCTION("""COMPUTED_VALUE"""),103.2)</f>
        <v>103.2</v>
      </c>
      <c r="Q241" s="1">
        <f ca="1">IFERROR(__xludf.DUMMYFUNCTION("""COMPUTED_VALUE"""),228)</f>
        <v>228</v>
      </c>
      <c r="R241" s="1">
        <f ca="1">IFERROR(__xludf.DUMMYFUNCTION("""COMPUTED_VALUE"""),105.4)</f>
        <v>105.4</v>
      </c>
      <c r="S241" s="1">
        <f ca="1">IFERROR(__xludf.DUMMYFUNCTION("""COMPUTED_VALUE"""),166)</f>
        <v>166</v>
      </c>
      <c r="T241" s="1">
        <f ca="1">IFERROR(__xludf.DUMMYFUNCTION("""COMPUTED_VALUE"""),-5.47)</f>
        <v>-5.47</v>
      </c>
      <c r="U241" s="1">
        <f ca="1">IFERROR(__xludf.DUMMYFUNCTION("""COMPUTED_VALUE"""),309)</f>
        <v>309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IFERROR(__xludf.DUMMYFUNCTION("""COMPUTED_VALUE"""),"Army")</f>
        <v>Army</v>
      </c>
      <c r="C242" s="1" t="str">
        <f ca="1">IFERROR(__xludf.DUMMYFUNCTION("""COMPUTED_VALUE"""),"Pat")</f>
        <v>Pat</v>
      </c>
      <c r="D242" s="1" t="str">
        <f ca="1">IFERROR(__xludf.DUMMYFUNCTION("""COMPUTED_VALUE"""),"13-19")</f>
        <v>13-19</v>
      </c>
      <c r="E242" s="1">
        <f ca="1">IFERROR(__xludf.DUMMYFUNCTION("""COMPUTED_VALUE"""),-6.04)</f>
        <v>-6.04</v>
      </c>
      <c r="F242" s="1">
        <f ca="1">IFERROR(__xludf.DUMMYFUNCTION("""COMPUTED_VALUE"""),98.6)</f>
        <v>98.6</v>
      </c>
      <c r="G242" s="1">
        <f ca="1">IFERROR(__xludf.DUMMYFUNCTION("""COMPUTED_VALUE"""),281)</f>
        <v>281</v>
      </c>
      <c r="H242" s="1">
        <f ca="1">IFERROR(__xludf.DUMMYFUNCTION("""COMPUTED_VALUE"""),104.7)</f>
        <v>104.7</v>
      </c>
      <c r="I242" s="1">
        <f ca="1">IFERROR(__xludf.DUMMYFUNCTION("""COMPUTED_VALUE"""),175)</f>
        <v>175</v>
      </c>
      <c r="J242" s="1">
        <f ca="1">IFERROR(__xludf.DUMMYFUNCTION("""COMPUTED_VALUE"""),71.4)</f>
        <v>71.400000000000006</v>
      </c>
      <c r="K242" s="1">
        <f ca="1">IFERROR(__xludf.DUMMYFUNCTION("""COMPUTED_VALUE"""),38)</f>
        <v>38</v>
      </c>
      <c r="L242" s="1">
        <f ca="1">IFERROR(__xludf.DUMMYFUNCTION("""COMPUTED_VALUE"""),-0.063)</f>
        <v>-6.3E-2</v>
      </c>
      <c r="M242" s="1">
        <f ca="1">IFERROR(__xludf.DUMMYFUNCTION("""COMPUTED_VALUE"""),313)</f>
        <v>313</v>
      </c>
      <c r="N242" s="1">
        <f ca="1">IFERROR(__xludf.DUMMYFUNCTION("""COMPUTED_VALUE"""),-4.56)</f>
        <v>-4.5599999999999996</v>
      </c>
      <c r="O242" s="1">
        <f ca="1">IFERROR(__xludf.DUMMYFUNCTION("""COMPUTED_VALUE"""),268)</f>
        <v>268</v>
      </c>
      <c r="P242" s="1">
        <f ca="1">IFERROR(__xludf.DUMMYFUNCTION("""COMPUTED_VALUE"""),101.4)</f>
        <v>101.4</v>
      </c>
      <c r="Q242" s="1">
        <f ca="1">IFERROR(__xludf.DUMMYFUNCTION("""COMPUTED_VALUE"""),295)</f>
        <v>295</v>
      </c>
      <c r="R242" s="1">
        <f ca="1">IFERROR(__xludf.DUMMYFUNCTION("""COMPUTED_VALUE"""),106)</f>
        <v>106</v>
      </c>
      <c r="S242" s="1">
        <f ca="1">IFERROR(__xludf.DUMMYFUNCTION("""COMPUTED_VALUE"""),208)</f>
        <v>208</v>
      </c>
      <c r="T242" s="1">
        <f ca="1">IFERROR(__xludf.DUMMYFUNCTION("""COMPUTED_VALUE"""),-3.96)</f>
        <v>-3.96</v>
      </c>
      <c r="U242" s="1">
        <f ca="1">IFERROR(__xludf.DUMMYFUNCTION("""COMPUTED_VALUE"""),273)</f>
        <v>273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IFERROR(__xludf.DUMMYFUNCTION("""COMPUTED_VALUE"""),"Southeastern Louisiana")</f>
        <v>Southeastern Louisiana</v>
      </c>
      <c r="C243" s="1" t="str">
        <f ca="1">IFERROR(__xludf.DUMMYFUNCTION("""COMPUTED_VALUE"""),"Slnd")</f>
        <v>Slnd</v>
      </c>
      <c r="D243" s="1" t="str">
        <f ca="1">IFERROR(__xludf.DUMMYFUNCTION("""COMPUTED_VALUE"""),"16-16")</f>
        <v>16-16</v>
      </c>
      <c r="E243" s="1">
        <f ca="1">IFERROR(__xludf.DUMMYFUNCTION("""COMPUTED_VALUE"""),-6.06)</f>
        <v>-6.06</v>
      </c>
      <c r="F243" s="1">
        <f ca="1">IFERROR(__xludf.DUMMYFUNCTION("""COMPUTED_VALUE"""),97.8)</f>
        <v>97.8</v>
      </c>
      <c r="G243" s="1">
        <f ca="1">IFERROR(__xludf.DUMMYFUNCTION("""COMPUTED_VALUE"""),294)</f>
        <v>294</v>
      </c>
      <c r="H243" s="1">
        <f ca="1">IFERROR(__xludf.DUMMYFUNCTION("""COMPUTED_VALUE"""),103.9)</f>
        <v>103.9</v>
      </c>
      <c r="I243" s="1">
        <f ca="1">IFERROR(__xludf.DUMMYFUNCTION("""COMPUTED_VALUE"""),161)</f>
        <v>161</v>
      </c>
      <c r="J243" s="1">
        <f ca="1">IFERROR(__xludf.DUMMYFUNCTION("""COMPUTED_VALUE"""),67.1)</f>
        <v>67.099999999999994</v>
      </c>
      <c r="K243" s="1">
        <f ca="1">IFERROR(__xludf.DUMMYFUNCTION("""COMPUTED_VALUE"""),227)</f>
        <v>227</v>
      </c>
      <c r="L243" s="1">
        <f ca="1">IFERROR(__xludf.DUMMYFUNCTION("""COMPUTED_VALUE"""),-0.054)</f>
        <v>-5.3999999999999999E-2</v>
      </c>
      <c r="M243" s="1">
        <f ca="1">IFERROR(__xludf.DUMMYFUNCTION("""COMPUTED_VALUE"""),303)</f>
        <v>303</v>
      </c>
      <c r="N243" s="1">
        <f ca="1">IFERROR(__xludf.DUMMYFUNCTION("""COMPUTED_VALUE"""),-7.56)</f>
        <v>-7.56</v>
      </c>
      <c r="O243" s="1">
        <f ca="1">IFERROR(__xludf.DUMMYFUNCTION("""COMPUTED_VALUE"""),323)</f>
        <v>323</v>
      </c>
      <c r="P243" s="1">
        <f ca="1">IFERROR(__xludf.DUMMYFUNCTION("""COMPUTED_VALUE"""),101)</f>
        <v>101</v>
      </c>
      <c r="Q243" s="1">
        <f ca="1">IFERROR(__xludf.DUMMYFUNCTION("""COMPUTED_VALUE"""),308)</f>
        <v>308</v>
      </c>
      <c r="R243" s="1">
        <f ca="1">IFERROR(__xludf.DUMMYFUNCTION("""COMPUTED_VALUE"""),108.6)</f>
        <v>108.6</v>
      </c>
      <c r="S243" s="1">
        <f ca="1">IFERROR(__xludf.DUMMYFUNCTION("""COMPUTED_VALUE"""),329)</f>
        <v>329</v>
      </c>
      <c r="T243" s="1">
        <f ca="1">IFERROR(__xludf.DUMMYFUNCTION("""COMPUTED_VALUE"""),-3.61)</f>
        <v>-3.61</v>
      </c>
      <c r="U243" s="1">
        <f ca="1">IFERROR(__xludf.DUMMYFUNCTION("""COMPUTED_VALUE"""),264)</f>
        <v>264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IFERROR(__xludf.DUMMYFUNCTION("""COMPUTED_VALUE"""),"Western Kentucky")</f>
        <v>Western Kentucky</v>
      </c>
      <c r="C244" s="1" t="str">
        <f ca="1">IFERROR(__xludf.DUMMYFUNCTION("""COMPUTED_VALUE"""),"CUSA")</f>
        <v>CUSA</v>
      </c>
      <c r="D244" s="1" t="str">
        <f ca="1">IFERROR(__xludf.DUMMYFUNCTION("""COMPUTED_VALUE"""),"15-17")</f>
        <v>15-17</v>
      </c>
      <c r="E244" s="1">
        <f ca="1">IFERROR(__xludf.DUMMYFUNCTION("""COMPUTED_VALUE"""),-6.15)</f>
        <v>-6.15</v>
      </c>
      <c r="F244" s="1">
        <f ca="1">IFERROR(__xludf.DUMMYFUNCTION("""COMPUTED_VALUE"""),103)</f>
        <v>103</v>
      </c>
      <c r="G244" s="1">
        <f ca="1">IFERROR(__xludf.DUMMYFUNCTION("""COMPUTED_VALUE"""),199)</f>
        <v>199</v>
      </c>
      <c r="H244" s="1">
        <f ca="1">IFERROR(__xludf.DUMMYFUNCTION("""COMPUTED_VALUE"""),109.1)</f>
        <v>109.1</v>
      </c>
      <c r="I244" s="1">
        <f ca="1">IFERROR(__xludf.DUMMYFUNCTION("""COMPUTED_VALUE"""),259)</f>
        <v>259</v>
      </c>
      <c r="J244" s="1">
        <f ca="1">IFERROR(__xludf.DUMMYFUNCTION("""COMPUTED_VALUE"""),65.8)</f>
        <v>65.8</v>
      </c>
      <c r="K244" s="1">
        <f ca="1">IFERROR(__xludf.DUMMYFUNCTION("""COMPUTED_VALUE"""),282)</f>
        <v>282</v>
      </c>
      <c r="L244" s="1" t="str">
        <f ca="1">IFERROR(__xludf.DUMMYFUNCTION("""COMPUTED_VALUE"""),"+.048")</f>
        <v>+.048</v>
      </c>
      <c r="M244" s="1">
        <f ca="1">IFERROR(__xludf.DUMMYFUNCTION("""COMPUTED_VALUE"""),62)</f>
        <v>62</v>
      </c>
      <c r="N244" s="1">
        <f ca="1">IFERROR(__xludf.DUMMYFUNCTION("""COMPUTED_VALUE"""),-3.19)</f>
        <v>-3.19</v>
      </c>
      <c r="O244" s="1">
        <f ca="1">IFERROR(__xludf.DUMMYFUNCTION("""COMPUTED_VALUE"""),228)</f>
        <v>228</v>
      </c>
      <c r="P244" s="1">
        <f ca="1">IFERROR(__xludf.DUMMYFUNCTION("""COMPUTED_VALUE"""),103)</f>
        <v>103</v>
      </c>
      <c r="Q244" s="1">
        <f ca="1">IFERROR(__xludf.DUMMYFUNCTION("""COMPUTED_VALUE"""),240)</f>
        <v>240</v>
      </c>
      <c r="R244" s="1">
        <f ca="1">IFERROR(__xludf.DUMMYFUNCTION("""COMPUTED_VALUE"""),106.2)</f>
        <v>106.2</v>
      </c>
      <c r="S244" s="1">
        <f ca="1">IFERROR(__xludf.DUMMYFUNCTION("""COMPUTED_VALUE"""),217)</f>
        <v>217</v>
      </c>
      <c r="T244" s="1">
        <f ca="1">IFERROR(__xludf.DUMMYFUNCTION("""COMPUTED_VALUE"""),-3.64)</f>
        <v>-3.64</v>
      </c>
      <c r="U244" s="1">
        <f ca="1">IFERROR(__xludf.DUMMYFUNCTION("""COMPUTED_VALUE"""),265)</f>
        <v>265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IFERROR(__xludf.DUMMYFUNCTION("""COMPUTED_VALUE"""),"Stephen F. Austin")</f>
        <v>Stephen F. Austin</v>
      </c>
      <c r="C245" s="1" t="str">
        <f ca="1">IFERROR(__xludf.DUMMYFUNCTION("""COMPUTED_VALUE"""),"Slnd")</f>
        <v>Slnd</v>
      </c>
      <c r="D245" s="1" t="str">
        <f ca="1">IFERROR(__xludf.DUMMYFUNCTION("""COMPUTED_VALUE"""),"18-15")</f>
        <v>18-15</v>
      </c>
      <c r="E245" s="1">
        <f ca="1">IFERROR(__xludf.DUMMYFUNCTION("""COMPUTED_VALUE"""),-6.19)</f>
        <v>-6.19</v>
      </c>
      <c r="F245" s="1">
        <f ca="1">IFERROR(__xludf.DUMMYFUNCTION("""COMPUTED_VALUE"""),96.7)</f>
        <v>96.7</v>
      </c>
      <c r="G245" s="1">
        <f ca="1">IFERROR(__xludf.DUMMYFUNCTION("""COMPUTED_VALUE"""),308)</f>
        <v>308</v>
      </c>
      <c r="H245" s="1">
        <f ca="1">IFERROR(__xludf.DUMMYFUNCTION("""COMPUTED_VALUE"""),102.9)</f>
        <v>102.9</v>
      </c>
      <c r="I245" s="1">
        <f ca="1">IFERROR(__xludf.DUMMYFUNCTION("""COMPUTED_VALUE"""),134)</f>
        <v>134</v>
      </c>
      <c r="J245" s="1">
        <f ca="1">IFERROR(__xludf.DUMMYFUNCTION("""COMPUTED_VALUE"""),66.3)</f>
        <v>66.3</v>
      </c>
      <c r="K245" s="1">
        <f ca="1">IFERROR(__xludf.DUMMYFUNCTION("""COMPUTED_VALUE"""),264)</f>
        <v>264</v>
      </c>
      <c r="L245" s="1" t="str">
        <f ca="1">IFERROR(__xludf.DUMMYFUNCTION("""COMPUTED_VALUE"""),"+.040")</f>
        <v>+.040</v>
      </c>
      <c r="M245" s="1">
        <f ca="1">IFERROR(__xludf.DUMMYFUNCTION("""COMPUTED_VALUE"""),74)</f>
        <v>74</v>
      </c>
      <c r="N245" s="1">
        <f ca="1">IFERROR(__xludf.DUMMYFUNCTION("""COMPUTED_VALUE"""),-5.65)</f>
        <v>-5.65</v>
      </c>
      <c r="O245" s="1">
        <f ca="1">IFERROR(__xludf.DUMMYFUNCTION("""COMPUTED_VALUE"""),295)</f>
        <v>295</v>
      </c>
      <c r="P245" s="1">
        <f ca="1">IFERROR(__xludf.DUMMYFUNCTION("""COMPUTED_VALUE"""),102.1)</f>
        <v>102.1</v>
      </c>
      <c r="Q245" s="1">
        <f ca="1">IFERROR(__xludf.DUMMYFUNCTION("""COMPUTED_VALUE"""),274)</f>
        <v>274</v>
      </c>
      <c r="R245" s="1">
        <f ca="1">IFERROR(__xludf.DUMMYFUNCTION("""COMPUTED_VALUE"""),107.7)</f>
        <v>107.7</v>
      </c>
      <c r="S245" s="1">
        <f ca="1">IFERROR(__xludf.DUMMYFUNCTION("""COMPUTED_VALUE"""),298)</f>
        <v>298</v>
      </c>
      <c r="T245" s="1" t="str">
        <f ca="1">IFERROR(__xludf.DUMMYFUNCTION("""COMPUTED_VALUE"""),"+1.84")</f>
        <v>+1.84</v>
      </c>
      <c r="U245" s="1">
        <f ca="1">IFERROR(__xludf.DUMMYFUNCTION("""COMPUTED_VALUE"""),100)</f>
        <v>100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IFERROR(__xludf.DUMMYFUNCTION("""COMPUTED_VALUE"""),"Sam Houston St.")</f>
        <v>Sam Houston St.</v>
      </c>
      <c r="C246" s="1" t="str">
        <f ca="1">IFERROR(__xludf.DUMMYFUNCTION("""COMPUTED_VALUE"""),"Slnd")</f>
        <v>Slnd</v>
      </c>
      <c r="D246" s="1" t="str">
        <f ca="1">IFERROR(__xludf.DUMMYFUNCTION("""COMPUTED_VALUE"""),"21-13")</f>
        <v>21-13</v>
      </c>
      <c r="E246" s="1">
        <f ca="1">IFERROR(__xludf.DUMMYFUNCTION("""COMPUTED_VALUE"""),-6.19)</f>
        <v>-6.19</v>
      </c>
      <c r="F246" s="1">
        <f ca="1">IFERROR(__xludf.DUMMYFUNCTION("""COMPUTED_VALUE"""),97.2)</f>
        <v>97.2</v>
      </c>
      <c r="G246" s="1">
        <f ca="1">IFERROR(__xludf.DUMMYFUNCTION("""COMPUTED_VALUE"""),299)</f>
        <v>299</v>
      </c>
      <c r="H246" s="1">
        <f ca="1">IFERROR(__xludf.DUMMYFUNCTION("""COMPUTED_VALUE"""),103.4)</f>
        <v>103.4</v>
      </c>
      <c r="I246" s="1">
        <f ca="1">IFERROR(__xludf.DUMMYFUNCTION("""COMPUTED_VALUE"""),152)</f>
        <v>152</v>
      </c>
      <c r="J246" s="1">
        <f ca="1">IFERROR(__xludf.DUMMYFUNCTION("""COMPUTED_VALUE"""),70)</f>
        <v>70</v>
      </c>
      <c r="K246" s="1">
        <f ca="1">IFERROR(__xludf.DUMMYFUNCTION("""COMPUTED_VALUE"""),78)</f>
        <v>78</v>
      </c>
      <c r="L246" s="1" t="str">
        <f ca="1">IFERROR(__xludf.DUMMYFUNCTION("""COMPUTED_VALUE"""),"+.101")</f>
        <v>+.101</v>
      </c>
      <c r="M246" s="1">
        <f ca="1">IFERROR(__xludf.DUMMYFUNCTION("""COMPUTED_VALUE"""),5)</f>
        <v>5</v>
      </c>
      <c r="N246" s="1">
        <f ca="1">IFERROR(__xludf.DUMMYFUNCTION("""COMPUTED_VALUE"""),-6.44)</f>
        <v>-6.44</v>
      </c>
      <c r="O246" s="1">
        <f ca="1">IFERROR(__xludf.DUMMYFUNCTION("""COMPUTED_VALUE"""),312)</f>
        <v>312</v>
      </c>
      <c r="P246" s="1">
        <f ca="1">IFERROR(__xludf.DUMMYFUNCTION("""COMPUTED_VALUE"""),101.4)</f>
        <v>101.4</v>
      </c>
      <c r="Q246" s="1">
        <f ca="1">IFERROR(__xludf.DUMMYFUNCTION("""COMPUTED_VALUE"""),299)</f>
        <v>299</v>
      </c>
      <c r="R246" s="1">
        <f ca="1">IFERROR(__xludf.DUMMYFUNCTION("""COMPUTED_VALUE"""),107.8)</f>
        <v>107.8</v>
      </c>
      <c r="S246" s="1">
        <f ca="1">IFERROR(__xludf.DUMMYFUNCTION("""COMPUTED_VALUE"""),304)</f>
        <v>304</v>
      </c>
      <c r="T246" s="1" t="str">
        <f ca="1">IFERROR(__xludf.DUMMYFUNCTION("""COMPUTED_VALUE"""),"+2.70")</f>
        <v>+2.70</v>
      </c>
      <c r="U246" s="1">
        <f ca="1">IFERROR(__xludf.DUMMYFUNCTION("""COMPUTED_VALUE"""),74)</f>
        <v>74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IFERROR(__xludf.DUMMYFUNCTION("""COMPUTED_VALUE"""),"Columbia")</f>
        <v>Columbia</v>
      </c>
      <c r="C247" s="1" t="str">
        <f ca="1">IFERROR(__xludf.DUMMYFUNCTION("""COMPUTED_VALUE"""),"Ivy")</f>
        <v>Ivy</v>
      </c>
      <c r="D247" s="2">
        <f ca="1">IFERROR(__xludf.DUMMYFUNCTION("""COMPUTED_VALUE"""),44881)</f>
        <v>44881</v>
      </c>
      <c r="E247" s="1">
        <f ca="1">IFERROR(__xludf.DUMMYFUNCTION("""COMPUTED_VALUE"""),-6.26)</f>
        <v>-6.26</v>
      </c>
      <c r="F247" s="1">
        <f ca="1">IFERROR(__xludf.DUMMYFUNCTION("""COMPUTED_VALUE"""),101.1)</f>
        <v>101.1</v>
      </c>
      <c r="G247" s="1">
        <f ca="1">IFERROR(__xludf.DUMMYFUNCTION("""COMPUTED_VALUE"""),238)</f>
        <v>238</v>
      </c>
      <c r="H247" s="1">
        <f ca="1">IFERROR(__xludf.DUMMYFUNCTION("""COMPUTED_VALUE"""),107.3)</f>
        <v>107.3</v>
      </c>
      <c r="I247" s="1">
        <f ca="1">IFERROR(__xludf.DUMMYFUNCTION("""COMPUTED_VALUE"""),223)</f>
        <v>223</v>
      </c>
      <c r="J247" s="1">
        <f ca="1">IFERROR(__xludf.DUMMYFUNCTION("""COMPUTED_VALUE"""),68.9)</f>
        <v>68.900000000000006</v>
      </c>
      <c r="K247" s="1">
        <f ca="1">IFERROR(__xludf.DUMMYFUNCTION("""COMPUTED_VALUE"""),123)</f>
        <v>123</v>
      </c>
      <c r="L247" s="1">
        <f ca="1">IFERROR(__xludf.DUMMYFUNCTION("""COMPUTED_VALUE"""),-0.022)</f>
        <v>-2.1999999999999999E-2</v>
      </c>
      <c r="M247" s="1">
        <f ca="1">IFERROR(__xludf.DUMMYFUNCTION("""COMPUTED_VALUE"""),240)</f>
        <v>240</v>
      </c>
      <c r="N247" s="1">
        <f ca="1">IFERROR(__xludf.DUMMYFUNCTION("""COMPUTED_VALUE"""),-3.35)</f>
        <v>-3.35</v>
      </c>
      <c r="O247" s="1">
        <f ca="1">IFERROR(__xludf.DUMMYFUNCTION("""COMPUTED_VALUE"""),233)</f>
        <v>233</v>
      </c>
      <c r="P247" s="1">
        <f ca="1">IFERROR(__xludf.DUMMYFUNCTION("""COMPUTED_VALUE"""),102.7)</f>
        <v>102.7</v>
      </c>
      <c r="Q247" s="1">
        <f ca="1">IFERROR(__xludf.DUMMYFUNCTION("""COMPUTED_VALUE"""),252)</f>
        <v>252</v>
      </c>
      <c r="R247" s="1">
        <f ca="1">IFERROR(__xludf.DUMMYFUNCTION("""COMPUTED_VALUE"""),106)</f>
        <v>106</v>
      </c>
      <c r="S247" s="1">
        <f ca="1">IFERROR(__xludf.DUMMYFUNCTION("""COMPUTED_VALUE"""),212)</f>
        <v>212</v>
      </c>
      <c r="T247" s="1">
        <f ca="1">IFERROR(__xludf.DUMMYFUNCTION("""COMPUTED_VALUE"""),-4)</f>
        <v>-4</v>
      </c>
      <c r="U247" s="1">
        <f ca="1">IFERROR(__xludf.DUMMYFUNCTION("""COMPUTED_VALUE"""),275)</f>
        <v>275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IFERROR(__xludf.DUMMYFUNCTION("""COMPUTED_VALUE"""),"Oral Roberts")</f>
        <v>Oral Roberts</v>
      </c>
      <c r="C248" s="1" t="str">
        <f ca="1">IFERROR(__xludf.DUMMYFUNCTION("""COMPUTED_VALUE"""),"Sum")</f>
        <v>Sum</v>
      </c>
      <c r="D248" s="2">
        <f ca="1">IFERROR(__xludf.DUMMYFUNCTION("""COMPUTED_VALUE"""),44795)</f>
        <v>44795</v>
      </c>
      <c r="E248" s="1">
        <f ca="1">IFERROR(__xludf.DUMMYFUNCTION("""COMPUTED_VALUE"""),-6.3)</f>
        <v>-6.3</v>
      </c>
      <c r="F248" s="1">
        <f ca="1">IFERROR(__xludf.DUMMYFUNCTION("""COMPUTED_VALUE"""),104.4)</f>
        <v>104.4</v>
      </c>
      <c r="G248" s="1">
        <f ca="1">IFERROR(__xludf.DUMMYFUNCTION("""COMPUTED_VALUE"""),169)</f>
        <v>169</v>
      </c>
      <c r="H248" s="1">
        <f ca="1">IFERROR(__xludf.DUMMYFUNCTION("""COMPUTED_VALUE"""),110.7)</f>
        <v>110.7</v>
      </c>
      <c r="I248" s="1">
        <f ca="1">IFERROR(__xludf.DUMMYFUNCTION("""COMPUTED_VALUE"""),293)</f>
        <v>293</v>
      </c>
      <c r="J248" s="1">
        <f ca="1">IFERROR(__xludf.DUMMYFUNCTION("""COMPUTED_VALUE"""),69.1)</f>
        <v>69.099999999999994</v>
      </c>
      <c r="K248" s="1">
        <f ca="1">IFERROR(__xludf.DUMMYFUNCTION("""COMPUTED_VALUE"""),111)</f>
        <v>111</v>
      </c>
      <c r="L248" s="1">
        <f ca="1">IFERROR(__xludf.DUMMYFUNCTION("""COMPUTED_VALUE"""),-0.077)</f>
        <v>-7.6999999999999999E-2</v>
      </c>
      <c r="M248" s="1">
        <f ca="1">IFERROR(__xludf.DUMMYFUNCTION("""COMPUTED_VALUE"""),329)</f>
        <v>329</v>
      </c>
      <c r="N248" s="1" t="str">
        <f ca="1">IFERROR(__xludf.DUMMYFUNCTION("""COMPUTED_VALUE"""),"+1.85")</f>
        <v>+1.85</v>
      </c>
      <c r="O248" s="1">
        <f ca="1">IFERROR(__xludf.DUMMYFUNCTION("""COMPUTED_VALUE"""),100)</f>
        <v>100</v>
      </c>
      <c r="P248" s="1">
        <f ca="1">IFERROR(__xludf.DUMMYFUNCTION("""COMPUTED_VALUE"""),106.9)</f>
        <v>106.9</v>
      </c>
      <c r="Q248" s="1">
        <f ca="1">IFERROR(__xludf.DUMMYFUNCTION("""COMPUTED_VALUE"""),77)</f>
        <v>77</v>
      </c>
      <c r="R248" s="1">
        <f ca="1">IFERROR(__xludf.DUMMYFUNCTION("""COMPUTED_VALUE"""),105.1)</f>
        <v>105.1</v>
      </c>
      <c r="S248" s="1">
        <f ca="1">IFERROR(__xludf.DUMMYFUNCTION("""COMPUTED_VALUE"""),150)</f>
        <v>150</v>
      </c>
      <c r="T248" s="1" t="str">
        <f ca="1">IFERROR(__xludf.DUMMYFUNCTION("""COMPUTED_VALUE"""),"+8.64")</f>
        <v>+8.64</v>
      </c>
      <c r="U248" s="1">
        <f ca="1">IFERROR(__xludf.DUMMYFUNCTION("""COMPUTED_VALUE"""),10)</f>
        <v>10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IFERROR(__xludf.DUMMYFUNCTION("""COMPUTED_VALUE"""),"Charlotte")</f>
        <v>Charlotte</v>
      </c>
      <c r="C249" s="1" t="str">
        <f ca="1">IFERROR(__xludf.DUMMYFUNCTION("""COMPUTED_VALUE"""),"CUSA")</f>
        <v>CUSA</v>
      </c>
      <c r="D249" s="1" t="str">
        <f ca="1">IFERROR(__xludf.DUMMYFUNCTION("""COMPUTED_VALUE"""),"13-17")</f>
        <v>13-17</v>
      </c>
      <c r="E249" s="1">
        <f ca="1">IFERROR(__xludf.DUMMYFUNCTION("""COMPUTED_VALUE"""),-6.35)</f>
        <v>-6.35</v>
      </c>
      <c r="F249" s="1">
        <f ca="1">IFERROR(__xludf.DUMMYFUNCTION("""COMPUTED_VALUE"""),103.1)</f>
        <v>103.1</v>
      </c>
      <c r="G249" s="1">
        <f ca="1">IFERROR(__xludf.DUMMYFUNCTION("""COMPUTED_VALUE"""),194)</f>
        <v>194</v>
      </c>
      <c r="H249" s="1">
        <f ca="1">IFERROR(__xludf.DUMMYFUNCTION("""COMPUTED_VALUE"""),109.5)</f>
        <v>109.5</v>
      </c>
      <c r="I249" s="1">
        <f ca="1">IFERROR(__xludf.DUMMYFUNCTION("""COMPUTED_VALUE"""),269)</f>
        <v>269</v>
      </c>
      <c r="J249" s="1">
        <f ca="1">IFERROR(__xludf.DUMMYFUNCTION("""COMPUTED_VALUE"""),72.8)</f>
        <v>72.8</v>
      </c>
      <c r="K249" s="1">
        <f ca="1">IFERROR(__xludf.DUMMYFUNCTION("""COMPUTED_VALUE"""),15)</f>
        <v>15</v>
      </c>
      <c r="L249" s="1" t="str">
        <f ca="1">IFERROR(__xludf.DUMMYFUNCTION("""COMPUTED_VALUE"""),"+.033")</f>
        <v>+.033</v>
      </c>
      <c r="M249" s="1">
        <f ca="1">IFERROR(__xludf.DUMMYFUNCTION("""COMPUTED_VALUE"""),90)</f>
        <v>90</v>
      </c>
      <c r="N249" s="1">
        <f ca="1">IFERROR(__xludf.DUMMYFUNCTION("""COMPUTED_VALUE"""),-2.08)</f>
        <v>-2.08</v>
      </c>
      <c r="O249" s="1">
        <f ca="1">IFERROR(__xludf.DUMMYFUNCTION("""COMPUTED_VALUE"""),194)</f>
        <v>194</v>
      </c>
      <c r="P249" s="1">
        <f ca="1">IFERROR(__xludf.DUMMYFUNCTION("""COMPUTED_VALUE"""),103.3)</f>
        <v>103.3</v>
      </c>
      <c r="Q249" s="1">
        <f ca="1">IFERROR(__xludf.DUMMYFUNCTION("""COMPUTED_VALUE"""),219)</f>
        <v>219</v>
      </c>
      <c r="R249" s="1">
        <f ca="1">IFERROR(__xludf.DUMMYFUNCTION("""COMPUTED_VALUE"""),105.4)</f>
        <v>105.4</v>
      </c>
      <c r="S249" s="1">
        <f ca="1">IFERROR(__xludf.DUMMYFUNCTION("""COMPUTED_VALUE"""),168)</f>
        <v>168</v>
      </c>
      <c r="T249" s="1" t="str">
        <f ca="1">IFERROR(__xludf.DUMMYFUNCTION("""COMPUTED_VALUE"""),"+1.69")</f>
        <v>+1.69</v>
      </c>
      <c r="U249" s="1">
        <f ca="1">IFERROR(__xludf.DUMMYFUNCTION("""COMPUTED_VALUE"""),108)</f>
        <v>108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IFERROR(__xludf.DUMMYFUNCTION("""COMPUTED_VALUE"""),"Illinois Chicago")</f>
        <v>Illinois Chicago</v>
      </c>
      <c r="C250" s="1" t="str">
        <f ca="1">IFERROR(__xludf.DUMMYFUNCTION("""COMPUTED_VALUE"""),"Horz")</f>
        <v>Horz</v>
      </c>
      <c r="D250" s="1" t="str">
        <f ca="1">IFERROR(__xludf.DUMMYFUNCTION("""COMPUTED_VALUE"""),"17-19")</f>
        <v>17-19</v>
      </c>
      <c r="E250" s="1">
        <f ca="1">IFERROR(__xludf.DUMMYFUNCTION("""COMPUTED_VALUE"""),-6.4)</f>
        <v>-6.4</v>
      </c>
      <c r="F250" s="1">
        <f ca="1">IFERROR(__xludf.DUMMYFUNCTION("""COMPUTED_VALUE"""),101.1)</f>
        <v>101.1</v>
      </c>
      <c r="G250" s="1">
        <f ca="1">IFERROR(__xludf.DUMMYFUNCTION("""COMPUTED_VALUE"""),236)</f>
        <v>236</v>
      </c>
      <c r="H250" s="1">
        <f ca="1">IFERROR(__xludf.DUMMYFUNCTION("""COMPUTED_VALUE"""),107.5)</f>
        <v>107.5</v>
      </c>
      <c r="I250" s="1">
        <f ca="1">IFERROR(__xludf.DUMMYFUNCTION("""COMPUTED_VALUE"""),226)</f>
        <v>226</v>
      </c>
      <c r="J250" s="1">
        <f ca="1">IFERROR(__xludf.DUMMYFUNCTION("""COMPUTED_VALUE"""),72.1)</f>
        <v>72.099999999999994</v>
      </c>
      <c r="K250" s="1">
        <f ca="1">IFERROR(__xludf.DUMMYFUNCTION("""COMPUTED_VALUE"""),25)</f>
        <v>25</v>
      </c>
      <c r="L250" s="1" t="str">
        <f ca="1">IFERROR(__xludf.DUMMYFUNCTION("""COMPUTED_VALUE"""),"+.014")</f>
        <v>+.014</v>
      </c>
      <c r="M250" s="1">
        <f ca="1">IFERROR(__xludf.DUMMYFUNCTION("""COMPUTED_VALUE"""),151)</f>
        <v>151</v>
      </c>
      <c r="N250" s="1">
        <f ca="1">IFERROR(__xludf.DUMMYFUNCTION("""COMPUTED_VALUE"""),-4.16)</f>
        <v>-4.16</v>
      </c>
      <c r="O250" s="1">
        <f ca="1">IFERROR(__xludf.DUMMYFUNCTION("""COMPUTED_VALUE"""),253)</f>
        <v>253</v>
      </c>
      <c r="P250" s="1">
        <f ca="1">IFERROR(__xludf.DUMMYFUNCTION("""COMPUTED_VALUE"""),101.7)</f>
        <v>101.7</v>
      </c>
      <c r="Q250" s="1">
        <f ca="1">IFERROR(__xludf.DUMMYFUNCTION("""COMPUTED_VALUE"""),287)</f>
        <v>287</v>
      </c>
      <c r="R250" s="1">
        <f ca="1">IFERROR(__xludf.DUMMYFUNCTION("""COMPUTED_VALUE"""),105.9)</f>
        <v>105.9</v>
      </c>
      <c r="S250" s="1">
        <f ca="1">IFERROR(__xludf.DUMMYFUNCTION("""COMPUTED_VALUE"""),200)</f>
        <v>200</v>
      </c>
      <c r="T250" s="1">
        <f ca="1">IFERROR(__xludf.DUMMYFUNCTION("""COMPUTED_VALUE"""),-5.26)</f>
        <v>-5.26</v>
      </c>
      <c r="U250" s="1">
        <f ca="1">IFERROR(__xludf.DUMMYFUNCTION("""COMPUTED_VALUE"""),303)</f>
        <v>303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IFERROR(__xludf.DUMMYFUNCTION("""COMPUTED_VALUE"""),"Portland St.")</f>
        <v>Portland St.</v>
      </c>
      <c r="C251" s="1" t="str">
        <f ca="1">IFERROR(__xludf.DUMMYFUNCTION("""COMPUTED_VALUE"""),"BSky")</f>
        <v>BSky</v>
      </c>
      <c r="D251" s="1" t="str">
        <f ca="1">IFERROR(__xludf.DUMMYFUNCTION("""COMPUTED_VALUE"""),"15-16")</f>
        <v>15-16</v>
      </c>
      <c r="E251" s="1">
        <f ca="1">IFERROR(__xludf.DUMMYFUNCTION("""COMPUTED_VALUE"""),-6.5)</f>
        <v>-6.5</v>
      </c>
      <c r="F251" s="1">
        <f ca="1">IFERROR(__xludf.DUMMYFUNCTION("""COMPUTED_VALUE"""),104.3)</f>
        <v>104.3</v>
      </c>
      <c r="G251" s="1">
        <f ca="1">IFERROR(__xludf.DUMMYFUNCTION("""COMPUTED_VALUE"""),174)</f>
        <v>174</v>
      </c>
      <c r="H251" s="1">
        <f ca="1">IFERROR(__xludf.DUMMYFUNCTION("""COMPUTED_VALUE"""),110.8)</f>
        <v>110.8</v>
      </c>
      <c r="I251" s="1">
        <f ca="1">IFERROR(__xludf.DUMMYFUNCTION("""COMPUTED_VALUE"""),295)</f>
        <v>295</v>
      </c>
      <c r="J251" s="1">
        <f ca="1">IFERROR(__xludf.DUMMYFUNCTION("""COMPUTED_VALUE"""),72.6)</f>
        <v>72.599999999999994</v>
      </c>
      <c r="K251" s="1">
        <f ca="1">IFERROR(__xludf.DUMMYFUNCTION("""COMPUTED_VALUE"""),19)</f>
        <v>19</v>
      </c>
      <c r="L251" s="1">
        <f ca="1">IFERROR(__xludf.DUMMYFUNCTION("""COMPUTED_VALUE"""),-0.057)</f>
        <v>-5.7000000000000002E-2</v>
      </c>
      <c r="M251" s="1">
        <f ca="1">IFERROR(__xludf.DUMMYFUNCTION("""COMPUTED_VALUE"""),308)</f>
        <v>308</v>
      </c>
      <c r="N251" s="1">
        <f ca="1">IFERROR(__xludf.DUMMYFUNCTION("""COMPUTED_VALUE"""),-6.52)</f>
        <v>-6.52</v>
      </c>
      <c r="O251" s="1">
        <f ca="1">IFERROR(__xludf.DUMMYFUNCTION("""COMPUTED_VALUE"""),314)</f>
        <v>314</v>
      </c>
      <c r="P251" s="1">
        <f ca="1">IFERROR(__xludf.DUMMYFUNCTION("""COMPUTED_VALUE"""),101.9)</f>
        <v>101.9</v>
      </c>
      <c r="Q251" s="1">
        <f ca="1">IFERROR(__xludf.DUMMYFUNCTION("""COMPUTED_VALUE"""),280)</f>
        <v>280</v>
      </c>
      <c r="R251" s="1">
        <f ca="1">IFERROR(__xludf.DUMMYFUNCTION("""COMPUTED_VALUE"""),108.5)</f>
        <v>108.5</v>
      </c>
      <c r="S251" s="1">
        <f ca="1">IFERROR(__xludf.DUMMYFUNCTION("""COMPUTED_VALUE"""),325)</f>
        <v>325</v>
      </c>
      <c r="T251" s="1">
        <f ca="1">IFERROR(__xludf.DUMMYFUNCTION("""COMPUTED_VALUE"""),-0.17)</f>
        <v>-0.17</v>
      </c>
      <c r="U251" s="1">
        <f ca="1">IFERROR(__xludf.DUMMYFUNCTION("""COMPUTED_VALUE"""),159)</f>
        <v>159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IFERROR(__xludf.DUMMYFUNCTION("""COMPUTED_VALUE"""),"Montana St.")</f>
        <v>Montana St.</v>
      </c>
      <c r="C252" s="1" t="str">
        <f ca="1">IFERROR(__xludf.DUMMYFUNCTION("""COMPUTED_VALUE"""),"BSky")</f>
        <v>BSky</v>
      </c>
      <c r="D252" s="1" t="str">
        <f ca="1">IFERROR(__xludf.DUMMYFUNCTION("""COMPUTED_VALUE"""),"16-16")</f>
        <v>16-16</v>
      </c>
      <c r="E252" s="1">
        <f ca="1">IFERROR(__xludf.DUMMYFUNCTION("""COMPUTED_VALUE"""),-6.51)</f>
        <v>-6.51</v>
      </c>
      <c r="F252" s="1">
        <f ca="1">IFERROR(__xludf.DUMMYFUNCTION("""COMPUTED_VALUE"""),103.1)</f>
        <v>103.1</v>
      </c>
      <c r="G252" s="1">
        <f ca="1">IFERROR(__xludf.DUMMYFUNCTION("""COMPUTED_VALUE"""),195)</f>
        <v>195</v>
      </c>
      <c r="H252" s="1">
        <f ca="1">IFERROR(__xludf.DUMMYFUNCTION("""COMPUTED_VALUE"""),109.6)</f>
        <v>109.6</v>
      </c>
      <c r="I252" s="1">
        <f ca="1">IFERROR(__xludf.DUMMYFUNCTION("""COMPUTED_VALUE"""),271)</f>
        <v>271</v>
      </c>
      <c r="J252" s="1">
        <f ca="1">IFERROR(__xludf.DUMMYFUNCTION("""COMPUTED_VALUE"""),69.3)</f>
        <v>69.3</v>
      </c>
      <c r="K252" s="1">
        <f ca="1">IFERROR(__xludf.DUMMYFUNCTION("""COMPUTED_VALUE"""),103)</f>
        <v>103</v>
      </c>
      <c r="L252" s="1">
        <f ca="1">IFERROR(__xludf.DUMMYFUNCTION("""COMPUTED_VALUE"""),-0.025)</f>
        <v>-2.5000000000000001E-2</v>
      </c>
      <c r="M252" s="1">
        <f ca="1">IFERROR(__xludf.DUMMYFUNCTION("""COMPUTED_VALUE"""),250)</f>
        <v>250</v>
      </c>
      <c r="N252" s="1">
        <f ca="1">IFERROR(__xludf.DUMMYFUNCTION("""COMPUTED_VALUE"""),-6.68)</f>
        <v>-6.68</v>
      </c>
      <c r="O252" s="1">
        <f ca="1">IFERROR(__xludf.DUMMYFUNCTION("""COMPUTED_VALUE"""),316)</f>
        <v>316</v>
      </c>
      <c r="P252" s="1">
        <f ca="1">IFERROR(__xludf.DUMMYFUNCTION("""COMPUTED_VALUE"""),103.4)</f>
        <v>103.4</v>
      </c>
      <c r="Q252" s="1">
        <f ca="1">IFERROR(__xludf.DUMMYFUNCTION("""COMPUTED_VALUE"""),216)</f>
        <v>216</v>
      </c>
      <c r="R252" s="1">
        <f ca="1">IFERROR(__xludf.DUMMYFUNCTION("""COMPUTED_VALUE"""),110.1)</f>
        <v>110.1</v>
      </c>
      <c r="S252" s="1">
        <f ca="1">IFERROR(__xludf.DUMMYFUNCTION("""COMPUTED_VALUE"""),346)</f>
        <v>346</v>
      </c>
      <c r="T252" s="1">
        <f ca="1">IFERROR(__xludf.DUMMYFUNCTION("""COMPUTED_VALUE"""),-2.98)</f>
        <v>-2.98</v>
      </c>
      <c r="U252" s="1">
        <f ca="1">IFERROR(__xludf.DUMMYFUNCTION("""COMPUTED_VALUE"""),241)</f>
        <v>241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IFERROR(__xludf.DUMMYFUNCTION("""COMPUTED_VALUE"""),"Tulane")</f>
        <v>Tulane</v>
      </c>
      <c r="C255" s="1" t="str">
        <f ca="1">IFERROR(__xludf.DUMMYFUNCTION("""COMPUTED_VALUE"""),"Amer")</f>
        <v>Amer</v>
      </c>
      <c r="D255" s="2">
        <f ca="1">IFERROR(__xludf.DUMMYFUNCTION("""COMPUTED_VALUE"""),44737)</f>
        <v>44737</v>
      </c>
      <c r="E255" s="1">
        <f ca="1">IFERROR(__xludf.DUMMYFUNCTION("""COMPUTED_VALUE"""),-6.58)</f>
        <v>-6.58</v>
      </c>
      <c r="F255" s="1">
        <f ca="1">IFERROR(__xludf.DUMMYFUNCTION("""COMPUTED_VALUE"""),102.6)</f>
        <v>102.6</v>
      </c>
      <c r="G255" s="1">
        <f ca="1">IFERROR(__xludf.DUMMYFUNCTION("""COMPUTED_VALUE"""),207)</f>
        <v>207</v>
      </c>
      <c r="H255" s="1">
        <f ca="1">IFERROR(__xludf.DUMMYFUNCTION("""COMPUTED_VALUE"""),109.2)</f>
        <v>109.2</v>
      </c>
      <c r="I255" s="1">
        <f ca="1">IFERROR(__xludf.DUMMYFUNCTION("""COMPUTED_VALUE"""),264)</f>
        <v>264</v>
      </c>
      <c r="J255" s="1">
        <f ca="1">IFERROR(__xludf.DUMMYFUNCTION("""COMPUTED_VALUE"""),70.4)</f>
        <v>70.400000000000006</v>
      </c>
      <c r="K255" s="1">
        <f ca="1">IFERROR(__xludf.DUMMYFUNCTION("""COMPUTED_VALUE"""),64)</f>
        <v>64</v>
      </c>
      <c r="L255" s="1">
        <f ca="1">IFERROR(__xludf.DUMMYFUNCTION("""COMPUTED_VALUE"""),-0.075)</f>
        <v>-7.4999999999999997E-2</v>
      </c>
      <c r="M255" s="1">
        <f ca="1">IFERROR(__xludf.DUMMYFUNCTION("""COMPUTED_VALUE"""),328)</f>
        <v>328</v>
      </c>
      <c r="N255" s="1" t="str">
        <f ca="1">IFERROR(__xludf.DUMMYFUNCTION("""COMPUTED_VALUE"""),"+3.43")</f>
        <v>+3.43</v>
      </c>
      <c r="O255" s="1">
        <f ca="1">IFERROR(__xludf.DUMMYFUNCTION("""COMPUTED_VALUE"""),83)</f>
        <v>83</v>
      </c>
      <c r="P255" s="1">
        <f ca="1">IFERROR(__xludf.DUMMYFUNCTION("""COMPUTED_VALUE"""),105.1)</f>
        <v>105.1</v>
      </c>
      <c r="Q255" s="1">
        <f ca="1">IFERROR(__xludf.DUMMYFUNCTION("""COMPUTED_VALUE"""),125)</f>
        <v>125</v>
      </c>
      <c r="R255" s="1">
        <f ca="1">IFERROR(__xludf.DUMMYFUNCTION("""COMPUTED_VALUE"""),101.6)</f>
        <v>101.6</v>
      </c>
      <c r="S255" s="1">
        <f ca="1">IFERROR(__xludf.DUMMYFUNCTION("""COMPUTED_VALUE"""),62)</f>
        <v>62</v>
      </c>
      <c r="T255" s="1">
        <f ca="1">IFERROR(__xludf.DUMMYFUNCTION("""COMPUTED_VALUE"""),-1.3)</f>
        <v>-1.3</v>
      </c>
      <c r="U255" s="1">
        <f ca="1">IFERROR(__xludf.DUMMYFUNCTION("""COMPUTED_VALUE"""),195)</f>
        <v>195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IFERROR(__xludf.DUMMYFUNCTION("""COMPUTED_VALUE"""),"Cleveland St.")</f>
        <v>Cleveland St.</v>
      </c>
      <c r="C256" s="1" t="str">
        <f ca="1">IFERROR(__xludf.DUMMYFUNCTION("""COMPUTED_VALUE"""),"Horz")</f>
        <v>Horz</v>
      </c>
      <c r="D256" s="2">
        <f ca="1">IFERROR(__xludf.DUMMYFUNCTION("""COMPUTED_VALUE"""),44826)</f>
        <v>44826</v>
      </c>
      <c r="E256" s="1">
        <f ca="1">IFERROR(__xludf.DUMMYFUNCTION("""COMPUTED_VALUE"""),-6.65)</f>
        <v>-6.65</v>
      </c>
      <c r="F256" s="1">
        <f ca="1">IFERROR(__xludf.DUMMYFUNCTION("""COMPUTED_VALUE"""),96.5)</f>
        <v>96.5</v>
      </c>
      <c r="G256" s="1">
        <f ca="1">IFERROR(__xludf.DUMMYFUNCTION("""COMPUTED_VALUE"""),312)</f>
        <v>312</v>
      </c>
      <c r="H256" s="1">
        <f ca="1">IFERROR(__xludf.DUMMYFUNCTION("""COMPUTED_VALUE"""),103.1)</f>
        <v>103.1</v>
      </c>
      <c r="I256" s="1">
        <f ca="1">IFERROR(__xludf.DUMMYFUNCTION("""COMPUTED_VALUE"""),139)</f>
        <v>139</v>
      </c>
      <c r="J256" s="1">
        <f ca="1">IFERROR(__xludf.DUMMYFUNCTION("""COMPUTED_VALUE"""),65.4)</f>
        <v>65.400000000000006</v>
      </c>
      <c r="K256" s="1">
        <f ca="1">IFERROR(__xludf.DUMMYFUNCTION("""COMPUTED_VALUE"""),297)</f>
        <v>297</v>
      </c>
      <c r="L256" s="1">
        <f ca="1">IFERROR(__xludf.DUMMYFUNCTION("""COMPUTED_VALUE"""),-0.09)</f>
        <v>-0.09</v>
      </c>
      <c r="M256" s="1">
        <f ca="1">IFERROR(__xludf.DUMMYFUNCTION("""COMPUTED_VALUE"""),340)</f>
        <v>340</v>
      </c>
      <c r="N256" s="1">
        <f ca="1">IFERROR(__xludf.DUMMYFUNCTION("""COMPUTED_VALUE"""),-1.08)</f>
        <v>-1.08</v>
      </c>
      <c r="O256" s="1">
        <f ca="1">IFERROR(__xludf.DUMMYFUNCTION("""COMPUTED_VALUE"""),159)</f>
        <v>159</v>
      </c>
      <c r="P256" s="1">
        <f ca="1">IFERROR(__xludf.DUMMYFUNCTION("""COMPUTED_VALUE"""),104.9)</f>
        <v>104.9</v>
      </c>
      <c r="Q256" s="1">
        <f ca="1">IFERROR(__xludf.DUMMYFUNCTION("""COMPUTED_VALUE"""),138)</f>
        <v>138</v>
      </c>
      <c r="R256" s="1">
        <f ca="1">IFERROR(__xludf.DUMMYFUNCTION("""COMPUTED_VALUE"""),105.9)</f>
        <v>105.9</v>
      </c>
      <c r="S256" s="1">
        <f ca="1">IFERROR(__xludf.DUMMYFUNCTION("""COMPUTED_VALUE"""),203)</f>
        <v>203</v>
      </c>
      <c r="T256" s="1" t="str">
        <f ca="1">IFERROR(__xludf.DUMMYFUNCTION("""COMPUTED_VALUE"""),"+4.85")</f>
        <v>+4.85</v>
      </c>
      <c r="U256" s="1">
        <f ca="1">IFERROR(__xludf.DUMMYFUNCTION("""COMPUTED_VALUE"""),42)</f>
        <v>42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IFERROR(__xludf.DUMMYFUNCTION("""COMPUTED_VALUE"""),"South Alabama")</f>
        <v>South Alabama</v>
      </c>
      <c r="C257" s="1" t="str">
        <f ca="1">IFERROR(__xludf.DUMMYFUNCTION("""COMPUTED_VALUE"""),"SB")</f>
        <v>SB</v>
      </c>
      <c r="D257" s="1" t="str">
        <f ca="1">IFERROR(__xludf.DUMMYFUNCTION("""COMPUTED_VALUE"""),"14-18")</f>
        <v>14-18</v>
      </c>
      <c r="E257" s="1">
        <f ca="1">IFERROR(__xludf.DUMMYFUNCTION("""COMPUTED_VALUE"""),-6.76)</f>
        <v>-6.76</v>
      </c>
      <c r="F257" s="1">
        <f ca="1">IFERROR(__xludf.DUMMYFUNCTION("""COMPUTED_VALUE"""),98.7)</f>
        <v>98.7</v>
      </c>
      <c r="G257" s="1">
        <f ca="1">IFERROR(__xludf.DUMMYFUNCTION("""COMPUTED_VALUE"""),277)</f>
        <v>277</v>
      </c>
      <c r="H257" s="1">
        <f ca="1">IFERROR(__xludf.DUMMYFUNCTION("""COMPUTED_VALUE"""),105.5)</f>
        <v>105.5</v>
      </c>
      <c r="I257" s="1">
        <f ca="1">IFERROR(__xludf.DUMMYFUNCTION("""COMPUTED_VALUE"""),191)</f>
        <v>191</v>
      </c>
      <c r="J257" s="1">
        <f ca="1">IFERROR(__xludf.DUMMYFUNCTION("""COMPUTED_VALUE"""),69.7)</f>
        <v>69.7</v>
      </c>
      <c r="K257" s="1">
        <f ca="1">IFERROR(__xludf.DUMMYFUNCTION("""COMPUTED_VALUE"""),88)</f>
        <v>88</v>
      </c>
      <c r="L257" s="1" t="str">
        <f ca="1">IFERROR(__xludf.DUMMYFUNCTION("""COMPUTED_VALUE"""),"+.012")</f>
        <v>+.012</v>
      </c>
      <c r="M257" s="1">
        <f ca="1">IFERROR(__xludf.DUMMYFUNCTION("""COMPUTED_VALUE"""),160)</f>
        <v>160</v>
      </c>
      <c r="N257" s="1">
        <f ca="1">IFERROR(__xludf.DUMMYFUNCTION("""COMPUTED_VALUE"""),-2.76)</f>
        <v>-2.76</v>
      </c>
      <c r="O257" s="1">
        <f ca="1">IFERROR(__xludf.DUMMYFUNCTION("""COMPUTED_VALUE"""),213)</f>
        <v>213</v>
      </c>
      <c r="P257" s="1">
        <f ca="1">IFERROR(__xludf.DUMMYFUNCTION("""COMPUTED_VALUE"""),103.7)</f>
        <v>103.7</v>
      </c>
      <c r="Q257" s="1">
        <f ca="1">IFERROR(__xludf.DUMMYFUNCTION("""COMPUTED_VALUE"""),196)</f>
        <v>196</v>
      </c>
      <c r="R257" s="1">
        <f ca="1">IFERROR(__xludf.DUMMYFUNCTION("""COMPUTED_VALUE"""),106.4)</f>
        <v>106.4</v>
      </c>
      <c r="S257" s="1">
        <f ca="1">IFERROR(__xludf.DUMMYFUNCTION("""COMPUTED_VALUE"""),230)</f>
        <v>230</v>
      </c>
      <c r="T257" s="1">
        <f ca="1">IFERROR(__xludf.DUMMYFUNCTION("""COMPUTED_VALUE"""),-5.95)</f>
        <v>-5.95</v>
      </c>
      <c r="U257" s="1">
        <f ca="1">IFERROR(__xludf.DUMMYFUNCTION("""COMPUTED_VALUE"""),317)</f>
        <v>317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IFERROR(__xludf.DUMMYFUNCTION("""COMPUTED_VALUE"""),"USC Upstate")</f>
        <v>USC Upstate</v>
      </c>
      <c r="C258" s="1" t="str">
        <f ca="1">IFERROR(__xludf.DUMMYFUNCTION("""COMPUTED_VALUE"""),"ASun")</f>
        <v>ASun</v>
      </c>
      <c r="D258" s="1" t="str">
        <f ca="1">IFERROR(__xludf.DUMMYFUNCTION("""COMPUTED_VALUE"""),"17-16")</f>
        <v>17-16</v>
      </c>
      <c r="E258" s="1">
        <f ca="1">IFERROR(__xludf.DUMMYFUNCTION("""COMPUTED_VALUE"""),-6.89)</f>
        <v>-6.89</v>
      </c>
      <c r="F258" s="1">
        <f ca="1">IFERROR(__xludf.DUMMYFUNCTION("""COMPUTED_VALUE"""),104.2)</f>
        <v>104.2</v>
      </c>
      <c r="G258" s="1">
        <f ca="1">IFERROR(__xludf.DUMMYFUNCTION("""COMPUTED_VALUE"""),176)</f>
        <v>176</v>
      </c>
      <c r="H258" s="1">
        <f ca="1">IFERROR(__xludf.DUMMYFUNCTION("""COMPUTED_VALUE"""),111.1)</f>
        <v>111.1</v>
      </c>
      <c r="I258" s="1">
        <f ca="1">IFERROR(__xludf.DUMMYFUNCTION("""COMPUTED_VALUE"""),301)</f>
        <v>301</v>
      </c>
      <c r="J258" s="1">
        <f ca="1">IFERROR(__xludf.DUMMYFUNCTION("""COMPUTED_VALUE"""),68.4)</f>
        <v>68.400000000000006</v>
      </c>
      <c r="K258" s="1">
        <f ca="1">IFERROR(__xludf.DUMMYFUNCTION("""COMPUTED_VALUE"""),166)</f>
        <v>166</v>
      </c>
      <c r="L258" s="1" t="str">
        <f ca="1">IFERROR(__xludf.DUMMYFUNCTION("""COMPUTED_VALUE"""),"+.016")</f>
        <v>+.016</v>
      </c>
      <c r="M258" s="1">
        <f ca="1">IFERROR(__xludf.DUMMYFUNCTION("""COMPUTED_VALUE"""),146)</f>
        <v>146</v>
      </c>
      <c r="N258" s="1">
        <f ca="1">IFERROR(__xludf.DUMMYFUNCTION("""COMPUTED_VALUE"""),-4.65)</f>
        <v>-4.6500000000000004</v>
      </c>
      <c r="O258" s="1">
        <f ca="1">IFERROR(__xludf.DUMMYFUNCTION("""COMPUTED_VALUE"""),271)</f>
        <v>271</v>
      </c>
      <c r="P258" s="1">
        <f ca="1">IFERROR(__xludf.DUMMYFUNCTION("""COMPUTED_VALUE"""),103.5)</f>
        <v>103.5</v>
      </c>
      <c r="Q258" s="1">
        <f ca="1">IFERROR(__xludf.DUMMYFUNCTION("""COMPUTED_VALUE"""),210)</f>
        <v>210</v>
      </c>
      <c r="R258" s="1">
        <f ca="1">IFERROR(__xludf.DUMMYFUNCTION("""COMPUTED_VALUE"""),108.2)</f>
        <v>108.2</v>
      </c>
      <c r="S258" s="1">
        <f ca="1">IFERROR(__xludf.DUMMYFUNCTION("""COMPUTED_VALUE"""),317)</f>
        <v>317</v>
      </c>
      <c r="T258" s="1">
        <f ca="1">IFERROR(__xludf.DUMMYFUNCTION("""COMPUTED_VALUE"""),-1.08)</f>
        <v>-1.08</v>
      </c>
      <c r="U258" s="1">
        <f ca="1">IFERROR(__xludf.DUMMYFUNCTION("""COMPUTED_VALUE"""),187)</f>
        <v>187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IFERROR(__xludf.DUMMYFUNCTION("""COMPUTED_VALUE"""),"Little Rock")</f>
        <v>Little Rock</v>
      </c>
      <c r="C259" s="1" t="str">
        <f ca="1">IFERROR(__xludf.DUMMYFUNCTION("""COMPUTED_VALUE"""),"SB")</f>
        <v>SB</v>
      </c>
      <c r="D259" s="1" t="str">
        <f ca="1">IFERROR(__xludf.DUMMYFUNCTION("""COMPUTED_VALUE"""),"15-17")</f>
        <v>15-17</v>
      </c>
      <c r="E259" s="1">
        <f ca="1">IFERROR(__xludf.DUMMYFUNCTION("""COMPUTED_VALUE"""),-6.93)</f>
        <v>-6.93</v>
      </c>
      <c r="F259" s="1">
        <f ca="1">IFERROR(__xludf.DUMMYFUNCTION("""COMPUTED_VALUE"""),98.3)</f>
        <v>98.3</v>
      </c>
      <c r="G259" s="1">
        <f ca="1">IFERROR(__xludf.DUMMYFUNCTION("""COMPUTED_VALUE"""),288)</f>
        <v>288</v>
      </c>
      <c r="H259" s="1">
        <f ca="1">IFERROR(__xludf.DUMMYFUNCTION("""COMPUTED_VALUE"""),105.2)</f>
        <v>105.2</v>
      </c>
      <c r="I259" s="1">
        <f ca="1">IFERROR(__xludf.DUMMYFUNCTION("""COMPUTED_VALUE"""),185)</f>
        <v>185</v>
      </c>
      <c r="J259" s="1">
        <f ca="1">IFERROR(__xludf.DUMMYFUNCTION("""COMPUTED_VALUE"""),63.3)</f>
        <v>63.3</v>
      </c>
      <c r="K259" s="1">
        <f ca="1">IFERROR(__xludf.DUMMYFUNCTION("""COMPUTED_VALUE"""),336)</f>
        <v>336</v>
      </c>
      <c r="L259" s="1" t="str">
        <f ca="1">IFERROR(__xludf.DUMMYFUNCTION("""COMPUTED_VALUE"""),"+.023")</f>
        <v>+.023</v>
      </c>
      <c r="M259" s="1">
        <f ca="1">IFERROR(__xludf.DUMMYFUNCTION("""COMPUTED_VALUE"""),125)</f>
        <v>125</v>
      </c>
      <c r="N259" s="1">
        <f ca="1">IFERROR(__xludf.DUMMYFUNCTION("""COMPUTED_VALUE"""),-4.09)</f>
        <v>-4.09</v>
      </c>
      <c r="O259" s="1">
        <f ca="1">IFERROR(__xludf.DUMMYFUNCTION("""COMPUTED_VALUE"""),250)</f>
        <v>250</v>
      </c>
      <c r="P259" s="1">
        <f ca="1">IFERROR(__xludf.DUMMYFUNCTION("""COMPUTED_VALUE"""),103.6)</f>
        <v>103.6</v>
      </c>
      <c r="Q259" s="1">
        <f ca="1">IFERROR(__xludf.DUMMYFUNCTION("""COMPUTED_VALUE"""),199)</f>
        <v>199</v>
      </c>
      <c r="R259" s="1">
        <f ca="1">IFERROR(__xludf.DUMMYFUNCTION("""COMPUTED_VALUE"""),107.7)</f>
        <v>107.7</v>
      </c>
      <c r="S259" s="1">
        <f ca="1">IFERROR(__xludf.DUMMYFUNCTION("""COMPUTED_VALUE"""),297)</f>
        <v>297</v>
      </c>
      <c r="T259" s="1">
        <f ca="1">IFERROR(__xludf.DUMMYFUNCTION("""COMPUTED_VALUE"""),-7.34)</f>
        <v>-7.34</v>
      </c>
      <c r="U259" s="1">
        <f ca="1">IFERROR(__xludf.DUMMYFUNCTION("""COMPUTED_VALUE"""),337)</f>
        <v>337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IFERROR(__xludf.DUMMYFUNCTION("""COMPUTED_VALUE"""),"Pacific")</f>
        <v>Pacific</v>
      </c>
      <c r="C260" s="1" t="str">
        <f ca="1">IFERROR(__xludf.DUMMYFUNCTION("""COMPUTED_VALUE"""),"WCC")</f>
        <v>WCC</v>
      </c>
      <c r="D260" s="2">
        <f ca="1">IFERROR(__xludf.DUMMYFUNCTION("""COMPUTED_VALUE"""),44887)</f>
        <v>44887</v>
      </c>
      <c r="E260" s="1">
        <f ca="1">IFERROR(__xludf.DUMMYFUNCTION("""COMPUTED_VALUE"""),-6.98)</f>
        <v>-6.98</v>
      </c>
      <c r="F260" s="1">
        <f ca="1">IFERROR(__xludf.DUMMYFUNCTION("""COMPUTED_VALUE"""),99.5)</f>
        <v>99.5</v>
      </c>
      <c r="G260" s="1">
        <f ca="1">IFERROR(__xludf.DUMMYFUNCTION("""COMPUTED_VALUE"""),267)</f>
        <v>267</v>
      </c>
      <c r="H260" s="1">
        <f ca="1">IFERROR(__xludf.DUMMYFUNCTION("""COMPUTED_VALUE"""),106.5)</f>
        <v>106.5</v>
      </c>
      <c r="I260" s="1">
        <f ca="1">IFERROR(__xludf.DUMMYFUNCTION("""COMPUTED_VALUE"""),210)</f>
        <v>210</v>
      </c>
      <c r="J260" s="1">
        <f ca="1">IFERROR(__xludf.DUMMYFUNCTION("""COMPUTED_VALUE"""),66.5)</f>
        <v>66.5</v>
      </c>
      <c r="K260" s="1">
        <f ca="1">IFERROR(__xludf.DUMMYFUNCTION("""COMPUTED_VALUE"""),259)</f>
        <v>259</v>
      </c>
      <c r="L260" s="1">
        <f ca="1">IFERROR(__xludf.DUMMYFUNCTION("""COMPUTED_VALUE"""),-0.003)</f>
        <v>-3.0000000000000001E-3</v>
      </c>
      <c r="M260" s="1">
        <f ca="1">IFERROR(__xludf.DUMMYFUNCTION("""COMPUTED_VALUE"""),194)</f>
        <v>194</v>
      </c>
      <c r="N260" s="1" t="str">
        <f ca="1">IFERROR(__xludf.DUMMYFUNCTION("""COMPUTED_VALUE"""),"+1.02")</f>
        <v>+1.02</v>
      </c>
      <c r="O260" s="1">
        <f ca="1">IFERROR(__xludf.DUMMYFUNCTION("""COMPUTED_VALUE"""),111)</f>
        <v>111</v>
      </c>
      <c r="P260" s="1">
        <f ca="1">IFERROR(__xludf.DUMMYFUNCTION("""COMPUTED_VALUE"""),105)</f>
        <v>105</v>
      </c>
      <c r="Q260" s="1">
        <f ca="1">IFERROR(__xludf.DUMMYFUNCTION("""COMPUTED_VALUE"""),134)</f>
        <v>134</v>
      </c>
      <c r="R260" s="1">
        <f ca="1">IFERROR(__xludf.DUMMYFUNCTION("""COMPUTED_VALUE"""),103.9)</f>
        <v>103.9</v>
      </c>
      <c r="S260" s="1">
        <f ca="1">IFERROR(__xludf.DUMMYFUNCTION("""COMPUTED_VALUE"""),118)</f>
        <v>118</v>
      </c>
      <c r="T260" s="1">
        <f ca="1">IFERROR(__xludf.DUMMYFUNCTION("""COMPUTED_VALUE"""),-2.65)</f>
        <v>-2.65</v>
      </c>
      <c r="U260" s="1">
        <f ca="1">IFERROR(__xludf.DUMMYFUNCTION("""COMPUTED_VALUE"""),232)</f>
        <v>232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IFERROR(__xludf.DUMMYFUNCTION("""COMPUTED_VALUE"""),"Wagner")</f>
        <v>Wagner</v>
      </c>
      <c r="C261" s="1" t="str">
        <f ca="1">IFERROR(__xludf.DUMMYFUNCTION("""COMPUTED_VALUE"""),"NEC")</f>
        <v>NEC</v>
      </c>
      <c r="D261" s="1" t="str">
        <f ca="1">IFERROR(__xludf.DUMMYFUNCTION("""COMPUTED_VALUE"""),"16-14")</f>
        <v>16-14</v>
      </c>
      <c r="E261" s="1">
        <f ca="1">IFERROR(__xludf.DUMMYFUNCTION("""COMPUTED_VALUE"""),-7)</f>
        <v>-7</v>
      </c>
      <c r="F261" s="1">
        <f ca="1">IFERROR(__xludf.DUMMYFUNCTION("""COMPUTED_VALUE"""),101)</f>
        <v>101</v>
      </c>
      <c r="G261" s="1">
        <f ca="1">IFERROR(__xludf.DUMMYFUNCTION("""COMPUTED_VALUE"""),239)</f>
        <v>239</v>
      </c>
      <c r="H261" s="1">
        <f ca="1">IFERROR(__xludf.DUMMYFUNCTION("""COMPUTED_VALUE"""),108)</f>
        <v>108</v>
      </c>
      <c r="I261" s="1">
        <f ca="1">IFERROR(__xludf.DUMMYFUNCTION("""COMPUTED_VALUE"""),239)</f>
        <v>239</v>
      </c>
      <c r="J261" s="1">
        <f ca="1">IFERROR(__xludf.DUMMYFUNCTION("""COMPUTED_VALUE"""),62.9)</f>
        <v>62.9</v>
      </c>
      <c r="K261" s="1">
        <f ca="1">IFERROR(__xludf.DUMMYFUNCTION("""COMPUTED_VALUE"""),340)</f>
        <v>340</v>
      </c>
      <c r="L261" s="1">
        <f ca="1">IFERROR(__xludf.DUMMYFUNCTION("""COMPUTED_VALUE"""),-0.024)</f>
        <v>-2.4E-2</v>
      </c>
      <c r="M261" s="1">
        <f ca="1">IFERROR(__xludf.DUMMYFUNCTION("""COMPUTED_VALUE"""),248)</f>
        <v>248</v>
      </c>
      <c r="N261" s="1">
        <f ca="1">IFERROR(__xludf.DUMMYFUNCTION("""COMPUTED_VALUE"""),-8.95)</f>
        <v>-8.9499999999999993</v>
      </c>
      <c r="O261" s="1">
        <f ca="1">IFERROR(__xludf.DUMMYFUNCTION("""COMPUTED_VALUE"""),334)</f>
        <v>334</v>
      </c>
      <c r="P261" s="1">
        <f ca="1">IFERROR(__xludf.DUMMYFUNCTION("""COMPUTED_VALUE"""),98.8)</f>
        <v>98.8</v>
      </c>
      <c r="Q261" s="1">
        <f ca="1">IFERROR(__xludf.DUMMYFUNCTION("""COMPUTED_VALUE"""),339)</f>
        <v>339</v>
      </c>
      <c r="R261" s="1">
        <f ca="1">IFERROR(__xludf.DUMMYFUNCTION("""COMPUTED_VALUE"""),107.8)</f>
        <v>107.8</v>
      </c>
      <c r="S261" s="1">
        <f ca="1">IFERROR(__xludf.DUMMYFUNCTION("""COMPUTED_VALUE"""),300)</f>
        <v>300</v>
      </c>
      <c r="T261" s="1">
        <f ca="1">IFERROR(__xludf.DUMMYFUNCTION("""COMPUTED_VALUE"""),-1.05)</f>
        <v>-1.05</v>
      </c>
      <c r="U261" s="1">
        <f ca="1">IFERROR(__xludf.DUMMYFUNCTION("""COMPUTED_VALUE"""),184)</f>
        <v>184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IFERROR(__xludf.DUMMYFUNCTION("""COMPUTED_VALUE"""),"UNLV")</f>
        <v>UNLV</v>
      </c>
      <c r="C262" s="1" t="str">
        <f ca="1">IFERROR(__xludf.DUMMYFUNCTION("""COMPUTED_VALUE"""),"MWC")</f>
        <v>MWC</v>
      </c>
      <c r="D262" s="2">
        <f ca="1">IFERROR(__xludf.DUMMYFUNCTION("""COMPUTED_VALUE"""),44886)</f>
        <v>44886</v>
      </c>
      <c r="E262" s="1">
        <f ca="1">IFERROR(__xludf.DUMMYFUNCTION("""COMPUTED_VALUE"""),-7.01)</f>
        <v>-7.01</v>
      </c>
      <c r="F262" s="1">
        <f ca="1">IFERROR(__xludf.DUMMYFUNCTION("""COMPUTED_VALUE"""),98.3)</f>
        <v>98.3</v>
      </c>
      <c r="G262" s="1">
        <f ca="1">IFERROR(__xludf.DUMMYFUNCTION("""COMPUTED_VALUE"""),286)</f>
        <v>286</v>
      </c>
      <c r="H262" s="1">
        <f ca="1">IFERROR(__xludf.DUMMYFUNCTION("""COMPUTED_VALUE"""),105.3)</f>
        <v>105.3</v>
      </c>
      <c r="I262" s="1">
        <f ca="1">IFERROR(__xludf.DUMMYFUNCTION("""COMPUTED_VALUE"""),187)</f>
        <v>187</v>
      </c>
      <c r="J262" s="1">
        <f ca="1">IFERROR(__xludf.DUMMYFUNCTION("""COMPUTED_VALUE"""),68.4)</f>
        <v>68.400000000000006</v>
      </c>
      <c r="K262" s="1">
        <f ca="1">IFERROR(__xludf.DUMMYFUNCTION("""COMPUTED_VALUE"""),169)</f>
        <v>169</v>
      </c>
      <c r="L262" s="1">
        <f ca="1">IFERROR(__xludf.DUMMYFUNCTION("""COMPUTED_VALUE"""),-0.007)</f>
        <v>-7.0000000000000001E-3</v>
      </c>
      <c r="M262" s="1">
        <f ca="1">IFERROR(__xludf.DUMMYFUNCTION("""COMPUTED_VALUE"""),201)</f>
        <v>201</v>
      </c>
      <c r="N262" s="1" t="str">
        <f ca="1">IFERROR(__xludf.DUMMYFUNCTION("""COMPUTED_VALUE"""),"+0.96")</f>
        <v>+0.96</v>
      </c>
      <c r="O262" s="1">
        <f ca="1">IFERROR(__xludf.DUMMYFUNCTION("""COMPUTED_VALUE"""),115)</f>
        <v>115</v>
      </c>
      <c r="P262" s="1">
        <f ca="1">IFERROR(__xludf.DUMMYFUNCTION("""COMPUTED_VALUE"""),105.2)</f>
        <v>105.2</v>
      </c>
      <c r="Q262" s="1">
        <f ca="1">IFERROR(__xludf.DUMMYFUNCTION("""COMPUTED_VALUE"""),118)</f>
        <v>118</v>
      </c>
      <c r="R262" s="1">
        <f ca="1">IFERROR(__xludf.DUMMYFUNCTION("""COMPUTED_VALUE"""),104.3)</f>
        <v>104.3</v>
      </c>
      <c r="S262" s="1">
        <f ca="1">IFERROR(__xludf.DUMMYFUNCTION("""COMPUTED_VALUE"""),126)</f>
        <v>126</v>
      </c>
      <c r="T262" s="1">
        <f ca="1">IFERROR(__xludf.DUMMYFUNCTION("""COMPUTED_VALUE"""),-3.98)</f>
        <v>-3.98</v>
      </c>
      <c r="U262" s="1">
        <f ca="1">IFERROR(__xludf.DUMMYFUNCTION("""COMPUTED_VALUE"""),274)</f>
        <v>274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IFERROR(__xludf.DUMMYFUNCTION("""COMPUTED_VALUE"""),"Bowling Green")</f>
        <v>Bowling Green</v>
      </c>
      <c r="C263" s="1" t="str">
        <f ca="1">IFERROR(__xludf.DUMMYFUNCTION("""COMPUTED_VALUE"""),"MAC")</f>
        <v>MAC</v>
      </c>
      <c r="D263" s="1" t="str">
        <f ca="1">IFERROR(__xludf.DUMMYFUNCTION("""COMPUTED_VALUE"""),"13-19")</f>
        <v>13-19</v>
      </c>
      <c r="E263" s="1">
        <f ca="1">IFERROR(__xludf.DUMMYFUNCTION("""COMPUTED_VALUE"""),-7.16)</f>
        <v>-7.16</v>
      </c>
      <c r="F263" s="1">
        <f ca="1">IFERROR(__xludf.DUMMYFUNCTION("""COMPUTED_VALUE"""),100.1)</f>
        <v>100.1</v>
      </c>
      <c r="G263" s="1">
        <f ca="1">IFERROR(__xludf.DUMMYFUNCTION("""COMPUTED_VALUE"""),257)</f>
        <v>257</v>
      </c>
      <c r="H263" s="1">
        <f ca="1">IFERROR(__xludf.DUMMYFUNCTION("""COMPUTED_VALUE"""),107.2)</f>
        <v>107.2</v>
      </c>
      <c r="I263" s="1">
        <f ca="1">IFERROR(__xludf.DUMMYFUNCTION("""COMPUTED_VALUE"""),220)</f>
        <v>220</v>
      </c>
      <c r="J263" s="1">
        <f ca="1">IFERROR(__xludf.DUMMYFUNCTION("""COMPUTED_VALUE"""),70)</f>
        <v>70</v>
      </c>
      <c r="K263" s="1">
        <f ca="1">IFERROR(__xludf.DUMMYFUNCTION("""COMPUTED_VALUE"""),82)</f>
        <v>82</v>
      </c>
      <c r="L263" s="1" t="str">
        <f ca="1">IFERROR(__xludf.DUMMYFUNCTION("""COMPUTED_VALUE"""),"+.010")</f>
        <v>+.010</v>
      </c>
      <c r="M263" s="1">
        <f ca="1">IFERROR(__xludf.DUMMYFUNCTION("""COMPUTED_VALUE"""),165)</f>
        <v>165</v>
      </c>
      <c r="N263" s="1">
        <f ca="1">IFERROR(__xludf.DUMMYFUNCTION("""COMPUTED_VALUE"""),-1.8)</f>
        <v>-1.8</v>
      </c>
      <c r="O263" s="1">
        <f ca="1">IFERROR(__xludf.DUMMYFUNCTION("""COMPUTED_VALUE"""),185)</f>
        <v>185</v>
      </c>
      <c r="P263" s="1">
        <f ca="1">IFERROR(__xludf.DUMMYFUNCTION("""COMPUTED_VALUE"""),103.9)</f>
        <v>103.9</v>
      </c>
      <c r="Q263" s="1">
        <f ca="1">IFERROR(__xludf.DUMMYFUNCTION("""COMPUTED_VALUE"""),185)</f>
        <v>185</v>
      </c>
      <c r="R263" s="1">
        <f ca="1">IFERROR(__xludf.DUMMYFUNCTION("""COMPUTED_VALUE"""),105.7)</f>
        <v>105.7</v>
      </c>
      <c r="S263" s="1">
        <f ca="1">IFERROR(__xludf.DUMMYFUNCTION("""COMPUTED_VALUE"""),183)</f>
        <v>183</v>
      </c>
      <c r="T263" s="1">
        <f ca="1">IFERROR(__xludf.DUMMYFUNCTION("""COMPUTED_VALUE"""),-6.1)</f>
        <v>-6.1</v>
      </c>
      <c r="U263" s="1">
        <f ca="1">IFERROR(__xludf.DUMMYFUNCTION("""COMPUTED_VALUE"""),320)</f>
        <v>320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IFERROR(__xludf.DUMMYFUNCTION("""COMPUTED_VALUE"""),"Drexel")</f>
        <v>Drexel</v>
      </c>
      <c r="C264" s="1" t="str">
        <f ca="1">IFERROR(__xludf.DUMMYFUNCTION("""COMPUTED_VALUE"""),"CAA")</f>
        <v>CAA</v>
      </c>
      <c r="D264" s="2">
        <f ca="1">IFERROR(__xludf.DUMMYFUNCTION("""COMPUTED_VALUE"""),44827)</f>
        <v>44827</v>
      </c>
      <c r="E264" s="1">
        <f ca="1">IFERROR(__xludf.DUMMYFUNCTION("""COMPUTED_VALUE"""),-7.19)</f>
        <v>-7.19</v>
      </c>
      <c r="F264" s="1">
        <f ca="1">IFERROR(__xludf.DUMMYFUNCTION("""COMPUTED_VALUE"""),102.9)</f>
        <v>102.9</v>
      </c>
      <c r="G264" s="1">
        <f ca="1">IFERROR(__xludf.DUMMYFUNCTION("""COMPUTED_VALUE"""),202)</f>
        <v>202</v>
      </c>
      <c r="H264" s="1">
        <f ca="1">IFERROR(__xludf.DUMMYFUNCTION("""COMPUTED_VALUE"""),110.1)</f>
        <v>110.1</v>
      </c>
      <c r="I264" s="1">
        <f ca="1">IFERROR(__xludf.DUMMYFUNCTION("""COMPUTED_VALUE"""),283)</f>
        <v>283</v>
      </c>
      <c r="J264" s="1">
        <f ca="1">IFERROR(__xludf.DUMMYFUNCTION("""COMPUTED_VALUE"""),70.3)</f>
        <v>70.3</v>
      </c>
      <c r="K264" s="1">
        <f ca="1">IFERROR(__xludf.DUMMYFUNCTION("""COMPUTED_VALUE"""),68)</f>
        <v>68</v>
      </c>
      <c r="L264" s="1">
        <f ca="1">IFERROR(__xludf.DUMMYFUNCTION("""COMPUTED_VALUE"""),-0.089)</f>
        <v>-8.8999999999999996E-2</v>
      </c>
      <c r="M264" s="1">
        <f ca="1">IFERROR(__xludf.DUMMYFUNCTION("""COMPUTED_VALUE"""),339)</f>
        <v>339</v>
      </c>
      <c r="N264" s="1">
        <f ca="1">IFERROR(__xludf.DUMMYFUNCTION("""COMPUTED_VALUE"""),-1.26)</f>
        <v>-1.26</v>
      </c>
      <c r="O264" s="1">
        <f ca="1">IFERROR(__xludf.DUMMYFUNCTION("""COMPUTED_VALUE"""),166)</f>
        <v>166</v>
      </c>
      <c r="P264" s="1">
        <f ca="1">IFERROR(__xludf.DUMMYFUNCTION("""COMPUTED_VALUE"""),104.6)</f>
        <v>104.6</v>
      </c>
      <c r="Q264" s="1">
        <f ca="1">IFERROR(__xludf.DUMMYFUNCTION("""COMPUTED_VALUE"""),153)</f>
        <v>153</v>
      </c>
      <c r="R264" s="1">
        <f ca="1">IFERROR(__xludf.DUMMYFUNCTION("""COMPUTED_VALUE"""),105.8)</f>
        <v>105.8</v>
      </c>
      <c r="S264" s="1">
        <f ca="1">IFERROR(__xludf.DUMMYFUNCTION("""COMPUTED_VALUE"""),192)</f>
        <v>192</v>
      </c>
      <c r="T264" s="1">
        <f ca="1">IFERROR(__xludf.DUMMYFUNCTION("""COMPUTED_VALUE"""),-3.83)</f>
        <v>-3.83</v>
      </c>
      <c r="U264" s="1">
        <f ca="1">IFERROR(__xludf.DUMMYFUNCTION("""COMPUTED_VALUE"""),269)</f>
        <v>269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IFERROR(__xludf.DUMMYFUNCTION("""COMPUTED_VALUE"""),"UTSA")</f>
        <v>UTSA</v>
      </c>
      <c r="C265" s="1" t="str">
        <f ca="1">IFERROR(__xludf.DUMMYFUNCTION("""COMPUTED_VALUE"""),"CUSA")</f>
        <v>CUSA</v>
      </c>
      <c r="D265" s="1" t="str">
        <f ca="1">IFERROR(__xludf.DUMMYFUNCTION("""COMPUTED_VALUE"""),"14-19")</f>
        <v>14-19</v>
      </c>
      <c r="E265" s="1">
        <f ca="1">IFERROR(__xludf.DUMMYFUNCTION("""COMPUTED_VALUE"""),-7.25)</f>
        <v>-7.25</v>
      </c>
      <c r="F265" s="1">
        <f ca="1">IFERROR(__xludf.DUMMYFUNCTION("""COMPUTED_VALUE"""),95.4)</f>
        <v>95.4</v>
      </c>
      <c r="G265" s="1">
        <f ca="1">IFERROR(__xludf.DUMMYFUNCTION("""COMPUTED_VALUE"""),323)</f>
        <v>323</v>
      </c>
      <c r="H265" s="1">
        <f ca="1">IFERROR(__xludf.DUMMYFUNCTION("""COMPUTED_VALUE"""),102.7)</f>
        <v>102.7</v>
      </c>
      <c r="I265" s="1">
        <f ca="1">IFERROR(__xludf.DUMMYFUNCTION("""COMPUTED_VALUE"""),127)</f>
        <v>127</v>
      </c>
      <c r="J265" s="1">
        <f ca="1">IFERROR(__xludf.DUMMYFUNCTION("""COMPUTED_VALUE"""),68.1)</f>
        <v>68.099999999999994</v>
      </c>
      <c r="K265" s="1">
        <f ca="1">IFERROR(__xludf.DUMMYFUNCTION("""COMPUTED_VALUE"""),186)</f>
        <v>186</v>
      </c>
      <c r="L265" s="1" t="str">
        <f ca="1">IFERROR(__xludf.DUMMYFUNCTION("""COMPUTED_VALUE"""),"+.016")</f>
        <v>+.016</v>
      </c>
      <c r="M265" s="1">
        <f ca="1">IFERROR(__xludf.DUMMYFUNCTION("""COMPUTED_VALUE"""),145)</f>
        <v>145</v>
      </c>
      <c r="N265" s="1">
        <f ca="1">IFERROR(__xludf.DUMMYFUNCTION("""COMPUTED_VALUE"""),-2.61)</f>
        <v>-2.61</v>
      </c>
      <c r="O265" s="1">
        <f ca="1">IFERROR(__xludf.DUMMYFUNCTION("""COMPUTED_VALUE"""),206)</f>
        <v>206</v>
      </c>
      <c r="P265" s="1">
        <f ca="1">IFERROR(__xludf.DUMMYFUNCTION("""COMPUTED_VALUE"""),102.7)</f>
        <v>102.7</v>
      </c>
      <c r="Q265" s="1">
        <f ca="1">IFERROR(__xludf.DUMMYFUNCTION("""COMPUTED_VALUE"""),254)</f>
        <v>254</v>
      </c>
      <c r="R265" s="1">
        <f ca="1">IFERROR(__xludf.DUMMYFUNCTION("""COMPUTED_VALUE"""),105.3)</f>
        <v>105.3</v>
      </c>
      <c r="S265" s="1">
        <f ca="1">IFERROR(__xludf.DUMMYFUNCTION("""COMPUTED_VALUE"""),162)</f>
        <v>162</v>
      </c>
      <c r="T265" s="1">
        <f ca="1">IFERROR(__xludf.DUMMYFUNCTION("""COMPUTED_VALUE"""),-0.41)</f>
        <v>-0.41</v>
      </c>
      <c r="U265" s="1">
        <f ca="1">IFERROR(__xludf.DUMMYFUNCTION("""COMPUTED_VALUE"""),164)</f>
        <v>164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IFERROR(__xludf.DUMMYFUNCTION("""COMPUTED_VALUE"""),"Kennesaw St.")</f>
        <v>Kennesaw St.</v>
      </c>
      <c r="C266" s="1" t="str">
        <f ca="1">IFERROR(__xludf.DUMMYFUNCTION("""COMPUTED_VALUE"""),"ASun")</f>
        <v>ASun</v>
      </c>
      <c r="D266" s="1" t="str">
        <f ca="1">IFERROR(__xludf.DUMMYFUNCTION("""COMPUTED_VALUE"""),"14-18")</f>
        <v>14-18</v>
      </c>
      <c r="E266" s="1">
        <f ca="1">IFERROR(__xludf.DUMMYFUNCTION("""COMPUTED_VALUE"""),-7.52)</f>
        <v>-7.52</v>
      </c>
      <c r="F266" s="1">
        <f ca="1">IFERROR(__xludf.DUMMYFUNCTION("""COMPUTED_VALUE"""),102.6)</f>
        <v>102.6</v>
      </c>
      <c r="G266" s="1">
        <f ca="1">IFERROR(__xludf.DUMMYFUNCTION("""COMPUTED_VALUE"""),208)</f>
        <v>208</v>
      </c>
      <c r="H266" s="1">
        <f ca="1">IFERROR(__xludf.DUMMYFUNCTION("""COMPUTED_VALUE"""),110.1)</f>
        <v>110.1</v>
      </c>
      <c r="I266" s="1">
        <f ca="1">IFERROR(__xludf.DUMMYFUNCTION("""COMPUTED_VALUE"""),285)</f>
        <v>285</v>
      </c>
      <c r="J266" s="1">
        <f ca="1">IFERROR(__xludf.DUMMYFUNCTION("""COMPUTED_VALUE"""),69.4)</f>
        <v>69.400000000000006</v>
      </c>
      <c r="K266" s="1">
        <f ca="1">IFERROR(__xludf.DUMMYFUNCTION("""COMPUTED_VALUE"""),101)</f>
        <v>101</v>
      </c>
      <c r="L266" s="1" t="str">
        <f ca="1">IFERROR(__xludf.DUMMYFUNCTION("""COMPUTED_VALUE"""),"+.000")</f>
        <v>+.000</v>
      </c>
      <c r="M266" s="1">
        <f ca="1">IFERROR(__xludf.DUMMYFUNCTION("""COMPUTED_VALUE"""),187)</f>
        <v>187</v>
      </c>
      <c r="N266" s="1">
        <f ca="1">IFERROR(__xludf.DUMMYFUNCTION("""COMPUTED_VALUE"""),-4.81)</f>
        <v>-4.8099999999999996</v>
      </c>
      <c r="O266" s="1">
        <f ca="1">IFERROR(__xludf.DUMMYFUNCTION("""COMPUTED_VALUE"""),276)</f>
        <v>276</v>
      </c>
      <c r="P266" s="1">
        <f ca="1">IFERROR(__xludf.DUMMYFUNCTION("""COMPUTED_VALUE"""),103.6)</f>
        <v>103.6</v>
      </c>
      <c r="Q266" s="1">
        <f ca="1">IFERROR(__xludf.DUMMYFUNCTION("""COMPUTED_VALUE"""),202)</f>
        <v>202</v>
      </c>
      <c r="R266" s="1">
        <f ca="1">IFERROR(__xludf.DUMMYFUNCTION("""COMPUTED_VALUE"""),108.4)</f>
        <v>108.4</v>
      </c>
      <c r="S266" s="1">
        <f ca="1">IFERROR(__xludf.DUMMYFUNCTION("""COMPUTED_VALUE"""),323)</f>
        <v>323</v>
      </c>
      <c r="T266" s="1">
        <f ca="1">IFERROR(__xludf.DUMMYFUNCTION("""COMPUTED_VALUE"""),-3.58)</f>
        <v>-3.58</v>
      </c>
      <c r="U266" s="1">
        <f ca="1">IFERROR(__xludf.DUMMYFUNCTION("""COMPUTED_VALUE"""),261)</f>
        <v>261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IFERROR(__xludf.DUMMYFUNCTION("""COMPUTED_VALUE"""),"LIU Brooklyn")</f>
        <v>LIU Brooklyn</v>
      </c>
      <c r="C267" s="1" t="str">
        <f ca="1">IFERROR(__xludf.DUMMYFUNCTION("""COMPUTED_VALUE"""),"NEC")</f>
        <v>NEC</v>
      </c>
      <c r="D267" s="1" t="str">
        <f ca="1">IFERROR(__xludf.DUMMYFUNCTION("""COMPUTED_VALUE"""),"20-12")</f>
        <v>20-12</v>
      </c>
      <c r="E267" s="1">
        <f ca="1">IFERROR(__xludf.DUMMYFUNCTION("""COMPUTED_VALUE"""),-7.52)</f>
        <v>-7.52</v>
      </c>
      <c r="F267" s="1">
        <f ca="1">IFERROR(__xludf.DUMMYFUNCTION("""COMPUTED_VALUE"""),100.2)</f>
        <v>100.2</v>
      </c>
      <c r="G267" s="1">
        <f ca="1">IFERROR(__xludf.DUMMYFUNCTION("""COMPUTED_VALUE"""),254)</f>
        <v>254</v>
      </c>
      <c r="H267" s="1">
        <f ca="1">IFERROR(__xludf.DUMMYFUNCTION("""COMPUTED_VALUE"""),107.7)</f>
        <v>107.7</v>
      </c>
      <c r="I267" s="1">
        <f ca="1">IFERROR(__xludf.DUMMYFUNCTION("""COMPUTED_VALUE"""),234)</f>
        <v>234</v>
      </c>
      <c r="J267" s="1">
        <f ca="1">IFERROR(__xludf.DUMMYFUNCTION("""COMPUTED_VALUE"""),67)</f>
        <v>67</v>
      </c>
      <c r="K267" s="1">
        <f ca="1">IFERROR(__xludf.DUMMYFUNCTION("""COMPUTED_VALUE"""),235)</f>
        <v>235</v>
      </c>
      <c r="L267" s="1" t="str">
        <f ca="1">IFERROR(__xludf.DUMMYFUNCTION("""COMPUTED_VALUE"""),"+.081")</f>
        <v>+.081</v>
      </c>
      <c r="M267" s="1">
        <f ca="1">IFERROR(__xludf.DUMMYFUNCTION("""COMPUTED_VALUE"""),13)</f>
        <v>13</v>
      </c>
      <c r="N267" s="1">
        <f ca="1">IFERROR(__xludf.DUMMYFUNCTION("""COMPUTED_VALUE"""),-9.66)</f>
        <v>-9.66</v>
      </c>
      <c r="O267" s="1">
        <f ca="1">IFERROR(__xludf.DUMMYFUNCTION("""COMPUTED_VALUE"""),339)</f>
        <v>339</v>
      </c>
      <c r="P267" s="1">
        <f ca="1">IFERROR(__xludf.DUMMYFUNCTION("""COMPUTED_VALUE"""),98.6)</f>
        <v>98.6</v>
      </c>
      <c r="Q267" s="1">
        <f ca="1">IFERROR(__xludf.DUMMYFUNCTION("""COMPUTED_VALUE"""),343)</f>
        <v>343</v>
      </c>
      <c r="R267" s="1">
        <f ca="1">IFERROR(__xludf.DUMMYFUNCTION("""COMPUTED_VALUE"""),108.3)</f>
        <v>108.3</v>
      </c>
      <c r="S267" s="1">
        <f ca="1">IFERROR(__xludf.DUMMYFUNCTION("""COMPUTED_VALUE"""),321)</f>
        <v>321</v>
      </c>
      <c r="T267" s="1">
        <f ca="1">IFERROR(__xludf.DUMMYFUNCTION("""COMPUTED_VALUE"""),-5.33)</f>
        <v>-5.33</v>
      </c>
      <c r="U267" s="1">
        <f ca="1">IFERROR(__xludf.DUMMYFUNCTION("""COMPUTED_VALUE"""),306)</f>
        <v>306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IFERROR(__xludf.DUMMYFUNCTION("""COMPUTED_VALUE"""),"St. Francis PA")</f>
        <v>St. Francis PA</v>
      </c>
      <c r="C268" s="1" t="str">
        <f ca="1">IFERROR(__xludf.DUMMYFUNCTION("""COMPUTED_VALUE"""),"NEC")</f>
        <v>NEC</v>
      </c>
      <c r="D268" s="1" t="str">
        <f ca="1">IFERROR(__xludf.DUMMYFUNCTION("""COMPUTED_VALUE"""),"17-17")</f>
        <v>17-17</v>
      </c>
      <c r="E268" s="1">
        <f ca="1">IFERROR(__xludf.DUMMYFUNCTION("""COMPUTED_VALUE"""),-7.61)</f>
        <v>-7.61</v>
      </c>
      <c r="F268" s="1">
        <f ca="1">IFERROR(__xludf.DUMMYFUNCTION("""COMPUTED_VALUE"""),102.1)</f>
        <v>102.1</v>
      </c>
      <c r="G268" s="1">
        <f ca="1">IFERROR(__xludf.DUMMYFUNCTION("""COMPUTED_VALUE"""),216)</f>
        <v>216</v>
      </c>
      <c r="H268" s="1">
        <f ca="1">IFERROR(__xludf.DUMMYFUNCTION("""COMPUTED_VALUE"""),109.7)</f>
        <v>109.7</v>
      </c>
      <c r="I268" s="1">
        <f ca="1">IFERROR(__xludf.DUMMYFUNCTION("""COMPUTED_VALUE"""),275)</f>
        <v>275</v>
      </c>
      <c r="J268" s="1">
        <f ca="1">IFERROR(__xludf.DUMMYFUNCTION("""COMPUTED_VALUE"""),70.3)</f>
        <v>70.3</v>
      </c>
      <c r="K268" s="1">
        <f ca="1">IFERROR(__xludf.DUMMYFUNCTION("""COMPUTED_VALUE"""),69)</f>
        <v>69</v>
      </c>
      <c r="L268" s="1">
        <f ca="1">IFERROR(__xludf.DUMMYFUNCTION("""COMPUTED_VALUE"""),-0.001)</f>
        <v>-1E-3</v>
      </c>
      <c r="M268" s="1">
        <f ca="1">IFERROR(__xludf.DUMMYFUNCTION("""COMPUTED_VALUE"""),189)</f>
        <v>189</v>
      </c>
      <c r="N268" s="1">
        <f ca="1">IFERROR(__xludf.DUMMYFUNCTION("""COMPUTED_VALUE"""),-7.98)</f>
        <v>-7.98</v>
      </c>
      <c r="O268" s="1">
        <f ca="1">IFERROR(__xludf.DUMMYFUNCTION("""COMPUTED_VALUE"""),326)</f>
        <v>326</v>
      </c>
      <c r="P268" s="1">
        <f ca="1">IFERROR(__xludf.DUMMYFUNCTION("""COMPUTED_VALUE"""),100.1)</f>
        <v>100.1</v>
      </c>
      <c r="Q268" s="1">
        <f ca="1">IFERROR(__xludf.DUMMYFUNCTION("""COMPUTED_VALUE"""),329)</f>
        <v>329</v>
      </c>
      <c r="R268" s="1">
        <f ca="1">IFERROR(__xludf.DUMMYFUNCTION("""COMPUTED_VALUE"""),108)</f>
        <v>108</v>
      </c>
      <c r="S268" s="1">
        <f ca="1">IFERROR(__xludf.DUMMYFUNCTION("""COMPUTED_VALUE"""),310)</f>
        <v>310</v>
      </c>
      <c r="T268" s="1">
        <f ca="1">IFERROR(__xludf.DUMMYFUNCTION("""COMPUTED_VALUE"""),-1.18)</f>
        <v>-1.18</v>
      </c>
      <c r="U268" s="1">
        <f ca="1">IFERROR(__xludf.DUMMYFUNCTION("""COMPUTED_VALUE"""),190)</f>
        <v>190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IFERROR(__xludf.DUMMYFUNCTION("""COMPUTED_VALUE"""),"North Florida")</f>
        <v>North Florida</v>
      </c>
      <c r="C269" s="1" t="str">
        <f ca="1">IFERROR(__xludf.DUMMYFUNCTION("""COMPUTED_VALUE"""),"ASun")</f>
        <v>ASun</v>
      </c>
      <c r="D269" s="1" t="str">
        <f ca="1">IFERROR(__xludf.DUMMYFUNCTION("""COMPUTED_VALUE"""),"15-19")</f>
        <v>15-19</v>
      </c>
      <c r="E269" s="1">
        <f ca="1">IFERROR(__xludf.DUMMYFUNCTION("""COMPUTED_VALUE"""),-7.64)</f>
        <v>-7.64</v>
      </c>
      <c r="F269" s="1">
        <f ca="1">IFERROR(__xludf.DUMMYFUNCTION("""COMPUTED_VALUE"""),101.8)</f>
        <v>101.8</v>
      </c>
      <c r="G269" s="1">
        <f ca="1">IFERROR(__xludf.DUMMYFUNCTION("""COMPUTED_VALUE"""),221)</f>
        <v>221</v>
      </c>
      <c r="H269" s="1">
        <f ca="1">IFERROR(__xludf.DUMMYFUNCTION("""COMPUTED_VALUE"""),109.5)</f>
        <v>109.5</v>
      </c>
      <c r="I269" s="1">
        <f ca="1">IFERROR(__xludf.DUMMYFUNCTION("""COMPUTED_VALUE"""),268)</f>
        <v>268</v>
      </c>
      <c r="J269" s="1">
        <f ca="1">IFERROR(__xludf.DUMMYFUNCTION("""COMPUTED_VALUE"""),69.9)</f>
        <v>69.900000000000006</v>
      </c>
      <c r="K269" s="1">
        <f ca="1">IFERROR(__xludf.DUMMYFUNCTION("""COMPUTED_VALUE"""),86)</f>
        <v>86</v>
      </c>
      <c r="L269" s="1" t="str">
        <f ca="1">IFERROR(__xludf.DUMMYFUNCTION("""COMPUTED_VALUE"""),"+.025")</f>
        <v>+.025</v>
      </c>
      <c r="M269" s="1">
        <f ca="1">IFERROR(__xludf.DUMMYFUNCTION("""COMPUTED_VALUE"""),119)</f>
        <v>119</v>
      </c>
      <c r="N269" s="1">
        <f ca="1">IFERROR(__xludf.DUMMYFUNCTION("""COMPUTED_VALUE"""),-0.46)</f>
        <v>-0.46</v>
      </c>
      <c r="O269" s="1">
        <f ca="1">IFERROR(__xludf.DUMMYFUNCTION("""COMPUTED_VALUE"""),141)</f>
        <v>141</v>
      </c>
      <c r="P269" s="1">
        <f ca="1">IFERROR(__xludf.DUMMYFUNCTION("""COMPUTED_VALUE"""),105.9)</f>
        <v>105.9</v>
      </c>
      <c r="Q269" s="1">
        <f ca="1">IFERROR(__xludf.DUMMYFUNCTION("""COMPUTED_VALUE"""),89)</f>
        <v>89</v>
      </c>
      <c r="R269" s="1">
        <f ca="1">IFERROR(__xludf.DUMMYFUNCTION("""COMPUTED_VALUE"""),106.4)</f>
        <v>106.4</v>
      </c>
      <c r="S269" s="1">
        <f ca="1">IFERROR(__xludf.DUMMYFUNCTION("""COMPUTED_VALUE"""),231)</f>
        <v>231</v>
      </c>
      <c r="T269" s="1" t="str">
        <f ca="1">IFERROR(__xludf.DUMMYFUNCTION("""COMPUTED_VALUE"""),"+6.82")</f>
        <v>+6.82</v>
      </c>
      <c r="U269" s="1">
        <f ca="1">IFERROR(__xludf.DUMMYFUNCTION("""COMPUTED_VALUE"""),24)</f>
        <v>24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IFERROR(__xludf.DUMMYFUNCTION("""COMPUTED_VALUE"""),"Niagara")</f>
        <v>Niagara</v>
      </c>
      <c r="C270" s="1" t="str">
        <f ca="1">IFERROR(__xludf.DUMMYFUNCTION("""COMPUTED_VALUE"""),"MAAC")</f>
        <v>MAAC</v>
      </c>
      <c r="D270" s="2">
        <f ca="1">IFERROR(__xludf.DUMMYFUNCTION("""COMPUTED_VALUE"""),44857)</f>
        <v>44857</v>
      </c>
      <c r="E270" s="1">
        <f ca="1">IFERROR(__xludf.DUMMYFUNCTION("""COMPUTED_VALUE"""),-7.9)</f>
        <v>-7.9</v>
      </c>
      <c r="F270" s="1">
        <f ca="1">IFERROR(__xludf.DUMMYFUNCTION("""COMPUTED_VALUE"""),101.4)</f>
        <v>101.4</v>
      </c>
      <c r="G270" s="1">
        <f ca="1">IFERROR(__xludf.DUMMYFUNCTION("""COMPUTED_VALUE"""),232)</f>
        <v>232</v>
      </c>
      <c r="H270" s="1">
        <f ca="1">IFERROR(__xludf.DUMMYFUNCTION("""COMPUTED_VALUE"""),109.3)</f>
        <v>109.3</v>
      </c>
      <c r="I270" s="1">
        <f ca="1">IFERROR(__xludf.DUMMYFUNCTION("""COMPUTED_VALUE"""),267)</f>
        <v>267</v>
      </c>
      <c r="J270" s="1">
        <f ca="1">IFERROR(__xludf.DUMMYFUNCTION("""COMPUTED_VALUE"""),69.1)</f>
        <v>69.099999999999994</v>
      </c>
      <c r="K270" s="1">
        <f ca="1">IFERROR(__xludf.DUMMYFUNCTION("""COMPUTED_VALUE"""),114)</f>
        <v>114</v>
      </c>
      <c r="L270" s="1">
        <f ca="1">IFERROR(__xludf.DUMMYFUNCTION("""COMPUTED_VALUE"""),-0.067)</f>
        <v>-6.7000000000000004E-2</v>
      </c>
      <c r="M270" s="1">
        <f ca="1">IFERROR(__xludf.DUMMYFUNCTION("""COMPUTED_VALUE"""),320)</f>
        <v>320</v>
      </c>
      <c r="N270" s="1">
        <f ca="1">IFERROR(__xludf.DUMMYFUNCTION("""COMPUTED_VALUE"""),-3.63)</f>
        <v>-3.63</v>
      </c>
      <c r="O270" s="1">
        <f ca="1">IFERROR(__xludf.DUMMYFUNCTION("""COMPUTED_VALUE"""),242)</f>
        <v>242</v>
      </c>
      <c r="P270" s="1">
        <f ca="1">IFERROR(__xludf.DUMMYFUNCTION("""COMPUTED_VALUE"""),103)</f>
        <v>103</v>
      </c>
      <c r="Q270" s="1">
        <f ca="1">IFERROR(__xludf.DUMMYFUNCTION("""COMPUTED_VALUE"""),236)</f>
        <v>236</v>
      </c>
      <c r="R270" s="1">
        <f ca="1">IFERROR(__xludf.DUMMYFUNCTION("""COMPUTED_VALUE"""),106.6)</f>
        <v>106.6</v>
      </c>
      <c r="S270" s="1">
        <f ca="1">IFERROR(__xludf.DUMMYFUNCTION("""COMPUTED_VALUE"""),242)</f>
        <v>242</v>
      </c>
      <c r="T270" s="1">
        <f ca="1">IFERROR(__xludf.DUMMYFUNCTION("""COMPUTED_VALUE"""),-4.72)</f>
        <v>-4.72</v>
      </c>
      <c r="U270" s="1">
        <f ca="1">IFERROR(__xludf.DUMMYFUNCTION("""COMPUTED_VALUE"""),294)</f>
        <v>294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IFERROR(__xludf.DUMMYFUNCTION("""COMPUTED_VALUE"""),"Tennessee Tech")</f>
        <v>Tennessee Tech</v>
      </c>
      <c r="C271" s="1" t="str">
        <f ca="1">IFERROR(__xludf.DUMMYFUNCTION("""COMPUTED_VALUE"""),"OVC")</f>
        <v>OVC</v>
      </c>
      <c r="D271" s="2">
        <f ca="1">IFERROR(__xludf.DUMMYFUNCTION("""COMPUTED_VALUE"""),44915)</f>
        <v>44915</v>
      </c>
      <c r="E271" s="1">
        <f ca="1">IFERROR(__xludf.DUMMYFUNCTION("""COMPUTED_VALUE"""),-8.03)</f>
        <v>-8.0299999999999994</v>
      </c>
      <c r="F271" s="1">
        <f ca="1">IFERROR(__xludf.DUMMYFUNCTION("""COMPUTED_VALUE"""),98.9)</f>
        <v>98.9</v>
      </c>
      <c r="G271" s="1">
        <f ca="1">IFERROR(__xludf.DUMMYFUNCTION("""COMPUTED_VALUE"""),272)</f>
        <v>272</v>
      </c>
      <c r="H271" s="1">
        <f ca="1">IFERROR(__xludf.DUMMYFUNCTION("""COMPUTED_VALUE"""),107)</f>
        <v>107</v>
      </c>
      <c r="I271" s="1">
        <f ca="1">IFERROR(__xludf.DUMMYFUNCTION("""COMPUTED_VALUE"""),218)</f>
        <v>218</v>
      </c>
      <c r="J271" s="1">
        <f ca="1">IFERROR(__xludf.DUMMYFUNCTION("""COMPUTED_VALUE"""),68.3)</f>
        <v>68.3</v>
      </c>
      <c r="K271" s="1">
        <f ca="1">IFERROR(__xludf.DUMMYFUNCTION("""COMPUTED_VALUE"""),173)</f>
        <v>173</v>
      </c>
      <c r="L271" s="1">
        <f ca="1">IFERROR(__xludf.DUMMYFUNCTION("""COMPUTED_VALUE"""),-0.058)</f>
        <v>-5.8000000000000003E-2</v>
      </c>
      <c r="M271" s="1">
        <f ca="1">IFERROR(__xludf.DUMMYFUNCTION("""COMPUTED_VALUE"""),310)</f>
        <v>310</v>
      </c>
      <c r="N271" s="1">
        <f ca="1">IFERROR(__xludf.DUMMYFUNCTION("""COMPUTED_VALUE"""),-3.33)</f>
        <v>-3.33</v>
      </c>
      <c r="O271" s="1">
        <f ca="1">IFERROR(__xludf.DUMMYFUNCTION("""COMPUTED_VALUE"""),232)</f>
        <v>232</v>
      </c>
      <c r="P271" s="1">
        <f ca="1">IFERROR(__xludf.DUMMYFUNCTION("""COMPUTED_VALUE"""),103.5)</f>
        <v>103.5</v>
      </c>
      <c r="Q271" s="1">
        <f ca="1">IFERROR(__xludf.DUMMYFUNCTION("""COMPUTED_VALUE"""),208)</f>
        <v>208</v>
      </c>
      <c r="R271" s="1">
        <f ca="1">IFERROR(__xludf.DUMMYFUNCTION("""COMPUTED_VALUE"""),106.9)</f>
        <v>106.9</v>
      </c>
      <c r="S271" s="1">
        <f ca="1">IFERROR(__xludf.DUMMYFUNCTION("""COMPUTED_VALUE"""),259)</f>
        <v>259</v>
      </c>
      <c r="T271" s="1">
        <f ca="1">IFERROR(__xludf.DUMMYFUNCTION("""COMPUTED_VALUE"""),-2.6)</f>
        <v>-2.6</v>
      </c>
      <c r="U271" s="1">
        <f ca="1">IFERROR(__xludf.DUMMYFUNCTION("""COMPUTED_VALUE"""),230)</f>
        <v>230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IFERROR(__xludf.DUMMYFUNCTION("""COMPUTED_VALUE"""),"Drake")</f>
        <v>Drake</v>
      </c>
      <c r="C272" s="1" t="str">
        <f ca="1">IFERROR(__xludf.DUMMYFUNCTION("""COMPUTED_VALUE"""),"MVC")</f>
        <v>MVC</v>
      </c>
      <c r="D272" s="2">
        <f ca="1">IFERROR(__xludf.DUMMYFUNCTION("""COMPUTED_VALUE"""),44766)</f>
        <v>44766</v>
      </c>
      <c r="E272" s="1">
        <f ca="1">IFERROR(__xludf.DUMMYFUNCTION("""COMPUTED_VALUE"""),-8.17)</f>
        <v>-8.17</v>
      </c>
      <c r="F272" s="1">
        <f ca="1">IFERROR(__xludf.DUMMYFUNCTION("""COMPUTED_VALUE"""),103)</f>
        <v>103</v>
      </c>
      <c r="G272" s="1">
        <f ca="1">IFERROR(__xludf.DUMMYFUNCTION("""COMPUTED_VALUE"""),200)</f>
        <v>200</v>
      </c>
      <c r="H272" s="1">
        <f ca="1">IFERROR(__xludf.DUMMYFUNCTION("""COMPUTED_VALUE"""),111.1)</f>
        <v>111.1</v>
      </c>
      <c r="I272" s="1">
        <f ca="1">IFERROR(__xludf.DUMMYFUNCTION("""COMPUTED_VALUE"""),302)</f>
        <v>302</v>
      </c>
      <c r="J272" s="1">
        <f ca="1">IFERROR(__xludf.DUMMYFUNCTION("""COMPUTED_VALUE"""),69.7)</f>
        <v>69.7</v>
      </c>
      <c r="K272" s="1">
        <f ca="1">IFERROR(__xludf.DUMMYFUNCTION("""COMPUTED_VALUE"""),92)</f>
        <v>92</v>
      </c>
      <c r="L272" s="1">
        <f ca="1">IFERROR(__xludf.DUMMYFUNCTION("""COMPUTED_VALUE"""),-0.083)</f>
        <v>-8.3000000000000004E-2</v>
      </c>
      <c r="M272" s="1">
        <f ca="1">IFERROR(__xludf.DUMMYFUNCTION("""COMPUTED_VALUE"""),334)</f>
        <v>334</v>
      </c>
      <c r="N272" s="1" t="str">
        <f ca="1">IFERROR(__xludf.DUMMYFUNCTION("""COMPUTED_VALUE"""),"+0.96")</f>
        <v>+0.96</v>
      </c>
      <c r="O272" s="1">
        <f ca="1">IFERROR(__xludf.DUMMYFUNCTION("""COMPUTED_VALUE"""),114)</f>
        <v>114</v>
      </c>
      <c r="P272" s="1">
        <f ca="1">IFERROR(__xludf.DUMMYFUNCTION("""COMPUTED_VALUE"""),104)</f>
        <v>104</v>
      </c>
      <c r="Q272" s="1">
        <f ca="1">IFERROR(__xludf.DUMMYFUNCTION("""COMPUTED_VALUE"""),177)</f>
        <v>177</v>
      </c>
      <c r="R272" s="1">
        <f ca="1">IFERROR(__xludf.DUMMYFUNCTION("""COMPUTED_VALUE"""),103.1)</f>
        <v>103.1</v>
      </c>
      <c r="S272" s="1">
        <f ca="1">IFERROR(__xludf.DUMMYFUNCTION("""COMPUTED_VALUE"""),100)</f>
        <v>100</v>
      </c>
      <c r="T272" s="1">
        <f ca="1">IFERROR(__xludf.DUMMYFUNCTION("""COMPUTED_VALUE"""),-3.43)</f>
        <v>-3.43</v>
      </c>
      <c r="U272" s="1">
        <f ca="1">IFERROR(__xludf.DUMMYFUNCTION("""COMPUTED_VALUE"""),257)</f>
        <v>257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IFERROR(__xludf.DUMMYFUNCTION("""COMPUTED_VALUE"""),"Milwaukee")</f>
        <v>Milwaukee</v>
      </c>
      <c r="C273" s="1" t="str">
        <f ca="1">IFERROR(__xludf.DUMMYFUNCTION("""COMPUTED_VALUE"""),"Horz")</f>
        <v>Horz</v>
      </c>
      <c r="D273" s="2">
        <f ca="1">IFERROR(__xludf.DUMMYFUNCTION("""COMPUTED_VALUE"""),44889)</f>
        <v>44889</v>
      </c>
      <c r="E273" s="1">
        <f ca="1">IFERROR(__xludf.DUMMYFUNCTION("""COMPUTED_VALUE"""),-8.37)</f>
        <v>-8.3699999999999992</v>
      </c>
      <c r="F273" s="1">
        <f ca="1">IFERROR(__xludf.DUMMYFUNCTION("""COMPUTED_VALUE"""),99.9)</f>
        <v>99.9</v>
      </c>
      <c r="G273" s="1">
        <f ca="1">IFERROR(__xludf.DUMMYFUNCTION("""COMPUTED_VALUE"""),261)</f>
        <v>261</v>
      </c>
      <c r="H273" s="1">
        <f ca="1">IFERROR(__xludf.DUMMYFUNCTION("""COMPUTED_VALUE"""),108.3)</f>
        <v>108.3</v>
      </c>
      <c r="I273" s="1">
        <f ca="1">IFERROR(__xludf.DUMMYFUNCTION("""COMPUTED_VALUE"""),244)</f>
        <v>244</v>
      </c>
      <c r="J273" s="1">
        <f ca="1">IFERROR(__xludf.DUMMYFUNCTION("""COMPUTED_VALUE"""),62.5)</f>
        <v>62.5</v>
      </c>
      <c r="K273" s="1">
        <f ca="1">IFERROR(__xludf.DUMMYFUNCTION("""COMPUTED_VALUE"""),344)</f>
        <v>344</v>
      </c>
      <c r="L273" s="1">
        <f ca="1">IFERROR(__xludf.DUMMYFUNCTION("""COMPUTED_VALUE"""),-0.023)</f>
        <v>-2.3E-2</v>
      </c>
      <c r="M273" s="1">
        <f ca="1">IFERROR(__xludf.DUMMYFUNCTION("""COMPUTED_VALUE"""),241)</f>
        <v>241</v>
      </c>
      <c r="N273" s="1">
        <f ca="1">IFERROR(__xludf.DUMMYFUNCTION("""COMPUTED_VALUE"""),-1.39)</f>
        <v>-1.39</v>
      </c>
      <c r="O273" s="1">
        <f ca="1">IFERROR(__xludf.DUMMYFUNCTION("""COMPUTED_VALUE"""),172)</f>
        <v>172</v>
      </c>
      <c r="P273" s="1">
        <f ca="1">IFERROR(__xludf.DUMMYFUNCTION("""COMPUTED_VALUE"""),104.2)</f>
        <v>104.2</v>
      </c>
      <c r="Q273" s="1">
        <f ca="1">IFERROR(__xludf.DUMMYFUNCTION("""COMPUTED_VALUE"""),172)</f>
        <v>172</v>
      </c>
      <c r="R273" s="1">
        <f ca="1">IFERROR(__xludf.DUMMYFUNCTION("""COMPUTED_VALUE"""),105.6)</f>
        <v>105.6</v>
      </c>
      <c r="S273" s="1">
        <f ca="1">IFERROR(__xludf.DUMMYFUNCTION("""COMPUTED_VALUE"""),172)</f>
        <v>172</v>
      </c>
      <c r="T273" s="1" t="str">
        <f ca="1">IFERROR(__xludf.DUMMYFUNCTION("""COMPUTED_VALUE"""),"+2.15")</f>
        <v>+2.15</v>
      </c>
      <c r="U273" s="1">
        <f ca="1">IFERROR(__xludf.DUMMYFUNCTION("""COMPUTED_VALUE"""),89)</f>
        <v>89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IFERROR(__xludf.DUMMYFUNCTION("""COMPUTED_VALUE"""),"San Diego")</f>
        <v>San Diego</v>
      </c>
      <c r="C274" s="1" t="str">
        <f ca="1">IFERROR(__xludf.DUMMYFUNCTION("""COMPUTED_VALUE"""),"WCC")</f>
        <v>WCC</v>
      </c>
      <c r="D274" s="1" t="str">
        <f ca="1">IFERROR(__xludf.DUMMYFUNCTION("""COMPUTED_VALUE"""),"13-18")</f>
        <v>13-18</v>
      </c>
      <c r="E274" s="1">
        <f ca="1">IFERROR(__xludf.DUMMYFUNCTION("""COMPUTED_VALUE"""),-8.38)</f>
        <v>-8.3800000000000008</v>
      </c>
      <c r="F274" s="1">
        <f ca="1">IFERROR(__xludf.DUMMYFUNCTION("""COMPUTED_VALUE"""),100)</f>
        <v>100</v>
      </c>
      <c r="G274" s="1">
        <f ca="1">IFERROR(__xludf.DUMMYFUNCTION("""COMPUTED_VALUE"""),258)</f>
        <v>258</v>
      </c>
      <c r="H274" s="1">
        <f ca="1">IFERROR(__xludf.DUMMYFUNCTION("""COMPUTED_VALUE"""),108.4)</f>
        <v>108.4</v>
      </c>
      <c r="I274" s="1">
        <f ca="1">IFERROR(__xludf.DUMMYFUNCTION("""COMPUTED_VALUE"""),247)</f>
        <v>247</v>
      </c>
      <c r="J274" s="1">
        <f ca="1">IFERROR(__xludf.DUMMYFUNCTION("""COMPUTED_VALUE"""),63.3)</f>
        <v>63.3</v>
      </c>
      <c r="K274" s="1">
        <f ca="1">IFERROR(__xludf.DUMMYFUNCTION("""COMPUTED_VALUE"""),335)</f>
        <v>335</v>
      </c>
      <c r="L274" s="1" t="str">
        <f ca="1">IFERROR(__xludf.DUMMYFUNCTION("""COMPUTED_VALUE"""),"+.058")</f>
        <v>+.058</v>
      </c>
      <c r="M274" s="1">
        <f ca="1">IFERROR(__xludf.DUMMYFUNCTION("""COMPUTED_VALUE"""),42)</f>
        <v>42</v>
      </c>
      <c r="N274" s="1">
        <f ca="1">IFERROR(__xludf.DUMMYFUNCTION("""COMPUTED_VALUE"""),-0.88)</f>
        <v>-0.88</v>
      </c>
      <c r="O274" s="1">
        <f ca="1">IFERROR(__xludf.DUMMYFUNCTION("""COMPUTED_VALUE"""),153)</f>
        <v>153</v>
      </c>
      <c r="P274" s="1">
        <f ca="1">IFERROR(__xludf.DUMMYFUNCTION("""COMPUTED_VALUE"""),104)</f>
        <v>104</v>
      </c>
      <c r="Q274" s="1">
        <f ca="1">IFERROR(__xludf.DUMMYFUNCTION("""COMPUTED_VALUE"""),182)</f>
        <v>182</v>
      </c>
      <c r="R274" s="1">
        <f ca="1">IFERROR(__xludf.DUMMYFUNCTION("""COMPUTED_VALUE"""),104.8)</f>
        <v>104.8</v>
      </c>
      <c r="S274" s="1">
        <f ca="1">IFERROR(__xludf.DUMMYFUNCTION("""COMPUTED_VALUE"""),140)</f>
        <v>140</v>
      </c>
      <c r="T274" s="1">
        <f ca="1">IFERROR(__xludf.DUMMYFUNCTION("""COMPUTED_VALUE"""),-6.68)</f>
        <v>-6.68</v>
      </c>
      <c r="U274" s="1">
        <f ca="1">IFERROR(__xludf.DUMMYFUNCTION("""COMPUTED_VALUE"""),330)</f>
        <v>330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IFERROR(__xludf.DUMMYFUNCTION("""COMPUTED_VALUE"""),"Cal St. Fullerton")</f>
        <v>Cal St. Fullerton</v>
      </c>
      <c r="C275" s="1" t="str">
        <f ca="1">IFERROR(__xludf.DUMMYFUNCTION("""COMPUTED_VALUE"""),"BW")</f>
        <v>BW</v>
      </c>
      <c r="D275" s="1" t="str">
        <f ca="1">IFERROR(__xludf.DUMMYFUNCTION("""COMPUTED_VALUE"""),"17-15")</f>
        <v>17-15</v>
      </c>
      <c r="E275" s="1">
        <f ca="1">IFERROR(__xludf.DUMMYFUNCTION("""COMPUTED_VALUE"""),-8.54)</f>
        <v>-8.5399999999999991</v>
      </c>
      <c r="F275" s="1">
        <f ca="1">IFERROR(__xludf.DUMMYFUNCTION("""COMPUTED_VALUE"""),97)</f>
        <v>97</v>
      </c>
      <c r="G275" s="1">
        <f ca="1">IFERROR(__xludf.DUMMYFUNCTION("""COMPUTED_VALUE"""),305)</f>
        <v>305</v>
      </c>
      <c r="H275" s="1">
        <f ca="1">IFERROR(__xludf.DUMMYFUNCTION("""COMPUTED_VALUE"""),105.5)</f>
        <v>105.5</v>
      </c>
      <c r="I275" s="1">
        <f ca="1">IFERROR(__xludf.DUMMYFUNCTION("""COMPUTED_VALUE"""),192)</f>
        <v>192</v>
      </c>
      <c r="J275" s="1">
        <f ca="1">IFERROR(__xludf.DUMMYFUNCTION("""COMPUTED_VALUE"""),68.8)</f>
        <v>68.8</v>
      </c>
      <c r="K275" s="1">
        <f ca="1">IFERROR(__xludf.DUMMYFUNCTION("""COMPUTED_VALUE"""),129)</f>
        <v>129</v>
      </c>
      <c r="L275" s="1" t="str">
        <f ca="1">IFERROR(__xludf.DUMMYFUNCTION("""COMPUTED_VALUE"""),"+.021")</f>
        <v>+.021</v>
      </c>
      <c r="M275" s="1">
        <f ca="1">IFERROR(__xludf.DUMMYFUNCTION("""COMPUTED_VALUE"""),131)</f>
        <v>131</v>
      </c>
      <c r="N275" s="1">
        <f ca="1">IFERROR(__xludf.DUMMYFUNCTION("""COMPUTED_VALUE"""),-8.88)</f>
        <v>-8.8800000000000008</v>
      </c>
      <c r="O275" s="1">
        <f ca="1">IFERROR(__xludf.DUMMYFUNCTION("""COMPUTED_VALUE"""),333)</f>
        <v>333</v>
      </c>
      <c r="P275" s="1">
        <f ca="1">IFERROR(__xludf.DUMMYFUNCTION("""COMPUTED_VALUE"""),100)</f>
        <v>100</v>
      </c>
      <c r="Q275" s="1">
        <f ca="1">IFERROR(__xludf.DUMMYFUNCTION("""COMPUTED_VALUE"""),330)</f>
        <v>330</v>
      </c>
      <c r="R275" s="1">
        <f ca="1">IFERROR(__xludf.DUMMYFUNCTION("""COMPUTED_VALUE"""),108.9)</f>
        <v>108.9</v>
      </c>
      <c r="S275" s="1">
        <f ca="1">IFERROR(__xludf.DUMMYFUNCTION("""COMPUTED_VALUE"""),333)</f>
        <v>333</v>
      </c>
      <c r="T275" s="1">
        <f ca="1">IFERROR(__xludf.DUMMYFUNCTION("""COMPUTED_VALUE"""),-8.14)</f>
        <v>-8.14</v>
      </c>
      <c r="U275" s="1">
        <f ca="1">IFERROR(__xludf.DUMMYFUNCTION("""COMPUTED_VALUE"""),343)</f>
        <v>343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IFERROR(__xludf.DUMMYFUNCTION("""COMPUTED_VALUE"""),"Louisiana Monroe")</f>
        <v>Louisiana Monroe</v>
      </c>
      <c r="C276" s="1" t="str">
        <f ca="1">IFERROR(__xludf.DUMMYFUNCTION("""COMPUTED_VALUE"""),"SB")</f>
        <v>SB</v>
      </c>
      <c r="D276" s="2">
        <f ca="1">IFERROR(__xludf.DUMMYFUNCTION("""COMPUTED_VALUE"""),44828)</f>
        <v>44828</v>
      </c>
      <c r="E276" s="1">
        <f ca="1">IFERROR(__xludf.DUMMYFUNCTION("""COMPUTED_VALUE"""),-8.54)</f>
        <v>-8.5399999999999991</v>
      </c>
      <c r="F276" s="1">
        <f ca="1">IFERROR(__xludf.DUMMYFUNCTION("""COMPUTED_VALUE"""),98.3)</f>
        <v>98.3</v>
      </c>
      <c r="G276" s="1">
        <f ca="1">IFERROR(__xludf.DUMMYFUNCTION("""COMPUTED_VALUE"""),287)</f>
        <v>287</v>
      </c>
      <c r="H276" s="1">
        <f ca="1">IFERROR(__xludf.DUMMYFUNCTION("""COMPUTED_VALUE"""),106.8)</f>
        <v>106.8</v>
      </c>
      <c r="I276" s="1">
        <f ca="1">IFERROR(__xludf.DUMMYFUNCTION("""COMPUTED_VALUE"""),214)</f>
        <v>214</v>
      </c>
      <c r="J276" s="1">
        <f ca="1">IFERROR(__xludf.DUMMYFUNCTION("""COMPUTED_VALUE"""),65)</f>
        <v>65</v>
      </c>
      <c r="K276" s="1">
        <f ca="1">IFERROR(__xludf.DUMMYFUNCTION("""COMPUTED_VALUE"""),305)</f>
        <v>305</v>
      </c>
      <c r="L276" s="1">
        <f ca="1">IFERROR(__xludf.DUMMYFUNCTION("""COMPUTED_VALUE"""),-0.116)</f>
        <v>-0.11600000000000001</v>
      </c>
      <c r="M276" s="1">
        <f ca="1">IFERROR(__xludf.DUMMYFUNCTION("""COMPUTED_VALUE"""),349)</f>
        <v>349</v>
      </c>
      <c r="N276" s="1">
        <f ca="1">IFERROR(__xludf.DUMMYFUNCTION("""COMPUTED_VALUE"""),-1.53)</f>
        <v>-1.53</v>
      </c>
      <c r="O276" s="1">
        <f ca="1">IFERROR(__xludf.DUMMYFUNCTION("""COMPUTED_VALUE"""),178)</f>
        <v>178</v>
      </c>
      <c r="P276" s="1">
        <f ca="1">IFERROR(__xludf.DUMMYFUNCTION("""COMPUTED_VALUE"""),103.6)</f>
        <v>103.6</v>
      </c>
      <c r="Q276" s="1">
        <f ca="1">IFERROR(__xludf.DUMMYFUNCTION("""COMPUTED_VALUE"""),201)</f>
        <v>201</v>
      </c>
      <c r="R276" s="1">
        <f ca="1">IFERROR(__xludf.DUMMYFUNCTION("""COMPUTED_VALUE"""),105.1)</f>
        <v>105.1</v>
      </c>
      <c r="S276" s="1">
        <f ca="1">IFERROR(__xludf.DUMMYFUNCTION("""COMPUTED_VALUE"""),151)</f>
        <v>151</v>
      </c>
      <c r="T276" s="1">
        <f ca="1">IFERROR(__xludf.DUMMYFUNCTION("""COMPUTED_VALUE"""),-3.54)</f>
        <v>-3.54</v>
      </c>
      <c r="U276" s="1">
        <f ca="1">IFERROR(__xludf.DUMMYFUNCTION("""COMPUTED_VALUE"""),258)</f>
        <v>258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IFERROR(__xludf.DUMMYFUNCTION("""COMPUTED_VALUE"""),"Cornell")</f>
        <v>Cornell</v>
      </c>
      <c r="C277" s="1" t="str">
        <f ca="1">IFERROR(__xludf.DUMMYFUNCTION("""COMPUTED_VALUE"""),"Ivy")</f>
        <v>Ivy</v>
      </c>
      <c r="D277" s="2">
        <f ca="1">IFERROR(__xludf.DUMMYFUNCTION("""COMPUTED_VALUE"""),44794)</f>
        <v>44794</v>
      </c>
      <c r="E277" s="1">
        <f ca="1">IFERROR(__xludf.DUMMYFUNCTION("""COMPUTED_VALUE"""),-8.67)</f>
        <v>-8.67</v>
      </c>
      <c r="F277" s="1">
        <f ca="1">IFERROR(__xludf.DUMMYFUNCTION("""COMPUTED_VALUE"""),99.7)</f>
        <v>99.7</v>
      </c>
      <c r="G277" s="1">
        <f ca="1">IFERROR(__xludf.DUMMYFUNCTION("""COMPUTED_VALUE"""),265)</f>
        <v>265</v>
      </c>
      <c r="H277" s="1">
        <f ca="1">IFERROR(__xludf.DUMMYFUNCTION("""COMPUTED_VALUE"""),108.4)</f>
        <v>108.4</v>
      </c>
      <c r="I277" s="1">
        <f ca="1">IFERROR(__xludf.DUMMYFUNCTION("""COMPUTED_VALUE"""),245)</f>
        <v>245</v>
      </c>
      <c r="J277" s="1">
        <f ca="1">IFERROR(__xludf.DUMMYFUNCTION("""COMPUTED_VALUE"""),69.7)</f>
        <v>69.7</v>
      </c>
      <c r="K277" s="1">
        <f ca="1">IFERROR(__xludf.DUMMYFUNCTION("""COMPUTED_VALUE"""),89)</f>
        <v>89</v>
      </c>
      <c r="L277" s="1">
        <f ca="1">IFERROR(__xludf.DUMMYFUNCTION("""COMPUTED_VALUE"""),-0.032)</f>
        <v>-3.2000000000000001E-2</v>
      </c>
      <c r="M277" s="1">
        <f ca="1">IFERROR(__xludf.DUMMYFUNCTION("""COMPUTED_VALUE"""),262)</f>
        <v>262</v>
      </c>
      <c r="N277" s="1">
        <f ca="1">IFERROR(__xludf.DUMMYFUNCTION("""COMPUTED_VALUE"""),-0.48)</f>
        <v>-0.48</v>
      </c>
      <c r="O277" s="1">
        <f ca="1">IFERROR(__xludf.DUMMYFUNCTION("""COMPUTED_VALUE"""),142)</f>
        <v>142</v>
      </c>
      <c r="P277" s="1">
        <f ca="1">IFERROR(__xludf.DUMMYFUNCTION("""COMPUTED_VALUE"""),105.3)</f>
        <v>105.3</v>
      </c>
      <c r="Q277" s="1">
        <f ca="1">IFERROR(__xludf.DUMMYFUNCTION("""COMPUTED_VALUE"""),115)</f>
        <v>115</v>
      </c>
      <c r="R277" s="1">
        <f ca="1">IFERROR(__xludf.DUMMYFUNCTION("""COMPUTED_VALUE"""),105.8)</f>
        <v>105.8</v>
      </c>
      <c r="S277" s="1">
        <f ca="1">IFERROR(__xludf.DUMMYFUNCTION("""COMPUTED_VALUE"""),191)</f>
        <v>191</v>
      </c>
      <c r="T277" s="1" t="str">
        <f ca="1">IFERROR(__xludf.DUMMYFUNCTION("""COMPUTED_VALUE"""),"+1.71")</f>
        <v>+1.71</v>
      </c>
      <c r="U277" s="1">
        <f ca="1">IFERROR(__xludf.DUMMYFUNCTION("""COMPUTED_VALUE"""),104)</f>
        <v>104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IFERROR(__xludf.DUMMYFUNCTION("""COMPUTED_VALUE"""),"Oregon St.")</f>
        <v>Oregon St.</v>
      </c>
      <c r="C278" s="1" t="str">
        <f ca="1">IFERROR(__xludf.DUMMYFUNCTION("""COMPUTED_VALUE"""),"P12")</f>
        <v>P12</v>
      </c>
      <c r="D278" s="2">
        <f ca="1">IFERROR(__xludf.DUMMYFUNCTION("""COMPUTED_VALUE"""),44708)</f>
        <v>44708</v>
      </c>
      <c r="E278" s="1">
        <f ca="1">IFERROR(__xludf.DUMMYFUNCTION("""COMPUTED_VALUE"""),-8.72)</f>
        <v>-8.7200000000000006</v>
      </c>
      <c r="F278" s="1">
        <f ca="1">IFERROR(__xludf.DUMMYFUNCTION("""COMPUTED_VALUE"""),97)</f>
        <v>97</v>
      </c>
      <c r="G278" s="1">
        <f ca="1">IFERROR(__xludf.DUMMYFUNCTION("""COMPUTED_VALUE"""),301)</f>
        <v>301</v>
      </c>
      <c r="H278" s="1">
        <f ca="1">IFERROR(__xludf.DUMMYFUNCTION("""COMPUTED_VALUE"""),105.8)</f>
        <v>105.8</v>
      </c>
      <c r="I278" s="1">
        <f ca="1">IFERROR(__xludf.DUMMYFUNCTION("""COMPUTED_VALUE"""),194)</f>
        <v>194</v>
      </c>
      <c r="J278" s="1">
        <f ca="1">IFERROR(__xludf.DUMMYFUNCTION("""COMPUTED_VALUE"""),64.6)</f>
        <v>64.599999999999994</v>
      </c>
      <c r="K278" s="1">
        <f ca="1">IFERROR(__xludf.DUMMYFUNCTION("""COMPUTED_VALUE"""),312)</f>
        <v>312</v>
      </c>
      <c r="L278" s="1">
        <f ca="1">IFERROR(__xludf.DUMMYFUNCTION("""COMPUTED_VALUE"""),-0.067)</f>
        <v>-6.7000000000000004E-2</v>
      </c>
      <c r="M278" s="1">
        <f ca="1">IFERROR(__xludf.DUMMYFUNCTION("""COMPUTED_VALUE"""),321)</f>
        <v>321</v>
      </c>
      <c r="N278" s="1" t="str">
        <f ca="1">IFERROR(__xludf.DUMMYFUNCTION("""COMPUTED_VALUE"""),"+5.87")</f>
        <v>+5.87</v>
      </c>
      <c r="O278" s="1">
        <f ca="1">IFERROR(__xludf.DUMMYFUNCTION("""COMPUTED_VALUE"""),69)</f>
        <v>69</v>
      </c>
      <c r="P278" s="1">
        <f ca="1">IFERROR(__xludf.DUMMYFUNCTION("""COMPUTED_VALUE"""),108.2)</f>
        <v>108.2</v>
      </c>
      <c r="Q278" s="1">
        <f ca="1">IFERROR(__xludf.DUMMYFUNCTION("""COMPUTED_VALUE"""),63)</f>
        <v>63</v>
      </c>
      <c r="R278" s="1">
        <f ca="1">IFERROR(__xludf.DUMMYFUNCTION("""COMPUTED_VALUE"""),102.4)</f>
        <v>102.4</v>
      </c>
      <c r="S278" s="1">
        <f ca="1">IFERROR(__xludf.DUMMYFUNCTION("""COMPUTED_VALUE"""),76)</f>
        <v>76</v>
      </c>
      <c r="T278" s="1">
        <f ca="1">IFERROR(__xludf.DUMMYFUNCTION("""COMPUTED_VALUE"""),-5.07)</f>
        <v>-5.07</v>
      </c>
      <c r="U278" s="1">
        <f ca="1">IFERROR(__xludf.DUMMYFUNCTION("""COMPUTED_VALUE"""),300)</f>
        <v>300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IFERROR(__xludf.DUMMYFUNCTION("""COMPUTED_VALUE"""),"Seattle")</f>
        <v>Seattle</v>
      </c>
      <c r="C279" s="1" t="str">
        <f ca="1">IFERROR(__xludf.DUMMYFUNCTION("""COMPUTED_VALUE"""),"WAC")</f>
        <v>WAC</v>
      </c>
      <c r="D279" s="1" t="str">
        <f ca="1">IFERROR(__xludf.DUMMYFUNCTION("""COMPUTED_VALUE"""),"13-17")</f>
        <v>13-17</v>
      </c>
      <c r="E279" s="1">
        <f ca="1">IFERROR(__xludf.DUMMYFUNCTION("""COMPUTED_VALUE"""),-8.75)</f>
        <v>-8.75</v>
      </c>
      <c r="F279" s="1">
        <f ca="1">IFERROR(__xludf.DUMMYFUNCTION("""COMPUTED_VALUE"""),96)</f>
        <v>96</v>
      </c>
      <c r="G279" s="1">
        <f ca="1">IFERROR(__xludf.DUMMYFUNCTION("""COMPUTED_VALUE"""),318)</f>
        <v>318</v>
      </c>
      <c r="H279" s="1">
        <f ca="1">IFERROR(__xludf.DUMMYFUNCTION("""COMPUTED_VALUE"""),104.7)</f>
        <v>104.7</v>
      </c>
      <c r="I279" s="1">
        <f ca="1">IFERROR(__xludf.DUMMYFUNCTION("""COMPUTED_VALUE"""),177)</f>
        <v>177</v>
      </c>
      <c r="J279" s="1">
        <f ca="1">IFERROR(__xludf.DUMMYFUNCTION("""COMPUTED_VALUE"""),67.6)</f>
        <v>67.599999999999994</v>
      </c>
      <c r="K279" s="1">
        <f ca="1">IFERROR(__xludf.DUMMYFUNCTION("""COMPUTED_VALUE"""),208)</f>
        <v>208</v>
      </c>
      <c r="L279" s="1">
        <f ca="1">IFERROR(__xludf.DUMMYFUNCTION("""COMPUTED_VALUE"""),-0.023)</f>
        <v>-2.3E-2</v>
      </c>
      <c r="M279" s="1">
        <f ca="1">IFERROR(__xludf.DUMMYFUNCTION("""COMPUTED_VALUE"""),242)</f>
        <v>242</v>
      </c>
      <c r="N279" s="1">
        <f ca="1">IFERROR(__xludf.DUMMYFUNCTION("""COMPUTED_VALUE"""),-4.29)</f>
        <v>-4.29</v>
      </c>
      <c r="O279" s="1">
        <f ca="1">IFERROR(__xludf.DUMMYFUNCTION("""COMPUTED_VALUE"""),258)</f>
        <v>258</v>
      </c>
      <c r="P279" s="1">
        <f ca="1">IFERROR(__xludf.DUMMYFUNCTION("""COMPUTED_VALUE"""),101.6)</f>
        <v>101.6</v>
      </c>
      <c r="Q279" s="1">
        <f ca="1">IFERROR(__xludf.DUMMYFUNCTION("""COMPUTED_VALUE"""),290)</f>
        <v>290</v>
      </c>
      <c r="R279" s="1">
        <f ca="1">IFERROR(__xludf.DUMMYFUNCTION("""COMPUTED_VALUE"""),105.9)</f>
        <v>105.9</v>
      </c>
      <c r="S279" s="1">
        <f ca="1">IFERROR(__xludf.DUMMYFUNCTION("""COMPUTED_VALUE"""),196)</f>
        <v>196</v>
      </c>
      <c r="T279" s="1">
        <f ca="1">IFERROR(__xludf.DUMMYFUNCTION("""COMPUTED_VALUE"""),-6.58)</f>
        <v>-6.58</v>
      </c>
      <c r="U279" s="1">
        <f ca="1">IFERROR(__xludf.DUMMYFUNCTION("""COMPUTED_VALUE"""),328)</f>
        <v>328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IFERROR(__xludf.DUMMYFUNCTION("""COMPUTED_VALUE"""),"Robert Morris")</f>
        <v>Robert Morris</v>
      </c>
      <c r="C280" s="1" t="str">
        <f ca="1">IFERROR(__xludf.DUMMYFUNCTION("""COMPUTED_VALUE"""),"NEC")</f>
        <v>NEC</v>
      </c>
      <c r="D280" s="1" t="str">
        <f ca="1">IFERROR(__xludf.DUMMYFUNCTION("""COMPUTED_VALUE"""),"14-19")</f>
        <v>14-19</v>
      </c>
      <c r="E280" s="1">
        <f ca="1">IFERROR(__xludf.DUMMYFUNCTION("""COMPUTED_VALUE"""),-8.77)</f>
        <v>-8.77</v>
      </c>
      <c r="F280" s="1">
        <f ca="1">IFERROR(__xludf.DUMMYFUNCTION("""COMPUTED_VALUE"""),91.6)</f>
        <v>91.6</v>
      </c>
      <c r="G280" s="1">
        <f ca="1">IFERROR(__xludf.DUMMYFUNCTION("""COMPUTED_VALUE"""),341)</f>
        <v>341</v>
      </c>
      <c r="H280" s="1">
        <f ca="1">IFERROR(__xludf.DUMMYFUNCTION("""COMPUTED_VALUE"""),100.4)</f>
        <v>100.4</v>
      </c>
      <c r="I280" s="1">
        <f ca="1">IFERROR(__xludf.DUMMYFUNCTION("""COMPUTED_VALUE"""),84)</f>
        <v>84</v>
      </c>
      <c r="J280" s="1">
        <f ca="1">IFERROR(__xludf.DUMMYFUNCTION("""COMPUTED_VALUE"""),68.8)</f>
        <v>68.8</v>
      </c>
      <c r="K280" s="1">
        <f ca="1">IFERROR(__xludf.DUMMYFUNCTION("""COMPUTED_VALUE"""),133)</f>
        <v>133</v>
      </c>
      <c r="L280" s="1" t="str">
        <f ca="1">IFERROR(__xludf.DUMMYFUNCTION("""COMPUTED_VALUE"""),"+.032")</f>
        <v>+.032</v>
      </c>
      <c r="M280" s="1">
        <f ca="1">IFERROR(__xludf.DUMMYFUNCTION("""COMPUTED_VALUE"""),94)</f>
        <v>94</v>
      </c>
      <c r="N280" s="1">
        <f ca="1">IFERROR(__xludf.DUMMYFUNCTION("""COMPUTED_VALUE"""),-5.36)</f>
        <v>-5.36</v>
      </c>
      <c r="O280" s="1">
        <f ca="1">IFERROR(__xludf.DUMMYFUNCTION("""COMPUTED_VALUE"""),290)</f>
        <v>290</v>
      </c>
      <c r="P280" s="1">
        <f ca="1">IFERROR(__xludf.DUMMYFUNCTION("""COMPUTED_VALUE"""),101.3)</f>
        <v>101.3</v>
      </c>
      <c r="Q280" s="1">
        <f ca="1">IFERROR(__xludf.DUMMYFUNCTION("""COMPUTED_VALUE"""),302)</f>
        <v>302</v>
      </c>
      <c r="R280" s="1">
        <f ca="1">IFERROR(__xludf.DUMMYFUNCTION("""COMPUTED_VALUE"""),106.6)</f>
        <v>106.6</v>
      </c>
      <c r="S280" s="1">
        <f ca="1">IFERROR(__xludf.DUMMYFUNCTION("""COMPUTED_VALUE"""),248)</f>
        <v>248</v>
      </c>
      <c r="T280" s="1" t="str">
        <f ca="1">IFERROR(__xludf.DUMMYFUNCTION("""COMPUTED_VALUE"""),"+3.99")</f>
        <v>+3.99</v>
      </c>
      <c r="U280" s="1">
        <f ca="1">IFERROR(__xludf.DUMMYFUNCTION("""COMPUTED_VALUE"""),52)</f>
        <v>52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IFERROR(__xludf.DUMMYFUNCTION("""COMPUTED_VALUE"""),"Fairleigh Dickinson")</f>
        <v>Fairleigh Dickinson</v>
      </c>
      <c r="C281" s="1" t="str">
        <f ca="1">IFERROR(__xludf.DUMMYFUNCTION("""COMPUTED_VALUE"""),"NEC")</f>
        <v>NEC</v>
      </c>
      <c r="D281" s="2">
        <f ca="1">IFERROR(__xludf.DUMMYFUNCTION("""COMPUTED_VALUE"""),44884)</f>
        <v>44884</v>
      </c>
      <c r="E281" s="1">
        <f ca="1">IFERROR(__xludf.DUMMYFUNCTION("""COMPUTED_VALUE"""),-8.78)</f>
        <v>-8.7799999999999994</v>
      </c>
      <c r="F281" s="1">
        <f ca="1">IFERROR(__xludf.DUMMYFUNCTION("""COMPUTED_VALUE"""),103.1)</f>
        <v>103.1</v>
      </c>
      <c r="G281" s="1">
        <f ca="1">IFERROR(__xludf.DUMMYFUNCTION("""COMPUTED_VALUE"""),196)</f>
        <v>196</v>
      </c>
      <c r="H281" s="1">
        <f ca="1">IFERROR(__xludf.DUMMYFUNCTION("""COMPUTED_VALUE"""),111.9)</f>
        <v>111.9</v>
      </c>
      <c r="I281" s="1">
        <f ca="1">IFERROR(__xludf.DUMMYFUNCTION("""COMPUTED_VALUE"""),305)</f>
        <v>305</v>
      </c>
      <c r="J281" s="1">
        <f ca="1">IFERROR(__xludf.DUMMYFUNCTION("""COMPUTED_VALUE"""),69)</f>
        <v>69</v>
      </c>
      <c r="K281" s="1">
        <f ca="1">IFERROR(__xludf.DUMMYFUNCTION("""COMPUTED_VALUE"""),115)</f>
        <v>115</v>
      </c>
      <c r="L281" s="1">
        <f ca="1">IFERROR(__xludf.DUMMYFUNCTION("""COMPUTED_VALUE"""),-0.05)</f>
        <v>-0.05</v>
      </c>
      <c r="M281" s="1">
        <f ca="1">IFERROR(__xludf.DUMMYFUNCTION("""COMPUTED_VALUE"""),296)</f>
        <v>296</v>
      </c>
      <c r="N281" s="1">
        <f ca="1">IFERROR(__xludf.DUMMYFUNCTION("""COMPUTED_VALUE"""),-5.02)</f>
        <v>-5.0199999999999996</v>
      </c>
      <c r="O281" s="1">
        <f ca="1">IFERROR(__xludf.DUMMYFUNCTION("""COMPUTED_VALUE"""),280)</f>
        <v>280</v>
      </c>
      <c r="P281" s="1">
        <f ca="1">IFERROR(__xludf.DUMMYFUNCTION("""COMPUTED_VALUE"""),100.5)</f>
        <v>100.5</v>
      </c>
      <c r="Q281" s="1">
        <f ca="1">IFERROR(__xludf.DUMMYFUNCTION("""COMPUTED_VALUE"""),321)</f>
        <v>321</v>
      </c>
      <c r="R281" s="1">
        <f ca="1">IFERROR(__xludf.DUMMYFUNCTION("""COMPUTED_VALUE"""),105.6)</f>
        <v>105.6</v>
      </c>
      <c r="S281" s="1">
        <f ca="1">IFERROR(__xludf.DUMMYFUNCTION("""COMPUTED_VALUE"""),173)</f>
        <v>173</v>
      </c>
      <c r="T281" s="1" t="str">
        <f ca="1">IFERROR(__xludf.DUMMYFUNCTION("""COMPUTED_VALUE"""),"+7.64")</f>
        <v>+7.64</v>
      </c>
      <c r="U281" s="1">
        <f ca="1">IFERROR(__xludf.DUMMYFUNCTION("""COMPUTED_VALUE"""),19)</f>
        <v>19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IFERROR(__xludf.DUMMYFUNCTION("""COMPUTED_VALUE"""),"Colgate")</f>
        <v>Colgate</v>
      </c>
      <c r="C282" s="1" t="str">
        <f ca="1">IFERROR(__xludf.DUMMYFUNCTION("""COMPUTED_VALUE"""),"Pat")</f>
        <v>Pat</v>
      </c>
      <c r="D282" s="2">
        <f ca="1">IFERROR(__xludf.DUMMYFUNCTION("""COMPUTED_VALUE"""),44856)</f>
        <v>44856</v>
      </c>
      <c r="E282" s="1">
        <f ca="1">IFERROR(__xludf.DUMMYFUNCTION("""COMPUTED_VALUE"""),-8.85)</f>
        <v>-8.85</v>
      </c>
      <c r="F282" s="1">
        <f ca="1">IFERROR(__xludf.DUMMYFUNCTION("""COMPUTED_VALUE"""),98.8)</f>
        <v>98.8</v>
      </c>
      <c r="G282" s="1">
        <f ca="1">IFERROR(__xludf.DUMMYFUNCTION("""COMPUTED_VALUE"""),276)</f>
        <v>276</v>
      </c>
      <c r="H282" s="1">
        <f ca="1">IFERROR(__xludf.DUMMYFUNCTION("""COMPUTED_VALUE"""),107.6)</f>
        <v>107.6</v>
      </c>
      <c r="I282" s="1">
        <f ca="1">IFERROR(__xludf.DUMMYFUNCTION("""COMPUTED_VALUE"""),231)</f>
        <v>231</v>
      </c>
      <c r="J282" s="1">
        <f ca="1">IFERROR(__xludf.DUMMYFUNCTION("""COMPUTED_VALUE"""),65.1)</f>
        <v>65.099999999999994</v>
      </c>
      <c r="K282" s="1">
        <f ca="1">IFERROR(__xludf.DUMMYFUNCTION("""COMPUTED_VALUE"""),303)</f>
        <v>303</v>
      </c>
      <c r="L282" s="1">
        <f ca="1">IFERROR(__xludf.DUMMYFUNCTION("""COMPUTED_VALUE"""),-0.013)</f>
        <v>-1.2999999999999999E-2</v>
      </c>
      <c r="M282" s="1">
        <f ca="1">IFERROR(__xludf.DUMMYFUNCTION("""COMPUTED_VALUE"""),219)</f>
        <v>219</v>
      </c>
      <c r="N282" s="1">
        <f ca="1">IFERROR(__xludf.DUMMYFUNCTION("""COMPUTED_VALUE"""),-2.84)</f>
        <v>-2.84</v>
      </c>
      <c r="O282" s="1">
        <f ca="1">IFERROR(__xludf.DUMMYFUNCTION("""COMPUTED_VALUE"""),217)</f>
        <v>217</v>
      </c>
      <c r="P282" s="1">
        <f ca="1">IFERROR(__xludf.DUMMYFUNCTION("""COMPUTED_VALUE"""),102.6)</f>
        <v>102.6</v>
      </c>
      <c r="Q282" s="1">
        <f ca="1">IFERROR(__xludf.DUMMYFUNCTION("""COMPUTED_VALUE"""),256)</f>
        <v>256</v>
      </c>
      <c r="R282" s="1">
        <f ca="1">IFERROR(__xludf.DUMMYFUNCTION("""COMPUTED_VALUE"""),105.4)</f>
        <v>105.4</v>
      </c>
      <c r="S282" s="1">
        <f ca="1">IFERROR(__xludf.DUMMYFUNCTION("""COMPUTED_VALUE"""),169)</f>
        <v>169</v>
      </c>
      <c r="T282" s="1">
        <f ca="1">IFERROR(__xludf.DUMMYFUNCTION("""COMPUTED_VALUE"""),-1.04)</f>
        <v>-1.04</v>
      </c>
      <c r="U282" s="1">
        <f ca="1">IFERROR(__xludf.DUMMYFUNCTION("""COMPUTED_VALUE"""),183)</f>
        <v>183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IFERROR(__xludf.DUMMYFUNCTION("""COMPUTED_VALUE"""),"Hawaii")</f>
        <v>Hawaii</v>
      </c>
      <c r="C283" s="1" t="str">
        <f ca="1">IFERROR(__xludf.DUMMYFUNCTION("""COMPUTED_VALUE"""),"BW")</f>
        <v>BW</v>
      </c>
      <c r="D283" s="1" t="str">
        <f ca="1">IFERROR(__xludf.DUMMYFUNCTION("""COMPUTED_VALUE"""),"14-16")</f>
        <v>14-16</v>
      </c>
      <c r="E283" s="1">
        <f ca="1">IFERROR(__xludf.DUMMYFUNCTION("""COMPUTED_VALUE"""),-8.98)</f>
        <v>-8.98</v>
      </c>
      <c r="F283" s="1">
        <f ca="1">IFERROR(__xludf.DUMMYFUNCTION("""COMPUTED_VALUE"""),97)</f>
        <v>97</v>
      </c>
      <c r="G283" s="1">
        <f ca="1">IFERROR(__xludf.DUMMYFUNCTION("""COMPUTED_VALUE"""),302)</f>
        <v>302</v>
      </c>
      <c r="H283" s="1">
        <f ca="1">IFERROR(__xludf.DUMMYFUNCTION("""COMPUTED_VALUE"""),106)</f>
        <v>106</v>
      </c>
      <c r="I283" s="1">
        <f ca="1">IFERROR(__xludf.DUMMYFUNCTION("""COMPUTED_VALUE"""),200)</f>
        <v>200</v>
      </c>
      <c r="J283" s="1">
        <f ca="1">IFERROR(__xludf.DUMMYFUNCTION("""COMPUTED_VALUE"""),67.1)</f>
        <v>67.099999999999994</v>
      </c>
      <c r="K283" s="1">
        <f ca="1">IFERROR(__xludf.DUMMYFUNCTION("""COMPUTED_VALUE"""),226)</f>
        <v>226</v>
      </c>
      <c r="L283" s="1">
        <f ca="1">IFERROR(__xludf.DUMMYFUNCTION("""COMPUTED_VALUE"""),-0.012)</f>
        <v>-1.2E-2</v>
      </c>
      <c r="M283" s="1">
        <f ca="1">IFERROR(__xludf.DUMMYFUNCTION("""COMPUTED_VALUE"""),216)</f>
        <v>216</v>
      </c>
      <c r="N283" s="1">
        <f ca="1">IFERROR(__xludf.DUMMYFUNCTION("""COMPUTED_VALUE"""),-8.18)</f>
        <v>-8.18</v>
      </c>
      <c r="O283" s="1">
        <f ca="1">IFERROR(__xludf.DUMMYFUNCTION("""COMPUTED_VALUE"""),328)</f>
        <v>328</v>
      </c>
      <c r="P283" s="1">
        <f ca="1">IFERROR(__xludf.DUMMYFUNCTION("""COMPUTED_VALUE"""),99.2)</f>
        <v>99.2</v>
      </c>
      <c r="Q283" s="1">
        <f ca="1">IFERROR(__xludf.DUMMYFUNCTION("""COMPUTED_VALUE"""),336)</f>
        <v>336</v>
      </c>
      <c r="R283" s="1">
        <f ca="1">IFERROR(__xludf.DUMMYFUNCTION("""COMPUTED_VALUE"""),107.4)</f>
        <v>107.4</v>
      </c>
      <c r="S283" s="1">
        <f ca="1">IFERROR(__xludf.DUMMYFUNCTION("""COMPUTED_VALUE"""),280)</f>
        <v>280</v>
      </c>
      <c r="T283" s="1">
        <f ca="1">IFERROR(__xludf.DUMMYFUNCTION("""COMPUTED_VALUE"""),-5.89)</f>
        <v>-5.89</v>
      </c>
      <c r="U283" s="1">
        <f ca="1">IFERROR(__xludf.DUMMYFUNCTION("""COMPUTED_VALUE"""),315)</f>
        <v>315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IFERROR(__xludf.DUMMYFUNCTION("""COMPUTED_VALUE"""),"High Point")</f>
        <v>High Point</v>
      </c>
      <c r="C284" s="1" t="str">
        <f ca="1">IFERROR(__xludf.DUMMYFUNCTION("""COMPUTED_VALUE"""),"BSth")</f>
        <v>BSth</v>
      </c>
      <c r="D284" s="1" t="str">
        <f ca="1">IFERROR(__xludf.DUMMYFUNCTION("""COMPUTED_VALUE"""),"15-16")</f>
        <v>15-16</v>
      </c>
      <c r="E284" s="1">
        <f ca="1">IFERROR(__xludf.DUMMYFUNCTION("""COMPUTED_VALUE"""),-9.22)</f>
        <v>-9.2200000000000006</v>
      </c>
      <c r="F284" s="1">
        <f ca="1">IFERROR(__xludf.DUMMYFUNCTION("""COMPUTED_VALUE"""),98.9)</f>
        <v>98.9</v>
      </c>
      <c r="G284" s="1">
        <f ca="1">IFERROR(__xludf.DUMMYFUNCTION("""COMPUTED_VALUE"""),274)</f>
        <v>274</v>
      </c>
      <c r="H284" s="1">
        <f ca="1">IFERROR(__xludf.DUMMYFUNCTION("""COMPUTED_VALUE"""),108.1)</f>
        <v>108.1</v>
      </c>
      <c r="I284" s="1">
        <f ca="1">IFERROR(__xludf.DUMMYFUNCTION("""COMPUTED_VALUE"""),241)</f>
        <v>241</v>
      </c>
      <c r="J284" s="1">
        <f ca="1">IFERROR(__xludf.DUMMYFUNCTION("""COMPUTED_VALUE"""),65.7)</f>
        <v>65.7</v>
      </c>
      <c r="K284" s="1">
        <f ca="1">IFERROR(__xludf.DUMMYFUNCTION("""COMPUTED_VALUE"""),291)</f>
        <v>291</v>
      </c>
      <c r="L284" s="1">
        <f ca="1">IFERROR(__xludf.DUMMYFUNCTION("""COMPUTED_VALUE"""),-0.004)</f>
        <v>-4.0000000000000001E-3</v>
      </c>
      <c r="M284" s="1">
        <f ca="1">IFERROR(__xludf.DUMMYFUNCTION("""COMPUTED_VALUE"""),195)</f>
        <v>195</v>
      </c>
      <c r="N284" s="1">
        <f ca="1">IFERROR(__xludf.DUMMYFUNCTION("""COMPUTED_VALUE"""),-6.4)</f>
        <v>-6.4</v>
      </c>
      <c r="O284" s="1">
        <f ca="1">IFERROR(__xludf.DUMMYFUNCTION("""COMPUTED_VALUE"""),311)</f>
        <v>311</v>
      </c>
      <c r="P284" s="1">
        <f ca="1">IFERROR(__xludf.DUMMYFUNCTION("""COMPUTED_VALUE"""),101.1)</f>
        <v>101.1</v>
      </c>
      <c r="Q284" s="1">
        <f ca="1">IFERROR(__xludf.DUMMYFUNCTION("""COMPUTED_VALUE"""),306)</f>
        <v>306</v>
      </c>
      <c r="R284" s="1">
        <f ca="1">IFERROR(__xludf.DUMMYFUNCTION("""COMPUTED_VALUE"""),107.5)</f>
        <v>107.5</v>
      </c>
      <c r="S284" s="1">
        <f ca="1">IFERROR(__xludf.DUMMYFUNCTION("""COMPUTED_VALUE"""),286)</f>
        <v>286</v>
      </c>
      <c r="T284" s="1">
        <f ca="1">IFERROR(__xludf.DUMMYFUNCTION("""COMPUTED_VALUE"""),-0.27)</f>
        <v>-0.27</v>
      </c>
      <c r="U284" s="1">
        <f ca="1">IFERROR(__xludf.DUMMYFUNCTION("""COMPUTED_VALUE"""),160)</f>
        <v>160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IFERROR(__xludf.DUMMYFUNCTION("""COMPUTED_VALUE"""),"Florida Atlantic")</f>
        <v>Florida Atlantic</v>
      </c>
      <c r="C285" s="1" t="str">
        <f ca="1">IFERROR(__xludf.DUMMYFUNCTION("""COMPUTED_VALUE"""),"CUSA")</f>
        <v>CUSA</v>
      </c>
      <c r="D285" s="2">
        <f ca="1">IFERROR(__xludf.DUMMYFUNCTION("""COMPUTED_VALUE"""),44854)</f>
        <v>44854</v>
      </c>
      <c r="E285" s="1">
        <f ca="1">IFERROR(__xludf.DUMMYFUNCTION("""COMPUTED_VALUE"""),-9.33)</f>
        <v>-9.33</v>
      </c>
      <c r="F285" s="1">
        <f ca="1">IFERROR(__xludf.DUMMYFUNCTION("""COMPUTED_VALUE"""),98.6)</f>
        <v>98.6</v>
      </c>
      <c r="G285" s="1">
        <f ca="1">IFERROR(__xludf.DUMMYFUNCTION("""COMPUTED_VALUE"""),282)</f>
        <v>282</v>
      </c>
      <c r="H285" s="1">
        <f ca="1">IFERROR(__xludf.DUMMYFUNCTION("""COMPUTED_VALUE"""),107.9)</f>
        <v>107.9</v>
      </c>
      <c r="I285" s="1">
        <f ca="1">IFERROR(__xludf.DUMMYFUNCTION("""COMPUTED_VALUE"""),237)</f>
        <v>237</v>
      </c>
      <c r="J285" s="1">
        <f ca="1">IFERROR(__xludf.DUMMYFUNCTION("""COMPUTED_VALUE"""),68.9)</f>
        <v>68.900000000000006</v>
      </c>
      <c r="K285" s="1">
        <f ca="1">IFERROR(__xludf.DUMMYFUNCTION("""COMPUTED_VALUE"""),124)</f>
        <v>124</v>
      </c>
      <c r="L285" s="1">
        <f ca="1">IFERROR(__xludf.DUMMYFUNCTION("""COMPUTED_VALUE"""),-0.037)</f>
        <v>-3.6999999999999998E-2</v>
      </c>
      <c r="M285" s="1">
        <f ca="1">IFERROR(__xludf.DUMMYFUNCTION("""COMPUTED_VALUE"""),276)</f>
        <v>276</v>
      </c>
      <c r="N285" s="1">
        <f ca="1">IFERROR(__xludf.DUMMYFUNCTION("""COMPUTED_VALUE"""),-2.7)</f>
        <v>-2.7</v>
      </c>
      <c r="O285" s="1">
        <f ca="1">IFERROR(__xludf.DUMMYFUNCTION("""COMPUTED_VALUE"""),211)</f>
        <v>211</v>
      </c>
      <c r="P285" s="1">
        <f ca="1">IFERROR(__xludf.DUMMYFUNCTION("""COMPUTED_VALUE"""),103.2)</f>
        <v>103.2</v>
      </c>
      <c r="Q285" s="1">
        <f ca="1">IFERROR(__xludf.DUMMYFUNCTION("""COMPUTED_VALUE"""),224)</f>
        <v>224</v>
      </c>
      <c r="R285" s="1">
        <f ca="1">IFERROR(__xludf.DUMMYFUNCTION("""COMPUTED_VALUE"""),105.9)</f>
        <v>105.9</v>
      </c>
      <c r="S285" s="1">
        <f ca="1">IFERROR(__xludf.DUMMYFUNCTION("""COMPUTED_VALUE"""),199)</f>
        <v>199</v>
      </c>
      <c r="T285" s="1">
        <f ca="1">IFERROR(__xludf.DUMMYFUNCTION("""COMPUTED_VALUE"""),-1.66)</f>
        <v>-1.66</v>
      </c>
      <c r="U285" s="1">
        <f ca="1">IFERROR(__xludf.DUMMYFUNCTION("""COMPUTED_VALUE"""),205)</f>
        <v>205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IFERROR(__xludf.DUMMYFUNCTION("""COMPUTED_VALUE"""),"Eastern Kentucky")</f>
        <v>Eastern Kentucky</v>
      </c>
      <c r="C286" s="1" t="str">
        <f ca="1">IFERROR(__xludf.DUMMYFUNCTION("""COMPUTED_VALUE"""),"OVC")</f>
        <v>OVC</v>
      </c>
      <c r="D286" s="2">
        <f ca="1">IFERROR(__xludf.DUMMYFUNCTION("""COMPUTED_VALUE"""),44914)</f>
        <v>44914</v>
      </c>
      <c r="E286" s="1">
        <f ca="1">IFERROR(__xludf.DUMMYFUNCTION("""COMPUTED_VALUE"""),-9.44)</f>
        <v>-9.44</v>
      </c>
      <c r="F286" s="1">
        <f ca="1">IFERROR(__xludf.DUMMYFUNCTION("""COMPUTED_VALUE"""),98.4)</f>
        <v>98.4</v>
      </c>
      <c r="G286" s="1">
        <f ca="1">IFERROR(__xludf.DUMMYFUNCTION("""COMPUTED_VALUE"""),285)</f>
        <v>285</v>
      </c>
      <c r="H286" s="1">
        <f ca="1">IFERROR(__xludf.DUMMYFUNCTION("""COMPUTED_VALUE"""),107.9)</f>
        <v>107.9</v>
      </c>
      <c r="I286" s="1">
        <f ca="1">IFERROR(__xludf.DUMMYFUNCTION("""COMPUTED_VALUE"""),236)</f>
        <v>236</v>
      </c>
      <c r="J286" s="1">
        <f ca="1">IFERROR(__xludf.DUMMYFUNCTION("""COMPUTED_VALUE"""),67.6)</f>
        <v>67.599999999999994</v>
      </c>
      <c r="K286" s="1">
        <f ca="1">IFERROR(__xludf.DUMMYFUNCTION("""COMPUTED_VALUE"""),213)</f>
        <v>213</v>
      </c>
      <c r="L286" s="1" t="str">
        <f ca="1">IFERROR(__xludf.DUMMYFUNCTION("""COMPUTED_VALUE"""),"+.015")</f>
        <v>+.015</v>
      </c>
      <c r="M286" s="1">
        <f ca="1">IFERROR(__xludf.DUMMYFUNCTION("""COMPUTED_VALUE"""),147)</f>
        <v>147</v>
      </c>
      <c r="N286" s="1">
        <f ca="1">IFERROR(__xludf.DUMMYFUNCTION("""COMPUTED_VALUE"""),-1.89)</f>
        <v>-1.89</v>
      </c>
      <c r="O286" s="1">
        <f ca="1">IFERROR(__xludf.DUMMYFUNCTION("""COMPUTED_VALUE"""),186)</f>
        <v>186</v>
      </c>
      <c r="P286" s="1">
        <f ca="1">IFERROR(__xludf.DUMMYFUNCTION("""COMPUTED_VALUE"""),104.8)</f>
        <v>104.8</v>
      </c>
      <c r="Q286" s="1">
        <f ca="1">IFERROR(__xludf.DUMMYFUNCTION("""COMPUTED_VALUE"""),142)</f>
        <v>142</v>
      </c>
      <c r="R286" s="1">
        <f ca="1">IFERROR(__xludf.DUMMYFUNCTION("""COMPUTED_VALUE"""),106.7)</f>
        <v>106.7</v>
      </c>
      <c r="S286" s="1">
        <f ca="1">IFERROR(__xludf.DUMMYFUNCTION("""COMPUTED_VALUE"""),251)</f>
        <v>251</v>
      </c>
      <c r="T286" s="1" t="str">
        <f ca="1">IFERROR(__xludf.DUMMYFUNCTION("""COMPUTED_VALUE"""),"+0.22")</f>
        <v>+0.22</v>
      </c>
      <c r="U286" s="1">
        <f ca="1">IFERROR(__xludf.DUMMYFUNCTION("""COMPUTED_VALUE"""),144)</f>
        <v>144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IFERROR(__xludf.DUMMYFUNCTION("""COMPUTED_VALUE"""),"Saint Louis")</f>
        <v>Saint Louis</v>
      </c>
      <c r="C287" s="1" t="str">
        <f ca="1">IFERROR(__xludf.DUMMYFUNCTION("""COMPUTED_VALUE"""),"A10")</f>
        <v>A10</v>
      </c>
      <c r="D287" s="2">
        <f ca="1">IFERROR(__xludf.DUMMYFUNCTION("""COMPUTED_VALUE"""),44916)</f>
        <v>44916</v>
      </c>
      <c r="E287" s="1">
        <f ca="1">IFERROR(__xludf.DUMMYFUNCTION("""COMPUTED_VALUE"""),-9.58)</f>
        <v>-9.58</v>
      </c>
      <c r="F287" s="1">
        <f ca="1">IFERROR(__xludf.DUMMYFUNCTION("""COMPUTED_VALUE"""),95.4)</f>
        <v>95.4</v>
      </c>
      <c r="G287" s="1">
        <f ca="1">IFERROR(__xludf.DUMMYFUNCTION("""COMPUTED_VALUE"""),324)</f>
        <v>324</v>
      </c>
      <c r="H287" s="1">
        <f ca="1">IFERROR(__xludf.DUMMYFUNCTION("""COMPUTED_VALUE"""),105)</f>
        <v>105</v>
      </c>
      <c r="I287" s="1">
        <f ca="1">IFERROR(__xludf.DUMMYFUNCTION("""COMPUTED_VALUE"""),181)</f>
        <v>181</v>
      </c>
      <c r="J287" s="1">
        <f ca="1">IFERROR(__xludf.DUMMYFUNCTION("""COMPUTED_VALUE"""),63.5)</f>
        <v>63.5</v>
      </c>
      <c r="K287" s="1">
        <f ca="1">IFERROR(__xludf.DUMMYFUNCTION("""COMPUTED_VALUE"""),331)</f>
        <v>331</v>
      </c>
      <c r="L287" s="1" t="str">
        <f ca="1">IFERROR(__xludf.DUMMYFUNCTION("""COMPUTED_VALUE"""),"+.082")</f>
        <v>+.082</v>
      </c>
      <c r="M287" s="1">
        <f ca="1">IFERROR(__xludf.DUMMYFUNCTION("""COMPUTED_VALUE"""),11)</f>
        <v>11</v>
      </c>
      <c r="N287" s="1" t="str">
        <f ca="1">IFERROR(__xludf.DUMMYFUNCTION("""COMPUTED_VALUE"""),"+0.81")</f>
        <v>+0.81</v>
      </c>
      <c r="O287" s="1">
        <f ca="1">IFERROR(__xludf.DUMMYFUNCTION("""COMPUTED_VALUE"""),122)</f>
        <v>122</v>
      </c>
      <c r="P287" s="1">
        <f ca="1">IFERROR(__xludf.DUMMYFUNCTION("""COMPUTED_VALUE"""),105.2)</f>
        <v>105.2</v>
      </c>
      <c r="Q287" s="1">
        <f ca="1">IFERROR(__xludf.DUMMYFUNCTION("""COMPUTED_VALUE"""),120)</f>
        <v>120</v>
      </c>
      <c r="R287" s="1">
        <f ca="1">IFERROR(__xludf.DUMMYFUNCTION("""COMPUTED_VALUE"""),104.4)</f>
        <v>104.4</v>
      </c>
      <c r="S287" s="1">
        <f ca="1">IFERROR(__xludf.DUMMYFUNCTION("""COMPUTED_VALUE"""),128)</f>
        <v>128</v>
      </c>
      <c r="T287" s="1">
        <f ca="1">IFERROR(__xludf.DUMMYFUNCTION("""COMPUTED_VALUE"""),-5.01)</f>
        <v>-5.01</v>
      </c>
      <c r="U287" s="1">
        <f ca="1">IFERROR(__xludf.DUMMYFUNCTION("""COMPUTED_VALUE"""),298)</f>
        <v>298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IFERROR(__xludf.DUMMYFUNCTION("""COMPUTED_VALUE"""),"Appalachian St.")</f>
        <v>Appalachian St.</v>
      </c>
      <c r="C288" s="1" t="str">
        <f ca="1">IFERROR(__xludf.DUMMYFUNCTION("""COMPUTED_VALUE"""),"SB")</f>
        <v>SB</v>
      </c>
      <c r="D288" s="2">
        <f ca="1">IFERROR(__xludf.DUMMYFUNCTION("""COMPUTED_VALUE"""),44825)</f>
        <v>44825</v>
      </c>
      <c r="E288" s="1">
        <f ca="1">IFERROR(__xludf.DUMMYFUNCTION("""COMPUTED_VALUE"""),-9.61)</f>
        <v>-9.61</v>
      </c>
      <c r="F288" s="1">
        <f ca="1">IFERROR(__xludf.DUMMYFUNCTION("""COMPUTED_VALUE"""),99.5)</f>
        <v>99.5</v>
      </c>
      <c r="G288" s="1">
        <f ca="1">IFERROR(__xludf.DUMMYFUNCTION("""COMPUTED_VALUE"""),268)</f>
        <v>268</v>
      </c>
      <c r="H288" s="1">
        <f ca="1">IFERROR(__xludf.DUMMYFUNCTION("""COMPUTED_VALUE"""),109.2)</f>
        <v>109.2</v>
      </c>
      <c r="I288" s="1">
        <f ca="1">IFERROR(__xludf.DUMMYFUNCTION("""COMPUTED_VALUE"""),260)</f>
        <v>260</v>
      </c>
      <c r="J288" s="1">
        <f ca="1">IFERROR(__xludf.DUMMYFUNCTION("""COMPUTED_VALUE"""),70.5)</f>
        <v>70.5</v>
      </c>
      <c r="K288" s="1">
        <f ca="1">IFERROR(__xludf.DUMMYFUNCTION("""COMPUTED_VALUE"""),62)</f>
        <v>62</v>
      </c>
      <c r="L288" s="1">
        <f ca="1">IFERROR(__xludf.DUMMYFUNCTION("""COMPUTED_VALUE"""),-0.039)</f>
        <v>-3.9E-2</v>
      </c>
      <c r="M288" s="1">
        <f ca="1">IFERROR(__xludf.DUMMYFUNCTION("""COMPUTED_VALUE"""),282)</f>
        <v>282</v>
      </c>
      <c r="N288" s="1">
        <f ca="1">IFERROR(__xludf.DUMMYFUNCTION("""COMPUTED_VALUE"""),-0.76)</f>
        <v>-0.76</v>
      </c>
      <c r="O288" s="1">
        <f ca="1">IFERROR(__xludf.DUMMYFUNCTION("""COMPUTED_VALUE"""),149)</f>
        <v>149</v>
      </c>
      <c r="P288" s="1">
        <f ca="1">IFERROR(__xludf.DUMMYFUNCTION("""COMPUTED_VALUE"""),103.9)</f>
        <v>103.9</v>
      </c>
      <c r="Q288" s="1">
        <f ca="1">IFERROR(__xludf.DUMMYFUNCTION("""COMPUTED_VALUE"""),184)</f>
        <v>184</v>
      </c>
      <c r="R288" s="1">
        <f ca="1">IFERROR(__xludf.DUMMYFUNCTION("""COMPUTED_VALUE"""),104.7)</f>
        <v>104.7</v>
      </c>
      <c r="S288" s="1">
        <f ca="1">IFERROR(__xludf.DUMMYFUNCTION("""COMPUTED_VALUE"""),137)</f>
        <v>137</v>
      </c>
      <c r="T288" s="1">
        <f ca="1">IFERROR(__xludf.DUMMYFUNCTION("""COMPUTED_VALUE"""),-0.49)</f>
        <v>-0.49</v>
      </c>
      <c r="U288" s="1">
        <f ca="1">IFERROR(__xludf.DUMMYFUNCTION("""COMPUTED_VALUE"""),168)</f>
        <v>168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IFERROR(__xludf.DUMMYFUNCTION("""COMPUTED_VALUE"""),"Jacksonville")</f>
        <v>Jacksonville</v>
      </c>
      <c r="C289" s="1" t="str">
        <f ca="1">IFERROR(__xludf.DUMMYFUNCTION("""COMPUTED_VALUE"""),"ASun")</f>
        <v>ASun</v>
      </c>
      <c r="D289" s="1" t="str">
        <f ca="1">IFERROR(__xludf.DUMMYFUNCTION("""COMPUTED_VALUE"""),"17-16")</f>
        <v>17-16</v>
      </c>
      <c r="E289" s="1">
        <f ca="1">IFERROR(__xludf.DUMMYFUNCTION("""COMPUTED_VALUE"""),-9.61)</f>
        <v>-9.61</v>
      </c>
      <c r="F289" s="1">
        <f ca="1">IFERROR(__xludf.DUMMYFUNCTION("""COMPUTED_VALUE"""),102.3)</f>
        <v>102.3</v>
      </c>
      <c r="G289" s="1">
        <f ca="1">IFERROR(__xludf.DUMMYFUNCTION("""COMPUTED_VALUE"""),212)</f>
        <v>212</v>
      </c>
      <c r="H289" s="1">
        <f ca="1">IFERROR(__xludf.DUMMYFUNCTION("""COMPUTED_VALUE"""),111.9)</f>
        <v>111.9</v>
      </c>
      <c r="I289" s="1">
        <f ca="1">IFERROR(__xludf.DUMMYFUNCTION("""COMPUTED_VALUE"""),306)</f>
        <v>306</v>
      </c>
      <c r="J289" s="1">
        <f ca="1">IFERROR(__xludf.DUMMYFUNCTION("""COMPUTED_VALUE"""),67.9)</f>
        <v>67.900000000000006</v>
      </c>
      <c r="K289" s="1">
        <f ca="1">IFERROR(__xludf.DUMMYFUNCTION("""COMPUTED_VALUE"""),197)</f>
        <v>197</v>
      </c>
      <c r="L289" s="1" t="str">
        <f ca="1">IFERROR(__xludf.DUMMYFUNCTION("""COMPUTED_VALUE"""),"+.002")</f>
        <v>+.002</v>
      </c>
      <c r="M289" s="1">
        <f ca="1">IFERROR(__xludf.DUMMYFUNCTION("""COMPUTED_VALUE"""),186)</f>
        <v>186</v>
      </c>
      <c r="N289" s="1">
        <f ca="1">IFERROR(__xludf.DUMMYFUNCTION("""COMPUTED_VALUE"""),-7.85)</f>
        <v>-7.85</v>
      </c>
      <c r="O289" s="1">
        <f ca="1">IFERROR(__xludf.DUMMYFUNCTION("""COMPUTED_VALUE"""),324)</f>
        <v>324</v>
      </c>
      <c r="P289" s="1">
        <f ca="1">IFERROR(__xludf.DUMMYFUNCTION("""COMPUTED_VALUE"""),102.4)</f>
        <v>102.4</v>
      </c>
      <c r="Q289" s="1">
        <f ca="1">IFERROR(__xludf.DUMMYFUNCTION("""COMPUTED_VALUE"""),261)</f>
        <v>261</v>
      </c>
      <c r="R289" s="1">
        <f ca="1">IFERROR(__xludf.DUMMYFUNCTION("""COMPUTED_VALUE"""),110.3)</f>
        <v>110.3</v>
      </c>
      <c r="S289" s="1">
        <f ca="1">IFERROR(__xludf.DUMMYFUNCTION("""COMPUTED_VALUE"""),349)</f>
        <v>349</v>
      </c>
      <c r="T289" s="1">
        <f ca="1">IFERROR(__xludf.DUMMYFUNCTION("""COMPUTED_VALUE"""),-9.11)</f>
        <v>-9.11</v>
      </c>
      <c r="U289" s="1">
        <f ca="1">IFERROR(__xludf.DUMMYFUNCTION("""COMPUTED_VALUE"""),346)</f>
        <v>346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IFERROR(__xludf.DUMMYFUNCTION("""COMPUTED_VALUE"""),"FIU")</f>
        <v>FIU</v>
      </c>
      <c r="C290" s="1" t="str">
        <f ca="1">IFERROR(__xludf.DUMMYFUNCTION("""COMPUTED_VALUE"""),"CUSA")</f>
        <v>CUSA</v>
      </c>
      <c r="D290" s="2">
        <f ca="1">IFERROR(__xludf.DUMMYFUNCTION("""COMPUTED_VALUE"""),44766)</f>
        <v>44766</v>
      </c>
      <c r="E290" s="1">
        <f ca="1">IFERROR(__xludf.DUMMYFUNCTION("""COMPUTED_VALUE"""),-9.62)</f>
        <v>-9.6199999999999992</v>
      </c>
      <c r="F290" s="1">
        <f ca="1">IFERROR(__xludf.DUMMYFUNCTION("""COMPUTED_VALUE"""),102.9)</f>
        <v>102.9</v>
      </c>
      <c r="G290" s="1">
        <f ca="1">IFERROR(__xludf.DUMMYFUNCTION("""COMPUTED_VALUE"""),201)</f>
        <v>201</v>
      </c>
      <c r="H290" s="1">
        <f ca="1">IFERROR(__xludf.DUMMYFUNCTION("""COMPUTED_VALUE"""),112.5)</f>
        <v>112.5</v>
      </c>
      <c r="I290" s="1">
        <f ca="1">IFERROR(__xludf.DUMMYFUNCTION("""COMPUTED_VALUE"""),313)</f>
        <v>313</v>
      </c>
      <c r="J290" s="1">
        <f ca="1">IFERROR(__xludf.DUMMYFUNCTION("""COMPUTED_VALUE"""),65)</f>
        <v>65</v>
      </c>
      <c r="K290" s="1">
        <f ca="1">IFERROR(__xludf.DUMMYFUNCTION("""COMPUTED_VALUE"""),306)</f>
        <v>306</v>
      </c>
      <c r="L290" s="1">
        <f ca="1">IFERROR(__xludf.DUMMYFUNCTION("""COMPUTED_VALUE"""),-0.171)</f>
        <v>-0.17100000000000001</v>
      </c>
      <c r="M290" s="1">
        <f ca="1">IFERROR(__xludf.DUMMYFUNCTION("""COMPUTED_VALUE"""),351)</f>
        <v>351</v>
      </c>
      <c r="N290" s="1">
        <f ca="1">IFERROR(__xludf.DUMMYFUNCTION("""COMPUTED_VALUE"""),-3.96)</f>
        <v>-3.96</v>
      </c>
      <c r="O290" s="1">
        <f ca="1">IFERROR(__xludf.DUMMYFUNCTION("""COMPUTED_VALUE"""),248)</f>
        <v>248</v>
      </c>
      <c r="P290" s="1">
        <f ca="1">IFERROR(__xludf.DUMMYFUNCTION("""COMPUTED_VALUE"""),102)</f>
        <v>102</v>
      </c>
      <c r="Q290" s="1">
        <f ca="1">IFERROR(__xludf.DUMMYFUNCTION("""COMPUTED_VALUE"""),278)</f>
        <v>278</v>
      </c>
      <c r="R290" s="1">
        <f ca="1">IFERROR(__xludf.DUMMYFUNCTION("""COMPUTED_VALUE"""),105.9)</f>
        <v>105.9</v>
      </c>
      <c r="S290" s="1">
        <f ca="1">IFERROR(__xludf.DUMMYFUNCTION("""COMPUTED_VALUE"""),202)</f>
        <v>202</v>
      </c>
      <c r="T290" s="1">
        <f ca="1">IFERROR(__xludf.DUMMYFUNCTION("""COMPUTED_VALUE"""),-4.87)</f>
        <v>-4.87</v>
      </c>
      <c r="U290" s="1">
        <f ca="1">IFERROR(__xludf.DUMMYFUNCTION("""COMPUTED_VALUE"""),296)</f>
        <v>296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IFERROR(__xludf.DUMMYFUNCTION("""COMPUTED_VALUE"""),"Brown")</f>
        <v>Brown</v>
      </c>
      <c r="C291" s="1" t="str">
        <f ca="1">IFERROR(__xludf.DUMMYFUNCTION("""COMPUTED_VALUE"""),"Ivy")</f>
        <v>Ivy</v>
      </c>
      <c r="D291" s="1" t="str">
        <f ca="1">IFERROR(__xludf.DUMMYFUNCTION("""COMPUTED_VALUE"""),"13-17")</f>
        <v>13-17</v>
      </c>
      <c r="E291" s="1">
        <f ca="1">IFERROR(__xludf.DUMMYFUNCTION("""COMPUTED_VALUE"""),-9.84)</f>
        <v>-9.84</v>
      </c>
      <c r="F291" s="1">
        <f ca="1">IFERROR(__xludf.DUMMYFUNCTION("""COMPUTED_VALUE"""),104.1)</f>
        <v>104.1</v>
      </c>
      <c r="G291" s="1">
        <f ca="1">IFERROR(__xludf.DUMMYFUNCTION("""COMPUTED_VALUE"""),180)</f>
        <v>180</v>
      </c>
      <c r="H291" s="1">
        <f ca="1">IFERROR(__xludf.DUMMYFUNCTION("""COMPUTED_VALUE"""),114)</f>
        <v>114</v>
      </c>
      <c r="I291" s="1">
        <f ca="1">IFERROR(__xludf.DUMMYFUNCTION("""COMPUTED_VALUE"""),325)</f>
        <v>325</v>
      </c>
      <c r="J291" s="1">
        <f ca="1">IFERROR(__xludf.DUMMYFUNCTION("""COMPUTED_VALUE"""),71.3)</f>
        <v>71.3</v>
      </c>
      <c r="K291" s="1">
        <f ca="1">IFERROR(__xludf.DUMMYFUNCTION("""COMPUTED_VALUE"""),42)</f>
        <v>42</v>
      </c>
      <c r="L291" s="1" t="str">
        <f ca="1">IFERROR(__xludf.DUMMYFUNCTION("""COMPUTED_VALUE"""),"+.017")</f>
        <v>+.017</v>
      </c>
      <c r="M291" s="1">
        <f ca="1">IFERROR(__xludf.DUMMYFUNCTION("""COMPUTED_VALUE"""),140)</f>
        <v>140</v>
      </c>
      <c r="N291" s="1">
        <f ca="1">IFERROR(__xludf.DUMMYFUNCTION("""COMPUTED_VALUE"""),-5.52)</f>
        <v>-5.52</v>
      </c>
      <c r="O291" s="1">
        <f ca="1">IFERROR(__xludf.DUMMYFUNCTION("""COMPUTED_VALUE"""),293)</f>
        <v>293</v>
      </c>
      <c r="P291" s="1">
        <f ca="1">IFERROR(__xludf.DUMMYFUNCTION("""COMPUTED_VALUE"""),101.3)</f>
        <v>101.3</v>
      </c>
      <c r="Q291" s="1">
        <f ca="1">IFERROR(__xludf.DUMMYFUNCTION("""COMPUTED_VALUE"""),301)</f>
        <v>301</v>
      </c>
      <c r="R291" s="1">
        <f ca="1">IFERROR(__xludf.DUMMYFUNCTION("""COMPUTED_VALUE"""),106.8)</f>
        <v>106.8</v>
      </c>
      <c r="S291" s="1">
        <f ca="1">IFERROR(__xludf.DUMMYFUNCTION("""COMPUTED_VALUE"""),256)</f>
        <v>256</v>
      </c>
      <c r="T291" s="1">
        <f ca="1">IFERROR(__xludf.DUMMYFUNCTION("""COMPUTED_VALUE"""),-9.67)</f>
        <v>-9.67</v>
      </c>
      <c r="U291" s="1">
        <f ca="1">IFERROR(__xludf.DUMMYFUNCTION("""COMPUTED_VALUE"""),348)</f>
        <v>348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IFERROR(__xludf.DUMMYFUNCTION("""COMPUTED_VALUE"""),"Campbell")</f>
        <v>Campbell</v>
      </c>
      <c r="C292" s="1" t="str">
        <f ca="1">IFERROR(__xludf.DUMMYFUNCTION("""COMPUTED_VALUE"""),"BSth")</f>
        <v>BSth</v>
      </c>
      <c r="D292" s="1" t="str">
        <f ca="1">IFERROR(__xludf.DUMMYFUNCTION("""COMPUTED_VALUE"""),"19-18")</f>
        <v>19-18</v>
      </c>
      <c r="E292" s="1">
        <f ca="1">IFERROR(__xludf.DUMMYFUNCTION("""COMPUTED_VALUE"""),-10.04)</f>
        <v>-10.039999999999999</v>
      </c>
      <c r="F292" s="1">
        <f ca="1">IFERROR(__xludf.DUMMYFUNCTION("""COMPUTED_VALUE"""),100.4)</f>
        <v>100.4</v>
      </c>
      <c r="G292" s="1">
        <f ca="1">IFERROR(__xludf.DUMMYFUNCTION("""COMPUTED_VALUE"""),251)</f>
        <v>251</v>
      </c>
      <c r="H292" s="1">
        <f ca="1">IFERROR(__xludf.DUMMYFUNCTION("""COMPUTED_VALUE"""),110.4)</f>
        <v>110.4</v>
      </c>
      <c r="I292" s="1">
        <f ca="1">IFERROR(__xludf.DUMMYFUNCTION("""COMPUTED_VALUE"""),290)</f>
        <v>290</v>
      </c>
      <c r="J292" s="1">
        <f ca="1">IFERROR(__xludf.DUMMYFUNCTION("""COMPUTED_VALUE"""),65.7)</f>
        <v>65.7</v>
      </c>
      <c r="K292" s="1">
        <f ca="1">IFERROR(__xludf.DUMMYFUNCTION("""COMPUTED_VALUE"""),289)</f>
        <v>289</v>
      </c>
      <c r="L292" s="1" t="str">
        <f ca="1">IFERROR(__xludf.DUMMYFUNCTION("""COMPUTED_VALUE"""),"+.029")</f>
        <v>+.029</v>
      </c>
      <c r="M292" s="1">
        <f ca="1">IFERROR(__xludf.DUMMYFUNCTION("""COMPUTED_VALUE"""),102)</f>
        <v>102</v>
      </c>
      <c r="N292" s="1">
        <f ca="1">IFERROR(__xludf.DUMMYFUNCTION("""COMPUTED_VALUE"""),-7.98)</f>
        <v>-7.98</v>
      </c>
      <c r="O292" s="1">
        <f ca="1">IFERROR(__xludf.DUMMYFUNCTION("""COMPUTED_VALUE"""),327)</f>
        <v>327</v>
      </c>
      <c r="P292" s="1">
        <f ca="1">IFERROR(__xludf.DUMMYFUNCTION("""COMPUTED_VALUE"""),101.3)</f>
        <v>101.3</v>
      </c>
      <c r="Q292" s="1">
        <f ca="1">IFERROR(__xludf.DUMMYFUNCTION("""COMPUTED_VALUE"""),300)</f>
        <v>300</v>
      </c>
      <c r="R292" s="1">
        <f ca="1">IFERROR(__xludf.DUMMYFUNCTION("""COMPUTED_VALUE"""),109.3)</f>
        <v>109.3</v>
      </c>
      <c r="S292" s="1">
        <f ca="1">IFERROR(__xludf.DUMMYFUNCTION("""COMPUTED_VALUE"""),341)</f>
        <v>341</v>
      </c>
      <c r="T292" s="1">
        <f ca="1">IFERROR(__xludf.DUMMYFUNCTION("""COMPUTED_VALUE"""),-5.63)</f>
        <v>-5.63</v>
      </c>
      <c r="U292" s="1">
        <f ca="1">IFERROR(__xludf.DUMMYFUNCTION("""COMPUTED_VALUE"""),313)</f>
        <v>313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IFERROR(__xludf.DUMMYFUNCTION("""COMPUTED_VALUE"""),"Miami OH")</f>
        <v>Miami OH</v>
      </c>
      <c r="C293" s="1" t="str">
        <f ca="1">IFERROR(__xludf.DUMMYFUNCTION("""COMPUTED_VALUE"""),"MAC")</f>
        <v>MAC</v>
      </c>
      <c r="D293" s="2">
        <f ca="1">IFERROR(__xludf.DUMMYFUNCTION("""COMPUTED_VALUE"""),44886)</f>
        <v>44886</v>
      </c>
      <c r="E293" s="1">
        <f ca="1">IFERROR(__xludf.DUMMYFUNCTION("""COMPUTED_VALUE"""),-10.05)</f>
        <v>-10.050000000000001</v>
      </c>
      <c r="F293" s="1">
        <f ca="1">IFERROR(__xludf.DUMMYFUNCTION("""COMPUTED_VALUE"""),95.9)</f>
        <v>95.9</v>
      </c>
      <c r="G293" s="1">
        <f ca="1">IFERROR(__xludf.DUMMYFUNCTION("""COMPUTED_VALUE"""),319)</f>
        <v>319</v>
      </c>
      <c r="H293" s="1">
        <f ca="1">IFERROR(__xludf.DUMMYFUNCTION("""COMPUTED_VALUE"""),106)</f>
        <v>106</v>
      </c>
      <c r="I293" s="1">
        <f ca="1">IFERROR(__xludf.DUMMYFUNCTION("""COMPUTED_VALUE"""),197)</f>
        <v>197</v>
      </c>
      <c r="J293" s="1">
        <f ca="1">IFERROR(__xludf.DUMMYFUNCTION("""COMPUTED_VALUE"""),68.6)</f>
        <v>68.599999999999994</v>
      </c>
      <c r="K293" s="1">
        <f ca="1">IFERROR(__xludf.DUMMYFUNCTION("""COMPUTED_VALUE"""),148)</f>
        <v>148</v>
      </c>
      <c r="L293" s="1" t="str">
        <f ca="1">IFERROR(__xludf.DUMMYFUNCTION("""COMPUTED_VALUE"""),"+.052")</f>
        <v>+.052</v>
      </c>
      <c r="M293" s="1">
        <f ca="1">IFERROR(__xludf.DUMMYFUNCTION("""COMPUTED_VALUE"""),54)</f>
        <v>54</v>
      </c>
      <c r="N293" s="1">
        <f ca="1">IFERROR(__xludf.DUMMYFUNCTION("""COMPUTED_VALUE"""),-2.31)</f>
        <v>-2.31</v>
      </c>
      <c r="O293" s="1">
        <f ca="1">IFERROR(__xludf.DUMMYFUNCTION("""COMPUTED_VALUE"""),199)</f>
        <v>199</v>
      </c>
      <c r="P293" s="1">
        <f ca="1">IFERROR(__xludf.DUMMYFUNCTION("""COMPUTED_VALUE"""),104.3)</f>
        <v>104.3</v>
      </c>
      <c r="Q293" s="1">
        <f ca="1">IFERROR(__xludf.DUMMYFUNCTION("""COMPUTED_VALUE"""),162)</f>
        <v>162</v>
      </c>
      <c r="R293" s="1">
        <f ca="1">IFERROR(__xludf.DUMMYFUNCTION("""COMPUTED_VALUE"""),106.7)</f>
        <v>106.7</v>
      </c>
      <c r="S293" s="1">
        <f ca="1">IFERROR(__xludf.DUMMYFUNCTION("""COMPUTED_VALUE"""),249)</f>
        <v>249</v>
      </c>
      <c r="T293" s="1">
        <f ca="1">IFERROR(__xludf.DUMMYFUNCTION("""COMPUTED_VALUE"""),-6.71)</f>
        <v>-6.71</v>
      </c>
      <c r="U293" s="1">
        <f ca="1">IFERROR(__xludf.DUMMYFUNCTION("""COMPUTED_VALUE"""),331)</f>
        <v>331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IFERROR(__xludf.DUMMYFUNCTION("""COMPUTED_VALUE"""),"Portland")</f>
        <v>Portland</v>
      </c>
      <c r="C294" s="1" t="str">
        <f ca="1">IFERROR(__xludf.DUMMYFUNCTION("""COMPUTED_VALUE"""),"WCC")</f>
        <v>WCC</v>
      </c>
      <c r="D294" s="2">
        <f ca="1">IFERROR(__xludf.DUMMYFUNCTION("""COMPUTED_VALUE"""),44887)</f>
        <v>44887</v>
      </c>
      <c r="E294" s="1">
        <f ca="1">IFERROR(__xludf.DUMMYFUNCTION("""COMPUTED_VALUE"""),-10.24)</f>
        <v>-10.24</v>
      </c>
      <c r="F294" s="1">
        <f ca="1">IFERROR(__xludf.DUMMYFUNCTION("""COMPUTED_VALUE"""),98.7)</f>
        <v>98.7</v>
      </c>
      <c r="G294" s="1">
        <f ca="1">IFERROR(__xludf.DUMMYFUNCTION("""COMPUTED_VALUE"""),280)</f>
        <v>280</v>
      </c>
      <c r="H294" s="1">
        <f ca="1">IFERROR(__xludf.DUMMYFUNCTION("""COMPUTED_VALUE"""),108.9)</f>
        <v>108.9</v>
      </c>
      <c r="I294" s="1">
        <f ca="1">IFERROR(__xludf.DUMMYFUNCTION("""COMPUTED_VALUE"""),254)</f>
        <v>254</v>
      </c>
      <c r="J294" s="1">
        <f ca="1">IFERROR(__xludf.DUMMYFUNCTION("""COMPUTED_VALUE"""),65.8)</f>
        <v>65.8</v>
      </c>
      <c r="K294" s="1">
        <f ca="1">IFERROR(__xludf.DUMMYFUNCTION("""COMPUTED_VALUE"""),283)</f>
        <v>283</v>
      </c>
      <c r="L294" s="1" t="str">
        <f ca="1">IFERROR(__xludf.DUMMYFUNCTION("""COMPUTED_VALUE"""),"+.011")</f>
        <v>+.011</v>
      </c>
      <c r="M294" s="1">
        <f ca="1">IFERROR(__xludf.DUMMYFUNCTION("""COMPUTED_VALUE"""),163)</f>
        <v>163</v>
      </c>
      <c r="N294" s="1" t="str">
        <f ca="1">IFERROR(__xludf.DUMMYFUNCTION("""COMPUTED_VALUE"""),"+0.86")</f>
        <v>+0.86</v>
      </c>
      <c r="O294" s="1">
        <f ca="1">IFERROR(__xludf.DUMMYFUNCTION("""COMPUTED_VALUE"""),120)</f>
        <v>120</v>
      </c>
      <c r="P294" s="1">
        <f ca="1">IFERROR(__xludf.DUMMYFUNCTION("""COMPUTED_VALUE"""),105)</f>
        <v>105</v>
      </c>
      <c r="Q294" s="1">
        <f ca="1">IFERROR(__xludf.DUMMYFUNCTION("""COMPUTED_VALUE"""),131)</f>
        <v>131</v>
      </c>
      <c r="R294" s="1">
        <f ca="1">IFERROR(__xludf.DUMMYFUNCTION("""COMPUTED_VALUE"""),104.1)</f>
        <v>104.1</v>
      </c>
      <c r="S294" s="1">
        <f ca="1">IFERROR(__xludf.DUMMYFUNCTION("""COMPUTED_VALUE"""),123)</f>
        <v>123</v>
      </c>
      <c r="T294" s="1">
        <f ca="1">IFERROR(__xludf.DUMMYFUNCTION("""COMPUTED_VALUE"""),-3.81)</f>
        <v>-3.81</v>
      </c>
      <c r="U294" s="1">
        <f ca="1">IFERROR(__xludf.DUMMYFUNCTION("""COMPUTED_VALUE"""),267)</f>
        <v>267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IFERROR(__xludf.DUMMYFUNCTION("""COMPUTED_VALUE"""),"Bryant")</f>
        <v>Bryant</v>
      </c>
      <c r="C297" s="1" t="str">
        <f ca="1">IFERROR(__xludf.DUMMYFUNCTION("""COMPUTED_VALUE"""),"NEC")</f>
        <v>NEC</v>
      </c>
      <c r="D297" s="2">
        <f ca="1">IFERROR(__xludf.DUMMYFUNCTION("""COMPUTED_VALUE"""),44915)</f>
        <v>44915</v>
      </c>
      <c r="E297" s="1">
        <f ca="1">IFERROR(__xludf.DUMMYFUNCTION("""COMPUTED_VALUE"""),-10.27)</f>
        <v>-10.27</v>
      </c>
      <c r="F297" s="1">
        <f ca="1">IFERROR(__xludf.DUMMYFUNCTION("""COMPUTED_VALUE"""),101.7)</f>
        <v>101.7</v>
      </c>
      <c r="G297" s="1">
        <f ca="1">IFERROR(__xludf.DUMMYFUNCTION("""COMPUTED_VALUE"""),225)</f>
        <v>225</v>
      </c>
      <c r="H297" s="1">
        <f ca="1">IFERROR(__xludf.DUMMYFUNCTION("""COMPUTED_VALUE"""),112)</f>
        <v>112</v>
      </c>
      <c r="I297" s="1">
        <f ca="1">IFERROR(__xludf.DUMMYFUNCTION("""COMPUTED_VALUE"""),307)</f>
        <v>307</v>
      </c>
      <c r="J297" s="1">
        <f ca="1">IFERROR(__xludf.DUMMYFUNCTION("""COMPUTED_VALUE"""),69.1)</f>
        <v>69.099999999999994</v>
      </c>
      <c r="K297" s="1">
        <f ca="1">IFERROR(__xludf.DUMMYFUNCTION("""COMPUTED_VALUE"""),110)</f>
        <v>110</v>
      </c>
      <c r="L297" s="1">
        <f ca="1">IFERROR(__xludf.DUMMYFUNCTION("""COMPUTED_VALUE"""),-0.014)</f>
        <v>-1.4E-2</v>
      </c>
      <c r="M297" s="1">
        <f ca="1">IFERROR(__xludf.DUMMYFUNCTION("""COMPUTED_VALUE"""),223)</f>
        <v>223</v>
      </c>
      <c r="N297" s="1">
        <f ca="1">IFERROR(__xludf.DUMMYFUNCTION("""COMPUTED_VALUE"""),-6.34)</f>
        <v>-6.34</v>
      </c>
      <c r="O297" s="1">
        <f ca="1">IFERROR(__xludf.DUMMYFUNCTION("""COMPUTED_VALUE"""),310)</f>
        <v>310</v>
      </c>
      <c r="P297" s="1">
        <f ca="1">IFERROR(__xludf.DUMMYFUNCTION("""COMPUTED_VALUE"""),100.6)</f>
        <v>100.6</v>
      </c>
      <c r="Q297" s="1">
        <f ca="1">IFERROR(__xludf.DUMMYFUNCTION("""COMPUTED_VALUE"""),318)</f>
        <v>318</v>
      </c>
      <c r="R297" s="1">
        <f ca="1">IFERROR(__xludf.DUMMYFUNCTION("""COMPUTED_VALUE"""),107)</f>
        <v>107</v>
      </c>
      <c r="S297" s="1">
        <f ca="1">IFERROR(__xludf.DUMMYFUNCTION("""COMPUTED_VALUE"""),265)</f>
        <v>265</v>
      </c>
      <c r="T297" s="1" t="str">
        <f ca="1">IFERROR(__xludf.DUMMYFUNCTION("""COMPUTED_VALUE"""),"+3.00")</f>
        <v>+3.00</v>
      </c>
      <c r="U297" s="1">
        <f ca="1">IFERROR(__xludf.DUMMYFUNCTION("""COMPUTED_VALUE"""),68)</f>
        <v>68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IFERROR(__xludf.DUMMYFUNCTION("""COMPUTED_VALUE"""),"Youngstown St.")</f>
        <v>Youngstown St.</v>
      </c>
      <c r="C298" s="1" t="str">
        <f ca="1">IFERROR(__xludf.DUMMYFUNCTION("""COMPUTED_VALUE"""),"Horz")</f>
        <v>Horz</v>
      </c>
      <c r="D298" s="1" t="str">
        <f ca="1">IFERROR(__xludf.DUMMYFUNCTION("""COMPUTED_VALUE"""),"13-21")</f>
        <v>13-21</v>
      </c>
      <c r="E298" s="1">
        <f ca="1">IFERROR(__xludf.DUMMYFUNCTION("""COMPUTED_VALUE"""),-10.29)</f>
        <v>-10.29</v>
      </c>
      <c r="F298" s="1">
        <f ca="1">IFERROR(__xludf.DUMMYFUNCTION("""COMPUTED_VALUE"""),102.6)</f>
        <v>102.6</v>
      </c>
      <c r="G298" s="1">
        <f ca="1">IFERROR(__xludf.DUMMYFUNCTION("""COMPUTED_VALUE"""),209)</f>
        <v>209</v>
      </c>
      <c r="H298" s="1">
        <f ca="1">IFERROR(__xludf.DUMMYFUNCTION("""COMPUTED_VALUE"""),112.9)</f>
        <v>112.9</v>
      </c>
      <c r="I298" s="1">
        <f ca="1">IFERROR(__xludf.DUMMYFUNCTION("""COMPUTED_VALUE"""),317)</f>
        <v>317</v>
      </c>
      <c r="J298" s="1">
        <f ca="1">IFERROR(__xludf.DUMMYFUNCTION("""COMPUTED_VALUE"""),71.7)</f>
        <v>71.7</v>
      </c>
      <c r="K298" s="1">
        <f ca="1">IFERROR(__xludf.DUMMYFUNCTION("""COMPUTED_VALUE"""),32)</f>
        <v>32</v>
      </c>
      <c r="L298" s="1" t="str">
        <f ca="1">IFERROR(__xludf.DUMMYFUNCTION("""COMPUTED_VALUE"""),"+.077")</f>
        <v>+.077</v>
      </c>
      <c r="M298" s="1">
        <f ca="1">IFERROR(__xludf.DUMMYFUNCTION("""COMPUTED_VALUE"""),19)</f>
        <v>19</v>
      </c>
      <c r="N298" s="1">
        <f ca="1">IFERROR(__xludf.DUMMYFUNCTION("""COMPUTED_VALUE"""),-2.3)</f>
        <v>-2.2999999999999998</v>
      </c>
      <c r="O298" s="1">
        <f ca="1">IFERROR(__xludf.DUMMYFUNCTION("""COMPUTED_VALUE"""),198)</f>
        <v>198</v>
      </c>
      <c r="P298" s="1">
        <f ca="1">IFERROR(__xludf.DUMMYFUNCTION("""COMPUTED_VALUE"""),103.2)</f>
        <v>103.2</v>
      </c>
      <c r="Q298" s="1">
        <f ca="1">IFERROR(__xludf.DUMMYFUNCTION("""COMPUTED_VALUE"""),225)</f>
        <v>225</v>
      </c>
      <c r="R298" s="1">
        <f ca="1">IFERROR(__xludf.DUMMYFUNCTION("""COMPUTED_VALUE"""),105.5)</f>
        <v>105.5</v>
      </c>
      <c r="S298" s="1">
        <f ca="1">IFERROR(__xludf.DUMMYFUNCTION("""COMPUTED_VALUE"""),170)</f>
        <v>170</v>
      </c>
      <c r="T298" s="1">
        <f ca="1">IFERROR(__xludf.DUMMYFUNCTION("""COMPUTED_VALUE"""),-1.84)</f>
        <v>-1.84</v>
      </c>
      <c r="U298" s="1">
        <f ca="1">IFERROR(__xludf.DUMMYFUNCTION("""COMPUTED_VALUE"""),210)</f>
        <v>210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IFERROR(__xludf.DUMMYFUNCTION("""COMPUTED_VALUE"""),"Northern Colorado")</f>
        <v>Northern Colorado</v>
      </c>
      <c r="C299" s="1" t="str">
        <f ca="1">IFERROR(__xludf.DUMMYFUNCTION("""COMPUTED_VALUE"""),"BSky")</f>
        <v>BSky</v>
      </c>
      <c r="D299" s="2">
        <f ca="1">IFERROR(__xludf.DUMMYFUNCTION("""COMPUTED_VALUE"""),44883)</f>
        <v>44883</v>
      </c>
      <c r="E299" s="1">
        <f ca="1">IFERROR(__xludf.DUMMYFUNCTION("""COMPUTED_VALUE"""),-10.33)</f>
        <v>-10.33</v>
      </c>
      <c r="F299" s="1">
        <f ca="1">IFERROR(__xludf.DUMMYFUNCTION("""COMPUTED_VALUE"""),96.6)</f>
        <v>96.6</v>
      </c>
      <c r="G299" s="1">
        <f ca="1">IFERROR(__xludf.DUMMYFUNCTION("""COMPUTED_VALUE"""),309)</f>
        <v>309</v>
      </c>
      <c r="H299" s="1">
        <f ca="1">IFERROR(__xludf.DUMMYFUNCTION("""COMPUTED_VALUE"""),106.9)</f>
        <v>106.9</v>
      </c>
      <c r="I299" s="1">
        <f ca="1">IFERROR(__xludf.DUMMYFUNCTION("""COMPUTED_VALUE"""),216)</f>
        <v>216</v>
      </c>
      <c r="J299" s="1">
        <f ca="1">IFERROR(__xludf.DUMMYFUNCTION("""COMPUTED_VALUE"""),68.5)</f>
        <v>68.5</v>
      </c>
      <c r="K299" s="1">
        <f ca="1">IFERROR(__xludf.DUMMYFUNCTION("""COMPUTED_VALUE"""),160)</f>
        <v>160</v>
      </c>
      <c r="L299" s="1">
        <f ca="1">IFERROR(__xludf.DUMMYFUNCTION("""COMPUTED_VALUE"""),-0.027)</f>
        <v>-2.7E-2</v>
      </c>
      <c r="M299" s="1">
        <f ca="1">IFERROR(__xludf.DUMMYFUNCTION("""COMPUTED_VALUE"""),253)</f>
        <v>253</v>
      </c>
      <c r="N299" s="1">
        <f ca="1">IFERROR(__xludf.DUMMYFUNCTION("""COMPUTED_VALUE"""),-4.29)</f>
        <v>-4.29</v>
      </c>
      <c r="O299" s="1">
        <f ca="1">IFERROR(__xludf.DUMMYFUNCTION("""COMPUTED_VALUE"""),257)</f>
        <v>257</v>
      </c>
      <c r="P299" s="1">
        <f ca="1">IFERROR(__xludf.DUMMYFUNCTION("""COMPUTED_VALUE"""),103.9)</f>
        <v>103.9</v>
      </c>
      <c r="Q299" s="1">
        <f ca="1">IFERROR(__xludf.DUMMYFUNCTION("""COMPUTED_VALUE"""),189)</f>
        <v>189</v>
      </c>
      <c r="R299" s="1">
        <f ca="1">IFERROR(__xludf.DUMMYFUNCTION("""COMPUTED_VALUE"""),108.2)</f>
        <v>108.2</v>
      </c>
      <c r="S299" s="1">
        <f ca="1">IFERROR(__xludf.DUMMYFUNCTION("""COMPUTED_VALUE"""),316)</f>
        <v>316</v>
      </c>
      <c r="T299" s="1" t="str">
        <f ca="1">IFERROR(__xludf.DUMMYFUNCTION("""COMPUTED_VALUE"""),"+8.65")</f>
        <v>+8.65</v>
      </c>
      <c r="U299" s="1">
        <f ca="1">IFERROR(__xludf.DUMMYFUNCTION("""COMPUTED_VALUE"""),9)</f>
        <v>9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IFERROR(__xludf.DUMMYFUNCTION("""COMPUTED_VALUE"""),"Cal St. Northridge")</f>
        <v>Cal St. Northridge</v>
      </c>
      <c r="C300" s="1" t="str">
        <f ca="1">IFERROR(__xludf.DUMMYFUNCTION("""COMPUTED_VALUE"""),"BW")</f>
        <v>BW</v>
      </c>
      <c r="D300" s="2">
        <f ca="1">IFERROR(__xludf.DUMMYFUNCTION("""COMPUTED_VALUE"""),44884)</f>
        <v>44884</v>
      </c>
      <c r="E300" s="1">
        <f ca="1">IFERROR(__xludf.DUMMYFUNCTION("""COMPUTED_VALUE"""),-10.47)</f>
        <v>-10.47</v>
      </c>
      <c r="F300" s="1">
        <f ca="1">IFERROR(__xludf.DUMMYFUNCTION("""COMPUTED_VALUE"""),104.1)</f>
        <v>104.1</v>
      </c>
      <c r="G300" s="1">
        <f ca="1">IFERROR(__xludf.DUMMYFUNCTION("""COMPUTED_VALUE"""),181)</f>
        <v>181</v>
      </c>
      <c r="H300" s="1">
        <f ca="1">IFERROR(__xludf.DUMMYFUNCTION("""COMPUTED_VALUE"""),114.6)</f>
        <v>114.6</v>
      </c>
      <c r="I300" s="1">
        <f ca="1">IFERROR(__xludf.DUMMYFUNCTION("""COMPUTED_VALUE"""),332)</f>
        <v>332</v>
      </c>
      <c r="J300" s="1">
        <f ca="1">IFERROR(__xludf.DUMMYFUNCTION("""COMPUTED_VALUE"""),72.7)</f>
        <v>72.7</v>
      </c>
      <c r="K300" s="1">
        <f ca="1">IFERROR(__xludf.DUMMYFUNCTION("""COMPUTED_VALUE"""),16)</f>
        <v>16</v>
      </c>
      <c r="L300" s="1">
        <f ca="1">IFERROR(__xludf.DUMMYFUNCTION("""COMPUTED_VALUE"""),-0.032)</f>
        <v>-3.2000000000000001E-2</v>
      </c>
      <c r="M300" s="1">
        <f ca="1">IFERROR(__xludf.DUMMYFUNCTION("""COMPUTED_VALUE"""),265)</f>
        <v>265</v>
      </c>
      <c r="N300" s="1">
        <f ca="1">IFERROR(__xludf.DUMMYFUNCTION("""COMPUTED_VALUE"""),-6.13)</f>
        <v>-6.13</v>
      </c>
      <c r="O300" s="1">
        <f ca="1">IFERROR(__xludf.DUMMYFUNCTION("""COMPUTED_VALUE"""),306)</f>
        <v>306</v>
      </c>
      <c r="P300" s="1">
        <f ca="1">IFERROR(__xludf.DUMMYFUNCTION("""COMPUTED_VALUE"""),99.9)</f>
        <v>99.9</v>
      </c>
      <c r="Q300" s="1">
        <f ca="1">IFERROR(__xludf.DUMMYFUNCTION("""COMPUTED_VALUE"""),331)</f>
        <v>331</v>
      </c>
      <c r="R300" s="1">
        <f ca="1">IFERROR(__xludf.DUMMYFUNCTION("""COMPUTED_VALUE"""),106)</f>
        <v>106</v>
      </c>
      <c r="S300" s="1">
        <f ca="1">IFERROR(__xludf.DUMMYFUNCTION("""COMPUTED_VALUE"""),211)</f>
        <v>211</v>
      </c>
      <c r="T300" s="1" t="str">
        <f ca="1">IFERROR(__xludf.DUMMYFUNCTION("""COMPUTED_VALUE"""),"+0.49")</f>
        <v>+0.49</v>
      </c>
      <c r="U300" s="1">
        <f ca="1">IFERROR(__xludf.DUMMYFUNCTION("""COMPUTED_VALUE"""),140)</f>
        <v>140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IFERROR(__xludf.DUMMYFUNCTION("""COMPUTED_VALUE"""),"Alcorn St.")</f>
        <v>Alcorn St.</v>
      </c>
      <c r="C301" s="1" t="str">
        <f ca="1">IFERROR(__xludf.DUMMYFUNCTION("""COMPUTED_VALUE"""),"SWAC")</f>
        <v>SWAC</v>
      </c>
      <c r="D301" s="1" t="str">
        <f ca="1">IFERROR(__xludf.DUMMYFUNCTION("""COMPUTED_VALUE"""),"18-14")</f>
        <v>18-14</v>
      </c>
      <c r="E301" s="1">
        <f ca="1">IFERROR(__xludf.DUMMYFUNCTION("""COMPUTED_VALUE"""),-10.5)</f>
        <v>-10.5</v>
      </c>
      <c r="F301" s="1">
        <f ca="1">IFERROR(__xludf.DUMMYFUNCTION("""COMPUTED_VALUE"""),95.5)</f>
        <v>95.5</v>
      </c>
      <c r="G301" s="1">
        <f ca="1">IFERROR(__xludf.DUMMYFUNCTION("""COMPUTED_VALUE"""),321)</f>
        <v>321</v>
      </c>
      <c r="H301" s="1">
        <f ca="1">IFERROR(__xludf.DUMMYFUNCTION("""COMPUTED_VALUE"""),106)</f>
        <v>106</v>
      </c>
      <c r="I301" s="1">
        <f ca="1">IFERROR(__xludf.DUMMYFUNCTION("""COMPUTED_VALUE"""),198)</f>
        <v>198</v>
      </c>
      <c r="J301" s="1">
        <f ca="1">IFERROR(__xludf.DUMMYFUNCTION("""COMPUTED_VALUE"""),67.8)</f>
        <v>67.8</v>
      </c>
      <c r="K301" s="1">
        <f ca="1">IFERROR(__xludf.DUMMYFUNCTION("""COMPUTED_VALUE"""),201)</f>
        <v>201</v>
      </c>
      <c r="L301" s="1" t="str">
        <f ca="1">IFERROR(__xludf.DUMMYFUNCTION("""COMPUTED_VALUE"""),"+.048")</f>
        <v>+.048</v>
      </c>
      <c r="M301" s="1">
        <f ca="1">IFERROR(__xludf.DUMMYFUNCTION("""COMPUTED_VALUE"""),63)</f>
        <v>63</v>
      </c>
      <c r="N301" s="1">
        <f ca="1">IFERROR(__xludf.DUMMYFUNCTION("""COMPUTED_VALUE"""),-11.09)</f>
        <v>-11.09</v>
      </c>
      <c r="O301" s="1">
        <f ca="1">IFERROR(__xludf.DUMMYFUNCTION("""COMPUTED_VALUE"""),344)</f>
        <v>344</v>
      </c>
      <c r="P301" s="1">
        <f ca="1">IFERROR(__xludf.DUMMYFUNCTION("""COMPUTED_VALUE"""),98.1)</f>
        <v>98.1</v>
      </c>
      <c r="Q301" s="1">
        <f ca="1">IFERROR(__xludf.DUMMYFUNCTION("""COMPUTED_VALUE"""),347)</f>
        <v>347</v>
      </c>
      <c r="R301" s="1">
        <f ca="1">IFERROR(__xludf.DUMMYFUNCTION("""COMPUTED_VALUE"""),109.2)</f>
        <v>109.2</v>
      </c>
      <c r="S301" s="1">
        <f ca="1">IFERROR(__xludf.DUMMYFUNCTION("""COMPUTED_VALUE"""),338)</f>
        <v>338</v>
      </c>
      <c r="T301" s="1" t="str">
        <f ca="1">IFERROR(__xludf.DUMMYFUNCTION("""COMPUTED_VALUE"""),"+11.03")</f>
        <v>+11.03</v>
      </c>
      <c r="U301" s="1">
        <f ca="1">IFERROR(__xludf.DUMMYFUNCTION("""COMPUTED_VALUE"""),8)</f>
        <v>8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IFERROR(__xludf.DUMMYFUNCTION("""COMPUTED_VALUE"""),"NJIT")</f>
        <v>NJIT</v>
      </c>
      <c r="C302" s="1" t="str">
        <f ca="1">IFERROR(__xludf.DUMMYFUNCTION("""COMPUTED_VALUE"""),"ASun")</f>
        <v>ASun</v>
      </c>
      <c r="D302" s="2">
        <f ca="1">IFERROR(__xludf.DUMMYFUNCTION("""COMPUTED_VALUE"""),44885)</f>
        <v>44885</v>
      </c>
      <c r="E302" s="1">
        <f ca="1">IFERROR(__xludf.DUMMYFUNCTION("""COMPUTED_VALUE"""),-10.55)</f>
        <v>-10.55</v>
      </c>
      <c r="F302" s="1">
        <f ca="1">IFERROR(__xludf.DUMMYFUNCTION("""COMPUTED_VALUE"""),98.7)</f>
        <v>98.7</v>
      </c>
      <c r="G302" s="1">
        <f ca="1">IFERROR(__xludf.DUMMYFUNCTION("""COMPUTED_VALUE"""),279)</f>
        <v>279</v>
      </c>
      <c r="H302" s="1">
        <f ca="1">IFERROR(__xludf.DUMMYFUNCTION("""COMPUTED_VALUE"""),109.2)</f>
        <v>109.2</v>
      </c>
      <c r="I302" s="1">
        <f ca="1">IFERROR(__xludf.DUMMYFUNCTION("""COMPUTED_VALUE"""),265)</f>
        <v>265</v>
      </c>
      <c r="J302" s="1">
        <f ca="1">IFERROR(__xludf.DUMMYFUNCTION("""COMPUTED_VALUE"""),67.6)</f>
        <v>67.599999999999994</v>
      </c>
      <c r="K302" s="1">
        <f ca="1">IFERROR(__xludf.DUMMYFUNCTION("""COMPUTED_VALUE"""),211)</f>
        <v>211</v>
      </c>
      <c r="L302" s="1" t="str">
        <f ca="1">IFERROR(__xludf.DUMMYFUNCTION("""COMPUTED_VALUE"""),"+.029")</f>
        <v>+.029</v>
      </c>
      <c r="M302" s="1">
        <f ca="1">IFERROR(__xludf.DUMMYFUNCTION("""COMPUTED_VALUE"""),103)</f>
        <v>103</v>
      </c>
      <c r="N302" s="1">
        <f ca="1">IFERROR(__xludf.DUMMYFUNCTION("""COMPUTED_VALUE"""),-3.43)</f>
        <v>-3.43</v>
      </c>
      <c r="O302" s="1">
        <f ca="1">IFERROR(__xludf.DUMMYFUNCTION("""COMPUTED_VALUE"""),238)</f>
        <v>238</v>
      </c>
      <c r="P302" s="1">
        <f ca="1">IFERROR(__xludf.DUMMYFUNCTION("""COMPUTED_VALUE"""),104.6)</f>
        <v>104.6</v>
      </c>
      <c r="Q302" s="1">
        <f ca="1">IFERROR(__xludf.DUMMYFUNCTION("""COMPUTED_VALUE"""),147)</f>
        <v>147</v>
      </c>
      <c r="R302" s="1">
        <f ca="1">IFERROR(__xludf.DUMMYFUNCTION("""COMPUTED_VALUE"""),108.1)</f>
        <v>108.1</v>
      </c>
      <c r="S302" s="1">
        <f ca="1">IFERROR(__xludf.DUMMYFUNCTION("""COMPUTED_VALUE"""),313)</f>
        <v>313</v>
      </c>
      <c r="T302" s="1">
        <f ca="1">IFERROR(__xludf.DUMMYFUNCTION("""COMPUTED_VALUE"""),-0.42)</f>
        <v>-0.42</v>
      </c>
      <c r="U302" s="1">
        <f ca="1">IFERROR(__xludf.DUMMYFUNCTION("""COMPUTED_VALUE"""),165)</f>
        <v>165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IFERROR(__xludf.DUMMYFUNCTION("""COMPUTED_VALUE"""),"Manhattan")</f>
        <v>Manhattan</v>
      </c>
      <c r="C303" s="1" t="str">
        <f ca="1">IFERROR(__xludf.DUMMYFUNCTION("""COMPUTED_VALUE"""),"MAAC")</f>
        <v>MAAC</v>
      </c>
      <c r="D303" s="2">
        <f ca="1">IFERROR(__xludf.DUMMYFUNCTION("""COMPUTED_VALUE"""),44856)</f>
        <v>44856</v>
      </c>
      <c r="E303" s="1">
        <f ca="1">IFERROR(__xludf.DUMMYFUNCTION("""COMPUTED_VALUE"""),-10.64)</f>
        <v>-10.64</v>
      </c>
      <c r="F303" s="1">
        <f ca="1">IFERROR(__xludf.DUMMYFUNCTION("""COMPUTED_VALUE"""),97)</f>
        <v>97</v>
      </c>
      <c r="G303" s="1">
        <f ca="1">IFERROR(__xludf.DUMMYFUNCTION("""COMPUTED_VALUE"""),303)</f>
        <v>303</v>
      </c>
      <c r="H303" s="1">
        <f ca="1">IFERROR(__xludf.DUMMYFUNCTION("""COMPUTED_VALUE"""),107.6)</f>
        <v>107.6</v>
      </c>
      <c r="I303" s="1">
        <f ca="1">IFERROR(__xludf.DUMMYFUNCTION("""COMPUTED_VALUE"""),230)</f>
        <v>230</v>
      </c>
      <c r="J303" s="1">
        <f ca="1">IFERROR(__xludf.DUMMYFUNCTION("""COMPUTED_VALUE"""),68.9)</f>
        <v>68.900000000000006</v>
      </c>
      <c r="K303" s="1">
        <f ca="1">IFERROR(__xludf.DUMMYFUNCTION("""COMPUTED_VALUE"""),121)</f>
        <v>121</v>
      </c>
      <c r="L303" s="1">
        <f ca="1">IFERROR(__xludf.DUMMYFUNCTION("""COMPUTED_VALUE"""),0)</f>
        <v>0</v>
      </c>
      <c r="M303" s="1">
        <f ca="1">IFERROR(__xludf.DUMMYFUNCTION("""COMPUTED_VALUE"""),188)</f>
        <v>188</v>
      </c>
      <c r="N303" s="1">
        <f ca="1">IFERROR(__xludf.DUMMYFUNCTION("""COMPUTED_VALUE"""),-2.38)</f>
        <v>-2.38</v>
      </c>
      <c r="O303" s="1">
        <f ca="1">IFERROR(__xludf.DUMMYFUNCTION("""COMPUTED_VALUE"""),200)</f>
        <v>200</v>
      </c>
      <c r="P303" s="1">
        <f ca="1">IFERROR(__xludf.DUMMYFUNCTION("""COMPUTED_VALUE"""),103.6)</f>
        <v>103.6</v>
      </c>
      <c r="Q303" s="1">
        <f ca="1">IFERROR(__xludf.DUMMYFUNCTION("""COMPUTED_VALUE"""),200)</f>
        <v>200</v>
      </c>
      <c r="R303" s="1">
        <f ca="1">IFERROR(__xludf.DUMMYFUNCTION("""COMPUTED_VALUE"""),106)</f>
        <v>106</v>
      </c>
      <c r="S303" s="1">
        <f ca="1">IFERROR(__xludf.DUMMYFUNCTION("""COMPUTED_VALUE"""),206)</f>
        <v>206</v>
      </c>
      <c r="T303" s="1">
        <f ca="1">IFERROR(__xludf.DUMMYFUNCTION("""COMPUTED_VALUE"""),-0.96)</f>
        <v>-0.96</v>
      </c>
      <c r="U303" s="1">
        <f ca="1">IFERROR(__xludf.DUMMYFUNCTION("""COMPUTED_VALUE"""),182)</f>
        <v>182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IFERROR(__xludf.DUMMYFUNCTION("""COMPUTED_VALUE"""),"The Citadel")</f>
        <v>The Citadel</v>
      </c>
      <c r="C304" s="1" t="str">
        <f ca="1">IFERROR(__xludf.DUMMYFUNCTION("""COMPUTED_VALUE"""),"SC")</f>
        <v>SC</v>
      </c>
      <c r="D304" s="2">
        <f ca="1">IFERROR(__xludf.DUMMYFUNCTION("""COMPUTED_VALUE"""),44916)</f>
        <v>44916</v>
      </c>
      <c r="E304" s="1">
        <f ca="1">IFERROR(__xludf.DUMMYFUNCTION("""COMPUTED_VALUE"""),-11.03)</f>
        <v>-11.03</v>
      </c>
      <c r="F304" s="1">
        <f ca="1">IFERROR(__xludf.DUMMYFUNCTION("""COMPUTED_VALUE"""),105.5)</f>
        <v>105.5</v>
      </c>
      <c r="G304" s="1">
        <f ca="1">IFERROR(__xludf.DUMMYFUNCTION("""COMPUTED_VALUE"""),150)</f>
        <v>150</v>
      </c>
      <c r="H304" s="1">
        <f ca="1">IFERROR(__xludf.DUMMYFUNCTION("""COMPUTED_VALUE"""),116.5)</f>
        <v>116.5</v>
      </c>
      <c r="I304" s="1">
        <f ca="1">IFERROR(__xludf.DUMMYFUNCTION("""COMPUTED_VALUE"""),340)</f>
        <v>340</v>
      </c>
      <c r="J304" s="1">
        <f ca="1">IFERROR(__xludf.DUMMYFUNCTION("""COMPUTED_VALUE"""),79.7)</f>
        <v>79.7</v>
      </c>
      <c r="K304" s="1">
        <f ca="1">IFERROR(__xludf.DUMMYFUNCTION("""COMPUTED_VALUE"""),2)</f>
        <v>2</v>
      </c>
      <c r="L304" s="1" t="str">
        <f ca="1">IFERROR(__xludf.DUMMYFUNCTION("""COMPUTED_VALUE"""),"+.023")</f>
        <v>+.023</v>
      </c>
      <c r="M304" s="1">
        <f ca="1">IFERROR(__xludf.DUMMYFUNCTION("""COMPUTED_VALUE"""),124)</f>
        <v>124</v>
      </c>
      <c r="N304" s="1">
        <f ca="1">IFERROR(__xludf.DUMMYFUNCTION("""COMPUTED_VALUE"""),-1.63)</f>
        <v>-1.63</v>
      </c>
      <c r="O304" s="1">
        <f ca="1">IFERROR(__xludf.DUMMYFUNCTION("""COMPUTED_VALUE"""),181)</f>
        <v>181</v>
      </c>
      <c r="P304" s="1">
        <f ca="1">IFERROR(__xludf.DUMMYFUNCTION("""COMPUTED_VALUE"""),104.7)</f>
        <v>104.7</v>
      </c>
      <c r="Q304" s="1">
        <f ca="1">IFERROR(__xludf.DUMMYFUNCTION("""COMPUTED_VALUE"""),143)</f>
        <v>143</v>
      </c>
      <c r="R304" s="1">
        <f ca="1">IFERROR(__xludf.DUMMYFUNCTION("""COMPUTED_VALUE"""),106.3)</f>
        <v>106.3</v>
      </c>
      <c r="S304" s="1">
        <f ca="1">IFERROR(__xludf.DUMMYFUNCTION("""COMPUTED_VALUE"""),227)</f>
        <v>227</v>
      </c>
      <c r="T304" s="1">
        <f ca="1">IFERROR(__xludf.DUMMYFUNCTION("""COMPUTED_VALUE"""),-2.45)</f>
        <v>-2.4500000000000002</v>
      </c>
      <c r="U304" s="1">
        <f ca="1">IFERROR(__xludf.DUMMYFUNCTION("""COMPUTED_VALUE"""),227)</f>
        <v>227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IFERROR(__xludf.DUMMYFUNCTION("""COMPUTED_VALUE"""),"Austin Peay")</f>
        <v>Austin Peay</v>
      </c>
      <c r="C305" s="1" t="str">
        <f ca="1">IFERROR(__xludf.DUMMYFUNCTION("""COMPUTED_VALUE"""),"OVC")</f>
        <v>OVC</v>
      </c>
      <c r="D305" s="2">
        <f ca="1">IFERROR(__xludf.DUMMYFUNCTION("""COMPUTED_VALUE"""),44884)</f>
        <v>44884</v>
      </c>
      <c r="E305" s="1">
        <f ca="1">IFERROR(__xludf.DUMMYFUNCTION("""COMPUTED_VALUE"""),-11.08)</f>
        <v>-11.08</v>
      </c>
      <c r="F305" s="1">
        <f ca="1">IFERROR(__xludf.DUMMYFUNCTION("""COMPUTED_VALUE"""),106.2)</f>
        <v>106.2</v>
      </c>
      <c r="G305" s="1">
        <f ca="1">IFERROR(__xludf.DUMMYFUNCTION("""COMPUTED_VALUE"""),140)</f>
        <v>140</v>
      </c>
      <c r="H305" s="1">
        <f ca="1">IFERROR(__xludf.DUMMYFUNCTION("""COMPUTED_VALUE"""),117.3)</f>
        <v>117.3</v>
      </c>
      <c r="I305" s="1">
        <f ca="1">IFERROR(__xludf.DUMMYFUNCTION("""COMPUTED_VALUE"""),342)</f>
        <v>342</v>
      </c>
      <c r="J305" s="1">
        <f ca="1">IFERROR(__xludf.DUMMYFUNCTION("""COMPUTED_VALUE"""),70)</f>
        <v>70</v>
      </c>
      <c r="K305" s="1">
        <f ca="1">IFERROR(__xludf.DUMMYFUNCTION("""COMPUTED_VALUE"""),80)</f>
        <v>80</v>
      </c>
      <c r="L305" s="1" t="str">
        <f ca="1">IFERROR(__xludf.DUMMYFUNCTION("""COMPUTED_VALUE"""),"+.040")</f>
        <v>+.040</v>
      </c>
      <c r="M305" s="1">
        <f ca="1">IFERROR(__xludf.DUMMYFUNCTION("""COMPUTED_VALUE"""),75)</f>
        <v>75</v>
      </c>
      <c r="N305" s="1">
        <f ca="1">IFERROR(__xludf.DUMMYFUNCTION("""COMPUTED_VALUE"""),-2.03)</f>
        <v>-2.0299999999999998</v>
      </c>
      <c r="O305" s="1">
        <f ca="1">IFERROR(__xludf.DUMMYFUNCTION("""COMPUTED_VALUE"""),192)</f>
        <v>192</v>
      </c>
      <c r="P305" s="1">
        <f ca="1">IFERROR(__xludf.DUMMYFUNCTION("""COMPUTED_VALUE"""),104.6)</f>
        <v>104.6</v>
      </c>
      <c r="Q305" s="1">
        <f ca="1">IFERROR(__xludf.DUMMYFUNCTION("""COMPUTED_VALUE"""),149)</f>
        <v>149</v>
      </c>
      <c r="R305" s="1">
        <f ca="1">IFERROR(__xludf.DUMMYFUNCTION("""COMPUTED_VALUE"""),106.6)</f>
        <v>106.6</v>
      </c>
      <c r="S305" s="1">
        <f ca="1">IFERROR(__xludf.DUMMYFUNCTION("""COMPUTED_VALUE"""),244)</f>
        <v>244</v>
      </c>
      <c r="T305" s="1" t="str">
        <f ca="1">IFERROR(__xludf.DUMMYFUNCTION("""COMPUTED_VALUE"""),"+2.82")</f>
        <v>+2.82</v>
      </c>
      <c r="U305" s="1">
        <f ca="1">IFERROR(__xludf.DUMMYFUNCTION("""COMPUTED_VALUE"""),71)</f>
        <v>71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IFERROR(__xludf.DUMMYFUNCTION("""COMPUTED_VALUE"""),"Delaware")</f>
        <v>Delaware</v>
      </c>
      <c r="C306" s="1" t="str">
        <f ca="1">IFERROR(__xludf.DUMMYFUNCTION("""COMPUTED_VALUE"""),"CAA")</f>
        <v>CAA</v>
      </c>
      <c r="D306" s="1" t="str">
        <f ca="1">IFERROR(__xludf.DUMMYFUNCTION("""COMPUTED_VALUE"""),"13-20")</f>
        <v>13-20</v>
      </c>
      <c r="E306" s="1">
        <f ca="1">IFERROR(__xludf.DUMMYFUNCTION("""COMPUTED_VALUE"""),-11.12)</f>
        <v>-11.12</v>
      </c>
      <c r="F306" s="1">
        <f ca="1">IFERROR(__xludf.DUMMYFUNCTION("""COMPUTED_VALUE"""),97.3)</f>
        <v>97.3</v>
      </c>
      <c r="G306" s="1">
        <f ca="1">IFERROR(__xludf.DUMMYFUNCTION("""COMPUTED_VALUE"""),298)</f>
        <v>298</v>
      </c>
      <c r="H306" s="1">
        <f ca="1">IFERROR(__xludf.DUMMYFUNCTION("""COMPUTED_VALUE"""),108.5)</f>
        <v>108.5</v>
      </c>
      <c r="I306" s="1">
        <f ca="1">IFERROR(__xludf.DUMMYFUNCTION("""COMPUTED_VALUE"""),248)</f>
        <v>248</v>
      </c>
      <c r="J306" s="1">
        <f ca="1">IFERROR(__xludf.DUMMYFUNCTION("""COMPUTED_VALUE"""),64.8)</f>
        <v>64.8</v>
      </c>
      <c r="K306" s="1">
        <f ca="1">IFERROR(__xludf.DUMMYFUNCTION("""COMPUTED_VALUE"""),310)</f>
        <v>310</v>
      </c>
      <c r="L306" s="1" t="str">
        <f ca="1">IFERROR(__xludf.DUMMYFUNCTION("""COMPUTED_VALUE"""),"+.089")</f>
        <v>+.089</v>
      </c>
      <c r="M306" s="1">
        <f ca="1">IFERROR(__xludf.DUMMYFUNCTION("""COMPUTED_VALUE"""),7)</f>
        <v>7</v>
      </c>
      <c r="N306" s="1">
        <f ca="1">IFERROR(__xludf.DUMMYFUNCTION("""COMPUTED_VALUE"""),-0.1)</f>
        <v>-0.1</v>
      </c>
      <c r="O306" s="1">
        <f ca="1">IFERROR(__xludf.DUMMYFUNCTION("""COMPUTED_VALUE"""),137)</f>
        <v>137</v>
      </c>
      <c r="P306" s="1">
        <f ca="1">IFERROR(__xludf.DUMMYFUNCTION("""COMPUTED_VALUE"""),106.4)</f>
        <v>106.4</v>
      </c>
      <c r="Q306" s="1">
        <f ca="1">IFERROR(__xludf.DUMMYFUNCTION("""COMPUTED_VALUE"""),82)</f>
        <v>82</v>
      </c>
      <c r="R306" s="1">
        <f ca="1">IFERROR(__xludf.DUMMYFUNCTION("""COMPUTED_VALUE"""),106.5)</f>
        <v>106.5</v>
      </c>
      <c r="S306" s="1">
        <f ca="1">IFERROR(__xludf.DUMMYFUNCTION("""COMPUTED_VALUE"""),238)</f>
        <v>238</v>
      </c>
      <c r="T306" s="1">
        <f ca="1">IFERROR(__xludf.DUMMYFUNCTION("""COMPUTED_VALUE"""),-3.17)</f>
        <v>-3.17</v>
      </c>
      <c r="U306" s="1">
        <f ca="1">IFERROR(__xludf.DUMMYFUNCTION("""COMPUTED_VALUE"""),246)</f>
        <v>246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IFERROR(__xludf.DUMMYFUNCTION("""COMPUTED_VALUE"""),"Sacramento St.")</f>
        <v>Sacramento St.</v>
      </c>
      <c r="C307" s="1" t="str">
        <f ca="1">IFERROR(__xludf.DUMMYFUNCTION("""COMPUTED_VALUE"""),"BSky")</f>
        <v>BSky</v>
      </c>
      <c r="D307" s="1" t="str">
        <f ca="1">IFERROR(__xludf.DUMMYFUNCTION("""COMPUTED_VALUE"""),"13-18")</f>
        <v>13-18</v>
      </c>
      <c r="E307" s="1">
        <f ca="1">IFERROR(__xludf.DUMMYFUNCTION("""COMPUTED_VALUE"""),-11.24)</f>
        <v>-11.24</v>
      </c>
      <c r="F307" s="1">
        <f ca="1">IFERROR(__xludf.DUMMYFUNCTION("""COMPUTED_VALUE"""),100.9)</f>
        <v>100.9</v>
      </c>
      <c r="G307" s="1">
        <f ca="1">IFERROR(__xludf.DUMMYFUNCTION("""COMPUTED_VALUE"""),241)</f>
        <v>241</v>
      </c>
      <c r="H307" s="1">
        <f ca="1">IFERROR(__xludf.DUMMYFUNCTION("""COMPUTED_VALUE"""),112.2)</f>
        <v>112.2</v>
      </c>
      <c r="I307" s="1">
        <f ca="1">IFERROR(__xludf.DUMMYFUNCTION("""COMPUTED_VALUE"""),310)</f>
        <v>310</v>
      </c>
      <c r="J307" s="1">
        <f ca="1">IFERROR(__xludf.DUMMYFUNCTION("""COMPUTED_VALUE"""),65.5)</f>
        <v>65.5</v>
      </c>
      <c r="K307" s="1">
        <f ca="1">IFERROR(__xludf.DUMMYFUNCTION("""COMPUTED_VALUE"""),293)</f>
        <v>293</v>
      </c>
      <c r="L307" s="1" t="str">
        <f ca="1">IFERROR(__xludf.DUMMYFUNCTION("""COMPUTED_VALUE"""),"+.045")</f>
        <v>+.045</v>
      </c>
      <c r="M307" s="1">
        <f ca="1">IFERROR(__xludf.DUMMYFUNCTION("""COMPUTED_VALUE"""),69)</f>
        <v>69</v>
      </c>
      <c r="N307" s="1">
        <f ca="1">IFERROR(__xludf.DUMMYFUNCTION("""COMPUTED_VALUE"""),-5.52)</f>
        <v>-5.52</v>
      </c>
      <c r="O307" s="1">
        <f ca="1">IFERROR(__xludf.DUMMYFUNCTION("""COMPUTED_VALUE"""),292)</f>
        <v>292</v>
      </c>
      <c r="P307" s="1">
        <f ca="1">IFERROR(__xludf.DUMMYFUNCTION("""COMPUTED_VALUE"""),102.8)</f>
        <v>102.8</v>
      </c>
      <c r="Q307" s="1">
        <f ca="1">IFERROR(__xludf.DUMMYFUNCTION("""COMPUTED_VALUE"""),248)</f>
        <v>248</v>
      </c>
      <c r="R307" s="1">
        <f ca="1">IFERROR(__xludf.DUMMYFUNCTION("""COMPUTED_VALUE"""),108.3)</f>
        <v>108.3</v>
      </c>
      <c r="S307" s="1">
        <f ca="1">IFERROR(__xludf.DUMMYFUNCTION("""COMPUTED_VALUE"""),320)</f>
        <v>320</v>
      </c>
      <c r="T307" s="1" t="str">
        <f ca="1">IFERROR(__xludf.DUMMYFUNCTION("""COMPUTED_VALUE"""),"+1.68")</f>
        <v>+1.68</v>
      </c>
      <c r="U307" s="1">
        <f ca="1">IFERROR(__xludf.DUMMYFUNCTION("""COMPUTED_VALUE"""),109)</f>
        <v>109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IFERROR(__xludf.DUMMYFUNCTION("""COMPUTED_VALUE"""),"South Florida")</f>
        <v>South Florida</v>
      </c>
      <c r="C308" s="1" t="str">
        <f ca="1">IFERROR(__xludf.DUMMYFUNCTION("""COMPUTED_VALUE"""),"Amer")</f>
        <v>Amer</v>
      </c>
      <c r="D308" s="2">
        <f ca="1">IFERROR(__xludf.DUMMYFUNCTION("""COMPUTED_VALUE"""),44765)</f>
        <v>44765</v>
      </c>
      <c r="E308" s="1">
        <f ca="1">IFERROR(__xludf.DUMMYFUNCTION("""COMPUTED_VALUE"""),-11.28)</f>
        <v>-11.28</v>
      </c>
      <c r="F308" s="1">
        <f ca="1">IFERROR(__xludf.DUMMYFUNCTION("""COMPUTED_VALUE"""),96.4)</f>
        <v>96.4</v>
      </c>
      <c r="G308" s="1">
        <f ca="1">IFERROR(__xludf.DUMMYFUNCTION("""COMPUTED_VALUE"""),313)</f>
        <v>313</v>
      </c>
      <c r="H308" s="1">
        <f ca="1">IFERROR(__xludf.DUMMYFUNCTION("""COMPUTED_VALUE"""),107.7)</f>
        <v>107.7</v>
      </c>
      <c r="I308" s="1">
        <f ca="1">IFERROR(__xludf.DUMMYFUNCTION("""COMPUTED_VALUE"""),233)</f>
        <v>233</v>
      </c>
      <c r="J308" s="1">
        <f ca="1">IFERROR(__xludf.DUMMYFUNCTION("""COMPUTED_VALUE"""),68.8)</f>
        <v>68.8</v>
      </c>
      <c r="K308" s="1">
        <f ca="1">IFERROR(__xludf.DUMMYFUNCTION("""COMPUTED_VALUE"""),137)</f>
        <v>137</v>
      </c>
      <c r="L308" s="1">
        <f ca="1">IFERROR(__xludf.DUMMYFUNCTION("""COMPUTED_VALUE"""),-0.021)</f>
        <v>-2.1000000000000001E-2</v>
      </c>
      <c r="M308" s="1">
        <f ca="1">IFERROR(__xludf.DUMMYFUNCTION("""COMPUTED_VALUE"""),236)</f>
        <v>236</v>
      </c>
      <c r="N308" s="1" t="str">
        <f ca="1">IFERROR(__xludf.DUMMYFUNCTION("""COMPUTED_VALUE"""),"+1.34")</f>
        <v>+1.34</v>
      </c>
      <c r="O308" s="1">
        <f ca="1">IFERROR(__xludf.DUMMYFUNCTION("""COMPUTED_VALUE"""),104)</f>
        <v>104</v>
      </c>
      <c r="P308" s="1">
        <f ca="1">IFERROR(__xludf.DUMMYFUNCTION("""COMPUTED_VALUE"""),104.1)</f>
        <v>104.1</v>
      </c>
      <c r="Q308" s="1">
        <f ca="1">IFERROR(__xludf.DUMMYFUNCTION("""COMPUTED_VALUE"""),173)</f>
        <v>173</v>
      </c>
      <c r="R308" s="1">
        <f ca="1">IFERROR(__xludf.DUMMYFUNCTION("""COMPUTED_VALUE"""),102.8)</f>
        <v>102.8</v>
      </c>
      <c r="S308" s="1">
        <f ca="1">IFERROR(__xludf.DUMMYFUNCTION("""COMPUTED_VALUE"""),91)</f>
        <v>91</v>
      </c>
      <c r="T308" s="1">
        <f ca="1">IFERROR(__xludf.DUMMYFUNCTION("""COMPUTED_VALUE"""),-7.82)</f>
        <v>-7.82</v>
      </c>
      <c r="U308" s="1">
        <f ca="1">IFERROR(__xludf.DUMMYFUNCTION("""COMPUTED_VALUE"""),339)</f>
        <v>339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IFERROR(__xludf.DUMMYFUNCTION("""COMPUTED_VALUE"""),"Northwestern St.")</f>
        <v>Northwestern St.</v>
      </c>
      <c r="C309" s="1" t="str">
        <f ca="1">IFERROR(__xludf.DUMMYFUNCTION("""COMPUTED_VALUE"""),"Slnd")</f>
        <v>Slnd</v>
      </c>
      <c r="D309" s="1" t="str">
        <f ca="1">IFERROR(__xludf.DUMMYFUNCTION("""COMPUTED_VALUE"""),"13-16")</f>
        <v>13-16</v>
      </c>
      <c r="E309" s="1">
        <f ca="1">IFERROR(__xludf.DUMMYFUNCTION("""COMPUTED_VALUE"""),-11.4)</f>
        <v>-11.4</v>
      </c>
      <c r="F309" s="1">
        <f ca="1">IFERROR(__xludf.DUMMYFUNCTION("""COMPUTED_VALUE"""),101.1)</f>
        <v>101.1</v>
      </c>
      <c r="G309" s="1">
        <f ca="1">IFERROR(__xludf.DUMMYFUNCTION("""COMPUTED_VALUE"""),237)</f>
        <v>237</v>
      </c>
      <c r="H309" s="1">
        <f ca="1">IFERROR(__xludf.DUMMYFUNCTION("""COMPUTED_VALUE"""),112.5)</f>
        <v>112.5</v>
      </c>
      <c r="I309" s="1">
        <f ca="1">IFERROR(__xludf.DUMMYFUNCTION("""COMPUTED_VALUE"""),312)</f>
        <v>312</v>
      </c>
      <c r="J309" s="1">
        <f ca="1">IFERROR(__xludf.DUMMYFUNCTION("""COMPUTED_VALUE"""),71.3)</f>
        <v>71.3</v>
      </c>
      <c r="K309" s="1">
        <f ca="1">IFERROR(__xludf.DUMMYFUNCTION("""COMPUTED_VALUE"""),39)</f>
        <v>39</v>
      </c>
      <c r="L309" s="1" t="str">
        <f ca="1">IFERROR(__xludf.DUMMYFUNCTION("""COMPUTED_VALUE"""),"+.028")</f>
        <v>+.028</v>
      </c>
      <c r="M309" s="1">
        <f ca="1">IFERROR(__xludf.DUMMYFUNCTION("""COMPUTED_VALUE"""),106)</f>
        <v>106</v>
      </c>
      <c r="N309" s="1">
        <f ca="1">IFERROR(__xludf.DUMMYFUNCTION("""COMPUTED_VALUE"""),-5.18)</f>
        <v>-5.18</v>
      </c>
      <c r="O309" s="1">
        <f ca="1">IFERROR(__xludf.DUMMYFUNCTION("""COMPUTED_VALUE"""),284)</f>
        <v>284</v>
      </c>
      <c r="P309" s="1">
        <f ca="1">IFERROR(__xludf.DUMMYFUNCTION("""COMPUTED_VALUE"""),101.4)</f>
        <v>101.4</v>
      </c>
      <c r="Q309" s="1">
        <f ca="1">IFERROR(__xludf.DUMMYFUNCTION("""COMPUTED_VALUE"""),297)</f>
        <v>297</v>
      </c>
      <c r="R309" s="1">
        <f ca="1">IFERROR(__xludf.DUMMYFUNCTION("""COMPUTED_VALUE"""),106.6)</f>
        <v>106.6</v>
      </c>
      <c r="S309" s="1">
        <f ca="1">IFERROR(__xludf.DUMMYFUNCTION("""COMPUTED_VALUE"""),241)</f>
        <v>241</v>
      </c>
      <c r="T309" s="1" t="str">
        <f ca="1">IFERROR(__xludf.DUMMYFUNCTION("""COMPUTED_VALUE"""),"+6.99")</f>
        <v>+6.99</v>
      </c>
      <c r="U309" s="1">
        <f ca="1">IFERROR(__xludf.DUMMYFUNCTION("""COMPUTED_VALUE"""),21)</f>
        <v>21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IFERROR(__xludf.DUMMYFUNCTION("""COMPUTED_VALUE"""),"Quinnipiac")</f>
        <v>Quinnipiac</v>
      </c>
      <c r="C310" s="1" t="str">
        <f ca="1">IFERROR(__xludf.DUMMYFUNCTION("""COMPUTED_VALUE"""),"MAAC")</f>
        <v>MAAC</v>
      </c>
      <c r="D310" s="2">
        <f ca="1">IFERROR(__xludf.DUMMYFUNCTION("""COMPUTED_VALUE"""),44855)</f>
        <v>44855</v>
      </c>
      <c r="E310" s="1">
        <f ca="1">IFERROR(__xludf.DUMMYFUNCTION("""COMPUTED_VALUE"""),-11.44)</f>
        <v>-11.44</v>
      </c>
      <c r="F310" s="1">
        <f ca="1">IFERROR(__xludf.DUMMYFUNCTION("""COMPUTED_VALUE"""),101.6)</f>
        <v>101.6</v>
      </c>
      <c r="G310" s="1">
        <f ca="1">IFERROR(__xludf.DUMMYFUNCTION("""COMPUTED_VALUE"""),228)</f>
        <v>228</v>
      </c>
      <c r="H310" s="1">
        <f ca="1">IFERROR(__xludf.DUMMYFUNCTION("""COMPUTED_VALUE"""),113)</f>
        <v>113</v>
      </c>
      <c r="I310" s="1">
        <f ca="1">IFERROR(__xludf.DUMMYFUNCTION("""COMPUTED_VALUE"""),319)</f>
        <v>319</v>
      </c>
      <c r="J310" s="1">
        <f ca="1">IFERROR(__xludf.DUMMYFUNCTION("""COMPUTED_VALUE"""),73.2)</f>
        <v>73.2</v>
      </c>
      <c r="K310" s="1">
        <f ca="1">IFERROR(__xludf.DUMMYFUNCTION("""COMPUTED_VALUE"""),12)</f>
        <v>12</v>
      </c>
      <c r="L310" s="1" t="str">
        <f ca="1">IFERROR(__xludf.DUMMYFUNCTION("""COMPUTED_VALUE"""),"+.027")</f>
        <v>+.027</v>
      </c>
      <c r="M310" s="1">
        <f ca="1">IFERROR(__xludf.DUMMYFUNCTION("""COMPUTED_VALUE"""),111)</f>
        <v>111</v>
      </c>
      <c r="N310" s="1">
        <f ca="1">IFERROR(__xludf.DUMMYFUNCTION("""COMPUTED_VALUE"""),-3.24)</f>
        <v>-3.24</v>
      </c>
      <c r="O310" s="1">
        <f ca="1">IFERROR(__xludf.DUMMYFUNCTION("""COMPUTED_VALUE"""),229)</f>
        <v>229</v>
      </c>
      <c r="P310" s="1">
        <f ca="1">IFERROR(__xludf.DUMMYFUNCTION("""COMPUTED_VALUE"""),102.8)</f>
        <v>102.8</v>
      </c>
      <c r="Q310" s="1">
        <f ca="1">IFERROR(__xludf.DUMMYFUNCTION("""COMPUTED_VALUE"""),249)</f>
        <v>249</v>
      </c>
      <c r="R310" s="1">
        <f ca="1">IFERROR(__xludf.DUMMYFUNCTION("""COMPUTED_VALUE"""),106)</f>
        <v>106</v>
      </c>
      <c r="S310" s="1">
        <f ca="1">IFERROR(__xludf.DUMMYFUNCTION("""COMPUTED_VALUE"""),207)</f>
        <v>207</v>
      </c>
      <c r="T310" s="1">
        <f ca="1">IFERROR(__xludf.DUMMYFUNCTION("""COMPUTED_VALUE"""),-3.67)</f>
        <v>-3.67</v>
      </c>
      <c r="U310" s="1">
        <f ca="1">IFERROR(__xludf.DUMMYFUNCTION("""COMPUTED_VALUE"""),266)</f>
        <v>266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IFERROR(__xludf.DUMMYFUNCTION("""COMPUTED_VALUE"""),"UMass Lowell")</f>
        <v>UMass Lowell</v>
      </c>
      <c r="C311" s="1" t="str">
        <f ca="1">IFERROR(__xludf.DUMMYFUNCTION("""COMPUTED_VALUE"""),"AE")</f>
        <v>AE</v>
      </c>
      <c r="D311" s="2">
        <f ca="1">IFERROR(__xludf.DUMMYFUNCTION("""COMPUTED_VALUE"""),44885)</f>
        <v>44885</v>
      </c>
      <c r="E311" s="1">
        <f ca="1">IFERROR(__xludf.DUMMYFUNCTION("""COMPUTED_VALUE"""),-11.5)</f>
        <v>-11.5</v>
      </c>
      <c r="F311" s="1">
        <f ca="1">IFERROR(__xludf.DUMMYFUNCTION("""COMPUTED_VALUE"""),104.3)</f>
        <v>104.3</v>
      </c>
      <c r="G311" s="1">
        <f ca="1">IFERROR(__xludf.DUMMYFUNCTION("""COMPUTED_VALUE"""),173)</f>
        <v>173</v>
      </c>
      <c r="H311" s="1">
        <f ca="1">IFERROR(__xludf.DUMMYFUNCTION("""COMPUTED_VALUE"""),115.8)</f>
        <v>115.8</v>
      </c>
      <c r="I311" s="1">
        <f ca="1">IFERROR(__xludf.DUMMYFUNCTION("""COMPUTED_VALUE"""),337)</f>
        <v>337</v>
      </c>
      <c r="J311" s="1">
        <f ca="1">IFERROR(__xludf.DUMMYFUNCTION("""COMPUTED_VALUE"""),71.8)</f>
        <v>71.8</v>
      </c>
      <c r="K311" s="1">
        <f ca="1">IFERROR(__xludf.DUMMYFUNCTION("""COMPUTED_VALUE"""),30)</f>
        <v>30</v>
      </c>
      <c r="L311" s="1">
        <f ca="1">IFERROR(__xludf.DUMMYFUNCTION("""COMPUTED_VALUE"""),-0.036)</f>
        <v>-3.5999999999999997E-2</v>
      </c>
      <c r="M311" s="1">
        <f ca="1">IFERROR(__xludf.DUMMYFUNCTION("""COMPUTED_VALUE"""),274)</f>
        <v>274</v>
      </c>
      <c r="N311" s="1">
        <f ca="1">IFERROR(__xludf.DUMMYFUNCTION("""COMPUTED_VALUE"""),-6.6)</f>
        <v>-6.6</v>
      </c>
      <c r="O311" s="1">
        <f ca="1">IFERROR(__xludf.DUMMYFUNCTION("""COMPUTED_VALUE"""),315)</f>
        <v>315</v>
      </c>
      <c r="P311" s="1">
        <f ca="1">IFERROR(__xludf.DUMMYFUNCTION("""COMPUTED_VALUE"""),101)</f>
        <v>101</v>
      </c>
      <c r="Q311" s="1">
        <f ca="1">IFERROR(__xludf.DUMMYFUNCTION("""COMPUTED_VALUE"""),310)</f>
        <v>310</v>
      </c>
      <c r="R311" s="1">
        <f ca="1">IFERROR(__xludf.DUMMYFUNCTION("""COMPUTED_VALUE"""),107.6)</f>
        <v>107.6</v>
      </c>
      <c r="S311" s="1">
        <f ca="1">IFERROR(__xludf.DUMMYFUNCTION("""COMPUTED_VALUE"""),289)</f>
        <v>289</v>
      </c>
      <c r="T311" s="1">
        <f ca="1">IFERROR(__xludf.DUMMYFUNCTION("""COMPUTED_VALUE"""),-6.75)</f>
        <v>-6.75</v>
      </c>
      <c r="U311" s="1">
        <f ca="1">IFERROR(__xludf.DUMMYFUNCTION("""COMPUTED_VALUE"""),333)</f>
        <v>333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IFERROR(__xludf.DUMMYFUNCTION("""COMPUTED_VALUE"""),"Radford")</f>
        <v>Radford</v>
      </c>
      <c r="C312" s="1" t="str">
        <f ca="1">IFERROR(__xludf.DUMMYFUNCTION("""COMPUTED_VALUE"""),"BSth")</f>
        <v>BSth</v>
      </c>
      <c r="D312" s="1" t="str">
        <f ca="1">IFERROR(__xludf.DUMMYFUNCTION("""COMPUTED_VALUE"""),"14-18")</f>
        <v>14-18</v>
      </c>
      <c r="E312" s="1">
        <f ca="1">IFERROR(__xludf.DUMMYFUNCTION("""COMPUTED_VALUE"""),-11.7)</f>
        <v>-11.7</v>
      </c>
      <c r="F312" s="1">
        <f ca="1">IFERROR(__xludf.DUMMYFUNCTION("""COMPUTED_VALUE"""),96.1)</f>
        <v>96.1</v>
      </c>
      <c r="G312" s="1">
        <f ca="1">IFERROR(__xludf.DUMMYFUNCTION("""COMPUTED_VALUE"""),317)</f>
        <v>317</v>
      </c>
      <c r="H312" s="1">
        <f ca="1">IFERROR(__xludf.DUMMYFUNCTION("""COMPUTED_VALUE"""),107.8)</f>
        <v>107.8</v>
      </c>
      <c r="I312" s="1">
        <f ca="1">IFERROR(__xludf.DUMMYFUNCTION("""COMPUTED_VALUE"""),235)</f>
        <v>235</v>
      </c>
      <c r="J312" s="1">
        <f ca="1">IFERROR(__xludf.DUMMYFUNCTION("""COMPUTED_VALUE"""),64)</f>
        <v>64</v>
      </c>
      <c r="K312" s="1">
        <f ca="1">IFERROR(__xludf.DUMMYFUNCTION("""COMPUTED_VALUE"""),325)</f>
        <v>325</v>
      </c>
      <c r="L312" s="1" t="str">
        <f ca="1">IFERROR(__xludf.DUMMYFUNCTION("""COMPUTED_VALUE"""),"+.060")</f>
        <v>+.060</v>
      </c>
      <c r="M312" s="1">
        <f ca="1">IFERROR(__xludf.DUMMYFUNCTION("""COMPUTED_VALUE"""),40)</f>
        <v>40</v>
      </c>
      <c r="N312" s="1">
        <f ca="1">IFERROR(__xludf.DUMMYFUNCTION("""COMPUTED_VALUE"""),-4.34)</f>
        <v>-4.34</v>
      </c>
      <c r="O312" s="1">
        <f ca="1">IFERROR(__xludf.DUMMYFUNCTION("""COMPUTED_VALUE"""),259)</f>
        <v>259</v>
      </c>
      <c r="P312" s="1">
        <f ca="1">IFERROR(__xludf.DUMMYFUNCTION("""COMPUTED_VALUE"""),103.4)</f>
        <v>103.4</v>
      </c>
      <c r="Q312" s="1">
        <f ca="1">IFERROR(__xludf.DUMMYFUNCTION("""COMPUTED_VALUE"""),218)</f>
        <v>218</v>
      </c>
      <c r="R312" s="1">
        <f ca="1">IFERROR(__xludf.DUMMYFUNCTION("""COMPUTED_VALUE"""),107.7)</f>
        <v>107.7</v>
      </c>
      <c r="S312" s="1">
        <f ca="1">IFERROR(__xludf.DUMMYFUNCTION("""COMPUTED_VALUE"""),296)</f>
        <v>296</v>
      </c>
      <c r="T312" s="1" t="str">
        <f ca="1">IFERROR(__xludf.DUMMYFUNCTION("""COMPUTED_VALUE"""),"+8.30")</f>
        <v>+8.30</v>
      </c>
      <c r="U312" s="1">
        <f ca="1">IFERROR(__xludf.DUMMYFUNCTION("""COMPUTED_VALUE"""),14)</f>
        <v>14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IFERROR(__xludf.DUMMYFUNCTION("""COMPUTED_VALUE"""),"Western Illinois")</f>
        <v>Western Illinois</v>
      </c>
      <c r="C313" s="1" t="str">
        <f ca="1">IFERROR(__xludf.DUMMYFUNCTION("""COMPUTED_VALUE"""),"Sum")</f>
        <v>Sum</v>
      </c>
      <c r="D313" s="2">
        <f ca="1">IFERROR(__xludf.DUMMYFUNCTION("""COMPUTED_VALUE"""),44793)</f>
        <v>44793</v>
      </c>
      <c r="E313" s="1">
        <f ca="1">IFERROR(__xludf.DUMMYFUNCTION("""COMPUTED_VALUE"""),-11.75)</f>
        <v>-11.75</v>
      </c>
      <c r="F313" s="1">
        <f ca="1">IFERROR(__xludf.DUMMYFUNCTION("""COMPUTED_VALUE"""),97.1)</f>
        <v>97.1</v>
      </c>
      <c r="G313" s="1">
        <f ca="1">IFERROR(__xludf.DUMMYFUNCTION("""COMPUTED_VALUE"""),300)</f>
        <v>300</v>
      </c>
      <c r="H313" s="1">
        <f ca="1">IFERROR(__xludf.DUMMYFUNCTION("""COMPUTED_VALUE"""),108.9)</f>
        <v>108.9</v>
      </c>
      <c r="I313" s="1">
        <f ca="1">IFERROR(__xludf.DUMMYFUNCTION("""COMPUTED_VALUE"""),253)</f>
        <v>253</v>
      </c>
      <c r="J313" s="1">
        <f ca="1">IFERROR(__xludf.DUMMYFUNCTION("""COMPUTED_VALUE"""),68.8)</f>
        <v>68.8</v>
      </c>
      <c r="K313" s="1">
        <f ca="1">IFERROR(__xludf.DUMMYFUNCTION("""COMPUTED_VALUE"""),130)</f>
        <v>130</v>
      </c>
      <c r="L313" s="1">
        <f ca="1">IFERROR(__xludf.DUMMYFUNCTION("""COMPUTED_VALUE"""),-0.035)</f>
        <v>-3.5000000000000003E-2</v>
      </c>
      <c r="M313" s="1">
        <f ca="1">IFERROR(__xludf.DUMMYFUNCTION("""COMPUTED_VALUE"""),271)</f>
        <v>271</v>
      </c>
      <c r="N313" s="1">
        <f ca="1">IFERROR(__xludf.DUMMYFUNCTION("""COMPUTED_VALUE"""),-1.91)</f>
        <v>-1.91</v>
      </c>
      <c r="O313" s="1">
        <f ca="1">IFERROR(__xludf.DUMMYFUNCTION("""COMPUTED_VALUE"""),187)</f>
        <v>187</v>
      </c>
      <c r="P313" s="1">
        <f ca="1">IFERROR(__xludf.DUMMYFUNCTION("""COMPUTED_VALUE"""),105)</f>
        <v>105</v>
      </c>
      <c r="Q313" s="1">
        <f ca="1">IFERROR(__xludf.DUMMYFUNCTION("""COMPUTED_VALUE"""),132)</f>
        <v>132</v>
      </c>
      <c r="R313" s="1">
        <f ca="1">IFERROR(__xludf.DUMMYFUNCTION("""COMPUTED_VALUE"""),106.9)</f>
        <v>106.9</v>
      </c>
      <c r="S313" s="1">
        <f ca="1">IFERROR(__xludf.DUMMYFUNCTION("""COMPUTED_VALUE"""),261)</f>
        <v>261</v>
      </c>
      <c r="T313" s="1">
        <f ca="1">IFERROR(__xludf.DUMMYFUNCTION("""COMPUTED_VALUE"""),-2.98)</f>
        <v>-2.98</v>
      </c>
      <c r="U313" s="1">
        <f ca="1">IFERROR(__xludf.DUMMYFUNCTION("""COMPUTED_VALUE"""),240)</f>
        <v>240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IFERROR(__xludf.DUMMYFUNCTION("""COMPUTED_VALUE"""),"Abilene Christian")</f>
        <v>Abilene Christian</v>
      </c>
      <c r="C314" s="1" t="str">
        <f ca="1">IFERROR(__xludf.DUMMYFUNCTION("""COMPUTED_VALUE"""),"Slnd")</f>
        <v>Slnd</v>
      </c>
      <c r="D314" s="1" t="str">
        <f ca="1">IFERROR(__xludf.DUMMYFUNCTION("""COMPUTED_VALUE"""),"13-16")</f>
        <v>13-16</v>
      </c>
      <c r="E314" s="1">
        <f ca="1">IFERROR(__xludf.DUMMYFUNCTION("""COMPUTED_VALUE"""),-11.86)</f>
        <v>-11.86</v>
      </c>
      <c r="F314" s="1">
        <f ca="1">IFERROR(__xludf.DUMMYFUNCTION("""COMPUTED_VALUE"""),97)</f>
        <v>97</v>
      </c>
      <c r="G314" s="1">
        <f ca="1">IFERROR(__xludf.DUMMYFUNCTION("""COMPUTED_VALUE"""),306)</f>
        <v>306</v>
      </c>
      <c r="H314" s="1">
        <f ca="1">IFERROR(__xludf.DUMMYFUNCTION("""COMPUTED_VALUE"""),108.8)</f>
        <v>108.8</v>
      </c>
      <c r="I314" s="1">
        <f ca="1">IFERROR(__xludf.DUMMYFUNCTION("""COMPUTED_VALUE"""),252)</f>
        <v>252</v>
      </c>
      <c r="J314" s="1">
        <f ca="1">IFERROR(__xludf.DUMMYFUNCTION("""COMPUTED_VALUE"""),65.8)</f>
        <v>65.8</v>
      </c>
      <c r="K314" s="1">
        <f ca="1">IFERROR(__xludf.DUMMYFUNCTION("""COMPUTED_VALUE"""),284)</f>
        <v>284</v>
      </c>
      <c r="L314" s="1" t="str">
        <f ca="1">IFERROR(__xludf.DUMMYFUNCTION("""COMPUTED_VALUE"""),"+.049")</f>
        <v>+.049</v>
      </c>
      <c r="M314" s="1">
        <f ca="1">IFERROR(__xludf.DUMMYFUNCTION("""COMPUTED_VALUE"""),59)</f>
        <v>59</v>
      </c>
      <c r="N314" s="1">
        <f ca="1">IFERROR(__xludf.DUMMYFUNCTION("""COMPUTED_VALUE"""),-5.96)</f>
        <v>-5.96</v>
      </c>
      <c r="O314" s="1">
        <f ca="1">IFERROR(__xludf.DUMMYFUNCTION("""COMPUTED_VALUE"""),302)</f>
        <v>302</v>
      </c>
      <c r="P314" s="1">
        <f ca="1">IFERROR(__xludf.DUMMYFUNCTION("""COMPUTED_VALUE"""),101.7)</f>
        <v>101.7</v>
      </c>
      <c r="Q314" s="1">
        <f ca="1">IFERROR(__xludf.DUMMYFUNCTION("""COMPUTED_VALUE"""),288)</f>
        <v>288</v>
      </c>
      <c r="R314" s="1">
        <f ca="1">IFERROR(__xludf.DUMMYFUNCTION("""COMPUTED_VALUE"""),107.6)</f>
        <v>107.6</v>
      </c>
      <c r="S314" s="1">
        <f ca="1">IFERROR(__xludf.DUMMYFUNCTION("""COMPUTED_VALUE"""),294)</f>
        <v>294</v>
      </c>
      <c r="T314" s="1" t="str">
        <f ca="1">IFERROR(__xludf.DUMMYFUNCTION("""COMPUTED_VALUE"""),"+1.15")</f>
        <v>+1.15</v>
      </c>
      <c r="U314" s="1">
        <f ca="1">IFERROR(__xludf.DUMMYFUNCTION("""COMPUTED_VALUE"""),123)</f>
        <v>123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IFERROR(__xludf.DUMMYFUNCTION("""COMPUTED_VALUE"""),"Norfolk St.")</f>
        <v>Norfolk St.</v>
      </c>
      <c r="C315" s="1" t="str">
        <f ca="1">IFERROR(__xludf.DUMMYFUNCTION("""COMPUTED_VALUE"""),"MEAC")</f>
        <v>MEAC</v>
      </c>
      <c r="D315" s="1" t="str">
        <f ca="1">IFERROR(__xludf.DUMMYFUNCTION("""COMPUTED_VALUE"""),"17-17")</f>
        <v>17-17</v>
      </c>
      <c r="E315" s="1">
        <f ca="1">IFERROR(__xludf.DUMMYFUNCTION("""COMPUTED_VALUE"""),-11.92)</f>
        <v>-11.92</v>
      </c>
      <c r="F315" s="1">
        <f ca="1">IFERROR(__xludf.DUMMYFUNCTION("""COMPUTED_VALUE"""),94.2)</f>
        <v>94.2</v>
      </c>
      <c r="G315" s="1">
        <f ca="1">IFERROR(__xludf.DUMMYFUNCTION("""COMPUTED_VALUE"""),329)</f>
        <v>329</v>
      </c>
      <c r="H315" s="1">
        <f ca="1">IFERROR(__xludf.DUMMYFUNCTION("""COMPUTED_VALUE"""),106.1)</f>
        <v>106.1</v>
      </c>
      <c r="I315" s="1">
        <f ca="1">IFERROR(__xludf.DUMMYFUNCTION("""COMPUTED_VALUE"""),204)</f>
        <v>204</v>
      </c>
      <c r="J315" s="1">
        <f ca="1">IFERROR(__xludf.DUMMYFUNCTION("""COMPUTED_VALUE"""),68.8)</f>
        <v>68.8</v>
      </c>
      <c r="K315" s="1">
        <f ca="1">IFERROR(__xludf.DUMMYFUNCTION("""COMPUTED_VALUE"""),127)</f>
        <v>127</v>
      </c>
      <c r="L315" s="1" t="str">
        <f ca="1">IFERROR(__xludf.DUMMYFUNCTION("""COMPUTED_VALUE"""),"+.069")</f>
        <v>+.069</v>
      </c>
      <c r="M315" s="1">
        <f ca="1">IFERROR(__xludf.DUMMYFUNCTION("""COMPUTED_VALUE"""),27)</f>
        <v>27</v>
      </c>
      <c r="N315" s="1">
        <f ca="1">IFERROR(__xludf.DUMMYFUNCTION("""COMPUTED_VALUE"""),-9.52)</f>
        <v>-9.52</v>
      </c>
      <c r="O315" s="1">
        <f ca="1">IFERROR(__xludf.DUMMYFUNCTION("""COMPUTED_VALUE"""),338)</f>
        <v>338</v>
      </c>
      <c r="P315" s="1">
        <f ca="1">IFERROR(__xludf.DUMMYFUNCTION("""COMPUTED_VALUE"""),99.7)</f>
        <v>99.7</v>
      </c>
      <c r="Q315" s="1">
        <f ca="1">IFERROR(__xludf.DUMMYFUNCTION("""COMPUTED_VALUE"""),332)</f>
        <v>332</v>
      </c>
      <c r="R315" s="1">
        <f ca="1">IFERROR(__xludf.DUMMYFUNCTION("""COMPUTED_VALUE"""),109.2)</f>
        <v>109.2</v>
      </c>
      <c r="S315" s="1">
        <f ca="1">IFERROR(__xludf.DUMMYFUNCTION("""COMPUTED_VALUE"""),340)</f>
        <v>340</v>
      </c>
      <c r="T315" s="1" t="str">
        <f ca="1">IFERROR(__xludf.DUMMYFUNCTION("""COMPUTED_VALUE"""),"+6.02")</f>
        <v>+6.02</v>
      </c>
      <c r="U315" s="1">
        <f ca="1">IFERROR(__xludf.DUMMYFUNCTION("""COMPUTED_VALUE"""),34)</f>
        <v>34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IFERROR(__xludf.DUMMYFUNCTION("""COMPUTED_VALUE"""),"UT Rio Grande Valley")</f>
        <v>UT Rio Grande Valley</v>
      </c>
      <c r="C316" s="1" t="str">
        <f ca="1">IFERROR(__xludf.DUMMYFUNCTION("""COMPUTED_VALUE"""),"WAC")</f>
        <v>WAC</v>
      </c>
      <c r="D316" s="2">
        <f ca="1">IFERROR(__xludf.DUMMYFUNCTION("""COMPUTED_VALUE"""),44856)</f>
        <v>44856</v>
      </c>
      <c r="E316" s="1">
        <f ca="1">IFERROR(__xludf.DUMMYFUNCTION("""COMPUTED_VALUE"""),-12.02)</f>
        <v>-12.02</v>
      </c>
      <c r="F316" s="1">
        <f ca="1">IFERROR(__xludf.DUMMYFUNCTION("""COMPUTED_VALUE"""),100.9)</f>
        <v>100.9</v>
      </c>
      <c r="G316" s="1">
        <f ca="1">IFERROR(__xludf.DUMMYFUNCTION("""COMPUTED_VALUE"""),242)</f>
        <v>242</v>
      </c>
      <c r="H316" s="1">
        <f ca="1">IFERROR(__xludf.DUMMYFUNCTION("""COMPUTED_VALUE"""),112.9)</f>
        <v>112.9</v>
      </c>
      <c r="I316" s="1">
        <f ca="1">IFERROR(__xludf.DUMMYFUNCTION("""COMPUTED_VALUE"""),318)</f>
        <v>318</v>
      </c>
      <c r="J316" s="1">
        <f ca="1">IFERROR(__xludf.DUMMYFUNCTION("""COMPUTED_VALUE"""),73.9)</f>
        <v>73.900000000000006</v>
      </c>
      <c r="K316" s="1">
        <f ca="1">IFERROR(__xludf.DUMMYFUNCTION("""COMPUTED_VALUE"""),8)</f>
        <v>8</v>
      </c>
      <c r="L316" s="1">
        <f ca="1">IFERROR(__xludf.DUMMYFUNCTION("""COMPUTED_VALUE"""),-0.037)</f>
        <v>-3.6999999999999998E-2</v>
      </c>
      <c r="M316" s="1">
        <f ca="1">IFERROR(__xludf.DUMMYFUNCTION("""COMPUTED_VALUE"""),277)</f>
        <v>277</v>
      </c>
      <c r="N316" s="1">
        <f ca="1">IFERROR(__xludf.DUMMYFUNCTION("""COMPUTED_VALUE"""),-2.8)</f>
        <v>-2.8</v>
      </c>
      <c r="O316" s="1">
        <f ca="1">IFERROR(__xludf.DUMMYFUNCTION("""COMPUTED_VALUE"""),215)</f>
        <v>215</v>
      </c>
      <c r="P316" s="1">
        <f ca="1">IFERROR(__xludf.DUMMYFUNCTION("""COMPUTED_VALUE"""),102)</f>
        <v>102</v>
      </c>
      <c r="Q316" s="1">
        <f ca="1">IFERROR(__xludf.DUMMYFUNCTION("""COMPUTED_VALUE"""),275)</f>
        <v>275</v>
      </c>
      <c r="R316" s="1">
        <f ca="1">IFERROR(__xludf.DUMMYFUNCTION("""COMPUTED_VALUE"""),104.8)</f>
        <v>104.8</v>
      </c>
      <c r="S316" s="1">
        <f ca="1">IFERROR(__xludf.DUMMYFUNCTION("""COMPUTED_VALUE"""),141)</f>
        <v>141</v>
      </c>
      <c r="T316" s="1">
        <f ca="1">IFERROR(__xludf.DUMMYFUNCTION("""COMPUTED_VALUE"""),-3)</f>
        <v>-3</v>
      </c>
      <c r="U316" s="1">
        <f ca="1">IFERROR(__xludf.DUMMYFUNCTION("""COMPUTED_VALUE"""),242)</f>
        <v>242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IFERROR(__xludf.DUMMYFUNCTION("""COMPUTED_VALUE"""),"Sacred Heart")</f>
        <v>Sacred Heart</v>
      </c>
      <c r="C317" s="1" t="str">
        <f ca="1">IFERROR(__xludf.DUMMYFUNCTION("""COMPUTED_VALUE"""),"NEC")</f>
        <v>NEC</v>
      </c>
      <c r="D317" s="1" t="str">
        <f ca="1">IFERROR(__xludf.DUMMYFUNCTION("""COMPUTED_VALUE"""),"13-19")</f>
        <v>13-19</v>
      </c>
      <c r="E317" s="1">
        <f ca="1">IFERROR(__xludf.DUMMYFUNCTION("""COMPUTED_VALUE"""),-12.12)</f>
        <v>-12.12</v>
      </c>
      <c r="F317" s="1">
        <f ca="1">IFERROR(__xludf.DUMMYFUNCTION("""COMPUTED_VALUE"""),97.6)</f>
        <v>97.6</v>
      </c>
      <c r="G317" s="1">
        <f ca="1">IFERROR(__xludf.DUMMYFUNCTION("""COMPUTED_VALUE"""),296)</f>
        <v>296</v>
      </c>
      <c r="H317" s="1">
        <f ca="1">IFERROR(__xludf.DUMMYFUNCTION("""COMPUTED_VALUE"""),109.7)</f>
        <v>109.7</v>
      </c>
      <c r="I317" s="1">
        <f ca="1">IFERROR(__xludf.DUMMYFUNCTION("""COMPUTED_VALUE"""),274)</f>
        <v>274</v>
      </c>
      <c r="J317" s="1">
        <f ca="1">IFERROR(__xludf.DUMMYFUNCTION("""COMPUTED_VALUE"""),71.1)</f>
        <v>71.099999999999994</v>
      </c>
      <c r="K317" s="1">
        <f ca="1">IFERROR(__xludf.DUMMYFUNCTION("""COMPUTED_VALUE"""),48)</f>
        <v>48</v>
      </c>
      <c r="L317" s="1" t="str">
        <f ca="1">IFERROR(__xludf.DUMMYFUNCTION("""COMPUTED_VALUE"""),"+.018")</f>
        <v>+.018</v>
      </c>
      <c r="M317" s="1">
        <f ca="1">IFERROR(__xludf.DUMMYFUNCTION("""COMPUTED_VALUE"""),138)</f>
        <v>138</v>
      </c>
      <c r="N317" s="1">
        <f ca="1">IFERROR(__xludf.DUMMYFUNCTION("""COMPUTED_VALUE"""),-8.68)</f>
        <v>-8.68</v>
      </c>
      <c r="O317" s="1">
        <f ca="1">IFERROR(__xludf.DUMMYFUNCTION("""COMPUTED_VALUE"""),332)</f>
        <v>332</v>
      </c>
      <c r="P317" s="1">
        <f ca="1">IFERROR(__xludf.DUMMYFUNCTION("""COMPUTED_VALUE"""),99.2)</f>
        <v>99.2</v>
      </c>
      <c r="Q317" s="1">
        <f ca="1">IFERROR(__xludf.DUMMYFUNCTION("""COMPUTED_VALUE"""),335)</f>
        <v>335</v>
      </c>
      <c r="R317" s="1">
        <f ca="1">IFERROR(__xludf.DUMMYFUNCTION("""COMPUTED_VALUE"""),107.9)</f>
        <v>107.9</v>
      </c>
      <c r="S317" s="1">
        <f ca="1">IFERROR(__xludf.DUMMYFUNCTION("""COMPUTED_VALUE"""),307)</f>
        <v>307</v>
      </c>
      <c r="T317" s="1">
        <f ca="1">IFERROR(__xludf.DUMMYFUNCTION("""COMPUTED_VALUE"""),-5.34)</f>
        <v>-5.34</v>
      </c>
      <c r="U317" s="1">
        <f ca="1">IFERROR(__xludf.DUMMYFUNCTION("""COMPUTED_VALUE"""),307)</f>
        <v>307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IFERROR(__xludf.DUMMYFUNCTION("""COMPUTED_VALUE"""),"Detroit")</f>
        <v>Detroit</v>
      </c>
      <c r="C318" s="1" t="str">
        <f ca="1">IFERROR(__xludf.DUMMYFUNCTION("""COMPUTED_VALUE"""),"Horz")</f>
        <v>Horz</v>
      </c>
      <c r="D318" s="2">
        <f ca="1">IFERROR(__xludf.DUMMYFUNCTION("""COMPUTED_VALUE"""),44796)</f>
        <v>44796</v>
      </c>
      <c r="E318" s="1">
        <f ca="1">IFERROR(__xludf.DUMMYFUNCTION("""COMPUTED_VALUE"""),-12.21)</f>
        <v>-12.21</v>
      </c>
      <c r="F318" s="1">
        <f ca="1">IFERROR(__xludf.DUMMYFUNCTION("""COMPUTED_VALUE"""),102.3)</f>
        <v>102.3</v>
      </c>
      <c r="G318" s="1">
        <f ca="1">IFERROR(__xludf.DUMMYFUNCTION("""COMPUTED_VALUE"""),213)</f>
        <v>213</v>
      </c>
      <c r="H318" s="1">
        <f ca="1">IFERROR(__xludf.DUMMYFUNCTION("""COMPUTED_VALUE"""),114.5)</f>
        <v>114.5</v>
      </c>
      <c r="I318" s="1">
        <f ca="1">IFERROR(__xludf.DUMMYFUNCTION("""COMPUTED_VALUE"""),331)</f>
        <v>331</v>
      </c>
      <c r="J318" s="1">
        <f ca="1">IFERROR(__xludf.DUMMYFUNCTION("""COMPUTED_VALUE"""),72.6)</f>
        <v>72.599999999999994</v>
      </c>
      <c r="K318" s="1">
        <f ca="1">IFERROR(__xludf.DUMMYFUNCTION("""COMPUTED_VALUE"""),18)</f>
        <v>18</v>
      </c>
      <c r="L318" s="1" t="str">
        <f ca="1">IFERROR(__xludf.DUMMYFUNCTION("""COMPUTED_VALUE"""),"+.016")</f>
        <v>+.016</v>
      </c>
      <c r="M318" s="1">
        <f ca="1">IFERROR(__xludf.DUMMYFUNCTION("""COMPUTED_VALUE"""),143)</f>
        <v>143</v>
      </c>
      <c r="N318" s="1">
        <f ca="1">IFERROR(__xludf.DUMMYFUNCTION("""COMPUTED_VALUE"""),-1.37)</f>
        <v>-1.37</v>
      </c>
      <c r="O318" s="1">
        <f ca="1">IFERROR(__xludf.DUMMYFUNCTION("""COMPUTED_VALUE"""),171)</f>
        <v>171</v>
      </c>
      <c r="P318" s="1">
        <f ca="1">IFERROR(__xludf.DUMMYFUNCTION("""COMPUTED_VALUE"""),103.7)</f>
        <v>103.7</v>
      </c>
      <c r="Q318" s="1">
        <f ca="1">IFERROR(__xludf.DUMMYFUNCTION("""COMPUTED_VALUE"""),195)</f>
        <v>195</v>
      </c>
      <c r="R318" s="1">
        <f ca="1">IFERROR(__xludf.DUMMYFUNCTION("""COMPUTED_VALUE"""),105.1)</f>
        <v>105.1</v>
      </c>
      <c r="S318" s="1">
        <f ca="1">IFERROR(__xludf.DUMMYFUNCTION("""COMPUTED_VALUE"""),147)</f>
        <v>147</v>
      </c>
      <c r="T318" s="1" t="str">
        <f ca="1">IFERROR(__xludf.DUMMYFUNCTION("""COMPUTED_VALUE"""),"+2.32")</f>
        <v>+2.32</v>
      </c>
      <c r="U318" s="1">
        <f ca="1">IFERROR(__xludf.DUMMYFUNCTION("""COMPUTED_VALUE"""),81)</f>
        <v>81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IFERROR(__xludf.DUMMYFUNCTION("""COMPUTED_VALUE"""),"Pepperdine")</f>
        <v>Pepperdine</v>
      </c>
      <c r="C319" s="1" t="str">
        <f ca="1">IFERROR(__xludf.DUMMYFUNCTION("""COMPUTED_VALUE"""),"WCC")</f>
        <v>WCC</v>
      </c>
      <c r="D319" s="2">
        <f ca="1">IFERROR(__xludf.DUMMYFUNCTION("""COMPUTED_VALUE"""),44826)</f>
        <v>44826</v>
      </c>
      <c r="E319" s="1">
        <f ca="1">IFERROR(__xludf.DUMMYFUNCTION("""COMPUTED_VALUE"""),-12.26)</f>
        <v>-12.26</v>
      </c>
      <c r="F319" s="1">
        <f ca="1">IFERROR(__xludf.DUMMYFUNCTION("""COMPUTED_VALUE"""),102)</f>
        <v>102</v>
      </c>
      <c r="G319" s="1">
        <f ca="1">IFERROR(__xludf.DUMMYFUNCTION("""COMPUTED_VALUE"""),217)</f>
        <v>217</v>
      </c>
      <c r="H319" s="1">
        <f ca="1">IFERROR(__xludf.DUMMYFUNCTION("""COMPUTED_VALUE"""),114.2)</f>
        <v>114.2</v>
      </c>
      <c r="I319" s="1">
        <f ca="1">IFERROR(__xludf.DUMMYFUNCTION("""COMPUTED_VALUE"""),327)</f>
        <v>327</v>
      </c>
      <c r="J319" s="1">
        <f ca="1">IFERROR(__xludf.DUMMYFUNCTION("""COMPUTED_VALUE"""),68.5)</f>
        <v>68.5</v>
      </c>
      <c r="K319" s="1">
        <f ca="1">IFERROR(__xludf.DUMMYFUNCTION("""COMPUTED_VALUE"""),154)</f>
        <v>154</v>
      </c>
      <c r="L319" s="1" t="str">
        <f ca="1">IFERROR(__xludf.DUMMYFUNCTION("""COMPUTED_VALUE"""),"+.026")</f>
        <v>+.026</v>
      </c>
      <c r="M319" s="1">
        <f ca="1">IFERROR(__xludf.DUMMYFUNCTION("""COMPUTED_VALUE"""),115)</f>
        <v>115</v>
      </c>
      <c r="N319" s="1" t="str">
        <f ca="1">IFERROR(__xludf.DUMMYFUNCTION("""COMPUTED_VALUE"""),"+1.03")</f>
        <v>+1.03</v>
      </c>
      <c r="O319" s="1">
        <f ca="1">IFERROR(__xludf.DUMMYFUNCTION("""COMPUTED_VALUE"""),110)</f>
        <v>110</v>
      </c>
      <c r="P319" s="1">
        <f ca="1">IFERROR(__xludf.DUMMYFUNCTION("""COMPUTED_VALUE"""),105.6)</f>
        <v>105.6</v>
      </c>
      <c r="Q319" s="1">
        <f ca="1">IFERROR(__xludf.DUMMYFUNCTION("""COMPUTED_VALUE"""),99)</f>
        <v>99</v>
      </c>
      <c r="R319" s="1">
        <f ca="1">IFERROR(__xludf.DUMMYFUNCTION("""COMPUTED_VALUE"""),104.6)</f>
        <v>104.6</v>
      </c>
      <c r="S319" s="1">
        <f ca="1">IFERROR(__xludf.DUMMYFUNCTION("""COMPUTED_VALUE"""),132)</f>
        <v>132</v>
      </c>
      <c r="T319" s="1">
        <f ca="1">IFERROR(__xludf.DUMMYFUNCTION("""COMPUTED_VALUE"""),-1.67)</f>
        <v>-1.67</v>
      </c>
      <c r="U319" s="1">
        <f ca="1">IFERROR(__xludf.DUMMYFUNCTION("""COMPUTED_VALUE"""),206)</f>
        <v>206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IFERROR(__xludf.DUMMYFUNCTION("""COMPUTED_VALUE"""),"Incarnate Word")</f>
        <v>Incarnate Word</v>
      </c>
      <c r="C320" s="1" t="str">
        <f ca="1">IFERROR(__xludf.DUMMYFUNCTION("""COMPUTED_VALUE"""),"Slnd")</f>
        <v>Slnd</v>
      </c>
      <c r="D320" s="2">
        <f ca="1">IFERROR(__xludf.DUMMYFUNCTION("""COMPUTED_VALUE"""),44912)</f>
        <v>44912</v>
      </c>
      <c r="E320" s="1">
        <f ca="1">IFERROR(__xludf.DUMMYFUNCTION("""COMPUTED_VALUE"""),-12.61)</f>
        <v>-12.61</v>
      </c>
      <c r="F320" s="1">
        <f ca="1">IFERROR(__xludf.DUMMYFUNCTION("""COMPUTED_VALUE"""),101.7)</f>
        <v>101.7</v>
      </c>
      <c r="G320" s="1">
        <f ca="1">IFERROR(__xludf.DUMMYFUNCTION("""COMPUTED_VALUE"""),227)</f>
        <v>227</v>
      </c>
      <c r="H320" s="1">
        <f ca="1">IFERROR(__xludf.DUMMYFUNCTION("""COMPUTED_VALUE"""),114.3)</f>
        <v>114.3</v>
      </c>
      <c r="I320" s="1">
        <f ca="1">IFERROR(__xludf.DUMMYFUNCTION("""COMPUTED_VALUE"""),329)</f>
        <v>329</v>
      </c>
      <c r="J320" s="1">
        <f ca="1">IFERROR(__xludf.DUMMYFUNCTION("""COMPUTED_VALUE"""),71.8)</f>
        <v>71.8</v>
      </c>
      <c r="K320" s="1">
        <f ca="1">IFERROR(__xludf.DUMMYFUNCTION("""COMPUTED_VALUE"""),31)</f>
        <v>31</v>
      </c>
      <c r="L320" s="1" t="str">
        <f ca="1">IFERROR(__xludf.DUMMYFUNCTION("""COMPUTED_VALUE"""),"+.032")</f>
        <v>+.032</v>
      </c>
      <c r="M320" s="1">
        <f ca="1">IFERROR(__xludf.DUMMYFUNCTION("""COMPUTED_VALUE"""),96)</f>
        <v>96</v>
      </c>
      <c r="N320" s="1">
        <f ca="1">IFERROR(__xludf.DUMMYFUNCTION("""COMPUTED_VALUE"""),-5.24)</f>
        <v>-5.24</v>
      </c>
      <c r="O320" s="1">
        <f ca="1">IFERROR(__xludf.DUMMYFUNCTION("""COMPUTED_VALUE"""),286)</f>
        <v>286</v>
      </c>
      <c r="P320" s="1">
        <f ca="1">IFERROR(__xludf.DUMMYFUNCTION("""COMPUTED_VALUE"""),101.2)</f>
        <v>101.2</v>
      </c>
      <c r="Q320" s="1">
        <f ca="1">IFERROR(__xludf.DUMMYFUNCTION("""COMPUTED_VALUE"""),304)</f>
        <v>304</v>
      </c>
      <c r="R320" s="1">
        <f ca="1">IFERROR(__xludf.DUMMYFUNCTION("""COMPUTED_VALUE"""),106.5)</f>
        <v>106.5</v>
      </c>
      <c r="S320" s="1">
        <f ca="1">IFERROR(__xludf.DUMMYFUNCTION("""COMPUTED_VALUE"""),237)</f>
        <v>237</v>
      </c>
      <c r="T320" s="1" t="str">
        <f ca="1">IFERROR(__xludf.DUMMYFUNCTION("""COMPUTED_VALUE"""),"+4.08")</f>
        <v>+4.08</v>
      </c>
      <c r="U320" s="1">
        <f ca="1">IFERROR(__xludf.DUMMYFUNCTION("""COMPUTED_VALUE"""),50)</f>
        <v>50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IFERROR(__xludf.DUMMYFUNCTION("""COMPUTED_VALUE"""),"Dartmouth")</f>
        <v>Dartmouth</v>
      </c>
      <c r="C321" s="1" t="str">
        <f ca="1">IFERROR(__xludf.DUMMYFUNCTION("""COMPUTED_VALUE"""),"Ivy")</f>
        <v>Ivy</v>
      </c>
      <c r="D321" s="2">
        <f ca="1">IFERROR(__xludf.DUMMYFUNCTION("""COMPUTED_VALUE"""),44762)</f>
        <v>44762</v>
      </c>
      <c r="E321" s="1">
        <f ca="1">IFERROR(__xludf.DUMMYFUNCTION("""COMPUTED_VALUE"""),-12.89)</f>
        <v>-12.89</v>
      </c>
      <c r="F321" s="1">
        <f ca="1">IFERROR(__xludf.DUMMYFUNCTION("""COMPUTED_VALUE"""),99.2)</f>
        <v>99.2</v>
      </c>
      <c r="G321" s="1">
        <f ca="1">IFERROR(__xludf.DUMMYFUNCTION("""COMPUTED_VALUE"""),270)</f>
        <v>270</v>
      </c>
      <c r="H321" s="1">
        <f ca="1">IFERROR(__xludf.DUMMYFUNCTION("""COMPUTED_VALUE"""),112.1)</f>
        <v>112.1</v>
      </c>
      <c r="I321" s="1">
        <f ca="1">IFERROR(__xludf.DUMMYFUNCTION("""COMPUTED_VALUE"""),309)</f>
        <v>309</v>
      </c>
      <c r="J321" s="1">
        <f ca="1">IFERROR(__xludf.DUMMYFUNCTION("""COMPUTED_VALUE"""),67.4)</f>
        <v>67.400000000000006</v>
      </c>
      <c r="K321" s="1">
        <f ca="1">IFERROR(__xludf.DUMMYFUNCTION("""COMPUTED_VALUE"""),216)</f>
        <v>216</v>
      </c>
      <c r="L321" s="1" t="str">
        <f ca="1">IFERROR(__xludf.DUMMYFUNCTION("""COMPUTED_VALUE"""),"+.032")</f>
        <v>+.032</v>
      </c>
      <c r="M321" s="1">
        <f ca="1">IFERROR(__xludf.DUMMYFUNCTION("""COMPUTED_VALUE"""),93)</f>
        <v>93</v>
      </c>
      <c r="N321" s="1">
        <f ca="1">IFERROR(__xludf.DUMMYFUNCTION("""COMPUTED_VALUE"""),-3.06)</f>
        <v>-3.06</v>
      </c>
      <c r="O321" s="1">
        <f ca="1">IFERROR(__xludf.DUMMYFUNCTION("""COMPUTED_VALUE"""),226)</f>
        <v>226</v>
      </c>
      <c r="P321" s="1">
        <f ca="1">IFERROR(__xludf.DUMMYFUNCTION("""COMPUTED_VALUE"""),102.4)</f>
        <v>102.4</v>
      </c>
      <c r="Q321" s="1">
        <f ca="1">IFERROR(__xludf.DUMMYFUNCTION("""COMPUTED_VALUE"""),265)</f>
        <v>265</v>
      </c>
      <c r="R321" s="1">
        <f ca="1">IFERROR(__xludf.DUMMYFUNCTION("""COMPUTED_VALUE"""),105.4)</f>
        <v>105.4</v>
      </c>
      <c r="S321" s="1">
        <f ca="1">IFERROR(__xludf.DUMMYFUNCTION("""COMPUTED_VALUE"""),167)</f>
        <v>167</v>
      </c>
      <c r="T321" s="1">
        <f ca="1">IFERROR(__xludf.DUMMYFUNCTION("""COMPUTED_VALUE"""),-4.48)</f>
        <v>-4.4800000000000004</v>
      </c>
      <c r="U321" s="1">
        <f ca="1">IFERROR(__xludf.DUMMYFUNCTION("""COMPUTED_VALUE"""),288)</f>
        <v>288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IFERROR(__xludf.DUMMYFUNCTION("""COMPUTED_VALUE"""),"Cal Poly")</f>
        <v>Cal Poly</v>
      </c>
      <c r="C322" s="1" t="str">
        <f ca="1">IFERROR(__xludf.DUMMYFUNCTION("""COMPUTED_VALUE"""),"BW")</f>
        <v>BW</v>
      </c>
      <c r="D322" s="2">
        <f ca="1">IFERROR(__xludf.DUMMYFUNCTION("""COMPUTED_VALUE"""),44885)</f>
        <v>44885</v>
      </c>
      <c r="E322" s="1">
        <f ca="1">IFERROR(__xludf.DUMMYFUNCTION("""COMPUTED_VALUE"""),-12.93)</f>
        <v>-12.93</v>
      </c>
      <c r="F322" s="1">
        <f ca="1">IFERROR(__xludf.DUMMYFUNCTION("""COMPUTED_VALUE"""),100.1)</f>
        <v>100.1</v>
      </c>
      <c r="G322" s="1">
        <f ca="1">IFERROR(__xludf.DUMMYFUNCTION("""COMPUTED_VALUE"""),256)</f>
        <v>256</v>
      </c>
      <c r="H322" s="1">
        <f ca="1">IFERROR(__xludf.DUMMYFUNCTION("""COMPUTED_VALUE"""),113)</f>
        <v>113</v>
      </c>
      <c r="I322" s="1">
        <f ca="1">IFERROR(__xludf.DUMMYFUNCTION("""COMPUTED_VALUE"""),320)</f>
        <v>320</v>
      </c>
      <c r="J322" s="1">
        <f ca="1">IFERROR(__xludf.DUMMYFUNCTION("""COMPUTED_VALUE"""),65.3)</f>
        <v>65.3</v>
      </c>
      <c r="K322" s="1">
        <f ca="1">IFERROR(__xludf.DUMMYFUNCTION("""COMPUTED_VALUE"""),301)</f>
        <v>301</v>
      </c>
      <c r="L322" s="1" t="str">
        <f ca="1">IFERROR(__xludf.DUMMYFUNCTION("""COMPUTED_VALUE"""),"+.013")</f>
        <v>+.013</v>
      </c>
      <c r="M322" s="1">
        <f ca="1">IFERROR(__xludf.DUMMYFUNCTION("""COMPUTED_VALUE"""),157)</f>
        <v>157</v>
      </c>
      <c r="N322" s="1">
        <f ca="1">IFERROR(__xludf.DUMMYFUNCTION("""COMPUTED_VALUE"""),-4.19)</f>
        <v>-4.1900000000000004</v>
      </c>
      <c r="O322" s="1">
        <f ca="1">IFERROR(__xludf.DUMMYFUNCTION("""COMPUTED_VALUE"""),255)</f>
        <v>255</v>
      </c>
      <c r="P322" s="1">
        <f ca="1">IFERROR(__xludf.DUMMYFUNCTION("""COMPUTED_VALUE"""),100.7)</f>
        <v>100.7</v>
      </c>
      <c r="Q322" s="1">
        <f ca="1">IFERROR(__xludf.DUMMYFUNCTION("""COMPUTED_VALUE"""),315)</f>
        <v>315</v>
      </c>
      <c r="R322" s="1">
        <f ca="1">IFERROR(__xludf.DUMMYFUNCTION("""COMPUTED_VALUE"""),104.9)</f>
        <v>104.9</v>
      </c>
      <c r="S322" s="1">
        <f ca="1">IFERROR(__xludf.DUMMYFUNCTION("""COMPUTED_VALUE"""),142)</f>
        <v>142</v>
      </c>
      <c r="T322" s="1" t="str">
        <f ca="1">IFERROR(__xludf.DUMMYFUNCTION("""COMPUTED_VALUE"""),"+2.74")</f>
        <v>+2.74</v>
      </c>
      <c r="U322" s="1">
        <f ca="1">IFERROR(__xludf.DUMMYFUNCTION("""COMPUTED_VALUE"""),73)</f>
        <v>73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IFERROR(__xludf.DUMMYFUNCTION("""COMPUTED_VALUE"""),"American")</f>
        <v>American</v>
      </c>
      <c r="C323" s="1" t="str">
        <f ca="1">IFERROR(__xludf.DUMMYFUNCTION("""COMPUTED_VALUE"""),"Pat")</f>
        <v>Pat</v>
      </c>
      <c r="D323" s="2">
        <f ca="1">IFERROR(__xludf.DUMMYFUNCTION("""COMPUTED_VALUE"""),44795)</f>
        <v>44795</v>
      </c>
      <c r="E323" s="1">
        <f ca="1">IFERROR(__xludf.DUMMYFUNCTION("""COMPUTED_VALUE"""),-12.94)</f>
        <v>-12.94</v>
      </c>
      <c r="F323" s="1">
        <f ca="1">IFERROR(__xludf.DUMMYFUNCTION("""COMPUTED_VALUE"""),95.2)</f>
        <v>95.2</v>
      </c>
      <c r="G323" s="1">
        <f ca="1">IFERROR(__xludf.DUMMYFUNCTION("""COMPUTED_VALUE"""),325)</f>
        <v>325</v>
      </c>
      <c r="H323" s="1">
        <f ca="1">IFERROR(__xludf.DUMMYFUNCTION("""COMPUTED_VALUE"""),108.1)</f>
        <v>108.1</v>
      </c>
      <c r="I323" s="1">
        <f ca="1">IFERROR(__xludf.DUMMYFUNCTION("""COMPUTED_VALUE"""),240)</f>
        <v>240</v>
      </c>
      <c r="J323" s="1">
        <f ca="1">IFERROR(__xludf.DUMMYFUNCTION("""COMPUTED_VALUE"""),64.3)</f>
        <v>64.3</v>
      </c>
      <c r="K323" s="1">
        <f ca="1">IFERROR(__xludf.DUMMYFUNCTION("""COMPUTED_VALUE"""),318)</f>
        <v>318</v>
      </c>
      <c r="L323" s="1">
        <f ca="1">IFERROR(__xludf.DUMMYFUNCTION("""COMPUTED_VALUE"""),-0.017)</f>
        <v>-1.7000000000000001E-2</v>
      </c>
      <c r="M323" s="1">
        <f ca="1">IFERROR(__xludf.DUMMYFUNCTION("""COMPUTED_VALUE"""),233)</f>
        <v>233</v>
      </c>
      <c r="N323" s="1">
        <f ca="1">IFERROR(__xludf.DUMMYFUNCTION("""COMPUTED_VALUE"""),-4.21)</f>
        <v>-4.21</v>
      </c>
      <c r="O323" s="1">
        <f ca="1">IFERROR(__xludf.DUMMYFUNCTION("""COMPUTED_VALUE"""),256)</f>
        <v>256</v>
      </c>
      <c r="P323" s="1">
        <f ca="1">IFERROR(__xludf.DUMMYFUNCTION("""COMPUTED_VALUE"""),101.6)</f>
        <v>101.6</v>
      </c>
      <c r="Q323" s="1">
        <f ca="1">IFERROR(__xludf.DUMMYFUNCTION("""COMPUTED_VALUE"""),289)</f>
        <v>289</v>
      </c>
      <c r="R323" s="1">
        <f ca="1">IFERROR(__xludf.DUMMYFUNCTION("""COMPUTED_VALUE"""),105.8)</f>
        <v>105.8</v>
      </c>
      <c r="S323" s="1">
        <f ca="1">IFERROR(__xludf.DUMMYFUNCTION("""COMPUTED_VALUE"""),190)</f>
        <v>190</v>
      </c>
      <c r="T323" s="1">
        <f ca="1">IFERROR(__xludf.DUMMYFUNCTION("""COMPUTED_VALUE"""),-4.47)</f>
        <v>-4.47</v>
      </c>
      <c r="U323" s="1">
        <f ca="1">IFERROR(__xludf.DUMMYFUNCTION("""COMPUTED_VALUE"""),285)</f>
        <v>285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IFERROR(__xludf.DUMMYFUNCTION("""COMPUTED_VALUE"""),"Central Arkansas")</f>
        <v>Central Arkansas</v>
      </c>
      <c r="C324" s="1" t="str">
        <f ca="1">IFERROR(__xludf.DUMMYFUNCTION("""COMPUTED_VALUE"""),"Slnd")</f>
        <v>Slnd</v>
      </c>
      <c r="D324" s="2">
        <f ca="1">IFERROR(__xludf.DUMMYFUNCTION("""COMPUTED_VALUE"""),44797)</f>
        <v>44797</v>
      </c>
      <c r="E324" s="1">
        <f ca="1">IFERROR(__xludf.DUMMYFUNCTION("""COMPUTED_VALUE"""),-13.47)</f>
        <v>-13.47</v>
      </c>
      <c r="F324" s="1">
        <f ca="1">IFERROR(__xludf.DUMMYFUNCTION("""COMPUTED_VALUE"""),104)</f>
        <v>104</v>
      </c>
      <c r="G324" s="1">
        <f ca="1">IFERROR(__xludf.DUMMYFUNCTION("""COMPUTED_VALUE"""),184)</f>
        <v>184</v>
      </c>
      <c r="H324" s="1">
        <f ca="1">IFERROR(__xludf.DUMMYFUNCTION("""COMPUTED_VALUE"""),117.5)</f>
        <v>117.5</v>
      </c>
      <c r="I324" s="1">
        <f ca="1">IFERROR(__xludf.DUMMYFUNCTION("""COMPUTED_VALUE"""),344)</f>
        <v>344</v>
      </c>
      <c r="J324" s="1">
        <f ca="1">IFERROR(__xludf.DUMMYFUNCTION("""COMPUTED_VALUE"""),71.1)</f>
        <v>71.099999999999994</v>
      </c>
      <c r="K324" s="1">
        <f ca="1">IFERROR(__xludf.DUMMYFUNCTION("""COMPUTED_VALUE"""),49)</f>
        <v>49</v>
      </c>
      <c r="L324" s="1">
        <f ca="1">IFERROR(__xludf.DUMMYFUNCTION("""COMPUTED_VALUE"""),-0.014)</f>
        <v>-1.4E-2</v>
      </c>
      <c r="M324" s="1">
        <f ca="1">IFERROR(__xludf.DUMMYFUNCTION("""COMPUTED_VALUE"""),227)</f>
        <v>227</v>
      </c>
      <c r="N324" s="1">
        <f ca="1">IFERROR(__xludf.DUMMYFUNCTION("""COMPUTED_VALUE"""),-3.28)</f>
        <v>-3.28</v>
      </c>
      <c r="O324" s="1">
        <f ca="1">IFERROR(__xludf.DUMMYFUNCTION("""COMPUTED_VALUE"""),230)</f>
        <v>230</v>
      </c>
      <c r="P324" s="1">
        <f ca="1">IFERROR(__xludf.DUMMYFUNCTION("""COMPUTED_VALUE"""),103.1)</f>
        <v>103.1</v>
      </c>
      <c r="Q324" s="1">
        <f ca="1">IFERROR(__xludf.DUMMYFUNCTION("""COMPUTED_VALUE"""),229)</f>
        <v>229</v>
      </c>
      <c r="R324" s="1">
        <f ca="1">IFERROR(__xludf.DUMMYFUNCTION("""COMPUTED_VALUE"""),106.3)</f>
        <v>106.3</v>
      </c>
      <c r="S324" s="1">
        <f ca="1">IFERROR(__xludf.DUMMYFUNCTION("""COMPUTED_VALUE"""),228)</f>
        <v>228</v>
      </c>
      <c r="T324" s="1" t="str">
        <f ca="1">IFERROR(__xludf.DUMMYFUNCTION("""COMPUTED_VALUE"""),"+6.65")</f>
        <v>+6.65</v>
      </c>
      <c r="U324" s="1">
        <f ca="1">IFERROR(__xludf.DUMMYFUNCTION("""COMPUTED_VALUE"""),28)</f>
        <v>28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IFERROR(__xludf.DUMMYFUNCTION("""COMPUTED_VALUE"""),"Charleston Southern")</f>
        <v>Charleston Southern</v>
      </c>
      <c r="C325" s="1" t="str">
        <f ca="1">IFERROR(__xludf.DUMMYFUNCTION("""COMPUTED_VALUE"""),"BSth")</f>
        <v>BSth</v>
      </c>
      <c r="D325" s="2">
        <f ca="1">IFERROR(__xludf.DUMMYFUNCTION("""COMPUTED_VALUE"""),44914)</f>
        <v>44914</v>
      </c>
      <c r="E325" s="1">
        <f ca="1">IFERROR(__xludf.DUMMYFUNCTION("""COMPUTED_VALUE"""),-13.49)</f>
        <v>-13.49</v>
      </c>
      <c r="F325" s="1">
        <f ca="1">IFERROR(__xludf.DUMMYFUNCTION("""COMPUTED_VALUE"""),103.2)</f>
        <v>103.2</v>
      </c>
      <c r="G325" s="1">
        <f ca="1">IFERROR(__xludf.DUMMYFUNCTION("""COMPUTED_VALUE"""),192)</f>
        <v>192</v>
      </c>
      <c r="H325" s="1">
        <f ca="1">IFERROR(__xludf.DUMMYFUNCTION("""COMPUTED_VALUE"""),116.7)</f>
        <v>116.7</v>
      </c>
      <c r="I325" s="1">
        <f ca="1">IFERROR(__xludf.DUMMYFUNCTION("""COMPUTED_VALUE"""),341)</f>
        <v>341</v>
      </c>
      <c r="J325" s="1">
        <f ca="1">IFERROR(__xludf.DUMMYFUNCTION("""COMPUTED_VALUE"""),68.2)</f>
        <v>68.2</v>
      </c>
      <c r="K325" s="1">
        <f ca="1">IFERROR(__xludf.DUMMYFUNCTION("""COMPUTED_VALUE"""),178)</f>
        <v>178</v>
      </c>
      <c r="L325" s="1" t="str">
        <f ca="1">IFERROR(__xludf.DUMMYFUNCTION("""COMPUTED_VALUE"""),"+.007")</f>
        <v>+.007</v>
      </c>
      <c r="M325" s="1">
        <f ca="1">IFERROR(__xludf.DUMMYFUNCTION("""COMPUTED_VALUE"""),173)</f>
        <v>173</v>
      </c>
      <c r="N325" s="1">
        <f ca="1">IFERROR(__xludf.DUMMYFUNCTION("""COMPUTED_VALUE"""),-5.98)</f>
        <v>-5.98</v>
      </c>
      <c r="O325" s="1">
        <f ca="1">IFERROR(__xludf.DUMMYFUNCTION("""COMPUTED_VALUE"""),304)</f>
        <v>304</v>
      </c>
      <c r="P325" s="1">
        <f ca="1">IFERROR(__xludf.DUMMYFUNCTION("""COMPUTED_VALUE"""),101)</f>
        <v>101</v>
      </c>
      <c r="Q325" s="1">
        <f ca="1">IFERROR(__xludf.DUMMYFUNCTION("""COMPUTED_VALUE"""),309)</f>
        <v>309</v>
      </c>
      <c r="R325" s="1">
        <f ca="1">IFERROR(__xludf.DUMMYFUNCTION("""COMPUTED_VALUE"""),107)</f>
        <v>107</v>
      </c>
      <c r="S325" s="1">
        <f ca="1">IFERROR(__xludf.DUMMYFUNCTION("""COMPUTED_VALUE"""),264)</f>
        <v>264</v>
      </c>
      <c r="T325" s="1" t="str">
        <f ca="1">IFERROR(__xludf.DUMMYFUNCTION("""COMPUTED_VALUE"""),"+3.84")</f>
        <v>+3.84</v>
      </c>
      <c r="U325" s="1">
        <f ca="1">IFERROR(__xludf.DUMMYFUNCTION("""COMPUTED_VALUE"""),55)</f>
        <v>55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IFERROR(__xludf.DUMMYFUNCTION("""COMPUTED_VALUE"""),"Hampton")</f>
        <v>Hampton</v>
      </c>
      <c r="C326" s="1" t="str">
        <f ca="1">IFERROR(__xludf.DUMMYFUNCTION("""COMPUTED_VALUE"""),"MEAC")</f>
        <v>MEAC</v>
      </c>
      <c r="D326" s="1" t="str">
        <f ca="1">IFERROR(__xludf.DUMMYFUNCTION("""COMPUTED_VALUE"""),"14-17")</f>
        <v>14-17</v>
      </c>
      <c r="E326" s="1">
        <f ca="1">IFERROR(__xludf.DUMMYFUNCTION("""COMPUTED_VALUE"""),-13.54)</f>
        <v>-13.54</v>
      </c>
      <c r="F326" s="1">
        <f ca="1">IFERROR(__xludf.DUMMYFUNCTION("""COMPUTED_VALUE"""),93.4)</f>
        <v>93.4</v>
      </c>
      <c r="G326" s="1">
        <f ca="1">IFERROR(__xludf.DUMMYFUNCTION("""COMPUTED_VALUE"""),333)</f>
        <v>333</v>
      </c>
      <c r="H326" s="1">
        <f ca="1">IFERROR(__xludf.DUMMYFUNCTION("""COMPUTED_VALUE"""),106.9)</f>
        <v>106.9</v>
      </c>
      <c r="I326" s="1">
        <f ca="1">IFERROR(__xludf.DUMMYFUNCTION("""COMPUTED_VALUE"""),215)</f>
        <v>215</v>
      </c>
      <c r="J326" s="1">
        <f ca="1">IFERROR(__xludf.DUMMYFUNCTION("""COMPUTED_VALUE"""),68.6)</f>
        <v>68.599999999999994</v>
      </c>
      <c r="K326" s="1">
        <f ca="1">IFERROR(__xludf.DUMMYFUNCTION("""COMPUTED_VALUE"""),144)</f>
        <v>144</v>
      </c>
      <c r="L326" s="1" t="str">
        <f ca="1">IFERROR(__xludf.DUMMYFUNCTION("""COMPUTED_VALUE"""),"+.018")</f>
        <v>+.018</v>
      </c>
      <c r="M326" s="1">
        <f ca="1">IFERROR(__xludf.DUMMYFUNCTION("""COMPUTED_VALUE"""),136)</f>
        <v>136</v>
      </c>
      <c r="N326" s="1">
        <f ca="1">IFERROR(__xludf.DUMMYFUNCTION("""COMPUTED_VALUE"""),-10.05)</f>
        <v>-10.050000000000001</v>
      </c>
      <c r="O326" s="1">
        <f ca="1">IFERROR(__xludf.DUMMYFUNCTION("""COMPUTED_VALUE"""),341)</f>
        <v>341</v>
      </c>
      <c r="P326" s="1">
        <f ca="1">IFERROR(__xludf.DUMMYFUNCTION("""COMPUTED_VALUE"""),99.1)</f>
        <v>99.1</v>
      </c>
      <c r="Q326" s="1">
        <f ca="1">IFERROR(__xludf.DUMMYFUNCTION("""COMPUTED_VALUE"""),337)</f>
        <v>337</v>
      </c>
      <c r="R326" s="1">
        <f ca="1">IFERROR(__xludf.DUMMYFUNCTION("""COMPUTED_VALUE"""),109.1)</f>
        <v>109.1</v>
      </c>
      <c r="S326" s="1">
        <f ca="1">IFERROR(__xludf.DUMMYFUNCTION("""COMPUTED_VALUE"""),337)</f>
        <v>337</v>
      </c>
      <c r="T326" s="1" t="str">
        <f ca="1">IFERROR(__xludf.DUMMYFUNCTION("""COMPUTED_VALUE"""),"+1.70")</f>
        <v>+1.70</v>
      </c>
      <c r="U326" s="1">
        <f ca="1">IFERROR(__xludf.DUMMYFUNCTION("""COMPUTED_VALUE"""),106)</f>
        <v>106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IFERROR(__xludf.DUMMYFUNCTION("""COMPUTED_VALUE"""),"UC Riverside")</f>
        <v>UC Riverside</v>
      </c>
      <c r="C327" s="1" t="str">
        <f ca="1">IFERROR(__xludf.DUMMYFUNCTION("""COMPUTED_VALUE"""),"BW")</f>
        <v>BW</v>
      </c>
      <c r="D327" s="2">
        <f ca="1">IFERROR(__xludf.DUMMYFUNCTION("""COMPUTED_VALUE"""),44794)</f>
        <v>44794</v>
      </c>
      <c r="E327" s="1">
        <f ca="1">IFERROR(__xludf.DUMMYFUNCTION("""COMPUTED_VALUE"""),-13.63)</f>
        <v>-13.63</v>
      </c>
      <c r="F327" s="1">
        <f ca="1">IFERROR(__xludf.DUMMYFUNCTION("""COMPUTED_VALUE"""),92.3)</f>
        <v>92.3</v>
      </c>
      <c r="G327" s="1">
        <f ca="1">IFERROR(__xludf.DUMMYFUNCTION("""COMPUTED_VALUE"""),339)</f>
        <v>339</v>
      </c>
      <c r="H327" s="1">
        <f ca="1">IFERROR(__xludf.DUMMYFUNCTION("""COMPUTED_VALUE"""),105.9)</f>
        <v>105.9</v>
      </c>
      <c r="I327" s="1">
        <f ca="1">IFERROR(__xludf.DUMMYFUNCTION("""COMPUTED_VALUE"""),196)</f>
        <v>196</v>
      </c>
      <c r="J327" s="1">
        <f ca="1">IFERROR(__xludf.DUMMYFUNCTION("""COMPUTED_VALUE"""),67.9)</f>
        <v>67.900000000000006</v>
      </c>
      <c r="K327" s="1">
        <f ca="1">IFERROR(__xludf.DUMMYFUNCTION("""COMPUTED_VALUE"""),198)</f>
        <v>198</v>
      </c>
      <c r="L327" s="1">
        <f ca="1">IFERROR(__xludf.DUMMYFUNCTION("""COMPUTED_VALUE"""),-0.055)</f>
        <v>-5.5E-2</v>
      </c>
      <c r="M327" s="1">
        <f ca="1">IFERROR(__xludf.DUMMYFUNCTION("""COMPUTED_VALUE"""),305)</f>
        <v>305</v>
      </c>
      <c r="N327" s="1">
        <f ca="1">IFERROR(__xludf.DUMMYFUNCTION("""COMPUTED_VALUE"""),-4.78)</f>
        <v>-4.78</v>
      </c>
      <c r="O327" s="1">
        <f ca="1">IFERROR(__xludf.DUMMYFUNCTION("""COMPUTED_VALUE"""),274)</f>
        <v>274</v>
      </c>
      <c r="P327" s="1">
        <f ca="1">IFERROR(__xludf.DUMMYFUNCTION("""COMPUTED_VALUE"""),101.4)</f>
        <v>101.4</v>
      </c>
      <c r="Q327" s="1">
        <f ca="1">IFERROR(__xludf.DUMMYFUNCTION("""COMPUTED_VALUE"""),296)</f>
        <v>296</v>
      </c>
      <c r="R327" s="1">
        <f ca="1">IFERROR(__xludf.DUMMYFUNCTION("""COMPUTED_VALUE"""),106.2)</f>
        <v>106.2</v>
      </c>
      <c r="S327" s="1">
        <f ca="1">IFERROR(__xludf.DUMMYFUNCTION("""COMPUTED_VALUE"""),222)</f>
        <v>222</v>
      </c>
      <c r="T327" s="1" t="str">
        <f ca="1">IFERROR(__xludf.DUMMYFUNCTION("""COMPUTED_VALUE"""),"+1.84")</f>
        <v>+1.84</v>
      </c>
      <c r="U327" s="1">
        <f ca="1">IFERROR(__xludf.DUMMYFUNCTION("""COMPUTED_VALUE"""),101)</f>
        <v>101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IFERROR(__xludf.DUMMYFUNCTION("""COMPUTED_VALUE"""),"Marist")</f>
        <v>Marist</v>
      </c>
      <c r="C328" s="1" t="str">
        <f ca="1">IFERROR(__xludf.DUMMYFUNCTION("""COMPUTED_VALUE"""),"MAAC")</f>
        <v>MAAC</v>
      </c>
      <c r="D328" s="2">
        <f ca="1">IFERROR(__xludf.DUMMYFUNCTION("""COMPUTED_VALUE"""),44797)</f>
        <v>44797</v>
      </c>
      <c r="E328" s="1">
        <f ca="1">IFERROR(__xludf.DUMMYFUNCTION("""COMPUTED_VALUE"""),-13.63)</f>
        <v>-13.63</v>
      </c>
      <c r="F328" s="1">
        <f ca="1">IFERROR(__xludf.DUMMYFUNCTION("""COMPUTED_VALUE"""),100.7)</f>
        <v>100.7</v>
      </c>
      <c r="G328" s="1">
        <f ca="1">IFERROR(__xludf.DUMMYFUNCTION("""COMPUTED_VALUE"""),246)</f>
        <v>246</v>
      </c>
      <c r="H328" s="1">
        <f ca="1">IFERROR(__xludf.DUMMYFUNCTION("""COMPUTED_VALUE"""),114.3)</f>
        <v>114.3</v>
      </c>
      <c r="I328" s="1">
        <f ca="1">IFERROR(__xludf.DUMMYFUNCTION("""COMPUTED_VALUE"""),330)</f>
        <v>330</v>
      </c>
      <c r="J328" s="1">
        <f ca="1">IFERROR(__xludf.DUMMYFUNCTION("""COMPUTED_VALUE"""),66.9)</f>
        <v>66.900000000000006</v>
      </c>
      <c r="K328" s="1">
        <f ca="1">IFERROR(__xludf.DUMMYFUNCTION("""COMPUTED_VALUE"""),242)</f>
        <v>242</v>
      </c>
      <c r="L328" s="1" t="str">
        <f ca="1">IFERROR(__xludf.DUMMYFUNCTION("""COMPUTED_VALUE"""),"+.013")</f>
        <v>+.013</v>
      </c>
      <c r="M328" s="1">
        <f ca="1">IFERROR(__xludf.DUMMYFUNCTION("""COMPUTED_VALUE"""),155)</f>
        <v>155</v>
      </c>
      <c r="N328" s="1">
        <f ca="1">IFERROR(__xludf.DUMMYFUNCTION("""COMPUTED_VALUE"""),-1.94)</f>
        <v>-1.94</v>
      </c>
      <c r="O328" s="1">
        <f ca="1">IFERROR(__xludf.DUMMYFUNCTION("""COMPUTED_VALUE"""),190)</f>
        <v>190</v>
      </c>
      <c r="P328" s="1">
        <f ca="1">IFERROR(__xludf.DUMMYFUNCTION("""COMPUTED_VALUE"""),104.2)</f>
        <v>104.2</v>
      </c>
      <c r="Q328" s="1">
        <f ca="1">IFERROR(__xludf.DUMMYFUNCTION("""COMPUTED_VALUE"""),170)</f>
        <v>170</v>
      </c>
      <c r="R328" s="1">
        <f ca="1">IFERROR(__xludf.DUMMYFUNCTION("""COMPUTED_VALUE"""),106.1)</f>
        <v>106.1</v>
      </c>
      <c r="S328" s="1">
        <f ca="1">IFERROR(__xludf.DUMMYFUNCTION("""COMPUTED_VALUE"""),214)</f>
        <v>214</v>
      </c>
      <c r="T328" s="1">
        <f ca="1">IFERROR(__xludf.DUMMYFUNCTION("""COMPUTED_VALUE"""),-0.37)</f>
        <v>-0.37</v>
      </c>
      <c r="U328" s="1">
        <f ca="1">IFERROR(__xludf.DUMMYFUNCTION("""COMPUTED_VALUE"""),163)</f>
        <v>163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IFERROR(__xludf.DUMMYFUNCTION("""COMPUTED_VALUE"""),"Prairie View A&amp;M")</f>
        <v>Prairie View A&amp;M</v>
      </c>
      <c r="C329" s="1" t="str">
        <f ca="1">IFERROR(__xludf.DUMMYFUNCTION("""COMPUTED_VALUE"""),"SWAC")</f>
        <v>SWAC</v>
      </c>
      <c r="D329" s="1" t="str">
        <f ca="1">IFERROR(__xludf.DUMMYFUNCTION("""COMPUTED_VALUE"""),"13-20")</f>
        <v>13-20</v>
      </c>
      <c r="E329" s="1">
        <f ca="1">IFERROR(__xludf.DUMMYFUNCTION("""COMPUTED_VALUE"""),-13.64)</f>
        <v>-13.64</v>
      </c>
      <c r="F329" s="1">
        <f ca="1">IFERROR(__xludf.DUMMYFUNCTION("""COMPUTED_VALUE"""),98)</f>
        <v>98</v>
      </c>
      <c r="G329" s="1">
        <f ca="1">IFERROR(__xludf.DUMMYFUNCTION("""COMPUTED_VALUE"""),289)</f>
        <v>289</v>
      </c>
      <c r="H329" s="1">
        <f ca="1">IFERROR(__xludf.DUMMYFUNCTION("""COMPUTED_VALUE"""),111.6)</f>
        <v>111.6</v>
      </c>
      <c r="I329" s="1">
        <f ca="1">IFERROR(__xludf.DUMMYFUNCTION("""COMPUTED_VALUE"""),304)</f>
        <v>304</v>
      </c>
      <c r="J329" s="1">
        <f ca="1">IFERROR(__xludf.DUMMYFUNCTION("""COMPUTED_VALUE"""),67.6)</f>
        <v>67.599999999999994</v>
      </c>
      <c r="K329" s="1">
        <f ca="1">IFERROR(__xludf.DUMMYFUNCTION("""COMPUTED_VALUE"""),210)</f>
        <v>210</v>
      </c>
      <c r="L329" s="1">
        <f ca="1">IFERROR(__xludf.DUMMYFUNCTION("""COMPUTED_VALUE"""),-0.017)</f>
        <v>-1.7000000000000001E-2</v>
      </c>
      <c r="M329" s="1">
        <f ca="1">IFERROR(__xludf.DUMMYFUNCTION("""COMPUTED_VALUE"""),232)</f>
        <v>232</v>
      </c>
      <c r="N329" s="1">
        <f ca="1">IFERROR(__xludf.DUMMYFUNCTION("""COMPUTED_VALUE"""),-8.65)</f>
        <v>-8.65</v>
      </c>
      <c r="O329" s="1">
        <f ca="1">IFERROR(__xludf.DUMMYFUNCTION("""COMPUTED_VALUE"""),331)</f>
        <v>331</v>
      </c>
      <c r="P329" s="1">
        <f ca="1">IFERROR(__xludf.DUMMYFUNCTION("""COMPUTED_VALUE"""),99.4)</f>
        <v>99.4</v>
      </c>
      <c r="Q329" s="1">
        <f ca="1">IFERROR(__xludf.DUMMYFUNCTION("""COMPUTED_VALUE"""),333)</f>
        <v>333</v>
      </c>
      <c r="R329" s="1">
        <f ca="1">IFERROR(__xludf.DUMMYFUNCTION("""COMPUTED_VALUE"""),108.1)</f>
        <v>108.1</v>
      </c>
      <c r="S329" s="1">
        <f ca="1">IFERROR(__xludf.DUMMYFUNCTION("""COMPUTED_VALUE"""),312)</f>
        <v>312</v>
      </c>
      <c r="T329" s="1" t="str">
        <f ca="1">IFERROR(__xludf.DUMMYFUNCTION("""COMPUTED_VALUE"""),"+11.49")</f>
        <v>+11.49</v>
      </c>
      <c r="U329" s="1">
        <f ca="1">IFERROR(__xludf.DUMMYFUNCTION("""COMPUTED_VALUE"""),7)</f>
        <v>7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IFERROR(__xludf.DUMMYFUNCTION("""COMPUTED_VALUE"""),"Binghamton")</f>
        <v>Binghamton</v>
      </c>
      <c r="C330" s="1" t="str">
        <f ca="1">IFERROR(__xludf.DUMMYFUNCTION("""COMPUTED_VALUE"""),"AE")</f>
        <v>AE</v>
      </c>
      <c r="D330" s="2">
        <f ca="1">IFERROR(__xludf.DUMMYFUNCTION("""COMPUTED_VALUE"""),44915)</f>
        <v>44915</v>
      </c>
      <c r="E330" s="1">
        <f ca="1">IFERROR(__xludf.DUMMYFUNCTION("""COMPUTED_VALUE"""),-13.77)</f>
        <v>-13.77</v>
      </c>
      <c r="F330" s="1">
        <f ca="1">IFERROR(__xludf.DUMMYFUNCTION("""COMPUTED_VALUE"""),96.3)</f>
        <v>96.3</v>
      </c>
      <c r="G330" s="1">
        <f ca="1">IFERROR(__xludf.DUMMYFUNCTION("""COMPUTED_VALUE"""),314)</f>
        <v>314</v>
      </c>
      <c r="H330" s="1">
        <f ca="1">IFERROR(__xludf.DUMMYFUNCTION("""COMPUTED_VALUE"""),110)</f>
        <v>110</v>
      </c>
      <c r="I330" s="1">
        <f ca="1">IFERROR(__xludf.DUMMYFUNCTION("""COMPUTED_VALUE"""),282)</f>
        <v>282</v>
      </c>
      <c r="J330" s="1">
        <f ca="1">IFERROR(__xludf.DUMMYFUNCTION("""COMPUTED_VALUE"""),65.9)</f>
        <v>65.900000000000006</v>
      </c>
      <c r="K330" s="1">
        <f ca="1">IFERROR(__xludf.DUMMYFUNCTION("""COMPUTED_VALUE"""),279)</f>
        <v>279</v>
      </c>
      <c r="L330" s="1">
        <f ca="1">IFERROR(__xludf.DUMMYFUNCTION("""COMPUTED_VALUE"""),-0.009)</f>
        <v>-8.9999999999999993E-3</v>
      </c>
      <c r="M330" s="1">
        <f ca="1">IFERROR(__xludf.DUMMYFUNCTION("""COMPUTED_VALUE"""),206)</f>
        <v>206</v>
      </c>
      <c r="N330" s="1">
        <f ca="1">IFERROR(__xludf.DUMMYFUNCTION("""COMPUTED_VALUE"""),-5.33)</f>
        <v>-5.33</v>
      </c>
      <c r="O330" s="1">
        <f ca="1">IFERROR(__xludf.DUMMYFUNCTION("""COMPUTED_VALUE"""),289)</f>
        <v>289</v>
      </c>
      <c r="P330" s="1">
        <f ca="1">IFERROR(__xludf.DUMMYFUNCTION("""COMPUTED_VALUE"""),102.2)</f>
        <v>102.2</v>
      </c>
      <c r="Q330" s="1">
        <f ca="1">IFERROR(__xludf.DUMMYFUNCTION("""COMPUTED_VALUE"""),270)</f>
        <v>270</v>
      </c>
      <c r="R330" s="1">
        <f ca="1">IFERROR(__xludf.DUMMYFUNCTION("""COMPUTED_VALUE"""),107.5)</f>
        <v>107.5</v>
      </c>
      <c r="S330" s="1">
        <f ca="1">IFERROR(__xludf.DUMMYFUNCTION("""COMPUTED_VALUE"""),284)</f>
        <v>284</v>
      </c>
      <c r="T330" s="1">
        <f ca="1">IFERROR(__xludf.DUMMYFUNCTION("""COMPUTED_VALUE"""),-4.69)</f>
        <v>-4.6900000000000004</v>
      </c>
      <c r="U330" s="1">
        <f ca="1">IFERROR(__xludf.DUMMYFUNCTION("""COMPUTED_VALUE"""),293)</f>
        <v>293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IFERROR(__xludf.DUMMYFUNCTION("""COMPUTED_VALUE"""),"Nicholls St.")</f>
        <v>Nicholls St.</v>
      </c>
      <c r="C331" s="1" t="str">
        <f ca="1">IFERROR(__xludf.DUMMYFUNCTION("""COMPUTED_VALUE"""),"Slnd")</f>
        <v>Slnd</v>
      </c>
      <c r="D331" s="1" t="str">
        <f ca="1">IFERROR(__xludf.DUMMYFUNCTION("""COMPUTED_VALUE"""),"14-17")</f>
        <v>14-17</v>
      </c>
      <c r="E331" s="1">
        <f ca="1">IFERROR(__xludf.DUMMYFUNCTION("""COMPUTED_VALUE"""),-13.77)</f>
        <v>-13.77</v>
      </c>
      <c r="F331" s="1">
        <f ca="1">IFERROR(__xludf.DUMMYFUNCTION("""COMPUTED_VALUE"""),100.4)</f>
        <v>100.4</v>
      </c>
      <c r="G331" s="1">
        <f ca="1">IFERROR(__xludf.DUMMYFUNCTION("""COMPUTED_VALUE"""),250)</f>
        <v>250</v>
      </c>
      <c r="H331" s="1">
        <f ca="1">IFERROR(__xludf.DUMMYFUNCTION("""COMPUTED_VALUE"""),114.2)</f>
        <v>114.2</v>
      </c>
      <c r="I331" s="1">
        <f ca="1">IFERROR(__xludf.DUMMYFUNCTION("""COMPUTED_VALUE"""),326)</f>
        <v>326</v>
      </c>
      <c r="J331" s="1">
        <f ca="1">IFERROR(__xludf.DUMMYFUNCTION("""COMPUTED_VALUE"""),69.4)</f>
        <v>69.400000000000006</v>
      </c>
      <c r="K331" s="1">
        <f ca="1">IFERROR(__xludf.DUMMYFUNCTION("""COMPUTED_VALUE"""),99)</f>
        <v>99</v>
      </c>
      <c r="L331" s="1" t="str">
        <f ca="1">IFERROR(__xludf.DUMMYFUNCTION("""COMPUTED_VALUE"""),"+.089")</f>
        <v>+.089</v>
      </c>
      <c r="M331" s="1">
        <f ca="1">IFERROR(__xludf.DUMMYFUNCTION("""COMPUTED_VALUE"""),6)</f>
        <v>6</v>
      </c>
      <c r="N331" s="1">
        <f ca="1">IFERROR(__xludf.DUMMYFUNCTION("""COMPUTED_VALUE"""),-3.88)</f>
        <v>-3.88</v>
      </c>
      <c r="O331" s="1">
        <f ca="1">IFERROR(__xludf.DUMMYFUNCTION("""COMPUTED_VALUE"""),246)</f>
        <v>246</v>
      </c>
      <c r="P331" s="1">
        <f ca="1">IFERROR(__xludf.DUMMYFUNCTION("""COMPUTED_VALUE"""),103)</f>
        <v>103</v>
      </c>
      <c r="Q331" s="1">
        <f ca="1">IFERROR(__xludf.DUMMYFUNCTION("""COMPUTED_VALUE"""),238)</f>
        <v>238</v>
      </c>
      <c r="R331" s="1">
        <f ca="1">IFERROR(__xludf.DUMMYFUNCTION("""COMPUTED_VALUE"""),106.9)</f>
        <v>106.9</v>
      </c>
      <c r="S331" s="1">
        <f ca="1">IFERROR(__xludf.DUMMYFUNCTION("""COMPUTED_VALUE"""),260)</f>
        <v>260</v>
      </c>
      <c r="T331" s="1" t="str">
        <f ca="1">IFERROR(__xludf.DUMMYFUNCTION("""COMPUTED_VALUE"""),"+7.91")</f>
        <v>+7.91</v>
      </c>
      <c r="U331" s="1">
        <f ca="1">IFERROR(__xludf.DUMMYFUNCTION("""COMPUTED_VALUE"""),18)</f>
        <v>18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IFERROR(__xludf.DUMMYFUNCTION("""COMPUTED_VALUE"""),"McNeese St.")</f>
        <v>McNeese St.</v>
      </c>
      <c r="C332" s="1" t="str">
        <f ca="1">IFERROR(__xludf.DUMMYFUNCTION("""COMPUTED_VALUE"""),"Slnd")</f>
        <v>Slnd</v>
      </c>
      <c r="D332" s="2">
        <f ca="1">IFERROR(__xludf.DUMMYFUNCTION("""COMPUTED_VALUE"""),44764)</f>
        <v>44764</v>
      </c>
      <c r="E332" s="1">
        <f ca="1">IFERROR(__xludf.DUMMYFUNCTION("""COMPUTED_VALUE"""),-14.01)</f>
        <v>-14.01</v>
      </c>
      <c r="F332" s="1">
        <f ca="1">IFERROR(__xludf.DUMMYFUNCTION("""COMPUTED_VALUE"""),96.3)</f>
        <v>96.3</v>
      </c>
      <c r="G332" s="1">
        <f ca="1">IFERROR(__xludf.DUMMYFUNCTION("""COMPUTED_VALUE"""),316)</f>
        <v>316</v>
      </c>
      <c r="H332" s="1">
        <f ca="1">IFERROR(__xludf.DUMMYFUNCTION("""COMPUTED_VALUE"""),110.3)</f>
        <v>110.3</v>
      </c>
      <c r="I332" s="1">
        <f ca="1">IFERROR(__xludf.DUMMYFUNCTION("""COMPUTED_VALUE"""),288)</f>
        <v>288</v>
      </c>
      <c r="J332" s="1">
        <f ca="1">IFERROR(__xludf.DUMMYFUNCTION("""COMPUTED_VALUE"""),69.9)</f>
        <v>69.900000000000006</v>
      </c>
      <c r="K332" s="1">
        <f ca="1">IFERROR(__xludf.DUMMYFUNCTION("""COMPUTED_VALUE"""),85)</f>
        <v>85</v>
      </c>
      <c r="L332" s="1">
        <f ca="1">IFERROR(__xludf.DUMMYFUNCTION("""COMPUTED_VALUE"""),-0.057)</f>
        <v>-5.7000000000000002E-2</v>
      </c>
      <c r="M332" s="1">
        <f ca="1">IFERROR(__xludf.DUMMYFUNCTION("""COMPUTED_VALUE"""),309)</f>
        <v>309</v>
      </c>
      <c r="N332" s="1">
        <f ca="1">IFERROR(__xludf.DUMMYFUNCTION("""COMPUTED_VALUE"""),-3.42)</f>
        <v>-3.42</v>
      </c>
      <c r="O332" s="1">
        <f ca="1">IFERROR(__xludf.DUMMYFUNCTION("""COMPUTED_VALUE"""),237)</f>
        <v>237</v>
      </c>
      <c r="P332" s="1">
        <f ca="1">IFERROR(__xludf.DUMMYFUNCTION("""COMPUTED_VALUE"""),103.2)</f>
        <v>103.2</v>
      </c>
      <c r="Q332" s="1">
        <f ca="1">IFERROR(__xludf.DUMMYFUNCTION("""COMPUTED_VALUE"""),223)</f>
        <v>223</v>
      </c>
      <c r="R332" s="1">
        <f ca="1">IFERROR(__xludf.DUMMYFUNCTION("""COMPUTED_VALUE"""),106.6)</f>
        <v>106.6</v>
      </c>
      <c r="S332" s="1">
        <f ca="1">IFERROR(__xludf.DUMMYFUNCTION("""COMPUTED_VALUE"""),245)</f>
        <v>245</v>
      </c>
      <c r="T332" s="1" t="str">
        <f ca="1">IFERROR(__xludf.DUMMYFUNCTION("""COMPUTED_VALUE"""),"+7.94")</f>
        <v>+7.94</v>
      </c>
      <c r="U332" s="1">
        <f ca="1">IFERROR(__xludf.DUMMYFUNCTION("""COMPUTED_VALUE"""),17)</f>
        <v>17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IFERROR(__xludf.DUMMYFUNCTION("""COMPUTED_VALUE"""),"Savannah St.")</f>
        <v>Savannah St.</v>
      </c>
      <c r="C333" s="1" t="str">
        <f ca="1">IFERROR(__xludf.DUMMYFUNCTION("""COMPUTED_VALUE"""),"MEAC")</f>
        <v>MEAC</v>
      </c>
      <c r="D333" s="1" t="str">
        <f ca="1">IFERROR(__xludf.DUMMYFUNCTION("""COMPUTED_VALUE"""),"13-16")</f>
        <v>13-16</v>
      </c>
      <c r="E333" s="1">
        <f ca="1">IFERROR(__xludf.DUMMYFUNCTION("""COMPUTED_VALUE"""),-14.14)</f>
        <v>-14.14</v>
      </c>
      <c r="F333" s="1">
        <f ca="1">IFERROR(__xludf.DUMMYFUNCTION("""COMPUTED_VALUE"""),100.6)</f>
        <v>100.6</v>
      </c>
      <c r="G333" s="1">
        <f ca="1">IFERROR(__xludf.DUMMYFUNCTION("""COMPUTED_VALUE"""),248)</f>
        <v>248</v>
      </c>
      <c r="H333" s="1">
        <f ca="1">IFERROR(__xludf.DUMMYFUNCTION("""COMPUTED_VALUE"""),114.7)</f>
        <v>114.7</v>
      </c>
      <c r="I333" s="1">
        <f ca="1">IFERROR(__xludf.DUMMYFUNCTION("""COMPUTED_VALUE"""),333)</f>
        <v>333</v>
      </c>
      <c r="J333" s="1">
        <f ca="1">IFERROR(__xludf.DUMMYFUNCTION("""COMPUTED_VALUE"""),81)</f>
        <v>81</v>
      </c>
      <c r="K333" s="1">
        <f ca="1">IFERROR(__xludf.DUMMYFUNCTION("""COMPUTED_VALUE"""),1)</f>
        <v>1</v>
      </c>
      <c r="L333" s="1" t="str">
        <f ca="1">IFERROR(__xludf.DUMMYFUNCTION("""COMPUTED_VALUE"""),"+.054")</f>
        <v>+.054</v>
      </c>
      <c r="M333" s="1">
        <f ca="1">IFERROR(__xludf.DUMMYFUNCTION("""COMPUTED_VALUE"""),48)</f>
        <v>48</v>
      </c>
      <c r="N333" s="1">
        <f ca="1">IFERROR(__xludf.DUMMYFUNCTION("""COMPUTED_VALUE"""),-10.1)</f>
        <v>-10.1</v>
      </c>
      <c r="O333" s="1">
        <f ca="1">IFERROR(__xludf.DUMMYFUNCTION("""COMPUTED_VALUE"""),342)</f>
        <v>342</v>
      </c>
      <c r="P333" s="1">
        <f ca="1">IFERROR(__xludf.DUMMYFUNCTION("""COMPUTED_VALUE"""),98.8)</f>
        <v>98.8</v>
      </c>
      <c r="Q333" s="1">
        <f ca="1">IFERROR(__xludf.DUMMYFUNCTION("""COMPUTED_VALUE"""),340)</f>
        <v>340</v>
      </c>
      <c r="R333" s="1">
        <f ca="1">IFERROR(__xludf.DUMMYFUNCTION("""COMPUTED_VALUE"""),108.9)</f>
        <v>108.9</v>
      </c>
      <c r="S333" s="1">
        <f ca="1">IFERROR(__xludf.DUMMYFUNCTION("""COMPUTED_VALUE"""),334)</f>
        <v>334</v>
      </c>
      <c r="T333" s="1" t="str">
        <f ca="1">IFERROR(__xludf.DUMMYFUNCTION("""COMPUTED_VALUE"""),"+6.75")</f>
        <v>+6.75</v>
      </c>
      <c r="U333" s="1">
        <f ca="1">IFERROR(__xludf.DUMMYFUNCTION("""COMPUTED_VALUE"""),25)</f>
        <v>25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IFERROR(__xludf.DUMMYFUNCTION("""COMPUTED_VALUE"""),"SIU Edwardsville")</f>
        <v>SIU Edwardsville</v>
      </c>
      <c r="C334" s="1" t="str">
        <f ca="1">IFERROR(__xludf.DUMMYFUNCTION("""COMPUTED_VALUE"""),"OVC")</f>
        <v>OVC</v>
      </c>
      <c r="D334" s="2">
        <f ca="1">IFERROR(__xludf.DUMMYFUNCTION("""COMPUTED_VALUE"""),44736)</f>
        <v>44736</v>
      </c>
      <c r="E334" s="1">
        <f ca="1">IFERROR(__xludf.DUMMYFUNCTION("""COMPUTED_VALUE"""),-14.15)</f>
        <v>-14.15</v>
      </c>
      <c r="F334" s="1">
        <f ca="1">IFERROR(__xludf.DUMMYFUNCTION("""COMPUTED_VALUE"""),95)</f>
        <v>95</v>
      </c>
      <c r="G334" s="1">
        <f ca="1">IFERROR(__xludf.DUMMYFUNCTION("""COMPUTED_VALUE"""),327)</f>
        <v>327</v>
      </c>
      <c r="H334" s="1">
        <f ca="1">IFERROR(__xludf.DUMMYFUNCTION("""COMPUTED_VALUE"""),109.2)</f>
        <v>109.2</v>
      </c>
      <c r="I334" s="1">
        <f ca="1">IFERROR(__xludf.DUMMYFUNCTION("""COMPUTED_VALUE"""),263)</f>
        <v>263</v>
      </c>
      <c r="J334" s="1">
        <f ca="1">IFERROR(__xludf.DUMMYFUNCTION("""COMPUTED_VALUE"""),69.2)</f>
        <v>69.2</v>
      </c>
      <c r="K334" s="1">
        <f ca="1">IFERROR(__xludf.DUMMYFUNCTION("""COMPUTED_VALUE"""),107)</f>
        <v>107</v>
      </c>
      <c r="L334" s="1">
        <f ca="1">IFERROR(__xludf.DUMMYFUNCTION("""COMPUTED_VALUE"""),-0.041)</f>
        <v>-4.1000000000000002E-2</v>
      </c>
      <c r="M334" s="1">
        <f ca="1">IFERROR(__xludf.DUMMYFUNCTION("""COMPUTED_VALUE"""),284)</f>
        <v>284</v>
      </c>
      <c r="N334" s="1">
        <f ca="1">IFERROR(__xludf.DUMMYFUNCTION("""COMPUTED_VALUE"""),-3.04)</f>
        <v>-3.04</v>
      </c>
      <c r="O334" s="1">
        <f ca="1">IFERROR(__xludf.DUMMYFUNCTION("""COMPUTED_VALUE"""),225)</f>
        <v>225</v>
      </c>
      <c r="P334" s="1">
        <f ca="1">IFERROR(__xludf.DUMMYFUNCTION("""COMPUTED_VALUE"""),104.2)</f>
        <v>104.2</v>
      </c>
      <c r="Q334" s="1">
        <f ca="1">IFERROR(__xludf.DUMMYFUNCTION("""COMPUTED_VALUE"""),169)</f>
        <v>169</v>
      </c>
      <c r="R334" s="1">
        <f ca="1">IFERROR(__xludf.DUMMYFUNCTION("""COMPUTED_VALUE"""),107.2)</f>
        <v>107.2</v>
      </c>
      <c r="S334" s="1">
        <f ca="1">IFERROR(__xludf.DUMMYFUNCTION("""COMPUTED_VALUE"""),276)</f>
        <v>276</v>
      </c>
      <c r="T334" s="1">
        <f ca="1">IFERROR(__xludf.DUMMYFUNCTION("""COMPUTED_VALUE"""),-0.01)</f>
        <v>-0.01</v>
      </c>
      <c r="U334" s="1">
        <f ca="1">IFERROR(__xludf.DUMMYFUNCTION("""COMPUTED_VALUE"""),155)</f>
        <v>155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IFERROR(__xludf.DUMMYFUNCTION("""COMPUTED_VALUE"""),"Stetson")</f>
        <v>Stetson</v>
      </c>
      <c r="C335" s="1" t="str">
        <f ca="1">IFERROR(__xludf.DUMMYFUNCTION("""COMPUTED_VALUE"""),"ASun")</f>
        <v>ASun</v>
      </c>
      <c r="D335" s="2">
        <f ca="1">IFERROR(__xludf.DUMMYFUNCTION("""COMPUTED_VALUE"""),44886)</f>
        <v>44886</v>
      </c>
      <c r="E335" s="1">
        <f ca="1">IFERROR(__xludf.DUMMYFUNCTION("""COMPUTED_VALUE"""),-14.45)</f>
        <v>-14.45</v>
      </c>
      <c r="F335" s="1">
        <f ca="1">IFERROR(__xludf.DUMMYFUNCTION("""COMPUTED_VALUE"""),100.9)</f>
        <v>100.9</v>
      </c>
      <c r="G335" s="1">
        <f ca="1">IFERROR(__xludf.DUMMYFUNCTION("""COMPUTED_VALUE"""),243)</f>
        <v>243</v>
      </c>
      <c r="H335" s="1">
        <f ca="1">IFERROR(__xludf.DUMMYFUNCTION("""COMPUTED_VALUE"""),115.4)</f>
        <v>115.4</v>
      </c>
      <c r="I335" s="1">
        <f ca="1">IFERROR(__xludf.DUMMYFUNCTION("""COMPUTED_VALUE"""),334)</f>
        <v>334</v>
      </c>
      <c r="J335" s="1">
        <f ca="1">IFERROR(__xludf.DUMMYFUNCTION("""COMPUTED_VALUE"""),72.4)</f>
        <v>72.400000000000006</v>
      </c>
      <c r="K335" s="1">
        <f ca="1">IFERROR(__xludf.DUMMYFUNCTION("""COMPUTED_VALUE"""),22)</f>
        <v>22</v>
      </c>
      <c r="L335" s="1">
        <f ca="1">IFERROR(__xludf.DUMMYFUNCTION("""COMPUTED_VALUE"""),-0.002)</f>
        <v>-2E-3</v>
      </c>
      <c r="M335" s="1">
        <f ca="1">IFERROR(__xludf.DUMMYFUNCTION("""COMPUTED_VALUE"""),191)</f>
        <v>191</v>
      </c>
      <c r="N335" s="1">
        <f ca="1">IFERROR(__xludf.DUMMYFUNCTION("""COMPUTED_VALUE"""),-5.23)</f>
        <v>-5.23</v>
      </c>
      <c r="O335" s="1">
        <f ca="1">IFERROR(__xludf.DUMMYFUNCTION("""COMPUTED_VALUE"""),285)</f>
        <v>285</v>
      </c>
      <c r="P335" s="1">
        <f ca="1">IFERROR(__xludf.DUMMYFUNCTION("""COMPUTED_VALUE"""),102.8)</f>
        <v>102.8</v>
      </c>
      <c r="Q335" s="1">
        <f ca="1">IFERROR(__xludf.DUMMYFUNCTION("""COMPUTED_VALUE"""),247)</f>
        <v>247</v>
      </c>
      <c r="R335" s="1">
        <f ca="1">IFERROR(__xludf.DUMMYFUNCTION("""COMPUTED_VALUE"""),108)</f>
        <v>108</v>
      </c>
      <c r="S335" s="1">
        <f ca="1">IFERROR(__xludf.DUMMYFUNCTION("""COMPUTED_VALUE"""),309)</f>
        <v>309</v>
      </c>
      <c r="T335" s="1">
        <f ca="1">IFERROR(__xludf.DUMMYFUNCTION("""COMPUTED_VALUE"""),-5.51)</f>
        <v>-5.51</v>
      </c>
      <c r="U335" s="1">
        <f ca="1">IFERROR(__xludf.DUMMYFUNCTION("""COMPUTED_VALUE"""),311)</f>
        <v>311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IFERROR(__xludf.DUMMYFUNCTION("""COMPUTED_VALUE"""),"North Texas")</f>
        <v>North Texas</v>
      </c>
      <c r="C336" s="1" t="str">
        <f ca="1">IFERROR(__xludf.DUMMYFUNCTION("""COMPUTED_VALUE"""),"CUSA")</f>
        <v>CUSA</v>
      </c>
      <c r="D336" s="2">
        <f ca="1">IFERROR(__xludf.DUMMYFUNCTION("""COMPUTED_VALUE"""),44795)</f>
        <v>44795</v>
      </c>
      <c r="E336" s="1">
        <f ca="1">IFERROR(__xludf.DUMMYFUNCTION("""COMPUTED_VALUE"""),-14.52)</f>
        <v>-14.52</v>
      </c>
      <c r="F336" s="1">
        <f ca="1">IFERROR(__xludf.DUMMYFUNCTION("""COMPUTED_VALUE"""),96.3)</f>
        <v>96.3</v>
      </c>
      <c r="G336" s="1">
        <f ca="1">IFERROR(__xludf.DUMMYFUNCTION("""COMPUTED_VALUE"""),315)</f>
        <v>315</v>
      </c>
      <c r="H336" s="1">
        <f ca="1">IFERROR(__xludf.DUMMYFUNCTION("""COMPUTED_VALUE"""),110.8)</f>
        <v>110.8</v>
      </c>
      <c r="I336" s="1">
        <f ca="1">IFERROR(__xludf.DUMMYFUNCTION("""COMPUTED_VALUE"""),294)</f>
        <v>294</v>
      </c>
      <c r="J336" s="1">
        <f ca="1">IFERROR(__xludf.DUMMYFUNCTION("""COMPUTED_VALUE"""),70.2)</f>
        <v>70.2</v>
      </c>
      <c r="K336" s="1">
        <f ca="1">IFERROR(__xludf.DUMMYFUNCTION("""COMPUTED_VALUE"""),73)</f>
        <v>73</v>
      </c>
      <c r="L336" s="1">
        <f ca="1">IFERROR(__xludf.DUMMYFUNCTION("""COMPUTED_VALUE"""),-0.08)</f>
        <v>-0.08</v>
      </c>
      <c r="M336" s="1">
        <f ca="1">IFERROR(__xludf.DUMMYFUNCTION("""COMPUTED_VALUE"""),331)</f>
        <v>331</v>
      </c>
      <c r="N336" s="1">
        <f ca="1">IFERROR(__xludf.DUMMYFUNCTION("""COMPUTED_VALUE"""),-4.66)</f>
        <v>-4.66</v>
      </c>
      <c r="O336" s="1">
        <f ca="1">IFERROR(__xludf.DUMMYFUNCTION("""COMPUTED_VALUE"""),272)</f>
        <v>272</v>
      </c>
      <c r="P336" s="1">
        <f ca="1">IFERROR(__xludf.DUMMYFUNCTION("""COMPUTED_VALUE"""),101.5)</f>
        <v>101.5</v>
      </c>
      <c r="Q336" s="1">
        <f ca="1">IFERROR(__xludf.DUMMYFUNCTION("""COMPUTED_VALUE"""),291)</f>
        <v>291</v>
      </c>
      <c r="R336" s="1">
        <f ca="1">IFERROR(__xludf.DUMMYFUNCTION("""COMPUTED_VALUE"""),106.2)</f>
        <v>106.2</v>
      </c>
      <c r="S336" s="1">
        <f ca="1">IFERROR(__xludf.DUMMYFUNCTION("""COMPUTED_VALUE"""),220)</f>
        <v>220</v>
      </c>
      <c r="T336" s="1">
        <f ca="1">IFERROR(__xludf.DUMMYFUNCTION("""COMPUTED_VALUE"""),-8.18)</f>
        <v>-8.18</v>
      </c>
      <c r="U336" s="1">
        <f ca="1">IFERROR(__xludf.DUMMYFUNCTION("""COMPUTED_VALUE"""),344)</f>
        <v>344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IFERROR(__xludf.DUMMYFUNCTION("""COMPUTED_VALUE"""),"Maryland Eastern Shore")</f>
        <v>Maryland Eastern Shore</v>
      </c>
      <c r="C339" s="1" t="str">
        <f ca="1">IFERROR(__xludf.DUMMYFUNCTION("""COMPUTED_VALUE"""),"MEAC")</f>
        <v>MEAC</v>
      </c>
      <c r="D339" s="1" t="str">
        <f ca="1">IFERROR(__xludf.DUMMYFUNCTION("""COMPUTED_VALUE"""),"14-20")</f>
        <v>14-20</v>
      </c>
      <c r="E339" s="1">
        <f ca="1">IFERROR(__xludf.DUMMYFUNCTION("""COMPUTED_VALUE"""),-14.83)</f>
        <v>-14.83</v>
      </c>
      <c r="F339" s="1">
        <f ca="1">IFERROR(__xludf.DUMMYFUNCTION("""COMPUTED_VALUE"""),97.8)</f>
        <v>97.8</v>
      </c>
      <c r="G339" s="1">
        <f ca="1">IFERROR(__xludf.DUMMYFUNCTION("""COMPUTED_VALUE"""),292)</f>
        <v>292</v>
      </c>
      <c r="H339" s="1">
        <f ca="1">IFERROR(__xludf.DUMMYFUNCTION("""COMPUTED_VALUE"""),112.7)</f>
        <v>112.7</v>
      </c>
      <c r="I339" s="1">
        <f ca="1">IFERROR(__xludf.DUMMYFUNCTION("""COMPUTED_VALUE"""),314)</f>
        <v>314</v>
      </c>
      <c r="J339" s="1">
        <f ca="1">IFERROR(__xludf.DUMMYFUNCTION("""COMPUTED_VALUE"""),68.5)</f>
        <v>68.5</v>
      </c>
      <c r="K339" s="1">
        <f ca="1">IFERROR(__xludf.DUMMYFUNCTION("""COMPUTED_VALUE"""),157)</f>
        <v>157</v>
      </c>
      <c r="L339" s="1" t="str">
        <f ca="1">IFERROR(__xludf.DUMMYFUNCTION("""COMPUTED_VALUE"""),"+.039")</f>
        <v>+.039</v>
      </c>
      <c r="M339" s="1">
        <f ca="1">IFERROR(__xludf.DUMMYFUNCTION("""COMPUTED_VALUE"""),77)</f>
        <v>77</v>
      </c>
      <c r="N339" s="1">
        <f ca="1">IFERROR(__xludf.DUMMYFUNCTION("""COMPUTED_VALUE"""),-7.48)</f>
        <v>-7.48</v>
      </c>
      <c r="O339" s="1">
        <f ca="1">IFERROR(__xludf.DUMMYFUNCTION("""COMPUTED_VALUE"""),322)</f>
        <v>322</v>
      </c>
      <c r="P339" s="1">
        <f ca="1">IFERROR(__xludf.DUMMYFUNCTION("""COMPUTED_VALUE"""),100.7)</f>
        <v>100.7</v>
      </c>
      <c r="Q339" s="1">
        <f ca="1">IFERROR(__xludf.DUMMYFUNCTION("""COMPUTED_VALUE"""),314)</f>
        <v>314</v>
      </c>
      <c r="R339" s="1">
        <f ca="1">IFERROR(__xludf.DUMMYFUNCTION("""COMPUTED_VALUE"""),108.2)</f>
        <v>108.2</v>
      </c>
      <c r="S339" s="1">
        <f ca="1">IFERROR(__xludf.DUMMYFUNCTION("""COMPUTED_VALUE"""),319)</f>
        <v>319</v>
      </c>
      <c r="T339" s="1" t="str">
        <f ca="1">IFERROR(__xludf.DUMMYFUNCTION("""COMPUTED_VALUE"""),"+8.64")</f>
        <v>+8.64</v>
      </c>
      <c r="U339" s="1">
        <f ca="1">IFERROR(__xludf.DUMMYFUNCTION("""COMPUTED_VALUE"""),11)</f>
        <v>11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IFERROR(__xludf.DUMMYFUNCTION("""COMPUTED_VALUE"""),"Western Carolina")</f>
        <v>Western Carolina</v>
      </c>
      <c r="C340" s="1" t="str">
        <f ca="1">IFERROR(__xludf.DUMMYFUNCTION("""COMPUTED_VALUE"""),"SC")</f>
        <v>SC</v>
      </c>
      <c r="D340" s="2">
        <f ca="1">IFERROR(__xludf.DUMMYFUNCTION("""COMPUTED_VALUE"""),44827)</f>
        <v>44827</v>
      </c>
      <c r="E340" s="1">
        <f ca="1">IFERROR(__xludf.DUMMYFUNCTION("""COMPUTED_VALUE"""),-15.11)</f>
        <v>-15.11</v>
      </c>
      <c r="F340" s="1">
        <f ca="1">IFERROR(__xludf.DUMMYFUNCTION("""COMPUTED_VALUE"""),90)</f>
        <v>90</v>
      </c>
      <c r="G340" s="1">
        <f ca="1">IFERROR(__xludf.DUMMYFUNCTION("""COMPUTED_VALUE"""),348)</f>
        <v>348</v>
      </c>
      <c r="H340" s="1">
        <f ca="1">IFERROR(__xludf.DUMMYFUNCTION("""COMPUTED_VALUE"""),105.1)</f>
        <v>105.1</v>
      </c>
      <c r="I340" s="1">
        <f ca="1">IFERROR(__xludf.DUMMYFUNCTION("""COMPUTED_VALUE"""),183)</f>
        <v>183</v>
      </c>
      <c r="J340" s="1">
        <f ca="1">IFERROR(__xludf.DUMMYFUNCTION("""COMPUTED_VALUE"""),66.8)</f>
        <v>66.8</v>
      </c>
      <c r="K340" s="1">
        <f ca="1">IFERROR(__xludf.DUMMYFUNCTION("""COMPUTED_VALUE"""),244)</f>
        <v>244</v>
      </c>
      <c r="L340" s="1" t="str">
        <f ca="1">IFERROR(__xludf.DUMMYFUNCTION("""COMPUTED_VALUE"""),"+.027")</f>
        <v>+.027</v>
      </c>
      <c r="M340" s="1">
        <f ca="1">IFERROR(__xludf.DUMMYFUNCTION("""COMPUTED_VALUE"""),109)</f>
        <v>109</v>
      </c>
      <c r="N340" s="1" t="str">
        <f ca="1">IFERROR(__xludf.DUMMYFUNCTION("""COMPUTED_VALUE"""),"+1.01")</f>
        <v>+1.01</v>
      </c>
      <c r="O340" s="1">
        <f ca="1">IFERROR(__xludf.DUMMYFUNCTION("""COMPUTED_VALUE"""),112)</f>
        <v>112</v>
      </c>
      <c r="P340" s="1">
        <f ca="1">IFERROR(__xludf.DUMMYFUNCTION("""COMPUTED_VALUE"""),106.6)</f>
        <v>106.6</v>
      </c>
      <c r="Q340" s="1">
        <f ca="1">IFERROR(__xludf.DUMMYFUNCTION("""COMPUTED_VALUE"""),80)</f>
        <v>80</v>
      </c>
      <c r="R340" s="1">
        <f ca="1">IFERROR(__xludf.DUMMYFUNCTION("""COMPUTED_VALUE"""),105.6)</f>
        <v>105.6</v>
      </c>
      <c r="S340" s="1">
        <f ca="1">IFERROR(__xludf.DUMMYFUNCTION("""COMPUTED_VALUE"""),177)</f>
        <v>177</v>
      </c>
      <c r="T340" s="1" t="str">
        <f ca="1">IFERROR(__xludf.DUMMYFUNCTION("""COMPUTED_VALUE"""),"+5.83")</f>
        <v>+5.83</v>
      </c>
      <c r="U340" s="1">
        <f ca="1">IFERROR(__xludf.DUMMYFUNCTION("""COMPUTED_VALUE"""),35)</f>
        <v>35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IFERROR(__xludf.DUMMYFUNCTION("""COMPUTED_VALUE"""),"Northern Arizona")</f>
        <v>Northern Arizona</v>
      </c>
      <c r="C341" s="1" t="str">
        <f ca="1">IFERROR(__xludf.DUMMYFUNCTION("""COMPUTED_VALUE"""),"BSky")</f>
        <v>BSky</v>
      </c>
      <c r="D341" s="2">
        <f ca="1">IFERROR(__xludf.DUMMYFUNCTION("""COMPUTED_VALUE"""),44827)</f>
        <v>44827</v>
      </c>
      <c r="E341" s="1">
        <f ca="1">IFERROR(__xludf.DUMMYFUNCTION("""COMPUTED_VALUE"""),-15.28)</f>
        <v>-15.28</v>
      </c>
      <c r="F341" s="1">
        <f ca="1">IFERROR(__xludf.DUMMYFUNCTION("""COMPUTED_VALUE"""),95.1)</f>
        <v>95.1</v>
      </c>
      <c r="G341" s="1">
        <f ca="1">IFERROR(__xludf.DUMMYFUNCTION("""COMPUTED_VALUE"""),326)</f>
        <v>326</v>
      </c>
      <c r="H341" s="1">
        <f ca="1">IFERROR(__xludf.DUMMYFUNCTION("""COMPUTED_VALUE"""),110.4)</f>
        <v>110.4</v>
      </c>
      <c r="I341" s="1">
        <f ca="1">IFERROR(__xludf.DUMMYFUNCTION("""COMPUTED_VALUE"""),289)</f>
        <v>289</v>
      </c>
      <c r="J341" s="1">
        <f ca="1">IFERROR(__xludf.DUMMYFUNCTION("""COMPUTED_VALUE"""),69.2)</f>
        <v>69.2</v>
      </c>
      <c r="K341" s="1">
        <f ca="1">IFERROR(__xludf.DUMMYFUNCTION("""COMPUTED_VALUE"""),106)</f>
        <v>106</v>
      </c>
      <c r="L341" s="1">
        <f ca="1">IFERROR(__xludf.DUMMYFUNCTION("""COMPUTED_VALUE"""),-0.016)</f>
        <v>-1.6E-2</v>
      </c>
      <c r="M341" s="1">
        <f ca="1">IFERROR(__xludf.DUMMYFUNCTION("""COMPUTED_VALUE"""),230)</f>
        <v>230</v>
      </c>
      <c r="N341" s="1">
        <f ca="1">IFERROR(__xludf.DUMMYFUNCTION("""COMPUTED_VALUE"""),-6.17)</f>
        <v>-6.17</v>
      </c>
      <c r="O341" s="1">
        <f ca="1">IFERROR(__xludf.DUMMYFUNCTION("""COMPUTED_VALUE"""),307)</f>
        <v>307</v>
      </c>
      <c r="P341" s="1">
        <f ca="1">IFERROR(__xludf.DUMMYFUNCTION("""COMPUTED_VALUE"""),101.9)</f>
        <v>101.9</v>
      </c>
      <c r="Q341" s="1">
        <f ca="1">IFERROR(__xludf.DUMMYFUNCTION("""COMPUTED_VALUE"""),282)</f>
        <v>282</v>
      </c>
      <c r="R341" s="1">
        <f ca="1">IFERROR(__xludf.DUMMYFUNCTION("""COMPUTED_VALUE"""),108.1)</f>
        <v>108.1</v>
      </c>
      <c r="S341" s="1">
        <f ca="1">IFERROR(__xludf.DUMMYFUNCTION("""COMPUTED_VALUE"""),314)</f>
        <v>314</v>
      </c>
      <c r="T341" s="1">
        <f ca="1">IFERROR(__xludf.DUMMYFUNCTION("""COMPUTED_VALUE"""),-3.31)</f>
        <v>-3.31</v>
      </c>
      <c r="U341" s="1">
        <f ca="1">IFERROR(__xludf.DUMMYFUNCTION("""COMPUTED_VALUE"""),253)</f>
        <v>253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IFERROR(__xludf.DUMMYFUNCTION("""COMPUTED_VALUE"""),"Morgan St.")</f>
        <v>Morgan St.</v>
      </c>
      <c r="C342" s="1" t="str">
        <f ca="1">IFERROR(__xludf.DUMMYFUNCTION("""COMPUTED_VALUE"""),"MEAC")</f>
        <v>MEAC</v>
      </c>
      <c r="D342" s="1" t="str">
        <f ca="1">IFERROR(__xludf.DUMMYFUNCTION("""COMPUTED_VALUE"""),"14-16")</f>
        <v>14-16</v>
      </c>
      <c r="E342" s="1">
        <f ca="1">IFERROR(__xludf.DUMMYFUNCTION("""COMPUTED_VALUE"""),-15.47)</f>
        <v>-15.47</v>
      </c>
      <c r="F342" s="1">
        <f ca="1">IFERROR(__xludf.DUMMYFUNCTION("""COMPUTED_VALUE"""),91.2)</f>
        <v>91.2</v>
      </c>
      <c r="G342" s="1">
        <f ca="1">IFERROR(__xludf.DUMMYFUNCTION("""COMPUTED_VALUE"""),344)</f>
        <v>344</v>
      </c>
      <c r="H342" s="1">
        <f ca="1">IFERROR(__xludf.DUMMYFUNCTION("""COMPUTED_VALUE"""),106.6)</f>
        <v>106.6</v>
      </c>
      <c r="I342" s="1">
        <f ca="1">IFERROR(__xludf.DUMMYFUNCTION("""COMPUTED_VALUE"""),212)</f>
        <v>212</v>
      </c>
      <c r="J342" s="1">
        <f ca="1">IFERROR(__xludf.DUMMYFUNCTION("""COMPUTED_VALUE"""),67.7)</f>
        <v>67.7</v>
      </c>
      <c r="K342" s="1">
        <f ca="1">IFERROR(__xludf.DUMMYFUNCTION("""COMPUTED_VALUE"""),203)</f>
        <v>203</v>
      </c>
      <c r="L342" s="1" t="str">
        <f ca="1">IFERROR(__xludf.DUMMYFUNCTION("""COMPUTED_VALUE"""),"+.038")</f>
        <v>+.038</v>
      </c>
      <c r="M342" s="1">
        <f ca="1">IFERROR(__xludf.DUMMYFUNCTION("""COMPUTED_VALUE"""),81)</f>
        <v>81</v>
      </c>
      <c r="N342" s="1">
        <f ca="1">IFERROR(__xludf.DUMMYFUNCTION("""COMPUTED_VALUE"""),-12.66)</f>
        <v>-12.66</v>
      </c>
      <c r="O342" s="1">
        <f ca="1">IFERROR(__xludf.DUMMYFUNCTION("""COMPUTED_VALUE"""),350)</f>
        <v>350</v>
      </c>
      <c r="P342" s="1">
        <f ca="1">IFERROR(__xludf.DUMMYFUNCTION("""COMPUTED_VALUE"""),98.1)</f>
        <v>98.1</v>
      </c>
      <c r="Q342" s="1">
        <f ca="1">IFERROR(__xludf.DUMMYFUNCTION("""COMPUTED_VALUE"""),345)</f>
        <v>345</v>
      </c>
      <c r="R342" s="1">
        <f ca="1">IFERROR(__xludf.DUMMYFUNCTION("""COMPUTED_VALUE"""),110.7)</f>
        <v>110.7</v>
      </c>
      <c r="S342" s="1">
        <f ca="1">IFERROR(__xludf.DUMMYFUNCTION("""COMPUTED_VALUE"""),350)</f>
        <v>350</v>
      </c>
      <c r="T342" s="1">
        <f ca="1">IFERROR(__xludf.DUMMYFUNCTION("""COMPUTED_VALUE"""),-3.2)</f>
        <v>-3.2</v>
      </c>
      <c r="U342" s="1">
        <f ca="1">IFERROR(__xludf.DUMMYFUNCTION("""COMPUTED_VALUE"""),247)</f>
        <v>247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IFERROR(__xludf.DUMMYFUNCTION("""COMPUTED_VALUE"""),"Southern Miss")</f>
        <v>Southern Miss</v>
      </c>
      <c r="C343" s="1" t="str">
        <f ca="1">IFERROR(__xludf.DUMMYFUNCTION("""COMPUTED_VALUE"""),"CUSA")</f>
        <v>CUSA</v>
      </c>
      <c r="D343" s="2">
        <f ca="1">IFERROR(__xludf.DUMMYFUNCTION("""COMPUTED_VALUE"""),44826)</f>
        <v>44826</v>
      </c>
      <c r="E343" s="1">
        <f ca="1">IFERROR(__xludf.DUMMYFUNCTION("""COMPUTED_VALUE"""),-15.52)</f>
        <v>-15.52</v>
      </c>
      <c r="F343" s="1">
        <f ca="1">IFERROR(__xludf.DUMMYFUNCTION("""COMPUTED_VALUE"""),93)</f>
        <v>93</v>
      </c>
      <c r="G343" s="1">
        <f ca="1">IFERROR(__xludf.DUMMYFUNCTION("""COMPUTED_VALUE"""),335)</f>
        <v>335</v>
      </c>
      <c r="H343" s="1">
        <f ca="1">IFERROR(__xludf.DUMMYFUNCTION("""COMPUTED_VALUE"""),108.5)</f>
        <v>108.5</v>
      </c>
      <c r="I343" s="1">
        <f ca="1">IFERROR(__xludf.DUMMYFUNCTION("""COMPUTED_VALUE"""),249)</f>
        <v>249</v>
      </c>
      <c r="J343" s="1">
        <f ca="1">IFERROR(__xludf.DUMMYFUNCTION("""COMPUTED_VALUE"""),65.5)</f>
        <v>65.5</v>
      </c>
      <c r="K343" s="1">
        <f ca="1">IFERROR(__xludf.DUMMYFUNCTION("""COMPUTED_VALUE"""),294)</f>
        <v>294</v>
      </c>
      <c r="L343" s="1">
        <f ca="1">IFERROR(__xludf.DUMMYFUNCTION("""COMPUTED_VALUE"""),-0.032)</f>
        <v>-3.2000000000000001E-2</v>
      </c>
      <c r="M343" s="1">
        <f ca="1">IFERROR(__xludf.DUMMYFUNCTION("""COMPUTED_VALUE"""),260)</f>
        <v>260</v>
      </c>
      <c r="N343" s="1">
        <f ca="1">IFERROR(__xludf.DUMMYFUNCTION("""COMPUTED_VALUE"""),-3.41)</f>
        <v>-3.41</v>
      </c>
      <c r="O343" s="1">
        <f ca="1">IFERROR(__xludf.DUMMYFUNCTION("""COMPUTED_VALUE"""),236)</f>
        <v>236</v>
      </c>
      <c r="P343" s="1">
        <f ca="1">IFERROR(__xludf.DUMMYFUNCTION("""COMPUTED_VALUE"""),102.3)</f>
        <v>102.3</v>
      </c>
      <c r="Q343" s="1">
        <f ca="1">IFERROR(__xludf.DUMMYFUNCTION("""COMPUTED_VALUE"""),266)</f>
        <v>266</v>
      </c>
      <c r="R343" s="1">
        <f ca="1">IFERROR(__xludf.DUMMYFUNCTION("""COMPUTED_VALUE"""),105.7)</f>
        <v>105.7</v>
      </c>
      <c r="S343" s="1">
        <f ca="1">IFERROR(__xludf.DUMMYFUNCTION("""COMPUTED_VALUE"""),186)</f>
        <v>186</v>
      </c>
      <c r="T343" s="1">
        <f ca="1">IFERROR(__xludf.DUMMYFUNCTION("""COMPUTED_VALUE"""),-3.6)</f>
        <v>-3.6</v>
      </c>
      <c r="U343" s="1">
        <f ca="1">IFERROR(__xludf.DUMMYFUNCTION("""COMPUTED_VALUE"""),262)</f>
        <v>262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IFERROR(__xludf.DUMMYFUNCTION("""COMPUTED_VALUE"""),"Southern")</f>
        <v>Southern</v>
      </c>
      <c r="C344" s="1" t="str">
        <f ca="1">IFERROR(__xludf.DUMMYFUNCTION("""COMPUTED_VALUE"""),"SWAC")</f>
        <v>SWAC</v>
      </c>
      <c r="D344" s="1" t="str">
        <f ca="1">IFERROR(__xludf.DUMMYFUNCTION("""COMPUTED_VALUE"""),"15-18")</f>
        <v>15-18</v>
      </c>
      <c r="E344" s="1">
        <f ca="1">IFERROR(__xludf.DUMMYFUNCTION("""COMPUTED_VALUE"""),-15.7)</f>
        <v>-15.7</v>
      </c>
      <c r="F344" s="1">
        <f ca="1">IFERROR(__xludf.DUMMYFUNCTION("""COMPUTED_VALUE"""),97.9)</f>
        <v>97.9</v>
      </c>
      <c r="G344" s="1">
        <f ca="1">IFERROR(__xludf.DUMMYFUNCTION("""COMPUTED_VALUE"""),290)</f>
        <v>290</v>
      </c>
      <c r="H344" s="1">
        <f ca="1">IFERROR(__xludf.DUMMYFUNCTION("""COMPUTED_VALUE"""),113.6)</f>
        <v>113.6</v>
      </c>
      <c r="I344" s="1">
        <f ca="1">IFERROR(__xludf.DUMMYFUNCTION("""COMPUTED_VALUE"""),322)</f>
        <v>322</v>
      </c>
      <c r="J344" s="1">
        <f ca="1">IFERROR(__xludf.DUMMYFUNCTION("""COMPUTED_VALUE"""),68.5)</f>
        <v>68.5</v>
      </c>
      <c r="K344" s="1">
        <f ca="1">IFERROR(__xludf.DUMMYFUNCTION("""COMPUTED_VALUE"""),153)</f>
        <v>153</v>
      </c>
      <c r="L344" s="1" t="str">
        <f ca="1">IFERROR(__xludf.DUMMYFUNCTION("""COMPUTED_VALUE"""),"+.038")</f>
        <v>+.038</v>
      </c>
      <c r="M344" s="1">
        <f ca="1">IFERROR(__xludf.DUMMYFUNCTION("""COMPUTED_VALUE"""),82)</f>
        <v>82</v>
      </c>
      <c r="N344" s="1">
        <f ca="1">IFERROR(__xludf.DUMMYFUNCTION("""COMPUTED_VALUE"""),-12.49)</f>
        <v>-12.49</v>
      </c>
      <c r="O344" s="1">
        <f ca="1">IFERROR(__xludf.DUMMYFUNCTION("""COMPUTED_VALUE"""),349)</f>
        <v>349</v>
      </c>
      <c r="P344" s="1">
        <f ca="1">IFERROR(__xludf.DUMMYFUNCTION("""COMPUTED_VALUE"""),96.7)</f>
        <v>96.7</v>
      </c>
      <c r="Q344" s="1">
        <f ca="1">IFERROR(__xludf.DUMMYFUNCTION("""COMPUTED_VALUE"""),351)</f>
        <v>351</v>
      </c>
      <c r="R344" s="1">
        <f ca="1">IFERROR(__xludf.DUMMYFUNCTION("""COMPUTED_VALUE"""),109.2)</f>
        <v>109.2</v>
      </c>
      <c r="S344" s="1">
        <f ca="1">IFERROR(__xludf.DUMMYFUNCTION("""COMPUTED_VALUE"""),339)</f>
        <v>339</v>
      </c>
      <c r="T344" s="1" t="str">
        <f ca="1">IFERROR(__xludf.DUMMYFUNCTION("""COMPUTED_VALUE"""),"+1.38")</f>
        <v>+1.38</v>
      </c>
      <c r="U344" s="1">
        <f ca="1">IFERROR(__xludf.DUMMYFUNCTION("""COMPUTED_VALUE"""),117)</f>
        <v>117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IFERROR(__xludf.DUMMYFUNCTION("""COMPUTED_VALUE"""),"Grambling St.")</f>
        <v>Grambling St.</v>
      </c>
      <c r="C345" s="1" t="str">
        <f ca="1">IFERROR(__xludf.DUMMYFUNCTION("""COMPUTED_VALUE"""),"SWAC")</f>
        <v>SWAC</v>
      </c>
      <c r="D345" s="1" t="str">
        <f ca="1">IFERROR(__xludf.DUMMYFUNCTION("""COMPUTED_VALUE"""),"15-17")</f>
        <v>15-17</v>
      </c>
      <c r="E345" s="1">
        <f ca="1">IFERROR(__xludf.DUMMYFUNCTION("""COMPUTED_VALUE"""),-16.24)</f>
        <v>-16.239999999999998</v>
      </c>
      <c r="F345" s="1">
        <f ca="1">IFERROR(__xludf.DUMMYFUNCTION("""COMPUTED_VALUE"""),96.5)</f>
        <v>96.5</v>
      </c>
      <c r="G345" s="1">
        <f ca="1">IFERROR(__xludf.DUMMYFUNCTION("""COMPUTED_VALUE"""),311)</f>
        <v>311</v>
      </c>
      <c r="H345" s="1">
        <f ca="1">IFERROR(__xludf.DUMMYFUNCTION("""COMPUTED_VALUE"""),112.7)</f>
        <v>112.7</v>
      </c>
      <c r="I345" s="1">
        <f ca="1">IFERROR(__xludf.DUMMYFUNCTION("""COMPUTED_VALUE"""),315)</f>
        <v>315</v>
      </c>
      <c r="J345" s="1">
        <f ca="1">IFERROR(__xludf.DUMMYFUNCTION("""COMPUTED_VALUE"""),67.1)</f>
        <v>67.099999999999994</v>
      </c>
      <c r="K345" s="1">
        <f ca="1">IFERROR(__xludf.DUMMYFUNCTION("""COMPUTED_VALUE"""),225)</f>
        <v>225</v>
      </c>
      <c r="L345" s="1" t="str">
        <f ca="1">IFERROR(__xludf.DUMMYFUNCTION("""COMPUTED_VALUE"""),"+.049")</f>
        <v>+.049</v>
      </c>
      <c r="M345" s="1">
        <f ca="1">IFERROR(__xludf.DUMMYFUNCTION("""COMPUTED_VALUE"""),58)</f>
        <v>58</v>
      </c>
      <c r="N345" s="1">
        <f ca="1">IFERROR(__xludf.DUMMYFUNCTION("""COMPUTED_VALUE"""),-12.33)</f>
        <v>-12.33</v>
      </c>
      <c r="O345" s="1">
        <f ca="1">IFERROR(__xludf.DUMMYFUNCTION("""COMPUTED_VALUE"""),347)</f>
        <v>347</v>
      </c>
      <c r="P345" s="1">
        <f ca="1">IFERROR(__xludf.DUMMYFUNCTION("""COMPUTED_VALUE"""),97.5)</f>
        <v>97.5</v>
      </c>
      <c r="Q345" s="1">
        <f ca="1">IFERROR(__xludf.DUMMYFUNCTION("""COMPUTED_VALUE"""),350)</f>
        <v>350</v>
      </c>
      <c r="R345" s="1">
        <f ca="1">IFERROR(__xludf.DUMMYFUNCTION("""COMPUTED_VALUE"""),109.9)</f>
        <v>109.9</v>
      </c>
      <c r="S345" s="1">
        <f ca="1">IFERROR(__xludf.DUMMYFUNCTION("""COMPUTED_VALUE"""),344)</f>
        <v>344</v>
      </c>
      <c r="T345" s="1">
        <f ca="1">IFERROR(__xludf.DUMMYFUNCTION("""COMPUTED_VALUE"""),-0.83)</f>
        <v>-0.83</v>
      </c>
      <c r="U345" s="1">
        <f ca="1">IFERROR(__xludf.DUMMYFUNCTION("""COMPUTED_VALUE"""),178)</f>
        <v>178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IFERROR(__xludf.DUMMYFUNCTION("""COMPUTED_VALUE"""),"VMI")</f>
        <v>VMI</v>
      </c>
      <c r="C346" s="1" t="str">
        <f ca="1">IFERROR(__xludf.DUMMYFUNCTION("""COMPUTED_VALUE"""),"SC")</f>
        <v>SC</v>
      </c>
      <c r="D346" s="2">
        <f ca="1">IFERROR(__xludf.DUMMYFUNCTION("""COMPUTED_VALUE"""),44736)</f>
        <v>44736</v>
      </c>
      <c r="E346" s="1">
        <f ca="1">IFERROR(__xludf.DUMMYFUNCTION("""COMPUTED_VALUE"""),-16.27)</f>
        <v>-16.27</v>
      </c>
      <c r="F346" s="1">
        <f ca="1">IFERROR(__xludf.DUMMYFUNCTION("""COMPUTED_VALUE"""),97.6)</f>
        <v>97.6</v>
      </c>
      <c r="G346" s="1">
        <f ca="1">IFERROR(__xludf.DUMMYFUNCTION("""COMPUTED_VALUE"""),297)</f>
        <v>297</v>
      </c>
      <c r="H346" s="1">
        <f ca="1">IFERROR(__xludf.DUMMYFUNCTION("""COMPUTED_VALUE"""),113.8)</f>
        <v>113.8</v>
      </c>
      <c r="I346" s="1">
        <f ca="1">IFERROR(__xludf.DUMMYFUNCTION("""COMPUTED_VALUE"""),323)</f>
        <v>323</v>
      </c>
      <c r="J346" s="1">
        <f ca="1">IFERROR(__xludf.DUMMYFUNCTION("""COMPUTED_VALUE"""),69.1)</f>
        <v>69.099999999999994</v>
      </c>
      <c r="K346" s="1">
        <f ca="1">IFERROR(__xludf.DUMMYFUNCTION("""COMPUTED_VALUE"""),112)</f>
        <v>112</v>
      </c>
      <c r="L346" s="1">
        <f ca="1">IFERROR(__xludf.DUMMYFUNCTION("""COMPUTED_VALUE"""),-0.034)</f>
        <v>-3.4000000000000002E-2</v>
      </c>
      <c r="M346" s="1">
        <f ca="1">IFERROR(__xludf.DUMMYFUNCTION("""COMPUTED_VALUE"""),269)</f>
        <v>269</v>
      </c>
      <c r="N346" s="1">
        <f ca="1">IFERROR(__xludf.DUMMYFUNCTION("""COMPUTED_VALUE"""),-0.28)</f>
        <v>-0.28000000000000003</v>
      </c>
      <c r="O346" s="1">
        <f ca="1">IFERROR(__xludf.DUMMYFUNCTION("""COMPUTED_VALUE"""),139)</f>
        <v>139</v>
      </c>
      <c r="P346" s="1">
        <f ca="1">IFERROR(__xludf.DUMMYFUNCTION("""COMPUTED_VALUE"""),105.6)</f>
        <v>105.6</v>
      </c>
      <c r="Q346" s="1">
        <f ca="1">IFERROR(__xludf.DUMMYFUNCTION("""COMPUTED_VALUE"""),101)</f>
        <v>101</v>
      </c>
      <c r="R346" s="1">
        <f ca="1">IFERROR(__xludf.DUMMYFUNCTION("""COMPUTED_VALUE"""),105.8)</f>
        <v>105.8</v>
      </c>
      <c r="S346" s="1">
        <f ca="1">IFERROR(__xludf.DUMMYFUNCTION("""COMPUTED_VALUE"""),194)</f>
        <v>194</v>
      </c>
      <c r="T346" s="1" t="str">
        <f ca="1">IFERROR(__xludf.DUMMYFUNCTION("""COMPUTED_VALUE"""),"+0.51")</f>
        <v>+0.51</v>
      </c>
      <c r="U346" s="1">
        <f ca="1">IFERROR(__xludf.DUMMYFUNCTION("""COMPUTED_VALUE"""),138)</f>
        <v>138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IFERROR(__xludf.DUMMYFUNCTION("""COMPUTED_VALUE"""),"Jackson St.")</f>
        <v>Jackson St.</v>
      </c>
      <c r="C347" s="1" t="str">
        <f ca="1">IFERROR(__xludf.DUMMYFUNCTION("""COMPUTED_VALUE"""),"SWAC")</f>
        <v>SWAC</v>
      </c>
      <c r="D347" s="1" t="str">
        <f ca="1">IFERROR(__xludf.DUMMYFUNCTION("""COMPUTED_VALUE"""),"14-18")</f>
        <v>14-18</v>
      </c>
      <c r="E347" s="1">
        <f ca="1">IFERROR(__xludf.DUMMYFUNCTION("""COMPUTED_VALUE"""),-16.36)</f>
        <v>-16.36</v>
      </c>
      <c r="F347" s="1">
        <f ca="1">IFERROR(__xludf.DUMMYFUNCTION("""COMPUTED_VALUE"""),92.8)</f>
        <v>92.8</v>
      </c>
      <c r="G347" s="1">
        <f ca="1">IFERROR(__xludf.DUMMYFUNCTION("""COMPUTED_VALUE"""),336)</f>
        <v>336</v>
      </c>
      <c r="H347" s="1">
        <f ca="1">IFERROR(__xludf.DUMMYFUNCTION("""COMPUTED_VALUE"""),109.1)</f>
        <v>109.1</v>
      </c>
      <c r="I347" s="1">
        <f ca="1">IFERROR(__xludf.DUMMYFUNCTION("""COMPUTED_VALUE"""),258)</f>
        <v>258</v>
      </c>
      <c r="J347" s="1">
        <f ca="1">IFERROR(__xludf.DUMMYFUNCTION("""COMPUTED_VALUE"""),64.3)</f>
        <v>64.3</v>
      </c>
      <c r="K347" s="1">
        <f ca="1">IFERROR(__xludf.DUMMYFUNCTION("""COMPUTED_VALUE"""),317)</f>
        <v>317</v>
      </c>
      <c r="L347" s="1" t="str">
        <f ca="1">IFERROR(__xludf.DUMMYFUNCTION("""COMPUTED_VALUE"""),"+.032")</f>
        <v>+.032</v>
      </c>
      <c r="M347" s="1">
        <f ca="1">IFERROR(__xludf.DUMMYFUNCTION("""COMPUTED_VALUE"""),91)</f>
        <v>91</v>
      </c>
      <c r="N347" s="1">
        <f ca="1">IFERROR(__xludf.DUMMYFUNCTION("""COMPUTED_VALUE"""),-11.84)</f>
        <v>-11.84</v>
      </c>
      <c r="O347" s="1">
        <f ca="1">IFERROR(__xludf.DUMMYFUNCTION("""COMPUTED_VALUE"""),346)</f>
        <v>346</v>
      </c>
      <c r="P347" s="1">
        <f ca="1">IFERROR(__xludf.DUMMYFUNCTION("""COMPUTED_VALUE"""),98.1)</f>
        <v>98.1</v>
      </c>
      <c r="Q347" s="1">
        <f ca="1">IFERROR(__xludf.DUMMYFUNCTION("""COMPUTED_VALUE"""),346)</f>
        <v>346</v>
      </c>
      <c r="R347" s="1">
        <f ca="1">IFERROR(__xludf.DUMMYFUNCTION("""COMPUTED_VALUE"""),109.9)</f>
        <v>109.9</v>
      </c>
      <c r="S347" s="1">
        <f ca="1">IFERROR(__xludf.DUMMYFUNCTION("""COMPUTED_VALUE"""),345)</f>
        <v>345</v>
      </c>
      <c r="T347" s="1" t="str">
        <f ca="1">IFERROR(__xludf.DUMMYFUNCTION("""COMPUTED_VALUE"""),"+2.06")</f>
        <v>+2.06</v>
      </c>
      <c r="U347" s="1">
        <f ca="1">IFERROR(__xludf.DUMMYFUNCTION("""COMPUTED_VALUE"""),93)</f>
        <v>93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IFERROR(__xludf.DUMMYFUNCTION("""COMPUTED_VALUE"""),"Lafayette")</f>
        <v>Lafayette</v>
      </c>
      <c r="C348" s="1" t="str">
        <f ca="1">IFERROR(__xludf.DUMMYFUNCTION("""COMPUTED_VALUE"""),"Pat")</f>
        <v>Pat</v>
      </c>
      <c r="D348" s="2">
        <f ca="1">IFERROR(__xludf.DUMMYFUNCTION("""COMPUTED_VALUE"""),44825)</f>
        <v>44825</v>
      </c>
      <c r="E348" s="1">
        <f ca="1">IFERROR(__xludf.DUMMYFUNCTION("""COMPUTED_VALUE"""),-16.79)</f>
        <v>-16.79</v>
      </c>
      <c r="F348" s="1">
        <f ca="1">IFERROR(__xludf.DUMMYFUNCTION("""COMPUTED_VALUE"""),96.6)</f>
        <v>96.6</v>
      </c>
      <c r="G348" s="1">
        <f ca="1">IFERROR(__xludf.DUMMYFUNCTION("""COMPUTED_VALUE"""),310)</f>
        <v>310</v>
      </c>
      <c r="H348" s="1">
        <f ca="1">IFERROR(__xludf.DUMMYFUNCTION("""COMPUTED_VALUE"""),113.3)</f>
        <v>113.3</v>
      </c>
      <c r="I348" s="1">
        <f ca="1">IFERROR(__xludf.DUMMYFUNCTION("""COMPUTED_VALUE"""),321)</f>
        <v>321</v>
      </c>
      <c r="J348" s="1">
        <f ca="1">IFERROR(__xludf.DUMMYFUNCTION("""COMPUTED_VALUE"""),69.3)</f>
        <v>69.3</v>
      </c>
      <c r="K348" s="1">
        <f ca="1">IFERROR(__xludf.DUMMYFUNCTION("""COMPUTED_VALUE"""),105)</f>
        <v>105</v>
      </c>
      <c r="L348" s="1" t="str">
        <f ca="1">IFERROR(__xludf.DUMMYFUNCTION("""COMPUTED_VALUE"""),"+.059")</f>
        <v>+.059</v>
      </c>
      <c r="M348" s="1">
        <f ca="1">IFERROR(__xludf.DUMMYFUNCTION("""COMPUTED_VALUE"""),41)</f>
        <v>41</v>
      </c>
      <c r="N348" s="1">
        <f ca="1">IFERROR(__xludf.DUMMYFUNCTION("""COMPUTED_VALUE"""),-3.76)</f>
        <v>-3.76</v>
      </c>
      <c r="O348" s="1">
        <f ca="1">IFERROR(__xludf.DUMMYFUNCTION("""COMPUTED_VALUE"""),245)</f>
        <v>245</v>
      </c>
      <c r="P348" s="1">
        <f ca="1">IFERROR(__xludf.DUMMYFUNCTION("""COMPUTED_VALUE"""),100.9)</f>
        <v>100.9</v>
      </c>
      <c r="Q348" s="1">
        <f ca="1">IFERROR(__xludf.DUMMYFUNCTION("""COMPUTED_VALUE"""),311)</f>
        <v>311</v>
      </c>
      <c r="R348" s="1">
        <f ca="1">IFERROR(__xludf.DUMMYFUNCTION("""COMPUTED_VALUE"""),104.7)</f>
        <v>104.7</v>
      </c>
      <c r="S348" s="1">
        <f ca="1">IFERROR(__xludf.DUMMYFUNCTION("""COMPUTED_VALUE"""),138)</f>
        <v>138</v>
      </c>
      <c r="T348" s="1">
        <f ca="1">IFERROR(__xludf.DUMMYFUNCTION("""COMPUTED_VALUE"""),-3.93)</f>
        <v>-3.93</v>
      </c>
      <c r="U348" s="1">
        <f ca="1">IFERROR(__xludf.DUMMYFUNCTION("""COMPUTED_VALUE"""),271)</f>
        <v>271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IFERROR(__xludf.DUMMYFUNCTION("""COMPUTED_VALUE"""),"UC Santa Barbara")</f>
        <v>UC Santa Barbara</v>
      </c>
      <c r="C349" s="1" t="str">
        <f ca="1">IFERROR(__xludf.DUMMYFUNCTION("""COMPUTED_VALUE"""),"BW")</f>
        <v>BW</v>
      </c>
      <c r="D349" s="2">
        <f ca="1">IFERROR(__xludf.DUMMYFUNCTION("""COMPUTED_VALUE"""),44734)</f>
        <v>44734</v>
      </c>
      <c r="E349" s="1">
        <f ca="1">IFERROR(__xludf.DUMMYFUNCTION("""COMPUTED_VALUE"""),-17.84)</f>
        <v>-17.84</v>
      </c>
      <c r="F349" s="1">
        <f ca="1">IFERROR(__xludf.DUMMYFUNCTION("""COMPUTED_VALUE"""),91.3)</f>
        <v>91.3</v>
      </c>
      <c r="G349" s="1">
        <f ca="1">IFERROR(__xludf.DUMMYFUNCTION("""COMPUTED_VALUE"""),343)</f>
        <v>343</v>
      </c>
      <c r="H349" s="1">
        <f ca="1">IFERROR(__xludf.DUMMYFUNCTION("""COMPUTED_VALUE"""),109.2)</f>
        <v>109.2</v>
      </c>
      <c r="I349" s="1">
        <f ca="1">IFERROR(__xludf.DUMMYFUNCTION("""COMPUTED_VALUE"""),262)</f>
        <v>262</v>
      </c>
      <c r="J349" s="1">
        <f ca="1">IFERROR(__xludf.DUMMYFUNCTION("""COMPUTED_VALUE"""),64.1)</f>
        <v>64.099999999999994</v>
      </c>
      <c r="K349" s="1">
        <f ca="1">IFERROR(__xludf.DUMMYFUNCTION("""COMPUTED_VALUE"""),323)</f>
        <v>323</v>
      </c>
      <c r="L349" s="1" t="str">
        <f ca="1">IFERROR(__xludf.DUMMYFUNCTION("""COMPUTED_VALUE"""),"+.009")</f>
        <v>+.009</v>
      </c>
      <c r="M349" s="1">
        <f ca="1">IFERROR(__xludf.DUMMYFUNCTION("""COMPUTED_VALUE"""),168)</f>
        <v>168</v>
      </c>
      <c r="N349" s="1">
        <f ca="1">IFERROR(__xludf.DUMMYFUNCTION("""COMPUTED_VALUE"""),-2.9)</f>
        <v>-2.9</v>
      </c>
      <c r="O349" s="1">
        <f ca="1">IFERROR(__xludf.DUMMYFUNCTION("""COMPUTED_VALUE"""),223)</f>
        <v>223</v>
      </c>
      <c r="P349" s="1">
        <f ca="1">IFERROR(__xludf.DUMMYFUNCTION("""COMPUTED_VALUE"""),102.4)</f>
        <v>102.4</v>
      </c>
      <c r="Q349" s="1">
        <f ca="1">IFERROR(__xludf.DUMMYFUNCTION("""COMPUTED_VALUE"""),262)</f>
        <v>262</v>
      </c>
      <c r="R349" s="1">
        <f ca="1">IFERROR(__xludf.DUMMYFUNCTION("""COMPUTED_VALUE"""),105.3)</f>
        <v>105.3</v>
      </c>
      <c r="S349" s="1">
        <f ca="1">IFERROR(__xludf.DUMMYFUNCTION("""COMPUTED_VALUE"""),164)</f>
        <v>164</v>
      </c>
      <c r="T349" s="1" t="str">
        <f ca="1">IFERROR(__xludf.DUMMYFUNCTION("""COMPUTED_VALUE"""),"+6.96")</f>
        <v>+6.96</v>
      </c>
      <c r="U349" s="1">
        <f ca="1">IFERROR(__xludf.DUMMYFUNCTION("""COMPUTED_VALUE"""),22)</f>
        <v>22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IFERROR(__xludf.DUMMYFUNCTION("""COMPUTED_VALUE"""),"Idaho St.")</f>
        <v>Idaho St.</v>
      </c>
      <c r="C350" s="1" t="str">
        <f ca="1">IFERROR(__xludf.DUMMYFUNCTION("""COMPUTED_VALUE"""),"BSky")</f>
        <v>BSky</v>
      </c>
      <c r="D350" s="2">
        <f ca="1">IFERROR(__xludf.DUMMYFUNCTION("""COMPUTED_VALUE"""),44738)</f>
        <v>44738</v>
      </c>
      <c r="E350" s="1">
        <f ca="1">IFERROR(__xludf.DUMMYFUNCTION("""COMPUTED_VALUE"""),-17.91)</f>
        <v>-17.91</v>
      </c>
      <c r="F350" s="1">
        <f ca="1">IFERROR(__xludf.DUMMYFUNCTION("""COMPUTED_VALUE"""),97.9)</f>
        <v>97.9</v>
      </c>
      <c r="G350" s="1">
        <f ca="1">IFERROR(__xludf.DUMMYFUNCTION("""COMPUTED_VALUE"""),291)</f>
        <v>291</v>
      </c>
      <c r="H350" s="1">
        <f ca="1">IFERROR(__xludf.DUMMYFUNCTION("""COMPUTED_VALUE"""),115.8)</f>
        <v>115.8</v>
      </c>
      <c r="I350" s="1">
        <f ca="1">IFERROR(__xludf.DUMMYFUNCTION("""COMPUTED_VALUE"""),338)</f>
        <v>338</v>
      </c>
      <c r="J350" s="1">
        <f ca="1">IFERROR(__xludf.DUMMYFUNCTION("""COMPUTED_VALUE"""),68.9)</f>
        <v>68.900000000000006</v>
      </c>
      <c r="K350" s="1">
        <f ca="1">IFERROR(__xludf.DUMMYFUNCTION("""COMPUTED_VALUE"""),119)</f>
        <v>119</v>
      </c>
      <c r="L350" s="1">
        <f ca="1">IFERROR(__xludf.DUMMYFUNCTION("""COMPUTED_VALUE"""),-0.053)</f>
        <v>-5.2999999999999999E-2</v>
      </c>
      <c r="M350" s="1">
        <f ca="1">IFERROR(__xludf.DUMMYFUNCTION("""COMPUTED_VALUE"""),298)</f>
        <v>298</v>
      </c>
      <c r="N350" s="1">
        <f ca="1">IFERROR(__xludf.DUMMYFUNCTION("""COMPUTED_VALUE"""),-2.67)</f>
        <v>-2.67</v>
      </c>
      <c r="O350" s="1">
        <f ca="1">IFERROR(__xludf.DUMMYFUNCTION("""COMPUTED_VALUE"""),210)</f>
        <v>210</v>
      </c>
      <c r="P350" s="1">
        <f ca="1">IFERROR(__xludf.DUMMYFUNCTION("""COMPUTED_VALUE"""),104.3)</f>
        <v>104.3</v>
      </c>
      <c r="Q350" s="1">
        <f ca="1">IFERROR(__xludf.DUMMYFUNCTION("""COMPUTED_VALUE"""),161)</f>
        <v>161</v>
      </c>
      <c r="R350" s="1">
        <f ca="1">IFERROR(__xludf.DUMMYFUNCTION("""COMPUTED_VALUE"""),107)</f>
        <v>107</v>
      </c>
      <c r="S350" s="1">
        <f ca="1">IFERROR(__xludf.DUMMYFUNCTION("""COMPUTED_VALUE"""),267)</f>
        <v>267</v>
      </c>
      <c r="T350" s="1" t="str">
        <f ca="1">IFERROR(__xludf.DUMMYFUNCTION("""COMPUTED_VALUE"""),"+4.84")</f>
        <v>+4.84</v>
      </c>
      <c r="U350" s="1">
        <f ca="1">IFERROR(__xludf.DUMMYFUNCTION("""COMPUTED_VALUE"""),43)</f>
        <v>43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IFERROR(__xludf.DUMMYFUNCTION("""COMPUTED_VALUE"""),"Southern Utah")</f>
        <v>Southern Utah</v>
      </c>
      <c r="C351" s="1" t="str">
        <f ca="1">IFERROR(__xludf.DUMMYFUNCTION("""COMPUTED_VALUE"""),"BSky")</f>
        <v>BSky</v>
      </c>
      <c r="D351" s="2">
        <f ca="1">IFERROR(__xludf.DUMMYFUNCTION("""COMPUTED_VALUE"""),44739)</f>
        <v>44739</v>
      </c>
      <c r="E351" s="1">
        <f ca="1">IFERROR(__xludf.DUMMYFUNCTION("""COMPUTED_VALUE"""),-18.33)</f>
        <v>-18.329999999999998</v>
      </c>
      <c r="F351" s="1">
        <f ca="1">IFERROR(__xludf.DUMMYFUNCTION("""COMPUTED_VALUE"""),101.3)</f>
        <v>101.3</v>
      </c>
      <c r="G351" s="1">
        <f ca="1">IFERROR(__xludf.DUMMYFUNCTION("""COMPUTED_VALUE"""),233)</f>
        <v>233</v>
      </c>
      <c r="H351" s="1">
        <f ca="1">IFERROR(__xludf.DUMMYFUNCTION("""COMPUTED_VALUE"""),119.7)</f>
        <v>119.7</v>
      </c>
      <c r="I351" s="1">
        <f ca="1">IFERROR(__xludf.DUMMYFUNCTION("""COMPUTED_VALUE"""),349)</f>
        <v>349</v>
      </c>
      <c r="J351" s="1">
        <f ca="1">IFERROR(__xludf.DUMMYFUNCTION("""COMPUTED_VALUE"""),71.4)</f>
        <v>71.400000000000006</v>
      </c>
      <c r="K351" s="1">
        <f ca="1">IFERROR(__xludf.DUMMYFUNCTION("""COMPUTED_VALUE"""),36)</f>
        <v>36</v>
      </c>
      <c r="L351" s="1">
        <f ca="1">IFERROR(__xludf.DUMMYFUNCTION("""COMPUTED_VALUE"""),-0.014)</f>
        <v>-1.4E-2</v>
      </c>
      <c r="M351" s="1">
        <f ca="1">IFERROR(__xludf.DUMMYFUNCTION("""COMPUTED_VALUE"""),224)</f>
        <v>224</v>
      </c>
      <c r="N351" s="1">
        <f ca="1">IFERROR(__xludf.DUMMYFUNCTION("""COMPUTED_VALUE"""),-5.16)</f>
        <v>-5.16</v>
      </c>
      <c r="O351" s="1">
        <f ca="1">IFERROR(__xludf.DUMMYFUNCTION("""COMPUTED_VALUE"""),282)</f>
        <v>282</v>
      </c>
      <c r="P351" s="1">
        <f ca="1">IFERROR(__xludf.DUMMYFUNCTION("""COMPUTED_VALUE"""),102.2)</f>
        <v>102.2</v>
      </c>
      <c r="Q351" s="1">
        <f ca="1">IFERROR(__xludf.DUMMYFUNCTION("""COMPUTED_VALUE"""),269)</f>
        <v>269</v>
      </c>
      <c r="R351" s="1">
        <f ca="1">IFERROR(__xludf.DUMMYFUNCTION("""COMPUTED_VALUE"""),107.4)</f>
        <v>107.4</v>
      </c>
      <c r="S351" s="1">
        <f ca="1">IFERROR(__xludf.DUMMYFUNCTION("""COMPUTED_VALUE"""),281)</f>
        <v>281</v>
      </c>
      <c r="T351" s="1">
        <f ca="1">IFERROR(__xludf.DUMMYFUNCTION("""COMPUTED_VALUE"""),-1.35)</f>
        <v>-1.35</v>
      </c>
      <c r="U351" s="1">
        <f ca="1">IFERROR(__xludf.DUMMYFUNCTION("""COMPUTED_VALUE"""),198)</f>
        <v>198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IFERROR(__xludf.DUMMYFUNCTION("""COMPUTED_VALUE"""),"Hartford")</f>
        <v>Hartford</v>
      </c>
      <c r="C352" s="1" t="str">
        <f ca="1">IFERROR(__xludf.DUMMYFUNCTION("""COMPUTED_VALUE"""),"AE")</f>
        <v>AE</v>
      </c>
      <c r="D352" s="2">
        <f ca="1">IFERROR(__xludf.DUMMYFUNCTION("""COMPUTED_VALUE"""),44827)</f>
        <v>44827</v>
      </c>
      <c r="E352" s="1">
        <f ca="1">IFERROR(__xludf.DUMMYFUNCTION("""COMPUTED_VALUE"""),-18.41)</f>
        <v>-18.41</v>
      </c>
      <c r="F352" s="1">
        <f ca="1">IFERROR(__xludf.DUMMYFUNCTION("""COMPUTED_VALUE"""),92.5)</f>
        <v>92.5</v>
      </c>
      <c r="G352" s="1">
        <f ca="1">IFERROR(__xludf.DUMMYFUNCTION("""COMPUTED_VALUE"""),337)</f>
        <v>337</v>
      </c>
      <c r="H352" s="1">
        <f ca="1">IFERROR(__xludf.DUMMYFUNCTION("""COMPUTED_VALUE"""),110.9)</f>
        <v>110.9</v>
      </c>
      <c r="I352" s="1">
        <f ca="1">IFERROR(__xludf.DUMMYFUNCTION("""COMPUTED_VALUE"""),299)</f>
        <v>299</v>
      </c>
      <c r="J352" s="1">
        <f ca="1">IFERROR(__xludf.DUMMYFUNCTION("""COMPUTED_VALUE"""),68.5)</f>
        <v>68.5</v>
      </c>
      <c r="K352" s="1">
        <f ca="1">IFERROR(__xludf.DUMMYFUNCTION("""COMPUTED_VALUE"""),159)</f>
        <v>159</v>
      </c>
      <c r="L352" s="1" t="str">
        <f ca="1">IFERROR(__xludf.DUMMYFUNCTION("""COMPUTED_VALUE"""),"+.073")</f>
        <v>+.073</v>
      </c>
      <c r="M352" s="1">
        <f ca="1">IFERROR(__xludf.DUMMYFUNCTION("""COMPUTED_VALUE"""),21)</f>
        <v>21</v>
      </c>
      <c r="N352" s="1">
        <f ca="1">IFERROR(__xludf.DUMMYFUNCTION("""COMPUTED_VALUE"""),-5.68)</f>
        <v>-5.68</v>
      </c>
      <c r="O352" s="1">
        <f ca="1">IFERROR(__xludf.DUMMYFUNCTION("""COMPUTED_VALUE"""),297)</f>
        <v>297</v>
      </c>
      <c r="P352" s="1">
        <f ca="1">IFERROR(__xludf.DUMMYFUNCTION("""COMPUTED_VALUE"""),101.9)</f>
        <v>101.9</v>
      </c>
      <c r="Q352" s="1">
        <f ca="1">IFERROR(__xludf.DUMMYFUNCTION("""COMPUTED_VALUE"""),279)</f>
        <v>279</v>
      </c>
      <c r="R352" s="1">
        <f ca="1">IFERROR(__xludf.DUMMYFUNCTION("""COMPUTED_VALUE"""),107.6)</f>
        <v>107.6</v>
      </c>
      <c r="S352" s="1">
        <f ca="1">IFERROR(__xludf.DUMMYFUNCTION("""COMPUTED_VALUE"""),293)</f>
        <v>293</v>
      </c>
      <c r="T352" s="1">
        <f ca="1">IFERROR(__xludf.DUMMYFUNCTION("""COMPUTED_VALUE"""),-6.59)</f>
        <v>-6.59</v>
      </c>
      <c r="U352" s="1">
        <f ca="1">IFERROR(__xludf.DUMMYFUNCTION("""COMPUTED_VALUE"""),329)</f>
        <v>329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IFERROR(__xludf.DUMMYFUNCTION("""COMPUTED_VALUE"""),"Chicago St.")</f>
        <v>Chicago St.</v>
      </c>
      <c r="C353" s="1" t="str">
        <f ca="1">IFERROR(__xludf.DUMMYFUNCTION("""COMPUTED_VALUE"""),"WAC")</f>
        <v>WAC</v>
      </c>
      <c r="D353" s="2">
        <f ca="1">IFERROR(__xludf.DUMMYFUNCTION("""COMPUTED_VALUE"""),44738)</f>
        <v>44738</v>
      </c>
      <c r="E353" s="1">
        <f ca="1">IFERROR(__xludf.DUMMYFUNCTION("""COMPUTED_VALUE"""),-18.6)</f>
        <v>-18.600000000000001</v>
      </c>
      <c r="F353" s="1">
        <f ca="1">IFERROR(__xludf.DUMMYFUNCTION("""COMPUTED_VALUE"""),92.3)</f>
        <v>92.3</v>
      </c>
      <c r="G353" s="1">
        <f ca="1">IFERROR(__xludf.DUMMYFUNCTION("""COMPUTED_VALUE"""),338)</f>
        <v>338</v>
      </c>
      <c r="H353" s="1">
        <f ca="1">IFERROR(__xludf.DUMMYFUNCTION("""COMPUTED_VALUE"""),110.9)</f>
        <v>110.9</v>
      </c>
      <c r="I353" s="1">
        <f ca="1">IFERROR(__xludf.DUMMYFUNCTION("""COMPUTED_VALUE"""),298)</f>
        <v>298</v>
      </c>
      <c r="J353" s="1">
        <f ca="1">IFERROR(__xludf.DUMMYFUNCTION("""COMPUTED_VALUE"""),67.1)</f>
        <v>67.099999999999994</v>
      </c>
      <c r="K353" s="1">
        <f ca="1">IFERROR(__xludf.DUMMYFUNCTION("""COMPUTED_VALUE"""),231)</f>
        <v>231</v>
      </c>
      <c r="L353" s="1">
        <f ca="1">IFERROR(__xludf.DUMMYFUNCTION("""COMPUTED_VALUE"""),-0.009)</f>
        <v>-8.9999999999999993E-3</v>
      </c>
      <c r="M353" s="1">
        <f ca="1">IFERROR(__xludf.DUMMYFUNCTION("""COMPUTED_VALUE"""),205)</f>
        <v>205</v>
      </c>
      <c r="N353" s="1" t="str">
        <f ca="1">IFERROR(__xludf.DUMMYFUNCTION("""COMPUTED_VALUE"""),"+2.04")</f>
        <v>+2.04</v>
      </c>
      <c r="O353" s="1">
        <f ca="1">IFERROR(__xludf.DUMMYFUNCTION("""COMPUTED_VALUE"""),98)</f>
        <v>98</v>
      </c>
      <c r="P353" s="1">
        <f ca="1">IFERROR(__xludf.DUMMYFUNCTION("""COMPUTED_VALUE"""),104.9)</f>
        <v>104.9</v>
      </c>
      <c r="Q353" s="1">
        <f ca="1">IFERROR(__xludf.DUMMYFUNCTION("""COMPUTED_VALUE"""),136)</f>
        <v>136</v>
      </c>
      <c r="R353" s="1">
        <f ca="1">IFERROR(__xludf.DUMMYFUNCTION("""COMPUTED_VALUE"""),102.9)</f>
        <v>102.9</v>
      </c>
      <c r="S353" s="1">
        <f ca="1">IFERROR(__xludf.DUMMYFUNCTION("""COMPUTED_VALUE"""),93)</f>
        <v>93</v>
      </c>
      <c r="T353" s="1" t="str">
        <f ca="1">IFERROR(__xludf.DUMMYFUNCTION("""COMPUTED_VALUE"""),"+5.59")</f>
        <v>+5.59</v>
      </c>
      <c r="U353" s="1">
        <f ca="1">IFERROR(__xludf.DUMMYFUNCTION("""COMPUTED_VALUE"""),36)</f>
        <v>36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IFERROR(__xludf.DUMMYFUNCTION("""COMPUTED_VALUE"""),"South Carolina St.")</f>
        <v>South Carolina St.</v>
      </c>
      <c r="C354" s="1" t="str">
        <f ca="1">IFERROR(__xludf.DUMMYFUNCTION("""COMPUTED_VALUE"""),"MEAC")</f>
        <v>MEAC</v>
      </c>
      <c r="D354" s="2">
        <f ca="1">IFERROR(__xludf.DUMMYFUNCTION("""COMPUTED_VALUE"""),44885)</f>
        <v>44885</v>
      </c>
      <c r="E354" s="1">
        <f ca="1">IFERROR(__xludf.DUMMYFUNCTION("""COMPUTED_VALUE"""),-19.47)</f>
        <v>-19.47</v>
      </c>
      <c r="F354" s="1">
        <f ca="1">IFERROR(__xludf.DUMMYFUNCTION("""COMPUTED_VALUE"""),99)</f>
        <v>99</v>
      </c>
      <c r="G354" s="1">
        <f ca="1">IFERROR(__xludf.DUMMYFUNCTION("""COMPUTED_VALUE"""),271)</f>
        <v>271</v>
      </c>
      <c r="H354" s="1">
        <f ca="1">IFERROR(__xludf.DUMMYFUNCTION("""COMPUTED_VALUE"""),118.5)</f>
        <v>118.5</v>
      </c>
      <c r="I354" s="1">
        <f ca="1">IFERROR(__xludf.DUMMYFUNCTION("""COMPUTED_VALUE"""),348)</f>
        <v>348</v>
      </c>
      <c r="J354" s="1">
        <f ca="1">IFERROR(__xludf.DUMMYFUNCTION("""COMPUTED_VALUE"""),68.3)</f>
        <v>68.3</v>
      </c>
      <c r="K354" s="1">
        <f ca="1">IFERROR(__xludf.DUMMYFUNCTION("""COMPUTED_VALUE"""),172)</f>
        <v>172</v>
      </c>
      <c r="L354" s="1" t="str">
        <f ca="1">IFERROR(__xludf.DUMMYFUNCTION("""COMPUTED_VALUE"""),"+.067")</f>
        <v>+.067</v>
      </c>
      <c r="M354" s="1">
        <f ca="1">IFERROR(__xludf.DUMMYFUNCTION("""COMPUTED_VALUE"""),28)</f>
        <v>28</v>
      </c>
      <c r="N354" s="1">
        <f ca="1">IFERROR(__xludf.DUMMYFUNCTION("""COMPUTED_VALUE"""),-6.44)</f>
        <v>-6.44</v>
      </c>
      <c r="O354" s="1">
        <f ca="1">IFERROR(__xludf.DUMMYFUNCTION("""COMPUTED_VALUE"""),313)</f>
        <v>313</v>
      </c>
      <c r="P354" s="1">
        <f ca="1">IFERROR(__xludf.DUMMYFUNCTION("""COMPUTED_VALUE"""),100.6)</f>
        <v>100.6</v>
      </c>
      <c r="Q354" s="1">
        <f ca="1">IFERROR(__xludf.DUMMYFUNCTION("""COMPUTED_VALUE"""),319)</f>
        <v>319</v>
      </c>
      <c r="R354" s="1">
        <f ca="1">IFERROR(__xludf.DUMMYFUNCTION("""COMPUTED_VALUE"""),107.1)</f>
        <v>107.1</v>
      </c>
      <c r="S354" s="1">
        <f ca="1">IFERROR(__xludf.DUMMYFUNCTION("""COMPUTED_VALUE"""),269)</f>
        <v>269</v>
      </c>
      <c r="T354" s="1" t="str">
        <f ca="1">IFERROR(__xludf.DUMMYFUNCTION("""COMPUTED_VALUE"""),"+16.17")</f>
        <v>+16.17</v>
      </c>
      <c r="U354" s="1">
        <f ca="1">IFERROR(__xludf.DUMMYFUNCTION("""COMPUTED_VALUE"""),1)</f>
        <v>1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IFERROR(__xludf.DUMMYFUNCTION("""COMPUTED_VALUE"""),"Maine")</f>
        <v>Maine</v>
      </c>
      <c r="C355" s="1" t="str">
        <f ca="1">IFERROR(__xludf.DUMMYFUNCTION("""COMPUTED_VALUE"""),"AE")</f>
        <v>AE</v>
      </c>
      <c r="D355" s="2">
        <f ca="1">IFERROR(__xludf.DUMMYFUNCTION("""COMPUTED_VALUE"""),44767)</f>
        <v>44767</v>
      </c>
      <c r="E355" s="1">
        <f ca="1">IFERROR(__xludf.DUMMYFUNCTION("""COMPUTED_VALUE"""),-19.62)</f>
        <v>-19.62</v>
      </c>
      <c r="F355" s="1">
        <f ca="1">IFERROR(__xludf.DUMMYFUNCTION("""COMPUTED_VALUE"""),91.1)</f>
        <v>91.1</v>
      </c>
      <c r="G355" s="1">
        <f ca="1">IFERROR(__xludf.DUMMYFUNCTION("""COMPUTED_VALUE"""),346)</f>
        <v>346</v>
      </c>
      <c r="H355" s="1">
        <f ca="1">IFERROR(__xludf.DUMMYFUNCTION("""COMPUTED_VALUE"""),110.7)</f>
        <v>110.7</v>
      </c>
      <c r="I355" s="1">
        <f ca="1">IFERROR(__xludf.DUMMYFUNCTION("""COMPUTED_VALUE"""),292)</f>
        <v>292</v>
      </c>
      <c r="J355" s="1">
        <f ca="1">IFERROR(__xludf.DUMMYFUNCTION("""COMPUTED_VALUE"""),68)</f>
        <v>68</v>
      </c>
      <c r="K355" s="1">
        <f ca="1">IFERROR(__xludf.DUMMYFUNCTION("""COMPUTED_VALUE"""),193)</f>
        <v>193</v>
      </c>
      <c r="L355" s="1" t="str">
        <f ca="1">IFERROR(__xludf.DUMMYFUNCTION("""COMPUTED_VALUE"""),"+.005")</f>
        <v>+.005</v>
      </c>
      <c r="M355" s="1">
        <f ca="1">IFERROR(__xludf.DUMMYFUNCTION("""COMPUTED_VALUE"""),180)</f>
        <v>180</v>
      </c>
      <c r="N355" s="1">
        <f ca="1">IFERROR(__xludf.DUMMYFUNCTION("""COMPUTED_VALUE"""),-3.76)</f>
        <v>-3.76</v>
      </c>
      <c r="O355" s="1">
        <f ca="1">IFERROR(__xludf.DUMMYFUNCTION("""COMPUTED_VALUE"""),244)</f>
        <v>244</v>
      </c>
      <c r="P355" s="1">
        <f ca="1">IFERROR(__xludf.DUMMYFUNCTION("""COMPUTED_VALUE"""),103.4)</f>
        <v>103.4</v>
      </c>
      <c r="Q355" s="1">
        <f ca="1">IFERROR(__xludf.DUMMYFUNCTION("""COMPUTED_VALUE"""),215)</f>
        <v>215</v>
      </c>
      <c r="R355" s="1">
        <f ca="1">IFERROR(__xludf.DUMMYFUNCTION("""COMPUTED_VALUE"""),107.2)</f>
        <v>107.2</v>
      </c>
      <c r="S355" s="1">
        <f ca="1">IFERROR(__xludf.DUMMYFUNCTION("""COMPUTED_VALUE"""),274)</f>
        <v>274</v>
      </c>
      <c r="T355" s="1">
        <f ca="1">IFERROR(__xludf.DUMMYFUNCTION("""COMPUTED_VALUE"""),-2.96)</f>
        <v>-2.96</v>
      </c>
      <c r="U355" s="1">
        <f ca="1">IFERROR(__xludf.DUMMYFUNCTION("""COMPUTED_VALUE"""),239)</f>
        <v>239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IFERROR(__xludf.DUMMYFUNCTION("""COMPUTED_VALUE"""),"Howard")</f>
        <v>Howard</v>
      </c>
      <c r="C356" s="1" t="str">
        <f ca="1">IFERROR(__xludf.DUMMYFUNCTION("""COMPUTED_VALUE"""),"MEAC")</f>
        <v>MEAC</v>
      </c>
      <c r="D356" s="2">
        <f ca="1">IFERROR(__xludf.DUMMYFUNCTION("""COMPUTED_VALUE"""),44858)</f>
        <v>44858</v>
      </c>
      <c r="E356" s="1">
        <f ca="1">IFERROR(__xludf.DUMMYFUNCTION("""COMPUTED_VALUE"""),-19.79)</f>
        <v>-19.79</v>
      </c>
      <c r="F356" s="1">
        <f ca="1">IFERROR(__xludf.DUMMYFUNCTION("""COMPUTED_VALUE"""),90.4)</f>
        <v>90.4</v>
      </c>
      <c r="G356" s="1">
        <f ca="1">IFERROR(__xludf.DUMMYFUNCTION("""COMPUTED_VALUE"""),347)</f>
        <v>347</v>
      </c>
      <c r="H356" s="1">
        <f ca="1">IFERROR(__xludf.DUMMYFUNCTION("""COMPUTED_VALUE"""),110.2)</f>
        <v>110.2</v>
      </c>
      <c r="I356" s="1">
        <f ca="1">IFERROR(__xludf.DUMMYFUNCTION("""COMPUTED_VALUE"""),286)</f>
        <v>286</v>
      </c>
      <c r="J356" s="1">
        <f ca="1">IFERROR(__xludf.DUMMYFUNCTION("""COMPUTED_VALUE"""),68.1)</f>
        <v>68.099999999999994</v>
      </c>
      <c r="K356" s="1">
        <f ca="1">IFERROR(__xludf.DUMMYFUNCTION("""COMPUTED_VALUE"""),187)</f>
        <v>187</v>
      </c>
      <c r="L356" s="1">
        <f ca="1">IFERROR(__xludf.DUMMYFUNCTION("""COMPUTED_VALUE"""),-0.022)</f>
        <v>-2.1999999999999999E-2</v>
      </c>
      <c r="M356" s="1">
        <f ca="1">IFERROR(__xludf.DUMMYFUNCTION("""COMPUTED_VALUE"""),239)</f>
        <v>239</v>
      </c>
      <c r="N356" s="1">
        <f ca="1">IFERROR(__xludf.DUMMYFUNCTION("""COMPUTED_VALUE"""),-7.93)</f>
        <v>-7.93</v>
      </c>
      <c r="O356" s="1">
        <f ca="1">IFERROR(__xludf.DUMMYFUNCTION("""COMPUTED_VALUE"""),325)</f>
        <v>325</v>
      </c>
      <c r="P356" s="1">
        <f ca="1">IFERROR(__xludf.DUMMYFUNCTION("""COMPUTED_VALUE"""),100.6)</f>
        <v>100.6</v>
      </c>
      <c r="Q356" s="1">
        <f ca="1">IFERROR(__xludf.DUMMYFUNCTION("""COMPUTED_VALUE"""),320)</f>
        <v>320</v>
      </c>
      <c r="R356" s="1">
        <f ca="1">IFERROR(__xludf.DUMMYFUNCTION("""COMPUTED_VALUE"""),108.5)</f>
        <v>108.5</v>
      </c>
      <c r="S356" s="1">
        <f ca="1">IFERROR(__xludf.DUMMYFUNCTION("""COMPUTED_VALUE"""),326)</f>
        <v>326</v>
      </c>
      <c r="T356" s="1" t="str">
        <f ca="1">IFERROR(__xludf.DUMMYFUNCTION("""COMPUTED_VALUE"""),"+8.33")</f>
        <v>+8.33</v>
      </c>
      <c r="U356" s="1">
        <f ca="1">IFERROR(__xludf.DUMMYFUNCTION("""COMPUTED_VALUE"""),12)</f>
        <v>12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IFERROR(__xludf.DUMMYFUNCTION("""COMPUTED_VALUE"""),"Delaware St.")</f>
        <v>Delaware St.</v>
      </c>
      <c r="C357" s="1" t="str">
        <f ca="1">IFERROR(__xludf.DUMMYFUNCTION("""COMPUTED_VALUE"""),"MEAC")</f>
        <v>MEAC</v>
      </c>
      <c r="D357" s="2">
        <f ca="1">IFERROR(__xludf.DUMMYFUNCTION("""COMPUTED_VALUE"""),44856)</f>
        <v>44856</v>
      </c>
      <c r="E357" s="1">
        <f ca="1">IFERROR(__xludf.DUMMYFUNCTION("""COMPUTED_VALUE"""),-20.1)</f>
        <v>-20.100000000000001</v>
      </c>
      <c r="F357" s="1">
        <f ca="1">IFERROR(__xludf.DUMMYFUNCTION("""COMPUTED_VALUE"""),94.2)</f>
        <v>94.2</v>
      </c>
      <c r="G357" s="1">
        <f ca="1">IFERROR(__xludf.DUMMYFUNCTION("""COMPUTED_VALUE"""),330)</f>
        <v>330</v>
      </c>
      <c r="H357" s="1">
        <f ca="1">IFERROR(__xludf.DUMMYFUNCTION("""COMPUTED_VALUE"""),114.3)</f>
        <v>114.3</v>
      </c>
      <c r="I357" s="1">
        <f ca="1">IFERROR(__xludf.DUMMYFUNCTION("""COMPUTED_VALUE"""),328)</f>
        <v>328</v>
      </c>
      <c r="J357" s="1">
        <f ca="1">IFERROR(__xludf.DUMMYFUNCTION("""COMPUTED_VALUE"""),65.8)</f>
        <v>65.8</v>
      </c>
      <c r="K357" s="1">
        <f ca="1">IFERROR(__xludf.DUMMYFUNCTION("""COMPUTED_VALUE"""),288)</f>
        <v>288</v>
      </c>
      <c r="L357" s="1" t="str">
        <f ca="1">IFERROR(__xludf.DUMMYFUNCTION("""COMPUTED_VALUE"""),"+.007")</f>
        <v>+.007</v>
      </c>
      <c r="M357" s="1">
        <f ca="1">IFERROR(__xludf.DUMMYFUNCTION("""COMPUTED_VALUE"""),171)</f>
        <v>171</v>
      </c>
      <c r="N357" s="1">
        <f ca="1">IFERROR(__xludf.DUMMYFUNCTION("""COMPUTED_VALUE"""),-9.05)</f>
        <v>-9.0500000000000007</v>
      </c>
      <c r="O357" s="1">
        <f ca="1">IFERROR(__xludf.DUMMYFUNCTION("""COMPUTED_VALUE"""),335)</f>
        <v>335</v>
      </c>
      <c r="P357" s="1">
        <f ca="1">IFERROR(__xludf.DUMMYFUNCTION("""COMPUTED_VALUE"""),100.4)</f>
        <v>100.4</v>
      </c>
      <c r="Q357" s="1">
        <f ca="1">IFERROR(__xludf.DUMMYFUNCTION("""COMPUTED_VALUE"""),323)</f>
        <v>323</v>
      </c>
      <c r="R357" s="1">
        <f ca="1">IFERROR(__xludf.DUMMYFUNCTION("""COMPUTED_VALUE"""),109.5)</f>
        <v>109.5</v>
      </c>
      <c r="S357" s="1">
        <f ca="1">IFERROR(__xludf.DUMMYFUNCTION("""COMPUTED_VALUE"""),342)</f>
        <v>342</v>
      </c>
      <c r="T357" s="1" t="str">
        <f ca="1">IFERROR(__xludf.DUMMYFUNCTION("""COMPUTED_VALUE"""),"+3.33")</f>
        <v>+3.33</v>
      </c>
      <c r="U357" s="1">
        <f ca="1">IFERROR(__xludf.DUMMYFUNCTION("""COMPUTED_VALUE"""),64)</f>
        <v>64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IFERROR(__xludf.DUMMYFUNCTION("""COMPUTED_VALUE"""),"Bethune Cookman")</f>
        <v>Bethune Cookman</v>
      </c>
      <c r="C358" s="1" t="str">
        <f ca="1">IFERROR(__xludf.DUMMYFUNCTION("""COMPUTED_VALUE"""),"MEAC")</f>
        <v>MEAC</v>
      </c>
      <c r="D358" s="2">
        <f ca="1">IFERROR(__xludf.DUMMYFUNCTION("""COMPUTED_VALUE"""),44856)</f>
        <v>44856</v>
      </c>
      <c r="E358" s="1">
        <f ca="1">IFERROR(__xludf.DUMMYFUNCTION("""COMPUTED_VALUE"""),-20.45)</f>
        <v>-20.45</v>
      </c>
      <c r="F358" s="1">
        <f ca="1">IFERROR(__xludf.DUMMYFUNCTION("""COMPUTED_VALUE"""),95)</f>
        <v>95</v>
      </c>
      <c r="G358" s="1">
        <f ca="1">IFERROR(__xludf.DUMMYFUNCTION("""COMPUTED_VALUE"""),328)</f>
        <v>328</v>
      </c>
      <c r="H358" s="1">
        <f ca="1">IFERROR(__xludf.DUMMYFUNCTION("""COMPUTED_VALUE"""),115.4)</f>
        <v>115.4</v>
      </c>
      <c r="I358" s="1">
        <f ca="1">IFERROR(__xludf.DUMMYFUNCTION("""COMPUTED_VALUE"""),335)</f>
        <v>335</v>
      </c>
      <c r="J358" s="1">
        <f ca="1">IFERROR(__xludf.DUMMYFUNCTION("""COMPUTED_VALUE"""),68.3)</f>
        <v>68.3</v>
      </c>
      <c r="K358" s="1">
        <f ca="1">IFERROR(__xludf.DUMMYFUNCTION("""COMPUTED_VALUE"""),177)</f>
        <v>177</v>
      </c>
      <c r="L358" s="1">
        <f ca="1">IFERROR(__xludf.DUMMYFUNCTION("""COMPUTED_VALUE"""),-0.011)</f>
        <v>-1.0999999999999999E-2</v>
      </c>
      <c r="M358" s="1">
        <f ca="1">IFERROR(__xludf.DUMMYFUNCTION("""COMPUTED_VALUE"""),213)</f>
        <v>213</v>
      </c>
      <c r="N358" s="1">
        <f ca="1">IFERROR(__xludf.DUMMYFUNCTION("""COMPUTED_VALUE"""),-11.77)</f>
        <v>-11.77</v>
      </c>
      <c r="O358" s="1">
        <f ca="1">IFERROR(__xludf.DUMMYFUNCTION("""COMPUTED_VALUE"""),345)</f>
        <v>345</v>
      </c>
      <c r="P358" s="1">
        <f ca="1">IFERROR(__xludf.DUMMYFUNCTION("""COMPUTED_VALUE"""),98.5)</f>
        <v>98.5</v>
      </c>
      <c r="Q358" s="1">
        <f ca="1">IFERROR(__xludf.DUMMYFUNCTION("""COMPUTED_VALUE"""),344)</f>
        <v>344</v>
      </c>
      <c r="R358" s="1">
        <f ca="1">IFERROR(__xludf.DUMMYFUNCTION("""COMPUTED_VALUE"""),110.3)</f>
        <v>110.3</v>
      </c>
      <c r="S358" s="1">
        <f ca="1">IFERROR(__xludf.DUMMYFUNCTION("""COMPUTED_VALUE"""),348)</f>
        <v>348</v>
      </c>
      <c r="T358" s="1">
        <f ca="1">IFERROR(__xludf.DUMMYFUNCTION("""COMPUTED_VALUE"""),-2.61)</f>
        <v>-2.61</v>
      </c>
      <c r="U358" s="1">
        <f ca="1">IFERROR(__xludf.DUMMYFUNCTION("""COMPUTED_VALUE"""),231)</f>
        <v>231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IFERROR(__xludf.DUMMYFUNCTION("""COMPUTED_VALUE"""),"Central Connecticut")</f>
        <v>Central Connecticut</v>
      </c>
      <c r="C359" s="1" t="str">
        <f ca="1">IFERROR(__xludf.DUMMYFUNCTION("""COMPUTED_VALUE"""),"NEC")</f>
        <v>NEC</v>
      </c>
      <c r="D359" s="2">
        <f ca="1">IFERROR(__xludf.DUMMYFUNCTION("""COMPUTED_VALUE"""),44735)</f>
        <v>44735</v>
      </c>
      <c r="E359" s="1">
        <f ca="1">IFERROR(__xludf.DUMMYFUNCTION("""COMPUTED_VALUE"""),-20.99)</f>
        <v>-20.99</v>
      </c>
      <c r="F359" s="1">
        <f ca="1">IFERROR(__xludf.DUMMYFUNCTION("""COMPUTED_VALUE"""),93)</f>
        <v>93</v>
      </c>
      <c r="G359" s="1">
        <f ca="1">IFERROR(__xludf.DUMMYFUNCTION("""COMPUTED_VALUE"""),334)</f>
        <v>334</v>
      </c>
      <c r="H359" s="1">
        <f ca="1">IFERROR(__xludf.DUMMYFUNCTION("""COMPUTED_VALUE"""),113.9)</f>
        <v>113.9</v>
      </c>
      <c r="I359" s="1">
        <f ca="1">IFERROR(__xludf.DUMMYFUNCTION("""COMPUTED_VALUE"""),324)</f>
        <v>324</v>
      </c>
      <c r="J359" s="1">
        <f ca="1">IFERROR(__xludf.DUMMYFUNCTION("""COMPUTED_VALUE"""),64.9)</f>
        <v>64.900000000000006</v>
      </c>
      <c r="K359" s="1">
        <f ca="1">IFERROR(__xludf.DUMMYFUNCTION("""COMPUTED_VALUE"""),307)</f>
        <v>307</v>
      </c>
      <c r="L359" s="1">
        <f ca="1">IFERROR(__xludf.DUMMYFUNCTION("""COMPUTED_VALUE"""),-0.023)</f>
        <v>-2.3E-2</v>
      </c>
      <c r="M359" s="1">
        <f ca="1">IFERROR(__xludf.DUMMYFUNCTION("""COMPUTED_VALUE"""),243)</f>
        <v>243</v>
      </c>
      <c r="N359" s="1">
        <f ca="1">IFERROR(__xludf.DUMMYFUNCTION("""COMPUTED_VALUE"""),-8.26)</f>
        <v>-8.26</v>
      </c>
      <c r="O359" s="1">
        <f ca="1">IFERROR(__xludf.DUMMYFUNCTION("""COMPUTED_VALUE"""),329)</f>
        <v>329</v>
      </c>
      <c r="P359" s="1">
        <f ca="1">IFERROR(__xludf.DUMMYFUNCTION("""COMPUTED_VALUE"""),99.3)</f>
        <v>99.3</v>
      </c>
      <c r="Q359" s="1">
        <f ca="1">IFERROR(__xludf.DUMMYFUNCTION("""COMPUTED_VALUE"""),334)</f>
        <v>334</v>
      </c>
      <c r="R359" s="1">
        <f ca="1">IFERROR(__xludf.DUMMYFUNCTION("""COMPUTED_VALUE"""),107.6)</f>
        <v>107.6</v>
      </c>
      <c r="S359" s="1">
        <f ca="1">IFERROR(__xludf.DUMMYFUNCTION("""COMPUTED_VALUE"""),288)</f>
        <v>288</v>
      </c>
      <c r="T359" s="1">
        <f ca="1">IFERROR(__xludf.DUMMYFUNCTION("""COMPUTED_VALUE"""),-4.07)</f>
        <v>-4.07</v>
      </c>
      <c r="U359" s="1">
        <f ca="1">IFERROR(__xludf.DUMMYFUNCTION("""COMPUTED_VALUE"""),276)</f>
        <v>276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IFERROR(__xludf.DUMMYFUNCTION("""COMPUTED_VALUE"""),"Alabama St.")</f>
        <v>Alabama St.</v>
      </c>
      <c r="C360" s="1" t="str">
        <f ca="1">IFERROR(__xludf.DUMMYFUNCTION("""COMPUTED_VALUE"""),"SWAC")</f>
        <v>SWAC</v>
      </c>
      <c r="D360" s="2">
        <f ca="1">IFERROR(__xludf.DUMMYFUNCTION("""COMPUTED_VALUE"""),44796)</f>
        <v>44796</v>
      </c>
      <c r="E360" s="1">
        <f ca="1">IFERROR(__xludf.DUMMYFUNCTION("""COMPUTED_VALUE"""),-21.65)</f>
        <v>-21.65</v>
      </c>
      <c r="F360" s="1">
        <f ca="1">IFERROR(__xludf.DUMMYFUNCTION("""COMPUTED_VALUE"""),91.1)</f>
        <v>91.1</v>
      </c>
      <c r="G360" s="1">
        <f ca="1">IFERROR(__xludf.DUMMYFUNCTION("""COMPUTED_VALUE"""),345)</f>
        <v>345</v>
      </c>
      <c r="H360" s="1">
        <f ca="1">IFERROR(__xludf.DUMMYFUNCTION("""COMPUTED_VALUE"""),112.8)</f>
        <v>112.8</v>
      </c>
      <c r="I360" s="1">
        <f ca="1">IFERROR(__xludf.DUMMYFUNCTION("""COMPUTED_VALUE"""),316)</f>
        <v>316</v>
      </c>
      <c r="J360" s="1">
        <f ca="1">IFERROR(__xludf.DUMMYFUNCTION("""COMPUTED_VALUE"""),68.4)</f>
        <v>68.400000000000006</v>
      </c>
      <c r="K360" s="1">
        <f ca="1">IFERROR(__xludf.DUMMYFUNCTION("""COMPUTED_VALUE"""),164)</f>
        <v>164</v>
      </c>
      <c r="L360" s="1">
        <f ca="1">IFERROR(__xludf.DUMMYFUNCTION("""COMPUTED_VALUE"""),-0.007)</f>
        <v>-7.0000000000000001E-3</v>
      </c>
      <c r="M360" s="1">
        <f ca="1">IFERROR(__xludf.DUMMYFUNCTION("""COMPUTED_VALUE"""),199)</f>
        <v>199</v>
      </c>
      <c r="N360" s="1">
        <f ca="1">IFERROR(__xludf.DUMMYFUNCTION("""COMPUTED_VALUE"""),-9.97)</f>
        <v>-9.9700000000000006</v>
      </c>
      <c r="O360" s="1">
        <f ca="1">IFERROR(__xludf.DUMMYFUNCTION("""COMPUTED_VALUE"""),340)</f>
        <v>340</v>
      </c>
      <c r="P360" s="1">
        <f ca="1">IFERROR(__xludf.DUMMYFUNCTION("""COMPUTED_VALUE"""),99)</f>
        <v>99</v>
      </c>
      <c r="Q360" s="1">
        <f ca="1">IFERROR(__xludf.DUMMYFUNCTION("""COMPUTED_VALUE"""),338)</f>
        <v>338</v>
      </c>
      <c r="R360" s="1">
        <f ca="1">IFERROR(__xludf.DUMMYFUNCTION("""COMPUTED_VALUE"""),109)</f>
        <v>109</v>
      </c>
      <c r="S360" s="1">
        <f ca="1">IFERROR(__xludf.DUMMYFUNCTION("""COMPUTED_VALUE"""),336)</f>
        <v>336</v>
      </c>
      <c r="T360" s="1" t="str">
        <f ca="1">IFERROR(__xludf.DUMMYFUNCTION("""COMPUTED_VALUE"""),"+2.65")</f>
        <v>+2.65</v>
      </c>
      <c r="U360" s="1">
        <f ca="1">IFERROR(__xludf.DUMMYFUNCTION("""COMPUTED_VALUE"""),75)</f>
        <v>75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IFERROR(__xludf.DUMMYFUNCTION("""COMPUTED_VALUE"""),"Coppin St.")</f>
        <v>Coppin St.</v>
      </c>
      <c r="C361" s="1" t="str">
        <f ca="1">IFERROR(__xludf.DUMMYFUNCTION("""COMPUTED_VALUE"""),"MEAC")</f>
        <v>MEAC</v>
      </c>
      <c r="D361" s="2">
        <f ca="1">IFERROR(__xludf.DUMMYFUNCTION("""COMPUTED_VALUE"""),44797)</f>
        <v>44797</v>
      </c>
      <c r="E361" s="1">
        <f ca="1">IFERROR(__xludf.DUMMYFUNCTION("""COMPUTED_VALUE"""),-21.99)</f>
        <v>-21.99</v>
      </c>
      <c r="F361" s="1">
        <f ca="1">IFERROR(__xludf.DUMMYFUNCTION("""COMPUTED_VALUE"""),93.6)</f>
        <v>93.6</v>
      </c>
      <c r="G361" s="1">
        <f ca="1">IFERROR(__xludf.DUMMYFUNCTION("""COMPUTED_VALUE"""),331)</f>
        <v>331</v>
      </c>
      <c r="H361" s="1">
        <f ca="1">IFERROR(__xludf.DUMMYFUNCTION("""COMPUTED_VALUE"""),115.6)</f>
        <v>115.6</v>
      </c>
      <c r="I361" s="1">
        <f ca="1">IFERROR(__xludf.DUMMYFUNCTION("""COMPUTED_VALUE"""),336)</f>
        <v>336</v>
      </c>
      <c r="J361" s="1">
        <f ca="1">IFERROR(__xludf.DUMMYFUNCTION("""COMPUTED_VALUE"""),68.8)</f>
        <v>68.8</v>
      </c>
      <c r="K361" s="1">
        <f ca="1">IFERROR(__xludf.DUMMYFUNCTION("""COMPUTED_VALUE"""),135)</f>
        <v>135</v>
      </c>
      <c r="L361" s="1" t="str">
        <f ca="1">IFERROR(__xludf.DUMMYFUNCTION("""COMPUTED_VALUE"""),"+.002")</f>
        <v>+.002</v>
      </c>
      <c r="M361" s="1">
        <f ca="1">IFERROR(__xludf.DUMMYFUNCTION("""COMPUTED_VALUE"""),184)</f>
        <v>184</v>
      </c>
      <c r="N361" s="1">
        <f ca="1">IFERROR(__xludf.DUMMYFUNCTION("""COMPUTED_VALUE"""),-7.35)</f>
        <v>-7.35</v>
      </c>
      <c r="O361" s="1">
        <f ca="1">IFERROR(__xludf.DUMMYFUNCTION("""COMPUTED_VALUE"""),321)</f>
        <v>321</v>
      </c>
      <c r="P361" s="1">
        <f ca="1">IFERROR(__xludf.DUMMYFUNCTION("""COMPUTED_VALUE"""),100.5)</f>
        <v>100.5</v>
      </c>
      <c r="Q361" s="1">
        <f ca="1">IFERROR(__xludf.DUMMYFUNCTION("""COMPUTED_VALUE"""),322)</f>
        <v>322</v>
      </c>
      <c r="R361" s="1">
        <f ca="1">IFERROR(__xludf.DUMMYFUNCTION("""COMPUTED_VALUE"""),107.9)</f>
        <v>107.9</v>
      </c>
      <c r="S361" s="1">
        <f ca="1">IFERROR(__xludf.DUMMYFUNCTION("""COMPUTED_VALUE"""),306)</f>
        <v>306</v>
      </c>
      <c r="T361" s="1" t="str">
        <f ca="1">IFERROR(__xludf.DUMMYFUNCTION("""COMPUTED_VALUE"""),"+7.37")</f>
        <v>+7.37</v>
      </c>
      <c r="U361" s="1">
        <f ca="1">IFERROR(__xludf.DUMMYFUNCTION("""COMPUTED_VALUE"""),20)</f>
        <v>20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IFERROR(__xludf.DUMMYFUNCTION("""COMPUTED_VALUE"""),"Mississippi Valley St.")</f>
        <v>Mississippi Valley St.</v>
      </c>
      <c r="C362" s="1" t="str">
        <f ca="1">IFERROR(__xludf.DUMMYFUNCTION("""COMPUTED_VALUE"""),"SWAC")</f>
        <v>SWAC</v>
      </c>
      <c r="D362" s="2">
        <f ca="1">IFERROR(__xludf.DUMMYFUNCTION("""COMPUTED_VALUE"""),44767)</f>
        <v>44767</v>
      </c>
      <c r="E362" s="1">
        <f ca="1">IFERROR(__xludf.DUMMYFUNCTION("""COMPUTED_VALUE"""),-22.54)</f>
        <v>-22.54</v>
      </c>
      <c r="F362" s="1">
        <f ca="1">IFERROR(__xludf.DUMMYFUNCTION("""COMPUTED_VALUE"""),95.8)</f>
        <v>95.8</v>
      </c>
      <c r="G362" s="1">
        <f ca="1">IFERROR(__xludf.DUMMYFUNCTION("""COMPUTED_VALUE"""),320)</f>
        <v>320</v>
      </c>
      <c r="H362" s="1">
        <f ca="1">IFERROR(__xludf.DUMMYFUNCTION("""COMPUTED_VALUE"""),118.3)</f>
        <v>118.3</v>
      </c>
      <c r="I362" s="1">
        <f ca="1">IFERROR(__xludf.DUMMYFUNCTION("""COMPUTED_VALUE"""),347)</f>
        <v>347</v>
      </c>
      <c r="J362" s="1">
        <f ca="1">IFERROR(__xludf.DUMMYFUNCTION("""COMPUTED_VALUE"""),71.3)</f>
        <v>71.3</v>
      </c>
      <c r="K362" s="1">
        <f ca="1">IFERROR(__xludf.DUMMYFUNCTION("""COMPUTED_VALUE"""),43)</f>
        <v>43</v>
      </c>
      <c r="L362" s="1" t="str">
        <f ca="1">IFERROR(__xludf.DUMMYFUNCTION("""COMPUTED_VALUE"""),"+.025")</f>
        <v>+.025</v>
      </c>
      <c r="M362" s="1">
        <f ca="1">IFERROR(__xludf.DUMMYFUNCTION("""COMPUTED_VALUE"""),118)</f>
        <v>118</v>
      </c>
      <c r="N362" s="1">
        <f ca="1">IFERROR(__xludf.DUMMYFUNCTION("""COMPUTED_VALUE"""),-6.99)</f>
        <v>-6.99</v>
      </c>
      <c r="O362" s="1">
        <f ca="1">IFERROR(__xludf.DUMMYFUNCTION("""COMPUTED_VALUE"""),317)</f>
        <v>317</v>
      </c>
      <c r="P362" s="1">
        <f ca="1">IFERROR(__xludf.DUMMYFUNCTION("""COMPUTED_VALUE"""),100.3)</f>
        <v>100.3</v>
      </c>
      <c r="Q362" s="1">
        <f ca="1">IFERROR(__xludf.DUMMYFUNCTION("""COMPUTED_VALUE"""),325)</f>
        <v>325</v>
      </c>
      <c r="R362" s="1">
        <f ca="1">IFERROR(__xludf.DUMMYFUNCTION("""COMPUTED_VALUE"""),107.3)</f>
        <v>107.3</v>
      </c>
      <c r="S362" s="1">
        <f ca="1">IFERROR(__xludf.DUMMYFUNCTION("""COMPUTED_VALUE"""),278)</f>
        <v>278</v>
      </c>
      <c r="T362" s="1" t="str">
        <f ca="1">IFERROR(__xludf.DUMMYFUNCTION("""COMPUTED_VALUE"""),"+11.61")</f>
        <v>+11.61</v>
      </c>
      <c r="U362" s="1">
        <f ca="1">IFERROR(__xludf.DUMMYFUNCTION("""COMPUTED_VALUE"""),5)</f>
        <v>5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IFERROR(__xludf.DUMMYFUNCTION("""COMPUTED_VALUE"""),"Florida A&amp;M")</f>
        <v>Florida A&amp;M</v>
      </c>
      <c r="C363" s="1" t="str">
        <f ca="1">IFERROR(__xludf.DUMMYFUNCTION("""COMPUTED_VALUE"""),"MEAC")</f>
        <v>MEAC</v>
      </c>
      <c r="D363" s="2">
        <f ca="1">IFERROR(__xludf.DUMMYFUNCTION("""COMPUTED_VALUE"""),44735)</f>
        <v>44735</v>
      </c>
      <c r="E363" s="1">
        <f ca="1">IFERROR(__xludf.DUMMYFUNCTION("""COMPUTED_VALUE"""),-22.61)</f>
        <v>-22.61</v>
      </c>
      <c r="F363" s="1">
        <f ca="1">IFERROR(__xludf.DUMMYFUNCTION("""COMPUTED_VALUE"""),93.6)</f>
        <v>93.6</v>
      </c>
      <c r="G363" s="1">
        <f ca="1">IFERROR(__xludf.DUMMYFUNCTION("""COMPUTED_VALUE"""),332)</f>
        <v>332</v>
      </c>
      <c r="H363" s="1">
        <f ca="1">IFERROR(__xludf.DUMMYFUNCTION("""COMPUTED_VALUE"""),116.2)</f>
        <v>116.2</v>
      </c>
      <c r="I363" s="1">
        <f ca="1">IFERROR(__xludf.DUMMYFUNCTION("""COMPUTED_VALUE"""),339)</f>
        <v>339</v>
      </c>
      <c r="J363" s="1">
        <f ca="1">IFERROR(__xludf.DUMMYFUNCTION("""COMPUTED_VALUE"""),69.3)</f>
        <v>69.3</v>
      </c>
      <c r="K363" s="1">
        <f ca="1">IFERROR(__xludf.DUMMYFUNCTION("""COMPUTED_VALUE"""),104)</f>
        <v>104</v>
      </c>
      <c r="L363" s="1">
        <f ca="1">IFERROR(__xludf.DUMMYFUNCTION("""COMPUTED_VALUE"""),-0.085)</f>
        <v>-8.5000000000000006E-2</v>
      </c>
      <c r="M363" s="1">
        <f ca="1">IFERROR(__xludf.DUMMYFUNCTION("""COMPUTED_VALUE"""),335)</f>
        <v>335</v>
      </c>
      <c r="N363" s="1">
        <f ca="1">IFERROR(__xludf.DUMMYFUNCTION("""COMPUTED_VALUE"""),-13.29)</f>
        <v>-13.29</v>
      </c>
      <c r="O363" s="1">
        <f ca="1">IFERROR(__xludf.DUMMYFUNCTION("""COMPUTED_VALUE"""),351)</f>
        <v>351</v>
      </c>
      <c r="P363" s="1">
        <f ca="1">IFERROR(__xludf.DUMMYFUNCTION("""COMPUTED_VALUE"""),97.6)</f>
        <v>97.6</v>
      </c>
      <c r="Q363" s="1">
        <f ca="1">IFERROR(__xludf.DUMMYFUNCTION("""COMPUTED_VALUE"""),349)</f>
        <v>349</v>
      </c>
      <c r="R363" s="1">
        <f ca="1">IFERROR(__xludf.DUMMYFUNCTION("""COMPUTED_VALUE"""),110.8)</f>
        <v>110.8</v>
      </c>
      <c r="S363" s="1">
        <f ca="1">IFERROR(__xludf.DUMMYFUNCTION("""COMPUTED_VALUE"""),351)</f>
        <v>351</v>
      </c>
      <c r="T363" s="1">
        <f ca="1">IFERROR(__xludf.DUMMYFUNCTION("""COMPUTED_VALUE"""),-4.68)</f>
        <v>-4.68</v>
      </c>
      <c r="U363" s="1">
        <f ca="1">IFERROR(__xludf.DUMMYFUNCTION("""COMPUTED_VALUE"""),292)</f>
        <v>292</v>
      </c>
    </row>
    <row r="364" spans="1:21" ht="13" x14ac:dyDescent="0.15">
      <c r="A364" s="1">
        <f ca="1">IFERROR(__xludf.DUMMYFUNCTION("""COMPUTED_VALUE"""),346)</f>
        <v>346</v>
      </c>
      <c r="B364" s="1" t="str">
        <f ca="1">IFERROR(__xludf.DUMMYFUNCTION("""COMPUTED_VALUE"""),"St. Francis NY")</f>
        <v>St. Francis NY</v>
      </c>
      <c r="C364" s="1" t="str">
        <f ca="1">IFERROR(__xludf.DUMMYFUNCTION("""COMPUTED_VALUE"""),"NEC")</f>
        <v>NEC</v>
      </c>
      <c r="D364" s="2">
        <f ca="1">IFERROR(__xludf.DUMMYFUNCTION("""COMPUTED_VALUE"""),44678)</f>
        <v>44678</v>
      </c>
      <c r="E364" s="1">
        <f ca="1">IFERROR(__xludf.DUMMYFUNCTION("""COMPUTED_VALUE"""),-24.13)</f>
        <v>-24.13</v>
      </c>
      <c r="F364" s="1">
        <f ca="1">IFERROR(__xludf.DUMMYFUNCTION("""COMPUTED_VALUE"""),87.9)</f>
        <v>87.9</v>
      </c>
      <c r="G364" s="1">
        <f ca="1">IFERROR(__xludf.DUMMYFUNCTION("""COMPUTED_VALUE"""),350)</f>
        <v>350</v>
      </c>
      <c r="H364" s="1">
        <f ca="1">IFERROR(__xludf.DUMMYFUNCTION("""COMPUTED_VALUE"""),112.1)</f>
        <v>112.1</v>
      </c>
      <c r="I364" s="1">
        <f ca="1">IFERROR(__xludf.DUMMYFUNCTION("""COMPUTED_VALUE"""),308)</f>
        <v>308</v>
      </c>
      <c r="J364" s="1">
        <f ca="1">IFERROR(__xludf.DUMMYFUNCTION("""COMPUTED_VALUE"""),67.2)</f>
        <v>67.2</v>
      </c>
      <c r="K364" s="1">
        <f ca="1">IFERROR(__xludf.DUMMYFUNCTION("""COMPUTED_VALUE"""),224)</f>
        <v>224</v>
      </c>
      <c r="L364" s="1">
        <f ca="1">IFERROR(__xludf.DUMMYFUNCTION("""COMPUTED_VALUE"""),-0.037)</f>
        <v>-3.6999999999999998E-2</v>
      </c>
      <c r="M364" s="1">
        <f ca="1">IFERROR(__xludf.DUMMYFUNCTION("""COMPUTED_VALUE"""),278)</f>
        <v>278</v>
      </c>
      <c r="N364" s="1">
        <f ca="1">IFERROR(__xludf.DUMMYFUNCTION("""COMPUTED_VALUE"""),-7.12)</f>
        <v>-7.12</v>
      </c>
      <c r="O364" s="1">
        <f ca="1">IFERROR(__xludf.DUMMYFUNCTION("""COMPUTED_VALUE"""),319)</f>
        <v>319</v>
      </c>
      <c r="P364" s="1">
        <f ca="1">IFERROR(__xludf.DUMMYFUNCTION("""COMPUTED_VALUE"""),100.7)</f>
        <v>100.7</v>
      </c>
      <c r="Q364" s="1">
        <f ca="1">IFERROR(__xludf.DUMMYFUNCTION("""COMPUTED_VALUE"""),317)</f>
        <v>317</v>
      </c>
      <c r="R364" s="1">
        <f ca="1">IFERROR(__xludf.DUMMYFUNCTION("""COMPUTED_VALUE"""),107.8)</f>
        <v>107.8</v>
      </c>
      <c r="S364" s="1">
        <f ca="1">IFERROR(__xludf.DUMMYFUNCTION("""COMPUTED_VALUE"""),302)</f>
        <v>302</v>
      </c>
      <c r="T364" s="1">
        <f ca="1">IFERROR(__xludf.DUMMYFUNCTION("""COMPUTED_VALUE"""),-1.44)</f>
        <v>-1.44</v>
      </c>
      <c r="U364" s="1">
        <f ca="1">IFERROR(__xludf.DUMMYFUNCTION("""COMPUTED_VALUE"""),200)</f>
        <v>200</v>
      </c>
    </row>
    <row r="365" spans="1:21" ht="13" x14ac:dyDescent="0.15">
      <c r="A365" s="1">
        <f ca="1">IFERROR(__xludf.DUMMYFUNCTION("""COMPUTED_VALUE"""),347)</f>
        <v>347</v>
      </c>
      <c r="B365" s="1" t="str">
        <f ca="1">IFERROR(__xludf.DUMMYFUNCTION("""COMPUTED_VALUE"""),"Longwood")</f>
        <v>Longwood</v>
      </c>
      <c r="C365" s="1" t="str">
        <f ca="1">IFERROR(__xludf.DUMMYFUNCTION("""COMPUTED_VALUE"""),"BSth")</f>
        <v>BSth</v>
      </c>
      <c r="D365" s="2">
        <f ca="1">IFERROR(__xludf.DUMMYFUNCTION("""COMPUTED_VALUE"""),44736)</f>
        <v>44736</v>
      </c>
      <c r="E365" s="1">
        <f ca="1">IFERROR(__xludf.DUMMYFUNCTION("""COMPUTED_VALUE"""),-25.15)</f>
        <v>-25.15</v>
      </c>
      <c r="F365" s="1">
        <f ca="1">IFERROR(__xludf.DUMMYFUNCTION("""COMPUTED_VALUE"""),92.2)</f>
        <v>92.2</v>
      </c>
      <c r="G365" s="1">
        <f ca="1">IFERROR(__xludf.DUMMYFUNCTION("""COMPUTED_VALUE"""),340)</f>
        <v>340</v>
      </c>
      <c r="H365" s="1">
        <f ca="1">IFERROR(__xludf.DUMMYFUNCTION("""COMPUTED_VALUE"""),117.3)</f>
        <v>117.3</v>
      </c>
      <c r="I365" s="1">
        <f ca="1">IFERROR(__xludf.DUMMYFUNCTION("""COMPUTED_VALUE"""),343)</f>
        <v>343</v>
      </c>
      <c r="J365" s="1">
        <f ca="1">IFERROR(__xludf.DUMMYFUNCTION("""COMPUTED_VALUE"""),70.5)</f>
        <v>70.5</v>
      </c>
      <c r="K365" s="1">
        <f ca="1">IFERROR(__xludf.DUMMYFUNCTION("""COMPUTED_VALUE"""),61)</f>
        <v>61</v>
      </c>
      <c r="L365" s="1" t="str">
        <f ca="1">IFERROR(__xludf.DUMMYFUNCTION("""COMPUTED_VALUE"""),"+.017")</f>
        <v>+.017</v>
      </c>
      <c r="M365" s="1">
        <f ca="1">IFERROR(__xludf.DUMMYFUNCTION("""COMPUTED_VALUE"""),141)</f>
        <v>141</v>
      </c>
      <c r="N365" s="1">
        <f ca="1">IFERROR(__xludf.DUMMYFUNCTION("""COMPUTED_VALUE"""),-5.8)</f>
        <v>-5.8</v>
      </c>
      <c r="O365" s="1">
        <f ca="1">IFERROR(__xludf.DUMMYFUNCTION("""COMPUTED_VALUE"""),299)</f>
        <v>299</v>
      </c>
      <c r="P365" s="1">
        <f ca="1">IFERROR(__xludf.DUMMYFUNCTION("""COMPUTED_VALUE"""),101.5)</f>
        <v>101.5</v>
      </c>
      <c r="Q365" s="1">
        <f ca="1">IFERROR(__xludf.DUMMYFUNCTION("""COMPUTED_VALUE"""),293)</f>
        <v>293</v>
      </c>
      <c r="R365" s="1">
        <f ca="1">IFERROR(__xludf.DUMMYFUNCTION("""COMPUTED_VALUE"""),107.3)</f>
        <v>107.3</v>
      </c>
      <c r="S365" s="1">
        <f ca="1">IFERROR(__xludf.DUMMYFUNCTION("""COMPUTED_VALUE"""),277)</f>
        <v>277</v>
      </c>
      <c r="T365" s="1">
        <f ca="1">IFERROR(__xludf.DUMMYFUNCTION("""COMPUTED_VALUE"""),-0.55)</f>
        <v>-0.55000000000000004</v>
      </c>
      <c r="U365" s="1">
        <f ca="1">IFERROR(__xludf.DUMMYFUNCTION("""COMPUTED_VALUE"""),171)</f>
        <v>171</v>
      </c>
    </row>
    <row r="366" spans="1:21" ht="13" x14ac:dyDescent="0.15">
      <c r="A366" s="1">
        <f ca="1">IFERROR(__xludf.DUMMYFUNCTION("""COMPUTED_VALUE"""),348)</f>
        <v>348</v>
      </c>
      <c r="B366" s="1" t="str">
        <f ca="1">IFERROR(__xludf.DUMMYFUNCTION("""COMPUTED_VALUE"""),"Arkansas Pine Bluff")</f>
        <v>Arkansas Pine Bluff</v>
      </c>
      <c r="C366" s="1" t="str">
        <f ca="1">IFERROR(__xludf.DUMMYFUNCTION("""COMPUTED_VALUE"""),"SWAC")</f>
        <v>SWAC</v>
      </c>
      <c r="D366" s="2">
        <f ca="1">IFERROR(__xludf.DUMMYFUNCTION("""COMPUTED_VALUE"""),44767)</f>
        <v>44767</v>
      </c>
      <c r="E366" s="1">
        <f ca="1">IFERROR(__xludf.DUMMYFUNCTION("""COMPUTED_VALUE"""),-25.28)</f>
        <v>-25.28</v>
      </c>
      <c r="F366" s="1">
        <f ca="1">IFERROR(__xludf.DUMMYFUNCTION("""COMPUTED_VALUE"""),85.7)</f>
        <v>85.7</v>
      </c>
      <c r="G366" s="1">
        <f ca="1">IFERROR(__xludf.DUMMYFUNCTION("""COMPUTED_VALUE"""),351)</f>
        <v>351</v>
      </c>
      <c r="H366" s="1">
        <f ca="1">IFERROR(__xludf.DUMMYFUNCTION("""COMPUTED_VALUE"""),111)</f>
        <v>111</v>
      </c>
      <c r="I366" s="1">
        <f ca="1">IFERROR(__xludf.DUMMYFUNCTION("""COMPUTED_VALUE"""),300)</f>
        <v>300</v>
      </c>
      <c r="J366" s="1">
        <f ca="1">IFERROR(__xludf.DUMMYFUNCTION("""COMPUTED_VALUE"""),67.6)</f>
        <v>67.599999999999994</v>
      </c>
      <c r="K366" s="1">
        <f ca="1">IFERROR(__xludf.DUMMYFUNCTION("""COMPUTED_VALUE"""),209)</f>
        <v>209</v>
      </c>
      <c r="L366" s="1">
        <f ca="1">IFERROR(__xludf.DUMMYFUNCTION("""COMPUTED_VALUE"""),-0.01)</f>
        <v>-0.01</v>
      </c>
      <c r="M366" s="1">
        <f ca="1">IFERROR(__xludf.DUMMYFUNCTION("""COMPUTED_VALUE"""),210)</f>
        <v>210</v>
      </c>
      <c r="N366" s="1">
        <f ca="1">IFERROR(__xludf.DUMMYFUNCTION("""COMPUTED_VALUE"""),-9.35)</f>
        <v>-9.35</v>
      </c>
      <c r="O366" s="1">
        <f ca="1">IFERROR(__xludf.DUMMYFUNCTION("""COMPUTED_VALUE"""),336)</f>
        <v>336</v>
      </c>
      <c r="P366" s="1">
        <f ca="1">IFERROR(__xludf.DUMMYFUNCTION("""COMPUTED_VALUE"""),100.4)</f>
        <v>100.4</v>
      </c>
      <c r="Q366" s="1">
        <f ca="1">IFERROR(__xludf.DUMMYFUNCTION("""COMPUTED_VALUE"""),324)</f>
        <v>324</v>
      </c>
      <c r="R366" s="1">
        <f ca="1">IFERROR(__xludf.DUMMYFUNCTION("""COMPUTED_VALUE"""),109.7)</f>
        <v>109.7</v>
      </c>
      <c r="S366" s="1">
        <f ca="1">IFERROR(__xludf.DUMMYFUNCTION("""COMPUTED_VALUE"""),343)</f>
        <v>343</v>
      </c>
      <c r="T366" s="1" t="str">
        <f ca="1">IFERROR(__xludf.DUMMYFUNCTION("""COMPUTED_VALUE"""),"+2.79")</f>
        <v>+2.79</v>
      </c>
      <c r="U366" s="1">
        <f ca="1">IFERROR(__xludf.DUMMYFUNCTION("""COMPUTED_VALUE"""),72)</f>
        <v>72</v>
      </c>
    </row>
    <row r="367" spans="1:21" ht="13" x14ac:dyDescent="0.15">
      <c r="A367" s="1">
        <f ca="1">IFERROR(__xludf.DUMMYFUNCTION("""COMPUTED_VALUE"""),349)</f>
        <v>349</v>
      </c>
      <c r="B367" s="1" t="str">
        <f ca="1">IFERROR(__xludf.DUMMYFUNCTION("""COMPUTED_VALUE"""),"North Carolina A&amp;T")</f>
        <v>North Carolina A&amp;T</v>
      </c>
      <c r="C367" s="1" t="str">
        <f ca="1">IFERROR(__xludf.DUMMYFUNCTION("""COMPUTED_VALUE"""),"MEAC")</f>
        <v>MEAC</v>
      </c>
      <c r="D367" s="2">
        <f ca="1">IFERROR(__xludf.DUMMYFUNCTION("""COMPUTED_VALUE"""),44649)</f>
        <v>44649</v>
      </c>
      <c r="E367" s="1">
        <f ca="1">IFERROR(__xludf.DUMMYFUNCTION("""COMPUTED_VALUE"""),-27.71)</f>
        <v>-27.71</v>
      </c>
      <c r="F367" s="1">
        <f ca="1">IFERROR(__xludf.DUMMYFUNCTION("""COMPUTED_VALUE"""),95.4)</f>
        <v>95.4</v>
      </c>
      <c r="G367" s="1">
        <f ca="1">IFERROR(__xludf.DUMMYFUNCTION("""COMPUTED_VALUE"""),322)</f>
        <v>322</v>
      </c>
      <c r="H367" s="1">
        <f ca="1">IFERROR(__xludf.DUMMYFUNCTION("""COMPUTED_VALUE"""),123.1)</f>
        <v>123.1</v>
      </c>
      <c r="I367" s="1">
        <f ca="1">IFERROR(__xludf.DUMMYFUNCTION("""COMPUTED_VALUE"""),351)</f>
        <v>351</v>
      </c>
      <c r="J367" s="1">
        <f ca="1">IFERROR(__xludf.DUMMYFUNCTION("""COMPUTED_VALUE"""),62.8)</f>
        <v>62.8</v>
      </c>
      <c r="K367" s="1">
        <f ca="1">IFERROR(__xludf.DUMMYFUNCTION("""COMPUTED_VALUE"""),341)</f>
        <v>341</v>
      </c>
      <c r="L367" s="1">
        <f ca="1">IFERROR(__xludf.DUMMYFUNCTION("""COMPUTED_VALUE"""),-0.086)</f>
        <v>-8.5999999999999993E-2</v>
      </c>
      <c r="M367" s="1">
        <f ca="1">IFERROR(__xludf.DUMMYFUNCTION("""COMPUTED_VALUE"""),337)</f>
        <v>337</v>
      </c>
      <c r="N367" s="1">
        <f ca="1">IFERROR(__xludf.DUMMYFUNCTION("""COMPUTED_VALUE"""),-9.4)</f>
        <v>-9.4</v>
      </c>
      <c r="O367" s="1">
        <f ca="1">IFERROR(__xludf.DUMMYFUNCTION("""COMPUTED_VALUE"""),337)</f>
        <v>337</v>
      </c>
      <c r="P367" s="1">
        <f ca="1">IFERROR(__xludf.DUMMYFUNCTION("""COMPUTED_VALUE"""),98.7)</f>
        <v>98.7</v>
      </c>
      <c r="Q367" s="1">
        <f ca="1">IFERROR(__xludf.DUMMYFUNCTION("""COMPUTED_VALUE"""),342)</f>
        <v>342</v>
      </c>
      <c r="R367" s="1">
        <f ca="1">IFERROR(__xludf.DUMMYFUNCTION("""COMPUTED_VALUE"""),108.1)</f>
        <v>108.1</v>
      </c>
      <c r="S367" s="1">
        <f ca="1">IFERROR(__xludf.DUMMYFUNCTION("""COMPUTED_VALUE"""),315)</f>
        <v>315</v>
      </c>
      <c r="T367" s="1" t="str">
        <f ca="1">IFERROR(__xludf.DUMMYFUNCTION("""COMPUTED_VALUE"""),"+0.08")</f>
        <v>+0.08</v>
      </c>
      <c r="U367" s="1">
        <f ca="1">IFERROR(__xludf.DUMMYFUNCTION("""COMPUTED_VALUE"""),149)</f>
        <v>149</v>
      </c>
    </row>
    <row r="368" spans="1:21" ht="13" x14ac:dyDescent="0.15">
      <c r="A368" s="1">
        <f ca="1">IFERROR(__xludf.DUMMYFUNCTION("""COMPUTED_VALUE"""),350)</f>
        <v>350</v>
      </c>
      <c r="B368" s="1" t="str">
        <f ca="1">IFERROR(__xludf.DUMMYFUNCTION("""COMPUTED_VALUE"""),"Presbyterian")</f>
        <v>Presbyterian</v>
      </c>
      <c r="C368" s="1" t="str">
        <f ca="1">IFERROR(__xludf.DUMMYFUNCTION("""COMPUTED_VALUE"""),"BSth")</f>
        <v>BSth</v>
      </c>
      <c r="D368" s="2">
        <f ca="1">IFERROR(__xludf.DUMMYFUNCTION("""COMPUTED_VALUE"""),44706)</f>
        <v>44706</v>
      </c>
      <c r="E368" s="1">
        <f ca="1">IFERROR(__xludf.DUMMYFUNCTION("""COMPUTED_VALUE"""),-29.2)</f>
        <v>-29.2</v>
      </c>
      <c r="F368" s="1">
        <f ca="1">IFERROR(__xludf.DUMMYFUNCTION("""COMPUTED_VALUE"""),88.9)</f>
        <v>88.9</v>
      </c>
      <c r="G368" s="1">
        <f ca="1">IFERROR(__xludf.DUMMYFUNCTION("""COMPUTED_VALUE"""),349)</f>
        <v>349</v>
      </c>
      <c r="H368" s="1">
        <f ca="1">IFERROR(__xludf.DUMMYFUNCTION("""COMPUTED_VALUE"""),118.1)</f>
        <v>118.1</v>
      </c>
      <c r="I368" s="1">
        <f ca="1">IFERROR(__xludf.DUMMYFUNCTION("""COMPUTED_VALUE"""),346)</f>
        <v>346</v>
      </c>
      <c r="J368" s="1">
        <f ca="1">IFERROR(__xludf.DUMMYFUNCTION("""COMPUTED_VALUE"""),64.1)</f>
        <v>64.099999999999994</v>
      </c>
      <c r="K368" s="1">
        <f ca="1">IFERROR(__xludf.DUMMYFUNCTION("""COMPUTED_VALUE"""),322)</f>
        <v>322</v>
      </c>
      <c r="L368" s="1" t="str">
        <f ca="1">IFERROR(__xludf.DUMMYFUNCTION("""COMPUTED_VALUE"""),"+.018")</f>
        <v>+.018</v>
      </c>
      <c r="M368" s="1">
        <f ca="1">IFERROR(__xludf.DUMMYFUNCTION("""COMPUTED_VALUE"""),139)</f>
        <v>139</v>
      </c>
      <c r="N368" s="1">
        <f ca="1">IFERROR(__xludf.DUMMYFUNCTION("""COMPUTED_VALUE"""),-4.36)</f>
        <v>-4.3600000000000003</v>
      </c>
      <c r="O368" s="1">
        <f ca="1">IFERROR(__xludf.DUMMYFUNCTION("""COMPUTED_VALUE"""),261)</f>
        <v>261</v>
      </c>
      <c r="P368" s="1">
        <f ca="1">IFERROR(__xludf.DUMMYFUNCTION("""COMPUTED_VALUE"""),102.8)</f>
        <v>102.8</v>
      </c>
      <c r="Q368" s="1">
        <f ca="1">IFERROR(__xludf.DUMMYFUNCTION("""COMPUTED_VALUE"""),250)</f>
        <v>250</v>
      </c>
      <c r="R368" s="1">
        <f ca="1">IFERROR(__xludf.DUMMYFUNCTION("""COMPUTED_VALUE"""),107.1)</f>
        <v>107.1</v>
      </c>
      <c r="S368" s="1">
        <f ca="1">IFERROR(__xludf.DUMMYFUNCTION("""COMPUTED_VALUE"""),270)</f>
        <v>270</v>
      </c>
      <c r="T368" s="1" t="str">
        <f ca="1">IFERROR(__xludf.DUMMYFUNCTION("""COMPUTED_VALUE"""),"+2.25")</f>
        <v>+2.25</v>
      </c>
      <c r="U368" s="1">
        <f ca="1">IFERROR(__xludf.DUMMYFUNCTION("""COMPUTED_VALUE"""),83)</f>
        <v>83</v>
      </c>
    </row>
    <row r="369" spans="1:21" ht="13" x14ac:dyDescent="0.15">
      <c r="A369" s="1">
        <f ca="1">IFERROR(__xludf.DUMMYFUNCTION("""COMPUTED_VALUE"""),351)</f>
        <v>351</v>
      </c>
      <c r="B369" s="1" t="str">
        <f ca="1">IFERROR(__xludf.DUMMYFUNCTION("""COMPUTED_VALUE"""),"Alabama A&amp;M")</f>
        <v>Alabama A&amp;M</v>
      </c>
      <c r="C369" s="1" t="str">
        <f ca="1">IFERROR(__xludf.DUMMYFUNCTION("""COMPUTED_VALUE"""),"SWAC")</f>
        <v>SWAC</v>
      </c>
      <c r="D369" s="2">
        <f ca="1">IFERROR(__xludf.DUMMYFUNCTION("""COMPUTED_VALUE"""),44619)</f>
        <v>44619</v>
      </c>
      <c r="E369" s="1">
        <f ca="1">IFERROR(__xludf.DUMMYFUNCTION("""COMPUTED_VALUE"""),-30.34)</f>
        <v>-30.34</v>
      </c>
      <c r="F369" s="1">
        <f ca="1">IFERROR(__xludf.DUMMYFUNCTION("""COMPUTED_VALUE"""),91.4)</f>
        <v>91.4</v>
      </c>
      <c r="G369" s="1">
        <f ca="1">IFERROR(__xludf.DUMMYFUNCTION("""COMPUTED_VALUE"""),342)</f>
        <v>342</v>
      </c>
      <c r="H369" s="1">
        <f ca="1">IFERROR(__xludf.DUMMYFUNCTION("""COMPUTED_VALUE"""),121.8)</f>
        <v>121.8</v>
      </c>
      <c r="I369" s="1">
        <f ca="1">IFERROR(__xludf.DUMMYFUNCTION("""COMPUTED_VALUE"""),350)</f>
        <v>350</v>
      </c>
      <c r="J369" s="1">
        <f ca="1">IFERROR(__xludf.DUMMYFUNCTION("""COMPUTED_VALUE"""),64.3)</f>
        <v>64.3</v>
      </c>
      <c r="K369" s="1">
        <f ca="1">IFERROR(__xludf.DUMMYFUNCTION("""COMPUTED_VALUE"""),316)</f>
        <v>316</v>
      </c>
      <c r="L369" s="1">
        <f ca="1">IFERROR(__xludf.DUMMYFUNCTION("""COMPUTED_VALUE"""),-0.075)</f>
        <v>-7.4999999999999997E-2</v>
      </c>
      <c r="M369" s="1">
        <f ca="1">IFERROR(__xludf.DUMMYFUNCTION("""COMPUTED_VALUE"""),326)</f>
        <v>326</v>
      </c>
      <c r="N369" s="1">
        <f ca="1">IFERROR(__xludf.DUMMYFUNCTION("""COMPUTED_VALUE"""),-10.15)</f>
        <v>-10.15</v>
      </c>
      <c r="O369" s="1">
        <f ca="1">IFERROR(__xludf.DUMMYFUNCTION("""COMPUTED_VALUE"""),343)</f>
        <v>343</v>
      </c>
      <c r="P369" s="1">
        <f ca="1">IFERROR(__xludf.DUMMYFUNCTION("""COMPUTED_VALUE"""),98.7)</f>
        <v>98.7</v>
      </c>
      <c r="Q369" s="1">
        <f ca="1">IFERROR(__xludf.DUMMYFUNCTION("""COMPUTED_VALUE"""),341)</f>
        <v>341</v>
      </c>
      <c r="R369" s="1">
        <f ca="1">IFERROR(__xludf.DUMMYFUNCTION("""COMPUTED_VALUE"""),108.9)</f>
        <v>108.9</v>
      </c>
      <c r="S369" s="1">
        <f ca="1">IFERROR(__xludf.DUMMYFUNCTION("""COMPUTED_VALUE"""),335)</f>
        <v>335</v>
      </c>
      <c r="T369" s="1" t="str">
        <f ca="1">IFERROR(__xludf.DUMMYFUNCTION("""COMPUTED_VALUE"""),"+1.08")</f>
        <v>+1.08</v>
      </c>
      <c r="U369" s="1">
        <f ca="1">IFERROR(__xludf.DUMMYFUNCTION("""COMPUTED_VALUE"""),125)</f>
        <v>125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U369"/>
  <sheetViews>
    <sheetView tabSelected="1" workbookViewId="0">
      <selection activeCell="B7" sqref="B7"/>
    </sheetView>
  </sheetViews>
  <sheetFormatPr baseColWidth="10" defaultColWidth="12.6640625" defaultRowHeight="15.75" customHeight="1" x14ac:dyDescent="0.15"/>
  <sheetData>
    <row r="1" spans="1:21" ht="13" x14ac:dyDescent="0.15">
      <c r="A1" s="3" t="str">
        <f ca="1">IFERROR(__xludf.DUMMYFUNCTION("IMPORThtML(""https://kenpom.com/index.php?y=2018"",""table"",1)"),"")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2</v>
      </c>
      <c r="H2" s="1" t="str">
        <f ca="1">IFERROR(__xludf.DUMMYFUNCTION("""COMPUTED_VALUE"""),"AdjD")</f>
        <v>AdjD</v>
      </c>
      <c r="I2" s="1" t="s">
        <v>3</v>
      </c>
      <c r="J2" s="1" t="str">
        <f ca="1">IFERROR(__xludf.DUMMYFUNCTION("""COMPUTED_VALUE"""),"AdjT")</f>
        <v>AdjT</v>
      </c>
      <c r="K2" s="1" t="s">
        <v>4</v>
      </c>
      <c r="L2" s="1" t="str">
        <f ca="1">IFERROR(__xludf.DUMMYFUNCTION("""COMPUTED_VALUE"""),"Luck")</f>
        <v>Luck</v>
      </c>
      <c r="M2" s="1" t="s">
        <v>5</v>
      </c>
      <c r="N2" s="1" t="s">
        <v>0</v>
      </c>
      <c r="O2" s="1" t="s">
        <v>6</v>
      </c>
      <c r="P2" s="1" t="str">
        <f ca="1">IFERROR(__xludf.DUMMYFUNCTION("""COMPUTED_VALUE"""),"OppO")</f>
        <v>OppO</v>
      </c>
      <c r="Q2" s="1" t="s">
        <v>7</v>
      </c>
      <c r="R2" s="1" t="str">
        <f ca="1">IFERROR(__xludf.DUMMYFUNCTION("""COMPUTED_VALUE"""),"OppD")</f>
        <v>OppD</v>
      </c>
      <c r="S2" s="1" t="s">
        <v>8</v>
      </c>
      <c r="T2" s="1" t="s">
        <v>1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IFERROR(__xludf.DUMMYFUNCTION("""COMPUTED_VALUE"""),"Villanova1")</f>
        <v>Villanova1</v>
      </c>
      <c r="C3" s="1" t="str">
        <f ca="1">IFERROR(__xludf.DUMMYFUNCTION("""COMPUTED_VALUE"""),"BE")</f>
        <v>BE</v>
      </c>
      <c r="D3" s="1" t="str">
        <f ca="1">IFERROR(__xludf.DUMMYFUNCTION("""COMPUTED_VALUE"""),"36-4")</f>
        <v>36-4</v>
      </c>
      <c r="E3" s="1" t="str">
        <f ca="1">IFERROR(__xludf.DUMMYFUNCTION("""COMPUTED_VALUE"""),"+33.76")</f>
        <v>+33.76</v>
      </c>
      <c r="F3" s="1">
        <f ca="1">IFERROR(__xludf.DUMMYFUNCTION("""COMPUTED_VALUE"""),127.8)</f>
        <v>127.8</v>
      </c>
      <c r="G3" s="1">
        <f ca="1">IFERROR(__xludf.DUMMYFUNCTION("""COMPUTED_VALUE"""),1)</f>
        <v>1</v>
      </c>
      <c r="H3" s="1">
        <f ca="1">IFERROR(__xludf.DUMMYFUNCTION("""COMPUTED_VALUE"""),94)</f>
        <v>94</v>
      </c>
      <c r="I3" s="1">
        <f ca="1">IFERROR(__xludf.DUMMYFUNCTION("""COMPUTED_VALUE"""),11)</f>
        <v>11</v>
      </c>
      <c r="J3" s="1">
        <f ca="1">IFERROR(__xludf.DUMMYFUNCTION("""COMPUTED_VALUE"""),68.7)</f>
        <v>68.7</v>
      </c>
      <c r="K3" s="1">
        <f ca="1">IFERROR(__xludf.DUMMYFUNCTION("""COMPUTED_VALUE"""),150)</f>
        <v>150</v>
      </c>
      <c r="L3" s="1">
        <f ca="1">IFERROR(__xludf.DUMMYFUNCTION("""COMPUTED_VALUE"""),-0.018)</f>
        <v>-1.7999999999999999E-2</v>
      </c>
      <c r="M3" s="1">
        <f ca="1">IFERROR(__xludf.DUMMYFUNCTION("""COMPUTED_VALUE"""),225)</f>
        <v>225</v>
      </c>
      <c r="N3" s="1" t="str">
        <f ca="1">IFERROR(__xludf.DUMMYFUNCTION("""COMPUTED_VALUE"""),"+11.31")</f>
        <v>+11.31</v>
      </c>
      <c r="O3" s="1">
        <f ca="1">IFERROR(__xludf.DUMMYFUNCTION("""COMPUTED_VALUE"""),6)</f>
        <v>6</v>
      </c>
      <c r="P3" s="1">
        <f ca="1">IFERROR(__xludf.DUMMYFUNCTION("""COMPUTED_VALUE"""),111.3)</f>
        <v>111.3</v>
      </c>
      <c r="Q3" s="1">
        <f ca="1">IFERROR(__xludf.DUMMYFUNCTION("""COMPUTED_VALUE"""),10)</f>
        <v>10</v>
      </c>
      <c r="R3" s="1">
        <f ca="1">IFERROR(__xludf.DUMMYFUNCTION("""COMPUTED_VALUE"""),100)</f>
        <v>100</v>
      </c>
      <c r="S3" s="1">
        <f ca="1">IFERROR(__xludf.DUMMYFUNCTION("""COMPUTED_VALUE"""),12)</f>
        <v>12</v>
      </c>
      <c r="T3" s="1" t="str">
        <f ca="1">IFERROR(__xludf.DUMMYFUNCTION("""COMPUTED_VALUE"""),"+3.98")</f>
        <v>+3.98</v>
      </c>
      <c r="U3" s="1">
        <f ca="1">IFERROR(__xludf.DUMMYFUNCTION("""COMPUTED_VALUE"""),61)</f>
        <v>61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IFERROR(__xludf.DUMMYFUNCTION("""COMPUTED_VALUE"""),"Virginia1")</f>
        <v>Virginia1</v>
      </c>
      <c r="C4" s="1" t="str">
        <f ca="1">IFERROR(__xludf.DUMMYFUNCTION("""COMPUTED_VALUE"""),"ACC")</f>
        <v>ACC</v>
      </c>
      <c r="D4" s="1" t="str">
        <f ca="1">IFERROR(__xludf.DUMMYFUNCTION("""COMPUTED_VALUE"""),"31-3")</f>
        <v>31-3</v>
      </c>
      <c r="E4" s="1" t="str">
        <f ca="1">IFERROR(__xludf.DUMMYFUNCTION("""COMPUTED_VALUE"""),"+29.53")</f>
        <v>+29.53</v>
      </c>
      <c r="F4" s="1">
        <f ca="1">IFERROR(__xludf.DUMMYFUNCTION("""COMPUTED_VALUE"""),115.2)</f>
        <v>115.2</v>
      </c>
      <c r="G4" s="1">
        <f ca="1">IFERROR(__xludf.DUMMYFUNCTION("""COMPUTED_VALUE"""),30)</f>
        <v>30</v>
      </c>
      <c r="H4" s="1">
        <f ca="1">IFERROR(__xludf.DUMMYFUNCTION("""COMPUTED_VALUE"""),85.6)</f>
        <v>85.6</v>
      </c>
      <c r="I4" s="1">
        <f ca="1">IFERROR(__xludf.DUMMYFUNCTION("""COMPUTED_VALUE"""),1)</f>
        <v>1</v>
      </c>
      <c r="J4" s="1">
        <f ca="1">IFERROR(__xludf.DUMMYFUNCTION("""COMPUTED_VALUE"""),59.4)</f>
        <v>59.4</v>
      </c>
      <c r="K4" s="1">
        <f ca="1">IFERROR(__xludf.DUMMYFUNCTION("""COMPUTED_VALUE"""),351)</f>
        <v>351</v>
      </c>
      <c r="L4" s="1" t="str">
        <f ca="1">IFERROR(__xludf.DUMMYFUNCTION("""COMPUTED_VALUE"""),"+.048")</f>
        <v>+.048</v>
      </c>
      <c r="M4" s="1">
        <f ca="1">IFERROR(__xludf.DUMMYFUNCTION("""COMPUTED_VALUE"""),66)</f>
        <v>66</v>
      </c>
      <c r="N4" s="1" t="str">
        <f ca="1">IFERROR(__xludf.DUMMYFUNCTION("""COMPUTED_VALUE"""),"+9.24")</f>
        <v>+9.24</v>
      </c>
      <c r="O4" s="1">
        <f ca="1">IFERROR(__xludf.DUMMYFUNCTION("""COMPUTED_VALUE"""),37)</f>
        <v>37</v>
      </c>
      <c r="P4" s="1">
        <f ca="1">IFERROR(__xludf.DUMMYFUNCTION("""COMPUTED_VALUE"""),110)</f>
        <v>110</v>
      </c>
      <c r="Q4" s="1">
        <f ca="1">IFERROR(__xludf.DUMMYFUNCTION("""COMPUTED_VALUE"""),33)</f>
        <v>33</v>
      </c>
      <c r="R4" s="1">
        <f ca="1">IFERROR(__xludf.DUMMYFUNCTION("""COMPUTED_VALUE"""),100.7)</f>
        <v>100.7</v>
      </c>
      <c r="S4" s="1">
        <f ca="1">IFERROR(__xludf.DUMMYFUNCTION("""COMPUTED_VALUE"""),33)</f>
        <v>33</v>
      </c>
      <c r="T4" s="1">
        <f ca="1">IFERROR(__xludf.DUMMYFUNCTION("""COMPUTED_VALUE"""),-0.08)</f>
        <v>-0.08</v>
      </c>
      <c r="U4" s="1">
        <f ca="1">IFERROR(__xludf.DUMMYFUNCTION("""COMPUTED_VALUE"""),158)</f>
        <v>158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IFERROR(__xludf.DUMMYFUNCTION("""COMPUTED_VALUE"""),"Duke2")</f>
        <v>Duke2</v>
      </c>
      <c r="C5" s="1" t="str">
        <f ca="1">IFERROR(__xludf.DUMMYFUNCTION("""COMPUTED_VALUE"""),"ACC")</f>
        <v>ACC</v>
      </c>
      <c r="D5" s="1" t="str">
        <f ca="1">IFERROR(__xludf.DUMMYFUNCTION("""COMPUTED_VALUE"""),"29-8")</f>
        <v>29-8</v>
      </c>
      <c r="E5" s="1" t="str">
        <f ca="1">IFERROR(__xludf.DUMMYFUNCTION("""COMPUTED_VALUE"""),"+28.86")</f>
        <v>+28.86</v>
      </c>
      <c r="F5" s="1">
        <f ca="1">IFERROR(__xludf.DUMMYFUNCTION("""COMPUTED_VALUE"""),122.4)</f>
        <v>122.4</v>
      </c>
      <c r="G5" s="1">
        <f ca="1">IFERROR(__xludf.DUMMYFUNCTION("""COMPUTED_VALUE"""),3)</f>
        <v>3</v>
      </c>
      <c r="H5" s="1">
        <f ca="1">IFERROR(__xludf.DUMMYFUNCTION("""COMPUTED_VALUE"""),93.6)</f>
        <v>93.6</v>
      </c>
      <c r="I5" s="1">
        <f ca="1">IFERROR(__xludf.DUMMYFUNCTION("""COMPUTED_VALUE"""),9)</f>
        <v>9</v>
      </c>
      <c r="J5" s="1">
        <f ca="1">IFERROR(__xludf.DUMMYFUNCTION("""COMPUTED_VALUE"""),69.7)</f>
        <v>69.7</v>
      </c>
      <c r="K5" s="1">
        <f ca="1">IFERROR(__xludf.DUMMYFUNCTION("""COMPUTED_VALUE"""),93)</f>
        <v>93</v>
      </c>
      <c r="L5" s="1">
        <f ca="1">IFERROR(__xludf.DUMMYFUNCTION("""COMPUTED_VALUE"""),-0.034)</f>
        <v>-3.4000000000000002E-2</v>
      </c>
      <c r="M5" s="1">
        <f ca="1">IFERROR(__xludf.DUMMYFUNCTION("""COMPUTED_VALUE"""),271)</f>
        <v>271</v>
      </c>
      <c r="N5" s="1" t="str">
        <f ca="1">IFERROR(__xludf.DUMMYFUNCTION("""COMPUTED_VALUE"""),"+10.60")</f>
        <v>+10.60</v>
      </c>
      <c r="O5" s="1">
        <f ca="1">IFERROR(__xludf.DUMMYFUNCTION("""COMPUTED_VALUE"""),15)</f>
        <v>15</v>
      </c>
      <c r="P5" s="1">
        <f ca="1">IFERROR(__xludf.DUMMYFUNCTION("""COMPUTED_VALUE"""),110.4)</f>
        <v>110.4</v>
      </c>
      <c r="Q5" s="1">
        <f ca="1">IFERROR(__xludf.DUMMYFUNCTION("""COMPUTED_VALUE"""),30)</f>
        <v>30</v>
      </c>
      <c r="R5" s="1">
        <f ca="1">IFERROR(__xludf.DUMMYFUNCTION("""COMPUTED_VALUE"""),99.8)</f>
        <v>99.8</v>
      </c>
      <c r="S5" s="1">
        <f ca="1">IFERROR(__xludf.DUMMYFUNCTION("""COMPUTED_VALUE"""),10)</f>
        <v>10</v>
      </c>
      <c r="T5" s="1" t="str">
        <f ca="1">IFERROR(__xludf.DUMMYFUNCTION("""COMPUTED_VALUE"""),"+4.09")</f>
        <v>+4.09</v>
      </c>
      <c r="U5" s="1">
        <f ca="1">IFERROR(__xludf.DUMMYFUNCTION("""COMPUTED_VALUE"""),58)</f>
        <v>58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IFERROR(__xludf.DUMMYFUNCTION("""COMPUTED_VALUE"""),"Cincinnati2")</f>
        <v>Cincinnati2</v>
      </c>
      <c r="C6" s="1" t="str">
        <f ca="1">IFERROR(__xludf.DUMMYFUNCTION("""COMPUTED_VALUE"""),"Amer")</f>
        <v>Amer</v>
      </c>
      <c r="D6" s="1" t="str">
        <f ca="1">IFERROR(__xludf.DUMMYFUNCTION("""COMPUTED_VALUE"""),"31-5")</f>
        <v>31-5</v>
      </c>
      <c r="E6" s="1" t="str">
        <f ca="1">IFERROR(__xludf.DUMMYFUNCTION("""COMPUTED_VALUE"""),"+26.60")</f>
        <v>+26.60</v>
      </c>
      <c r="F6" s="1">
        <f ca="1">IFERROR(__xludf.DUMMYFUNCTION("""COMPUTED_VALUE"""),113.4)</f>
        <v>113.4</v>
      </c>
      <c r="G6" s="1">
        <f ca="1">IFERROR(__xludf.DUMMYFUNCTION("""COMPUTED_VALUE"""),49)</f>
        <v>49</v>
      </c>
      <c r="H6" s="1">
        <f ca="1">IFERROR(__xludf.DUMMYFUNCTION("""COMPUTED_VALUE"""),86.8)</f>
        <v>86.8</v>
      </c>
      <c r="I6" s="1">
        <f ca="1">IFERROR(__xludf.DUMMYFUNCTION("""COMPUTED_VALUE"""),2)</f>
        <v>2</v>
      </c>
      <c r="J6" s="1">
        <f ca="1">IFERROR(__xludf.DUMMYFUNCTION("""COMPUTED_VALUE"""),64.5)</f>
        <v>64.5</v>
      </c>
      <c r="K6" s="1">
        <f ca="1">IFERROR(__xludf.DUMMYFUNCTION("""COMPUTED_VALUE"""),330)</f>
        <v>330</v>
      </c>
      <c r="L6" s="1">
        <f ca="1">IFERROR(__xludf.DUMMYFUNCTION("""COMPUTED_VALUE"""),-0.019)</f>
        <v>-1.9E-2</v>
      </c>
      <c r="M6" s="1">
        <f ca="1">IFERROR(__xludf.DUMMYFUNCTION("""COMPUTED_VALUE"""),230)</f>
        <v>230</v>
      </c>
      <c r="N6" s="1" t="str">
        <f ca="1">IFERROR(__xludf.DUMMYFUNCTION("""COMPUTED_VALUE"""),"+3.46")</f>
        <v>+3.46</v>
      </c>
      <c r="O6" s="1">
        <f ca="1">IFERROR(__xludf.DUMMYFUNCTION("""COMPUTED_VALUE"""),87)</f>
        <v>87</v>
      </c>
      <c r="P6" s="1">
        <f ca="1">IFERROR(__xludf.DUMMYFUNCTION("""COMPUTED_VALUE"""),106.9)</f>
        <v>106.9</v>
      </c>
      <c r="Q6" s="1">
        <f ca="1">IFERROR(__xludf.DUMMYFUNCTION("""COMPUTED_VALUE"""),89)</f>
        <v>89</v>
      </c>
      <c r="R6" s="1">
        <f ca="1">IFERROR(__xludf.DUMMYFUNCTION("""COMPUTED_VALUE"""),103.4)</f>
        <v>103.4</v>
      </c>
      <c r="S6" s="1">
        <f ca="1">IFERROR(__xludf.DUMMYFUNCTION("""COMPUTED_VALUE"""),90)</f>
        <v>90</v>
      </c>
      <c r="T6" s="1">
        <f ca="1">IFERROR(__xludf.DUMMYFUNCTION("""COMPUTED_VALUE"""),-4.21)</f>
        <v>-4.21</v>
      </c>
      <c r="U6" s="1">
        <f ca="1">IFERROR(__xludf.DUMMYFUNCTION("""COMPUTED_VALUE"""),294)</f>
        <v>294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IFERROR(__xludf.DUMMYFUNCTION("""COMPUTED_VALUE"""),"Purdue2")</f>
        <v>Purdue2</v>
      </c>
      <c r="C7" s="1" t="str">
        <f ca="1">IFERROR(__xludf.DUMMYFUNCTION("""COMPUTED_VALUE"""),"B10")</f>
        <v>B10</v>
      </c>
      <c r="D7" s="1" t="str">
        <f ca="1">IFERROR(__xludf.DUMMYFUNCTION("""COMPUTED_VALUE"""),"30-7")</f>
        <v>30-7</v>
      </c>
      <c r="E7" s="1" t="str">
        <f ca="1">IFERROR(__xludf.DUMMYFUNCTION("""COMPUTED_VALUE"""),"+26.27")</f>
        <v>+26.27</v>
      </c>
      <c r="F7" s="1">
        <f ca="1">IFERROR(__xludf.DUMMYFUNCTION("""COMPUTED_VALUE"""),122.7)</f>
        <v>122.7</v>
      </c>
      <c r="G7" s="1">
        <f ca="1">IFERROR(__xludf.DUMMYFUNCTION("""COMPUTED_VALUE"""),2)</f>
        <v>2</v>
      </c>
      <c r="H7" s="1">
        <f ca="1">IFERROR(__xludf.DUMMYFUNCTION("""COMPUTED_VALUE"""),96.4)</f>
        <v>96.4</v>
      </c>
      <c r="I7" s="1">
        <f ca="1">IFERROR(__xludf.DUMMYFUNCTION("""COMPUTED_VALUE"""),31)</f>
        <v>31</v>
      </c>
      <c r="J7" s="1">
        <f ca="1">IFERROR(__xludf.DUMMYFUNCTION("""COMPUTED_VALUE"""),67.2)</f>
        <v>67.2</v>
      </c>
      <c r="K7" s="1">
        <f ca="1">IFERROR(__xludf.DUMMYFUNCTION("""COMPUTED_VALUE"""),223)</f>
        <v>223</v>
      </c>
      <c r="L7" s="1" t="str">
        <f ca="1">IFERROR(__xludf.DUMMYFUNCTION("""COMPUTED_VALUE"""),"+.006")</f>
        <v>+.006</v>
      </c>
      <c r="M7" s="1">
        <f ca="1">IFERROR(__xludf.DUMMYFUNCTION("""COMPUTED_VALUE"""),163)</f>
        <v>163</v>
      </c>
      <c r="N7" s="1" t="str">
        <f ca="1">IFERROR(__xludf.DUMMYFUNCTION("""COMPUTED_VALUE"""),"+9.02")</f>
        <v>+9.02</v>
      </c>
      <c r="O7" s="1">
        <f ca="1">IFERROR(__xludf.DUMMYFUNCTION("""COMPUTED_VALUE"""),41)</f>
        <v>41</v>
      </c>
      <c r="P7" s="1">
        <f ca="1">IFERROR(__xludf.DUMMYFUNCTION("""COMPUTED_VALUE"""),109.1)</f>
        <v>109.1</v>
      </c>
      <c r="Q7" s="1">
        <f ca="1">IFERROR(__xludf.DUMMYFUNCTION("""COMPUTED_VALUE"""),51)</f>
        <v>51</v>
      </c>
      <c r="R7" s="1">
        <f ca="1">IFERROR(__xludf.DUMMYFUNCTION("""COMPUTED_VALUE"""),100.1)</f>
        <v>100.1</v>
      </c>
      <c r="S7" s="1">
        <f ca="1">IFERROR(__xludf.DUMMYFUNCTION("""COMPUTED_VALUE"""),14)</f>
        <v>14</v>
      </c>
      <c r="T7" s="1" t="str">
        <f ca="1">IFERROR(__xludf.DUMMYFUNCTION("""COMPUTED_VALUE"""),"+0.69")</f>
        <v>+0.69</v>
      </c>
      <c r="U7" s="1">
        <f ca="1">IFERROR(__xludf.DUMMYFUNCTION("""COMPUTED_VALUE"""),144)</f>
        <v>144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IFERROR(__xludf.DUMMYFUNCTION("""COMPUTED_VALUE"""),"Michigan St.3")</f>
        <v>Michigan St.3</v>
      </c>
      <c r="C8" s="1" t="str">
        <f ca="1">IFERROR(__xludf.DUMMYFUNCTION("""COMPUTED_VALUE"""),"B10")</f>
        <v>B10</v>
      </c>
      <c r="D8" s="1" t="str">
        <f ca="1">IFERROR(__xludf.DUMMYFUNCTION("""COMPUTED_VALUE"""),"30-5")</f>
        <v>30-5</v>
      </c>
      <c r="E8" s="1" t="str">
        <f ca="1">IFERROR(__xludf.DUMMYFUNCTION("""COMPUTED_VALUE"""),"+25.41")</f>
        <v>+25.41</v>
      </c>
      <c r="F8" s="1">
        <f ca="1">IFERROR(__xludf.DUMMYFUNCTION("""COMPUTED_VALUE"""),119.2)</f>
        <v>119.2</v>
      </c>
      <c r="G8" s="1">
        <f ca="1">IFERROR(__xludf.DUMMYFUNCTION("""COMPUTED_VALUE"""),13)</f>
        <v>13</v>
      </c>
      <c r="H8" s="1">
        <f ca="1">IFERROR(__xludf.DUMMYFUNCTION("""COMPUTED_VALUE"""),93.8)</f>
        <v>93.8</v>
      </c>
      <c r="I8" s="1">
        <f ca="1">IFERROR(__xludf.DUMMYFUNCTION("""COMPUTED_VALUE"""),10)</f>
        <v>10</v>
      </c>
      <c r="J8" s="1">
        <f ca="1">IFERROR(__xludf.DUMMYFUNCTION("""COMPUTED_VALUE"""),67)</f>
        <v>67</v>
      </c>
      <c r="K8" s="1">
        <f ca="1">IFERROR(__xludf.DUMMYFUNCTION("""COMPUTED_VALUE"""),234)</f>
        <v>234</v>
      </c>
      <c r="L8" s="1" t="str">
        <f ca="1">IFERROR(__xludf.DUMMYFUNCTION("""COMPUTED_VALUE"""),"+.038")</f>
        <v>+.038</v>
      </c>
      <c r="M8" s="1">
        <f ca="1">IFERROR(__xludf.DUMMYFUNCTION("""COMPUTED_VALUE"""),83)</f>
        <v>83</v>
      </c>
      <c r="N8" s="1" t="str">
        <f ca="1">IFERROR(__xludf.DUMMYFUNCTION("""COMPUTED_VALUE"""),"+6.64")</f>
        <v>+6.64</v>
      </c>
      <c r="O8" s="1">
        <f ca="1">IFERROR(__xludf.DUMMYFUNCTION("""COMPUTED_VALUE"""),62)</f>
        <v>62</v>
      </c>
      <c r="P8" s="1">
        <f ca="1">IFERROR(__xludf.DUMMYFUNCTION("""COMPUTED_VALUE"""),108.6)</f>
        <v>108.6</v>
      </c>
      <c r="Q8" s="1">
        <f ca="1">IFERROR(__xludf.DUMMYFUNCTION("""COMPUTED_VALUE"""),63)</f>
        <v>63</v>
      </c>
      <c r="R8" s="1">
        <f ca="1">IFERROR(__xludf.DUMMYFUNCTION("""COMPUTED_VALUE"""),101.9)</f>
        <v>101.9</v>
      </c>
      <c r="S8" s="1">
        <f ca="1">IFERROR(__xludf.DUMMYFUNCTION("""COMPUTED_VALUE"""),65)</f>
        <v>65</v>
      </c>
      <c r="T8" s="1">
        <f ca="1">IFERROR(__xludf.DUMMYFUNCTION("""COMPUTED_VALUE"""),-5.03)</f>
        <v>-5.03</v>
      </c>
      <c r="U8" s="1">
        <f ca="1">IFERROR(__xludf.DUMMYFUNCTION("""COMPUTED_VALUE"""),303)</f>
        <v>303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IFERROR(__xludf.DUMMYFUNCTION("""COMPUTED_VALUE"""),"Michigan3")</f>
        <v>Michigan3</v>
      </c>
      <c r="C9" s="1" t="str">
        <f ca="1">IFERROR(__xludf.DUMMYFUNCTION("""COMPUTED_VALUE"""),"B10")</f>
        <v>B10</v>
      </c>
      <c r="D9" s="1" t="str">
        <f ca="1">IFERROR(__xludf.DUMMYFUNCTION("""COMPUTED_VALUE"""),"33-8")</f>
        <v>33-8</v>
      </c>
      <c r="E9" s="1" t="str">
        <f ca="1">IFERROR(__xludf.DUMMYFUNCTION("""COMPUTED_VALUE"""),"+24.20")</f>
        <v>+24.20</v>
      </c>
      <c r="F9" s="1">
        <f ca="1">IFERROR(__xludf.DUMMYFUNCTION("""COMPUTED_VALUE"""),114.7)</f>
        <v>114.7</v>
      </c>
      <c r="G9" s="1">
        <f ca="1">IFERROR(__xludf.DUMMYFUNCTION("""COMPUTED_VALUE"""),35)</f>
        <v>35</v>
      </c>
      <c r="H9" s="1">
        <f ca="1">IFERROR(__xludf.DUMMYFUNCTION("""COMPUTED_VALUE"""),90.5)</f>
        <v>90.5</v>
      </c>
      <c r="I9" s="1">
        <f ca="1">IFERROR(__xludf.DUMMYFUNCTION("""COMPUTED_VALUE"""),3)</f>
        <v>3</v>
      </c>
      <c r="J9" s="1">
        <f ca="1">IFERROR(__xludf.DUMMYFUNCTION("""COMPUTED_VALUE"""),64.9)</f>
        <v>64.900000000000006</v>
      </c>
      <c r="K9" s="1">
        <f ca="1">IFERROR(__xludf.DUMMYFUNCTION("""COMPUTED_VALUE"""),324)</f>
        <v>324</v>
      </c>
      <c r="L9" s="1" t="str">
        <f ca="1">IFERROR(__xludf.DUMMYFUNCTION("""COMPUTED_VALUE"""),"+.052")</f>
        <v>+.052</v>
      </c>
      <c r="M9" s="1">
        <f ca="1">IFERROR(__xludf.DUMMYFUNCTION("""COMPUTED_VALUE"""),61)</f>
        <v>61</v>
      </c>
      <c r="N9" s="1" t="str">
        <f ca="1">IFERROR(__xludf.DUMMYFUNCTION("""COMPUTED_VALUE"""),"+10.32")</f>
        <v>+10.32</v>
      </c>
      <c r="O9" s="1">
        <f ca="1">IFERROR(__xludf.DUMMYFUNCTION("""COMPUTED_VALUE"""),18)</f>
        <v>18</v>
      </c>
      <c r="P9" s="1">
        <f ca="1">IFERROR(__xludf.DUMMYFUNCTION("""COMPUTED_VALUE"""),111.4)</f>
        <v>111.4</v>
      </c>
      <c r="Q9" s="1">
        <f ca="1">IFERROR(__xludf.DUMMYFUNCTION("""COMPUTED_VALUE"""),7)</f>
        <v>7</v>
      </c>
      <c r="R9" s="1">
        <f ca="1">IFERROR(__xludf.DUMMYFUNCTION("""COMPUTED_VALUE"""),101.1)</f>
        <v>101.1</v>
      </c>
      <c r="S9" s="1">
        <f ca="1">IFERROR(__xludf.DUMMYFUNCTION("""COMPUTED_VALUE"""),47)</f>
        <v>47</v>
      </c>
      <c r="T9" s="1">
        <f ca="1">IFERROR(__xludf.DUMMYFUNCTION("""COMPUTED_VALUE"""),-4.83)</f>
        <v>-4.83</v>
      </c>
      <c r="U9" s="1">
        <f ca="1">IFERROR(__xludf.DUMMYFUNCTION("""COMPUTED_VALUE"""),301)</f>
        <v>301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IFERROR(__xludf.DUMMYFUNCTION("""COMPUTED_VALUE"""),"North Carolina2")</f>
        <v>North Carolina2</v>
      </c>
      <c r="C10" s="1" t="str">
        <f ca="1">IFERROR(__xludf.DUMMYFUNCTION("""COMPUTED_VALUE"""),"ACC")</f>
        <v>ACC</v>
      </c>
      <c r="D10" s="1" t="str">
        <f ca="1">IFERROR(__xludf.DUMMYFUNCTION("""COMPUTED_VALUE"""),"26-11")</f>
        <v>26-11</v>
      </c>
      <c r="E10" s="1" t="str">
        <f ca="1">IFERROR(__xludf.DUMMYFUNCTION("""COMPUTED_VALUE"""),"+23.59")</f>
        <v>+23.59</v>
      </c>
      <c r="F10" s="1">
        <f ca="1">IFERROR(__xludf.DUMMYFUNCTION("""COMPUTED_VALUE"""),120.3)</f>
        <v>120.3</v>
      </c>
      <c r="G10" s="1">
        <f ca="1">IFERROR(__xludf.DUMMYFUNCTION("""COMPUTED_VALUE"""),6)</f>
        <v>6</v>
      </c>
      <c r="H10" s="1">
        <f ca="1">IFERROR(__xludf.DUMMYFUNCTION("""COMPUTED_VALUE"""),96.7)</f>
        <v>96.7</v>
      </c>
      <c r="I10" s="1">
        <f ca="1">IFERROR(__xludf.DUMMYFUNCTION("""COMPUTED_VALUE"""),38)</f>
        <v>38</v>
      </c>
      <c r="J10" s="1">
        <f ca="1">IFERROR(__xludf.DUMMYFUNCTION("""COMPUTED_VALUE"""),71.2)</f>
        <v>71.2</v>
      </c>
      <c r="K10" s="1">
        <f ca="1">IFERROR(__xludf.DUMMYFUNCTION("""COMPUTED_VALUE"""),46)</f>
        <v>46</v>
      </c>
      <c r="L10" s="1">
        <f ca="1">IFERROR(__xludf.DUMMYFUNCTION("""COMPUTED_VALUE"""),-0.011)</f>
        <v>-1.0999999999999999E-2</v>
      </c>
      <c r="M10" s="1">
        <f ca="1">IFERROR(__xludf.DUMMYFUNCTION("""COMPUTED_VALUE"""),207)</f>
        <v>207</v>
      </c>
      <c r="N10" s="1" t="str">
        <f ca="1">IFERROR(__xludf.DUMMYFUNCTION("""COMPUTED_VALUE"""),"+13.26")</f>
        <v>+13.26</v>
      </c>
      <c r="O10" s="1">
        <f ca="1">IFERROR(__xludf.DUMMYFUNCTION("""COMPUTED_VALUE"""),1)</f>
        <v>1</v>
      </c>
      <c r="P10" s="1">
        <f ca="1">IFERROR(__xludf.DUMMYFUNCTION("""COMPUTED_VALUE"""),111.6)</f>
        <v>111.6</v>
      </c>
      <c r="Q10" s="1">
        <f ca="1">IFERROR(__xludf.DUMMYFUNCTION("""COMPUTED_VALUE"""),5)</f>
        <v>5</v>
      </c>
      <c r="R10" s="1">
        <f ca="1">IFERROR(__xludf.DUMMYFUNCTION("""COMPUTED_VALUE"""),98.3)</f>
        <v>98.3</v>
      </c>
      <c r="S10" s="1">
        <f ca="1">IFERROR(__xludf.DUMMYFUNCTION("""COMPUTED_VALUE"""),1)</f>
        <v>1</v>
      </c>
      <c r="T10" s="1" t="str">
        <f ca="1">IFERROR(__xludf.DUMMYFUNCTION("""COMPUTED_VALUE"""),"+7.58")</f>
        <v>+7.58</v>
      </c>
      <c r="U10" s="1">
        <f ca="1">IFERROR(__xludf.DUMMYFUNCTION("""COMPUTED_VALUE"""),17)</f>
        <v>17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IFERROR(__xludf.DUMMYFUNCTION("""COMPUTED_VALUE"""),"Kansas1")</f>
        <v>Kansas1</v>
      </c>
      <c r="C11" s="1" t="str">
        <f ca="1">IFERROR(__xludf.DUMMYFUNCTION("""COMPUTED_VALUE"""),"B12")</f>
        <v>B12</v>
      </c>
      <c r="D11" s="1" t="str">
        <f ca="1">IFERROR(__xludf.DUMMYFUNCTION("""COMPUTED_VALUE"""),"31-8")</f>
        <v>31-8</v>
      </c>
      <c r="E11" s="1" t="str">
        <f ca="1">IFERROR(__xludf.DUMMYFUNCTION("""COMPUTED_VALUE"""),"+23.49")</f>
        <v>+23.49</v>
      </c>
      <c r="F11" s="1">
        <f ca="1">IFERROR(__xludf.DUMMYFUNCTION("""COMPUTED_VALUE"""),120.9)</f>
        <v>120.9</v>
      </c>
      <c r="G11" s="1">
        <f ca="1">IFERROR(__xludf.DUMMYFUNCTION("""COMPUTED_VALUE"""),5)</f>
        <v>5</v>
      </c>
      <c r="H11" s="1">
        <f ca="1">IFERROR(__xludf.DUMMYFUNCTION("""COMPUTED_VALUE"""),97.4)</f>
        <v>97.4</v>
      </c>
      <c r="I11" s="1">
        <f ca="1">IFERROR(__xludf.DUMMYFUNCTION("""COMPUTED_VALUE"""),47)</f>
        <v>47</v>
      </c>
      <c r="J11" s="1">
        <f ca="1">IFERROR(__xludf.DUMMYFUNCTION("""COMPUTED_VALUE"""),68.8)</f>
        <v>68.8</v>
      </c>
      <c r="K11" s="1">
        <f ca="1">IFERROR(__xludf.DUMMYFUNCTION("""COMPUTED_VALUE"""),144)</f>
        <v>144</v>
      </c>
      <c r="L11" s="1" t="str">
        <f ca="1">IFERROR(__xludf.DUMMYFUNCTION("""COMPUTED_VALUE"""),"+.076")</f>
        <v>+.076</v>
      </c>
      <c r="M11" s="1">
        <f ca="1">IFERROR(__xludf.DUMMYFUNCTION("""COMPUTED_VALUE"""),23)</f>
        <v>23</v>
      </c>
      <c r="N11" s="1" t="str">
        <f ca="1">IFERROR(__xludf.DUMMYFUNCTION("""COMPUTED_VALUE"""),"+12.41")</f>
        <v>+12.41</v>
      </c>
      <c r="O11" s="1">
        <f ca="1">IFERROR(__xludf.DUMMYFUNCTION("""COMPUTED_VALUE"""),2)</f>
        <v>2</v>
      </c>
      <c r="P11" s="1">
        <f ca="1">IFERROR(__xludf.DUMMYFUNCTION("""COMPUTED_VALUE"""),111.7)</f>
        <v>111.7</v>
      </c>
      <c r="Q11" s="1">
        <f ca="1">IFERROR(__xludf.DUMMYFUNCTION("""COMPUTED_VALUE"""),3)</f>
        <v>3</v>
      </c>
      <c r="R11" s="1">
        <f ca="1">IFERROR(__xludf.DUMMYFUNCTION("""COMPUTED_VALUE"""),99.3)</f>
        <v>99.3</v>
      </c>
      <c r="S11" s="1">
        <f ca="1">IFERROR(__xludf.DUMMYFUNCTION("""COMPUTED_VALUE"""),3)</f>
        <v>3</v>
      </c>
      <c r="T11" s="1" t="str">
        <f ca="1">IFERROR(__xludf.DUMMYFUNCTION("""COMPUTED_VALUE"""),"+3.55")</f>
        <v>+3.55</v>
      </c>
      <c r="U11" s="1">
        <f ca="1">IFERROR(__xludf.DUMMYFUNCTION("""COMPUTED_VALUE"""),70)</f>
        <v>70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IFERROR(__xludf.DUMMYFUNCTION("""COMPUTED_VALUE"""),"Gonzaga4")</f>
        <v>Gonzaga4</v>
      </c>
      <c r="C12" s="1" t="str">
        <f ca="1">IFERROR(__xludf.DUMMYFUNCTION("""COMPUTED_VALUE"""),"WCC")</f>
        <v>WCC</v>
      </c>
      <c r="D12" s="1" t="str">
        <f ca="1">IFERROR(__xludf.DUMMYFUNCTION("""COMPUTED_VALUE"""),"32-5")</f>
        <v>32-5</v>
      </c>
      <c r="E12" s="1" t="str">
        <f ca="1">IFERROR(__xludf.DUMMYFUNCTION("""COMPUTED_VALUE"""),"+23.03")</f>
        <v>+23.03</v>
      </c>
      <c r="F12" s="1">
        <f ca="1">IFERROR(__xludf.DUMMYFUNCTION("""COMPUTED_VALUE"""),118.1)</f>
        <v>118.1</v>
      </c>
      <c r="G12" s="1">
        <f ca="1">IFERROR(__xludf.DUMMYFUNCTION("""COMPUTED_VALUE"""),14)</f>
        <v>14</v>
      </c>
      <c r="H12" s="1">
        <f ca="1">IFERROR(__xludf.DUMMYFUNCTION("""COMPUTED_VALUE"""),95.1)</f>
        <v>95.1</v>
      </c>
      <c r="I12" s="1">
        <f ca="1">IFERROR(__xludf.DUMMYFUNCTION("""COMPUTED_VALUE"""),18)</f>
        <v>18</v>
      </c>
      <c r="J12" s="1">
        <f ca="1">IFERROR(__xludf.DUMMYFUNCTION("""COMPUTED_VALUE"""),69.4)</f>
        <v>69.400000000000006</v>
      </c>
      <c r="K12" s="1">
        <f ca="1">IFERROR(__xludf.DUMMYFUNCTION("""COMPUTED_VALUE"""),107)</f>
        <v>107</v>
      </c>
      <c r="L12" s="1" t="str">
        <f ca="1">IFERROR(__xludf.DUMMYFUNCTION("""COMPUTED_VALUE"""),"+.009")</f>
        <v>+.009</v>
      </c>
      <c r="M12" s="1">
        <f ca="1">IFERROR(__xludf.DUMMYFUNCTION("""COMPUTED_VALUE"""),153)</f>
        <v>153</v>
      </c>
      <c r="N12" s="1" t="str">
        <f ca="1">IFERROR(__xludf.DUMMYFUNCTION("""COMPUTED_VALUE"""),"+1.57")</f>
        <v>+1.57</v>
      </c>
      <c r="O12" s="1">
        <f ca="1">IFERROR(__xludf.DUMMYFUNCTION("""COMPUTED_VALUE"""),108)</f>
        <v>108</v>
      </c>
      <c r="P12" s="1">
        <f ca="1">IFERROR(__xludf.DUMMYFUNCTION("""COMPUTED_VALUE"""),106.4)</f>
        <v>106.4</v>
      </c>
      <c r="Q12" s="1">
        <f ca="1">IFERROR(__xludf.DUMMYFUNCTION("""COMPUTED_VALUE"""),102)</f>
        <v>102</v>
      </c>
      <c r="R12" s="1">
        <f ca="1">IFERROR(__xludf.DUMMYFUNCTION("""COMPUTED_VALUE"""),104.8)</f>
        <v>104.8</v>
      </c>
      <c r="S12" s="1">
        <f ca="1">IFERROR(__xludf.DUMMYFUNCTION("""COMPUTED_VALUE"""),128)</f>
        <v>128</v>
      </c>
      <c r="T12" s="1" t="str">
        <f ca="1">IFERROR(__xludf.DUMMYFUNCTION("""COMPUTED_VALUE"""),"+3.12")</f>
        <v>+3.12</v>
      </c>
      <c r="U12" s="1">
        <f ca="1">IFERROR(__xludf.DUMMYFUNCTION("""COMPUTED_VALUE"""),78)</f>
        <v>78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IFERROR(__xludf.DUMMYFUNCTION("""COMPUTED_VALUE"""),"Texas Tech3")</f>
        <v>Texas Tech3</v>
      </c>
      <c r="C13" s="1" t="str">
        <f ca="1">IFERROR(__xludf.DUMMYFUNCTION("""COMPUTED_VALUE"""),"B12")</f>
        <v>B12</v>
      </c>
      <c r="D13" s="1" t="str">
        <f ca="1">IFERROR(__xludf.DUMMYFUNCTION("""COMPUTED_VALUE"""),"27-10")</f>
        <v>27-10</v>
      </c>
      <c r="E13" s="1" t="str">
        <f ca="1">IFERROR(__xludf.DUMMYFUNCTION("""COMPUTED_VALUE"""),"+22.59")</f>
        <v>+22.59</v>
      </c>
      <c r="F13" s="1">
        <f ca="1">IFERROR(__xludf.DUMMYFUNCTION("""COMPUTED_VALUE"""),113.3)</f>
        <v>113.3</v>
      </c>
      <c r="G13" s="1">
        <f ca="1">IFERROR(__xludf.DUMMYFUNCTION("""COMPUTED_VALUE"""),50)</f>
        <v>50</v>
      </c>
      <c r="H13" s="1">
        <f ca="1">IFERROR(__xludf.DUMMYFUNCTION("""COMPUTED_VALUE"""),90.8)</f>
        <v>90.8</v>
      </c>
      <c r="I13" s="1">
        <f ca="1">IFERROR(__xludf.DUMMYFUNCTION("""COMPUTED_VALUE"""),4)</f>
        <v>4</v>
      </c>
      <c r="J13" s="1">
        <f ca="1">IFERROR(__xludf.DUMMYFUNCTION("""COMPUTED_VALUE"""),66.7)</f>
        <v>66.7</v>
      </c>
      <c r="K13" s="1">
        <f ca="1">IFERROR(__xludf.DUMMYFUNCTION("""COMPUTED_VALUE"""),247)</f>
        <v>247</v>
      </c>
      <c r="L13" s="1">
        <f ca="1">IFERROR(__xludf.DUMMYFUNCTION("""COMPUTED_VALUE"""),-0.007)</f>
        <v>-7.0000000000000001E-3</v>
      </c>
      <c r="M13" s="1">
        <f ca="1">IFERROR(__xludf.DUMMYFUNCTION("""COMPUTED_VALUE"""),195)</f>
        <v>195</v>
      </c>
      <c r="N13" s="1" t="str">
        <f ca="1">IFERROR(__xludf.DUMMYFUNCTION("""COMPUTED_VALUE"""),"+10.31")</f>
        <v>+10.31</v>
      </c>
      <c r="O13" s="1">
        <f ca="1">IFERROR(__xludf.DUMMYFUNCTION("""COMPUTED_VALUE"""),19)</f>
        <v>19</v>
      </c>
      <c r="P13" s="1">
        <f ca="1">IFERROR(__xludf.DUMMYFUNCTION("""COMPUTED_VALUE"""),110.7)</f>
        <v>110.7</v>
      </c>
      <c r="Q13" s="1">
        <f ca="1">IFERROR(__xludf.DUMMYFUNCTION("""COMPUTED_VALUE"""),23)</f>
        <v>23</v>
      </c>
      <c r="R13" s="1">
        <f ca="1">IFERROR(__xludf.DUMMYFUNCTION("""COMPUTED_VALUE"""),100.4)</f>
        <v>100.4</v>
      </c>
      <c r="S13" s="1">
        <f ca="1">IFERROR(__xludf.DUMMYFUNCTION("""COMPUTED_VALUE"""),25)</f>
        <v>25</v>
      </c>
      <c r="T13" s="1">
        <f ca="1">IFERROR(__xludf.DUMMYFUNCTION("""COMPUTED_VALUE"""),-5.24)</f>
        <v>-5.24</v>
      </c>
      <c r="U13" s="1">
        <f ca="1">IFERROR(__xludf.DUMMYFUNCTION("""COMPUTED_VALUE"""),309)</f>
        <v>309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IFERROR(__xludf.DUMMYFUNCTION("""COMPUTED_VALUE"""),"West Virginia5")</f>
        <v>West Virginia5</v>
      </c>
      <c r="C14" s="1" t="str">
        <f ca="1">IFERROR(__xludf.DUMMYFUNCTION("""COMPUTED_VALUE"""),"B12")</f>
        <v>B12</v>
      </c>
      <c r="D14" s="1" t="str">
        <f ca="1">IFERROR(__xludf.DUMMYFUNCTION("""COMPUTED_VALUE"""),"26-11")</f>
        <v>26-11</v>
      </c>
      <c r="E14" s="1" t="str">
        <f ca="1">IFERROR(__xludf.DUMMYFUNCTION("""COMPUTED_VALUE"""),"+22.44")</f>
        <v>+22.44</v>
      </c>
      <c r="F14" s="1">
        <f ca="1">IFERROR(__xludf.DUMMYFUNCTION("""COMPUTED_VALUE"""),119.4)</f>
        <v>119.4</v>
      </c>
      <c r="G14" s="1">
        <f ca="1">IFERROR(__xludf.DUMMYFUNCTION("""COMPUTED_VALUE"""),10)</f>
        <v>10</v>
      </c>
      <c r="H14" s="1">
        <f ca="1">IFERROR(__xludf.DUMMYFUNCTION("""COMPUTED_VALUE"""),96.9)</f>
        <v>96.9</v>
      </c>
      <c r="I14" s="1">
        <f ca="1">IFERROR(__xludf.DUMMYFUNCTION("""COMPUTED_VALUE"""),41)</f>
        <v>41</v>
      </c>
      <c r="J14" s="1">
        <f ca="1">IFERROR(__xludf.DUMMYFUNCTION("""COMPUTED_VALUE"""),69.2)</f>
        <v>69.2</v>
      </c>
      <c r="K14" s="1">
        <f ca="1">IFERROR(__xludf.DUMMYFUNCTION("""COMPUTED_VALUE"""),120)</f>
        <v>120</v>
      </c>
      <c r="L14" s="1">
        <f ca="1">IFERROR(__xludf.DUMMYFUNCTION("""COMPUTED_VALUE"""),-0.014)</f>
        <v>-1.4E-2</v>
      </c>
      <c r="M14" s="1">
        <f ca="1">IFERROR(__xludf.DUMMYFUNCTION("""COMPUTED_VALUE"""),214)</f>
        <v>214</v>
      </c>
      <c r="N14" s="1" t="str">
        <f ca="1">IFERROR(__xludf.DUMMYFUNCTION("""COMPUTED_VALUE"""),"+10.59")</f>
        <v>+10.59</v>
      </c>
      <c r="O14" s="1">
        <f ca="1">IFERROR(__xludf.DUMMYFUNCTION("""COMPUTED_VALUE"""),16)</f>
        <v>16</v>
      </c>
      <c r="P14" s="1">
        <f ca="1">IFERROR(__xludf.DUMMYFUNCTION("""COMPUTED_VALUE"""),109.9)</f>
        <v>109.9</v>
      </c>
      <c r="Q14" s="1">
        <f ca="1">IFERROR(__xludf.DUMMYFUNCTION("""COMPUTED_VALUE"""),38)</f>
        <v>38</v>
      </c>
      <c r="R14" s="1">
        <f ca="1">IFERROR(__xludf.DUMMYFUNCTION("""COMPUTED_VALUE"""),99.3)</f>
        <v>99.3</v>
      </c>
      <c r="S14" s="1">
        <f ca="1">IFERROR(__xludf.DUMMYFUNCTION("""COMPUTED_VALUE"""),2)</f>
        <v>2</v>
      </c>
      <c r="T14" s="1">
        <f ca="1">IFERROR(__xludf.DUMMYFUNCTION("""COMPUTED_VALUE"""),-4.72)</f>
        <v>-4.72</v>
      </c>
      <c r="U14" s="1">
        <f ca="1">IFERROR(__xludf.DUMMYFUNCTION("""COMPUTED_VALUE"""),299)</f>
        <v>299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IFERROR(__xludf.DUMMYFUNCTION("""COMPUTED_VALUE"""),"Tennessee3")</f>
        <v>Tennessee3</v>
      </c>
      <c r="C15" s="1" t="str">
        <f ca="1">IFERROR(__xludf.DUMMYFUNCTION("""COMPUTED_VALUE"""),"SEC")</f>
        <v>SEC</v>
      </c>
      <c r="D15" s="1" t="str">
        <f ca="1">IFERROR(__xludf.DUMMYFUNCTION("""COMPUTED_VALUE"""),"26-9")</f>
        <v>26-9</v>
      </c>
      <c r="E15" s="1" t="str">
        <f ca="1">IFERROR(__xludf.DUMMYFUNCTION("""COMPUTED_VALUE"""),"+22.27")</f>
        <v>+22.27</v>
      </c>
      <c r="F15" s="1">
        <f ca="1">IFERROR(__xludf.DUMMYFUNCTION("""COMPUTED_VALUE"""),114.6)</f>
        <v>114.6</v>
      </c>
      <c r="G15" s="1">
        <f ca="1">IFERROR(__xludf.DUMMYFUNCTION("""COMPUTED_VALUE"""),36)</f>
        <v>36</v>
      </c>
      <c r="H15" s="1">
        <f ca="1">IFERROR(__xludf.DUMMYFUNCTION("""COMPUTED_VALUE"""),92.4)</f>
        <v>92.4</v>
      </c>
      <c r="I15" s="1">
        <f ca="1">IFERROR(__xludf.DUMMYFUNCTION("""COMPUTED_VALUE"""),6)</f>
        <v>6</v>
      </c>
      <c r="J15" s="1">
        <f ca="1">IFERROR(__xludf.DUMMYFUNCTION("""COMPUTED_VALUE"""),66)</f>
        <v>66</v>
      </c>
      <c r="K15" s="1">
        <f ca="1">IFERROR(__xludf.DUMMYFUNCTION("""COMPUTED_VALUE"""),282)</f>
        <v>282</v>
      </c>
      <c r="L15" s="1" t="str">
        <f ca="1">IFERROR(__xludf.DUMMYFUNCTION("""COMPUTED_VALUE"""),"+.019")</f>
        <v>+.019</v>
      </c>
      <c r="M15" s="1">
        <f ca="1">IFERROR(__xludf.DUMMYFUNCTION("""COMPUTED_VALUE"""),125)</f>
        <v>125</v>
      </c>
      <c r="N15" s="1" t="str">
        <f ca="1">IFERROR(__xludf.DUMMYFUNCTION("""COMPUTED_VALUE"""),"+11.01")</f>
        <v>+11.01</v>
      </c>
      <c r="O15" s="1">
        <f ca="1">IFERROR(__xludf.DUMMYFUNCTION("""COMPUTED_VALUE"""),11)</f>
        <v>11</v>
      </c>
      <c r="P15" s="1">
        <f ca="1">IFERROR(__xludf.DUMMYFUNCTION("""COMPUTED_VALUE"""),111.2)</f>
        <v>111.2</v>
      </c>
      <c r="Q15" s="1">
        <f ca="1">IFERROR(__xludf.DUMMYFUNCTION("""COMPUTED_VALUE"""),13)</f>
        <v>13</v>
      </c>
      <c r="R15" s="1">
        <f ca="1">IFERROR(__xludf.DUMMYFUNCTION("""COMPUTED_VALUE"""),100.2)</f>
        <v>100.2</v>
      </c>
      <c r="S15" s="1">
        <f ca="1">IFERROR(__xludf.DUMMYFUNCTION("""COMPUTED_VALUE"""),18)</f>
        <v>18</v>
      </c>
      <c r="T15" s="1" t="str">
        <f ca="1">IFERROR(__xludf.DUMMYFUNCTION("""COMPUTED_VALUE"""),"+7.10")</f>
        <v>+7.10</v>
      </c>
      <c r="U15" s="1">
        <f ca="1">IFERROR(__xludf.DUMMYFUNCTION("""COMPUTED_VALUE"""),20)</f>
        <v>20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IFERROR(__xludf.DUMMYFUNCTION("""COMPUTED_VALUE"""),"Clemson5")</f>
        <v>Clemson5</v>
      </c>
      <c r="C16" s="1" t="str">
        <f ca="1">IFERROR(__xludf.DUMMYFUNCTION("""COMPUTED_VALUE"""),"ACC")</f>
        <v>ACC</v>
      </c>
      <c r="D16" s="1" t="str">
        <f ca="1">IFERROR(__xludf.DUMMYFUNCTION("""COMPUTED_VALUE"""),"25-10")</f>
        <v>25-10</v>
      </c>
      <c r="E16" s="1" t="str">
        <f ca="1">IFERROR(__xludf.DUMMYFUNCTION("""COMPUTED_VALUE"""),"+21.65")</f>
        <v>+21.65</v>
      </c>
      <c r="F16" s="1">
        <f ca="1">IFERROR(__xludf.DUMMYFUNCTION("""COMPUTED_VALUE"""),114.2)</f>
        <v>114.2</v>
      </c>
      <c r="G16" s="1">
        <f ca="1">IFERROR(__xludf.DUMMYFUNCTION("""COMPUTED_VALUE"""),44)</f>
        <v>44</v>
      </c>
      <c r="H16" s="1">
        <f ca="1">IFERROR(__xludf.DUMMYFUNCTION("""COMPUTED_VALUE"""),92.6)</f>
        <v>92.6</v>
      </c>
      <c r="I16" s="1">
        <f ca="1">IFERROR(__xludf.DUMMYFUNCTION("""COMPUTED_VALUE"""),7)</f>
        <v>7</v>
      </c>
      <c r="J16" s="1">
        <f ca="1">IFERROR(__xludf.DUMMYFUNCTION("""COMPUTED_VALUE"""),66.1)</f>
        <v>66.099999999999994</v>
      </c>
      <c r="K16" s="1">
        <f ca="1">IFERROR(__xludf.DUMMYFUNCTION("""COMPUTED_VALUE"""),274)</f>
        <v>274</v>
      </c>
      <c r="L16" s="1">
        <f ca="1">IFERROR(__xludf.DUMMYFUNCTION("""COMPUTED_VALUE"""),-0.009)</f>
        <v>-8.9999999999999993E-3</v>
      </c>
      <c r="M16" s="1">
        <f ca="1">IFERROR(__xludf.DUMMYFUNCTION("""COMPUTED_VALUE"""),203)</f>
        <v>203</v>
      </c>
      <c r="N16" s="1" t="str">
        <f ca="1">IFERROR(__xludf.DUMMYFUNCTION("""COMPUTED_VALUE"""),"+10.22")</f>
        <v>+10.22</v>
      </c>
      <c r="O16" s="1">
        <f ca="1">IFERROR(__xludf.DUMMYFUNCTION("""COMPUTED_VALUE"""),20)</f>
        <v>20</v>
      </c>
      <c r="P16" s="1">
        <f ca="1">IFERROR(__xludf.DUMMYFUNCTION("""COMPUTED_VALUE"""),110.6)</f>
        <v>110.6</v>
      </c>
      <c r="Q16" s="1">
        <f ca="1">IFERROR(__xludf.DUMMYFUNCTION("""COMPUTED_VALUE"""),26)</f>
        <v>26</v>
      </c>
      <c r="R16" s="1">
        <f ca="1">IFERROR(__xludf.DUMMYFUNCTION("""COMPUTED_VALUE"""),100.4)</f>
        <v>100.4</v>
      </c>
      <c r="S16" s="1">
        <f ca="1">IFERROR(__xludf.DUMMYFUNCTION("""COMPUTED_VALUE"""),23)</f>
        <v>23</v>
      </c>
      <c r="T16" s="1">
        <f ca="1">IFERROR(__xludf.DUMMYFUNCTION("""COMPUTED_VALUE"""),-1.91)</f>
        <v>-1.91</v>
      </c>
      <c r="U16" s="1">
        <f ca="1">IFERROR(__xludf.DUMMYFUNCTION("""COMPUTED_VALUE"""),214)</f>
        <v>214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IFERROR(__xludf.DUMMYFUNCTION("""COMPUTED_VALUE"""),"Xavier1")</f>
        <v>Xavier1</v>
      </c>
      <c r="C17" s="1" t="str">
        <f ca="1">IFERROR(__xludf.DUMMYFUNCTION("""COMPUTED_VALUE"""),"BE")</f>
        <v>BE</v>
      </c>
      <c r="D17" s="1" t="str">
        <f ca="1">IFERROR(__xludf.DUMMYFUNCTION("""COMPUTED_VALUE"""),"29-6")</f>
        <v>29-6</v>
      </c>
      <c r="E17" s="1" t="str">
        <f ca="1">IFERROR(__xludf.DUMMYFUNCTION("""COMPUTED_VALUE"""),"+21.51")</f>
        <v>+21.51</v>
      </c>
      <c r="F17" s="1">
        <f ca="1">IFERROR(__xludf.DUMMYFUNCTION("""COMPUTED_VALUE"""),120.1)</f>
        <v>120.1</v>
      </c>
      <c r="G17" s="1">
        <f ca="1">IFERROR(__xludf.DUMMYFUNCTION("""COMPUTED_VALUE"""),8)</f>
        <v>8</v>
      </c>
      <c r="H17" s="1">
        <f ca="1">IFERROR(__xludf.DUMMYFUNCTION("""COMPUTED_VALUE"""),98.6)</f>
        <v>98.6</v>
      </c>
      <c r="I17" s="1">
        <f ca="1">IFERROR(__xludf.DUMMYFUNCTION("""COMPUTED_VALUE"""),57)</f>
        <v>57</v>
      </c>
      <c r="J17" s="1">
        <f ca="1">IFERROR(__xludf.DUMMYFUNCTION("""COMPUTED_VALUE"""),70.5)</f>
        <v>70.5</v>
      </c>
      <c r="K17" s="1">
        <f ca="1">IFERROR(__xludf.DUMMYFUNCTION("""COMPUTED_VALUE"""),62)</f>
        <v>62</v>
      </c>
      <c r="L17" s="1" t="str">
        <f ca="1">IFERROR(__xludf.DUMMYFUNCTION("""COMPUTED_VALUE"""),"+.091")</f>
        <v>+.091</v>
      </c>
      <c r="M17" s="1">
        <f ca="1">IFERROR(__xludf.DUMMYFUNCTION("""COMPUTED_VALUE"""),17)</f>
        <v>17</v>
      </c>
      <c r="N17" s="1" t="str">
        <f ca="1">IFERROR(__xludf.DUMMYFUNCTION("""COMPUTED_VALUE"""),"+9.35")</f>
        <v>+9.35</v>
      </c>
      <c r="O17" s="1">
        <f ca="1">IFERROR(__xludf.DUMMYFUNCTION("""COMPUTED_VALUE"""),35)</f>
        <v>35</v>
      </c>
      <c r="P17" s="1">
        <f ca="1">IFERROR(__xludf.DUMMYFUNCTION("""COMPUTED_VALUE"""),109.9)</f>
        <v>109.9</v>
      </c>
      <c r="Q17" s="1">
        <f ca="1">IFERROR(__xludf.DUMMYFUNCTION("""COMPUTED_VALUE"""),37)</f>
        <v>37</v>
      </c>
      <c r="R17" s="1">
        <f ca="1">IFERROR(__xludf.DUMMYFUNCTION("""COMPUTED_VALUE"""),100.6)</f>
        <v>100.6</v>
      </c>
      <c r="S17" s="1">
        <f ca="1">IFERROR(__xludf.DUMMYFUNCTION("""COMPUTED_VALUE"""),29)</f>
        <v>29</v>
      </c>
      <c r="T17" s="1" t="str">
        <f ca="1">IFERROR(__xludf.DUMMYFUNCTION("""COMPUTED_VALUE"""),"+1.84")</f>
        <v>+1.84</v>
      </c>
      <c r="U17" s="1">
        <f ca="1">IFERROR(__xludf.DUMMYFUNCTION("""COMPUTED_VALUE"""),108)</f>
        <v>108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IFERROR(__xludf.DUMMYFUNCTION("""COMPUTED_VALUE"""),"Ohio St.5")</f>
        <v>Ohio St.5</v>
      </c>
      <c r="C18" s="1" t="str">
        <f ca="1">IFERROR(__xludf.DUMMYFUNCTION("""COMPUTED_VALUE"""),"B10")</f>
        <v>B10</v>
      </c>
      <c r="D18" s="1" t="str">
        <f ca="1">IFERROR(__xludf.DUMMYFUNCTION("""COMPUTED_VALUE"""),"25-9")</f>
        <v>25-9</v>
      </c>
      <c r="E18" s="1" t="str">
        <f ca="1">IFERROR(__xludf.DUMMYFUNCTION("""COMPUTED_VALUE"""),"+21.16")</f>
        <v>+21.16</v>
      </c>
      <c r="F18" s="1">
        <f ca="1">IFERROR(__xludf.DUMMYFUNCTION("""COMPUTED_VALUE"""),116)</f>
        <v>116</v>
      </c>
      <c r="G18" s="1">
        <f ca="1">IFERROR(__xludf.DUMMYFUNCTION("""COMPUTED_VALUE"""),23)</f>
        <v>23</v>
      </c>
      <c r="H18" s="1">
        <f ca="1">IFERROR(__xludf.DUMMYFUNCTION("""COMPUTED_VALUE"""),94.9)</f>
        <v>94.9</v>
      </c>
      <c r="I18" s="1">
        <f ca="1">IFERROR(__xludf.DUMMYFUNCTION("""COMPUTED_VALUE"""),15)</f>
        <v>15</v>
      </c>
      <c r="J18" s="1">
        <f ca="1">IFERROR(__xludf.DUMMYFUNCTION("""COMPUTED_VALUE"""),67)</f>
        <v>67</v>
      </c>
      <c r="K18" s="1">
        <f ca="1">IFERROR(__xludf.DUMMYFUNCTION("""COMPUTED_VALUE"""),238)</f>
        <v>238</v>
      </c>
      <c r="L18" s="1" t="str">
        <f ca="1">IFERROR(__xludf.DUMMYFUNCTION("""COMPUTED_VALUE"""),"+.020")</f>
        <v>+.020</v>
      </c>
      <c r="M18" s="1">
        <f ca="1">IFERROR(__xludf.DUMMYFUNCTION("""COMPUTED_VALUE"""),124)</f>
        <v>124</v>
      </c>
      <c r="N18" s="1" t="str">
        <f ca="1">IFERROR(__xludf.DUMMYFUNCTION("""COMPUTED_VALUE"""),"+8.75")</f>
        <v>+8.75</v>
      </c>
      <c r="O18" s="1">
        <f ca="1">IFERROR(__xludf.DUMMYFUNCTION("""COMPUTED_VALUE"""),44)</f>
        <v>44</v>
      </c>
      <c r="P18" s="1">
        <f ca="1">IFERROR(__xludf.DUMMYFUNCTION("""COMPUTED_VALUE"""),109.8)</f>
        <v>109.8</v>
      </c>
      <c r="Q18" s="1">
        <f ca="1">IFERROR(__xludf.DUMMYFUNCTION("""COMPUTED_VALUE"""),40)</f>
        <v>40</v>
      </c>
      <c r="R18" s="1">
        <f ca="1">IFERROR(__xludf.DUMMYFUNCTION("""COMPUTED_VALUE"""),101.1)</f>
        <v>101.1</v>
      </c>
      <c r="S18" s="1">
        <f ca="1">IFERROR(__xludf.DUMMYFUNCTION("""COMPUTED_VALUE"""),46)</f>
        <v>46</v>
      </c>
      <c r="T18" s="1" t="str">
        <f ca="1">IFERROR(__xludf.DUMMYFUNCTION("""COMPUTED_VALUE"""),"+0.26")</f>
        <v>+0.26</v>
      </c>
      <c r="U18" s="1">
        <f ca="1">IFERROR(__xludf.DUMMYFUNCTION("""COMPUTED_VALUE"""),151)</f>
        <v>151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IFERROR(__xludf.DUMMYFUNCTION("""COMPUTED_VALUE"""),"Kentucky5")</f>
        <v>Kentucky5</v>
      </c>
      <c r="C19" s="1" t="str">
        <f ca="1">IFERROR(__xludf.DUMMYFUNCTION("""COMPUTED_VALUE"""),"SEC")</f>
        <v>SEC</v>
      </c>
      <c r="D19" s="1" t="str">
        <f ca="1">IFERROR(__xludf.DUMMYFUNCTION("""COMPUTED_VALUE"""),"26-11")</f>
        <v>26-11</v>
      </c>
      <c r="E19" s="1" t="str">
        <f ca="1">IFERROR(__xludf.DUMMYFUNCTION("""COMPUTED_VALUE"""),"+20.44")</f>
        <v>+20.44</v>
      </c>
      <c r="F19" s="1">
        <f ca="1">IFERROR(__xludf.DUMMYFUNCTION("""COMPUTED_VALUE"""),115.8)</f>
        <v>115.8</v>
      </c>
      <c r="G19" s="1">
        <f ca="1">IFERROR(__xludf.DUMMYFUNCTION("""COMPUTED_VALUE"""),24)</f>
        <v>24</v>
      </c>
      <c r="H19" s="1">
        <f ca="1">IFERROR(__xludf.DUMMYFUNCTION("""COMPUTED_VALUE"""),95.4)</f>
        <v>95.4</v>
      </c>
      <c r="I19" s="1">
        <f ca="1">IFERROR(__xludf.DUMMYFUNCTION("""COMPUTED_VALUE"""),22)</f>
        <v>22</v>
      </c>
      <c r="J19" s="1">
        <f ca="1">IFERROR(__xludf.DUMMYFUNCTION("""COMPUTED_VALUE"""),68.8)</f>
        <v>68.8</v>
      </c>
      <c r="K19" s="1">
        <f ca="1">IFERROR(__xludf.DUMMYFUNCTION("""COMPUTED_VALUE"""),146)</f>
        <v>146</v>
      </c>
      <c r="L19" s="1">
        <f ca="1">IFERROR(__xludf.DUMMYFUNCTION("""COMPUTED_VALUE"""),-0.008)</f>
        <v>-8.0000000000000002E-3</v>
      </c>
      <c r="M19" s="1">
        <f ca="1">IFERROR(__xludf.DUMMYFUNCTION("""COMPUTED_VALUE"""),199)</f>
        <v>199</v>
      </c>
      <c r="N19" s="1" t="str">
        <f ca="1">IFERROR(__xludf.DUMMYFUNCTION("""COMPUTED_VALUE"""),"+10.91")</f>
        <v>+10.91</v>
      </c>
      <c r="O19" s="1">
        <f ca="1">IFERROR(__xludf.DUMMYFUNCTION("""COMPUTED_VALUE"""),12)</f>
        <v>12</v>
      </c>
      <c r="P19" s="1">
        <f ca="1">IFERROR(__xludf.DUMMYFUNCTION("""COMPUTED_VALUE"""),110.8)</f>
        <v>110.8</v>
      </c>
      <c r="Q19" s="1">
        <f ca="1">IFERROR(__xludf.DUMMYFUNCTION("""COMPUTED_VALUE"""),22)</f>
        <v>22</v>
      </c>
      <c r="R19" s="1">
        <f ca="1">IFERROR(__xludf.DUMMYFUNCTION("""COMPUTED_VALUE"""),99.8)</f>
        <v>99.8</v>
      </c>
      <c r="S19" s="1">
        <f ca="1">IFERROR(__xludf.DUMMYFUNCTION("""COMPUTED_VALUE"""),11)</f>
        <v>11</v>
      </c>
      <c r="T19" s="1" t="str">
        <f ca="1">IFERROR(__xludf.DUMMYFUNCTION("""COMPUTED_VALUE"""),"+4.67")</f>
        <v>+4.67</v>
      </c>
      <c r="U19" s="1">
        <f ca="1">IFERROR(__xludf.DUMMYFUNCTION("""COMPUTED_VALUE"""),44)</f>
        <v>44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IFERROR(__xludf.DUMMYFUNCTION("""COMPUTED_VALUE"""),"Houston6")</f>
        <v>Houston6</v>
      </c>
      <c r="C20" s="1" t="str">
        <f ca="1">IFERROR(__xludf.DUMMYFUNCTION("""COMPUTED_VALUE"""),"Amer")</f>
        <v>Amer</v>
      </c>
      <c r="D20" s="1" t="str">
        <f ca="1">IFERROR(__xludf.DUMMYFUNCTION("""COMPUTED_VALUE"""),"27-8")</f>
        <v>27-8</v>
      </c>
      <c r="E20" s="1" t="str">
        <f ca="1">IFERROR(__xludf.DUMMYFUNCTION("""COMPUTED_VALUE"""),"+20.24")</f>
        <v>+20.24</v>
      </c>
      <c r="F20" s="1">
        <f ca="1">IFERROR(__xludf.DUMMYFUNCTION("""COMPUTED_VALUE"""),114.6)</f>
        <v>114.6</v>
      </c>
      <c r="G20" s="1">
        <f ca="1">IFERROR(__xludf.DUMMYFUNCTION("""COMPUTED_VALUE"""),38)</f>
        <v>38</v>
      </c>
      <c r="H20" s="1">
        <f ca="1">IFERROR(__xludf.DUMMYFUNCTION("""COMPUTED_VALUE"""),94.4)</f>
        <v>94.4</v>
      </c>
      <c r="I20" s="1">
        <f ca="1">IFERROR(__xludf.DUMMYFUNCTION("""COMPUTED_VALUE"""),13)</f>
        <v>13</v>
      </c>
      <c r="J20" s="1">
        <f ca="1">IFERROR(__xludf.DUMMYFUNCTION("""COMPUTED_VALUE"""),68.4)</f>
        <v>68.400000000000006</v>
      </c>
      <c r="K20" s="1">
        <f ca="1">IFERROR(__xludf.DUMMYFUNCTION("""COMPUTED_VALUE"""),167)</f>
        <v>167</v>
      </c>
      <c r="L20" s="1">
        <f ca="1">IFERROR(__xludf.DUMMYFUNCTION("""COMPUTED_VALUE"""),-0.015)</f>
        <v>-1.4999999999999999E-2</v>
      </c>
      <c r="M20" s="1">
        <f ca="1">IFERROR(__xludf.DUMMYFUNCTION("""COMPUTED_VALUE"""),216)</f>
        <v>216</v>
      </c>
      <c r="N20" s="1" t="str">
        <f ca="1">IFERROR(__xludf.DUMMYFUNCTION("""COMPUTED_VALUE"""),"+3.90")</f>
        <v>+3.90</v>
      </c>
      <c r="O20" s="1">
        <f ca="1">IFERROR(__xludf.DUMMYFUNCTION("""COMPUTED_VALUE"""),81)</f>
        <v>81</v>
      </c>
      <c r="P20" s="1">
        <f ca="1">IFERROR(__xludf.DUMMYFUNCTION("""COMPUTED_VALUE"""),106.6)</f>
        <v>106.6</v>
      </c>
      <c r="Q20" s="1">
        <f ca="1">IFERROR(__xludf.DUMMYFUNCTION("""COMPUTED_VALUE"""),95)</f>
        <v>95</v>
      </c>
      <c r="R20" s="1">
        <f ca="1">IFERROR(__xludf.DUMMYFUNCTION("""COMPUTED_VALUE"""),102.7)</f>
        <v>102.7</v>
      </c>
      <c r="S20" s="1">
        <f ca="1">IFERROR(__xludf.DUMMYFUNCTION("""COMPUTED_VALUE"""),75)</f>
        <v>75</v>
      </c>
      <c r="T20" s="1">
        <f ca="1">IFERROR(__xludf.DUMMYFUNCTION("""COMPUTED_VALUE"""),-3.08)</f>
        <v>-3.08</v>
      </c>
      <c r="U20" s="1">
        <f ca="1">IFERROR(__xludf.DUMMYFUNCTION("""COMPUTED_VALUE"""),254)</f>
        <v>254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IFERROR(__xludf.DUMMYFUNCTION("""COMPUTED_VALUE"""),"Penn St.4")</f>
        <v>Penn St.4</v>
      </c>
      <c r="C21" s="1" t="str">
        <f ca="1">IFERROR(__xludf.DUMMYFUNCTION("""COMPUTED_VALUE"""),"B10")</f>
        <v>B10</v>
      </c>
      <c r="D21" s="1" t="str">
        <f ca="1">IFERROR(__xludf.DUMMYFUNCTION("""COMPUTED_VALUE"""),"26-13")</f>
        <v>26-13</v>
      </c>
      <c r="E21" s="1" t="str">
        <f ca="1">IFERROR(__xludf.DUMMYFUNCTION("""COMPUTED_VALUE"""),"+19.18")</f>
        <v>+19.18</v>
      </c>
      <c r="F21" s="1">
        <f ca="1">IFERROR(__xludf.DUMMYFUNCTION("""COMPUTED_VALUE"""),114.3)</f>
        <v>114.3</v>
      </c>
      <c r="G21" s="1">
        <f ca="1">IFERROR(__xludf.DUMMYFUNCTION("""COMPUTED_VALUE"""),42)</f>
        <v>42</v>
      </c>
      <c r="H21" s="1">
        <f ca="1">IFERROR(__xludf.DUMMYFUNCTION("""COMPUTED_VALUE"""),95.1)</f>
        <v>95.1</v>
      </c>
      <c r="I21" s="1">
        <f ca="1">IFERROR(__xludf.DUMMYFUNCTION("""COMPUTED_VALUE"""),19)</f>
        <v>19</v>
      </c>
      <c r="J21" s="1">
        <f ca="1">IFERROR(__xludf.DUMMYFUNCTION("""COMPUTED_VALUE"""),67.3)</f>
        <v>67.3</v>
      </c>
      <c r="K21" s="1">
        <f ca="1">IFERROR(__xludf.DUMMYFUNCTION("""COMPUTED_VALUE"""),217)</f>
        <v>217</v>
      </c>
      <c r="L21" s="1">
        <f ca="1">IFERROR(__xludf.DUMMYFUNCTION("""COMPUTED_VALUE"""),-0.05)</f>
        <v>-0.05</v>
      </c>
      <c r="M21" s="1">
        <f ca="1">IFERROR(__xludf.DUMMYFUNCTION("""COMPUTED_VALUE"""),296)</f>
        <v>296</v>
      </c>
      <c r="N21" s="1" t="str">
        <f ca="1">IFERROR(__xludf.DUMMYFUNCTION("""COMPUTED_VALUE"""),"+7.60")</f>
        <v>+7.60</v>
      </c>
      <c r="O21" s="1">
        <f ca="1">IFERROR(__xludf.DUMMYFUNCTION("""COMPUTED_VALUE"""),56)</f>
        <v>56</v>
      </c>
      <c r="P21" s="1">
        <f ca="1">IFERROR(__xludf.DUMMYFUNCTION("""COMPUTED_VALUE"""),109.7)</f>
        <v>109.7</v>
      </c>
      <c r="Q21" s="1">
        <f ca="1">IFERROR(__xludf.DUMMYFUNCTION("""COMPUTED_VALUE"""),43)</f>
        <v>43</v>
      </c>
      <c r="R21" s="1">
        <f ca="1">IFERROR(__xludf.DUMMYFUNCTION("""COMPUTED_VALUE"""),102.1)</f>
        <v>102.1</v>
      </c>
      <c r="S21" s="1">
        <f ca="1">IFERROR(__xludf.DUMMYFUNCTION("""COMPUTED_VALUE"""),68)</f>
        <v>68</v>
      </c>
      <c r="T21" s="1">
        <f ca="1">IFERROR(__xludf.DUMMYFUNCTION("""COMPUTED_VALUE"""),-6.36)</f>
        <v>-6.36</v>
      </c>
      <c r="U21" s="1">
        <f ca="1">IFERROR(__xludf.DUMMYFUNCTION("""COMPUTED_VALUE"""),322)</f>
        <v>322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IFERROR(__xludf.DUMMYFUNCTION("""COMPUTED_VALUE"""),"Butler10")</f>
        <v>Butler10</v>
      </c>
      <c r="C22" s="1" t="str">
        <f ca="1">IFERROR(__xludf.DUMMYFUNCTION("""COMPUTED_VALUE"""),"BE")</f>
        <v>BE</v>
      </c>
      <c r="D22" s="1" t="str">
        <f ca="1">IFERROR(__xludf.DUMMYFUNCTION("""COMPUTED_VALUE"""),"21-14")</f>
        <v>21-14</v>
      </c>
      <c r="E22" s="1" t="str">
        <f ca="1">IFERROR(__xludf.DUMMYFUNCTION("""COMPUTED_VALUE"""),"+19.05")</f>
        <v>+19.05</v>
      </c>
      <c r="F22" s="1">
        <f ca="1">IFERROR(__xludf.DUMMYFUNCTION("""COMPUTED_VALUE"""),116.2)</f>
        <v>116.2</v>
      </c>
      <c r="G22" s="1">
        <f ca="1">IFERROR(__xludf.DUMMYFUNCTION("""COMPUTED_VALUE"""),22)</f>
        <v>22</v>
      </c>
      <c r="H22" s="1">
        <f ca="1">IFERROR(__xludf.DUMMYFUNCTION("""COMPUTED_VALUE"""),97.2)</f>
        <v>97.2</v>
      </c>
      <c r="I22" s="1">
        <f ca="1">IFERROR(__xludf.DUMMYFUNCTION("""COMPUTED_VALUE"""),45)</f>
        <v>45</v>
      </c>
      <c r="J22" s="1">
        <f ca="1">IFERROR(__xludf.DUMMYFUNCTION("""COMPUTED_VALUE"""),67.6)</f>
        <v>67.599999999999994</v>
      </c>
      <c r="K22" s="1">
        <f ca="1">IFERROR(__xludf.DUMMYFUNCTION("""COMPUTED_VALUE"""),207)</f>
        <v>207</v>
      </c>
      <c r="L22" s="1">
        <f ca="1">IFERROR(__xludf.DUMMYFUNCTION("""COMPUTED_VALUE"""),-0.047)</f>
        <v>-4.7E-2</v>
      </c>
      <c r="M22" s="1">
        <f ca="1">IFERROR(__xludf.DUMMYFUNCTION("""COMPUTED_VALUE"""),290)</f>
        <v>290</v>
      </c>
      <c r="N22" s="1" t="str">
        <f ca="1">IFERROR(__xludf.DUMMYFUNCTION("""COMPUTED_VALUE"""),"+11.21")</f>
        <v>+11.21</v>
      </c>
      <c r="O22" s="1">
        <f ca="1">IFERROR(__xludf.DUMMYFUNCTION("""COMPUTED_VALUE"""),7)</f>
        <v>7</v>
      </c>
      <c r="P22" s="1">
        <f ca="1">IFERROR(__xludf.DUMMYFUNCTION("""COMPUTED_VALUE"""),112)</f>
        <v>112</v>
      </c>
      <c r="Q22" s="1">
        <f ca="1">IFERROR(__xludf.DUMMYFUNCTION("""COMPUTED_VALUE"""),1)</f>
        <v>1</v>
      </c>
      <c r="R22" s="1">
        <f ca="1">IFERROR(__xludf.DUMMYFUNCTION("""COMPUTED_VALUE"""),100.8)</f>
        <v>100.8</v>
      </c>
      <c r="S22" s="1">
        <f ca="1">IFERROR(__xludf.DUMMYFUNCTION("""COMPUTED_VALUE"""),34)</f>
        <v>34</v>
      </c>
      <c r="T22" s="1" t="str">
        <f ca="1">IFERROR(__xludf.DUMMYFUNCTION("""COMPUTED_VALUE"""),"+0.11")</f>
        <v>+0.11</v>
      </c>
      <c r="U22" s="1">
        <f ca="1">IFERROR(__xludf.DUMMYFUNCTION("""COMPUTED_VALUE"""),154)</f>
        <v>154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IFERROR(__xludf.DUMMYFUNCTION("""COMPUTED_VALUE"""),"Wichita St.4")</f>
        <v>Wichita St.4</v>
      </c>
      <c r="C23" s="1" t="str">
        <f ca="1">IFERROR(__xludf.DUMMYFUNCTION("""COMPUTED_VALUE"""),"Amer")</f>
        <v>Amer</v>
      </c>
      <c r="D23" s="1" t="str">
        <f ca="1">IFERROR(__xludf.DUMMYFUNCTION("""COMPUTED_VALUE"""),"25-8")</f>
        <v>25-8</v>
      </c>
      <c r="E23" s="1" t="str">
        <f ca="1">IFERROR(__xludf.DUMMYFUNCTION("""COMPUTED_VALUE"""),"+19.03")</f>
        <v>+19.03</v>
      </c>
      <c r="F23" s="1">
        <f ca="1">IFERROR(__xludf.DUMMYFUNCTION("""COMPUTED_VALUE"""),121)</f>
        <v>121</v>
      </c>
      <c r="G23" s="1">
        <f ca="1">IFERROR(__xludf.DUMMYFUNCTION("""COMPUTED_VALUE"""),4)</f>
        <v>4</v>
      </c>
      <c r="H23" s="1">
        <f ca="1">IFERROR(__xludf.DUMMYFUNCTION("""COMPUTED_VALUE"""),101.9)</f>
        <v>101.9</v>
      </c>
      <c r="I23" s="1">
        <f ca="1">IFERROR(__xludf.DUMMYFUNCTION("""COMPUTED_VALUE"""),111)</f>
        <v>111</v>
      </c>
      <c r="J23" s="1">
        <f ca="1">IFERROR(__xludf.DUMMYFUNCTION("""COMPUTED_VALUE"""),68.6)</f>
        <v>68.599999999999994</v>
      </c>
      <c r="K23" s="1">
        <f ca="1">IFERROR(__xludf.DUMMYFUNCTION("""COMPUTED_VALUE"""),162)</f>
        <v>162</v>
      </c>
      <c r="L23" s="1">
        <f ca="1">IFERROR(__xludf.DUMMYFUNCTION("""COMPUTED_VALUE"""),-0.026)</f>
        <v>-2.5999999999999999E-2</v>
      </c>
      <c r="M23" s="1">
        <f ca="1">IFERROR(__xludf.DUMMYFUNCTION("""COMPUTED_VALUE"""),254)</f>
        <v>254</v>
      </c>
      <c r="N23" s="1" t="str">
        <f ca="1">IFERROR(__xludf.DUMMYFUNCTION("""COMPUTED_VALUE"""),"+5.13")</f>
        <v>+5.13</v>
      </c>
      <c r="O23" s="1">
        <f ca="1">IFERROR(__xludf.DUMMYFUNCTION("""COMPUTED_VALUE"""),73)</f>
        <v>73</v>
      </c>
      <c r="P23" s="1">
        <f ca="1">IFERROR(__xludf.DUMMYFUNCTION("""COMPUTED_VALUE"""),107.3)</f>
        <v>107.3</v>
      </c>
      <c r="Q23" s="1">
        <f ca="1">IFERROR(__xludf.DUMMYFUNCTION("""COMPUTED_VALUE"""),79)</f>
        <v>79</v>
      </c>
      <c r="R23" s="1">
        <f ca="1">IFERROR(__xludf.DUMMYFUNCTION("""COMPUTED_VALUE"""),102.2)</f>
        <v>102.2</v>
      </c>
      <c r="S23" s="1">
        <f ca="1">IFERROR(__xludf.DUMMYFUNCTION("""COMPUTED_VALUE"""),70)</f>
        <v>70</v>
      </c>
      <c r="T23" s="1" t="str">
        <f ca="1">IFERROR(__xludf.DUMMYFUNCTION("""COMPUTED_VALUE"""),"+1.55")</f>
        <v>+1.55</v>
      </c>
      <c r="U23" s="1">
        <f ca="1">IFERROR(__xludf.DUMMYFUNCTION("""COMPUTED_VALUE"""),114)</f>
        <v>114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IFERROR(__xludf.DUMMYFUNCTION("""COMPUTED_VALUE"""),"Florida6")</f>
        <v>Florida6</v>
      </c>
      <c r="C24" s="1" t="str">
        <f ca="1">IFERROR(__xludf.DUMMYFUNCTION("""COMPUTED_VALUE"""),"SEC")</f>
        <v>SEC</v>
      </c>
      <c r="D24" s="1" t="str">
        <f ca="1">IFERROR(__xludf.DUMMYFUNCTION("""COMPUTED_VALUE"""),"21-13")</f>
        <v>21-13</v>
      </c>
      <c r="E24" s="1" t="str">
        <f ca="1">IFERROR(__xludf.DUMMYFUNCTION("""COMPUTED_VALUE"""),"+18.96")</f>
        <v>+18.96</v>
      </c>
      <c r="F24" s="1">
        <f ca="1">IFERROR(__xludf.DUMMYFUNCTION("""COMPUTED_VALUE"""),114.5)</f>
        <v>114.5</v>
      </c>
      <c r="G24" s="1">
        <f ca="1">IFERROR(__xludf.DUMMYFUNCTION("""COMPUTED_VALUE"""),41)</f>
        <v>41</v>
      </c>
      <c r="H24" s="1">
        <f ca="1">IFERROR(__xludf.DUMMYFUNCTION("""COMPUTED_VALUE"""),95.5)</f>
        <v>95.5</v>
      </c>
      <c r="I24" s="1">
        <f ca="1">IFERROR(__xludf.DUMMYFUNCTION("""COMPUTED_VALUE"""),24)</f>
        <v>24</v>
      </c>
      <c r="J24" s="1">
        <f ca="1">IFERROR(__xludf.DUMMYFUNCTION("""COMPUTED_VALUE"""),67.1)</f>
        <v>67.099999999999994</v>
      </c>
      <c r="K24" s="1">
        <f ca="1">IFERROR(__xludf.DUMMYFUNCTION("""COMPUTED_VALUE"""),226)</f>
        <v>226</v>
      </c>
      <c r="L24" s="1">
        <f ca="1">IFERROR(__xludf.DUMMYFUNCTION("""COMPUTED_VALUE"""),-0.059)</f>
        <v>-5.8999999999999997E-2</v>
      </c>
      <c r="M24" s="1">
        <f ca="1">IFERROR(__xludf.DUMMYFUNCTION("""COMPUTED_VALUE"""),310)</f>
        <v>310</v>
      </c>
      <c r="N24" s="1" t="str">
        <f ca="1">IFERROR(__xludf.DUMMYFUNCTION("""COMPUTED_VALUE"""),"+10.74")</f>
        <v>+10.74</v>
      </c>
      <c r="O24" s="1">
        <f ca="1">IFERROR(__xludf.DUMMYFUNCTION("""COMPUTED_VALUE"""),13)</f>
        <v>13</v>
      </c>
      <c r="P24" s="1">
        <f ca="1">IFERROR(__xludf.DUMMYFUNCTION("""COMPUTED_VALUE"""),110.2)</f>
        <v>110.2</v>
      </c>
      <c r="Q24" s="1">
        <f ca="1">IFERROR(__xludf.DUMMYFUNCTION("""COMPUTED_VALUE"""),31)</f>
        <v>31</v>
      </c>
      <c r="R24" s="1">
        <f ca="1">IFERROR(__xludf.DUMMYFUNCTION("""COMPUTED_VALUE"""),99.5)</f>
        <v>99.5</v>
      </c>
      <c r="S24" s="1">
        <f ca="1">IFERROR(__xludf.DUMMYFUNCTION("""COMPUTED_VALUE"""),4)</f>
        <v>4</v>
      </c>
      <c r="T24" s="1" t="str">
        <f ca="1">IFERROR(__xludf.DUMMYFUNCTION("""COMPUTED_VALUE"""),"+4.57")</f>
        <v>+4.57</v>
      </c>
      <c r="U24" s="1">
        <f ca="1">IFERROR(__xludf.DUMMYFUNCTION("""COMPUTED_VALUE"""),46)</f>
        <v>46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IFERROR(__xludf.DUMMYFUNCTION("""COMPUTED_VALUE"""),"Auburn4")</f>
        <v>Auburn4</v>
      </c>
      <c r="C25" s="1" t="str">
        <f ca="1">IFERROR(__xludf.DUMMYFUNCTION("""COMPUTED_VALUE"""),"SEC")</f>
        <v>SEC</v>
      </c>
      <c r="D25" s="1" t="str">
        <f ca="1">IFERROR(__xludf.DUMMYFUNCTION("""COMPUTED_VALUE"""),"26-8")</f>
        <v>26-8</v>
      </c>
      <c r="E25" s="1" t="str">
        <f ca="1">IFERROR(__xludf.DUMMYFUNCTION("""COMPUTED_VALUE"""),"+18.69")</f>
        <v>+18.69</v>
      </c>
      <c r="F25" s="1">
        <f ca="1">IFERROR(__xludf.DUMMYFUNCTION("""COMPUTED_VALUE"""),115.4)</f>
        <v>115.4</v>
      </c>
      <c r="G25" s="1">
        <f ca="1">IFERROR(__xludf.DUMMYFUNCTION("""COMPUTED_VALUE"""),26)</f>
        <v>26</v>
      </c>
      <c r="H25" s="1">
        <f ca="1">IFERROR(__xludf.DUMMYFUNCTION("""COMPUTED_VALUE"""),96.7)</f>
        <v>96.7</v>
      </c>
      <c r="I25" s="1">
        <f ca="1">IFERROR(__xludf.DUMMYFUNCTION("""COMPUTED_VALUE"""),37)</f>
        <v>37</v>
      </c>
      <c r="J25" s="1">
        <f ca="1">IFERROR(__xludf.DUMMYFUNCTION("""COMPUTED_VALUE"""),72.6)</f>
        <v>72.599999999999994</v>
      </c>
      <c r="K25" s="1">
        <f ca="1">IFERROR(__xludf.DUMMYFUNCTION("""COMPUTED_VALUE"""),18)</f>
        <v>18</v>
      </c>
      <c r="L25" s="1" t="str">
        <f ca="1">IFERROR(__xludf.DUMMYFUNCTION("""COMPUTED_VALUE"""),"+.034")</f>
        <v>+.034</v>
      </c>
      <c r="M25" s="1">
        <f ca="1">IFERROR(__xludf.DUMMYFUNCTION("""COMPUTED_VALUE"""),94)</f>
        <v>94</v>
      </c>
      <c r="N25" s="1" t="str">
        <f ca="1">IFERROR(__xludf.DUMMYFUNCTION("""COMPUTED_VALUE"""),"+7.52")</f>
        <v>+7.52</v>
      </c>
      <c r="O25" s="1">
        <f ca="1">IFERROR(__xludf.DUMMYFUNCTION("""COMPUTED_VALUE"""),57)</f>
        <v>57</v>
      </c>
      <c r="P25" s="1">
        <f ca="1">IFERROR(__xludf.DUMMYFUNCTION("""COMPUTED_VALUE"""),108.8)</f>
        <v>108.8</v>
      </c>
      <c r="Q25" s="1">
        <f ca="1">IFERROR(__xludf.DUMMYFUNCTION("""COMPUTED_VALUE"""),58)</f>
        <v>58</v>
      </c>
      <c r="R25" s="1">
        <f ca="1">IFERROR(__xludf.DUMMYFUNCTION("""COMPUTED_VALUE"""),101.3)</f>
        <v>101.3</v>
      </c>
      <c r="S25" s="1">
        <f ca="1">IFERROR(__xludf.DUMMYFUNCTION("""COMPUTED_VALUE"""),51)</f>
        <v>51</v>
      </c>
      <c r="T25" s="1">
        <f ca="1">IFERROR(__xludf.DUMMYFUNCTION("""COMPUTED_VALUE"""),-1.86)</f>
        <v>-1.86</v>
      </c>
      <c r="U25" s="1">
        <f ca="1">IFERROR(__xludf.DUMMYFUNCTION("""COMPUTED_VALUE"""),211)</f>
        <v>211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IFERROR(__xludf.DUMMYFUNCTION("""COMPUTED_VALUE"""),"TCU6")</f>
        <v>TCU6</v>
      </c>
      <c r="C26" s="1" t="str">
        <f ca="1">IFERROR(__xludf.DUMMYFUNCTION("""COMPUTED_VALUE"""),"B12")</f>
        <v>B12</v>
      </c>
      <c r="D26" s="1" t="str">
        <f ca="1">IFERROR(__xludf.DUMMYFUNCTION("""COMPUTED_VALUE"""),"21-12")</f>
        <v>21-12</v>
      </c>
      <c r="E26" s="1" t="str">
        <f ca="1">IFERROR(__xludf.DUMMYFUNCTION("""COMPUTED_VALUE"""),"+18.47")</f>
        <v>+18.47</v>
      </c>
      <c r="F26" s="1">
        <f ca="1">IFERROR(__xludf.DUMMYFUNCTION("""COMPUTED_VALUE"""),119.7)</f>
        <v>119.7</v>
      </c>
      <c r="G26" s="1">
        <f ca="1">IFERROR(__xludf.DUMMYFUNCTION("""COMPUTED_VALUE"""),9)</f>
        <v>9</v>
      </c>
      <c r="H26" s="1">
        <f ca="1">IFERROR(__xludf.DUMMYFUNCTION("""COMPUTED_VALUE"""),101.2)</f>
        <v>101.2</v>
      </c>
      <c r="I26" s="1">
        <f ca="1">IFERROR(__xludf.DUMMYFUNCTION("""COMPUTED_VALUE"""),100)</f>
        <v>100</v>
      </c>
      <c r="J26" s="1">
        <f ca="1">IFERROR(__xludf.DUMMYFUNCTION("""COMPUTED_VALUE"""),68.6)</f>
        <v>68.599999999999994</v>
      </c>
      <c r="K26" s="1">
        <f ca="1">IFERROR(__xludf.DUMMYFUNCTION("""COMPUTED_VALUE"""),160)</f>
        <v>160</v>
      </c>
      <c r="L26" s="1">
        <f ca="1">IFERROR(__xludf.DUMMYFUNCTION("""COMPUTED_VALUE"""),-0.067)</f>
        <v>-6.7000000000000004E-2</v>
      </c>
      <c r="M26" s="1">
        <f ca="1">IFERROR(__xludf.DUMMYFUNCTION("""COMPUTED_VALUE"""),322)</f>
        <v>322</v>
      </c>
      <c r="N26" s="1" t="str">
        <f ca="1">IFERROR(__xludf.DUMMYFUNCTION("""COMPUTED_VALUE"""),"+9.67")</f>
        <v>+9.67</v>
      </c>
      <c r="O26" s="1">
        <f ca="1">IFERROR(__xludf.DUMMYFUNCTION("""COMPUTED_VALUE"""),29)</f>
        <v>29</v>
      </c>
      <c r="P26" s="1">
        <f ca="1">IFERROR(__xludf.DUMMYFUNCTION("""COMPUTED_VALUE"""),110.7)</f>
        <v>110.7</v>
      </c>
      <c r="Q26" s="1">
        <f ca="1">IFERROR(__xludf.DUMMYFUNCTION("""COMPUTED_VALUE"""),24)</f>
        <v>24</v>
      </c>
      <c r="R26" s="1">
        <f ca="1">IFERROR(__xludf.DUMMYFUNCTION("""COMPUTED_VALUE"""),101)</f>
        <v>101</v>
      </c>
      <c r="S26" s="1">
        <f ca="1">IFERROR(__xludf.DUMMYFUNCTION("""COMPUTED_VALUE"""),43)</f>
        <v>43</v>
      </c>
      <c r="T26" s="1">
        <f ca="1">IFERROR(__xludf.DUMMYFUNCTION("""COMPUTED_VALUE"""),-0.82)</f>
        <v>-0.82</v>
      </c>
      <c r="U26" s="1">
        <f ca="1">IFERROR(__xludf.DUMMYFUNCTION("""COMPUTED_VALUE"""),178)</f>
        <v>178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IFERROR(__xludf.DUMMYFUNCTION("""COMPUTED_VALUE"""),"Nevada7")</f>
        <v>Nevada7</v>
      </c>
      <c r="C27" s="1" t="str">
        <f ca="1">IFERROR(__xludf.DUMMYFUNCTION("""COMPUTED_VALUE"""),"MWC")</f>
        <v>MWC</v>
      </c>
      <c r="D27" s="1" t="str">
        <f ca="1">IFERROR(__xludf.DUMMYFUNCTION("""COMPUTED_VALUE"""),"29-8")</f>
        <v>29-8</v>
      </c>
      <c r="E27" s="1" t="str">
        <f ca="1">IFERROR(__xludf.DUMMYFUNCTION("""COMPUTED_VALUE"""),"+18.39")</f>
        <v>+18.39</v>
      </c>
      <c r="F27" s="1">
        <f ca="1">IFERROR(__xludf.DUMMYFUNCTION("""COMPUTED_VALUE"""),120.2)</f>
        <v>120.2</v>
      </c>
      <c r="G27" s="1">
        <f ca="1">IFERROR(__xludf.DUMMYFUNCTION("""COMPUTED_VALUE"""),7)</f>
        <v>7</v>
      </c>
      <c r="H27" s="1">
        <f ca="1">IFERROR(__xludf.DUMMYFUNCTION("""COMPUTED_VALUE"""),101.8)</f>
        <v>101.8</v>
      </c>
      <c r="I27" s="1">
        <f ca="1">IFERROR(__xludf.DUMMYFUNCTION("""COMPUTED_VALUE"""),108)</f>
        <v>108</v>
      </c>
      <c r="J27" s="1">
        <f ca="1">IFERROR(__xludf.DUMMYFUNCTION("""COMPUTED_VALUE"""),69.4)</f>
        <v>69.400000000000006</v>
      </c>
      <c r="K27" s="1">
        <f ca="1">IFERROR(__xludf.DUMMYFUNCTION("""COMPUTED_VALUE"""),105)</f>
        <v>105</v>
      </c>
      <c r="L27" s="1">
        <f ca="1">IFERROR(__xludf.DUMMYFUNCTION("""COMPUTED_VALUE"""),-0.026)</f>
        <v>-2.5999999999999999E-2</v>
      </c>
      <c r="M27" s="1">
        <f ca="1">IFERROR(__xludf.DUMMYFUNCTION("""COMPUTED_VALUE"""),255)</f>
        <v>255</v>
      </c>
      <c r="N27" s="1" t="str">
        <f ca="1">IFERROR(__xludf.DUMMYFUNCTION("""COMPUTED_VALUE"""),"+5.13")</f>
        <v>+5.13</v>
      </c>
      <c r="O27" s="1">
        <f ca="1">IFERROR(__xludf.DUMMYFUNCTION("""COMPUTED_VALUE"""),74)</f>
        <v>74</v>
      </c>
      <c r="P27" s="1">
        <f ca="1">IFERROR(__xludf.DUMMYFUNCTION("""COMPUTED_VALUE"""),107)</f>
        <v>107</v>
      </c>
      <c r="Q27" s="1">
        <f ca="1">IFERROR(__xludf.DUMMYFUNCTION("""COMPUTED_VALUE"""),87)</f>
        <v>87</v>
      </c>
      <c r="R27" s="1">
        <f ca="1">IFERROR(__xludf.DUMMYFUNCTION("""COMPUTED_VALUE"""),101.8)</f>
        <v>101.8</v>
      </c>
      <c r="S27" s="1">
        <f ca="1">IFERROR(__xludf.DUMMYFUNCTION("""COMPUTED_VALUE"""),63)</f>
        <v>63</v>
      </c>
      <c r="T27" s="1" t="str">
        <f ca="1">IFERROR(__xludf.DUMMYFUNCTION("""COMPUTED_VALUE"""),"+3.61")</f>
        <v>+3.61</v>
      </c>
      <c r="U27" s="1">
        <f ca="1">IFERROR(__xludf.DUMMYFUNCTION("""COMPUTED_VALUE"""),67)</f>
        <v>67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IFERROR(__xludf.DUMMYFUNCTION("""COMPUTED_VALUE"""),"Seton Hall8")</f>
        <v>Seton Hall8</v>
      </c>
      <c r="C28" s="1" t="str">
        <f ca="1">IFERROR(__xludf.DUMMYFUNCTION("""COMPUTED_VALUE"""),"BE")</f>
        <v>BE</v>
      </c>
      <c r="D28" s="1" t="str">
        <f ca="1">IFERROR(__xludf.DUMMYFUNCTION("""COMPUTED_VALUE"""),"22-12")</f>
        <v>22-12</v>
      </c>
      <c r="E28" s="1" t="str">
        <f ca="1">IFERROR(__xludf.DUMMYFUNCTION("""COMPUTED_VALUE"""),"+18.04")</f>
        <v>+18.04</v>
      </c>
      <c r="F28" s="1">
        <f ca="1">IFERROR(__xludf.DUMMYFUNCTION("""COMPUTED_VALUE"""),116.9)</f>
        <v>116.9</v>
      </c>
      <c r="G28" s="1">
        <f ca="1">IFERROR(__xludf.DUMMYFUNCTION("""COMPUTED_VALUE"""),17)</f>
        <v>17</v>
      </c>
      <c r="H28" s="1">
        <f ca="1">IFERROR(__xludf.DUMMYFUNCTION("""COMPUTED_VALUE"""),98.8)</f>
        <v>98.8</v>
      </c>
      <c r="I28" s="1">
        <f ca="1">IFERROR(__xludf.DUMMYFUNCTION("""COMPUTED_VALUE"""),62)</f>
        <v>62</v>
      </c>
      <c r="J28" s="1">
        <f ca="1">IFERROR(__xludf.DUMMYFUNCTION("""COMPUTED_VALUE"""),69.5)</f>
        <v>69.5</v>
      </c>
      <c r="K28" s="1">
        <f ca="1">IFERROR(__xludf.DUMMYFUNCTION("""COMPUTED_VALUE"""),103)</f>
        <v>103</v>
      </c>
      <c r="L28" s="1">
        <f ca="1">IFERROR(__xludf.DUMMYFUNCTION("""COMPUTED_VALUE"""),-0.028)</f>
        <v>-2.8000000000000001E-2</v>
      </c>
      <c r="M28" s="1">
        <f ca="1">IFERROR(__xludf.DUMMYFUNCTION("""COMPUTED_VALUE"""),260)</f>
        <v>260</v>
      </c>
      <c r="N28" s="1" t="str">
        <f ca="1">IFERROR(__xludf.DUMMYFUNCTION("""COMPUTED_VALUE"""),"+10.12")</f>
        <v>+10.12</v>
      </c>
      <c r="O28" s="1">
        <f ca="1">IFERROR(__xludf.DUMMYFUNCTION("""COMPUTED_VALUE"""),21)</f>
        <v>21</v>
      </c>
      <c r="P28" s="1">
        <f ca="1">IFERROR(__xludf.DUMMYFUNCTION("""COMPUTED_VALUE"""),110.5)</f>
        <v>110.5</v>
      </c>
      <c r="Q28" s="1">
        <f ca="1">IFERROR(__xludf.DUMMYFUNCTION("""COMPUTED_VALUE"""),27)</f>
        <v>27</v>
      </c>
      <c r="R28" s="1">
        <f ca="1">IFERROR(__xludf.DUMMYFUNCTION("""COMPUTED_VALUE"""),100.4)</f>
        <v>100.4</v>
      </c>
      <c r="S28" s="1">
        <f ca="1">IFERROR(__xludf.DUMMYFUNCTION("""COMPUTED_VALUE"""),24)</f>
        <v>24</v>
      </c>
      <c r="T28" s="1">
        <f ca="1">IFERROR(__xludf.DUMMYFUNCTION("""COMPUTED_VALUE"""),0)</f>
        <v>0</v>
      </c>
      <c r="U28" s="1">
        <f ca="1">IFERROR(__xludf.DUMMYFUNCTION("""COMPUTED_VALUE"""),157)</f>
        <v>157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IFERROR(__xludf.DUMMYFUNCTION("""COMPUTED_VALUE"""),"Florida St.9")</f>
        <v>Florida St.9</v>
      </c>
      <c r="C29" s="1" t="str">
        <f ca="1">IFERROR(__xludf.DUMMYFUNCTION("""COMPUTED_VALUE"""),"ACC")</f>
        <v>ACC</v>
      </c>
      <c r="D29" s="1" t="str">
        <f ca="1">IFERROR(__xludf.DUMMYFUNCTION("""COMPUTED_VALUE"""),"23-12")</f>
        <v>23-12</v>
      </c>
      <c r="E29" s="1" t="str">
        <f ca="1">IFERROR(__xludf.DUMMYFUNCTION("""COMPUTED_VALUE"""),"+17.77")</f>
        <v>+17.77</v>
      </c>
      <c r="F29" s="1">
        <f ca="1">IFERROR(__xludf.DUMMYFUNCTION("""COMPUTED_VALUE"""),114.3)</f>
        <v>114.3</v>
      </c>
      <c r="G29" s="1">
        <f ca="1">IFERROR(__xludf.DUMMYFUNCTION("""COMPUTED_VALUE"""),43)</f>
        <v>43</v>
      </c>
      <c r="H29" s="1">
        <f ca="1">IFERROR(__xludf.DUMMYFUNCTION("""COMPUTED_VALUE"""),96.5)</f>
        <v>96.5</v>
      </c>
      <c r="I29" s="1">
        <f ca="1">IFERROR(__xludf.DUMMYFUNCTION("""COMPUTED_VALUE"""),33)</f>
        <v>33</v>
      </c>
      <c r="J29" s="1">
        <f ca="1">IFERROR(__xludf.DUMMYFUNCTION("""COMPUTED_VALUE"""),71.2)</f>
        <v>71.2</v>
      </c>
      <c r="K29" s="1">
        <f ca="1">IFERROR(__xludf.DUMMYFUNCTION("""COMPUTED_VALUE"""),45)</f>
        <v>45</v>
      </c>
      <c r="L29" s="1">
        <f ca="1">IFERROR(__xludf.DUMMYFUNCTION("""COMPUTED_VALUE"""),-0.029)</f>
        <v>-2.9000000000000001E-2</v>
      </c>
      <c r="M29" s="1">
        <f ca="1">IFERROR(__xludf.DUMMYFUNCTION("""COMPUTED_VALUE"""),261)</f>
        <v>261</v>
      </c>
      <c r="N29" s="1" t="str">
        <f ca="1">IFERROR(__xludf.DUMMYFUNCTION("""COMPUTED_VALUE"""),"+9.27")</f>
        <v>+9.27</v>
      </c>
      <c r="O29" s="1">
        <f ca="1">IFERROR(__xludf.DUMMYFUNCTION("""COMPUTED_VALUE"""),36)</f>
        <v>36</v>
      </c>
      <c r="P29" s="1">
        <f ca="1">IFERROR(__xludf.DUMMYFUNCTION("""COMPUTED_VALUE"""),109.6)</f>
        <v>109.6</v>
      </c>
      <c r="Q29" s="1">
        <f ca="1">IFERROR(__xludf.DUMMYFUNCTION("""COMPUTED_VALUE"""),45)</f>
        <v>45</v>
      </c>
      <c r="R29" s="1">
        <f ca="1">IFERROR(__xludf.DUMMYFUNCTION("""COMPUTED_VALUE"""),100.3)</f>
        <v>100.3</v>
      </c>
      <c r="S29" s="1">
        <f ca="1">IFERROR(__xludf.DUMMYFUNCTION("""COMPUTED_VALUE"""),20)</f>
        <v>20</v>
      </c>
      <c r="T29" s="1">
        <f ca="1">IFERROR(__xludf.DUMMYFUNCTION("""COMPUTED_VALUE"""),-6.91)</f>
        <v>-6.91</v>
      </c>
      <c r="U29" s="1">
        <f ca="1">IFERROR(__xludf.DUMMYFUNCTION("""COMPUTED_VALUE"""),330)</f>
        <v>330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IFERROR(__xludf.DUMMYFUNCTION("""COMPUTED_VALUE"""),"Arizona4")</f>
        <v>Arizona4</v>
      </c>
      <c r="C30" s="1" t="str">
        <f ca="1">IFERROR(__xludf.DUMMYFUNCTION("""COMPUTED_VALUE"""),"P12")</f>
        <v>P12</v>
      </c>
      <c r="D30" s="1" t="str">
        <f ca="1">IFERROR(__xludf.DUMMYFUNCTION("""COMPUTED_VALUE"""),"27-8")</f>
        <v>27-8</v>
      </c>
      <c r="E30" s="1" t="str">
        <f ca="1">IFERROR(__xludf.DUMMYFUNCTION("""COMPUTED_VALUE"""),"+17.70")</f>
        <v>+17.70</v>
      </c>
      <c r="F30" s="1">
        <f ca="1">IFERROR(__xludf.DUMMYFUNCTION("""COMPUTED_VALUE"""),118)</f>
        <v>118</v>
      </c>
      <c r="G30" s="1">
        <f ca="1">IFERROR(__xludf.DUMMYFUNCTION("""COMPUTED_VALUE"""),15)</f>
        <v>15</v>
      </c>
      <c r="H30" s="1">
        <f ca="1">IFERROR(__xludf.DUMMYFUNCTION("""COMPUTED_VALUE"""),100.4)</f>
        <v>100.4</v>
      </c>
      <c r="I30" s="1">
        <f ca="1">IFERROR(__xludf.DUMMYFUNCTION("""COMPUTED_VALUE"""),83)</f>
        <v>83</v>
      </c>
      <c r="J30" s="1">
        <f ca="1">IFERROR(__xludf.DUMMYFUNCTION("""COMPUTED_VALUE"""),67.1)</f>
        <v>67.099999999999994</v>
      </c>
      <c r="K30" s="1">
        <f ca="1">IFERROR(__xludf.DUMMYFUNCTION("""COMPUTED_VALUE"""),224)</f>
        <v>224</v>
      </c>
      <c r="L30" s="1" t="str">
        <f ca="1">IFERROR(__xludf.DUMMYFUNCTION("""COMPUTED_VALUE"""),"+.036")</f>
        <v>+.036</v>
      </c>
      <c r="M30" s="1">
        <f ca="1">IFERROR(__xludf.DUMMYFUNCTION("""COMPUTED_VALUE"""),88)</f>
        <v>88</v>
      </c>
      <c r="N30" s="1" t="str">
        <f ca="1">IFERROR(__xludf.DUMMYFUNCTION("""COMPUTED_VALUE"""),"+5.96")</f>
        <v>+5.96</v>
      </c>
      <c r="O30" s="1">
        <f ca="1">IFERROR(__xludf.DUMMYFUNCTION("""COMPUTED_VALUE"""),68)</f>
        <v>68</v>
      </c>
      <c r="P30" s="1">
        <f ca="1">IFERROR(__xludf.DUMMYFUNCTION("""COMPUTED_VALUE"""),108.5)</f>
        <v>108.5</v>
      </c>
      <c r="Q30" s="1">
        <f ca="1">IFERROR(__xludf.DUMMYFUNCTION("""COMPUTED_VALUE"""),65)</f>
        <v>65</v>
      </c>
      <c r="R30" s="1">
        <f ca="1">IFERROR(__xludf.DUMMYFUNCTION("""COMPUTED_VALUE"""),102.5)</f>
        <v>102.5</v>
      </c>
      <c r="S30" s="1">
        <f ca="1">IFERROR(__xludf.DUMMYFUNCTION("""COMPUTED_VALUE"""),73)</f>
        <v>73</v>
      </c>
      <c r="T30" s="1" t="str">
        <f ca="1">IFERROR(__xludf.DUMMYFUNCTION("""COMPUTED_VALUE"""),"+2.51")</f>
        <v>+2.51</v>
      </c>
      <c r="U30" s="1">
        <f ca="1">IFERROR(__xludf.DUMMYFUNCTION("""COMPUTED_VALUE"""),86)</f>
        <v>86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IFERROR(__xludf.DUMMYFUNCTION("""COMPUTED_VALUE"""),"Texas A&amp;M7")</f>
        <v>Texas A&amp;M7</v>
      </c>
      <c r="C31" s="1" t="str">
        <f ca="1">IFERROR(__xludf.DUMMYFUNCTION("""COMPUTED_VALUE"""),"SEC")</f>
        <v>SEC</v>
      </c>
      <c r="D31" s="1" t="str">
        <f ca="1">IFERROR(__xludf.DUMMYFUNCTION("""COMPUTED_VALUE"""),"22-13")</f>
        <v>22-13</v>
      </c>
      <c r="E31" s="1" t="str">
        <f ca="1">IFERROR(__xludf.DUMMYFUNCTION("""COMPUTED_VALUE"""),"+16.96")</f>
        <v>+16.96</v>
      </c>
      <c r="F31" s="1">
        <f ca="1">IFERROR(__xludf.DUMMYFUNCTION("""COMPUTED_VALUE"""),111.3)</f>
        <v>111.3</v>
      </c>
      <c r="G31" s="1">
        <f ca="1">IFERROR(__xludf.DUMMYFUNCTION("""COMPUTED_VALUE"""),66)</f>
        <v>66</v>
      </c>
      <c r="H31" s="1">
        <f ca="1">IFERROR(__xludf.DUMMYFUNCTION("""COMPUTED_VALUE"""),94.4)</f>
        <v>94.4</v>
      </c>
      <c r="I31" s="1">
        <f ca="1">IFERROR(__xludf.DUMMYFUNCTION("""COMPUTED_VALUE"""),14)</f>
        <v>14</v>
      </c>
      <c r="J31" s="1">
        <f ca="1">IFERROR(__xludf.DUMMYFUNCTION("""COMPUTED_VALUE"""),69.5)</f>
        <v>69.5</v>
      </c>
      <c r="K31" s="1">
        <f ca="1">IFERROR(__xludf.DUMMYFUNCTION("""COMPUTED_VALUE"""),101)</f>
        <v>101</v>
      </c>
      <c r="L31" s="1" t="str">
        <f ca="1">IFERROR(__xludf.DUMMYFUNCTION("""COMPUTED_VALUE"""),"+.014")</f>
        <v>+.014</v>
      </c>
      <c r="M31" s="1">
        <f ca="1">IFERROR(__xludf.DUMMYFUNCTION("""COMPUTED_VALUE"""),140)</f>
        <v>140</v>
      </c>
      <c r="N31" s="1" t="str">
        <f ca="1">IFERROR(__xludf.DUMMYFUNCTION("""COMPUTED_VALUE"""),"+11.69")</f>
        <v>+11.69</v>
      </c>
      <c r="O31" s="1">
        <f ca="1">IFERROR(__xludf.DUMMYFUNCTION("""COMPUTED_VALUE"""),4)</f>
        <v>4</v>
      </c>
      <c r="P31" s="1">
        <f ca="1">IFERROR(__xludf.DUMMYFUNCTION("""COMPUTED_VALUE"""),111.8)</f>
        <v>111.8</v>
      </c>
      <c r="Q31" s="1">
        <f ca="1">IFERROR(__xludf.DUMMYFUNCTION("""COMPUTED_VALUE"""),2)</f>
        <v>2</v>
      </c>
      <c r="R31" s="1">
        <f ca="1">IFERROR(__xludf.DUMMYFUNCTION("""COMPUTED_VALUE"""),100.1)</f>
        <v>100.1</v>
      </c>
      <c r="S31" s="1">
        <f ca="1">IFERROR(__xludf.DUMMYFUNCTION("""COMPUTED_VALUE"""),15)</f>
        <v>15</v>
      </c>
      <c r="T31" s="1" t="str">
        <f ca="1">IFERROR(__xludf.DUMMYFUNCTION("""COMPUTED_VALUE"""),"+5.12")</f>
        <v>+5.12</v>
      </c>
      <c r="U31" s="1">
        <f ca="1">IFERROR(__xludf.DUMMYFUNCTION("""COMPUTED_VALUE"""),37)</f>
        <v>37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IFERROR(__xludf.DUMMYFUNCTION("""COMPUTED_VALUE"""),"Creighton8")</f>
        <v>Creighton8</v>
      </c>
      <c r="C32" s="1" t="str">
        <f ca="1">IFERROR(__xludf.DUMMYFUNCTION("""COMPUTED_VALUE"""),"BE")</f>
        <v>BE</v>
      </c>
      <c r="D32" s="1" t="str">
        <f ca="1">IFERROR(__xludf.DUMMYFUNCTION("""COMPUTED_VALUE"""),"21-12")</f>
        <v>21-12</v>
      </c>
      <c r="E32" s="1" t="str">
        <f ca="1">IFERROR(__xludf.DUMMYFUNCTION("""COMPUTED_VALUE"""),"+16.91")</f>
        <v>+16.91</v>
      </c>
      <c r="F32" s="1">
        <f ca="1">IFERROR(__xludf.DUMMYFUNCTION("""COMPUTED_VALUE"""),115.5)</f>
        <v>115.5</v>
      </c>
      <c r="G32" s="1">
        <f ca="1">IFERROR(__xludf.DUMMYFUNCTION("""COMPUTED_VALUE"""),25)</f>
        <v>25</v>
      </c>
      <c r="H32" s="1">
        <f ca="1">IFERROR(__xludf.DUMMYFUNCTION("""COMPUTED_VALUE"""),98.6)</f>
        <v>98.6</v>
      </c>
      <c r="I32" s="1">
        <f ca="1">IFERROR(__xludf.DUMMYFUNCTION("""COMPUTED_VALUE"""),58)</f>
        <v>58</v>
      </c>
      <c r="J32" s="1">
        <f ca="1">IFERROR(__xludf.DUMMYFUNCTION("""COMPUTED_VALUE"""),70.8)</f>
        <v>70.8</v>
      </c>
      <c r="K32" s="1">
        <f ca="1">IFERROR(__xludf.DUMMYFUNCTION("""COMPUTED_VALUE"""),57)</f>
        <v>57</v>
      </c>
      <c r="L32" s="1">
        <f ca="1">IFERROR(__xludf.DUMMYFUNCTION("""COMPUTED_VALUE"""),-0.028)</f>
        <v>-2.8000000000000001E-2</v>
      </c>
      <c r="M32" s="1">
        <f ca="1">IFERROR(__xludf.DUMMYFUNCTION("""COMPUTED_VALUE"""),259)</f>
        <v>259</v>
      </c>
      <c r="N32" s="1" t="str">
        <f ca="1">IFERROR(__xludf.DUMMYFUNCTION("""COMPUTED_VALUE"""),"+9.40")</f>
        <v>+9.40</v>
      </c>
      <c r="O32" s="1">
        <f ca="1">IFERROR(__xludf.DUMMYFUNCTION("""COMPUTED_VALUE"""),33)</f>
        <v>33</v>
      </c>
      <c r="P32" s="1">
        <f ca="1">IFERROR(__xludf.DUMMYFUNCTION("""COMPUTED_VALUE"""),110.8)</f>
        <v>110.8</v>
      </c>
      <c r="Q32" s="1">
        <f ca="1">IFERROR(__xludf.DUMMYFUNCTION("""COMPUTED_VALUE"""),21)</f>
        <v>21</v>
      </c>
      <c r="R32" s="1">
        <f ca="1">IFERROR(__xludf.DUMMYFUNCTION("""COMPUTED_VALUE"""),101.4)</f>
        <v>101.4</v>
      </c>
      <c r="S32" s="1">
        <f ca="1">IFERROR(__xludf.DUMMYFUNCTION("""COMPUTED_VALUE"""),54)</f>
        <v>54</v>
      </c>
      <c r="T32" s="1">
        <f ca="1">IFERROR(__xludf.DUMMYFUNCTION("""COMPUTED_VALUE"""),-4.2)</f>
        <v>-4.2</v>
      </c>
      <c r="U32" s="1">
        <f ca="1">IFERROR(__xludf.DUMMYFUNCTION("""COMPUTED_VALUE"""),292)</f>
        <v>292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IFERROR(__xludf.DUMMYFUNCTION("""COMPUTED_VALUE"""),"Loyola Chicago11")</f>
        <v>Loyola Chicago11</v>
      </c>
      <c r="C33" s="1" t="str">
        <f ca="1">IFERROR(__xludf.DUMMYFUNCTION("""COMPUTED_VALUE"""),"MVC")</f>
        <v>MVC</v>
      </c>
      <c r="D33" s="1" t="str">
        <f ca="1">IFERROR(__xludf.DUMMYFUNCTION("""COMPUTED_VALUE"""),"32-6")</f>
        <v>32-6</v>
      </c>
      <c r="E33" s="1" t="str">
        <f ca="1">IFERROR(__xludf.DUMMYFUNCTION("""COMPUTED_VALUE"""),"+16.39")</f>
        <v>+16.39</v>
      </c>
      <c r="F33" s="1">
        <f ca="1">IFERROR(__xludf.DUMMYFUNCTION("""COMPUTED_VALUE"""),111.4)</f>
        <v>111.4</v>
      </c>
      <c r="G33" s="1">
        <f ca="1">IFERROR(__xludf.DUMMYFUNCTION("""COMPUTED_VALUE"""),63)</f>
        <v>63</v>
      </c>
      <c r="H33" s="1">
        <f ca="1">IFERROR(__xludf.DUMMYFUNCTION("""COMPUTED_VALUE"""),95)</f>
        <v>95</v>
      </c>
      <c r="I33" s="1">
        <f ca="1">IFERROR(__xludf.DUMMYFUNCTION("""COMPUTED_VALUE"""),17)</f>
        <v>17</v>
      </c>
      <c r="J33" s="1">
        <f ca="1">IFERROR(__xludf.DUMMYFUNCTION("""COMPUTED_VALUE"""),65.5)</f>
        <v>65.5</v>
      </c>
      <c r="K33" s="1">
        <f ca="1">IFERROR(__xludf.DUMMYFUNCTION("""COMPUTED_VALUE"""),307)</f>
        <v>307</v>
      </c>
      <c r="L33" s="1" t="str">
        <f ca="1">IFERROR(__xludf.DUMMYFUNCTION("""COMPUTED_VALUE"""),"+.077")</f>
        <v>+.077</v>
      </c>
      <c r="M33" s="1">
        <f ca="1">IFERROR(__xludf.DUMMYFUNCTION("""COMPUTED_VALUE"""),22)</f>
        <v>22</v>
      </c>
      <c r="N33" s="1" t="str">
        <f ca="1">IFERROR(__xludf.DUMMYFUNCTION("""COMPUTED_VALUE"""),"+2.48")</f>
        <v>+2.48</v>
      </c>
      <c r="O33" s="1">
        <f ca="1">IFERROR(__xludf.DUMMYFUNCTION("""COMPUTED_VALUE"""),99)</f>
        <v>99</v>
      </c>
      <c r="P33" s="1">
        <f ca="1">IFERROR(__xludf.DUMMYFUNCTION("""COMPUTED_VALUE"""),104.8)</f>
        <v>104.8</v>
      </c>
      <c r="Q33" s="1">
        <f ca="1">IFERROR(__xludf.DUMMYFUNCTION("""COMPUTED_VALUE"""),156)</f>
        <v>156</v>
      </c>
      <c r="R33" s="1">
        <f ca="1">IFERROR(__xludf.DUMMYFUNCTION("""COMPUTED_VALUE"""),102.3)</f>
        <v>102.3</v>
      </c>
      <c r="S33" s="1">
        <f ca="1">IFERROR(__xludf.DUMMYFUNCTION("""COMPUTED_VALUE"""),72)</f>
        <v>72</v>
      </c>
      <c r="T33" s="1">
        <f ca="1">IFERROR(__xludf.DUMMYFUNCTION("""COMPUTED_VALUE"""),-5.47)</f>
        <v>-5.47</v>
      </c>
      <c r="U33" s="1">
        <f ca="1">IFERROR(__xludf.DUMMYFUNCTION("""COMPUTED_VALUE"""),315)</f>
        <v>315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IFERROR(__xludf.DUMMYFUNCTION("""COMPUTED_VALUE"""),"Saint Mary's1")</f>
        <v>Saint Mary's1</v>
      </c>
      <c r="C34" s="1" t="str">
        <f ca="1">IFERROR(__xludf.DUMMYFUNCTION("""COMPUTED_VALUE"""),"WCC")</f>
        <v>WCC</v>
      </c>
      <c r="D34" s="1" t="str">
        <f ca="1">IFERROR(__xludf.DUMMYFUNCTION("""COMPUTED_VALUE"""),"30-6")</f>
        <v>30-6</v>
      </c>
      <c r="E34" s="1" t="str">
        <f ca="1">IFERROR(__xludf.DUMMYFUNCTION("""COMPUTED_VALUE"""),"+16.13")</f>
        <v>+16.13</v>
      </c>
      <c r="F34" s="1">
        <f ca="1">IFERROR(__xludf.DUMMYFUNCTION("""COMPUTED_VALUE"""),119.4)</f>
        <v>119.4</v>
      </c>
      <c r="G34" s="1">
        <f ca="1">IFERROR(__xludf.DUMMYFUNCTION("""COMPUTED_VALUE"""),11)</f>
        <v>11</v>
      </c>
      <c r="H34" s="1">
        <f ca="1">IFERROR(__xludf.DUMMYFUNCTION("""COMPUTED_VALUE"""),103.2)</f>
        <v>103.2</v>
      </c>
      <c r="I34" s="1">
        <f ca="1">IFERROR(__xludf.DUMMYFUNCTION("""COMPUTED_VALUE"""),137)</f>
        <v>137</v>
      </c>
      <c r="J34" s="1">
        <f ca="1">IFERROR(__xludf.DUMMYFUNCTION("""COMPUTED_VALUE"""),63.5)</f>
        <v>63.5</v>
      </c>
      <c r="K34" s="1">
        <f ca="1">IFERROR(__xludf.DUMMYFUNCTION("""COMPUTED_VALUE"""),341)</f>
        <v>341</v>
      </c>
      <c r="L34" s="1" t="str">
        <f ca="1">IFERROR(__xludf.DUMMYFUNCTION("""COMPUTED_VALUE"""),"+.006")</f>
        <v>+.006</v>
      </c>
      <c r="M34" s="1">
        <f ca="1">IFERROR(__xludf.DUMMYFUNCTION("""COMPUTED_VALUE"""),161)</f>
        <v>161</v>
      </c>
      <c r="N34" s="1">
        <f ca="1">IFERROR(__xludf.DUMMYFUNCTION("""COMPUTED_VALUE"""),-2.12)</f>
        <v>-2.12</v>
      </c>
      <c r="O34" s="1">
        <f ca="1">IFERROR(__xludf.DUMMYFUNCTION("""COMPUTED_VALUE"""),196)</f>
        <v>196</v>
      </c>
      <c r="P34" s="1">
        <f ca="1">IFERROR(__xludf.DUMMYFUNCTION("""COMPUTED_VALUE"""),103.8)</f>
        <v>103.8</v>
      </c>
      <c r="Q34" s="1">
        <f ca="1">IFERROR(__xludf.DUMMYFUNCTION("""COMPUTED_VALUE"""),203)</f>
        <v>203</v>
      </c>
      <c r="R34" s="1">
        <f ca="1">IFERROR(__xludf.DUMMYFUNCTION("""COMPUTED_VALUE"""),105.9)</f>
        <v>105.9</v>
      </c>
      <c r="S34" s="1">
        <f ca="1">IFERROR(__xludf.DUMMYFUNCTION("""COMPUTED_VALUE"""),189)</f>
        <v>189</v>
      </c>
      <c r="T34" s="1">
        <f ca="1">IFERROR(__xludf.DUMMYFUNCTION("""COMPUTED_VALUE"""),-4.28)</f>
        <v>-4.28</v>
      </c>
      <c r="U34" s="1">
        <f ca="1">IFERROR(__xludf.DUMMYFUNCTION("""COMPUTED_VALUE"""),296)</f>
        <v>296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IFERROR(__xludf.DUMMYFUNCTION("""COMPUTED_VALUE"""),"Virginia Tech8")</f>
        <v>Virginia Tech8</v>
      </c>
      <c r="C35" s="1" t="str">
        <f ca="1">IFERROR(__xludf.DUMMYFUNCTION("""COMPUTED_VALUE"""),"ACC")</f>
        <v>ACC</v>
      </c>
      <c r="D35" s="1" t="str">
        <f ca="1">IFERROR(__xludf.DUMMYFUNCTION("""COMPUTED_VALUE"""),"21-12")</f>
        <v>21-12</v>
      </c>
      <c r="E35" s="1" t="str">
        <f ca="1">IFERROR(__xludf.DUMMYFUNCTION("""COMPUTED_VALUE"""),"+16.03")</f>
        <v>+16.03</v>
      </c>
      <c r="F35" s="1">
        <f ca="1">IFERROR(__xludf.DUMMYFUNCTION("""COMPUTED_VALUE"""),115.3)</f>
        <v>115.3</v>
      </c>
      <c r="G35" s="1">
        <f ca="1">IFERROR(__xludf.DUMMYFUNCTION("""COMPUTED_VALUE"""),28)</f>
        <v>28</v>
      </c>
      <c r="H35" s="1">
        <f ca="1">IFERROR(__xludf.DUMMYFUNCTION("""COMPUTED_VALUE"""),99.3)</f>
        <v>99.3</v>
      </c>
      <c r="I35" s="1">
        <f ca="1">IFERROR(__xludf.DUMMYFUNCTION("""COMPUTED_VALUE"""),70)</f>
        <v>70</v>
      </c>
      <c r="J35" s="1">
        <f ca="1">IFERROR(__xludf.DUMMYFUNCTION("""COMPUTED_VALUE"""),68.7)</f>
        <v>68.7</v>
      </c>
      <c r="K35" s="1">
        <f ca="1">IFERROR(__xludf.DUMMYFUNCTION("""COMPUTED_VALUE"""),147)</f>
        <v>147</v>
      </c>
      <c r="L35" s="1">
        <f ca="1">IFERROR(__xludf.DUMMYFUNCTION("""COMPUTED_VALUE"""),-0.018)</f>
        <v>-1.7999999999999999E-2</v>
      </c>
      <c r="M35" s="1">
        <f ca="1">IFERROR(__xludf.DUMMYFUNCTION("""COMPUTED_VALUE"""),229)</f>
        <v>229</v>
      </c>
      <c r="N35" s="1" t="str">
        <f ca="1">IFERROR(__xludf.DUMMYFUNCTION("""COMPUTED_VALUE"""),"+7.91")</f>
        <v>+7.91</v>
      </c>
      <c r="O35" s="1">
        <f ca="1">IFERROR(__xludf.DUMMYFUNCTION("""COMPUTED_VALUE"""),53)</f>
        <v>53</v>
      </c>
      <c r="P35" s="1">
        <f ca="1">IFERROR(__xludf.DUMMYFUNCTION("""COMPUTED_VALUE"""),109.2)</f>
        <v>109.2</v>
      </c>
      <c r="Q35" s="1">
        <f ca="1">IFERROR(__xludf.DUMMYFUNCTION("""COMPUTED_VALUE"""),47)</f>
        <v>47</v>
      </c>
      <c r="R35" s="1">
        <f ca="1">IFERROR(__xludf.DUMMYFUNCTION("""COMPUTED_VALUE"""),101.3)</f>
        <v>101.3</v>
      </c>
      <c r="S35" s="1">
        <f ca="1">IFERROR(__xludf.DUMMYFUNCTION("""COMPUTED_VALUE"""),52)</f>
        <v>52</v>
      </c>
      <c r="T35" s="1">
        <f ca="1">IFERROR(__xludf.DUMMYFUNCTION("""COMPUTED_VALUE"""),-9.76)</f>
        <v>-9.76</v>
      </c>
      <c r="U35" s="1">
        <f ca="1">IFERROR(__xludf.DUMMYFUNCTION("""COMPUTED_VALUE"""),344)</f>
        <v>344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IFERROR(__xludf.DUMMYFUNCTION("""COMPUTED_VALUE"""),"Baylor1")</f>
        <v>Baylor1</v>
      </c>
      <c r="C36" s="1" t="str">
        <f ca="1">IFERROR(__xludf.DUMMYFUNCTION("""COMPUTED_VALUE"""),"B12")</f>
        <v>B12</v>
      </c>
      <c r="D36" s="1" t="str">
        <f ca="1">IFERROR(__xludf.DUMMYFUNCTION("""COMPUTED_VALUE"""),"19-15")</f>
        <v>19-15</v>
      </c>
      <c r="E36" s="1" t="str">
        <f ca="1">IFERROR(__xludf.DUMMYFUNCTION("""COMPUTED_VALUE"""),"+16.02")</f>
        <v>+16.02</v>
      </c>
      <c r="F36" s="1">
        <f ca="1">IFERROR(__xludf.DUMMYFUNCTION("""COMPUTED_VALUE"""),111.5)</f>
        <v>111.5</v>
      </c>
      <c r="G36" s="1">
        <f ca="1">IFERROR(__xludf.DUMMYFUNCTION("""COMPUTED_VALUE"""),62)</f>
        <v>62</v>
      </c>
      <c r="H36" s="1">
        <f ca="1">IFERROR(__xludf.DUMMYFUNCTION("""COMPUTED_VALUE"""),95.5)</f>
        <v>95.5</v>
      </c>
      <c r="I36" s="1">
        <f ca="1">IFERROR(__xludf.DUMMYFUNCTION("""COMPUTED_VALUE"""),23)</f>
        <v>23</v>
      </c>
      <c r="J36" s="1">
        <f ca="1">IFERROR(__xludf.DUMMYFUNCTION("""COMPUTED_VALUE"""),66.7)</f>
        <v>66.7</v>
      </c>
      <c r="K36" s="1">
        <f ca="1">IFERROR(__xludf.DUMMYFUNCTION("""COMPUTED_VALUE"""),249)</f>
        <v>249</v>
      </c>
      <c r="L36" s="1">
        <f ca="1">IFERROR(__xludf.DUMMYFUNCTION("""COMPUTED_VALUE"""),-0.079)</f>
        <v>-7.9000000000000001E-2</v>
      </c>
      <c r="M36" s="1">
        <f ca="1">IFERROR(__xludf.DUMMYFUNCTION("""COMPUTED_VALUE"""),335)</f>
        <v>335</v>
      </c>
      <c r="N36" s="1" t="str">
        <f ca="1">IFERROR(__xludf.DUMMYFUNCTION("""COMPUTED_VALUE"""),"+10.02")</f>
        <v>+10.02</v>
      </c>
      <c r="O36" s="1">
        <f ca="1">IFERROR(__xludf.DUMMYFUNCTION("""COMPUTED_VALUE"""),23)</f>
        <v>23</v>
      </c>
      <c r="P36" s="1">
        <f ca="1">IFERROR(__xludf.DUMMYFUNCTION("""COMPUTED_VALUE"""),110.9)</f>
        <v>110.9</v>
      </c>
      <c r="Q36" s="1">
        <f ca="1">IFERROR(__xludf.DUMMYFUNCTION("""COMPUTED_VALUE"""),17)</f>
        <v>17</v>
      </c>
      <c r="R36" s="1">
        <f ca="1">IFERROR(__xludf.DUMMYFUNCTION("""COMPUTED_VALUE"""),100.9)</f>
        <v>100.9</v>
      </c>
      <c r="S36" s="1">
        <f ca="1">IFERROR(__xludf.DUMMYFUNCTION("""COMPUTED_VALUE"""),38)</f>
        <v>38</v>
      </c>
      <c r="T36" s="1">
        <f ca="1">IFERROR(__xludf.DUMMYFUNCTION("""COMPUTED_VALUE"""),-3.78)</f>
        <v>-3.78</v>
      </c>
      <c r="U36" s="1">
        <f ca="1">IFERROR(__xludf.DUMMYFUNCTION("""COMPUTED_VALUE"""),282)</f>
        <v>282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IFERROR(__xludf.DUMMYFUNCTION("""COMPUTED_VALUE"""),"Notre Dame1")</f>
        <v>Notre Dame1</v>
      </c>
      <c r="C37" s="1" t="str">
        <f ca="1">IFERROR(__xludf.DUMMYFUNCTION("""COMPUTED_VALUE"""),"ACC")</f>
        <v>ACC</v>
      </c>
      <c r="D37" s="1" t="str">
        <f ca="1">IFERROR(__xludf.DUMMYFUNCTION("""COMPUTED_VALUE"""),"21-15")</f>
        <v>21-15</v>
      </c>
      <c r="E37" s="1" t="str">
        <f ca="1">IFERROR(__xludf.DUMMYFUNCTION("""COMPUTED_VALUE"""),"+15.79")</f>
        <v>+15.79</v>
      </c>
      <c r="F37" s="1">
        <f ca="1">IFERROR(__xludf.DUMMYFUNCTION("""COMPUTED_VALUE"""),114.9)</f>
        <v>114.9</v>
      </c>
      <c r="G37" s="1">
        <f ca="1">IFERROR(__xludf.DUMMYFUNCTION("""COMPUTED_VALUE"""),32)</f>
        <v>32</v>
      </c>
      <c r="H37" s="1">
        <f ca="1">IFERROR(__xludf.DUMMYFUNCTION("""COMPUTED_VALUE"""),99.1)</f>
        <v>99.1</v>
      </c>
      <c r="I37" s="1">
        <f ca="1">IFERROR(__xludf.DUMMYFUNCTION("""COMPUTED_VALUE"""),68)</f>
        <v>68</v>
      </c>
      <c r="J37" s="1">
        <f ca="1">IFERROR(__xludf.DUMMYFUNCTION("""COMPUTED_VALUE"""),65.4)</f>
        <v>65.400000000000006</v>
      </c>
      <c r="K37" s="1">
        <f ca="1">IFERROR(__xludf.DUMMYFUNCTION("""COMPUTED_VALUE"""),312)</f>
        <v>312</v>
      </c>
      <c r="L37" s="1">
        <f ca="1">IFERROR(__xludf.DUMMYFUNCTION("""COMPUTED_VALUE"""),-0.058)</f>
        <v>-5.8000000000000003E-2</v>
      </c>
      <c r="M37" s="1">
        <f ca="1">IFERROR(__xludf.DUMMYFUNCTION("""COMPUTED_VALUE"""),309)</f>
        <v>309</v>
      </c>
      <c r="N37" s="1" t="str">
        <f ca="1">IFERROR(__xludf.DUMMYFUNCTION("""COMPUTED_VALUE"""),"+8.65")</f>
        <v>+8.65</v>
      </c>
      <c r="O37" s="1">
        <f ca="1">IFERROR(__xludf.DUMMYFUNCTION("""COMPUTED_VALUE"""),45)</f>
        <v>45</v>
      </c>
      <c r="P37" s="1">
        <f ca="1">IFERROR(__xludf.DUMMYFUNCTION("""COMPUTED_VALUE"""),109.8)</f>
        <v>109.8</v>
      </c>
      <c r="Q37" s="1">
        <f ca="1">IFERROR(__xludf.DUMMYFUNCTION("""COMPUTED_VALUE"""),39)</f>
        <v>39</v>
      </c>
      <c r="R37" s="1">
        <f ca="1">IFERROR(__xludf.DUMMYFUNCTION("""COMPUTED_VALUE"""),101.2)</f>
        <v>101.2</v>
      </c>
      <c r="S37" s="1">
        <f ca="1">IFERROR(__xludf.DUMMYFUNCTION("""COMPUTED_VALUE"""),49)</f>
        <v>49</v>
      </c>
      <c r="T37" s="1">
        <f ca="1">IFERROR(__xludf.DUMMYFUNCTION("""COMPUTED_VALUE"""),-1.7)</f>
        <v>-1.7</v>
      </c>
      <c r="U37" s="1">
        <f ca="1">IFERROR(__xludf.DUMMYFUNCTION("""COMPUTED_VALUE"""),203)</f>
        <v>203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IFERROR(__xludf.DUMMYFUNCTION("""COMPUTED_VALUE"""),"Texas10")</f>
        <v>Texas10</v>
      </c>
      <c r="C38" s="1" t="str">
        <f ca="1">IFERROR(__xludf.DUMMYFUNCTION("""COMPUTED_VALUE"""),"B12")</f>
        <v>B12</v>
      </c>
      <c r="D38" s="1" t="str">
        <f ca="1">IFERROR(__xludf.DUMMYFUNCTION("""COMPUTED_VALUE"""),"19-15")</f>
        <v>19-15</v>
      </c>
      <c r="E38" s="1" t="str">
        <f ca="1">IFERROR(__xludf.DUMMYFUNCTION("""COMPUTED_VALUE"""),"+15.43")</f>
        <v>+15.43</v>
      </c>
      <c r="F38" s="1">
        <f ca="1">IFERROR(__xludf.DUMMYFUNCTION("""COMPUTED_VALUE"""),109.5)</f>
        <v>109.5</v>
      </c>
      <c r="G38" s="1">
        <f ca="1">IFERROR(__xludf.DUMMYFUNCTION("""COMPUTED_VALUE"""),89)</f>
        <v>89</v>
      </c>
      <c r="H38" s="1">
        <f ca="1">IFERROR(__xludf.DUMMYFUNCTION("""COMPUTED_VALUE"""),94.1)</f>
        <v>94.1</v>
      </c>
      <c r="I38" s="1">
        <f ca="1">IFERROR(__xludf.DUMMYFUNCTION("""COMPUTED_VALUE"""),12)</f>
        <v>12</v>
      </c>
      <c r="J38" s="1">
        <f ca="1">IFERROR(__xludf.DUMMYFUNCTION("""COMPUTED_VALUE"""),65.2)</f>
        <v>65.2</v>
      </c>
      <c r="K38" s="1">
        <f ca="1">IFERROR(__xludf.DUMMYFUNCTION("""COMPUTED_VALUE"""),316)</f>
        <v>316</v>
      </c>
      <c r="L38" s="1">
        <f ca="1">IFERROR(__xludf.DUMMYFUNCTION("""COMPUTED_VALUE"""),-0.03)</f>
        <v>-0.03</v>
      </c>
      <c r="M38" s="1">
        <f ca="1">IFERROR(__xludf.DUMMYFUNCTION("""COMPUTED_VALUE"""),263)</f>
        <v>263</v>
      </c>
      <c r="N38" s="1" t="str">
        <f ca="1">IFERROR(__xludf.DUMMYFUNCTION("""COMPUTED_VALUE"""),"+11.77")</f>
        <v>+11.77</v>
      </c>
      <c r="O38" s="1">
        <f ca="1">IFERROR(__xludf.DUMMYFUNCTION("""COMPUTED_VALUE"""),3)</f>
        <v>3</v>
      </c>
      <c r="P38" s="1">
        <f ca="1">IFERROR(__xludf.DUMMYFUNCTION("""COMPUTED_VALUE"""),111.4)</f>
        <v>111.4</v>
      </c>
      <c r="Q38" s="1">
        <f ca="1">IFERROR(__xludf.DUMMYFUNCTION("""COMPUTED_VALUE"""),8)</f>
        <v>8</v>
      </c>
      <c r="R38" s="1">
        <f ca="1">IFERROR(__xludf.DUMMYFUNCTION("""COMPUTED_VALUE"""),99.6)</f>
        <v>99.6</v>
      </c>
      <c r="S38" s="1">
        <f ca="1">IFERROR(__xludf.DUMMYFUNCTION("""COMPUTED_VALUE"""),5)</f>
        <v>5</v>
      </c>
      <c r="T38" s="1" t="str">
        <f ca="1">IFERROR(__xludf.DUMMYFUNCTION("""COMPUTED_VALUE"""),"+2.05")</f>
        <v>+2.05</v>
      </c>
      <c r="U38" s="1">
        <f ca="1">IFERROR(__xludf.DUMMYFUNCTION("""COMPUTED_VALUE"""),99)</f>
        <v>99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IFERROR(__xludf.DUMMYFUNCTION("""COMPUTED_VALUE"""),"Miami FL6")</f>
        <v>Miami FL6</v>
      </c>
      <c r="C39" s="1" t="str">
        <f ca="1">IFERROR(__xludf.DUMMYFUNCTION("""COMPUTED_VALUE"""),"ACC")</f>
        <v>ACC</v>
      </c>
      <c r="D39" s="1" t="str">
        <f ca="1">IFERROR(__xludf.DUMMYFUNCTION("""COMPUTED_VALUE"""),"22-10")</f>
        <v>22-10</v>
      </c>
      <c r="E39" s="1" t="str">
        <f ca="1">IFERROR(__xludf.DUMMYFUNCTION("""COMPUTED_VALUE"""),"+15.43")</f>
        <v>+15.43</v>
      </c>
      <c r="F39" s="1">
        <f ca="1">IFERROR(__xludf.DUMMYFUNCTION("""COMPUTED_VALUE"""),112.9)</f>
        <v>112.9</v>
      </c>
      <c r="G39" s="1">
        <f ca="1">IFERROR(__xludf.DUMMYFUNCTION("""COMPUTED_VALUE"""),53)</f>
        <v>53</v>
      </c>
      <c r="H39" s="1">
        <f ca="1">IFERROR(__xludf.DUMMYFUNCTION("""COMPUTED_VALUE"""),97.4)</f>
        <v>97.4</v>
      </c>
      <c r="I39" s="1">
        <f ca="1">IFERROR(__xludf.DUMMYFUNCTION("""COMPUTED_VALUE"""),48)</f>
        <v>48</v>
      </c>
      <c r="J39" s="1">
        <f ca="1">IFERROR(__xludf.DUMMYFUNCTION("""COMPUTED_VALUE"""),67)</f>
        <v>67</v>
      </c>
      <c r="K39" s="1">
        <f ca="1">IFERROR(__xludf.DUMMYFUNCTION("""COMPUTED_VALUE"""),233)</f>
        <v>233</v>
      </c>
      <c r="L39" s="1" t="str">
        <f ca="1">IFERROR(__xludf.DUMMYFUNCTION("""COMPUTED_VALUE"""),"+.017")</f>
        <v>+.017</v>
      </c>
      <c r="M39" s="1">
        <f ca="1">IFERROR(__xludf.DUMMYFUNCTION("""COMPUTED_VALUE"""),128)</f>
        <v>128</v>
      </c>
      <c r="N39" s="1" t="str">
        <f ca="1">IFERROR(__xludf.DUMMYFUNCTION("""COMPUTED_VALUE"""),"+8.08")</f>
        <v>+8.08</v>
      </c>
      <c r="O39" s="1">
        <f ca="1">IFERROR(__xludf.DUMMYFUNCTION("""COMPUTED_VALUE"""),52)</f>
        <v>52</v>
      </c>
      <c r="P39" s="1">
        <f ca="1">IFERROR(__xludf.DUMMYFUNCTION("""COMPUTED_VALUE"""),109.1)</f>
        <v>109.1</v>
      </c>
      <c r="Q39" s="1">
        <f ca="1">IFERROR(__xludf.DUMMYFUNCTION("""COMPUTED_VALUE"""),52)</f>
        <v>52</v>
      </c>
      <c r="R39" s="1">
        <f ca="1">IFERROR(__xludf.DUMMYFUNCTION("""COMPUTED_VALUE"""),101)</f>
        <v>101</v>
      </c>
      <c r="S39" s="1">
        <f ca="1">IFERROR(__xludf.DUMMYFUNCTION("""COMPUTED_VALUE"""),42)</f>
        <v>42</v>
      </c>
      <c r="T39" s="1">
        <f ca="1">IFERROR(__xludf.DUMMYFUNCTION("""COMPUTED_VALUE"""),-3.82)</f>
        <v>-3.82</v>
      </c>
      <c r="U39" s="1">
        <f ca="1">IFERROR(__xludf.DUMMYFUNCTION("""COMPUTED_VALUE"""),284)</f>
        <v>284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IFERROR(__xludf.DUMMYFUNCTION("""COMPUTED_VALUE"""),"Louisville2")</f>
        <v>Louisville2</v>
      </c>
      <c r="C40" s="1" t="str">
        <f ca="1">IFERROR(__xludf.DUMMYFUNCTION("""COMPUTED_VALUE"""),"ACC")</f>
        <v>ACC</v>
      </c>
      <c r="D40" s="1" t="str">
        <f ca="1">IFERROR(__xludf.DUMMYFUNCTION("""COMPUTED_VALUE"""),"22-14")</f>
        <v>22-14</v>
      </c>
      <c r="E40" s="1" t="str">
        <f ca="1">IFERROR(__xludf.DUMMYFUNCTION("""COMPUTED_VALUE"""),"+15.41")</f>
        <v>+15.41</v>
      </c>
      <c r="F40" s="1">
        <f ca="1">IFERROR(__xludf.DUMMYFUNCTION("""COMPUTED_VALUE"""),112.2)</f>
        <v>112.2</v>
      </c>
      <c r="G40" s="1">
        <f ca="1">IFERROR(__xludf.DUMMYFUNCTION("""COMPUTED_VALUE"""),57)</f>
        <v>57</v>
      </c>
      <c r="H40" s="1">
        <f ca="1">IFERROR(__xludf.DUMMYFUNCTION("""COMPUTED_VALUE"""),96.8)</f>
        <v>96.8</v>
      </c>
      <c r="I40" s="1">
        <f ca="1">IFERROR(__xludf.DUMMYFUNCTION("""COMPUTED_VALUE"""),39)</f>
        <v>39</v>
      </c>
      <c r="J40" s="1">
        <f ca="1">IFERROR(__xludf.DUMMYFUNCTION("""COMPUTED_VALUE"""),69.7)</f>
        <v>69.7</v>
      </c>
      <c r="K40" s="1">
        <f ca="1">IFERROR(__xludf.DUMMYFUNCTION("""COMPUTED_VALUE"""),92)</f>
        <v>92</v>
      </c>
      <c r="L40" s="1">
        <f ca="1">IFERROR(__xludf.DUMMYFUNCTION("""COMPUTED_VALUE"""),-0.005)</f>
        <v>-5.0000000000000001E-3</v>
      </c>
      <c r="M40" s="1">
        <f ca="1">IFERROR(__xludf.DUMMYFUNCTION("""COMPUTED_VALUE"""),187)</f>
        <v>187</v>
      </c>
      <c r="N40" s="1" t="str">
        <f ca="1">IFERROR(__xludf.DUMMYFUNCTION("""COMPUTED_VALUE"""),"+8.90")</f>
        <v>+8.90</v>
      </c>
      <c r="O40" s="1">
        <f ca="1">IFERROR(__xludf.DUMMYFUNCTION("""COMPUTED_VALUE"""),42)</f>
        <v>42</v>
      </c>
      <c r="P40" s="1">
        <f ca="1">IFERROR(__xludf.DUMMYFUNCTION("""COMPUTED_VALUE"""),109.6)</f>
        <v>109.6</v>
      </c>
      <c r="Q40" s="1">
        <f ca="1">IFERROR(__xludf.DUMMYFUNCTION("""COMPUTED_VALUE"""),46)</f>
        <v>46</v>
      </c>
      <c r="R40" s="1">
        <f ca="1">IFERROR(__xludf.DUMMYFUNCTION("""COMPUTED_VALUE"""),100.7)</f>
        <v>100.7</v>
      </c>
      <c r="S40" s="1">
        <f ca="1">IFERROR(__xludf.DUMMYFUNCTION("""COMPUTED_VALUE"""),32)</f>
        <v>32</v>
      </c>
      <c r="T40" s="1">
        <f ca="1">IFERROR(__xludf.DUMMYFUNCTION("""COMPUTED_VALUE"""),-2.5)</f>
        <v>-2.5</v>
      </c>
      <c r="U40" s="1">
        <f ca="1">IFERROR(__xludf.DUMMYFUNCTION("""COMPUTED_VALUE"""),234)</f>
        <v>234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IFERROR(__xludf.DUMMYFUNCTION("""COMPUTED_VALUE"""),"Maryland")</f>
        <v>Maryland</v>
      </c>
      <c r="C41" s="1" t="str">
        <f ca="1">IFERROR(__xludf.DUMMYFUNCTION("""COMPUTED_VALUE"""),"B10")</f>
        <v>B10</v>
      </c>
      <c r="D41" s="1" t="str">
        <f ca="1">IFERROR(__xludf.DUMMYFUNCTION("""COMPUTED_VALUE"""),"19-13")</f>
        <v>19-13</v>
      </c>
      <c r="E41" s="1" t="str">
        <f ca="1">IFERROR(__xludf.DUMMYFUNCTION("""COMPUTED_VALUE"""),"+15.03")</f>
        <v>+15.03</v>
      </c>
      <c r="F41" s="1">
        <f ca="1">IFERROR(__xludf.DUMMYFUNCTION("""COMPUTED_VALUE"""),114.1)</f>
        <v>114.1</v>
      </c>
      <c r="G41" s="1">
        <f ca="1">IFERROR(__xludf.DUMMYFUNCTION("""COMPUTED_VALUE"""),45)</f>
        <v>45</v>
      </c>
      <c r="H41" s="1">
        <f ca="1">IFERROR(__xludf.DUMMYFUNCTION("""COMPUTED_VALUE"""),99.1)</f>
        <v>99.1</v>
      </c>
      <c r="I41" s="1">
        <f ca="1">IFERROR(__xludf.DUMMYFUNCTION("""COMPUTED_VALUE"""),67)</f>
        <v>67</v>
      </c>
      <c r="J41" s="1">
        <f ca="1">IFERROR(__xludf.DUMMYFUNCTION("""COMPUTED_VALUE"""),66.3)</f>
        <v>66.3</v>
      </c>
      <c r="K41" s="1">
        <f ca="1">IFERROR(__xludf.DUMMYFUNCTION("""COMPUTED_VALUE"""),266)</f>
        <v>266</v>
      </c>
      <c r="L41" s="1">
        <f ca="1">IFERROR(__xludf.DUMMYFUNCTION("""COMPUTED_VALUE"""),-0.046)</f>
        <v>-4.5999999999999999E-2</v>
      </c>
      <c r="M41" s="1">
        <f ca="1">IFERROR(__xludf.DUMMYFUNCTION("""COMPUTED_VALUE"""),286)</f>
        <v>286</v>
      </c>
      <c r="N41" s="1" t="str">
        <f ca="1">IFERROR(__xludf.DUMMYFUNCTION("""COMPUTED_VALUE"""),"+8.18")</f>
        <v>+8.18</v>
      </c>
      <c r="O41" s="1">
        <f ca="1">IFERROR(__xludf.DUMMYFUNCTION("""COMPUTED_VALUE"""),50)</f>
        <v>50</v>
      </c>
      <c r="P41" s="1">
        <f ca="1">IFERROR(__xludf.DUMMYFUNCTION("""COMPUTED_VALUE"""),108.8)</f>
        <v>108.8</v>
      </c>
      <c r="Q41" s="1">
        <f ca="1">IFERROR(__xludf.DUMMYFUNCTION("""COMPUTED_VALUE"""),59)</f>
        <v>59</v>
      </c>
      <c r="R41" s="1">
        <f ca="1">IFERROR(__xludf.DUMMYFUNCTION("""COMPUTED_VALUE"""),100.6)</f>
        <v>100.6</v>
      </c>
      <c r="S41" s="1">
        <f ca="1">IFERROR(__xludf.DUMMYFUNCTION("""COMPUTED_VALUE"""),30)</f>
        <v>30</v>
      </c>
      <c r="T41" s="1">
        <f ca="1">IFERROR(__xludf.DUMMYFUNCTION("""COMPUTED_VALUE"""),-4.21)</f>
        <v>-4.21</v>
      </c>
      <c r="U41" s="1">
        <f ca="1">IFERROR(__xludf.DUMMYFUNCTION("""COMPUTED_VALUE"""),293)</f>
        <v>293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IFERROR(__xludf.DUMMYFUNCTION("""COMPUTED_VALUE"""),"Missouri8")</f>
        <v>Missouri8</v>
      </c>
      <c r="C42" s="1" t="str">
        <f ca="1">IFERROR(__xludf.DUMMYFUNCTION("""COMPUTED_VALUE"""),"SEC")</f>
        <v>SEC</v>
      </c>
      <c r="D42" s="1" t="str">
        <f ca="1">IFERROR(__xludf.DUMMYFUNCTION("""COMPUTED_VALUE"""),"20-13")</f>
        <v>20-13</v>
      </c>
      <c r="E42" s="1" t="str">
        <f ca="1">IFERROR(__xludf.DUMMYFUNCTION("""COMPUTED_VALUE"""),"+14.83")</f>
        <v>+14.83</v>
      </c>
      <c r="F42" s="1">
        <f ca="1">IFERROR(__xludf.DUMMYFUNCTION("""COMPUTED_VALUE"""),111.9)</f>
        <v>111.9</v>
      </c>
      <c r="G42" s="1">
        <f ca="1">IFERROR(__xludf.DUMMYFUNCTION("""COMPUTED_VALUE"""),58)</f>
        <v>58</v>
      </c>
      <c r="H42" s="1">
        <f ca="1">IFERROR(__xludf.DUMMYFUNCTION("""COMPUTED_VALUE"""),97)</f>
        <v>97</v>
      </c>
      <c r="I42" s="1">
        <f ca="1">IFERROR(__xludf.DUMMYFUNCTION("""COMPUTED_VALUE"""),43)</f>
        <v>43</v>
      </c>
      <c r="J42" s="1">
        <f ca="1">IFERROR(__xludf.DUMMYFUNCTION("""COMPUTED_VALUE"""),65.7)</f>
        <v>65.7</v>
      </c>
      <c r="K42" s="1">
        <f ca="1">IFERROR(__xludf.DUMMYFUNCTION("""COMPUTED_VALUE"""),296)</f>
        <v>296</v>
      </c>
      <c r="L42" s="1">
        <f ca="1">IFERROR(__xludf.DUMMYFUNCTION("""COMPUTED_VALUE"""),-0.025)</f>
        <v>-2.5000000000000001E-2</v>
      </c>
      <c r="M42" s="1">
        <f ca="1">IFERROR(__xludf.DUMMYFUNCTION("""COMPUTED_VALUE"""),249)</f>
        <v>249</v>
      </c>
      <c r="N42" s="1" t="str">
        <f ca="1">IFERROR(__xludf.DUMMYFUNCTION("""COMPUTED_VALUE"""),"+9.55")</f>
        <v>+9.55</v>
      </c>
      <c r="O42" s="1">
        <f ca="1">IFERROR(__xludf.DUMMYFUNCTION("""COMPUTED_VALUE"""),32)</f>
        <v>32</v>
      </c>
      <c r="P42" s="1">
        <f ca="1">IFERROR(__xludf.DUMMYFUNCTION("""COMPUTED_VALUE"""),109.8)</f>
        <v>109.8</v>
      </c>
      <c r="Q42" s="1">
        <f ca="1">IFERROR(__xludf.DUMMYFUNCTION("""COMPUTED_VALUE"""),41)</f>
        <v>41</v>
      </c>
      <c r="R42" s="1">
        <f ca="1">IFERROR(__xludf.DUMMYFUNCTION("""COMPUTED_VALUE"""),100.2)</f>
        <v>100.2</v>
      </c>
      <c r="S42" s="1">
        <f ca="1">IFERROR(__xludf.DUMMYFUNCTION("""COMPUTED_VALUE"""),19)</f>
        <v>19</v>
      </c>
      <c r="T42" s="1" t="str">
        <f ca="1">IFERROR(__xludf.DUMMYFUNCTION("""COMPUTED_VALUE"""),"+1.07")</f>
        <v>+1.07</v>
      </c>
      <c r="U42" s="1">
        <f ca="1">IFERROR(__xludf.DUMMYFUNCTION("""COMPUTED_VALUE"""),132)</f>
        <v>132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IFERROR(__xludf.DUMMYFUNCTION("""COMPUTED_VALUE"""),"Syracuse11")</f>
        <v>Syracuse11</v>
      </c>
      <c r="C45" s="1" t="str">
        <f ca="1">IFERROR(__xludf.DUMMYFUNCTION("""COMPUTED_VALUE"""),"ACC")</f>
        <v>ACC</v>
      </c>
      <c r="D45" s="1" t="str">
        <f ca="1">IFERROR(__xludf.DUMMYFUNCTION("""COMPUTED_VALUE"""),"23-14")</f>
        <v>23-14</v>
      </c>
      <c r="E45" s="1" t="str">
        <f ca="1">IFERROR(__xludf.DUMMYFUNCTION("""COMPUTED_VALUE"""),"+14.82")</f>
        <v>+14.82</v>
      </c>
      <c r="F45" s="1">
        <f ca="1">IFERROR(__xludf.DUMMYFUNCTION("""COMPUTED_VALUE"""),107)</f>
        <v>107</v>
      </c>
      <c r="G45" s="1">
        <f ca="1">IFERROR(__xludf.DUMMYFUNCTION("""COMPUTED_VALUE"""),135)</f>
        <v>135</v>
      </c>
      <c r="H45" s="1">
        <f ca="1">IFERROR(__xludf.DUMMYFUNCTION("""COMPUTED_VALUE"""),92.2)</f>
        <v>92.2</v>
      </c>
      <c r="I45" s="1">
        <f ca="1">IFERROR(__xludf.DUMMYFUNCTION("""COMPUTED_VALUE"""),5)</f>
        <v>5</v>
      </c>
      <c r="J45" s="1">
        <f ca="1">IFERROR(__xludf.DUMMYFUNCTION("""COMPUTED_VALUE"""),62.9)</f>
        <v>62.9</v>
      </c>
      <c r="K45" s="1">
        <f ca="1">IFERROR(__xludf.DUMMYFUNCTION("""COMPUTED_VALUE"""),345)</f>
        <v>345</v>
      </c>
      <c r="L45" s="1" t="str">
        <f ca="1">IFERROR(__xludf.DUMMYFUNCTION("""COMPUTED_VALUE"""),"+.021")</f>
        <v>+.021</v>
      </c>
      <c r="M45" s="1">
        <f ca="1">IFERROR(__xludf.DUMMYFUNCTION("""COMPUTED_VALUE"""),119)</f>
        <v>119</v>
      </c>
      <c r="N45" s="1" t="str">
        <f ca="1">IFERROR(__xludf.DUMMYFUNCTION("""COMPUTED_VALUE"""),"+9.81")</f>
        <v>+9.81</v>
      </c>
      <c r="O45" s="1">
        <f ca="1">IFERROR(__xludf.DUMMYFUNCTION("""COMPUTED_VALUE"""),27)</f>
        <v>27</v>
      </c>
      <c r="P45" s="1">
        <f ca="1">IFERROR(__xludf.DUMMYFUNCTION("""COMPUTED_VALUE"""),111.3)</f>
        <v>111.3</v>
      </c>
      <c r="Q45" s="1">
        <f ca="1">IFERROR(__xludf.DUMMYFUNCTION("""COMPUTED_VALUE"""),9)</f>
        <v>9</v>
      </c>
      <c r="R45" s="1">
        <f ca="1">IFERROR(__xludf.DUMMYFUNCTION("""COMPUTED_VALUE"""),101.5)</f>
        <v>101.5</v>
      </c>
      <c r="S45" s="1">
        <f ca="1">IFERROR(__xludf.DUMMYFUNCTION("""COMPUTED_VALUE"""),58)</f>
        <v>58</v>
      </c>
      <c r="T45" s="1">
        <f ca="1">IFERROR(__xludf.DUMMYFUNCTION("""COMPUTED_VALUE"""),-0.2)</f>
        <v>-0.2</v>
      </c>
      <c r="U45" s="1">
        <f ca="1">IFERROR(__xludf.DUMMYFUNCTION("""COMPUTED_VALUE"""),163)</f>
        <v>163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IFERROR(__xludf.DUMMYFUNCTION("""COMPUTED_VALUE"""),"Kansas St.9")</f>
        <v>Kansas St.9</v>
      </c>
      <c r="C46" s="1" t="str">
        <f ca="1">IFERROR(__xludf.DUMMYFUNCTION("""COMPUTED_VALUE"""),"B12")</f>
        <v>B12</v>
      </c>
      <c r="D46" s="1" t="str">
        <f ca="1">IFERROR(__xludf.DUMMYFUNCTION("""COMPUTED_VALUE"""),"25-12")</f>
        <v>25-12</v>
      </c>
      <c r="E46" s="1" t="str">
        <f ca="1">IFERROR(__xludf.DUMMYFUNCTION("""COMPUTED_VALUE"""),"+14.77")</f>
        <v>+14.77</v>
      </c>
      <c r="F46" s="1">
        <f ca="1">IFERROR(__xludf.DUMMYFUNCTION("""COMPUTED_VALUE"""),110.1)</f>
        <v>110.1</v>
      </c>
      <c r="G46" s="1">
        <f ca="1">IFERROR(__xludf.DUMMYFUNCTION("""COMPUTED_VALUE"""),78)</f>
        <v>78</v>
      </c>
      <c r="H46" s="1">
        <f ca="1">IFERROR(__xludf.DUMMYFUNCTION("""COMPUTED_VALUE"""),95.3)</f>
        <v>95.3</v>
      </c>
      <c r="I46" s="1">
        <f ca="1">IFERROR(__xludf.DUMMYFUNCTION("""COMPUTED_VALUE"""),21)</f>
        <v>21</v>
      </c>
      <c r="J46" s="1">
        <f ca="1">IFERROR(__xludf.DUMMYFUNCTION("""COMPUTED_VALUE"""),65.6)</f>
        <v>65.599999999999994</v>
      </c>
      <c r="K46" s="1">
        <f ca="1">IFERROR(__xludf.DUMMYFUNCTION("""COMPUTED_VALUE"""),302)</f>
        <v>302</v>
      </c>
      <c r="L46" s="1" t="str">
        <f ca="1">IFERROR(__xludf.DUMMYFUNCTION("""COMPUTED_VALUE"""),"+.071")</f>
        <v>+.071</v>
      </c>
      <c r="M46" s="1">
        <f ca="1">IFERROR(__xludf.DUMMYFUNCTION("""COMPUTED_VALUE"""),31)</f>
        <v>31</v>
      </c>
      <c r="N46" s="1" t="str">
        <f ca="1">IFERROR(__xludf.DUMMYFUNCTION("""COMPUTED_VALUE"""),"+9.39")</f>
        <v>+9.39</v>
      </c>
      <c r="O46" s="1">
        <f ca="1">IFERROR(__xludf.DUMMYFUNCTION("""COMPUTED_VALUE"""),34)</f>
        <v>34</v>
      </c>
      <c r="P46" s="1">
        <f ca="1">IFERROR(__xludf.DUMMYFUNCTION("""COMPUTED_VALUE"""),111)</f>
        <v>111</v>
      </c>
      <c r="Q46" s="1">
        <f ca="1">IFERROR(__xludf.DUMMYFUNCTION("""COMPUTED_VALUE"""),14)</f>
        <v>14</v>
      </c>
      <c r="R46" s="1">
        <f ca="1">IFERROR(__xludf.DUMMYFUNCTION("""COMPUTED_VALUE"""),101.6)</f>
        <v>101.6</v>
      </c>
      <c r="S46" s="1">
        <f ca="1">IFERROR(__xludf.DUMMYFUNCTION("""COMPUTED_VALUE"""),59)</f>
        <v>59</v>
      </c>
      <c r="T46" s="1">
        <f ca="1">IFERROR(__xludf.DUMMYFUNCTION("""COMPUTED_VALUE"""),-6.5)</f>
        <v>-6.5</v>
      </c>
      <c r="U46" s="1">
        <f ca="1">IFERROR(__xludf.DUMMYFUNCTION("""COMPUTED_VALUE"""),324)</f>
        <v>324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IFERROR(__xludf.DUMMYFUNCTION("""COMPUTED_VALUE"""),"Davidson12")</f>
        <v>Davidson12</v>
      </c>
      <c r="C47" s="1" t="str">
        <f ca="1">IFERROR(__xludf.DUMMYFUNCTION("""COMPUTED_VALUE"""),"A10")</f>
        <v>A10</v>
      </c>
      <c r="D47" s="1" t="str">
        <f ca="1">IFERROR(__xludf.DUMMYFUNCTION("""COMPUTED_VALUE"""),"21-12")</f>
        <v>21-12</v>
      </c>
      <c r="E47" s="1" t="str">
        <f ca="1">IFERROR(__xludf.DUMMYFUNCTION("""COMPUTED_VALUE"""),"+14.70")</f>
        <v>+14.70</v>
      </c>
      <c r="F47" s="1">
        <f ca="1">IFERROR(__xludf.DUMMYFUNCTION("""COMPUTED_VALUE"""),117)</f>
        <v>117</v>
      </c>
      <c r="G47" s="1">
        <f ca="1">IFERROR(__xludf.DUMMYFUNCTION("""COMPUTED_VALUE"""),16)</f>
        <v>16</v>
      </c>
      <c r="H47" s="1">
        <f ca="1">IFERROR(__xludf.DUMMYFUNCTION("""COMPUTED_VALUE"""),102.3)</f>
        <v>102.3</v>
      </c>
      <c r="I47" s="1">
        <f ca="1">IFERROR(__xludf.DUMMYFUNCTION("""COMPUTED_VALUE"""),120)</f>
        <v>120</v>
      </c>
      <c r="J47" s="1">
        <f ca="1">IFERROR(__xludf.DUMMYFUNCTION("""COMPUTED_VALUE"""),64.5)</f>
        <v>64.5</v>
      </c>
      <c r="K47" s="1">
        <f ca="1">IFERROR(__xludf.DUMMYFUNCTION("""COMPUTED_VALUE"""),332)</f>
        <v>332</v>
      </c>
      <c r="L47" s="1">
        <f ca="1">IFERROR(__xludf.DUMMYFUNCTION("""COMPUTED_VALUE"""),-0.063)</f>
        <v>-6.3E-2</v>
      </c>
      <c r="M47" s="1">
        <f ca="1">IFERROR(__xludf.DUMMYFUNCTION("""COMPUTED_VALUE"""),318)</f>
        <v>318</v>
      </c>
      <c r="N47" s="1" t="str">
        <f ca="1">IFERROR(__xludf.DUMMYFUNCTION("""COMPUTED_VALUE"""),"+2.11")</f>
        <v>+2.11</v>
      </c>
      <c r="O47" s="1">
        <f ca="1">IFERROR(__xludf.DUMMYFUNCTION("""COMPUTED_VALUE"""),104)</f>
        <v>104</v>
      </c>
      <c r="P47" s="1">
        <f ca="1">IFERROR(__xludf.DUMMYFUNCTION("""COMPUTED_VALUE"""),105.6)</f>
        <v>105.6</v>
      </c>
      <c r="Q47" s="1">
        <f ca="1">IFERROR(__xludf.DUMMYFUNCTION("""COMPUTED_VALUE"""),116)</f>
        <v>116</v>
      </c>
      <c r="R47" s="1">
        <f ca="1">IFERROR(__xludf.DUMMYFUNCTION("""COMPUTED_VALUE"""),103.5)</f>
        <v>103.5</v>
      </c>
      <c r="S47" s="1">
        <f ca="1">IFERROR(__xludf.DUMMYFUNCTION("""COMPUTED_VALUE"""),91)</f>
        <v>91</v>
      </c>
      <c r="T47" s="1" t="str">
        <f ca="1">IFERROR(__xludf.DUMMYFUNCTION("""COMPUTED_VALUE"""),"+1.33")</f>
        <v>+1.33</v>
      </c>
      <c r="U47" s="1">
        <f ca="1">IFERROR(__xludf.DUMMYFUNCTION("""COMPUTED_VALUE"""),121)</f>
        <v>121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IFERROR(__xludf.DUMMYFUNCTION("""COMPUTED_VALUE"""),"Arkansas7")</f>
        <v>Arkansas7</v>
      </c>
      <c r="C48" s="1" t="str">
        <f ca="1">IFERROR(__xludf.DUMMYFUNCTION("""COMPUTED_VALUE"""),"SEC")</f>
        <v>SEC</v>
      </c>
      <c r="D48" s="1" t="str">
        <f ca="1">IFERROR(__xludf.DUMMYFUNCTION("""COMPUTED_VALUE"""),"23-12")</f>
        <v>23-12</v>
      </c>
      <c r="E48" s="1" t="str">
        <f ca="1">IFERROR(__xludf.DUMMYFUNCTION("""COMPUTED_VALUE"""),"+14.69")</f>
        <v>+14.69</v>
      </c>
      <c r="F48" s="1">
        <f ca="1">IFERROR(__xludf.DUMMYFUNCTION("""COMPUTED_VALUE"""),116.3)</f>
        <v>116.3</v>
      </c>
      <c r="G48" s="1">
        <f ca="1">IFERROR(__xludf.DUMMYFUNCTION("""COMPUTED_VALUE"""),20)</f>
        <v>20</v>
      </c>
      <c r="H48" s="1">
        <f ca="1">IFERROR(__xludf.DUMMYFUNCTION("""COMPUTED_VALUE"""),101.7)</f>
        <v>101.7</v>
      </c>
      <c r="I48" s="1">
        <f ca="1">IFERROR(__xludf.DUMMYFUNCTION("""COMPUTED_VALUE"""),106)</f>
        <v>106</v>
      </c>
      <c r="J48" s="1">
        <f ca="1">IFERROR(__xludf.DUMMYFUNCTION("""COMPUTED_VALUE"""),69.7)</f>
        <v>69.7</v>
      </c>
      <c r="K48" s="1">
        <f ca="1">IFERROR(__xludf.DUMMYFUNCTION("""COMPUTED_VALUE"""),91)</f>
        <v>91</v>
      </c>
      <c r="L48" s="1" t="str">
        <f ca="1">IFERROR(__xludf.DUMMYFUNCTION("""COMPUTED_VALUE"""),"+.059")</f>
        <v>+.059</v>
      </c>
      <c r="M48" s="1">
        <f ca="1">IFERROR(__xludf.DUMMYFUNCTION("""COMPUTED_VALUE"""),56)</f>
        <v>56</v>
      </c>
      <c r="N48" s="1" t="str">
        <f ca="1">IFERROR(__xludf.DUMMYFUNCTION("""COMPUTED_VALUE"""),"+9.90")</f>
        <v>+9.90</v>
      </c>
      <c r="O48" s="1">
        <f ca="1">IFERROR(__xludf.DUMMYFUNCTION("""COMPUTED_VALUE"""),25)</f>
        <v>25</v>
      </c>
      <c r="P48" s="1">
        <f ca="1">IFERROR(__xludf.DUMMYFUNCTION("""COMPUTED_VALUE"""),110.5)</f>
        <v>110.5</v>
      </c>
      <c r="Q48" s="1">
        <f ca="1">IFERROR(__xludf.DUMMYFUNCTION("""COMPUTED_VALUE"""),28)</f>
        <v>28</v>
      </c>
      <c r="R48" s="1">
        <f ca="1">IFERROR(__xludf.DUMMYFUNCTION("""COMPUTED_VALUE"""),100.6)</f>
        <v>100.6</v>
      </c>
      <c r="S48" s="1">
        <f ca="1">IFERROR(__xludf.DUMMYFUNCTION("""COMPUTED_VALUE"""),27)</f>
        <v>27</v>
      </c>
      <c r="T48" s="1" t="str">
        <f ca="1">IFERROR(__xludf.DUMMYFUNCTION("""COMPUTED_VALUE"""),"+0.87")</f>
        <v>+0.87</v>
      </c>
      <c r="U48" s="1">
        <f ca="1">IFERROR(__xludf.DUMMYFUNCTION("""COMPUTED_VALUE"""),141)</f>
        <v>141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IFERROR(__xludf.DUMMYFUNCTION("""COMPUTED_VALUE"""),"Middle Tennessee3")</f>
        <v>Middle Tennessee3</v>
      </c>
      <c r="C49" s="1" t="str">
        <f ca="1">IFERROR(__xludf.DUMMYFUNCTION("""COMPUTED_VALUE"""),"CUSA")</f>
        <v>CUSA</v>
      </c>
      <c r="D49" s="1" t="str">
        <f ca="1">IFERROR(__xludf.DUMMYFUNCTION("""COMPUTED_VALUE"""),"25-8")</f>
        <v>25-8</v>
      </c>
      <c r="E49" s="1" t="str">
        <f ca="1">IFERROR(__xludf.DUMMYFUNCTION("""COMPUTED_VALUE"""),"+14.68")</f>
        <v>+14.68</v>
      </c>
      <c r="F49" s="1">
        <f ca="1">IFERROR(__xludf.DUMMYFUNCTION("""COMPUTED_VALUE"""),111.3)</f>
        <v>111.3</v>
      </c>
      <c r="G49" s="1">
        <f ca="1">IFERROR(__xludf.DUMMYFUNCTION("""COMPUTED_VALUE"""),67)</f>
        <v>67</v>
      </c>
      <c r="H49" s="1">
        <f ca="1">IFERROR(__xludf.DUMMYFUNCTION("""COMPUTED_VALUE"""),96.6)</f>
        <v>96.6</v>
      </c>
      <c r="I49" s="1">
        <f ca="1">IFERROR(__xludf.DUMMYFUNCTION("""COMPUTED_VALUE"""),35)</f>
        <v>35</v>
      </c>
      <c r="J49" s="1">
        <f ca="1">IFERROR(__xludf.DUMMYFUNCTION("""COMPUTED_VALUE"""),66.5)</f>
        <v>66.5</v>
      </c>
      <c r="K49" s="1">
        <f ca="1">IFERROR(__xludf.DUMMYFUNCTION("""COMPUTED_VALUE"""),259)</f>
        <v>259</v>
      </c>
      <c r="L49" s="1" t="str">
        <f ca="1">IFERROR(__xludf.DUMMYFUNCTION("""COMPUTED_VALUE"""),"+.008")</f>
        <v>+.008</v>
      </c>
      <c r="M49" s="1">
        <f ca="1">IFERROR(__xludf.DUMMYFUNCTION("""COMPUTED_VALUE"""),154)</f>
        <v>154</v>
      </c>
      <c r="N49" s="1" t="str">
        <f ca="1">IFERROR(__xludf.DUMMYFUNCTION("""COMPUTED_VALUE"""),"+3.58")</f>
        <v>+3.58</v>
      </c>
      <c r="O49" s="1">
        <f ca="1">IFERROR(__xludf.DUMMYFUNCTION("""COMPUTED_VALUE"""),83)</f>
        <v>83</v>
      </c>
      <c r="P49" s="1">
        <f ca="1">IFERROR(__xludf.DUMMYFUNCTION("""COMPUTED_VALUE"""),107.5)</f>
        <v>107.5</v>
      </c>
      <c r="Q49" s="1">
        <f ca="1">IFERROR(__xludf.DUMMYFUNCTION("""COMPUTED_VALUE"""),76)</f>
        <v>76</v>
      </c>
      <c r="R49" s="1">
        <f ca="1">IFERROR(__xludf.DUMMYFUNCTION("""COMPUTED_VALUE"""),103.9)</f>
        <v>103.9</v>
      </c>
      <c r="S49" s="1">
        <f ca="1">IFERROR(__xludf.DUMMYFUNCTION("""COMPUTED_VALUE"""),101)</f>
        <v>101</v>
      </c>
      <c r="T49" s="1" t="str">
        <f ca="1">IFERROR(__xludf.DUMMYFUNCTION("""COMPUTED_VALUE"""),"+7.65")</f>
        <v>+7.65</v>
      </c>
      <c r="U49" s="1">
        <f ca="1">IFERROR(__xludf.DUMMYFUNCTION("""COMPUTED_VALUE"""),15)</f>
        <v>15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IFERROR(__xludf.DUMMYFUNCTION("""COMPUTED_VALUE"""),"N.C. State9")</f>
        <v>N.C. State9</v>
      </c>
      <c r="C50" s="1" t="str">
        <f ca="1">IFERROR(__xludf.DUMMYFUNCTION("""COMPUTED_VALUE"""),"ACC")</f>
        <v>ACC</v>
      </c>
      <c r="D50" s="1" t="str">
        <f ca="1">IFERROR(__xludf.DUMMYFUNCTION("""COMPUTED_VALUE"""),"21-12")</f>
        <v>21-12</v>
      </c>
      <c r="E50" s="1" t="str">
        <f ca="1">IFERROR(__xludf.DUMMYFUNCTION("""COMPUTED_VALUE"""),"+14.52")</f>
        <v>+14.52</v>
      </c>
      <c r="F50" s="1">
        <f ca="1">IFERROR(__xludf.DUMMYFUNCTION("""COMPUTED_VALUE"""),116.3)</f>
        <v>116.3</v>
      </c>
      <c r="G50" s="1">
        <f ca="1">IFERROR(__xludf.DUMMYFUNCTION("""COMPUTED_VALUE"""),21)</f>
        <v>21</v>
      </c>
      <c r="H50" s="1">
        <f ca="1">IFERROR(__xludf.DUMMYFUNCTION("""COMPUTED_VALUE"""),101.8)</f>
        <v>101.8</v>
      </c>
      <c r="I50" s="1">
        <f ca="1">IFERROR(__xludf.DUMMYFUNCTION("""COMPUTED_VALUE"""),109)</f>
        <v>109</v>
      </c>
      <c r="J50" s="1">
        <f ca="1">IFERROR(__xludf.DUMMYFUNCTION("""COMPUTED_VALUE"""),71.4)</f>
        <v>71.400000000000006</v>
      </c>
      <c r="K50" s="1">
        <f ca="1">IFERROR(__xludf.DUMMYFUNCTION("""COMPUTED_VALUE"""),38)</f>
        <v>38</v>
      </c>
      <c r="L50" s="1">
        <f ca="1">IFERROR(__xludf.DUMMYFUNCTION("""COMPUTED_VALUE"""),-0.001)</f>
        <v>-1E-3</v>
      </c>
      <c r="M50" s="1">
        <f ca="1">IFERROR(__xludf.DUMMYFUNCTION("""COMPUTED_VALUE"""),178)</f>
        <v>178</v>
      </c>
      <c r="N50" s="1" t="str">
        <f ca="1">IFERROR(__xludf.DUMMYFUNCTION("""COMPUTED_VALUE"""),"+7.71")</f>
        <v>+7.71</v>
      </c>
      <c r="O50" s="1">
        <f ca="1">IFERROR(__xludf.DUMMYFUNCTION("""COMPUTED_VALUE"""),55)</f>
        <v>55</v>
      </c>
      <c r="P50" s="1">
        <f ca="1">IFERROR(__xludf.DUMMYFUNCTION("""COMPUTED_VALUE"""),108.6)</f>
        <v>108.6</v>
      </c>
      <c r="Q50" s="1">
        <f ca="1">IFERROR(__xludf.DUMMYFUNCTION("""COMPUTED_VALUE"""),62)</f>
        <v>62</v>
      </c>
      <c r="R50" s="1">
        <f ca="1">IFERROR(__xludf.DUMMYFUNCTION("""COMPUTED_VALUE"""),100.9)</f>
        <v>100.9</v>
      </c>
      <c r="S50" s="1">
        <f ca="1">IFERROR(__xludf.DUMMYFUNCTION("""COMPUTED_VALUE"""),39)</f>
        <v>39</v>
      </c>
      <c r="T50" s="1">
        <f ca="1">IFERROR(__xludf.DUMMYFUNCTION("""COMPUTED_VALUE"""),-9.71)</f>
        <v>-9.7100000000000009</v>
      </c>
      <c r="U50" s="1">
        <f ca="1">IFERROR(__xludf.DUMMYFUNCTION("""COMPUTED_VALUE"""),342)</f>
        <v>342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IFERROR(__xludf.DUMMYFUNCTION("""COMPUTED_VALUE"""),"Western Kentucky4")</f>
        <v>Western Kentucky4</v>
      </c>
      <c r="C51" s="1" t="str">
        <f ca="1">IFERROR(__xludf.DUMMYFUNCTION("""COMPUTED_VALUE"""),"CUSA")</f>
        <v>CUSA</v>
      </c>
      <c r="D51" s="1" t="str">
        <f ca="1">IFERROR(__xludf.DUMMYFUNCTION("""COMPUTED_VALUE"""),"27-11")</f>
        <v>27-11</v>
      </c>
      <c r="E51" s="1" t="str">
        <f ca="1">IFERROR(__xludf.DUMMYFUNCTION("""COMPUTED_VALUE"""),"+14.45")</f>
        <v>+14.45</v>
      </c>
      <c r="F51" s="1">
        <f ca="1">IFERROR(__xludf.DUMMYFUNCTION("""COMPUTED_VALUE"""),114.5)</f>
        <v>114.5</v>
      </c>
      <c r="G51" s="1">
        <f ca="1">IFERROR(__xludf.DUMMYFUNCTION("""COMPUTED_VALUE"""),40)</f>
        <v>40</v>
      </c>
      <c r="H51" s="1">
        <f ca="1">IFERROR(__xludf.DUMMYFUNCTION("""COMPUTED_VALUE"""),100.1)</f>
        <v>100.1</v>
      </c>
      <c r="I51" s="1">
        <f ca="1">IFERROR(__xludf.DUMMYFUNCTION("""COMPUTED_VALUE"""),82)</f>
        <v>82</v>
      </c>
      <c r="J51" s="1">
        <f ca="1">IFERROR(__xludf.DUMMYFUNCTION("""COMPUTED_VALUE"""),68.8)</f>
        <v>68.8</v>
      </c>
      <c r="K51" s="1">
        <f ca="1">IFERROR(__xludf.DUMMYFUNCTION("""COMPUTED_VALUE"""),143)</f>
        <v>143</v>
      </c>
      <c r="L51" s="1">
        <f ca="1">IFERROR(__xludf.DUMMYFUNCTION("""COMPUTED_VALUE"""),-0.003)</f>
        <v>-3.0000000000000001E-3</v>
      </c>
      <c r="M51" s="1">
        <f ca="1">IFERROR(__xludf.DUMMYFUNCTION("""COMPUTED_VALUE"""),182)</f>
        <v>182</v>
      </c>
      <c r="N51" s="1" t="str">
        <f ca="1">IFERROR(__xludf.DUMMYFUNCTION("""COMPUTED_VALUE"""),"+3.72")</f>
        <v>+3.72</v>
      </c>
      <c r="O51" s="1">
        <f ca="1">IFERROR(__xludf.DUMMYFUNCTION("""COMPUTED_VALUE"""),82)</f>
        <v>82</v>
      </c>
      <c r="P51" s="1">
        <f ca="1">IFERROR(__xludf.DUMMYFUNCTION("""COMPUTED_VALUE"""),106.9)</f>
        <v>106.9</v>
      </c>
      <c r="Q51" s="1">
        <f ca="1">IFERROR(__xludf.DUMMYFUNCTION("""COMPUTED_VALUE"""),90)</f>
        <v>90</v>
      </c>
      <c r="R51" s="1">
        <f ca="1">IFERROR(__xludf.DUMMYFUNCTION("""COMPUTED_VALUE"""),103.2)</f>
        <v>103.2</v>
      </c>
      <c r="S51" s="1">
        <f ca="1">IFERROR(__xludf.DUMMYFUNCTION("""COMPUTED_VALUE"""),84)</f>
        <v>84</v>
      </c>
      <c r="T51" s="1" t="str">
        <f ca="1">IFERROR(__xludf.DUMMYFUNCTION("""COMPUTED_VALUE"""),"+3.81")</f>
        <v>+3.81</v>
      </c>
      <c r="U51" s="1">
        <f ca="1">IFERROR(__xludf.DUMMYFUNCTION("""COMPUTED_VALUE"""),65)</f>
        <v>65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IFERROR(__xludf.DUMMYFUNCTION("""COMPUTED_VALUE"""),"Oklahoma10")</f>
        <v>Oklahoma10</v>
      </c>
      <c r="C52" s="1" t="str">
        <f ca="1">IFERROR(__xludf.DUMMYFUNCTION("""COMPUTED_VALUE"""),"B12")</f>
        <v>B12</v>
      </c>
      <c r="D52" s="1" t="str">
        <f ca="1">IFERROR(__xludf.DUMMYFUNCTION("""COMPUTED_VALUE"""),"18-14")</f>
        <v>18-14</v>
      </c>
      <c r="E52" s="1" t="str">
        <f ca="1">IFERROR(__xludf.DUMMYFUNCTION("""COMPUTED_VALUE"""),"+14.16")</f>
        <v>+14.16</v>
      </c>
      <c r="F52" s="1">
        <f ca="1">IFERROR(__xludf.DUMMYFUNCTION("""COMPUTED_VALUE"""),114.6)</f>
        <v>114.6</v>
      </c>
      <c r="G52" s="1">
        <f ca="1">IFERROR(__xludf.DUMMYFUNCTION("""COMPUTED_VALUE"""),37)</f>
        <v>37</v>
      </c>
      <c r="H52" s="1">
        <f ca="1">IFERROR(__xludf.DUMMYFUNCTION("""COMPUTED_VALUE"""),100.5)</f>
        <v>100.5</v>
      </c>
      <c r="I52" s="1">
        <f ca="1">IFERROR(__xludf.DUMMYFUNCTION("""COMPUTED_VALUE"""),85)</f>
        <v>85</v>
      </c>
      <c r="J52" s="1">
        <f ca="1">IFERROR(__xludf.DUMMYFUNCTION("""COMPUTED_VALUE"""),75.5)</f>
        <v>75.5</v>
      </c>
      <c r="K52" s="1">
        <f ca="1">IFERROR(__xludf.DUMMYFUNCTION("""COMPUTED_VALUE"""),4)</f>
        <v>4</v>
      </c>
      <c r="L52" s="1">
        <f ca="1">IFERROR(__xludf.DUMMYFUNCTION("""COMPUTED_VALUE"""),-0.008)</f>
        <v>-8.0000000000000002E-3</v>
      </c>
      <c r="M52" s="1">
        <f ca="1">IFERROR(__xludf.DUMMYFUNCTION("""COMPUTED_VALUE"""),198)</f>
        <v>198</v>
      </c>
      <c r="N52" s="1" t="str">
        <f ca="1">IFERROR(__xludf.DUMMYFUNCTION("""COMPUTED_VALUE"""),"+11.68")</f>
        <v>+11.68</v>
      </c>
      <c r="O52" s="1">
        <f ca="1">IFERROR(__xludf.DUMMYFUNCTION("""COMPUTED_VALUE"""),5)</f>
        <v>5</v>
      </c>
      <c r="P52" s="1">
        <f ca="1">IFERROR(__xludf.DUMMYFUNCTION("""COMPUTED_VALUE"""),111.3)</f>
        <v>111.3</v>
      </c>
      <c r="Q52" s="1">
        <f ca="1">IFERROR(__xludf.DUMMYFUNCTION("""COMPUTED_VALUE"""),11)</f>
        <v>11</v>
      </c>
      <c r="R52" s="1">
        <f ca="1">IFERROR(__xludf.DUMMYFUNCTION("""COMPUTED_VALUE"""),99.6)</f>
        <v>99.6</v>
      </c>
      <c r="S52" s="1">
        <f ca="1">IFERROR(__xludf.DUMMYFUNCTION("""COMPUTED_VALUE"""),6)</f>
        <v>6</v>
      </c>
      <c r="T52" s="1" t="str">
        <f ca="1">IFERROR(__xludf.DUMMYFUNCTION("""COMPUTED_VALUE"""),"+2.13")</f>
        <v>+2.13</v>
      </c>
      <c r="U52" s="1">
        <f ca="1">IFERROR(__xludf.DUMMYFUNCTION("""COMPUTED_VALUE"""),96)</f>
        <v>96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IFERROR(__xludf.DUMMYFUNCTION("""COMPUTED_VALUE"""),"Arizona St.11")</f>
        <v>Arizona St.11</v>
      </c>
      <c r="C53" s="1" t="str">
        <f ca="1">IFERROR(__xludf.DUMMYFUNCTION("""COMPUTED_VALUE"""),"P12")</f>
        <v>P12</v>
      </c>
      <c r="D53" s="1" t="str">
        <f ca="1">IFERROR(__xludf.DUMMYFUNCTION("""COMPUTED_VALUE"""),"20-12")</f>
        <v>20-12</v>
      </c>
      <c r="E53" s="1" t="str">
        <f ca="1">IFERROR(__xludf.DUMMYFUNCTION("""COMPUTED_VALUE"""),"+14.13")</f>
        <v>+14.13</v>
      </c>
      <c r="F53" s="1">
        <f ca="1">IFERROR(__xludf.DUMMYFUNCTION("""COMPUTED_VALUE"""),116.7)</f>
        <v>116.7</v>
      </c>
      <c r="G53" s="1">
        <f ca="1">IFERROR(__xludf.DUMMYFUNCTION("""COMPUTED_VALUE"""),18)</f>
        <v>18</v>
      </c>
      <c r="H53" s="1">
        <f ca="1">IFERROR(__xludf.DUMMYFUNCTION("""COMPUTED_VALUE"""),102.6)</f>
        <v>102.6</v>
      </c>
      <c r="I53" s="1">
        <f ca="1">IFERROR(__xludf.DUMMYFUNCTION("""COMPUTED_VALUE"""),123)</f>
        <v>123</v>
      </c>
      <c r="J53" s="1">
        <f ca="1">IFERROR(__xludf.DUMMYFUNCTION("""COMPUTED_VALUE"""),71.3)</f>
        <v>71.3</v>
      </c>
      <c r="K53" s="1">
        <f ca="1">IFERROR(__xludf.DUMMYFUNCTION("""COMPUTED_VALUE"""),43)</f>
        <v>43</v>
      </c>
      <c r="L53" s="1">
        <f ca="1">IFERROR(__xludf.DUMMYFUNCTION("""COMPUTED_VALUE"""),-0.083)</f>
        <v>-8.3000000000000004E-2</v>
      </c>
      <c r="M53" s="1">
        <f ca="1">IFERROR(__xludf.DUMMYFUNCTION("""COMPUTED_VALUE"""),340)</f>
        <v>340</v>
      </c>
      <c r="N53" s="1" t="str">
        <f ca="1">IFERROR(__xludf.DUMMYFUNCTION("""COMPUTED_VALUE"""),"+5.48")</f>
        <v>+5.48</v>
      </c>
      <c r="O53" s="1">
        <f ca="1">IFERROR(__xludf.DUMMYFUNCTION("""COMPUTED_VALUE"""),71)</f>
        <v>71</v>
      </c>
      <c r="P53" s="1">
        <f ca="1">IFERROR(__xludf.DUMMYFUNCTION("""COMPUTED_VALUE"""),107.4)</f>
        <v>107.4</v>
      </c>
      <c r="Q53" s="1">
        <f ca="1">IFERROR(__xludf.DUMMYFUNCTION("""COMPUTED_VALUE"""),77)</f>
        <v>77</v>
      </c>
      <c r="R53" s="1">
        <f ca="1">IFERROR(__xludf.DUMMYFUNCTION("""COMPUTED_VALUE"""),101.9)</f>
        <v>101.9</v>
      </c>
      <c r="S53" s="1">
        <f ca="1">IFERROR(__xludf.DUMMYFUNCTION("""COMPUTED_VALUE"""),64)</f>
        <v>64</v>
      </c>
      <c r="T53" s="1" t="str">
        <f ca="1">IFERROR(__xludf.DUMMYFUNCTION("""COMPUTED_VALUE"""),"+0.94")</f>
        <v>+0.94</v>
      </c>
      <c r="U53" s="1">
        <f ca="1">IFERROR(__xludf.DUMMYFUNCTION("""COMPUTED_VALUE"""),138)</f>
        <v>138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IFERROR(__xludf.DUMMYFUNCTION("""COMPUTED_VALUE"""),"San Diego St.11")</f>
        <v>San Diego St.11</v>
      </c>
      <c r="C54" s="1" t="str">
        <f ca="1">IFERROR(__xludf.DUMMYFUNCTION("""COMPUTED_VALUE"""),"MWC")</f>
        <v>MWC</v>
      </c>
      <c r="D54" s="1" t="str">
        <f ca="1">IFERROR(__xludf.DUMMYFUNCTION("""COMPUTED_VALUE"""),"22-11")</f>
        <v>22-11</v>
      </c>
      <c r="E54" s="1" t="str">
        <f ca="1">IFERROR(__xludf.DUMMYFUNCTION("""COMPUTED_VALUE"""),"+14.09")</f>
        <v>+14.09</v>
      </c>
      <c r="F54" s="1">
        <f ca="1">IFERROR(__xludf.DUMMYFUNCTION("""COMPUTED_VALUE"""),110.5)</f>
        <v>110.5</v>
      </c>
      <c r="G54" s="1">
        <f ca="1">IFERROR(__xludf.DUMMYFUNCTION("""COMPUTED_VALUE"""),77)</f>
        <v>77</v>
      </c>
      <c r="H54" s="1">
        <f ca="1">IFERROR(__xludf.DUMMYFUNCTION("""COMPUTED_VALUE"""),96.4)</f>
        <v>96.4</v>
      </c>
      <c r="I54" s="1">
        <f ca="1">IFERROR(__xludf.DUMMYFUNCTION("""COMPUTED_VALUE"""),30)</f>
        <v>30</v>
      </c>
      <c r="J54" s="1">
        <f ca="1">IFERROR(__xludf.DUMMYFUNCTION("""COMPUTED_VALUE"""),68.8)</f>
        <v>68.8</v>
      </c>
      <c r="K54" s="1">
        <f ca="1">IFERROR(__xludf.DUMMYFUNCTION("""COMPUTED_VALUE"""),142)</f>
        <v>142</v>
      </c>
      <c r="L54" s="1">
        <f ca="1">IFERROR(__xludf.DUMMYFUNCTION("""COMPUTED_VALUE"""),-0.032)</f>
        <v>-3.2000000000000001E-2</v>
      </c>
      <c r="M54" s="1">
        <f ca="1">IFERROR(__xludf.DUMMYFUNCTION("""COMPUTED_VALUE"""),265)</f>
        <v>265</v>
      </c>
      <c r="N54" s="1" t="str">
        <f ca="1">IFERROR(__xludf.DUMMYFUNCTION("""COMPUTED_VALUE"""),"+3.46")</f>
        <v>+3.46</v>
      </c>
      <c r="O54" s="1">
        <f ca="1">IFERROR(__xludf.DUMMYFUNCTION("""COMPUTED_VALUE"""),86)</f>
        <v>86</v>
      </c>
      <c r="P54" s="1">
        <f ca="1">IFERROR(__xludf.DUMMYFUNCTION("""COMPUTED_VALUE"""),107.2)</f>
        <v>107.2</v>
      </c>
      <c r="Q54" s="1">
        <f ca="1">IFERROR(__xludf.DUMMYFUNCTION("""COMPUTED_VALUE"""),80)</f>
        <v>80</v>
      </c>
      <c r="R54" s="1">
        <f ca="1">IFERROR(__xludf.DUMMYFUNCTION("""COMPUTED_VALUE"""),103.8)</f>
        <v>103.8</v>
      </c>
      <c r="S54" s="1">
        <f ca="1">IFERROR(__xludf.DUMMYFUNCTION("""COMPUTED_VALUE"""),96)</f>
        <v>96</v>
      </c>
      <c r="T54" s="1">
        <f ca="1">IFERROR(__xludf.DUMMYFUNCTION("""COMPUTED_VALUE"""),-0.8)</f>
        <v>-0.8</v>
      </c>
      <c r="U54" s="1">
        <f ca="1">IFERROR(__xludf.DUMMYFUNCTION("""COMPUTED_VALUE"""),177)</f>
        <v>177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IFERROR(__xludf.DUMMYFUNCTION("""COMPUTED_VALUE"""),"USC1")</f>
        <v>USC1</v>
      </c>
      <c r="C55" s="1" t="str">
        <f ca="1">IFERROR(__xludf.DUMMYFUNCTION("""COMPUTED_VALUE"""),"P12")</f>
        <v>P12</v>
      </c>
      <c r="D55" s="1" t="str">
        <f ca="1">IFERROR(__xludf.DUMMYFUNCTION("""COMPUTED_VALUE"""),"24-12")</f>
        <v>24-12</v>
      </c>
      <c r="E55" s="1" t="str">
        <f ca="1">IFERROR(__xludf.DUMMYFUNCTION("""COMPUTED_VALUE"""),"+14.06")</f>
        <v>+14.06</v>
      </c>
      <c r="F55" s="1">
        <f ca="1">IFERROR(__xludf.DUMMYFUNCTION("""COMPUTED_VALUE"""),114.5)</f>
        <v>114.5</v>
      </c>
      <c r="G55" s="1">
        <f ca="1">IFERROR(__xludf.DUMMYFUNCTION("""COMPUTED_VALUE"""),39)</f>
        <v>39</v>
      </c>
      <c r="H55" s="1">
        <f ca="1">IFERROR(__xludf.DUMMYFUNCTION("""COMPUTED_VALUE"""),100.5)</f>
        <v>100.5</v>
      </c>
      <c r="I55" s="1">
        <f ca="1">IFERROR(__xludf.DUMMYFUNCTION("""COMPUTED_VALUE"""),87)</f>
        <v>87</v>
      </c>
      <c r="J55" s="1">
        <f ca="1">IFERROR(__xludf.DUMMYFUNCTION("""COMPUTED_VALUE"""),67.7)</f>
        <v>67.7</v>
      </c>
      <c r="K55" s="1">
        <f ca="1">IFERROR(__xludf.DUMMYFUNCTION("""COMPUTED_VALUE"""),200)</f>
        <v>200</v>
      </c>
      <c r="L55" s="1">
        <f ca="1">IFERROR(__xludf.DUMMYFUNCTION("""COMPUTED_VALUE"""),-0.017)</f>
        <v>-1.7000000000000001E-2</v>
      </c>
      <c r="M55" s="1">
        <f ca="1">IFERROR(__xludf.DUMMYFUNCTION("""COMPUTED_VALUE"""),222)</f>
        <v>222</v>
      </c>
      <c r="N55" s="1" t="str">
        <f ca="1">IFERROR(__xludf.DUMMYFUNCTION("""COMPUTED_VALUE"""),"+5.12")</f>
        <v>+5.12</v>
      </c>
      <c r="O55" s="1">
        <f ca="1">IFERROR(__xludf.DUMMYFUNCTION("""COMPUTED_VALUE"""),75)</f>
        <v>75</v>
      </c>
      <c r="P55" s="1">
        <f ca="1">IFERROR(__xludf.DUMMYFUNCTION("""COMPUTED_VALUE"""),108.2)</f>
        <v>108.2</v>
      </c>
      <c r="Q55" s="1">
        <f ca="1">IFERROR(__xludf.DUMMYFUNCTION("""COMPUTED_VALUE"""),69)</f>
        <v>69</v>
      </c>
      <c r="R55" s="1">
        <f ca="1">IFERROR(__xludf.DUMMYFUNCTION("""COMPUTED_VALUE"""),103.1)</f>
        <v>103.1</v>
      </c>
      <c r="S55" s="1">
        <f ca="1">IFERROR(__xludf.DUMMYFUNCTION("""COMPUTED_VALUE"""),82)</f>
        <v>82</v>
      </c>
      <c r="T55" s="1" t="str">
        <f ca="1">IFERROR(__xludf.DUMMYFUNCTION("""COMPUTED_VALUE"""),"+1.37")</f>
        <v>+1.37</v>
      </c>
      <c r="U55" s="1">
        <f ca="1">IFERROR(__xludf.DUMMYFUNCTION("""COMPUTED_VALUE"""),120)</f>
        <v>120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IFERROR(__xludf.DUMMYFUNCTION("""COMPUTED_VALUE"""),"Rhode Island7")</f>
        <v>Rhode Island7</v>
      </c>
      <c r="C56" s="1" t="str">
        <f ca="1">IFERROR(__xludf.DUMMYFUNCTION("""COMPUTED_VALUE"""),"A10")</f>
        <v>A10</v>
      </c>
      <c r="D56" s="1" t="str">
        <f ca="1">IFERROR(__xludf.DUMMYFUNCTION("""COMPUTED_VALUE"""),"26-8")</f>
        <v>26-8</v>
      </c>
      <c r="E56" s="1" t="str">
        <f ca="1">IFERROR(__xludf.DUMMYFUNCTION("""COMPUTED_VALUE"""),"+13.93")</f>
        <v>+13.93</v>
      </c>
      <c r="F56" s="1">
        <f ca="1">IFERROR(__xludf.DUMMYFUNCTION("""COMPUTED_VALUE"""),111.1)</f>
        <v>111.1</v>
      </c>
      <c r="G56" s="1">
        <f ca="1">IFERROR(__xludf.DUMMYFUNCTION("""COMPUTED_VALUE"""),69)</f>
        <v>69</v>
      </c>
      <c r="H56" s="1">
        <f ca="1">IFERROR(__xludf.DUMMYFUNCTION("""COMPUTED_VALUE"""),97.2)</f>
        <v>97.2</v>
      </c>
      <c r="I56" s="1">
        <f ca="1">IFERROR(__xludf.DUMMYFUNCTION("""COMPUTED_VALUE"""),46)</f>
        <v>46</v>
      </c>
      <c r="J56" s="1">
        <f ca="1">IFERROR(__xludf.DUMMYFUNCTION("""COMPUTED_VALUE"""),68.4)</f>
        <v>68.400000000000006</v>
      </c>
      <c r="K56" s="1">
        <f ca="1">IFERROR(__xludf.DUMMYFUNCTION("""COMPUTED_VALUE"""),173)</f>
        <v>173</v>
      </c>
      <c r="L56" s="1" t="str">
        <f ca="1">IFERROR(__xludf.DUMMYFUNCTION("""COMPUTED_VALUE"""),"+.063")</f>
        <v>+.063</v>
      </c>
      <c r="M56" s="1">
        <f ca="1">IFERROR(__xludf.DUMMYFUNCTION("""COMPUTED_VALUE"""),44)</f>
        <v>44</v>
      </c>
      <c r="N56" s="1" t="str">
        <f ca="1">IFERROR(__xludf.DUMMYFUNCTION("""COMPUTED_VALUE"""),"+3.49")</f>
        <v>+3.49</v>
      </c>
      <c r="O56" s="1">
        <f ca="1">IFERROR(__xludf.DUMMYFUNCTION("""COMPUTED_VALUE"""),85)</f>
        <v>85</v>
      </c>
      <c r="P56" s="1">
        <f ca="1">IFERROR(__xludf.DUMMYFUNCTION("""COMPUTED_VALUE"""),107.6)</f>
        <v>107.6</v>
      </c>
      <c r="Q56" s="1">
        <f ca="1">IFERROR(__xludf.DUMMYFUNCTION("""COMPUTED_VALUE"""),75)</f>
        <v>75</v>
      </c>
      <c r="R56" s="1">
        <f ca="1">IFERROR(__xludf.DUMMYFUNCTION("""COMPUTED_VALUE"""),104.1)</f>
        <v>104.1</v>
      </c>
      <c r="S56" s="1">
        <f ca="1">IFERROR(__xludf.DUMMYFUNCTION("""COMPUTED_VALUE"""),107)</f>
        <v>107</v>
      </c>
      <c r="T56" s="1" t="str">
        <f ca="1">IFERROR(__xludf.DUMMYFUNCTION("""COMPUTED_VALUE"""),"+3.83")</f>
        <v>+3.83</v>
      </c>
      <c r="U56" s="1">
        <f ca="1">IFERROR(__xludf.DUMMYFUNCTION("""COMPUTED_VALUE"""),64)</f>
        <v>64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IFERROR(__xludf.DUMMYFUNCTION("""COMPUTED_VALUE"""),"Marquette2")</f>
        <v>Marquette2</v>
      </c>
      <c r="C57" s="1" t="str">
        <f ca="1">IFERROR(__xludf.DUMMYFUNCTION("""COMPUTED_VALUE"""),"BE")</f>
        <v>BE</v>
      </c>
      <c r="D57" s="1" t="str">
        <f ca="1">IFERROR(__xludf.DUMMYFUNCTION("""COMPUTED_VALUE"""),"21-14")</f>
        <v>21-14</v>
      </c>
      <c r="E57" s="1" t="str">
        <f ca="1">IFERROR(__xludf.DUMMYFUNCTION("""COMPUTED_VALUE"""),"+13.68")</f>
        <v>+13.68</v>
      </c>
      <c r="F57" s="1">
        <f ca="1">IFERROR(__xludf.DUMMYFUNCTION("""COMPUTED_VALUE"""),119.2)</f>
        <v>119.2</v>
      </c>
      <c r="G57" s="1">
        <f ca="1">IFERROR(__xludf.DUMMYFUNCTION("""COMPUTED_VALUE"""),12)</f>
        <v>12</v>
      </c>
      <c r="H57" s="1">
        <f ca="1">IFERROR(__xludf.DUMMYFUNCTION("""COMPUTED_VALUE"""),105.6)</f>
        <v>105.6</v>
      </c>
      <c r="I57" s="1">
        <f ca="1">IFERROR(__xludf.DUMMYFUNCTION("""COMPUTED_VALUE"""),182)</f>
        <v>182</v>
      </c>
      <c r="J57" s="1">
        <f ca="1">IFERROR(__xludf.DUMMYFUNCTION("""COMPUTED_VALUE"""),69.5)</f>
        <v>69.5</v>
      </c>
      <c r="K57" s="1">
        <f ca="1">IFERROR(__xludf.DUMMYFUNCTION("""COMPUTED_VALUE"""),100)</f>
        <v>100</v>
      </c>
      <c r="L57" s="1" t="str">
        <f ca="1">IFERROR(__xludf.DUMMYFUNCTION("""COMPUTED_VALUE"""),"+.020")</f>
        <v>+.020</v>
      </c>
      <c r="M57" s="1">
        <f ca="1">IFERROR(__xludf.DUMMYFUNCTION("""COMPUTED_VALUE"""),123)</f>
        <v>123</v>
      </c>
      <c r="N57" s="1" t="str">
        <f ca="1">IFERROR(__xludf.DUMMYFUNCTION("""COMPUTED_VALUE"""),"+9.99")</f>
        <v>+9.99</v>
      </c>
      <c r="O57" s="1">
        <f ca="1">IFERROR(__xludf.DUMMYFUNCTION("""COMPUTED_VALUE"""),24)</f>
        <v>24</v>
      </c>
      <c r="P57" s="1">
        <f ca="1">IFERROR(__xludf.DUMMYFUNCTION("""COMPUTED_VALUE"""),110.9)</f>
        <v>110.9</v>
      </c>
      <c r="Q57" s="1">
        <f ca="1">IFERROR(__xludf.DUMMYFUNCTION("""COMPUTED_VALUE"""),18)</f>
        <v>18</v>
      </c>
      <c r="R57" s="1">
        <f ca="1">IFERROR(__xludf.DUMMYFUNCTION("""COMPUTED_VALUE"""),100.9)</f>
        <v>100.9</v>
      </c>
      <c r="S57" s="1">
        <f ca="1">IFERROR(__xludf.DUMMYFUNCTION("""COMPUTED_VALUE"""),40)</f>
        <v>40</v>
      </c>
      <c r="T57" s="1">
        <f ca="1">IFERROR(__xludf.DUMMYFUNCTION("""COMPUTED_VALUE"""),-0.66)</f>
        <v>-0.66</v>
      </c>
      <c r="U57" s="1">
        <f ca="1">IFERROR(__xludf.DUMMYFUNCTION("""COMPUTED_VALUE"""),174)</f>
        <v>174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IFERROR(__xludf.DUMMYFUNCTION("""COMPUTED_VALUE"""),"Mississippi St.4")</f>
        <v>Mississippi St.4</v>
      </c>
      <c r="C58" s="1" t="str">
        <f ca="1">IFERROR(__xludf.DUMMYFUNCTION("""COMPUTED_VALUE"""),"SEC")</f>
        <v>SEC</v>
      </c>
      <c r="D58" s="1" t="str">
        <f ca="1">IFERROR(__xludf.DUMMYFUNCTION("""COMPUTED_VALUE"""),"25-12")</f>
        <v>25-12</v>
      </c>
      <c r="E58" s="1" t="str">
        <f ca="1">IFERROR(__xludf.DUMMYFUNCTION("""COMPUTED_VALUE"""),"+13.61")</f>
        <v>+13.61</v>
      </c>
      <c r="F58" s="1">
        <f ca="1">IFERROR(__xludf.DUMMYFUNCTION("""COMPUTED_VALUE"""),110.5)</f>
        <v>110.5</v>
      </c>
      <c r="G58" s="1">
        <f ca="1">IFERROR(__xludf.DUMMYFUNCTION("""COMPUTED_VALUE"""),76)</f>
        <v>76</v>
      </c>
      <c r="H58" s="1">
        <f ca="1">IFERROR(__xludf.DUMMYFUNCTION("""COMPUTED_VALUE"""),96.9)</f>
        <v>96.9</v>
      </c>
      <c r="I58" s="1">
        <f ca="1">IFERROR(__xludf.DUMMYFUNCTION("""COMPUTED_VALUE"""),40)</f>
        <v>40</v>
      </c>
      <c r="J58" s="1">
        <f ca="1">IFERROR(__xludf.DUMMYFUNCTION("""COMPUTED_VALUE"""),67.3)</f>
        <v>67.3</v>
      </c>
      <c r="K58" s="1">
        <f ca="1">IFERROR(__xludf.DUMMYFUNCTION("""COMPUTED_VALUE"""),219)</f>
        <v>219</v>
      </c>
      <c r="L58" s="1" t="str">
        <f ca="1">IFERROR(__xludf.DUMMYFUNCTION("""COMPUTED_VALUE"""),"+.042")</f>
        <v>+.042</v>
      </c>
      <c r="M58" s="1">
        <f ca="1">IFERROR(__xludf.DUMMYFUNCTION("""COMPUTED_VALUE"""),74)</f>
        <v>74</v>
      </c>
      <c r="N58" s="1" t="str">
        <f ca="1">IFERROR(__xludf.DUMMYFUNCTION("""COMPUTED_VALUE"""),"+7.03")</f>
        <v>+7.03</v>
      </c>
      <c r="O58" s="1">
        <f ca="1">IFERROR(__xludf.DUMMYFUNCTION("""COMPUTED_VALUE"""),60)</f>
        <v>60</v>
      </c>
      <c r="P58" s="1">
        <f ca="1">IFERROR(__xludf.DUMMYFUNCTION("""COMPUTED_VALUE"""),108.5)</f>
        <v>108.5</v>
      </c>
      <c r="Q58" s="1">
        <f ca="1">IFERROR(__xludf.DUMMYFUNCTION("""COMPUTED_VALUE"""),64)</f>
        <v>64</v>
      </c>
      <c r="R58" s="1">
        <f ca="1">IFERROR(__xludf.DUMMYFUNCTION("""COMPUTED_VALUE"""),101.5)</f>
        <v>101.5</v>
      </c>
      <c r="S58" s="1">
        <f ca="1">IFERROR(__xludf.DUMMYFUNCTION("""COMPUTED_VALUE"""),57)</f>
        <v>57</v>
      </c>
      <c r="T58" s="1">
        <f ca="1">IFERROR(__xludf.DUMMYFUNCTION("""COMPUTED_VALUE"""),-10.55)</f>
        <v>-10.55</v>
      </c>
      <c r="U58" s="1">
        <f ca="1">IFERROR(__xludf.DUMMYFUNCTION("""COMPUTED_VALUE"""),345)</f>
        <v>345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IFERROR(__xludf.DUMMYFUNCTION("""COMPUTED_VALUE"""),"Nebraska5")</f>
        <v>Nebraska5</v>
      </c>
      <c r="C59" s="1" t="str">
        <f ca="1">IFERROR(__xludf.DUMMYFUNCTION("""COMPUTED_VALUE"""),"B10")</f>
        <v>B10</v>
      </c>
      <c r="D59" s="1" t="str">
        <f ca="1">IFERROR(__xludf.DUMMYFUNCTION("""COMPUTED_VALUE"""),"22-11")</f>
        <v>22-11</v>
      </c>
      <c r="E59" s="1" t="str">
        <f ca="1">IFERROR(__xludf.DUMMYFUNCTION("""COMPUTED_VALUE"""),"+13.54")</f>
        <v>+13.54</v>
      </c>
      <c r="F59" s="1">
        <f ca="1">IFERROR(__xludf.DUMMYFUNCTION("""COMPUTED_VALUE"""),110.6)</f>
        <v>110.6</v>
      </c>
      <c r="G59" s="1">
        <f ca="1">IFERROR(__xludf.DUMMYFUNCTION("""COMPUTED_VALUE"""),75)</f>
        <v>75</v>
      </c>
      <c r="H59" s="1">
        <f ca="1">IFERROR(__xludf.DUMMYFUNCTION("""COMPUTED_VALUE"""),97.1)</f>
        <v>97.1</v>
      </c>
      <c r="I59" s="1">
        <f ca="1">IFERROR(__xludf.DUMMYFUNCTION("""COMPUTED_VALUE"""),44)</f>
        <v>44</v>
      </c>
      <c r="J59" s="1">
        <f ca="1">IFERROR(__xludf.DUMMYFUNCTION("""COMPUTED_VALUE"""),67.4)</f>
        <v>67.400000000000006</v>
      </c>
      <c r="K59" s="1">
        <f ca="1">IFERROR(__xludf.DUMMYFUNCTION("""COMPUTED_VALUE"""),214)</f>
        <v>214</v>
      </c>
      <c r="L59" s="1" t="str">
        <f ca="1">IFERROR(__xludf.DUMMYFUNCTION("""COMPUTED_VALUE"""),"+.055")</f>
        <v>+.055</v>
      </c>
      <c r="M59" s="1">
        <f ca="1">IFERROR(__xludf.DUMMYFUNCTION("""COMPUTED_VALUE"""),59)</f>
        <v>59</v>
      </c>
      <c r="N59" s="1" t="str">
        <f ca="1">IFERROR(__xludf.DUMMYFUNCTION("""COMPUTED_VALUE"""),"+7.14")</f>
        <v>+7.14</v>
      </c>
      <c r="O59" s="1">
        <f ca="1">IFERROR(__xludf.DUMMYFUNCTION("""COMPUTED_VALUE"""),59)</f>
        <v>59</v>
      </c>
      <c r="P59" s="1">
        <f ca="1">IFERROR(__xludf.DUMMYFUNCTION("""COMPUTED_VALUE"""),108.4)</f>
        <v>108.4</v>
      </c>
      <c r="Q59" s="1">
        <f ca="1">IFERROR(__xludf.DUMMYFUNCTION("""COMPUTED_VALUE"""),66)</f>
        <v>66</v>
      </c>
      <c r="R59" s="1">
        <f ca="1">IFERROR(__xludf.DUMMYFUNCTION("""COMPUTED_VALUE"""),101.3)</f>
        <v>101.3</v>
      </c>
      <c r="S59" s="1">
        <f ca="1">IFERROR(__xludf.DUMMYFUNCTION("""COMPUTED_VALUE"""),50)</f>
        <v>50</v>
      </c>
      <c r="T59" s="1">
        <f ca="1">IFERROR(__xludf.DUMMYFUNCTION("""COMPUTED_VALUE"""),-3.1)</f>
        <v>-3.1</v>
      </c>
      <c r="U59" s="1">
        <f ca="1">IFERROR(__xludf.DUMMYFUNCTION("""COMPUTED_VALUE"""),255)</f>
        <v>255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IFERROR(__xludf.DUMMYFUNCTION("""COMPUTED_VALUE"""),"UCLA11")</f>
        <v>UCLA11</v>
      </c>
      <c r="C60" s="1" t="str">
        <f ca="1">IFERROR(__xludf.DUMMYFUNCTION("""COMPUTED_VALUE"""),"P12")</f>
        <v>P12</v>
      </c>
      <c r="D60" s="1" t="str">
        <f ca="1">IFERROR(__xludf.DUMMYFUNCTION("""COMPUTED_VALUE"""),"21-12")</f>
        <v>21-12</v>
      </c>
      <c r="E60" s="1" t="str">
        <f ca="1">IFERROR(__xludf.DUMMYFUNCTION("""COMPUTED_VALUE"""),"+13.52")</f>
        <v>+13.52</v>
      </c>
      <c r="F60" s="1">
        <f ca="1">IFERROR(__xludf.DUMMYFUNCTION("""COMPUTED_VALUE"""),115)</f>
        <v>115</v>
      </c>
      <c r="G60" s="1">
        <f ca="1">IFERROR(__xludf.DUMMYFUNCTION("""COMPUTED_VALUE"""),31)</f>
        <v>31</v>
      </c>
      <c r="H60" s="1">
        <f ca="1">IFERROR(__xludf.DUMMYFUNCTION("""COMPUTED_VALUE"""),101.4)</f>
        <v>101.4</v>
      </c>
      <c r="I60" s="1">
        <f ca="1">IFERROR(__xludf.DUMMYFUNCTION("""COMPUTED_VALUE"""),103)</f>
        <v>103</v>
      </c>
      <c r="J60" s="1">
        <f ca="1">IFERROR(__xludf.DUMMYFUNCTION("""COMPUTED_VALUE"""),70.3)</f>
        <v>70.3</v>
      </c>
      <c r="K60" s="1">
        <f ca="1">IFERROR(__xludf.DUMMYFUNCTION("""COMPUTED_VALUE"""),70)</f>
        <v>70</v>
      </c>
      <c r="L60" s="1">
        <f ca="1">IFERROR(__xludf.DUMMYFUNCTION("""COMPUTED_VALUE"""),-0.027)</f>
        <v>-2.7E-2</v>
      </c>
      <c r="M60" s="1">
        <f ca="1">IFERROR(__xludf.DUMMYFUNCTION("""COMPUTED_VALUE"""),257)</f>
        <v>257</v>
      </c>
      <c r="N60" s="1" t="str">
        <f ca="1">IFERROR(__xludf.DUMMYFUNCTION("""COMPUTED_VALUE"""),"+6.42")</f>
        <v>+6.42</v>
      </c>
      <c r="O60" s="1">
        <f ca="1">IFERROR(__xludf.DUMMYFUNCTION("""COMPUTED_VALUE"""),63)</f>
        <v>63</v>
      </c>
      <c r="P60" s="1">
        <f ca="1">IFERROR(__xludf.DUMMYFUNCTION("""COMPUTED_VALUE"""),108.1)</f>
        <v>108.1</v>
      </c>
      <c r="Q60" s="1">
        <f ca="1">IFERROR(__xludf.DUMMYFUNCTION("""COMPUTED_VALUE"""),72)</f>
        <v>72</v>
      </c>
      <c r="R60" s="1">
        <f ca="1">IFERROR(__xludf.DUMMYFUNCTION("""COMPUTED_VALUE"""),101.7)</f>
        <v>101.7</v>
      </c>
      <c r="S60" s="1">
        <f ca="1">IFERROR(__xludf.DUMMYFUNCTION("""COMPUTED_VALUE"""),60)</f>
        <v>60</v>
      </c>
      <c r="T60" s="1" t="str">
        <f ca="1">IFERROR(__xludf.DUMMYFUNCTION("""COMPUTED_VALUE"""),"+2.93")</f>
        <v>+2.93</v>
      </c>
      <c r="U60" s="1">
        <f ca="1">IFERROR(__xludf.DUMMYFUNCTION("""COMPUTED_VALUE"""),81)</f>
        <v>81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IFERROR(__xludf.DUMMYFUNCTION("""COMPUTED_VALUE"""),"Alabama9")</f>
        <v>Alabama9</v>
      </c>
      <c r="C61" s="1" t="str">
        <f ca="1">IFERROR(__xludf.DUMMYFUNCTION("""COMPUTED_VALUE"""),"SEC")</f>
        <v>SEC</v>
      </c>
      <c r="D61" s="1" t="str">
        <f ca="1">IFERROR(__xludf.DUMMYFUNCTION("""COMPUTED_VALUE"""),"20-16")</f>
        <v>20-16</v>
      </c>
      <c r="E61" s="1" t="str">
        <f ca="1">IFERROR(__xludf.DUMMYFUNCTION("""COMPUTED_VALUE"""),"+13.41")</f>
        <v>+13.41</v>
      </c>
      <c r="F61" s="1">
        <f ca="1">IFERROR(__xludf.DUMMYFUNCTION("""COMPUTED_VALUE"""),108.7)</f>
        <v>108.7</v>
      </c>
      <c r="G61" s="1">
        <f ca="1">IFERROR(__xludf.DUMMYFUNCTION("""COMPUTED_VALUE"""),106)</f>
        <v>106</v>
      </c>
      <c r="H61" s="1">
        <f ca="1">IFERROR(__xludf.DUMMYFUNCTION("""COMPUTED_VALUE"""),95.2)</f>
        <v>95.2</v>
      </c>
      <c r="I61" s="1">
        <f ca="1">IFERROR(__xludf.DUMMYFUNCTION("""COMPUTED_VALUE"""),20)</f>
        <v>20</v>
      </c>
      <c r="J61" s="1">
        <f ca="1">IFERROR(__xludf.DUMMYFUNCTION("""COMPUTED_VALUE"""),68.7)</f>
        <v>68.7</v>
      </c>
      <c r="K61" s="1">
        <f ca="1">IFERROR(__xludf.DUMMYFUNCTION("""COMPUTED_VALUE"""),151)</f>
        <v>151</v>
      </c>
      <c r="L61" s="1" t="str">
        <f ca="1">IFERROR(__xludf.DUMMYFUNCTION("""COMPUTED_VALUE"""),"+.017")</f>
        <v>+.017</v>
      </c>
      <c r="M61" s="1">
        <f ca="1">IFERROR(__xludf.DUMMYFUNCTION("""COMPUTED_VALUE"""),130)</f>
        <v>130</v>
      </c>
      <c r="N61" s="1" t="str">
        <f ca="1">IFERROR(__xludf.DUMMYFUNCTION("""COMPUTED_VALUE"""),"+11.17")</f>
        <v>+11.17</v>
      </c>
      <c r="O61" s="1">
        <f ca="1">IFERROR(__xludf.DUMMYFUNCTION("""COMPUTED_VALUE"""),8)</f>
        <v>8</v>
      </c>
      <c r="P61" s="1">
        <f ca="1">IFERROR(__xludf.DUMMYFUNCTION("""COMPUTED_VALUE"""),110.9)</f>
        <v>110.9</v>
      </c>
      <c r="Q61" s="1">
        <f ca="1">IFERROR(__xludf.DUMMYFUNCTION("""COMPUTED_VALUE"""),19)</f>
        <v>19</v>
      </c>
      <c r="R61" s="1">
        <f ca="1">IFERROR(__xludf.DUMMYFUNCTION("""COMPUTED_VALUE"""),99.7)</f>
        <v>99.7</v>
      </c>
      <c r="S61" s="1">
        <f ca="1">IFERROR(__xludf.DUMMYFUNCTION("""COMPUTED_VALUE"""),7)</f>
        <v>7</v>
      </c>
      <c r="T61" s="1" t="str">
        <f ca="1">IFERROR(__xludf.DUMMYFUNCTION("""COMPUTED_VALUE"""),"+2.54")</f>
        <v>+2.54</v>
      </c>
      <c r="U61" s="1">
        <f ca="1">IFERROR(__xludf.DUMMYFUNCTION("""COMPUTED_VALUE"""),84)</f>
        <v>84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IFERROR(__xludf.DUMMYFUNCTION("""COMPUTED_VALUE"""),"Utah2")</f>
        <v>Utah2</v>
      </c>
      <c r="C62" s="1" t="str">
        <f ca="1">IFERROR(__xludf.DUMMYFUNCTION("""COMPUTED_VALUE"""),"P12")</f>
        <v>P12</v>
      </c>
      <c r="D62" s="1" t="str">
        <f ca="1">IFERROR(__xludf.DUMMYFUNCTION("""COMPUTED_VALUE"""),"23-12")</f>
        <v>23-12</v>
      </c>
      <c r="E62" s="1" t="str">
        <f ca="1">IFERROR(__xludf.DUMMYFUNCTION("""COMPUTED_VALUE"""),"+12.99")</f>
        <v>+12.99</v>
      </c>
      <c r="F62" s="1">
        <f ca="1">IFERROR(__xludf.DUMMYFUNCTION("""COMPUTED_VALUE"""),111.8)</f>
        <v>111.8</v>
      </c>
      <c r="G62" s="1">
        <f ca="1">IFERROR(__xludf.DUMMYFUNCTION("""COMPUTED_VALUE"""),59)</f>
        <v>59</v>
      </c>
      <c r="H62" s="1">
        <f ca="1">IFERROR(__xludf.DUMMYFUNCTION("""COMPUTED_VALUE"""),98.9)</f>
        <v>98.9</v>
      </c>
      <c r="I62" s="1">
        <f ca="1">IFERROR(__xludf.DUMMYFUNCTION("""COMPUTED_VALUE"""),63)</f>
        <v>63</v>
      </c>
      <c r="J62" s="1">
        <f ca="1">IFERROR(__xludf.DUMMYFUNCTION("""COMPUTED_VALUE"""),65.6)</f>
        <v>65.599999999999994</v>
      </c>
      <c r="K62" s="1">
        <f ca="1">IFERROR(__xludf.DUMMYFUNCTION("""COMPUTED_VALUE"""),299)</f>
        <v>299</v>
      </c>
      <c r="L62" s="1" t="str">
        <f ca="1">IFERROR(__xludf.DUMMYFUNCTION("""COMPUTED_VALUE"""),"+.031")</f>
        <v>+.031</v>
      </c>
      <c r="M62" s="1">
        <f ca="1">IFERROR(__xludf.DUMMYFUNCTION("""COMPUTED_VALUE"""),98)</f>
        <v>98</v>
      </c>
      <c r="N62" s="1" t="str">
        <f ca="1">IFERROR(__xludf.DUMMYFUNCTION("""COMPUTED_VALUE"""),"+6.31")</f>
        <v>+6.31</v>
      </c>
      <c r="O62" s="1">
        <f ca="1">IFERROR(__xludf.DUMMYFUNCTION("""COMPUTED_VALUE"""),64)</f>
        <v>64</v>
      </c>
      <c r="P62" s="1">
        <f ca="1">IFERROR(__xludf.DUMMYFUNCTION("""COMPUTED_VALUE"""),109.1)</f>
        <v>109.1</v>
      </c>
      <c r="Q62" s="1">
        <f ca="1">IFERROR(__xludf.DUMMYFUNCTION("""COMPUTED_VALUE"""),54)</f>
        <v>54</v>
      </c>
      <c r="R62" s="1">
        <f ca="1">IFERROR(__xludf.DUMMYFUNCTION("""COMPUTED_VALUE"""),102.7)</f>
        <v>102.7</v>
      </c>
      <c r="S62" s="1">
        <f ca="1">IFERROR(__xludf.DUMMYFUNCTION("""COMPUTED_VALUE"""),76)</f>
        <v>76</v>
      </c>
      <c r="T62" s="1">
        <f ca="1">IFERROR(__xludf.DUMMYFUNCTION("""COMPUTED_VALUE"""),-1.28)</f>
        <v>-1.28</v>
      </c>
      <c r="U62" s="1">
        <f ca="1">IFERROR(__xludf.DUMMYFUNCTION("""COMPUTED_VALUE"""),190)</f>
        <v>190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IFERROR(__xludf.DUMMYFUNCTION("""COMPUTED_VALUE"""),"Oklahoma St.2")</f>
        <v>Oklahoma St.2</v>
      </c>
      <c r="C63" s="1" t="str">
        <f ca="1">IFERROR(__xludf.DUMMYFUNCTION("""COMPUTED_VALUE"""),"B12")</f>
        <v>B12</v>
      </c>
      <c r="D63" s="1" t="str">
        <f ca="1">IFERROR(__xludf.DUMMYFUNCTION("""COMPUTED_VALUE"""),"21-15")</f>
        <v>21-15</v>
      </c>
      <c r="E63" s="1" t="str">
        <f ca="1">IFERROR(__xludf.DUMMYFUNCTION("""COMPUTED_VALUE"""),"+12.93")</f>
        <v>+12.93</v>
      </c>
      <c r="F63" s="1">
        <f ca="1">IFERROR(__xludf.DUMMYFUNCTION("""COMPUTED_VALUE"""),111.6)</f>
        <v>111.6</v>
      </c>
      <c r="G63" s="1">
        <f ca="1">IFERROR(__xludf.DUMMYFUNCTION("""COMPUTED_VALUE"""),61)</f>
        <v>61</v>
      </c>
      <c r="H63" s="1">
        <f ca="1">IFERROR(__xludf.DUMMYFUNCTION("""COMPUTED_VALUE"""),98.6)</f>
        <v>98.6</v>
      </c>
      <c r="I63" s="1">
        <f ca="1">IFERROR(__xludf.DUMMYFUNCTION("""COMPUTED_VALUE"""),59)</f>
        <v>59</v>
      </c>
      <c r="J63" s="1">
        <f ca="1">IFERROR(__xludf.DUMMYFUNCTION("""COMPUTED_VALUE"""),68.9)</f>
        <v>68.900000000000006</v>
      </c>
      <c r="K63" s="1">
        <f ca="1">IFERROR(__xludf.DUMMYFUNCTION("""COMPUTED_VALUE"""),135)</f>
        <v>135</v>
      </c>
      <c r="L63" s="1">
        <f ca="1">IFERROR(__xludf.DUMMYFUNCTION("""COMPUTED_VALUE"""),-0.001)</f>
        <v>-1E-3</v>
      </c>
      <c r="M63" s="1">
        <f ca="1">IFERROR(__xludf.DUMMYFUNCTION("""COMPUTED_VALUE"""),180)</f>
        <v>180</v>
      </c>
      <c r="N63" s="1" t="str">
        <f ca="1">IFERROR(__xludf.DUMMYFUNCTION("""COMPUTED_VALUE"""),"+9.22")</f>
        <v>+9.22</v>
      </c>
      <c r="O63" s="1">
        <f ca="1">IFERROR(__xludf.DUMMYFUNCTION("""COMPUTED_VALUE"""),38)</f>
        <v>38</v>
      </c>
      <c r="P63" s="1">
        <f ca="1">IFERROR(__xludf.DUMMYFUNCTION("""COMPUTED_VALUE"""),110.6)</f>
        <v>110.6</v>
      </c>
      <c r="Q63" s="1">
        <f ca="1">IFERROR(__xludf.DUMMYFUNCTION("""COMPUTED_VALUE"""),25)</f>
        <v>25</v>
      </c>
      <c r="R63" s="1">
        <f ca="1">IFERROR(__xludf.DUMMYFUNCTION("""COMPUTED_VALUE"""),101.4)</f>
        <v>101.4</v>
      </c>
      <c r="S63" s="1">
        <f ca="1">IFERROR(__xludf.DUMMYFUNCTION("""COMPUTED_VALUE"""),55)</f>
        <v>55</v>
      </c>
      <c r="T63" s="1">
        <f ca="1">IFERROR(__xludf.DUMMYFUNCTION("""COMPUTED_VALUE"""),-5.35)</f>
        <v>-5.35</v>
      </c>
      <c r="U63" s="1">
        <f ca="1">IFERROR(__xludf.DUMMYFUNCTION("""COMPUTED_VALUE"""),311)</f>
        <v>311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IFERROR(__xludf.DUMMYFUNCTION("""COMPUTED_VALUE"""),"New Mexico St.12")</f>
        <v>New Mexico St.12</v>
      </c>
      <c r="C64" s="1" t="str">
        <f ca="1">IFERROR(__xludf.DUMMYFUNCTION("""COMPUTED_VALUE"""),"WAC")</f>
        <v>WAC</v>
      </c>
      <c r="D64" s="1" t="str">
        <f ca="1">IFERROR(__xludf.DUMMYFUNCTION("""COMPUTED_VALUE"""),"28-6")</f>
        <v>28-6</v>
      </c>
      <c r="E64" s="1" t="str">
        <f ca="1">IFERROR(__xludf.DUMMYFUNCTION("""COMPUTED_VALUE"""),"+12.92")</f>
        <v>+12.92</v>
      </c>
      <c r="F64" s="1">
        <f ca="1">IFERROR(__xludf.DUMMYFUNCTION("""COMPUTED_VALUE"""),107.9)</f>
        <v>107.9</v>
      </c>
      <c r="G64" s="1">
        <f ca="1">IFERROR(__xludf.DUMMYFUNCTION("""COMPUTED_VALUE"""),116)</f>
        <v>116</v>
      </c>
      <c r="H64" s="1">
        <f ca="1">IFERROR(__xludf.DUMMYFUNCTION("""COMPUTED_VALUE"""),95)</f>
        <v>95</v>
      </c>
      <c r="I64" s="1">
        <f ca="1">IFERROR(__xludf.DUMMYFUNCTION("""COMPUTED_VALUE"""),16)</f>
        <v>16</v>
      </c>
      <c r="J64" s="1">
        <f ca="1">IFERROR(__xludf.DUMMYFUNCTION("""COMPUTED_VALUE"""),68.5)</f>
        <v>68.5</v>
      </c>
      <c r="K64" s="1">
        <f ca="1">IFERROR(__xludf.DUMMYFUNCTION("""COMPUTED_VALUE"""),165)</f>
        <v>165</v>
      </c>
      <c r="L64" s="1" t="str">
        <f ca="1">IFERROR(__xludf.DUMMYFUNCTION("""COMPUTED_VALUE"""),"+.027")</f>
        <v>+.027</v>
      </c>
      <c r="M64" s="1">
        <f ca="1">IFERROR(__xludf.DUMMYFUNCTION("""COMPUTED_VALUE"""),106)</f>
        <v>106</v>
      </c>
      <c r="N64" s="1">
        <f ca="1">IFERROR(__xludf.DUMMYFUNCTION("""COMPUTED_VALUE"""),-1.4)</f>
        <v>-1.4</v>
      </c>
      <c r="O64" s="1">
        <f ca="1">IFERROR(__xludf.DUMMYFUNCTION("""COMPUTED_VALUE"""),174)</f>
        <v>174</v>
      </c>
      <c r="P64" s="1">
        <f ca="1">IFERROR(__xludf.DUMMYFUNCTION("""COMPUTED_VALUE"""),104)</f>
        <v>104</v>
      </c>
      <c r="Q64" s="1">
        <f ca="1">IFERROR(__xludf.DUMMYFUNCTION("""COMPUTED_VALUE"""),193)</f>
        <v>193</v>
      </c>
      <c r="R64" s="1">
        <f ca="1">IFERROR(__xludf.DUMMYFUNCTION("""COMPUTED_VALUE"""),105.4)</f>
        <v>105.4</v>
      </c>
      <c r="S64" s="1">
        <f ca="1">IFERROR(__xludf.DUMMYFUNCTION("""COMPUTED_VALUE"""),157)</f>
        <v>157</v>
      </c>
      <c r="T64" s="1" t="str">
        <f ca="1">IFERROR(__xludf.DUMMYFUNCTION("""COMPUTED_VALUE"""),"+3.70")</f>
        <v>+3.70</v>
      </c>
      <c r="U64" s="1">
        <f ca="1">IFERROR(__xludf.DUMMYFUNCTION("""COMPUTED_VALUE"""),66)</f>
        <v>66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IFERROR(__xludf.DUMMYFUNCTION("""COMPUTED_VALUE"""),"Boise St.4")</f>
        <v>Boise St.4</v>
      </c>
      <c r="C65" s="1" t="str">
        <f ca="1">IFERROR(__xludf.DUMMYFUNCTION("""COMPUTED_VALUE"""),"MWC")</f>
        <v>MWC</v>
      </c>
      <c r="D65" s="1" t="str">
        <f ca="1">IFERROR(__xludf.DUMMYFUNCTION("""COMPUTED_VALUE"""),"23-9")</f>
        <v>23-9</v>
      </c>
      <c r="E65" s="1" t="str">
        <f ca="1">IFERROR(__xludf.DUMMYFUNCTION("""COMPUTED_VALUE"""),"+12.90")</f>
        <v>+12.90</v>
      </c>
      <c r="F65" s="1">
        <f ca="1">IFERROR(__xludf.DUMMYFUNCTION("""COMPUTED_VALUE"""),109.9)</f>
        <v>109.9</v>
      </c>
      <c r="G65" s="1">
        <f ca="1">IFERROR(__xludf.DUMMYFUNCTION("""COMPUTED_VALUE"""),82)</f>
        <v>82</v>
      </c>
      <c r="H65" s="1">
        <f ca="1">IFERROR(__xludf.DUMMYFUNCTION("""COMPUTED_VALUE"""),97)</f>
        <v>97</v>
      </c>
      <c r="I65" s="1">
        <f ca="1">IFERROR(__xludf.DUMMYFUNCTION("""COMPUTED_VALUE"""),42)</f>
        <v>42</v>
      </c>
      <c r="J65" s="1">
        <f ca="1">IFERROR(__xludf.DUMMYFUNCTION("""COMPUTED_VALUE"""),68.8)</f>
        <v>68.8</v>
      </c>
      <c r="K65" s="1">
        <f ca="1">IFERROR(__xludf.DUMMYFUNCTION("""COMPUTED_VALUE"""),141)</f>
        <v>141</v>
      </c>
      <c r="L65" s="1">
        <f ca="1">IFERROR(__xludf.DUMMYFUNCTION("""COMPUTED_VALUE"""),-0.006)</f>
        <v>-6.0000000000000001E-3</v>
      </c>
      <c r="M65" s="1">
        <f ca="1">IFERROR(__xludf.DUMMYFUNCTION("""COMPUTED_VALUE"""),192)</f>
        <v>192</v>
      </c>
      <c r="N65" s="1" t="str">
        <f ca="1">IFERROR(__xludf.DUMMYFUNCTION("""COMPUTED_VALUE"""),"+2.23")</f>
        <v>+2.23</v>
      </c>
      <c r="O65" s="1">
        <f ca="1">IFERROR(__xludf.DUMMYFUNCTION("""COMPUTED_VALUE"""),102)</f>
        <v>102</v>
      </c>
      <c r="P65" s="1">
        <f ca="1">IFERROR(__xludf.DUMMYFUNCTION("""COMPUTED_VALUE"""),106.6)</f>
        <v>106.6</v>
      </c>
      <c r="Q65" s="1">
        <f ca="1">IFERROR(__xludf.DUMMYFUNCTION("""COMPUTED_VALUE"""),96)</f>
        <v>96</v>
      </c>
      <c r="R65" s="1">
        <f ca="1">IFERROR(__xludf.DUMMYFUNCTION("""COMPUTED_VALUE"""),104.3)</f>
        <v>104.3</v>
      </c>
      <c r="S65" s="1">
        <f ca="1">IFERROR(__xludf.DUMMYFUNCTION("""COMPUTED_VALUE"""),115)</f>
        <v>115</v>
      </c>
      <c r="T65" s="1">
        <f ca="1">IFERROR(__xludf.DUMMYFUNCTION("""COMPUTED_VALUE"""),-1.95)</f>
        <v>-1.95</v>
      </c>
      <c r="U65" s="1">
        <f ca="1">IFERROR(__xludf.DUMMYFUNCTION("""COMPUTED_VALUE"""),215)</f>
        <v>215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IFERROR(__xludf.DUMMYFUNCTION("""COMPUTED_VALUE"""),"Murray St.12")</f>
        <v>Murray St.12</v>
      </c>
      <c r="C66" s="1" t="str">
        <f ca="1">IFERROR(__xludf.DUMMYFUNCTION("""COMPUTED_VALUE"""),"OVC")</f>
        <v>OVC</v>
      </c>
      <c r="D66" s="1" t="str">
        <f ca="1">IFERROR(__xludf.DUMMYFUNCTION("""COMPUTED_VALUE"""),"26-6")</f>
        <v>26-6</v>
      </c>
      <c r="E66" s="1" t="str">
        <f ca="1">IFERROR(__xludf.DUMMYFUNCTION("""COMPUTED_VALUE"""),"+12.19")</f>
        <v>+12.19</v>
      </c>
      <c r="F66" s="1">
        <f ca="1">IFERROR(__xludf.DUMMYFUNCTION("""COMPUTED_VALUE"""),112.9)</f>
        <v>112.9</v>
      </c>
      <c r="G66" s="1">
        <f ca="1">IFERROR(__xludf.DUMMYFUNCTION("""COMPUTED_VALUE"""),54)</f>
        <v>54</v>
      </c>
      <c r="H66" s="1">
        <f ca="1">IFERROR(__xludf.DUMMYFUNCTION("""COMPUTED_VALUE"""),100.7)</f>
        <v>100.7</v>
      </c>
      <c r="I66" s="1">
        <f ca="1">IFERROR(__xludf.DUMMYFUNCTION("""COMPUTED_VALUE"""),93)</f>
        <v>93</v>
      </c>
      <c r="J66" s="1">
        <f ca="1">IFERROR(__xludf.DUMMYFUNCTION("""COMPUTED_VALUE"""),67.2)</f>
        <v>67.2</v>
      </c>
      <c r="K66" s="1">
        <f ca="1">IFERROR(__xludf.DUMMYFUNCTION("""COMPUTED_VALUE"""),222)</f>
        <v>222</v>
      </c>
      <c r="L66" s="1">
        <f ca="1">IFERROR(__xludf.DUMMYFUNCTION("""COMPUTED_VALUE"""),0)</f>
        <v>0</v>
      </c>
      <c r="M66" s="1">
        <f ca="1">IFERROR(__xludf.DUMMYFUNCTION("""COMPUTED_VALUE"""),176)</f>
        <v>176</v>
      </c>
      <c r="N66" s="1">
        <f ca="1">IFERROR(__xludf.DUMMYFUNCTION("""COMPUTED_VALUE"""),-3.56)</f>
        <v>-3.56</v>
      </c>
      <c r="O66" s="1">
        <f ca="1">IFERROR(__xludf.DUMMYFUNCTION("""COMPUTED_VALUE"""),243)</f>
        <v>243</v>
      </c>
      <c r="P66" s="1">
        <f ca="1">IFERROR(__xludf.DUMMYFUNCTION("""COMPUTED_VALUE"""),102.9)</f>
        <v>102.9</v>
      </c>
      <c r="Q66" s="1">
        <f ca="1">IFERROR(__xludf.DUMMYFUNCTION("""COMPUTED_VALUE"""),253)</f>
        <v>253</v>
      </c>
      <c r="R66" s="1">
        <f ca="1">IFERROR(__xludf.DUMMYFUNCTION("""COMPUTED_VALUE"""),106.4)</f>
        <v>106.4</v>
      </c>
      <c r="S66" s="1">
        <f ca="1">IFERROR(__xludf.DUMMYFUNCTION("""COMPUTED_VALUE"""),222)</f>
        <v>222</v>
      </c>
      <c r="T66" s="1">
        <f ca="1">IFERROR(__xludf.DUMMYFUNCTION("""COMPUTED_VALUE"""),-0.99)</f>
        <v>-0.99</v>
      </c>
      <c r="U66" s="1">
        <f ca="1">IFERROR(__xludf.DUMMYFUNCTION("""COMPUTED_VALUE"""),185)</f>
        <v>185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IFERROR(__xludf.DUMMYFUNCTION("""COMPUTED_VALUE"""),"Providence10")</f>
        <v>Providence10</v>
      </c>
      <c r="C67" s="1" t="str">
        <f ca="1">IFERROR(__xludf.DUMMYFUNCTION("""COMPUTED_VALUE"""),"BE")</f>
        <v>BE</v>
      </c>
      <c r="D67" s="1" t="str">
        <f ca="1">IFERROR(__xludf.DUMMYFUNCTION("""COMPUTED_VALUE"""),"21-14")</f>
        <v>21-14</v>
      </c>
      <c r="E67" s="1" t="str">
        <f ca="1">IFERROR(__xludf.DUMMYFUNCTION("""COMPUTED_VALUE"""),"+12.17")</f>
        <v>+12.17</v>
      </c>
      <c r="F67" s="1">
        <f ca="1">IFERROR(__xludf.DUMMYFUNCTION("""COMPUTED_VALUE"""),108.9)</f>
        <v>108.9</v>
      </c>
      <c r="G67" s="1">
        <f ca="1">IFERROR(__xludf.DUMMYFUNCTION("""COMPUTED_VALUE"""),100)</f>
        <v>100</v>
      </c>
      <c r="H67" s="1">
        <f ca="1">IFERROR(__xludf.DUMMYFUNCTION("""COMPUTED_VALUE"""),96.7)</f>
        <v>96.7</v>
      </c>
      <c r="I67" s="1">
        <f ca="1">IFERROR(__xludf.DUMMYFUNCTION("""COMPUTED_VALUE"""),36)</f>
        <v>36</v>
      </c>
      <c r="J67" s="1">
        <f ca="1">IFERROR(__xludf.DUMMYFUNCTION("""COMPUTED_VALUE"""),67.1)</f>
        <v>67.099999999999994</v>
      </c>
      <c r="K67" s="1">
        <f ca="1">IFERROR(__xludf.DUMMYFUNCTION("""COMPUTED_VALUE"""),227)</f>
        <v>227</v>
      </c>
      <c r="L67" s="1" t="str">
        <f ca="1">IFERROR(__xludf.DUMMYFUNCTION("""COMPUTED_VALUE"""),"+.074")</f>
        <v>+.074</v>
      </c>
      <c r="M67" s="1">
        <f ca="1">IFERROR(__xludf.DUMMYFUNCTION("""COMPUTED_VALUE"""),28)</f>
        <v>28</v>
      </c>
      <c r="N67" s="1" t="str">
        <f ca="1">IFERROR(__xludf.DUMMYFUNCTION("""COMPUTED_VALUE"""),"+10.58")</f>
        <v>+10.58</v>
      </c>
      <c r="O67" s="1">
        <f ca="1">IFERROR(__xludf.DUMMYFUNCTION("""COMPUTED_VALUE"""),17)</f>
        <v>17</v>
      </c>
      <c r="P67" s="1">
        <f ca="1">IFERROR(__xludf.DUMMYFUNCTION("""COMPUTED_VALUE"""),111.6)</f>
        <v>111.6</v>
      </c>
      <c r="Q67" s="1">
        <f ca="1">IFERROR(__xludf.DUMMYFUNCTION("""COMPUTED_VALUE"""),4)</f>
        <v>4</v>
      </c>
      <c r="R67" s="1">
        <f ca="1">IFERROR(__xludf.DUMMYFUNCTION("""COMPUTED_VALUE"""),101.1)</f>
        <v>101.1</v>
      </c>
      <c r="S67" s="1">
        <f ca="1">IFERROR(__xludf.DUMMYFUNCTION("""COMPUTED_VALUE"""),45)</f>
        <v>45</v>
      </c>
      <c r="T67" s="1">
        <f ca="1">IFERROR(__xludf.DUMMYFUNCTION("""COMPUTED_VALUE"""),-1.38)</f>
        <v>-1.38</v>
      </c>
      <c r="U67" s="1">
        <f ca="1">IFERROR(__xludf.DUMMYFUNCTION("""COMPUTED_VALUE"""),193)</f>
        <v>193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IFERROR(__xludf.DUMMYFUNCTION("""COMPUTED_VALUE"""),"Old Dominion")</f>
        <v>Old Dominion</v>
      </c>
      <c r="C68" s="1" t="str">
        <f ca="1">IFERROR(__xludf.DUMMYFUNCTION("""COMPUTED_VALUE"""),"CUSA")</f>
        <v>CUSA</v>
      </c>
      <c r="D68" s="1" t="str">
        <f ca="1">IFERROR(__xludf.DUMMYFUNCTION("""COMPUTED_VALUE"""),"25-7")</f>
        <v>25-7</v>
      </c>
      <c r="E68" s="1" t="str">
        <f ca="1">IFERROR(__xludf.DUMMYFUNCTION("""COMPUTED_VALUE"""),"+12.14")</f>
        <v>+12.14</v>
      </c>
      <c r="F68" s="1">
        <f ca="1">IFERROR(__xludf.DUMMYFUNCTION("""COMPUTED_VALUE"""),108.8)</f>
        <v>108.8</v>
      </c>
      <c r="G68" s="1">
        <f ca="1">IFERROR(__xludf.DUMMYFUNCTION("""COMPUTED_VALUE"""),103)</f>
        <v>103</v>
      </c>
      <c r="H68" s="1">
        <f ca="1">IFERROR(__xludf.DUMMYFUNCTION("""COMPUTED_VALUE"""),96.6)</f>
        <v>96.6</v>
      </c>
      <c r="I68" s="1">
        <f ca="1">IFERROR(__xludf.DUMMYFUNCTION("""COMPUTED_VALUE"""),34)</f>
        <v>34</v>
      </c>
      <c r="J68" s="1">
        <f ca="1">IFERROR(__xludf.DUMMYFUNCTION("""COMPUTED_VALUE"""),64.5)</f>
        <v>64.5</v>
      </c>
      <c r="K68" s="1">
        <f ca="1">IFERROR(__xludf.DUMMYFUNCTION("""COMPUTED_VALUE"""),331)</f>
        <v>331</v>
      </c>
      <c r="L68" s="1" t="str">
        <f ca="1">IFERROR(__xludf.DUMMYFUNCTION("""COMPUTED_VALUE"""),"+.041")</f>
        <v>+.041</v>
      </c>
      <c r="M68" s="1">
        <f ca="1">IFERROR(__xludf.DUMMYFUNCTION("""COMPUTED_VALUE"""),76)</f>
        <v>76</v>
      </c>
      <c r="N68" s="1">
        <f ca="1">IFERROR(__xludf.DUMMYFUNCTION("""COMPUTED_VALUE"""),-1.27)</f>
        <v>-1.27</v>
      </c>
      <c r="O68" s="1">
        <f ca="1">IFERROR(__xludf.DUMMYFUNCTION("""COMPUTED_VALUE"""),168)</f>
        <v>168</v>
      </c>
      <c r="P68" s="1">
        <f ca="1">IFERROR(__xludf.DUMMYFUNCTION("""COMPUTED_VALUE"""),104.4)</f>
        <v>104.4</v>
      </c>
      <c r="Q68" s="1">
        <f ca="1">IFERROR(__xludf.DUMMYFUNCTION("""COMPUTED_VALUE"""),179)</f>
        <v>179</v>
      </c>
      <c r="R68" s="1">
        <f ca="1">IFERROR(__xludf.DUMMYFUNCTION("""COMPUTED_VALUE"""),105.6)</f>
        <v>105.6</v>
      </c>
      <c r="S68" s="1">
        <f ca="1">IFERROR(__xludf.DUMMYFUNCTION("""COMPUTED_VALUE"""),172)</f>
        <v>172</v>
      </c>
      <c r="T68" s="1">
        <f ca="1">IFERROR(__xludf.DUMMYFUNCTION("""COMPUTED_VALUE"""),-3.43)</f>
        <v>-3.43</v>
      </c>
      <c r="U68" s="1">
        <f ca="1">IFERROR(__xludf.DUMMYFUNCTION("""COMPUTED_VALUE"""),270)</f>
        <v>270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IFERROR(__xludf.DUMMYFUNCTION("""COMPUTED_VALUE"""),"Georgia")</f>
        <v>Georgia</v>
      </c>
      <c r="C69" s="1" t="str">
        <f ca="1">IFERROR(__xludf.DUMMYFUNCTION("""COMPUTED_VALUE"""),"SEC")</f>
        <v>SEC</v>
      </c>
      <c r="D69" s="1" t="str">
        <f ca="1">IFERROR(__xludf.DUMMYFUNCTION("""COMPUTED_VALUE"""),"18-15")</f>
        <v>18-15</v>
      </c>
      <c r="E69" s="1" t="str">
        <f ca="1">IFERROR(__xludf.DUMMYFUNCTION("""COMPUTED_VALUE"""),"+11.64")</f>
        <v>+11.64</v>
      </c>
      <c r="F69" s="1">
        <f ca="1">IFERROR(__xludf.DUMMYFUNCTION("""COMPUTED_VALUE"""),107.5)</f>
        <v>107.5</v>
      </c>
      <c r="G69" s="1">
        <f ca="1">IFERROR(__xludf.DUMMYFUNCTION("""COMPUTED_VALUE"""),122)</f>
        <v>122</v>
      </c>
      <c r="H69" s="1">
        <f ca="1">IFERROR(__xludf.DUMMYFUNCTION("""COMPUTED_VALUE"""),95.9)</f>
        <v>95.9</v>
      </c>
      <c r="I69" s="1">
        <f ca="1">IFERROR(__xludf.DUMMYFUNCTION("""COMPUTED_VALUE"""),27)</f>
        <v>27</v>
      </c>
      <c r="J69" s="1">
        <f ca="1">IFERROR(__xludf.DUMMYFUNCTION("""COMPUTED_VALUE"""),64.4)</f>
        <v>64.400000000000006</v>
      </c>
      <c r="K69" s="1">
        <f ca="1">IFERROR(__xludf.DUMMYFUNCTION("""COMPUTED_VALUE"""),334)</f>
        <v>334</v>
      </c>
      <c r="L69" s="1" t="str">
        <f ca="1">IFERROR(__xludf.DUMMYFUNCTION("""COMPUTED_VALUE"""),"+.010")</f>
        <v>+.010</v>
      </c>
      <c r="M69" s="1">
        <f ca="1">IFERROR(__xludf.DUMMYFUNCTION("""COMPUTED_VALUE"""),146)</f>
        <v>146</v>
      </c>
      <c r="N69" s="1" t="str">
        <f ca="1">IFERROR(__xludf.DUMMYFUNCTION("""COMPUTED_VALUE"""),"+10.09")</f>
        <v>+10.09</v>
      </c>
      <c r="O69" s="1">
        <f ca="1">IFERROR(__xludf.DUMMYFUNCTION("""COMPUTED_VALUE"""),22)</f>
        <v>22</v>
      </c>
      <c r="P69" s="1">
        <f ca="1">IFERROR(__xludf.DUMMYFUNCTION("""COMPUTED_VALUE"""),111)</f>
        <v>111</v>
      </c>
      <c r="Q69" s="1">
        <f ca="1">IFERROR(__xludf.DUMMYFUNCTION("""COMPUTED_VALUE"""),15)</f>
        <v>15</v>
      </c>
      <c r="R69" s="1">
        <f ca="1">IFERROR(__xludf.DUMMYFUNCTION("""COMPUTED_VALUE"""),100.9)</f>
        <v>100.9</v>
      </c>
      <c r="S69" s="1">
        <f ca="1">IFERROR(__xludf.DUMMYFUNCTION("""COMPUTED_VALUE"""),37)</f>
        <v>37</v>
      </c>
      <c r="T69" s="1" t="str">
        <f ca="1">IFERROR(__xludf.DUMMYFUNCTION("""COMPUTED_VALUE"""),"+0.51")</f>
        <v>+0.51</v>
      </c>
      <c r="U69" s="1">
        <f ca="1">IFERROR(__xludf.DUMMYFUNCTION("""COMPUTED_VALUE"""),147)</f>
        <v>147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IFERROR(__xludf.DUMMYFUNCTION("""COMPUTED_VALUE"""),"LSU3")</f>
        <v>LSU3</v>
      </c>
      <c r="C70" s="1" t="str">
        <f ca="1">IFERROR(__xludf.DUMMYFUNCTION("""COMPUTED_VALUE"""),"SEC")</f>
        <v>SEC</v>
      </c>
      <c r="D70" s="1" t="str">
        <f ca="1">IFERROR(__xludf.DUMMYFUNCTION("""COMPUTED_VALUE"""),"18-15")</f>
        <v>18-15</v>
      </c>
      <c r="E70" s="1" t="str">
        <f ca="1">IFERROR(__xludf.DUMMYFUNCTION("""COMPUTED_VALUE"""),"+11.62")</f>
        <v>+11.62</v>
      </c>
      <c r="F70" s="1">
        <f ca="1">IFERROR(__xludf.DUMMYFUNCTION("""COMPUTED_VALUE"""),114.8)</f>
        <v>114.8</v>
      </c>
      <c r="G70" s="1">
        <f ca="1">IFERROR(__xludf.DUMMYFUNCTION("""COMPUTED_VALUE"""),33)</f>
        <v>33</v>
      </c>
      <c r="H70" s="1">
        <f ca="1">IFERROR(__xludf.DUMMYFUNCTION("""COMPUTED_VALUE"""),103.2)</f>
        <v>103.2</v>
      </c>
      <c r="I70" s="1">
        <f ca="1">IFERROR(__xludf.DUMMYFUNCTION("""COMPUTED_VALUE"""),136)</f>
        <v>136</v>
      </c>
      <c r="J70" s="1">
        <f ca="1">IFERROR(__xludf.DUMMYFUNCTION("""COMPUTED_VALUE"""),68.7)</f>
        <v>68.7</v>
      </c>
      <c r="K70" s="1">
        <f ca="1">IFERROR(__xludf.DUMMYFUNCTION("""COMPUTED_VALUE"""),149)</f>
        <v>149</v>
      </c>
      <c r="L70" s="1">
        <f ca="1">IFERROR(__xludf.DUMMYFUNCTION("""COMPUTED_VALUE"""),-0.018)</f>
        <v>-1.7999999999999999E-2</v>
      </c>
      <c r="M70" s="1">
        <f ca="1">IFERROR(__xludf.DUMMYFUNCTION("""COMPUTED_VALUE"""),226)</f>
        <v>226</v>
      </c>
      <c r="N70" s="1" t="str">
        <f ca="1">IFERROR(__xludf.DUMMYFUNCTION("""COMPUTED_VALUE"""),"+8.59")</f>
        <v>+8.59</v>
      </c>
      <c r="O70" s="1">
        <f ca="1">IFERROR(__xludf.DUMMYFUNCTION("""COMPUTED_VALUE"""),46)</f>
        <v>46</v>
      </c>
      <c r="P70" s="1">
        <f ca="1">IFERROR(__xludf.DUMMYFUNCTION("""COMPUTED_VALUE"""),110)</f>
        <v>110</v>
      </c>
      <c r="Q70" s="1">
        <f ca="1">IFERROR(__xludf.DUMMYFUNCTION("""COMPUTED_VALUE"""),35)</f>
        <v>35</v>
      </c>
      <c r="R70" s="1">
        <f ca="1">IFERROR(__xludf.DUMMYFUNCTION("""COMPUTED_VALUE"""),101.4)</f>
        <v>101.4</v>
      </c>
      <c r="S70" s="1">
        <f ca="1">IFERROR(__xludf.DUMMYFUNCTION("""COMPUTED_VALUE"""),53)</f>
        <v>53</v>
      </c>
      <c r="T70" s="1">
        <f ca="1">IFERROR(__xludf.DUMMYFUNCTION("""COMPUTED_VALUE"""),-2.91)</f>
        <v>-2.91</v>
      </c>
      <c r="U70" s="1">
        <f ca="1">IFERROR(__xludf.DUMMYFUNCTION("""COMPUTED_VALUE"""),248)</f>
        <v>248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IFERROR(__xludf.DUMMYFUNCTION("""COMPUTED_VALUE"""),"Buffalo13")</f>
        <v>Buffalo13</v>
      </c>
      <c r="C71" s="1" t="str">
        <f ca="1">IFERROR(__xludf.DUMMYFUNCTION("""COMPUTED_VALUE"""),"MAC")</f>
        <v>MAC</v>
      </c>
      <c r="D71" s="1" t="str">
        <f ca="1">IFERROR(__xludf.DUMMYFUNCTION("""COMPUTED_VALUE"""),"27-9")</f>
        <v>27-9</v>
      </c>
      <c r="E71" s="1" t="str">
        <f ca="1">IFERROR(__xludf.DUMMYFUNCTION("""COMPUTED_VALUE"""),"+11.53")</f>
        <v>+11.53</v>
      </c>
      <c r="F71" s="1">
        <f ca="1">IFERROR(__xludf.DUMMYFUNCTION("""COMPUTED_VALUE"""),114.7)</f>
        <v>114.7</v>
      </c>
      <c r="G71" s="1">
        <f ca="1">IFERROR(__xludf.DUMMYFUNCTION("""COMPUTED_VALUE"""),34)</f>
        <v>34</v>
      </c>
      <c r="H71" s="1">
        <f ca="1">IFERROR(__xludf.DUMMYFUNCTION("""COMPUTED_VALUE"""),103.2)</f>
        <v>103.2</v>
      </c>
      <c r="I71" s="1">
        <f ca="1">IFERROR(__xludf.DUMMYFUNCTION("""COMPUTED_VALUE"""),135)</f>
        <v>135</v>
      </c>
      <c r="J71" s="1">
        <f ca="1">IFERROR(__xludf.DUMMYFUNCTION("""COMPUTED_VALUE"""),72.7)</f>
        <v>72.7</v>
      </c>
      <c r="K71" s="1">
        <f ca="1">IFERROR(__xludf.DUMMYFUNCTION("""COMPUTED_VALUE"""),16)</f>
        <v>16</v>
      </c>
      <c r="L71" s="1" t="str">
        <f ca="1">IFERROR(__xludf.DUMMYFUNCTION("""COMPUTED_VALUE"""),"+.006")</f>
        <v>+.006</v>
      </c>
      <c r="M71" s="1">
        <f ca="1">IFERROR(__xludf.DUMMYFUNCTION("""COMPUTED_VALUE"""),158)</f>
        <v>158</v>
      </c>
      <c r="N71" s="1">
        <f ca="1">IFERROR(__xludf.DUMMYFUNCTION("""COMPUTED_VALUE"""),-0.06)</f>
        <v>-0.06</v>
      </c>
      <c r="O71" s="1">
        <f ca="1">IFERROR(__xludf.DUMMYFUNCTION("""COMPUTED_VALUE"""),140)</f>
        <v>140</v>
      </c>
      <c r="P71" s="1">
        <f ca="1">IFERROR(__xludf.DUMMYFUNCTION("""COMPUTED_VALUE"""),105.1)</f>
        <v>105.1</v>
      </c>
      <c r="Q71" s="1">
        <f ca="1">IFERROR(__xludf.DUMMYFUNCTION("""COMPUTED_VALUE"""),145)</f>
        <v>145</v>
      </c>
      <c r="R71" s="1">
        <f ca="1">IFERROR(__xludf.DUMMYFUNCTION("""COMPUTED_VALUE"""),105.2)</f>
        <v>105.2</v>
      </c>
      <c r="S71" s="1">
        <f ca="1">IFERROR(__xludf.DUMMYFUNCTION("""COMPUTED_VALUE"""),147)</f>
        <v>147</v>
      </c>
      <c r="T71" s="1" t="str">
        <f ca="1">IFERROR(__xludf.DUMMYFUNCTION("""COMPUTED_VALUE"""),"+3.87")</f>
        <v>+3.87</v>
      </c>
      <c r="U71" s="1">
        <f ca="1">IFERROR(__xludf.DUMMYFUNCTION("""COMPUTED_VALUE"""),62)</f>
        <v>62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IFERROR(__xludf.DUMMYFUNCTION("""COMPUTED_VALUE"""),"St. Bonaventure11")</f>
        <v>St. Bonaventure11</v>
      </c>
      <c r="C72" s="1" t="str">
        <f ca="1">IFERROR(__xludf.DUMMYFUNCTION("""COMPUTED_VALUE"""),"A10")</f>
        <v>A10</v>
      </c>
      <c r="D72" s="1" t="str">
        <f ca="1">IFERROR(__xludf.DUMMYFUNCTION("""COMPUTED_VALUE"""),"26-8")</f>
        <v>26-8</v>
      </c>
      <c r="E72" s="1" t="str">
        <f ca="1">IFERROR(__xludf.DUMMYFUNCTION("""COMPUTED_VALUE"""),"+11.21")</f>
        <v>+11.21</v>
      </c>
      <c r="F72" s="1">
        <f ca="1">IFERROR(__xludf.DUMMYFUNCTION("""COMPUTED_VALUE"""),110.8)</f>
        <v>110.8</v>
      </c>
      <c r="G72" s="1">
        <f ca="1">IFERROR(__xludf.DUMMYFUNCTION("""COMPUTED_VALUE"""),74)</f>
        <v>74</v>
      </c>
      <c r="H72" s="1">
        <f ca="1">IFERROR(__xludf.DUMMYFUNCTION("""COMPUTED_VALUE"""),99.5)</f>
        <v>99.5</v>
      </c>
      <c r="I72" s="1">
        <f ca="1">IFERROR(__xludf.DUMMYFUNCTION("""COMPUTED_VALUE"""),74)</f>
        <v>74</v>
      </c>
      <c r="J72" s="1">
        <f ca="1">IFERROR(__xludf.DUMMYFUNCTION("""COMPUTED_VALUE"""),69.4)</f>
        <v>69.400000000000006</v>
      </c>
      <c r="K72" s="1">
        <f ca="1">IFERROR(__xludf.DUMMYFUNCTION("""COMPUTED_VALUE"""),104)</f>
        <v>104</v>
      </c>
      <c r="L72" s="1" t="str">
        <f ca="1">IFERROR(__xludf.DUMMYFUNCTION("""COMPUTED_VALUE"""),"+.078")</f>
        <v>+.078</v>
      </c>
      <c r="M72" s="1">
        <f ca="1">IFERROR(__xludf.DUMMYFUNCTION("""COMPUTED_VALUE"""),21)</f>
        <v>21</v>
      </c>
      <c r="N72" s="1" t="str">
        <f ca="1">IFERROR(__xludf.DUMMYFUNCTION("""COMPUTED_VALUE"""),"+2.80")</f>
        <v>+2.80</v>
      </c>
      <c r="O72" s="1">
        <f ca="1">IFERROR(__xludf.DUMMYFUNCTION("""COMPUTED_VALUE"""),94)</f>
        <v>94</v>
      </c>
      <c r="P72" s="1">
        <f ca="1">IFERROR(__xludf.DUMMYFUNCTION("""COMPUTED_VALUE"""),107)</f>
        <v>107</v>
      </c>
      <c r="Q72" s="1">
        <f ca="1">IFERROR(__xludf.DUMMYFUNCTION("""COMPUTED_VALUE"""),86)</f>
        <v>86</v>
      </c>
      <c r="R72" s="1">
        <f ca="1">IFERROR(__xludf.DUMMYFUNCTION("""COMPUTED_VALUE"""),104.2)</f>
        <v>104.2</v>
      </c>
      <c r="S72" s="1">
        <f ca="1">IFERROR(__xludf.DUMMYFUNCTION("""COMPUTED_VALUE"""),111)</f>
        <v>111</v>
      </c>
      <c r="T72" s="1" t="str">
        <f ca="1">IFERROR(__xludf.DUMMYFUNCTION("""COMPUTED_VALUE"""),"+1.17")</f>
        <v>+1.17</v>
      </c>
      <c r="U72" s="1">
        <f ca="1">IFERROR(__xludf.DUMMYFUNCTION("""COMPUTED_VALUE"""),127)</f>
        <v>127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IFERROR(__xludf.DUMMYFUNCTION("""COMPUTED_VALUE"""),"Louisiana Lafayette6")</f>
        <v>Louisiana Lafayette6</v>
      </c>
      <c r="C73" s="1" t="str">
        <f ca="1">IFERROR(__xludf.DUMMYFUNCTION("""COMPUTED_VALUE"""),"SB")</f>
        <v>SB</v>
      </c>
      <c r="D73" s="1" t="str">
        <f ca="1">IFERROR(__xludf.DUMMYFUNCTION("""COMPUTED_VALUE"""),"27-7")</f>
        <v>27-7</v>
      </c>
      <c r="E73" s="1" t="str">
        <f ca="1">IFERROR(__xludf.DUMMYFUNCTION("""COMPUTED_VALUE"""),"+11.14")</f>
        <v>+11.14</v>
      </c>
      <c r="F73" s="1">
        <f ca="1">IFERROR(__xludf.DUMMYFUNCTION("""COMPUTED_VALUE"""),112.7)</f>
        <v>112.7</v>
      </c>
      <c r="G73" s="1">
        <f ca="1">IFERROR(__xludf.DUMMYFUNCTION("""COMPUTED_VALUE"""),55)</f>
        <v>55</v>
      </c>
      <c r="H73" s="1">
        <f ca="1">IFERROR(__xludf.DUMMYFUNCTION("""COMPUTED_VALUE"""),101.5)</f>
        <v>101.5</v>
      </c>
      <c r="I73" s="1">
        <f ca="1">IFERROR(__xludf.DUMMYFUNCTION("""COMPUTED_VALUE"""),105)</f>
        <v>105</v>
      </c>
      <c r="J73" s="1">
        <f ca="1">IFERROR(__xludf.DUMMYFUNCTION("""COMPUTED_VALUE"""),70.6)</f>
        <v>70.599999999999994</v>
      </c>
      <c r="K73" s="1">
        <f ca="1">IFERROR(__xludf.DUMMYFUNCTION("""COMPUTED_VALUE"""),59)</f>
        <v>59</v>
      </c>
      <c r="L73" s="1" t="str">
        <f ca="1">IFERROR(__xludf.DUMMYFUNCTION("""COMPUTED_VALUE"""),"+.033")</f>
        <v>+.033</v>
      </c>
      <c r="M73" s="1">
        <f ca="1">IFERROR(__xludf.DUMMYFUNCTION("""COMPUTED_VALUE"""),95)</f>
        <v>95</v>
      </c>
      <c r="N73" s="1">
        <f ca="1">IFERROR(__xludf.DUMMYFUNCTION("""COMPUTED_VALUE"""),-2.59)</f>
        <v>-2.59</v>
      </c>
      <c r="O73" s="1">
        <f ca="1">IFERROR(__xludf.DUMMYFUNCTION("""COMPUTED_VALUE"""),213)</f>
        <v>213</v>
      </c>
      <c r="P73" s="1">
        <f ca="1">IFERROR(__xludf.DUMMYFUNCTION("""COMPUTED_VALUE"""),103.5)</f>
        <v>103.5</v>
      </c>
      <c r="Q73" s="1">
        <f ca="1">IFERROR(__xludf.DUMMYFUNCTION("""COMPUTED_VALUE"""),221)</f>
        <v>221</v>
      </c>
      <c r="R73" s="1">
        <f ca="1">IFERROR(__xludf.DUMMYFUNCTION("""COMPUTED_VALUE"""),106.1)</f>
        <v>106.1</v>
      </c>
      <c r="S73" s="1">
        <f ca="1">IFERROR(__xludf.DUMMYFUNCTION("""COMPUTED_VALUE"""),195)</f>
        <v>195</v>
      </c>
      <c r="T73" s="1">
        <f ca="1">IFERROR(__xludf.DUMMYFUNCTION("""COMPUTED_VALUE"""),-0.58)</f>
        <v>-0.57999999999999996</v>
      </c>
      <c r="U73" s="1">
        <f ca="1">IFERROR(__xludf.DUMMYFUNCTION("""COMPUTED_VALUE"""),172)</f>
        <v>172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IFERROR(__xludf.DUMMYFUNCTION("""COMPUTED_VALUE"""),"Wisconsin")</f>
        <v>Wisconsin</v>
      </c>
      <c r="C74" s="1" t="str">
        <f ca="1">IFERROR(__xludf.DUMMYFUNCTION("""COMPUTED_VALUE"""),"B10")</f>
        <v>B10</v>
      </c>
      <c r="D74" s="1" t="str">
        <f ca="1">IFERROR(__xludf.DUMMYFUNCTION("""COMPUTED_VALUE"""),"15-18")</f>
        <v>15-18</v>
      </c>
      <c r="E74" s="1" t="str">
        <f ca="1">IFERROR(__xludf.DUMMYFUNCTION("""COMPUTED_VALUE"""),"+10.68")</f>
        <v>+10.68</v>
      </c>
      <c r="F74" s="1">
        <f ca="1">IFERROR(__xludf.DUMMYFUNCTION("""COMPUTED_VALUE"""),109.7)</f>
        <v>109.7</v>
      </c>
      <c r="G74" s="1">
        <f ca="1">IFERROR(__xludf.DUMMYFUNCTION("""COMPUTED_VALUE"""),83)</f>
        <v>83</v>
      </c>
      <c r="H74" s="1">
        <f ca="1">IFERROR(__xludf.DUMMYFUNCTION("""COMPUTED_VALUE"""),99.1)</f>
        <v>99.1</v>
      </c>
      <c r="I74" s="1">
        <f ca="1">IFERROR(__xludf.DUMMYFUNCTION("""COMPUTED_VALUE"""),66)</f>
        <v>66</v>
      </c>
      <c r="J74" s="1">
        <f ca="1">IFERROR(__xludf.DUMMYFUNCTION("""COMPUTED_VALUE"""),62.7)</f>
        <v>62.7</v>
      </c>
      <c r="K74" s="1">
        <f ca="1">IFERROR(__xludf.DUMMYFUNCTION("""COMPUTED_VALUE"""),347)</f>
        <v>347</v>
      </c>
      <c r="L74" s="1">
        <f ca="1">IFERROR(__xludf.DUMMYFUNCTION("""COMPUTED_VALUE"""),-0.068)</f>
        <v>-6.8000000000000005E-2</v>
      </c>
      <c r="M74" s="1">
        <f ca="1">IFERROR(__xludf.DUMMYFUNCTION("""COMPUTED_VALUE"""),325)</f>
        <v>325</v>
      </c>
      <c r="N74" s="1" t="str">
        <f ca="1">IFERROR(__xludf.DUMMYFUNCTION("""COMPUTED_VALUE"""),"+9.89")</f>
        <v>+9.89</v>
      </c>
      <c r="O74" s="1">
        <f ca="1">IFERROR(__xludf.DUMMYFUNCTION("""COMPUTED_VALUE"""),26)</f>
        <v>26</v>
      </c>
      <c r="P74" s="1">
        <f ca="1">IFERROR(__xludf.DUMMYFUNCTION("""COMPUTED_VALUE"""),110.9)</f>
        <v>110.9</v>
      </c>
      <c r="Q74" s="1">
        <f ca="1">IFERROR(__xludf.DUMMYFUNCTION("""COMPUTED_VALUE"""),16)</f>
        <v>16</v>
      </c>
      <c r="R74" s="1">
        <f ca="1">IFERROR(__xludf.DUMMYFUNCTION("""COMPUTED_VALUE"""),101)</f>
        <v>101</v>
      </c>
      <c r="S74" s="1">
        <f ca="1">IFERROR(__xludf.DUMMYFUNCTION("""COMPUTED_VALUE"""),44)</f>
        <v>44</v>
      </c>
      <c r="T74" s="1" t="str">
        <f ca="1">IFERROR(__xludf.DUMMYFUNCTION("""COMPUTED_VALUE"""),"+0.06")</f>
        <v>+0.06</v>
      </c>
      <c r="U74" s="1">
        <f ca="1">IFERROR(__xludf.DUMMYFUNCTION("""COMPUTED_VALUE"""),155)</f>
        <v>155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IFERROR(__xludf.DUMMYFUNCTION("""COMPUTED_VALUE"""),"Indiana")</f>
        <v>Indiana</v>
      </c>
      <c r="C75" s="1" t="str">
        <f ca="1">IFERROR(__xludf.DUMMYFUNCTION("""COMPUTED_VALUE"""),"B10")</f>
        <v>B10</v>
      </c>
      <c r="D75" s="1" t="str">
        <f ca="1">IFERROR(__xludf.DUMMYFUNCTION("""COMPUTED_VALUE"""),"16-15")</f>
        <v>16-15</v>
      </c>
      <c r="E75" s="1" t="str">
        <f ca="1">IFERROR(__xludf.DUMMYFUNCTION("""COMPUTED_VALUE"""),"+10.44")</f>
        <v>+10.44</v>
      </c>
      <c r="F75" s="1">
        <f ca="1">IFERROR(__xludf.DUMMYFUNCTION("""COMPUTED_VALUE"""),109.4)</f>
        <v>109.4</v>
      </c>
      <c r="G75" s="1">
        <f ca="1">IFERROR(__xludf.DUMMYFUNCTION("""COMPUTED_VALUE"""),92)</f>
        <v>92</v>
      </c>
      <c r="H75" s="1">
        <f ca="1">IFERROR(__xludf.DUMMYFUNCTION("""COMPUTED_VALUE"""),99)</f>
        <v>99</v>
      </c>
      <c r="I75" s="1">
        <f ca="1">IFERROR(__xludf.DUMMYFUNCTION("""COMPUTED_VALUE"""),65)</f>
        <v>65</v>
      </c>
      <c r="J75" s="1">
        <f ca="1">IFERROR(__xludf.DUMMYFUNCTION("""COMPUTED_VALUE"""),66.6)</f>
        <v>66.599999999999994</v>
      </c>
      <c r="K75" s="1">
        <f ca="1">IFERROR(__xludf.DUMMYFUNCTION("""COMPUTED_VALUE"""),251)</f>
        <v>251</v>
      </c>
      <c r="L75" s="1">
        <f ca="1">IFERROR(__xludf.DUMMYFUNCTION("""COMPUTED_VALUE"""),-0.025)</f>
        <v>-2.5000000000000001E-2</v>
      </c>
      <c r="M75" s="1">
        <f ca="1">IFERROR(__xludf.DUMMYFUNCTION("""COMPUTED_VALUE"""),252)</f>
        <v>252</v>
      </c>
      <c r="N75" s="1" t="str">
        <f ca="1">IFERROR(__xludf.DUMMYFUNCTION("""COMPUTED_VALUE"""),"+7.83")</f>
        <v>+7.83</v>
      </c>
      <c r="O75" s="1">
        <f ca="1">IFERROR(__xludf.DUMMYFUNCTION("""COMPUTED_VALUE"""),54)</f>
        <v>54</v>
      </c>
      <c r="P75" s="1">
        <f ca="1">IFERROR(__xludf.DUMMYFUNCTION("""COMPUTED_VALUE"""),109.7)</f>
        <v>109.7</v>
      </c>
      <c r="Q75" s="1">
        <f ca="1">IFERROR(__xludf.DUMMYFUNCTION("""COMPUTED_VALUE"""),44)</f>
        <v>44</v>
      </c>
      <c r="R75" s="1">
        <f ca="1">IFERROR(__xludf.DUMMYFUNCTION("""COMPUTED_VALUE"""),101.8)</f>
        <v>101.8</v>
      </c>
      <c r="S75" s="1">
        <f ca="1">IFERROR(__xludf.DUMMYFUNCTION("""COMPUTED_VALUE"""),62)</f>
        <v>62</v>
      </c>
      <c r="T75" s="1">
        <f ca="1">IFERROR(__xludf.DUMMYFUNCTION("""COMPUTED_VALUE"""),-2.76)</f>
        <v>-2.76</v>
      </c>
      <c r="U75" s="1">
        <f ca="1">IFERROR(__xludf.DUMMYFUNCTION("""COMPUTED_VALUE"""),243)</f>
        <v>243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IFERROR(__xludf.DUMMYFUNCTION("""COMPUTED_VALUE"""),"Montana14")</f>
        <v>Montana14</v>
      </c>
      <c r="C76" s="1" t="str">
        <f ca="1">IFERROR(__xludf.DUMMYFUNCTION("""COMPUTED_VALUE"""),"BSky")</f>
        <v>BSky</v>
      </c>
      <c r="D76" s="1" t="str">
        <f ca="1">IFERROR(__xludf.DUMMYFUNCTION("""COMPUTED_VALUE"""),"26-8")</f>
        <v>26-8</v>
      </c>
      <c r="E76" s="1" t="str">
        <f ca="1">IFERROR(__xludf.DUMMYFUNCTION("""COMPUTED_VALUE"""),"+10.40")</f>
        <v>+10.40</v>
      </c>
      <c r="F76" s="1">
        <f ca="1">IFERROR(__xludf.DUMMYFUNCTION("""COMPUTED_VALUE"""),108.8)</f>
        <v>108.8</v>
      </c>
      <c r="G76" s="1">
        <f ca="1">IFERROR(__xludf.DUMMYFUNCTION("""COMPUTED_VALUE"""),101)</f>
        <v>101</v>
      </c>
      <c r="H76" s="1">
        <f ca="1">IFERROR(__xludf.DUMMYFUNCTION("""COMPUTED_VALUE"""),98.4)</f>
        <v>98.4</v>
      </c>
      <c r="I76" s="1">
        <f ca="1">IFERROR(__xludf.DUMMYFUNCTION("""COMPUTED_VALUE"""),56)</f>
        <v>56</v>
      </c>
      <c r="J76" s="1">
        <f ca="1">IFERROR(__xludf.DUMMYFUNCTION("""COMPUTED_VALUE"""),68)</f>
        <v>68</v>
      </c>
      <c r="K76" s="1">
        <f ca="1">IFERROR(__xludf.DUMMYFUNCTION("""COMPUTED_VALUE"""),185)</f>
        <v>185</v>
      </c>
      <c r="L76" s="1">
        <f ca="1">IFERROR(__xludf.DUMMYFUNCTION("""COMPUTED_VALUE"""),0)</f>
        <v>0</v>
      </c>
      <c r="M76" s="1">
        <f ca="1">IFERROR(__xludf.DUMMYFUNCTION("""COMPUTED_VALUE"""),175)</f>
        <v>175</v>
      </c>
      <c r="N76" s="1">
        <f ca="1">IFERROR(__xludf.DUMMYFUNCTION("""COMPUTED_VALUE"""),-1.96)</f>
        <v>-1.96</v>
      </c>
      <c r="O76" s="1">
        <f ca="1">IFERROR(__xludf.DUMMYFUNCTION("""COMPUTED_VALUE"""),186)</f>
        <v>186</v>
      </c>
      <c r="P76" s="1">
        <f ca="1">IFERROR(__xludf.DUMMYFUNCTION("""COMPUTED_VALUE"""),104)</f>
        <v>104</v>
      </c>
      <c r="Q76" s="1">
        <f ca="1">IFERROR(__xludf.DUMMYFUNCTION("""COMPUTED_VALUE"""),192)</f>
        <v>192</v>
      </c>
      <c r="R76" s="1">
        <f ca="1">IFERROR(__xludf.DUMMYFUNCTION("""COMPUTED_VALUE"""),106)</f>
        <v>106</v>
      </c>
      <c r="S76" s="1">
        <f ca="1">IFERROR(__xludf.DUMMYFUNCTION("""COMPUTED_VALUE"""),192)</f>
        <v>192</v>
      </c>
      <c r="T76" s="1" t="str">
        <f ca="1">IFERROR(__xludf.DUMMYFUNCTION("""COMPUTED_VALUE"""),"+2.09")</f>
        <v>+2.09</v>
      </c>
      <c r="U76" s="1">
        <f ca="1">IFERROR(__xludf.DUMMYFUNCTION("""COMPUTED_VALUE"""),98)</f>
        <v>98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IFERROR(__xludf.DUMMYFUNCTION("""COMPUTED_VALUE"""),"BYU6")</f>
        <v>BYU6</v>
      </c>
      <c r="C77" s="1" t="str">
        <f ca="1">IFERROR(__xludf.DUMMYFUNCTION("""COMPUTED_VALUE"""),"WCC")</f>
        <v>WCC</v>
      </c>
      <c r="D77" s="1" t="str">
        <f ca="1">IFERROR(__xludf.DUMMYFUNCTION("""COMPUTED_VALUE"""),"24-11")</f>
        <v>24-11</v>
      </c>
      <c r="E77" s="1" t="str">
        <f ca="1">IFERROR(__xludf.DUMMYFUNCTION("""COMPUTED_VALUE"""),"+10.32")</f>
        <v>+10.32</v>
      </c>
      <c r="F77" s="1">
        <f ca="1">IFERROR(__xludf.DUMMYFUNCTION("""COMPUTED_VALUE"""),108.3)</f>
        <v>108.3</v>
      </c>
      <c r="G77" s="1">
        <f ca="1">IFERROR(__xludf.DUMMYFUNCTION("""COMPUTED_VALUE"""),110)</f>
        <v>110</v>
      </c>
      <c r="H77" s="1">
        <f ca="1">IFERROR(__xludf.DUMMYFUNCTION("""COMPUTED_VALUE"""),98)</f>
        <v>98</v>
      </c>
      <c r="I77" s="1">
        <f ca="1">IFERROR(__xludf.DUMMYFUNCTION("""COMPUTED_VALUE"""),54)</f>
        <v>54</v>
      </c>
      <c r="J77" s="1">
        <f ca="1">IFERROR(__xludf.DUMMYFUNCTION("""COMPUTED_VALUE"""),67.9)</f>
        <v>67.900000000000006</v>
      </c>
      <c r="K77" s="1">
        <f ca="1">IFERROR(__xludf.DUMMYFUNCTION("""COMPUTED_VALUE"""),190)</f>
        <v>190</v>
      </c>
      <c r="L77" s="1" t="str">
        <f ca="1">IFERROR(__xludf.DUMMYFUNCTION("""COMPUTED_VALUE"""),"+.006")</f>
        <v>+.006</v>
      </c>
      <c r="M77" s="1">
        <f ca="1">IFERROR(__xludf.DUMMYFUNCTION("""COMPUTED_VALUE"""),162)</f>
        <v>162</v>
      </c>
      <c r="N77" s="1" t="str">
        <f ca="1">IFERROR(__xludf.DUMMYFUNCTION("""COMPUTED_VALUE"""),"+0.54")</f>
        <v>+0.54</v>
      </c>
      <c r="O77" s="1">
        <f ca="1">IFERROR(__xludf.DUMMYFUNCTION("""COMPUTED_VALUE"""),128)</f>
        <v>128</v>
      </c>
      <c r="P77" s="1">
        <f ca="1">IFERROR(__xludf.DUMMYFUNCTION("""COMPUTED_VALUE"""),106.4)</f>
        <v>106.4</v>
      </c>
      <c r="Q77" s="1">
        <f ca="1">IFERROR(__xludf.DUMMYFUNCTION("""COMPUTED_VALUE"""),101)</f>
        <v>101</v>
      </c>
      <c r="R77" s="1">
        <f ca="1">IFERROR(__xludf.DUMMYFUNCTION("""COMPUTED_VALUE"""),105.9)</f>
        <v>105.9</v>
      </c>
      <c r="S77" s="1">
        <f ca="1">IFERROR(__xludf.DUMMYFUNCTION("""COMPUTED_VALUE"""),185)</f>
        <v>185</v>
      </c>
      <c r="T77" s="1">
        <f ca="1">IFERROR(__xludf.DUMMYFUNCTION("""COMPUTED_VALUE"""),-2.08)</f>
        <v>-2.08</v>
      </c>
      <c r="U77" s="1">
        <f ca="1">IFERROR(__xludf.DUMMYFUNCTION("""COMPUTED_VALUE"""),218)</f>
        <v>218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IFERROR(__xludf.DUMMYFUNCTION("""COMPUTED_VALUE"""),"St. John's")</f>
        <v>St. John's</v>
      </c>
      <c r="C78" s="1" t="str">
        <f ca="1">IFERROR(__xludf.DUMMYFUNCTION("""COMPUTED_VALUE"""),"BE")</f>
        <v>BE</v>
      </c>
      <c r="D78" s="1" t="str">
        <f ca="1">IFERROR(__xludf.DUMMYFUNCTION("""COMPUTED_VALUE"""),"16-17")</f>
        <v>16-17</v>
      </c>
      <c r="E78" s="1" t="str">
        <f ca="1">IFERROR(__xludf.DUMMYFUNCTION("""COMPUTED_VALUE"""),"+10.31")</f>
        <v>+10.31</v>
      </c>
      <c r="F78" s="1">
        <f ca="1">IFERROR(__xludf.DUMMYFUNCTION("""COMPUTED_VALUE"""),106.5)</f>
        <v>106.5</v>
      </c>
      <c r="G78" s="1">
        <f ca="1">IFERROR(__xludf.DUMMYFUNCTION("""COMPUTED_VALUE"""),141)</f>
        <v>141</v>
      </c>
      <c r="H78" s="1">
        <f ca="1">IFERROR(__xludf.DUMMYFUNCTION("""COMPUTED_VALUE"""),96.2)</f>
        <v>96.2</v>
      </c>
      <c r="I78" s="1">
        <f ca="1">IFERROR(__xludf.DUMMYFUNCTION("""COMPUTED_VALUE"""),29)</f>
        <v>29</v>
      </c>
      <c r="J78" s="1">
        <f ca="1">IFERROR(__xludf.DUMMYFUNCTION("""COMPUTED_VALUE"""),69.4)</f>
        <v>69.400000000000006</v>
      </c>
      <c r="K78" s="1">
        <f ca="1">IFERROR(__xludf.DUMMYFUNCTION("""COMPUTED_VALUE"""),110)</f>
        <v>110</v>
      </c>
      <c r="L78" s="1">
        <f ca="1">IFERROR(__xludf.DUMMYFUNCTION("""COMPUTED_VALUE"""),-0.016)</f>
        <v>-1.6E-2</v>
      </c>
      <c r="M78" s="1">
        <f ca="1">IFERROR(__xludf.DUMMYFUNCTION("""COMPUTED_VALUE"""),221)</f>
        <v>221</v>
      </c>
      <c r="N78" s="1" t="str">
        <f ca="1">IFERROR(__xludf.DUMMYFUNCTION("""COMPUTED_VALUE"""),"+11.11")</f>
        <v>+11.11</v>
      </c>
      <c r="O78" s="1">
        <f ca="1">IFERROR(__xludf.DUMMYFUNCTION("""COMPUTED_VALUE"""),9)</f>
        <v>9</v>
      </c>
      <c r="P78" s="1">
        <f ca="1">IFERROR(__xludf.DUMMYFUNCTION("""COMPUTED_VALUE"""),111.5)</f>
        <v>111.5</v>
      </c>
      <c r="Q78" s="1">
        <f ca="1">IFERROR(__xludf.DUMMYFUNCTION("""COMPUTED_VALUE"""),6)</f>
        <v>6</v>
      </c>
      <c r="R78" s="1">
        <f ca="1">IFERROR(__xludf.DUMMYFUNCTION("""COMPUTED_VALUE"""),100.4)</f>
        <v>100.4</v>
      </c>
      <c r="S78" s="1">
        <f ca="1">IFERROR(__xludf.DUMMYFUNCTION("""COMPUTED_VALUE"""),26)</f>
        <v>26</v>
      </c>
      <c r="T78" s="1" t="str">
        <f ca="1">IFERROR(__xludf.DUMMYFUNCTION("""COMPUTED_VALUE"""),"+3.05")</f>
        <v>+3.05</v>
      </c>
      <c r="U78" s="1">
        <f ca="1">IFERROR(__xludf.DUMMYFUNCTION("""COMPUTED_VALUE"""),80)</f>
        <v>80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IFERROR(__xludf.DUMMYFUNCTION("""COMPUTED_VALUE"""),"Oregon3")</f>
        <v>Oregon3</v>
      </c>
      <c r="C79" s="1" t="str">
        <f ca="1">IFERROR(__xludf.DUMMYFUNCTION("""COMPUTED_VALUE"""),"P12")</f>
        <v>P12</v>
      </c>
      <c r="D79" s="1" t="str">
        <f ca="1">IFERROR(__xludf.DUMMYFUNCTION("""COMPUTED_VALUE"""),"23-13")</f>
        <v>23-13</v>
      </c>
      <c r="E79" s="1" t="str">
        <f ca="1">IFERROR(__xludf.DUMMYFUNCTION("""COMPUTED_VALUE"""),"+10.24")</f>
        <v>+10.24</v>
      </c>
      <c r="F79" s="1">
        <f ca="1">IFERROR(__xludf.DUMMYFUNCTION("""COMPUTED_VALUE"""),111.1)</f>
        <v>111.1</v>
      </c>
      <c r="G79" s="1">
        <f ca="1">IFERROR(__xludf.DUMMYFUNCTION("""COMPUTED_VALUE"""),70)</f>
        <v>70</v>
      </c>
      <c r="H79" s="1">
        <f ca="1">IFERROR(__xludf.DUMMYFUNCTION("""COMPUTED_VALUE"""),100.9)</f>
        <v>100.9</v>
      </c>
      <c r="I79" s="1">
        <f ca="1">IFERROR(__xludf.DUMMYFUNCTION("""COMPUTED_VALUE"""),98)</f>
        <v>98</v>
      </c>
      <c r="J79" s="1">
        <f ca="1">IFERROR(__xludf.DUMMYFUNCTION("""COMPUTED_VALUE"""),67.3)</f>
        <v>67.3</v>
      </c>
      <c r="K79" s="1">
        <f ca="1">IFERROR(__xludf.DUMMYFUNCTION("""COMPUTED_VALUE"""),215)</f>
        <v>215</v>
      </c>
      <c r="L79" s="1" t="str">
        <f ca="1">IFERROR(__xludf.DUMMYFUNCTION("""COMPUTED_VALUE"""),"+.004")</f>
        <v>+.004</v>
      </c>
      <c r="M79" s="1">
        <f ca="1">IFERROR(__xludf.DUMMYFUNCTION("""COMPUTED_VALUE"""),164)</f>
        <v>164</v>
      </c>
      <c r="N79" s="1" t="str">
        <f ca="1">IFERROR(__xludf.DUMMYFUNCTION("""COMPUTED_VALUE"""),"+3.50")</f>
        <v>+3.50</v>
      </c>
      <c r="O79" s="1">
        <f ca="1">IFERROR(__xludf.DUMMYFUNCTION("""COMPUTED_VALUE"""),84)</f>
        <v>84</v>
      </c>
      <c r="P79" s="1">
        <f ca="1">IFERROR(__xludf.DUMMYFUNCTION("""COMPUTED_VALUE"""),107.9)</f>
        <v>107.9</v>
      </c>
      <c r="Q79" s="1">
        <f ca="1">IFERROR(__xludf.DUMMYFUNCTION("""COMPUTED_VALUE"""),73)</f>
        <v>73</v>
      </c>
      <c r="R79" s="1">
        <f ca="1">IFERROR(__xludf.DUMMYFUNCTION("""COMPUTED_VALUE"""),104.4)</f>
        <v>104.4</v>
      </c>
      <c r="S79" s="1">
        <f ca="1">IFERROR(__xludf.DUMMYFUNCTION("""COMPUTED_VALUE"""),119)</f>
        <v>119</v>
      </c>
      <c r="T79" s="1">
        <f ca="1">IFERROR(__xludf.DUMMYFUNCTION("""COMPUTED_VALUE"""),-6.15)</f>
        <v>-6.15</v>
      </c>
      <c r="U79" s="1">
        <f ca="1">IFERROR(__xludf.DUMMYFUNCTION("""COMPUTED_VALUE"""),318)</f>
        <v>318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IFERROR(__xludf.DUMMYFUNCTION("""COMPUTED_VALUE"""),"Vermont6")</f>
        <v>Vermont6</v>
      </c>
      <c r="C80" s="1" t="str">
        <f ca="1">IFERROR(__xludf.DUMMYFUNCTION("""COMPUTED_VALUE"""),"AE")</f>
        <v>AE</v>
      </c>
      <c r="D80" s="1" t="str">
        <f ca="1">IFERROR(__xludf.DUMMYFUNCTION("""COMPUTED_VALUE"""),"27-8")</f>
        <v>27-8</v>
      </c>
      <c r="E80" s="1" t="str">
        <f ca="1">IFERROR(__xludf.DUMMYFUNCTION("""COMPUTED_VALUE"""),"+10.22")</f>
        <v>+10.22</v>
      </c>
      <c r="F80" s="1">
        <f ca="1">IFERROR(__xludf.DUMMYFUNCTION("""COMPUTED_VALUE"""),113.8)</f>
        <v>113.8</v>
      </c>
      <c r="G80" s="1">
        <f ca="1">IFERROR(__xludf.DUMMYFUNCTION("""COMPUTED_VALUE"""),48)</f>
        <v>48</v>
      </c>
      <c r="H80" s="1">
        <f ca="1">IFERROR(__xludf.DUMMYFUNCTION("""COMPUTED_VALUE"""),103.5)</f>
        <v>103.5</v>
      </c>
      <c r="I80" s="1">
        <f ca="1">IFERROR(__xludf.DUMMYFUNCTION("""COMPUTED_VALUE"""),148)</f>
        <v>148</v>
      </c>
      <c r="J80" s="1">
        <f ca="1">IFERROR(__xludf.DUMMYFUNCTION("""COMPUTED_VALUE"""),64.1)</f>
        <v>64.099999999999994</v>
      </c>
      <c r="K80" s="1">
        <f ca="1">IFERROR(__xludf.DUMMYFUNCTION("""COMPUTED_VALUE"""),339)</f>
        <v>339</v>
      </c>
      <c r="L80" s="1">
        <f ca="1">IFERROR(__xludf.DUMMYFUNCTION("""COMPUTED_VALUE"""),-0.009)</f>
        <v>-8.9999999999999993E-3</v>
      </c>
      <c r="M80" s="1">
        <f ca="1">IFERROR(__xludf.DUMMYFUNCTION("""COMPUTED_VALUE"""),202)</f>
        <v>202</v>
      </c>
      <c r="N80" s="1">
        <f ca="1">IFERROR(__xludf.DUMMYFUNCTION("""COMPUTED_VALUE"""),-2.97)</f>
        <v>-2.97</v>
      </c>
      <c r="O80" s="1">
        <f ca="1">IFERROR(__xludf.DUMMYFUNCTION("""COMPUTED_VALUE"""),227)</f>
        <v>227</v>
      </c>
      <c r="P80" s="1">
        <f ca="1">IFERROR(__xludf.DUMMYFUNCTION("""COMPUTED_VALUE"""),102.5)</f>
        <v>102.5</v>
      </c>
      <c r="Q80" s="1">
        <f ca="1">IFERROR(__xludf.DUMMYFUNCTION("""COMPUTED_VALUE"""),276)</f>
        <v>276</v>
      </c>
      <c r="R80" s="1">
        <f ca="1">IFERROR(__xludf.DUMMYFUNCTION("""COMPUTED_VALUE"""),105.4)</f>
        <v>105.4</v>
      </c>
      <c r="S80" s="1">
        <f ca="1">IFERROR(__xludf.DUMMYFUNCTION("""COMPUTED_VALUE"""),161)</f>
        <v>161</v>
      </c>
      <c r="T80" s="1" t="str">
        <f ca="1">IFERROR(__xludf.DUMMYFUNCTION("""COMPUTED_VALUE"""),"+4.54")</f>
        <v>+4.54</v>
      </c>
      <c r="U80" s="1">
        <f ca="1">IFERROR(__xludf.DUMMYFUNCTION("""COMPUTED_VALUE"""),47)</f>
        <v>47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IFERROR(__xludf.DUMMYFUNCTION("""COMPUTED_VALUE"""),"Boston College5")</f>
        <v>Boston College5</v>
      </c>
      <c r="C81" s="1" t="str">
        <f ca="1">IFERROR(__xludf.DUMMYFUNCTION("""COMPUTED_VALUE"""),"ACC")</f>
        <v>ACC</v>
      </c>
      <c r="D81" s="1" t="str">
        <f ca="1">IFERROR(__xludf.DUMMYFUNCTION("""COMPUTED_VALUE"""),"19-16")</f>
        <v>19-16</v>
      </c>
      <c r="E81" s="1" t="str">
        <f ca="1">IFERROR(__xludf.DUMMYFUNCTION("""COMPUTED_VALUE"""),"+10.21")</f>
        <v>+10.21</v>
      </c>
      <c r="F81" s="1">
        <f ca="1">IFERROR(__xludf.DUMMYFUNCTION("""COMPUTED_VALUE"""),113.1)</f>
        <v>113.1</v>
      </c>
      <c r="G81" s="1">
        <f ca="1">IFERROR(__xludf.DUMMYFUNCTION("""COMPUTED_VALUE"""),52)</f>
        <v>52</v>
      </c>
      <c r="H81" s="1">
        <f ca="1">IFERROR(__xludf.DUMMYFUNCTION("""COMPUTED_VALUE"""),102.9)</f>
        <v>102.9</v>
      </c>
      <c r="I81" s="1">
        <f ca="1">IFERROR(__xludf.DUMMYFUNCTION("""COMPUTED_VALUE"""),128)</f>
        <v>128</v>
      </c>
      <c r="J81" s="1">
        <f ca="1">IFERROR(__xludf.DUMMYFUNCTION("""COMPUTED_VALUE"""),70.2)</f>
        <v>70.2</v>
      </c>
      <c r="K81" s="1">
        <f ca="1">IFERROR(__xludf.DUMMYFUNCTION("""COMPUTED_VALUE"""),73)</f>
        <v>73</v>
      </c>
      <c r="L81" s="1" t="str">
        <f ca="1">IFERROR(__xludf.DUMMYFUNCTION("""COMPUTED_VALUE"""),"+.004")</f>
        <v>+.004</v>
      </c>
      <c r="M81" s="1">
        <f ca="1">IFERROR(__xludf.DUMMYFUNCTION("""COMPUTED_VALUE"""),166)</f>
        <v>166</v>
      </c>
      <c r="N81" s="1" t="str">
        <f ca="1">IFERROR(__xludf.DUMMYFUNCTION("""COMPUTED_VALUE"""),"+8.49")</f>
        <v>+8.49</v>
      </c>
      <c r="O81" s="1">
        <f ca="1">IFERROR(__xludf.DUMMYFUNCTION("""COMPUTED_VALUE"""),48)</f>
        <v>48</v>
      </c>
      <c r="P81" s="1">
        <f ca="1">IFERROR(__xludf.DUMMYFUNCTION("""COMPUTED_VALUE"""),109.1)</f>
        <v>109.1</v>
      </c>
      <c r="Q81" s="1">
        <f ca="1">IFERROR(__xludf.DUMMYFUNCTION("""COMPUTED_VALUE"""),53)</f>
        <v>53</v>
      </c>
      <c r="R81" s="1">
        <f ca="1">IFERROR(__xludf.DUMMYFUNCTION("""COMPUTED_VALUE"""),100.6)</f>
        <v>100.6</v>
      </c>
      <c r="S81" s="1">
        <f ca="1">IFERROR(__xludf.DUMMYFUNCTION("""COMPUTED_VALUE"""),28)</f>
        <v>28</v>
      </c>
      <c r="T81" s="1">
        <f ca="1">IFERROR(__xludf.DUMMYFUNCTION("""COMPUTED_VALUE"""),-7.11)</f>
        <v>-7.11</v>
      </c>
      <c r="U81" s="1">
        <f ca="1">IFERROR(__xludf.DUMMYFUNCTION("""COMPUTED_VALUE"""),335)</f>
        <v>335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IFERROR(__xludf.DUMMYFUNCTION("""COMPUTED_VALUE"""),"South Dakota St.12")</f>
        <v>South Dakota St.12</v>
      </c>
      <c r="C82" s="1" t="str">
        <f ca="1">IFERROR(__xludf.DUMMYFUNCTION("""COMPUTED_VALUE"""),"Sum")</f>
        <v>Sum</v>
      </c>
      <c r="D82" s="1" t="str">
        <f ca="1">IFERROR(__xludf.DUMMYFUNCTION("""COMPUTED_VALUE"""),"28-7")</f>
        <v>28-7</v>
      </c>
      <c r="E82" s="1" t="str">
        <f ca="1">IFERROR(__xludf.DUMMYFUNCTION("""COMPUTED_VALUE"""),"+10.20")</f>
        <v>+10.20</v>
      </c>
      <c r="F82" s="1">
        <f ca="1">IFERROR(__xludf.DUMMYFUNCTION("""COMPUTED_VALUE"""),113.8)</f>
        <v>113.8</v>
      </c>
      <c r="G82" s="1">
        <f ca="1">IFERROR(__xludf.DUMMYFUNCTION("""COMPUTED_VALUE"""),47)</f>
        <v>47</v>
      </c>
      <c r="H82" s="1">
        <f ca="1">IFERROR(__xludf.DUMMYFUNCTION("""COMPUTED_VALUE"""),103.6)</f>
        <v>103.6</v>
      </c>
      <c r="I82" s="1">
        <f ca="1">IFERROR(__xludf.DUMMYFUNCTION("""COMPUTED_VALUE"""),150)</f>
        <v>150</v>
      </c>
      <c r="J82" s="1">
        <f ca="1">IFERROR(__xludf.DUMMYFUNCTION("""COMPUTED_VALUE"""),70.5)</f>
        <v>70.5</v>
      </c>
      <c r="K82" s="1">
        <f ca="1">IFERROR(__xludf.DUMMYFUNCTION("""COMPUTED_VALUE"""),61)</f>
        <v>61</v>
      </c>
      <c r="L82" s="1" t="str">
        <f ca="1">IFERROR(__xludf.DUMMYFUNCTION("""COMPUTED_VALUE"""),"+.097")</f>
        <v>+.097</v>
      </c>
      <c r="M82" s="1">
        <f ca="1">IFERROR(__xludf.DUMMYFUNCTION("""COMPUTED_VALUE"""),13)</f>
        <v>13</v>
      </c>
      <c r="N82" s="1">
        <f ca="1">IFERROR(__xludf.DUMMYFUNCTION("""COMPUTED_VALUE"""),-0.09)</f>
        <v>-0.09</v>
      </c>
      <c r="O82" s="1">
        <f ca="1">IFERROR(__xludf.DUMMYFUNCTION("""COMPUTED_VALUE"""),141)</f>
        <v>141</v>
      </c>
      <c r="P82" s="1">
        <f ca="1">IFERROR(__xludf.DUMMYFUNCTION("""COMPUTED_VALUE"""),105.8)</f>
        <v>105.8</v>
      </c>
      <c r="Q82" s="1">
        <f ca="1">IFERROR(__xludf.DUMMYFUNCTION("""COMPUTED_VALUE"""),113)</f>
        <v>113</v>
      </c>
      <c r="R82" s="1">
        <f ca="1">IFERROR(__xludf.DUMMYFUNCTION("""COMPUTED_VALUE"""),105.9)</f>
        <v>105.9</v>
      </c>
      <c r="S82" s="1">
        <f ca="1">IFERROR(__xludf.DUMMYFUNCTION("""COMPUTED_VALUE"""),188)</f>
        <v>188</v>
      </c>
      <c r="T82" s="1" t="str">
        <f ca="1">IFERROR(__xludf.DUMMYFUNCTION("""COMPUTED_VALUE"""),"+3.59")</f>
        <v>+3.59</v>
      </c>
      <c r="U82" s="1">
        <f ca="1">IFERROR(__xludf.DUMMYFUNCTION("""COMPUTED_VALUE"""),68)</f>
        <v>68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IFERROR(__xludf.DUMMYFUNCTION("""COMPUTED_VALUE"""),"Fresno St.")</f>
        <v>Fresno St.</v>
      </c>
      <c r="C83" s="1" t="str">
        <f ca="1">IFERROR(__xludf.DUMMYFUNCTION("""COMPUTED_VALUE"""),"MWC")</f>
        <v>MWC</v>
      </c>
      <c r="D83" s="1" t="str">
        <f ca="1">IFERROR(__xludf.DUMMYFUNCTION("""COMPUTED_VALUE"""),"21-11")</f>
        <v>21-11</v>
      </c>
      <c r="E83" s="1" t="str">
        <f ca="1">IFERROR(__xludf.DUMMYFUNCTION("""COMPUTED_VALUE"""),"+10.07")</f>
        <v>+10.07</v>
      </c>
      <c r="F83" s="1">
        <f ca="1">IFERROR(__xludf.DUMMYFUNCTION("""COMPUTED_VALUE"""),109.7)</f>
        <v>109.7</v>
      </c>
      <c r="G83" s="1">
        <f ca="1">IFERROR(__xludf.DUMMYFUNCTION("""COMPUTED_VALUE"""),85)</f>
        <v>85</v>
      </c>
      <c r="H83" s="1">
        <f ca="1">IFERROR(__xludf.DUMMYFUNCTION("""COMPUTED_VALUE"""),99.6)</f>
        <v>99.6</v>
      </c>
      <c r="I83" s="1">
        <f ca="1">IFERROR(__xludf.DUMMYFUNCTION("""COMPUTED_VALUE"""),76)</f>
        <v>76</v>
      </c>
      <c r="J83" s="1">
        <f ca="1">IFERROR(__xludf.DUMMYFUNCTION("""COMPUTED_VALUE"""),66.6)</f>
        <v>66.599999999999994</v>
      </c>
      <c r="K83" s="1">
        <f ca="1">IFERROR(__xludf.DUMMYFUNCTION("""COMPUTED_VALUE"""),252)</f>
        <v>252</v>
      </c>
      <c r="L83" s="1">
        <f ca="1">IFERROR(__xludf.DUMMYFUNCTION("""COMPUTED_VALUE"""),-0.057)</f>
        <v>-5.7000000000000002E-2</v>
      </c>
      <c r="M83" s="1">
        <f ca="1">IFERROR(__xludf.DUMMYFUNCTION("""COMPUTED_VALUE"""),306)</f>
        <v>306</v>
      </c>
      <c r="N83" s="1" t="str">
        <f ca="1">IFERROR(__xludf.DUMMYFUNCTION("""COMPUTED_VALUE"""),"+0.84")</f>
        <v>+0.84</v>
      </c>
      <c r="O83" s="1">
        <f ca="1">IFERROR(__xludf.DUMMYFUNCTION("""COMPUTED_VALUE"""),123)</f>
        <v>123</v>
      </c>
      <c r="P83" s="1">
        <f ca="1">IFERROR(__xludf.DUMMYFUNCTION("""COMPUTED_VALUE"""),105.8)</f>
        <v>105.8</v>
      </c>
      <c r="Q83" s="1">
        <f ca="1">IFERROR(__xludf.DUMMYFUNCTION("""COMPUTED_VALUE"""),114)</f>
        <v>114</v>
      </c>
      <c r="R83" s="1">
        <f ca="1">IFERROR(__xludf.DUMMYFUNCTION("""COMPUTED_VALUE"""),105)</f>
        <v>105</v>
      </c>
      <c r="S83" s="1">
        <f ca="1">IFERROR(__xludf.DUMMYFUNCTION("""COMPUTED_VALUE"""),137)</f>
        <v>137</v>
      </c>
      <c r="T83" s="1">
        <f ca="1">IFERROR(__xludf.DUMMYFUNCTION("""COMPUTED_VALUE"""),-6.31)</f>
        <v>-6.31</v>
      </c>
      <c r="U83" s="1">
        <f ca="1">IFERROR(__xludf.DUMMYFUNCTION("""COMPUTED_VALUE"""),321)</f>
        <v>321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IFERROR(__xludf.DUMMYFUNCTION("""COMPUTED_VALUE"""),"South Carolina")</f>
        <v>South Carolina</v>
      </c>
      <c r="C84" s="1" t="str">
        <f ca="1">IFERROR(__xludf.DUMMYFUNCTION("""COMPUTED_VALUE"""),"SEC")</f>
        <v>SEC</v>
      </c>
      <c r="D84" s="1" t="str">
        <f ca="1">IFERROR(__xludf.DUMMYFUNCTION("""COMPUTED_VALUE"""),"17-16")</f>
        <v>17-16</v>
      </c>
      <c r="E84" s="1" t="str">
        <f ca="1">IFERROR(__xludf.DUMMYFUNCTION("""COMPUTED_VALUE"""),"+9.91")</f>
        <v>+9.91</v>
      </c>
      <c r="F84" s="1">
        <f ca="1">IFERROR(__xludf.DUMMYFUNCTION("""COMPUTED_VALUE"""),105.6)</f>
        <v>105.6</v>
      </c>
      <c r="G84" s="1">
        <f ca="1">IFERROR(__xludf.DUMMYFUNCTION("""COMPUTED_VALUE"""),161)</f>
        <v>161</v>
      </c>
      <c r="H84" s="1">
        <f ca="1">IFERROR(__xludf.DUMMYFUNCTION("""COMPUTED_VALUE"""),95.7)</f>
        <v>95.7</v>
      </c>
      <c r="I84" s="1">
        <f ca="1">IFERROR(__xludf.DUMMYFUNCTION("""COMPUTED_VALUE"""),25)</f>
        <v>25</v>
      </c>
      <c r="J84" s="1">
        <f ca="1">IFERROR(__xludf.DUMMYFUNCTION("""COMPUTED_VALUE"""),68.7)</f>
        <v>68.7</v>
      </c>
      <c r="K84" s="1">
        <f ca="1">IFERROR(__xludf.DUMMYFUNCTION("""COMPUTED_VALUE"""),153)</f>
        <v>153</v>
      </c>
      <c r="L84" s="1" t="str">
        <f ca="1">IFERROR(__xludf.DUMMYFUNCTION("""COMPUTED_VALUE"""),"+.003")</f>
        <v>+.003</v>
      </c>
      <c r="M84" s="1">
        <f ca="1">IFERROR(__xludf.DUMMYFUNCTION("""COMPUTED_VALUE"""),169)</f>
        <v>169</v>
      </c>
      <c r="N84" s="1" t="str">
        <f ca="1">IFERROR(__xludf.DUMMYFUNCTION("""COMPUTED_VALUE"""),"+9.63")</f>
        <v>+9.63</v>
      </c>
      <c r="O84" s="1">
        <f ca="1">IFERROR(__xludf.DUMMYFUNCTION("""COMPUTED_VALUE"""),30)</f>
        <v>30</v>
      </c>
      <c r="P84" s="1">
        <f ca="1">IFERROR(__xludf.DUMMYFUNCTION("""COMPUTED_VALUE"""),109.9)</f>
        <v>109.9</v>
      </c>
      <c r="Q84" s="1">
        <f ca="1">IFERROR(__xludf.DUMMYFUNCTION("""COMPUTED_VALUE"""),36)</f>
        <v>36</v>
      </c>
      <c r="R84" s="1">
        <f ca="1">IFERROR(__xludf.DUMMYFUNCTION("""COMPUTED_VALUE"""),100.3)</f>
        <v>100.3</v>
      </c>
      <c r="S84" s="1">
        <f ca="1">IFERROR(__xludf.DUMMYFUNCTION("""COMPUTED_VALUE"""),21)</f>
        <v>21</v>
      </c>
      <c r="T84" s="1" t="str">
        <f ca="1">IFERROR(__xludf.DUMMYFUNCTION("""COMPUTED_VALUE"""),"+0.89")</f>
        <v>+0.89</v>
      </c>
      <c r="U84" s="1">
        <f ca="1">IFERROR(__xludf.DUMMYFUNCTION("""COMPUTED_VALUE"""),140)</f>
        <v>140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IFERROR(__xludf.DUMMYFUNCTION("""COMPUTED_VALUE"""),"South Dakota")</f>
        <v>South Dakota</v>
      </c>
      <c r="C87" s="1" t="str">
        <f ca="1">IFERROR(__xludf.DUMMYFUNCTION("""COMPUTED_VALUE"""),"Sum")</f>
        <v>Sum</v>
      </c>
      <c r="D87" s="1" t="str">
        <f ca="1">IFERROR(__xludf.DUMMYFUNCTION("""COMPUTED_VALUE"""),"26-9")</f>
        <v>26-9</v>
      </c>
      <c r="E87" s="1" t="str">
        <f ca="1">IFERROR(__xludf.DUMMYFUNCTION("""COMPUTED_VALUE"""),"+9.85")</f>
        <v>+9.85</v>
      </c>
      <c r="F87" s="1">
        <f ca="1">IFERROR(__xludf.DUMMYFUNCTION("""COMPUTED_VALUE"""),109)</f>
        <v>109</v>
      </c>
      <c r="G87" s="1">
        <f ca="1">IFERROR(__xludf.DUMMYFUNCTION("""COMPUTED_VALUE"""),98)</f>
        <v>98</v>
      </c>
      <c r="H87" s="1">
        <f ca="1">IFERROR(__xludf.DUMMYFUNCTION("""COMPUTED_VALUE"""),99.2)</f>
        <v>99.2</v>
      </c>
      <c r="I87" s="1">
        <f ca="1">IFERROR(__xludf.DUMMYFUNCTION("""COMPUTED_VALUE"""),69)</f>
        <v>69</v>
      </c>
      <c r="J87" s="1">
        <f ca="1">IFERROR(__xludf.DUMMYFUNCTION("""COMPUTED_VALUE"""),70.9)</f>
        <v>70.900000000000006</v>
      </c>
      <c r="K87" s="1">
        <f ca="1">IFERROR(__xludf.DUMMYFUNCTION("""COMPUTED_VALUE"""),52)</f>
        <v>52</v>
      </c>
      <c r="L87" s="1">
        <f ca="1">IFERROR(__xludf.DUMMYFUNCTION("""COMPUTED_VALUE"""),-0.048)</f>
        <v>-4.8000000000000001E-2</v>
      </c>
      <c r="M87" s="1">
        <f ca="1">IFERROR(__xludf.DUMMYFUNCTION("""COMPUTED_VALUE"""),293)</f>
        <v>293</v>
      </c>
      <c r="N87" s="1">
        <f ca="1">IFERROR(__xludf.DUMMYFUNCTION("""COMPUTED_VALUE"""),-2.97)</f>
        <v>-2.97</v>
      </c>
      <c r="O87" s="1">
        <f ca="1">IFERROR(__xludf.DUMMYFUNCTION("""COMPUTED_VALUE"""),228)</f>
        <v>228</v>
      </c>
      <c r="P87" s="1">
        <f ca="1">IFERROR(__xludf.DUMMYFUNCTION("""COMPUTED_VALUE"""),104.7)</f>
        <v>104.7</v>
      </c>
      <c r="Q87" s="1">
        <f ca="1">IFERROR(__xludf.DUMMYFUNCTION("""COMPUTED_VALUE"""),165)</f>
        <v>165</v>
      </c>
      <c r="R87" s="1">
        <f ca="1">IFERROR(__xludf.DUMMYFUNCTION("""COMPUTED_VALUE"""),107.6)</f>
        <v>107.6</v>
      </c>
      <c r="S87" s="1">
        <f ca="1">IFERROR(__xludf.DUMMYFUNCTION("""COMPUTED_VALUE"""),287)</f>
        <v>287</v>
      </c>
      <c r="T87" s="1">
        <f ca="1">IFERROR(__xludf.DUMMYFUNCTION("""COMPUTED_VALUE"""),-1.65)</f>
        <v>-1.65</v>
      </c>
      <c r="U87" s="1">
        <f ca="1">IFERROR(__xludf.DUMMYFUNCTION("""COMPUTED_VALUE"""),202)</f>
        <v>202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IFERROR(__xludf.DUMMYFUNCTION("""COMPUTED_VALUE"""),"UNC Greensboro13")</f>
        <v>UNC Greensboro13</v>
      </c>
      <c r="C88" s="1" t="str">
        <f ca="1">IFERROR(__xludf.DUMMYFUNCTION("""COMPUTED_VALUE"""),"SC")</f>
        <v>SC</v>
      </c>
      <c r="D88" s="1" t="str">
        <f ca="1">IFERROR(__xludf.DUMMYFUNCTION("""COMPUTED_VALUE"""),"27-8")</f>
        <v>27-8</v>
      </c>
      <c r="E88" s="1" t="str">
        <f ca="1">IFERROR(__xludf.DUMMYFUNCTION("""COMPUTED_VALUE"""),"+9.22")</f>
        <v>+9.22</v>
      </c>
      <c r="F88" s="1">
        <f ca="1">IFERROR(__xludf.DUMMYFUNCTION("""COMPUTED_VALUE"""),104.9)</f>
        <v>104.9</v>
      </c>
      <c r="G88" s="1">
        <f ca="1">IFERROR(__xludf.DUMMYFUNCTION("""COMPUTED_VALUE"""),174)</f>
        <v>174</v>
      </c>
      <c r="H88" s="1">
        <f ca="1">IFERROR(__xludf.DUMMYFUNCTION("""COMPUTED_VALUE"""),95.7)</f>
        <v>95.7</v>
      </c>
      <c r="I88" s="1">
        <f ca="1">IFERROR(__xludf.DUMMYFUNCTION("""COMPUTED_VALUE"""),26)</f>
        <v>26</v>
      </c>
      <c r="J88" s="1">
        <f ca="1">IFERROR(__xludf.DUMMYFUNCTION("""COMPUTED_VALUE"""),65.2)</f>
        <v>65.2</v>
      </c>
      <c r="K88" s="1">
        <f ca="1">IFERROR(__xludf.DUMMYFUNCTION("""COMPUTED_VALUE"""),317)</f>
        <v>317</v>
      </c>
      <c r="L88" s="1">
        <f ca="1">IFERROR(__xludf.DUMMYFUNCTION("""COMPUTED_VALUE"""),-0.024)</f>
        <v>-2.4E-2</v>
      </c>
      <c r="M88" s="1">
        <f ca="1">IFERROR(__xludf.DUMMYFUNCTION("""COMPUTED_VALUE"""),244)</f>
        <v>244</v>
      </c>
      <c r="N88" s="1">
        <f ca="1">IFERROR(__xludf.DUMMYFUNCTION("""COMPUTED_VALUE"""),-4.57)</f>
        <v>-4.57</v>
      </c>
      <c r="O88" s="1">
        <f ca="1">IFERROR(__xludf.DUMMYFUNCTION("""COMPUTED_VALUE"""),280)</f>
        <v>280</v>
      </c>
      <c r="P88" s="1">
        <f ca="1">IFERROR(__xludf.DUMMYFUNCTION("""COMPUTED_VALUE"""),103.7)</f>
        <v>103.7</v>
      </c>
      <c r="Q88" s="1">
        <f ca="1">IFERROR(__xludf.DUMMYFUNCTION("""COMPUTED_VALUE"""),210)</f>
        <v>210</v>
      </c>
      <c r="R88" s="1">
        <f ca="1">IFERROR(__xludf.DUMMYFUNCTION("""COMPUTED_VALUE"""),108.2)</f>
        <v>108.2</v>
      </c>
      <c r="S88" s="1">
        <f ca="1">IFERROR(__xludf.DUMMYFUNCTION("""COMPUTED_VALUE"""),315)</f>
        <v>315</v>
      </c>
      <c r="T88" s="1">
        <f ca="1">IFERROR(__xludf.DUMMYFUNCTION("""COMPUTED_VALUE"""),-3.46)</f>
        <v>-3.46</v>
      </c>
      <c r="U88" s="1">
        <f ca="1">IFERROR(__xludf.DUMMYFUNCTION("""COMPUTED_VALUE"""),272)</f>
        <v>272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IFERROR(__xludf.DUMMYFUNCTION("""COMPUTED_VALUE"""),"Belmont")</f>
        <v>Belmont</v>
      </c>
      <c r="C89" s="1" t="str">
        <f ca="1">IFERROR(__xludf.DUMMYFUNCTION("""COMPUTED_VALUE"""),"OVC")</f>
        <v>OVC</v>
      </c>
      <c r="D89" s="1" t="str">
        <f ca="1">IFERROR(__xludf.DUMMYFUNCTION("""COMPUTED_VALUE"""),"24-9")</f>
        <v>24-9</v>
      </c>
      <c r="E89" s="1" t="str">
        <f ca="1">IFERROR(__xludf.DUMMYFUNCTION("""COMPUTED_VALUE"""),"+9.15")</f>
        <v>+9.15</v>
      </c>
      <c r="F89" s="1">
        <f ca="1">IFERROR(__xludf.DUMMYFUNCTION("""COMPUTED_VALUE"""),112.7)</f>
        <v>112.7</v>
      </c>
      <c r="G89" s="1">
        <f ca="1">IFERROR(__xludf.DUMMYFUNCTION("""COMPUTED_VALUE"""),56)</f>
        <v>56</v>
      </c>
      <c r="H89" s="1">
        <f ca="1">IFERROR(__xludf.DUMMYFUNCTION("""COMPUTED_VALUE"""),103.5)</f>
        <v>103.5</v>
      </c>
      <c r="I89" s="1">
        <f ca="1">IFERROR(__xludf.DUMMYFUNCTION("""COMPUTED_VALUE"""),146)</f>
        <v>146</v>
      </c>
      <c r="J89" s="1">
        <f ca="1">IFERROR(__xludf.DUMMYFUNCTION("""COMPUTED_VALUE"""),66.9)</f>
        <v>66.900000000000006</v>
      </c>
      <c r="K89" s="1">
        <f ca="1">IFERROR(__xludf.DUMMYFUNCTION("""COMPUTED_VALUE"""),240)</f>
        <v>240</v>
      </c>
      <c r="L89" s="1">
        <f ca="1">IFERROR(__xludf.DUMMYFUNCTION("""COMPUTED_VALUE"""),-0.004)</f>
        <v>-4.0000000000000001E-3</v>
      </c>
      <c r="M89" s="1">
        <f ca="1">IFERROR(__xludf.DUMMYFUNCTION("""COMPUTED_VALUE"""),184)</f>
        <v>184</v>
      </c>
      <c r="N89" s="1">
        <f ca="1">IFERROR(__xludf.DUMMYFUNCTION("""COMPUTED_VALUE"""),-3.22)</f>
        <v>-3.22</v>
      </c>
      <c r="O89" s="1">
        <f ca="1">IFERROR(__xludf.DUMMYFUNCTION("""COMPUTED_VALUE"""),237)</f>
        <v>237</v>
      </c>
      <c r="P89" s="1">
        <f ca="1">IFERROR(__xludf.DUMMYFUNCTION("""COMPUTED_VALUE"""),103.1)</f>
        <v>103.1</v>
      </c>
      <c r="Q89" s="1">
        <f ca="1">IFERROR(__xludf.DUMMYFUNCTION("""COMPUTED_VALUE"""),238)</f>
        <v>238</v>
      </c>
      <c r="R89" s="1">
        <f ca="1">IFERROR(__xludf.DUMMYFUNCTION("""COMPUTED_VALUE"""),106.4)</f>
        <v>106.4</v>
      </c>
      <c r="S89" s="1">
        <f ca="1">IFERROR(__xludf.DUMMYFUNCTION("""COMPUTED_VALUE"""),215)</f>
        <v>215</v>
      </c>
      <c r="T89" s="1" t="str">
        <f ca="1">IFERROR(__xludf.DUMMYFUNCTION("""COMPUTED_VALUE"""),"+1.45")</f>
        <v>+1.45</v>
      </c>
      <c r="U89" s="1">
        <f ca="1">IFERROR(__xludf.DUMMYFUNCTION("""COMPUTED_VALUE"""),116)</f>
        <v>116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IFERROR(__xludf.DUMMYFUNCTION("""COMPUTED_VALUE"""),"SMU")</f>
        <v>SMU</v>
      </c>
      <c r="C90" s="1" t="str">
        <f ca="1">IFERROR(__xludf.DUMMYFUNCTION("""COMPUTED_VALUE"""),"Amer")</f>
        <v>Amer</v>
      </c>
      <c r="D90" s="1" t="str">
        <f ca="1">IFERROR(__xludf.DUMMYFUNCTION("""COMPUTED_VALUE"""),"17-16")</f>
        <v>17-16</v>
      </c>
      <c r="E90" s="1" t="str">
        <f ca="1">IFERROR(__xludf.DUMMYFUNCTION("""COMPUTED_VALUE"""),"+8.61")</f>
        <v>+8.61</v>
      </c>
      <c r="F90" s="1">
        <f ca="1">IFERROR(__xludf.DUMMYFUNCTION("""COMPUTED_VALUE"""),109.5)</f>
        <v>109.5</v>
      </c>
      <c r="G90" s="1">
        <f ca="1">IFERROR(__xludf.DUMMYFUNCTION("""COMPUTED_VALUE"""),91)</f>
        <v>91</v>
      </c>
      <c r="H90" s="1">
        <f ca="1">IFERROR(__xludf.DUMMYFUNCTION("""COMPUTED_VALUE"""),100.9)</f>
        <v>100.9</v>
      </c>
      <c r="I90" s="1">
        <f ca="1">IFERROR(__xludf.DUMMYFUNCTION("""COMPUTED_VALUE"""),97)</f>
        <v>97</v>
      </c>
      <c r="J90" s="1">
        <f ca="1">IFERROR(__xludf.DUMMYFUNCTION("""COMPUTED_VALUE"""),64.3)</f>
        <v>64.3</v>
      </c>
      <c r="K90" s="1">
        <f ca="1">IFERROR(__xludf.DUMMYFUNCTION("""COMPUTED_VALUE"""),336)</f>
        <v>336</v>
      </c>
      <c r="L90" s="1">
        <f ca="1">IFERROR(__xludf.DUMMYFUNCTION("""COMPUTED_VALUE"""),-0.102)</f>
        <v>-0.10199999999999999</v>
      </c>
      <c r="M90" s="1">
        <f ca="1">IFERROR(__xludf.DUMMYFUNCTION("""COMPUTED_VALUE"""),347)</f>
        <v>347</v>
      </c>
      <c r="N90" s="1" t="str">
        <f ca="1">IFERROR(__xludf.DUMMYFUNCTION("""COMPUTED_VALUE"""),"+2.41")</f>
        <v>+2.41</v>
      </c>
      <c r="O90" s="1">
        <f ca="1">IFERROR(__xludf.DUMMYFUNCTION("""COMPUTED_VALUE"""),100)</f>
        <v>100</v>
      </c>
      <c r="P90" s="1">
        <f ca="1">IFERROR(__xludf.DUMMYFUNCTION("""COMPUTED_VALUE"""),105.4)</f>
        <v>105.4</v>
      </c>
      <c r="Q90" s="1">
        <f ca="1">IFERROR(__xludf.DUMMYFUNCTION("""COMPUTED_VALUE"""),129)</f>
        <v>129</v>
      </c>
      <c r="R90" s="1">
        <f ca="1">IFERROR(__xludf.DUMMYFUNCTION("""COMPUTED_VALUE"""),103)</f>
        <v>103</v>
      </c>
      <c r="S90" s="1">
        <f ca="1">IFERROR(__xludf.DUMMYFUNCTION("""COMPUTED_VALUE"""),81)</f>
        <v>81</v>
      </c>
      <c r="T90" s="1">
        <f ca="1">IFERROR(__xludf.DUMMYFUNCTION("""COMPUTED_VALUE"""),-3.88)</f>
        <v>-3.88</v>
      </c>
      <c r="U90" s="1">
        <f ca="1">IFERROR(__xludf.DUMMYFUNCTION("""COMPUTED_VALUE"""),286)</f>
        <v>286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IFERROR(__xludf.DUMMYFUNCTION("""COMPUTED_VALUE"""),"Northwestern")</f>
        <v>Northwestern</v>
      </c>
      <c r="C91" s="1" t="str">
        <f ca="1">IFERROR(__xludf.DUMMYFUNCTION("""COMPUTED_VALUE"""),"B10")</f>
        <v>B10</v>
      </c>
      <c r="D91" s="1" t="str">
        <f ca="1">IFERROR(__xludf.DUMMYFUNCTION("""COMPUTED_VALUE"""),"15-17")</f>
        <v>15-17</v>
      </c>
      <c r="E91" s="1" t="str">
        <f ca="1">IFERROR(__xludf.DUMMYFUNCTION("""COMPUTED_VALUE"""),"+8.57")</f>
        <v>+8.57</v>
      </c>
      <c r="F91" s="1">
        <f ca="1">IFERROR(__xludf.DUMMYFUNCTION("""COMPUTED_VALUE"""),109.2)</f>
        <v>109.2</v>
      </c>
      <c r="G91" s="1">
        <f ca="1">IFERROR(__xludf.DUMMYFUNCTION("""COMPUTED_VALUE"""),96)</f>
        <v>96</v>
      </c>
      <c r="H91" s="1">
        <f ca="1">IFERROR(__xludf.DUMMYFUNCTION("""COMPUTED_VALUE"""),100.6)</f>
        <v>100.6</v>
      </c>
      <c r="I91" s="1">
        <f ca="1">IFERROR(__xludf.DUMMYFUNCTION("""COMPUTED_VALUE"""),90)</f>
        <v>90</v>
      </c>
      <c r="J91" s="1">
        <f ca="1">IFERROR(__xludf.DUMMYFUNCTION("""COMPUTED_VALUE"""),63.9)</f>
        <v>63.9</v>
      </c>
      <c r="K91" s="1">
        <f ca="1">IFERROR(__xludf.DUMMYFUNCTION("""COMPUTED_VALUE"""),340)</f>
        <v>340</v>
      </c>
      <c r="L91" s="1">
        <f ca="1">IFERROR(__xludf.DUMMYFUNCTION("""COMPUTED_VALUE"""),-0.068)</f>
        <v>-6.8000000000000005E-2</v>
      </c>
      <c r="M91" s="1">
        <f ca="1">IFERROR(__xludf.DUMMYFUNCTION("""COMPUTED_VALUE"""),326)</f>
        <v>326</v>
      </c>
      <c r="N91" s="1" t="str">
        <f ca="1">IFERROR(__xludf.DUMMYFUNCTION("""COMPUTED_VALUE"""),"+8.85")</f>
        <v>+8.85</v>
      </c>
      <c r="O91" s="1">
        <f ca="1">IFERROR(__xludf.DUMMYFUNCTION("""COMPUTED_VALUE"""),43)</f>
        <v>43</v>
      </c>
      <c r="P91" s="1">
        <f ca="1">IFERROR(__xludf.DUMMYFUNCTION("""COMPUTED_VALUE"""),109)</f>
        <v>109</v>
      </c>
      <c r="Q91" s="1">
        <f ca="1">IFERROR(__xludf.DUMMYFUNCTION("""COMPUTED_VALUE"""),55)</f>
        <v>55</v>
      </c>
      <c r="R91" s="1">
        <f ca="1">IFERROR(__xludf.DUMMYFUNCTION("""COMPUTED_VALUE"""),100.2)</f>
        <v>100.2</v>
      </c>
      <c r="S91" s="1">
        <f ca="1">IFERROR(__xludf.DUMMYFUNCTION("""COMPUTED_VALUE"""),17)</f>
        <v>17</v>
      </c>
      <c r="T91" s="1">
        <f ca="1">IFERROR(__xludf.DUMMYFUNCTION("""COMPUTED_VALUE"""),-1.9)</f>
        <v>-1.9</v>
      </c>
      <c r="U91" s="1">
        <f ca="1">IFERROR(__xludf.DUMMYFUNCTION("""COMPUTED_VALUE"""),213)</f>
        <v>213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IFERROR(__xludf.DUMMYFUNCTION("""COMPUTED_VALUE"""),"Temple5")</f>
        <v>Temple5</v>
      </c>
      <c r="C92" s="1" t="str">
        <f ca="1">IFERROR(__xludf.DUMMYFUNCTION("""COMPUTED_VALUE"""),"Amer")</f>
        <v>Amer</v>
      </c>
      <c r="D92" s="1" t="str">
        <f ca="1">IFERROR(__xludf.DUMMYFUNCTION("""COMPUTED_VALUE"""),"17-16")</f>
        <v>17-16</v>
      </c>
      <c r="E92" s="1" t="str">
        <f ca="1">IFERROR(__xludf.DUMMYFUNCTION("""COMPUTED_VALUE"""),"+8.38")</f>
        <v>+8.38</v>
      </c>
      <c r="F92" s="1">
        <f ca="1">IFERROR(__xludf.DUMMYFUNCTION("""COMPUTED_VALUE"""),108.3)</f>
        <v>108.3</v>
      </c>
      <c r="G92" s="1">
        <f ca="1">IFERROR(__xludf.DUMMYFUNCTION("""COMPUTED_VALUE"""),111)</f>
        <v>111</v>
      </c>
      <c r="H92" s="1">
        <f ca="1">IFERROR(__xludf.DUMMYFUNCTION("""COMPUTED_VALUE"""),100)</f>
        <v>100</v>
      </c>
      <c r="I92" s="1">
        <f ca="1">IFERROR(__xludf.DUMMYFUNCTION("""COMPUTED_VALUE"""),78)</f>
        <v>78</v>
      </c>
      <c r="J92" s="1">
        <f ca="1">IFERROR(__xludf.DUMMYFUNCTION("""COMPUTED_VALUE"""),67.6)</f>
        <v>67.599999999999994</v>
      </c>
      <c r="K92" s="1">
        <f ca="1">IFERROR(__xludf.DUMMYFUNCTION("""COMPUTED_VALUE"""),204)</f>
        <v>204</v>
      </c>
      <c r="L92" s="1" t="str">
        <f ca="1">IFERROR(__xludf.DUMMYFUNCTION("""COMPUTED_VALUE"""),"+.028")</f>
        <v>+.028</v>
      </c>
      <c r="M92" s="1">
        <f ca="1">IFERROR(__xludf.DUMMYFUNCTION("""COMPUTED_VALUE"""),105)</f>
        <v>105</v>
      </c>
      <c r="N92" s="1" t="str">
        <f ca="1">IFERROR(__xludf.DUMMYFUNCTION("""COMPUTED_VALUE"""),"+8.53")</f>
        <v>+8.53</v>
      </c>
      <c r="O92" s="1">
        <f ca="1">IFERROR(__xludf.DUMMYFUNCTION("""COMPUTED_VALUE"""),47)</f>
        <v>47</v>
      </c>
      <c r="P92" s="1">
        <f ca="1">IFERROR(__xludf.DUMMYFUNCTION("""COMPUTED_VALUE"""),108.9)</f>
        <v>108.9</v>
      </c>
      <c r="Q92" s="1">
        <f ca="1">IFERROR(__xludf.DUMMYFUNCTION("""COMPUTED_VALUE"""),57)</f>
        <v>57</v>
      </c>
      <c r="R92" s="1">
        <f ca="1">IFERROR(__xludf.DUMMYFUNCTION("""COMPUTED_VALUE"""),100.3)</f>
        <v>100.3</v>
      </c>
      <c r="S92" s="1">
        <f ca="1">IFERROR(__xludf.DUMMYFUNCTION("""COMPUTED_VALUE"""),22)</f>
        <v>22</v>
      </c>
      <c r="T92" s="1" t="str">
        <f ca="1">IFERROR(__xludf.DUMMYFUNCTION("""COMPUTED_VALUE"""),"+9.11")</f>
        <v>+9.11</v>
      </c>
      <c r="U92" s="1">
        <f ca="1">IFERROR(__xludf.DUMMYFUNCTION("""COMPUTED_VALUE"""),8)</f>
        <v>8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IFERROR(__xludf.DUMMYFUNCTION("""COMPUTED_VALUE"""),"Stanford3")</f>
        <v>Stanford3</v>
      </c>
      <c r="C93" s="1" t="str">
        <f ca="1">IFERROR(__xludf.DUMMYFUNCTION("""COMPUTED_VALUE"""),"P12")</f>
        <v>P12</v>
      </c>
      <c r="D93" s="1" t="str">
        <f ca="1">IFERROR(__xludf.DUMMYFUNCTION("""COMPUTED_VALUE"""),"19-16")</f>
        <v>19-16</v>
      </c>
      <c r="E93" s="1" t="str">
        <f ca="1">IFERROR(__xludf.DUMMYFUNCTION("""COMPUTED_VALUE"""),"+8.37")</f>
        <v>+8.37</v>
      </c>
      <c r="F93" s="1">
        <f ca="1">IFERROR(__xludf.DUMMYFUNCTION("""COMPUTED_VALUE"""),107.7)</f>
        <v>107.7</v>
      </c>
      <c r="G93" s="1">
        <f ca="1">IFERROR(__xludf.DUMMYFUNCTION("""COMPUTED_VALUE"""),120)</f>
        <v>120</v>
      </c>
      <c r="H93" s="1">
        <f ca="1">IFERROR(__xludf.DUMMYFUNCTION("""COMPUTED_VALUE"""),99.3)</f>
        <v>99.3</v>
      </c>
      <c r="I93" s="1">
        <f ca="1">IFERROR(__xludf.DUMMYFUNCTION("""COMPUTED_VALUE"""),71)</f>
        <v>71</v>
      </c>
      <c r="J93" s="1">
        <f ca="1">IFERROR(__xludf.DUMMYFUNCTION("""COMPUTED_VALUE"""),70.9)</f>
        <v>70.900000000000006</v>
      </c>
      <c r="K93" s="1">
        <f ca="1">IFERROR(__xludf.DUMMYFUNCTION("""COMPUTED_VALUE"""),53)</f>
        <v>53</v>
      </c>
      <c r="L93" s="1" t="str">
        <f ca="1">IFERROR(__xludf.DUMMYFUNCTION("""COMPUTED_VALUE"""),"+.016")</f>
        <v>+.016</v>
      </c>
      <c r="M93" s="1">
        <f ca="1">IFERROR(__xludf.DUMMYFUNCTION("""COMPUTED_VALUE"""),133)</f>
        <v>133</v>
      </c>
      <c r="N93" s="1" t="str">
        <f ca="1">IFERROR(__xludf.DUMMYFUNCTION("""COMPUTED_VALUE"""),"+6.29")</f>
        <v>+6.29</v>
      </c>
      <c r="O93" s="1">
        <f ca="1">IFERROR(__xludf.DUMMYFUNCTION("""COMPUTED_VALUE"""),65)</f>
        <v>65</v>
      </c>
      <c r="P93" s="1">
        <f ca="1">IFERROR(__xludf.DUMMYFUNCTION("""COMPUTED_VALUE"""),109.1)</f>
        <v>109.1</v>
      </c>
      <c r="Q93" s="1">
        <f ca="1">IFERROR(__xludf.DUMMYFUNCTION("""COMPUTED_VALUE"""),50)</f>
        <v>50</v>
      </c>
      <c r="R93" s="1">
        <f ca="1">IFERROR(__xludf.DUMMYFUNCTION("""COMPUTED_VALUE"""),102.8)</f>
        <v>102.8</v>
      </c>
      <c r="S93" s="1">
        <f ca="1">IFERROR(__xludf.DUMMYFUNCTION("""COMPUTED_VALUE"""),78)</f>
        <v>78</v>
      </c>
      <c r="T93" s="1" t="str">
        <f ca="1">IFERROR(__xludf.DUMMYFUNCTION("""COMPUTED_VALUE"""),"+3.46")</f>
        <v>+3.46</v>
      </c>
      <c r="U93" s="1">
        <f ca="1">IFERROR(__xludf.DUMMYFUNCTION("""COMPUTED_VALUE"""),72)</f>
        <v>72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IFERROR(__xludf.DUMMYFUNCTION("""COMPUTED_VALUE"""),"Iowa")</f>
        <v>Iowa</v>
      </c>
      <c r="C94" s="1" t="str">
        <f ca="1">IFERROR(__xludf.DUMMYFUNCTION("""COMPUTED_VALUE"""),"B10")</f>
        <v>B10</v>
      </c>
      <c r="D94" s="1" t="str">
        <f ca="1">IFERROR(__xludf.DUMMYFUNCTION("""COMPUTED_VALUE"""),"14-19")</f>
        <v>14-19</v>
      </c>
      <c r="E94" s="1" t="str">
        <f ca="1">IFERROR(__xludf.DUMMYFUNCTION("""COMPUTED_VALUE"""),"+8.14")</f>
        <v>+8.14</v>
      </c>
      <c r="F94" s="1">
        <f ca="1">IFERROR(__xludf.DUMMYFUNCTION("""COMPUTED_VALUE"""),116.6)</f>
        <v>116.6</v>
      </c>
      <c r="G94" s="1">
        <f ca="1">IFERROR(__xludf.DUMMYFUNCTION("""COMPUTED_VALUE"""),19)</f>
        <v>19</v>
      </c>
      <c r="H94" s="1">
        <f ca="1">IFERROR(__xludf.DUMMYFUNCTION("""COMPUTED_VALUE"""),108.4)</f>
        <v>108.4</v>
      </c>
      <c r="I94" s="1">
        <f ca="1">IFERROR(__xludf.DUMMYFUNCTION("""COMPUTED_VALUE"""),242)</f>
        <v>242</v>
      </c>
      <c r="J94" s="1">
        <f ca="1">IFERROR(__xludf.DUMMYFUNCTION("""COMPUTED_VALUE"""),70.3)</f>
        <v>70.3</v>
      </c>
      <c r="K94" s="1">
        <f ca="1">IFERROR(__xludf.DUMMYFUNCTION("""COMPUTED_VALUE"""),71)</f>
        <v>71</v>
      </c>
      <c r="L94" s="1">
        <f ca="1">IFERROR(__xludf.DUMMYFUNCTION("""COMPUTED_VALUE"""),-0.09)</f>
        <v>-0.09</v>
      </c>
      <c r="M94" s="1">
        <f ca="1">IFERROR(__xludf.DUMMYFUNCTION("""COMPUTED_VALUE"""),341)</f>
        <v>341</v>
      </c>
      <c r="N94" s="1" t="str">
        <f ca="1">IFERROR(__xludf.DUMMYFUNCTION("""COMPUTED_VALUE"""),"+8.23")</f>
        <v>+8.23</v>
      </c>
      <c r="O94" s="1">
        <f ca="1">IFERROR(__xludf.DUMMYFUNCTION("""COMPUTED_VALUE"""),49)</f>
        <v>49</v>
      </c>
      <c r="P94" s="1">
        <f ca="1">IFERROR(__xludf.DUMMYFUNCTION("""COMPUTED_VALUE"""),109.2)</f>
        <v>109.2</v>
      </c>
      <c r="Q94" s="1">
        <f ca="1">IFERROR(__xludf.DUMMYFUNCTION("""COMPUTED_VALUE"""),48)</f>
        <v>48</v>
      </c>
      <c r="R94" s="1">
        <f ca="1">IFERROR(__xludf.DUMMYFUNCTION("""COMPUTED_VALUE"""),101)</f>
        <v>101</v>
      </c>
      <c r="S94" s="1">
        <f ca="1">IFERROR(__xludf.DUMMYFUNCTION("""COMPUTED_VALUE"""),41)</f>
        <v>41</v>
      </c>
      <c r="T94" s="1">
        <f ca="1">IFERROR(__xludf.DUMMYFUNCTION("""COMPUTED_VALUE"""),-4.11)</f>
        <v>-4.1100000000000003</v>
      </c>
      <c r="U94" s="1">
        <f ca="1">IFERROR(__xludf.DUMMYFUNCTION("""COMPUTED_VALUE"""),290)</f>
        <v>290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IFERROR(__xludf.DUMMYFUNCTION("""COMPUTED_VALUE"""),"Wake Forest")</f>
        <v>Wake Forest</v>
      </c>
      <c r="C95" s="1" t="str">
        <f ca="1">IFERROR(__xludf.DUMMYFUNCTION("""COMPUTED_VALUE"""),"ACC")</f>
        <v>ACC</v>
      </c>
      <c r="D95" s="2">
        <f ca="1">IFERROR(__xludf.DUMMYFUNCTION("""COMPUTED_VALUE"""),44885)</f>
        <v>44885</v>
      </c>
      <c r="E95" s="1" t="str">
        <f ca="1">IFERROR(__xludf.DUMMYFUNCTION("""COMPUTED_VALUE"""),"+7.94")</f>
        <v>+7.94</v>
      </c>
      <c r="F95" s="1">
        <f ca="1">IFERROR(__xludf.DUMMYFUNCTION("""COMPUTED_VALUE"""),110.9)</f>
        <v>110.9</v>
      </c>
      <c r="G95" s="1">
        <f ca="1">IFERROR(__xludf.DUMMYFUNCTION("""COMPUTED_VALUE"""),72)</f>
        <v>72</v>
      </c>
      <c r="H95" s="1">
        <f ca="1">IFERROR(__xludf.DUMMYFUNCTION("""COMPUTED_VALUE"""),103)</f>
        <v>103</v>
      </c>
      <c r="I95" s="1">
        <f ca="1">IFERROR(__xludf.DUMMYFUNCTION("""COMPUTED_VALUE"""),130)</f>
        <v>130</v>
      </c>
      <c r="J95" s="1">
        <f ca="1">IFERROR(__xludf.DUMMYFUNCTION("""COMPUTED_VALUE"""),69.5)</f>
        <v>69.5</v>
      </c>
      <c r="K95" s="1">
        <f ca="1">IFERROR(__xludf.DUMMYFUNCTION("""COMPUTED_VALUE"""),102)</f>
        <v>102</v>
      </c>
      <c r="L95" s="1">
        <f ca="1">IFERROR(__xludf.DUMMYFUNCTION("""COMPUTED_VALUE"""),-0.12)</f>
        <v>-0.12</v>
      </c>
      <c r="M95" s="1">
        <f ca="1">IFERROR(__xludf.DUMMYFUNCTION("""COMPUTED_VALUE"""),350)</f>
        <v>350</v>
      </c>
      <c r="N95" s="1" t="str">
        <f ca="1">IFERROR(__xludf.DUMMYFUNCTION("""COMPUTED_VALUE"""),"+9.05")</f>
        <v>+9.05</v>
      </c>
      <c r="O95" s="1">
        <f ca="1">IFERROR(__xludf.DUMMYFUNCTION("""COMPUTED_VALUE"""),40)</f>
        <v>40</v>
      </c>
      <c r="P95" s="1">
        <f ca="1">IFERROR(__xludf.DUMMYFUNCTION("""COMPUTED_VALUE"""),109.2)</f>
        <v>109.2</v>
      </c>
      <c r="Q95" s="1">
        <f ca="1">IFERROR(__xludf.DUMMYFUNCTION("""COMPUTED_VALUE"""),49)</f>
        <v>49</v>
      </c>
      <c r="R95" s="1">
        <f ca="1">IFERROR(__xludf.DUMMYFUNCTION("""COMPUTED_VALUE"""),100.2)</f>
        <v>100.2</v>
      </c>
      <c r="S95" s="1">
        <f ca="1">IFERROR(__xludf.DUMMYFUNCTION("""COMPUTED_VALUE"""),16)</f>
        <v>16</v>
      </c>
      <c r="T95" s="1">
        <f ca="1">IFERROR(__xludf.DUMMYFUNCTION("""COMPUTED_VALUE"""),-1.4)</f>
        <v>-1.4</v>
      </c>
      <c r="U95" s="1">
        <f ca="1">IFERROR(__xludf.DUMMYFUNCTION("""COMPUTED_VALUE"""),194)</f>
        <v>194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IFERROR(__xludf.DUMMYFUNCTION("""COMPUTED_VALUE"""),"Northern Kentucky7")</f>
        <v>Northern Kentucky7</v>
      </c>
      <c r="C96" s="1" t="str">
        <f ca="1">IFERROR(__xludf.DUMMYFUNCTION("""COMPUTED_VALUE"""),"Horz")</f>
        <v>Horz</v>
      </c>
      <c r="D96" s="1" t="str">
        <f ca="1">IFERROR(__xludf.DUMMYFUNCTION("""COMPUTED_VALUE"""),"22-10")</f>
        <v>22-10</v>
      </c>
      <c r="E96" s="1" t="str">
        <f ca="1">IFERROR(__xludf.DUMMYFUNCTION("""COMPUTED_VALUE"""),"+7.93")</f>
        <v>+7.93</v>
      </c>
      <c r="F96" s="1">
        <f ca="1">IFERROR(__xludf.DUMMYFUNCTION("""COMPUTED_VALUE"""),107.5)</f>
        <v>107.5</v>
      </c>
      <c r="G96" s="1">
        <f ca="1">IFERROR(__xludf.DUMMYFUNCTION("""COMPUTED_VALUE"""),123)</f>
        <v>123</v>
      </c>
      <c r="H96" s="1">
        <f ca="1">IFERROR(__xludf.DUMMYFUNCTION("""COMPUTED_VALUE"""),99.6)</f>
        <v>99.6</v>
      </c>
      <c r="I96" s="1">
        <f ca="1">IFERROR(__xludf.DUMMYFUNCTION("""COMPUTED_VALUE"""),75)</f>
        <v>75</v>
      </c>
      <c r="J96" s="1">
        <f ca="1">IFERROR(__xludf.DUMMYFUNCTION("""COMPUTED_VALUE"""),68.6)</f>
        <v>68.599999999999994</v>
      </c>
      <c r="K96" s="1">
        <f ca="1">IFERROR(__xludf.DUMMYFUNCTION("""COMPUTED_VALUE"""),159)</f>
        <v>159</v>
      </c>
      <c r="L96" s="1">
        <f ca="1">IFERROR(__xludf.DUMMYFUNCTION("""COMPUTED_VALUE"""),-0.073)</f>
        <v>-7.2999999999999995E-2</v>
      </c>
      <c r="M96" s="1">
        <f ca="1">IFERROR(__xludf.DUMMYFUNCTION("""COMPUTED_VALUE"""),332)</f>
        <v>332</v>
      </c>
      <c r="N96" s="1">
        <f ca="1">IFERROR(__xludf.DUMMYFUNCTION("""COMPUTED_VALUE"""),-4.04)</f>
        <v>-4.04</v>
      </c>
      <c r="O96" s="1">
        <f ca="1">IFERROR(__xludf.DUMMYFUNCTION("""COMPUTED_VALUE"""),256)</f>
        <v>256</v>
      </c>
      <c r="P96" s="1">
        <f ca="1">IFERROR(__xludf.DUMMYFUNCTION("""COMPUTED_VALUE"""),102.6)</f>
        <v>102.6</v>
      </c>
      <c r="Q96" s="1">
        <f ca="1">IFERROR(__xludf.DUMMYFUNCTION("""COMPUTED_VALUE"""),272)</f>
        <v>272</v>
      </c>
      <c r="R96" s="1">
        <f ca="1">IFERROR(__xludf.DUMMYFUNCTION("""COMPUTED_VALUE"""),106.6)</f>
        <v>106.6</v>
      </c>
      <c r="S96" s="1">
        <f ca="1">IFERROR(__xludf.DUMMYFUNCTION("""COMPUTED_VALUE"""),234)</f>
        <v>234</v>
      </c>
      <c r="T96" s="1" t="str">
        <f ca="1">IFERROR(__xludf.DUMMYFUNCTION("""COMPUTED_VALUE"""),"+1.95")</f>
        <v>+1.95</v>
      </c>
      <c r="U96" s="1">
        <f ca="1">IFERROR(__xludf.DUMMYFUNCTION("""COMPUTED_VALUE"""),105)</f>
        <v>105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IFERROR(__xludf.DUMMYFUNCTION("""COMPUTED_VALUE"""),"Vanderbilt")</f>
        <v>Vanderbilt</v>
      </c>
      <c r="C97" s="1" t="str">
        <f ca="1">IFERROR(__xludf.DUMMYFUNCTION("""COMPUTED_VALUE"""),"SEC")</f>
        <v>SEC</v>
      </c>
      <c r="D97" s="2">
        <f ca="1">IFERROR(__xludf.DUMMYFUNCTION("""COMPUTED_VALUE"""),44915)</f>
        <v>44915</v>
      </c>
      <c r="E97" s="1" t="str">
        <f ca="1">IFERROR(__xludf.DUMMYFUNCTION("""COMPUTED_VALUE"""),"+7.93")</f>
        <v>+7.93</v>
      </c>
      <c r="F97" s="1">
        <f ca="1">IFERROR(__xludf.DUMMYFUNCTION("""COMPUTED_VALUE"""),115.3)</f>
        <v>115.3</v>
      </c>
      <c r="G97" s="1">
        <f ca="1">IFERROR(__xludf.DUMMYFUNCTION("""COMPUTED_VALUE"""),29)</f>
        <v>29</v>
      </c>
      <c r="H97" s="1">
        <f ca="1">IFERROR(__xludf.DUMMYFUNCTION("""COMPUTED_VALUE"""),107.3)</f>
        <v>107.3</v>
      </c>
      <c r="I97" s="1">
        <f ca="1">IFERROR(__xludf.DUMMYFUNCTION("""COMPUTED_VALUE"""),219)</f>
        <v>219</v>
      </c>
      <c r="J97" s="1">
        <f ca="1">IFERROR(__xludf.DUMMYFUNCTION("""COMPUTED_VALUE"""),65.8)</f>
        <v>65.8</v>
      </c>
      <c r="K97" s="1">
        <f ca="1">IFERROR(__xludf.DUMMYFUNCTION("""COMPUTED_VALUE"""),289)</f>
        <v>289</v>
      </c>
      <c r="L97" s="1">
        <f ca="1">IFERROR(__xludf.DUMMYFUNCTION("""COMPUTED_VALUE"""),-0.08)</f>
        <v>-0.08</v>
      </c>
      <c r="M97" s="1">
        <f ca="1">IFERROR(__xludf.DUMMYFUNCTION("""COMPUTED_VALUE"""),336)</f>
        <v>336</v>
      </c>
      <c r="N97" s="1" t="str">
        <f ca="1">IFERROR(__xludf.DUMMYFUNCTION("""COMPUTED_VALUE"""),"+11.07")</f>
        <v>+11.07</v>
      </c>
      <c r="O97" s="1">
        <f ca="1">IFERROR(__xludf.DUMMYFUNCTION("""COMPUTED_VALUE"""),10)</f>
        <v>10</v>
      </c>
      <c r="P97" s="1">
        <f ca="1">IFERROR(__xludf.DUMMYFUNCTION("""COMPUTED_VALUE"""),110.8)</f>
        <v>110.8</v>
      </c>
      <c r="Q97" s="1">
        <f ca="1">IFERROR(__xludf.DUMMYFUNCTION("""COMPUTED_VALUE"""),20)</f>
        <v>20</v>
      </c>
      <c r="R97" s="1">
        <f ca="1">IFERROR(__xludf.DUMMYFUNCTION("""COMPUTED_VALUE"""),99.7)</f>
        <v>99.7</v>
      </c>
      <c r="S97" s="1">
        <f ca="1">IFERROR(__xludf.DUMMYFUNCTION("""COMPUTED_VALUE"""),8)</f>
        <v>8</v>
      </c>
      <c r="T97" s="1" t="str">
        <f ca="1">IFERROR(__xludf.DUMMYFUNCTION("""COMPUTED_VALUE"""),"+4.28")</f>
        <v>+4.28</v>
      </c>
      <c r="U97" s="1">
        <f ca="1">IFERROR(__xludf.DUMMYFUNCTION("""COMPUTED_VALUE"""),53)</f>
        <v>53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IFERROR(__xludf.DUMMYFUNCTION("""COMPUTED_VALUE"""),"Utah Valley")</f>
        <v>Utah Valley</v>
      </c>
      <c r="C98" s="1" t="str">
        <f ca="1">IFERROR(__xludf.DUMMYFUNCTION("""COMPUTED_VALUE"""),"WAC")</f>
        <v>WAC</v>
      </c>
      <c r="D98" s="1" t="str">
        <f ca="1">IFERROR(__xludf.DUMMYFUNCTION("""COMPUTED_VALUE"""),"23-11")</f>
        <v>23-11</v>
      </c>
      <c r="E98" s="1" t="str">
        <f ca="1">IFERROR(__xludf.DUMMYFUNCTION("""COMPUTED_VALUE"""),"+7.78")</f>
        <v>+7.78</v>
      </c>
      <c r="F98" s="1">
        <f ca="1">IFERROR(__xludf.DUMMYFUNCTION("""COMPUTED_VALUE"""),110.8)</f>
        <v>110.8</v>
      </c>
      <c r="G98" s="1">
        <f ca="1">IFERROR(__xludf.DUMMYFUNCTION("""COMPUTED_VALUE"""),73)</f>
        <v>73</v>
      </c>
      <c r="H98" s="1">
        <f ca="1">IFERROR(__xludf.DUMMYFUNCTION("""COMPUTED_VALUE"""),103)</f>
        <v>103</v>
      </c>
      <c r="I98" s="1">
        <f ca="1">IFERROR(__xludf.DUMMYFUNCTION("""COMPUTED_VALUE"""),131)</f>
        <v>131</v>
      </c>
      <c r="J98" s="1">
        <f ca="1">IFERROR(__xludf.DUMMYFUNCTION("""COMPUTED_VALUE"""),68.1)</f>
        <v>68.099999999999994</v>
      </c>
      <c r="K98" s="1">
        <f ca="1">IFERROR(__xludf.DUMMYFUNCTION("""COMPUTED_VALUE"""),182)</f>
        <v>182</v>
      </c>
      <c r="L98" s="1">
        <f ca="1">IFERROR(__xludf.DUMMYFUNCTION("""COMPUTED_VALUE"""),-0.006)</f>
        <v>-6.0000000000000001E-3</v>
      </c>
      <c r="M98" s="1">
        <f ca="1">IFERROR(__xludf.DUMMYFUNCTION("""COMPUTED_VALUE"""),190)</f>
        <v>190</v>
      </c>
      <c r="N98" s="1">
        <f ca="1">IFERROR(__xludf.DUMMYFUNCTION("""COMPUTED_VALUE"""),-1.94)</f>
        <v>-1.94</v>
      </c>
      <c r="O98" s="1">
        <f ca="1">IFERROR(__xludf.DUMMYFUNCTION("""COMPUTED_VALUE"""),184)</f>
        <v>184</v>
      </c>
      <c r="P98" s="1">
        <f ca="1">IFERROR(__xludf.DUMMYFUNCTION("""COMPUTED_VALUE"""),102.4)</f>
        <v>102.4</v>
      </c>
      <c r="Q98" s="1">
        <f ca="1">IFERROR(__xludf.DUMMYFUNCTION("""COMPUTED_VALUE"""),277)</f>
        <v>277</v>
      </c>
      <c r="R98" s="1">
        <f ca="1">IFERROR(__xludf.DUMMYFUNCTION("""COMPUTED_VALUE"""),104.4)</f>
        <v>104.4</v>
      </c>
      <c r="S98" s="1">
        <f ca="1">IFERROR(__xludf.DUMMYFUNCTION("""COMPUTED_VALUE"""),116)</f>
        <v>116</v>
      </c>
      <c r="T98" s="1" t="str">
        <f ca="1">IFERROR(__xludf.DUMMYFUNCTION("""COMPUTED_VALUE"""),"+1.28")</f>
        <v>+1.28</v>
      </c>
      <c r="U98" s="1">
        <f ca="1">IFERROR(__xludf.DUMMYFUNCTION("""COMPUTED_VALUE"""),123)</f>
        <v>123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IFERROR(__xludf.DUMMYFUNCTION("""COMPUTED_VALUE"""),"East Tennessee St.")</f>
        <v>East Tennessee St.</v>
      </c>
      <c r="C99" s="1" t="str">
        <f ca="1">IFERROR(__xludf.DUMMYFUNCTION("""COMPUTED_VALUE"""),"SC")</f>
        <v>SC</v>
      </c>
      <c r="D99" s="1" t="str">
        <f ca="1">IFERROR(__xludf.DUMMYFUNCTION("""COMPUTED_VALUE"""),"25-9")</f>
        <v>25-9</v>
      </c>
      <c r="E99" s="1" t="str">
        <f ca="1">IFERROR(__xludf.DUMMYFUNCTION("""COMPUTED_VALUE"""),"+7.49")</f>
        <v>+7.49</v>
      </c>
      <c r="F99" s="1">
        <f ca="1">IFERROR(__xludf.DUMMYFUNCTION("""COMPUTED_VALUE"""),105.3)</f>
        <v>105.3</v>
      </c>
      <c r="G99" s="1">
        <f ca="1">IFERROR(__xludf.DUMMYFUNCTION("""COMPUTED_VALUE"""),166)</f>
        <v>166</v>
      </c>
      <c r="H99" s="1">
        <f ca="1">IFERROR(__xludf.DUMMYFUNCTION("""COMPUTED_VALUE"""),97.8)</f>
        <v>97.8</v>
      </c>
      <c r="I99" s="1">
        <f ca="1">IFERROR(__xludf.DUMMYFUNCTION("""COMPUTED_VALUE"""),52)</f>
        <v>52</v>
      </c>
      <c r="J99" s="1">
        <f ca="1">IFERROR(__xludf.DUMMYFUNCTION("""COMPUTED_VALUE"""),67.6)</f>
        <v>67.599999999999994</v>
      </c>
      <c r="K99" s="1">
        <f ca="1">IFERROR(__xludf.DUMMYFUNCTION("""COMPUTED_VALUE"""),203)</f>
        <v>203</v>
      </c>
      <c r="L99" s="1">
        <f ca="1">IFERROR(__xludf.DUMMYFUNCTION("""COMPUTED_VALUE"""),0)</f>
        <v>0</v>
      </c>
      <c r="M99" s="1">
        <f ca="1">IFERROR(__xludf.DUMMYFUNCTION("""COMPUTED_VALUE"""),177)</f>
        <v>177</v>
      </c>
      <c r="N99" s="1">
        <f ca="1">IFERROR(__xludf.DUMMYFUNCTION("""COMPUTED_VALUE"""),-4.19)</f>
        <v>-4.1900000000000004</v>
      </c>
      <c r="O99" s="1">
        <f ca="1">IFERROR(__xludf.DUMMYFUNCTION("""COMPUTED_VALUE"""),262)</f>
        <v>262</v>
      </c>
      <c r="P99" s="1">
        <f ca="1">IFERROR(__xludf.DUMMYFUNCTION("""COMPUTED_VALUE"""),103.6)</f>
        <v>103.6</v>
      </c>
      <c r="Q99" s="1">
        <f ca="1">IFERROR(__xludf.DUMMYFUNCTION("""COMPUTED_VALUE"""),214)</f>
        <v>214</v>
      </c>
      <c r="R99" s="1">
        <f ca="1">IFERROR(__xludf.DUMMYFUNCTION("""COMPUTED_VALUE"""),107.7)</f>
        <v>107.7</v>
      </c>
      <c r="S99" s="1">
        <f ca="1">IFERROR(__xludf.DUMMYFUNCTION("""COMPUTED_VALUE"""),292)</f>
        <v>292</v>
      </c>
      <c r="T99" s="1">
        <f ca="1">IFERROR(__xludf.DUMMYFUNCTION("""COMPUTED_VALUE"""),-1.54)</f>
        <v>-1.54</v>
      </c>
      <c r="U99" s="1">
        <f ca="1">IFERROR(__xludf.DUMMYFUNCTION("""COMPUTED_VALUE"""),198)</f>
        <v>198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IFERROR(__xludf.DUMMYFUNCTION("""COMPUTED_VALUE"""),"Georgetown")</f>
        <v>Georgetown</v>
      </c>
      <c r="C100" s="1" t="str">
        <f ca="1">IFERROR(__xludf.DUMMYFUNCTION("""COMPUTED_VALUE"""),"BE")</f>
        <v>BE</v>
      </c>
      <c r="D100" s="1" t="str">
        <f ca="1">IFERROR(__xludf.DUMMYFUNCTION("""COMPUTED_VALUE"""),"15-15")</f>
        <v>15-15</v>
      </c>
      <c r="E100" s="1" t="str">
        <f ca="1">IFERROR(__xludf.DUMMYFUNCTION("""COMPUTED_VALUE"""),"+7.44")</f>
        <v>+7.44</v>
      </c>
      <c r="F100" s="1">
        <f ca="1">IFERROR(__xludf.DUMMYFUNCTION("""COMPUTED_VALUE"""),109.7)</f>
        <v>109.7</v>
      </c>
      <c r="G100" s="1">
        <f ca="1">IFERROR(__xludf.DUMMYFUNCTION("""COMPUTED_VALUE"""),84)</f>
        <v>84</v>
      </c>
      <c r="H100" s="1">
        <f ca="1">IFERROR(__xludf.DUMMYFUNCTION("""COMPUTED_VALUE"""),102.3)</f>
        <v>102.3</v>
      </c>
      <c r="I100" s="1">
        <f ca="1">IFERROR(__xludf.DUMMYFUNCTION("""COMPUTED_VALUE"""),119)</f>
        <v>119</v>
      </c>
      <c r="J100" s="1">
        <f ca="1">IFERROR(__xludf.DUMMYFUNCTION("""COMPUTED_VALUE"""),70.5)</f>
        <v>70.5</v>
      </c>
      <c r="K100" s="1">
        <f ca="1">IFERROR(__xludf.DUMMYFUNCTION("""COMPUTED_VALUE"""),65)</f>
        <v>65</v>
      </c>
      <c r="L100" s="1">
        <f ca="1">IFERROR(__xludf.DUMMYFUNCTION("""COMPUTED_VALUE"""),-0.046)</f>
        <v>-4.5999999999999999E-2</v>
      </c>
      <c r="M100" s="1">
        <f ca="1">IFERROR(__xludf.DUMMYFUNCTION("""COMPUTED_VALUE"""),285)</f>
        <v>285</v>
      </c>
      <c r="N100" s="1" t="str">
        <f ca="1">IFERROR(__xludf.DUMMYFUNCTION("""COMPUTED_VALUE"""),"+6.28")</f>
        <v>+6.28</v>
      </c>
      <c r="O100" s="1">
        <f ca="1">IFERROR(__xludf.DUMMYFUNCTION("""COMPUTED_VALUE"""),66)</f>
        <v>66</v>
      </c>
      <c r="P100" s="1">
        <f ca="1">IFERROR(__xludf.DUMMYFUNCTION("""COMPUTED_VALUE"""),108.4)</f>
        <v>108.4</v>
      </c>
      <c r="Q100" s="1">
        <f ca="1">IFERROR(__xludf.DUMMYFUNCTION("""COMPUTED_VALUE"""),67)</f>
        <v>67</v>
      </c>
      <c r="R100" s="1">
        <f ca="1">IFERROR(__xludf.DUMMYFUNCTION("""COMPUTED_VALUE"""),102.1)</f>
        <v>102.1</v>
      </c>
      <c r="S100" s="1">
        <f ca="1">IFERROR(__xludf.DUMMYFUNCTION("""COMPUTED_VALUE"""),69)</f>
        <v>69</v>
      </c>
      <c r="T100" s="1">
        <f ca="1">IFERROR(__xludf.DUMMYFUNCTION("""COMPUTED_VALUE"""),-17.81)</f>
        <v>-17.809999999999999</v>
      </c>
      <c r="U100" s="1">
        <f ca="1">IFERROR(__xludf.DUMMYFUNCTION("""COMPUTED_VALUE"""),351)</f>
        <v>351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IFERROR(__xludf.DUMMYFUNCTION("""COMPUTED_VALUE"""),"Furman")</f>
        <v>Furman</v>
      </c>
      <c r="C101" s="1" t="str">
        <f ca="1">IFERROR(__xludf.DUMMYFUNCTION("""COMPUTED_VALUE"""),"SC")</f>
        <v>SC</v>
      </c>
      <c r="D101" s="1" t="str">
        <f ca="1">IFERROR(__xludf.DUMMYFUNCTION("""COMPUTED_VALUE"""),"23-10")</f>
        <v>23-10</v>
      </c>
      <c r="E101" s="1" t="str">
        <f ca="1">IFERROR(__xludf.DUMMYFUNCTION("""COMPUTED_VALUE"""),"+7.41")</f>
        <v>+7.41</v>
      </c>
      <c r="F101" s="1">
        <f ca="1">IFERROR(__xludf.DUMMYFUNCTION("""COMPUTED_VALUE"""),108.9)</f>
        <v>108.9</v>
      </c>
      <c r="G101" s="1">
        <f ca="1">IFERROR(__xludf.DUMMYFUNCTION("""COMPUTED_VALUE"""),99)</f>
        <v>99</v>
      </c>
      <c r="H101" s="1">
        <f ca="1">IFERROR(__xludf.DUMMYFUNCTION("""COMPUTED_VALUE"""),101.5)</f>
        <v>101.5</v>
      </c>
      <c r="I101" s="1">
        <f ca="1">IFERROR(__xludf.DUMMYFUNCTION("""COMPUTED_VALUE"""),104)</f>
        <v>104</v>
      </c>
      <c r="J101" s="1">
        <f ca="1">IFERROR(__xludf.DUMMYFUNCTION("""COMPUTED_VALUE"""),68.6)</f>
        <v>68.599999999999994</v>
      </c>
      <c r="K101" s="1">
        <f ca="1">IFERROR(__xludf.DUMMYFUNCTION("""COMPUTED_VALUE"""),156)</f>
        <v>156</v>
      </c>
      <c r="L101" s="1">
        <f ca="1">IFERROR(__xludf.DUMMYFUNCTION("""COMPUTED_VALUE"""),-0.005)</f>
        <v>-5.0000000000000001E-3</v>
      </c>
      <c r="M101" s="1">
        <f ca="1">IFERROR(__xludf.DUMMYFUNCTION("""COMPUTED_VALUE"""),188)</f>
        <v>188</v>
      </c>
      <c r="N101" s="1">
        <f ca="1">IFERROR(__xludf.DUMMYFUNCTION("""COMPUTED_VALUE"""),-4.53)</f>
        <v>-4.53</v>
      </c>
      <c r="O101" s="1">
        <f ca="1">IFERROR(__xludf.DUMMYFUNCTION("""COMPUTED_VALUE"""),278)</f>
        <v>278</v>
      </c>
      <c r="P101" s="1">
        <f ca="1">IFERROR(__xludf.DUMMYFUNCTION("""COMPUTED_VALUE"""),103.1)</f>
        <v>103.1</v>
      </c>
      <c r="Q101" s="1">
        <f ca="1">IFERROR(__xludf.DUMMYFUNCTION("""COMPUTED_VALUE"""),246)</f>
        <v>246</v>
      </c>
      <c r="R101" s="1">
        <f ca="1">IFERROR(__xludf.DUMMYFUNCTION("""COMPUTED_VALUE"""),107.6)</f>
        <v>107.6</v>
      </c>
      <c r="S101" s="1">
        <f ca="1">IFERROR(__xludf.DUMMYFUNCTION("""COMPUTED_VALUE"""),282)</f>
        <v>282</v>
      </c>
      <c r="T101" s="1">
        <f ca="1">IFERROR(__xludf.DUMMYFUNCTION("""COMPUTED_VALUE"""),-0.73)</f>
        <v>-0.73</v>
      </c>
      <c r="U101" s="1">
        <f ca="1">IFERROR(__xludf.DUMMYFUNCTION("""COMPUTED_VALUE"""),176)</f>
        <v>176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IFERROR(__xludf.DUMMYFUNCTION("""COMPUTED_VALUE"""),"Northeastern")</f>
        <v>Northeastern</v>
      </c>
      <c r="C102" s="1" t="str">
        <f ca="1">IFERROR(__xludf.DUMMYFUNCTION("""COMPUTED_VALUE"""),"CAA")</f>
        <v>CAA</v>
      </c>
      <c r="D102" s="1" t="str">
        <f ca="1">IFERROR(__xludf.DUMMYFUNCTION("""COMPUTED_VALUE"""),"23-10")</f>
        <v>23-10</v>
      </c>
      <c r="E102" s="1" t="str">
        <f ca="1">IFERROR(__xludf.DUMMYFUNCTION("""COMPUTED_VALUE"""),"+7.34")</f>
        <v>+7.34</v>
      </c>
      <c r="F102" s="1">
        <f ca="1">IFERROR(__xludf.DUMMYFUNCTION("""COMPUTED_VALUE"""),107.8)</f>
        <v>107.8</v>
      </c>
      <c r="G102" s="1">
        <f ca="1">IFERROR(__xludf.DUMMYFUNCTION("""COMPUTED_VALUE"""),117)</f>
        <v>117</v>
      </c>
      <c r="H102" s="1">
        <f ca="1">IFERROR(__xludf.DUMMYFUNCTION("""COMPUTED_VALUE"""),100.5)</f>
        <v>100.5</v>
      </c>
      <c r="I102" s="1">
        <f ca="1">IFERROR(__xludf.DUMMYFUNCTION("""COMPUTED_VALUE"""),86)</f>
        <v>86</v>
      </c>
      <c r="J102" s="1">
        <f ca="1">IFERROR(__xludf.DUMMYFUNCTION("""COMPUTED_VALUE"""),67)</f>
        <v>67</v>
      </c>
      <c r="K102" s="1">
        <f ca="1">IFERROR(__xludf.DUMMYFUNCTION("""COMPUTED_VALUE"""),237)</f>
        <v>237</v>
      </c>
      <c r="L102" s="1" t="str">
        <f ca="1">IFERROR(__xludf.DUMMYFUNCTION("""COMPUTED_VALUE"""),"+.030")</f>
        <v>+.030</v>
      </c>
      <c r="M102" s="1">
        <f ca="1">IFERROR(__xludf.DUMMYFUNCTION("""COMPUTED_VALUE"""),99)</f>
        <v>99</v>
      </c>
      <c r="N102" s="1">
        <f ca="1">IFERROR(__xludf.DUMMYFUNCTION("""COMPUTED_VALUE"""),-1.27)</f>
        <v>-1.27</v>
      </c>
      <c r="O102" s="1">
        <f ca="1">IFERROR(__xludf.DUMMYFUNCTION("""COMPUTED_VALUE"""),169)</f>
        <v>169</v>
      </c>
      <c r="P102" s="1">
        <f ca="1">IFERROR(__xludf.DUMMYFUNCTION("""COMPUTED_VALUE"""),106.1)</f>
        <v>106.1</v>
      </c>
      <c r="Q102" s="1">
        <f ca="1">IFERROR(__xludf.DUMMYFUNCTION("""COMPUTED_VALUE"""),105)</f>
        <v>105</v>
      </c>
      <c r="R102" s="1">
        <f ca="1">IFERROR(__xludf.DUMMYFUNCTION("""COMPUTED_VALUE"""),107.4)</f>
        <v>107.4</v>
      </c>
      <c r="S102" s="1">
        <f ca="1">IFERROR(__xludf.DUMMYFUNCTION("""COMPUTED_VALUE"""),273)</f>
        <v>273</v>
      </c>
      <c r="T102" s="1" t="str">
        <f ca="1">IFERROR(__xludf.DUMMYFUNCTION("""COMPUTED_VALUE"""),"+4.09")</f>
        <v>+4.09</v>
      </c>
      <c r="U102" s="1">
        <f ca="1">IFERROR(__xludf.DUMMYFUNCTION("""COMPUTED_VALUE"""),59)</f>
        <v>59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IFERROR(__xludf.DUMMYFUNCTION("""COMPUTED_VALUE"""),"Bucknell14")</f>
        <v>Bucknell14</v>
      </c>
      <c r="C103" s="1" t="str">
        <f ca="1">IFERROR(__xludf.DUMMYFUNCTION("""COMPUTED_VALUE"""),"Pat")</f>
        <v>Pat</v>
      </c>
      <c r="D103" s="1" t="str">
        <f ca="1">IFERROR(__xludf.DUMMYFUNCTION("""COMPUTED_VALUE"""),"25-10")</f>
        <v>25-10</v>
      </c>
      <c r="E103" s="1" t="str">
        <f ca="1">IFERROR(__xludf.DUMMYFUNCTION("""COMPUTED_VALUE"""),"+7.31")</f>
        <v>+7.31</v>
      </c>
      <c r="F103" s="1">
        <f ca="1">IFERROR(__xludf.DUMMYFUNCTION("""COMPUTED_VALUE"""),109.5)</f>
        <v>109.5</v>
      </c>
      <c r="G103" s="1">
        <f ca="1">IFERROR(__xludf.DUMMYFUNCTION("""COMPUTED_VALUE"""),90)</f>
        <v>90</v>
      </c>
      <c r="H103" s="1">
        <f ca="1">IFERROR(__xludf.DUMMYFUNCTION("""COMPUTED_VALUE"""),102.2)</f>
        <v>102.2</v>
      </c>
      <c r="I103" s="1">
        <f ca="1">IFERROR(__xludf.DUMMYFUNCTION("""COMPUTED_VALUE"""),116)</f>
        <v>116</v>
      </c>
      <c r="J103" s="1">
        <f ca="1">IFERROR(__xludf.DUMMYFUNCTION("""COMPUTED_VALUE"""),71.4)</f>
        <v>71.400000000000006</v>
      </c>
      <c r="K103" s="1">
        <f ca="1">IFERROR(__xludf.DUMMYFUNCTION("""COMPUTED_VALUE"""),40)</f>
        <v>40</v>
      </c>
      <c r="L103" s="1" t="str">
        <f ca="1">IFERROR(__xludf.DUMMYFUNCTION("""COMPUTED_VALUE"""),"+.006")</f>
        <v>+.006</v>
      </c>
      <c r="M103" s="1">
        <f ca="1">IFERROR(__xludf.DUMMYFUNCTION("""COMPUTED_VALUE"""),160)</f>
        <v>160</v>
      </c>
      <c r="N103" s="1">
        <f ca="1">IFERROR(__xludf.DUMMYFUNCTION("""COMPUTED_VALUE"""),-4.35)</f>
        <v>-4.3499999999999996</v>
      </c>
      <c r="O103" s="1">
        <f ca="1">IFERROR(__xludf.DUMMYFUNCTION("""COMPUTED_VALUE"""),268)</f>
        <v>268</v>
      </c>
      <c r="P103" s="1">
        <f ca="1">IFERROR(__xludf.DUMMYFUNCTION("""COMPUTED_VALUE"""),102.8)</f>
        <v>102.8</v>
      </c>
      <c r="Q103" s="1">
        <f ca="1">IFERROR(__xludf.DUMMYFUNCTION("""COMPUTED_VALUE"""),260)</f>
        <v>260</v>
      </c>
      <c r="R103" s="1">
        <f ca="1">IFERROR(__xludf.DUMMYFUNCTION("""COMPUTED_VALUE"""),107.1)</f>
        <v>107.1</v>
      </c>
      <c r="S103" s="1">
        <f ca="1">IFERROR(__xludf.DUMMYFUNCTION("""COMPUTED_VALUE"""),264)</f>
        <v>264</v>
      </c>
      <c r="T103" s="1" t="str">
        <f ca="1">IFERROR(__xludf.DUMMYFUNCTION("""COMPUTED_VALUE"""),"+5.79")</f>
        <v>+5.79</v>
      </c>
      <c r="U103" s="1">
        <f ca="1">IFERROR(__xludf.DUMMYFUNCTION("""COMPUTED_VALUE"""),31)</f>
        <v>31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IFERROR(__xludf.DUMMYFUNCTION("""COMPUTED_VALUE"""),"Washington5")</f>
        <v>Washington5</v>
      </c>
      <c r="C104" s="1" t="str">
        <f ca="1">IFERROR(__xludf.DUMMYFUNCTION("""COMPUTED_VALUE"""),"P12")</f>
        <v>P12</v>
      </c>
      <c r="D104" s="1" t="str">
        <f ca="1">IFERROR(__xludf.DUMMYFUNCTION("""COMPUTED_VALUE"""),"21-13")</f>
        <v>21-13</v>
      </c>
      <c r="E104" s="1" t="str">
        <f ca="1">IFERROR(__xludf.DUMMYFUNCTION("""COMPUTED_VALUE"""),"+7.09")</f>
        <v>+7.09</v>
      </c>
      <c r="F104" s="1">
        <f ca="1">IFERROR(__xludf.DUMMYFUNCTION("""COMPUTED_VALUE"""),106.6)</f>
        <v>106.6</v>
      </c>
      <c r="G104" s="1">
        <f ca="1">IFERROR(__xludf.DUMMYFUNCTION("""COMPUTED_VALUE"""),140)</f>
        <v>140</v>
      </c>
      <c r="H104" s="1">
        <f ca="1">IFERROR(__xludf.DUMMYFUNCTION("""COMPUTED_VALUE"""),99.5)</f>
        <v>99.5</v>
      </c>
      <c r="I104" s="1">
        <f ca="1">IFERROR(__xludf.DUMMYFUNCTION("""COMPUTED_VALUE"""),73)</f>
        <v>73</v>
      </c>
      <c r="J104" s="1">
        <f ca="1">IFERROR(__xludf.DUMMYFUNCTION("""COMPUTED_VALUE"""),69.8)</f>
        <v>69.8</v>
      </c>
      <c r="K104" s="1">
        <f ca="1">IFERROR(__xludf.DUMMYFUNCTION("""COMPUTED_VALUE"""),88)</f>
        <v>88</v>
      </c>
      <c r="L104" s="1" t="str">
        <f ca="1">IFERROR(__xludf.DUMMYFUNCTION("""COMPUTED_VALUE"""),"+.075")</f>
        <v>+.075</v>
      </c>
      <c r="M104" s="1">
        <f ca="1">IFERROR(__xludf.DUMMYFUNCTION("""COMPUTED_VALUE"""),25)</f>
        <v>25</v>
      </c>
      <c r="N104" s="1" t="str">
        <f ca="1">IFERROR(__xludf.DUMMYFUNCTION("""COMPUTED_VALUE"""),"+4.75")</f>
        <v>+4.75</v>
      </c>
      <c r="O104" s="1">
        <f ca="1">IFERROR(__xludf.DUMMYFUNCTION("""COMPUTED_VALUE"""),77)</f>
        <v>77</v>
      </c>
      <c r="P104" s="1">
        <f ca="1">IFERROR(__xludf.DUMMYFUNCTION("""COMPUTED_VALUE"""),108.3)</f>
        <v>108.3</v>
      </c>
      <c r="Q104" s="1">
        <f ca="1">IFERROR(__xludf.DUMMYFUNCTION("""COMPUTED_VALUE"""),68)</f>
        <v>68</v>
      </c>
      <c r="R104" s="1">
        <f ca="1">IFERROR(__xludf.DUMMYFUNCTION("""COMPUTED_VALUE"""),103.5)</f>
        <v>103.5</v>
      </c>
      <c r="S104" s="1">
        <f ca="1">IFERROR(__xludf.DUMMYFUNCTION("""COMPUTED_VALUE"""),93)</f>
        <v>93</v>
      </c>
      <c r="T104" s="1">
        <f ca="1">IFERROR(__xludf.DUMMYFUNCTION("""COMPUTED_VALUE"""),-0.46)</f>
        <v>-0.46</v>
      </c>
      <c r="U104" s="1">
        <f ca="1">IFERROR(__xludf.DUMMYFUNCTION("""COMPUTED_VALUE"""),169)</f>
        <v>169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IFERROR(__xludf.DUMMYFUNCTION("""COMPUTED_VALUE"""),"DePaul")</f>
        <v>DePaul</v>
      </c>
      <c r="C105" s="1" t="str">
        <f ca="1">IFERROR(__xludf.DUMMYFUNCTION("""COMPUTED_VALUE"""),"BE")</f>
        <v>BE</v>
      </c>
      <c r="D105" s="2">
        <f ca="1">IFERROR(__xludf.DUMMYFUNCTION("""COMPUTED_VALUE"""),44885)</f>
        <v>44885</v>
      </c>
      <c r="E105" s="1" t="str">
        <f ca="1">IFERROR(__xludf.DUMMYFUNCTION("""COMPUTED_VALUE"""),"+7.03")</f>
        <v>+7.03</v>
      </c>
      <c r="F105" s="1">
        <f ca="1">IFERROR(__xludf.DUMMYFUNCTION("""COMPUTED_VALUE"""),104.5)</f>
        <v>104.5</v>
      </c>
      <c r="G105" s="1">
        <f ca="1">IFERROR(__xludf.DUMMYFUNCTION("""COMPUTED_VALUE"""),183)</f>
        <v>183</v>
      </c>
      <c r="H105" s="1">
        <f ca="1">IFERROR(__xludf.DUMMYFUNCTION("""COMPUTED_VALUE"""),97.5)</f>
        <v>97.5</v>
      </c>
      <c r="I105" s="1">
        <f ca="1">IFERROR(__xludf.DUMMYFUNCTION("""COMPUTED_VALUE"""),49)</f>
        <v>49</v>
      </c>
      <c r="J105" s="1">
        <f ca="1">IFERROR(__xludf.DUMMYFUNCTION("""COMPUTED_VALUE"""),69.8)</f>
        <v>69.8</v>
      </c>
      <c r="K105" s="1">
        <f ca="1">IFERROR(__xludf.DUMMYFUNCTION("""COMPUTED_VALUE"""),89)</f>
        <v>89</v>
      </c>
      <c r="L105" s="1">
        <f ca="1">IFERROR(__xludf.DUMMYFUNCTION("""COMPUTED_VALUE"""),-0.103)</f>
        <v>-0.10299999999999999</v>
      </c>
      <c r="M105" s="1">
        <f ca="1">IFERROR(__xludf.DUMMYFUNCTION("""COMPUTED_VALUE"""),348)</f>
        <v>348</v>
      </c>
      <c r="N105" s="1" t="str">
        <f ca="1">IFERROR(__xludf.DUMMYFUNCTION("""COMPUTED_VALUE"""),"+9.79")</f>
        <v>+9.79</v>
      </c>
      <c r="O105" s="1">
        <f ca="1">IFERROR(__xludf.DUMMYFUNCTION("""COMPUTED_VALUE"""),28)</f>
        <v>28</v>
      </c>
      <c r="P105" s="1">
        <f ca="1">IFERROR(__xludf.DUMMYFUNCTION("""COMPUTED_VALUE"""),111.2)</f>
        <v>111.2</v>
      </c>
      <c r="Q105" s="1">
        <f ca="1">IFERROR(__xludf.DUMMYFUNCTION("""COMPUTED_VALUE"""),12)</f>
        <v>12</v>
      </c>
      <c r="R105" s="1">
        <f ca="1">IFERROR(__xludf.DUMMYFUNCTION("""COMPUTED_VALUE"""),101.5)</f>
        <v>101.5</v>
      </c>
      <c r="S105" s="1">
        <f ca="1">IFERROR(__xludf.DUMMYFUNCTION("""COMPUTED_VALUE"""),56)</f>
        <v>56</v>
      </c>
      <c r="T105" s="1">
        <f ca="1">IFERROR(__xludf.DUMMYFUNCTION("""COMPUTED_VALUE"""),-4.14)</f>
        <v>-4.1399999999999997</v>
      </c>
      <c r="U105" s="1">
        <f ca="1">IFERROR(__xludf.DUMMYFUNCTION("""COMPUTED_VALUE"""),291)</f>
        <v>291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IFERROR(__xludf.DUMMYFUNCTION("""COMPUTED_VALUE"""),"Oregon St.")</f>
        <v>Oregon St.</v>
      </c>
      <c r="C106" s="1" t="str">
        <f ca="1">IFERROR(__xludf.DUMMYFUNCTION("""COMPUTED_VALUE"""),"P12")</f>
        <v>P12</v>
      </c>
      <c r="D106" s="1" t="str">
        <f ca="1">IFERROR(__xludf.DUMMYFUNCTION("""COMPUTED_VALUE"""),"16-16")</f>
        <v>16-16</v>
      </c>
      <c r="E106" s="1" t="str">
        <f ca="1">IFERROR(__xludf.DUMMYFUNCTION("""COMPUTED_VALUE"""),"+6.99")</f>
        <v>+6.99</v>
      </c>
      <c r="F106" s="1">
        <f ca="1">IFERROR(__xludf.DUMMYFUNCTION("""COMPUTED_VALUE"""),108.2)</f>
        <v>108.2</v>
      </c>
      <c r="G106" s="1">
        <f ca="1">IFERROR(__xludf.DUMMYFUNCTION("""COMPUTED_VALUE"""),114)</f>
        <v>114</v>
      </c>
      <c r="H106" s="1">
        <f ca="1">IFERROR(__xludf.DUMMYFUNCTION("""COMPUTED_VALUE"""),101.3)</f>
        <v>101.3</v>
      </c>
      <c r="I106" s="1">
        <f ca="1">IFERROR(__xludf.DUMMYFUNCTION("""COMPUTED_VALUE"""),102)</f>
        <v>102</v>
      </c>
      <c r="J106" s="1">
        <f ca="1">IFERROR(__xludf.DUMMYFUNCTION("""COMPUTED_VALUE"""),65.5)</f>
        <v>65.5</v>
      </c>
      <c r="K106" s="1">
        <f ca="1">IFERROR(__xludf.DUMMYFUNCTION("""COMPUTED_VALUE"""),306)</f>
        <v>306</v>
      </c>
      <c r="L106" s="1">
        <f ca="1">IFERROR(__xludf.DUMMYFUNCTION("""COMPUTED_VALUE"""),-0.083)</f>
        <v>-8.3000000000000004E-2</v>
      </c>
      <c r="M106" s="1">
        <f ca="1">IFERROR(__xludf.DUMMYFUNCTION("""COMPUTED_VALUE"""),339)</f>
        <v>339</v>
      </c>
      <c r="N106" s="1" t="str">
        <f ca="1">IFERROR(__xludf.DUMMYFUNCTION("""COMPUTED_VALUE"""),"+3.02")</f>
        <v>+3.02</v>
      </c>
      <c r="O106" s="1">
        <f ca="1">IFERROR(__xludf.DUMMYFUNCTION("""COMPUTED_VALUE"""),91)</f>
        <v>91</v>
      </c>
      <c r="P106" s="1">
        <f ca="1">IFERROR(__xludf.DUMMYFUNCTION("""COMPUTED_VALUE"""),107.3)</f>
        <v>107.3</v>
      </c>
      <c r="Q106" s="1">
        <f ca="1">IFERROR(__xludf.DUMMYFUNCTION("""COMPUTED_VALUE"""),78)</f>
        <v>78</v>
      </c>
      <c r="R106" s="1">
        <f ca="1">IFERROR(__xludf.DUMMYFUNCTION("""COMPUTED_VALUE"""),104.3)</f>
        <v>104.3</v>
      </c>
      <c r="S106" s="1">
        <f ca="1">IFERROR(__xludf.DUMMYFUNCTION("""COMPUTED_VALUE"""),114)</f>
        <v>114</v>
      </c>
      <c r="T106" s="1">
        <f ca="1">IFERROR(__xludf.DUMMYFUNCTION("""COMPUTED_VALUE"""),-7.34)</f>
        <v>-7.34</v>
      </c>
      <c r="U106" s="1">
        <f ca="1">IFERROR(__xludf.DUMMYFUNCTION("""COMPUTED_VALUE"""),336)</f>
        <v>336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IFERROR(__xludf.DUMMYFUNCTION("""COMPUTED_VALUE"""),"Georgia St.15")</f>
        <v>Georgia St.15</v>
      </c>
      <c r="C107" s="1" t="str">
        <f ca="1">IFERROR(__xludf.DUMMYFUNCTION("""COMPUTED_VALUE"""),"SB")</f>
        <v>SB</v>
      </c>
      <c r="D107" s="1" t="str">
        <f ca="1">IFERROR(__xludf.DUMMYFUNCTION("""COMPUTED_VALUE"""),"24-11")</f>
        <v>24-11</v>
      </c>
      <c r="E107" s="1" t="str">
        <f ca="1">IFERROR(__xludf.DUMMYFUNCTION("""COMPUTED_VALUE"""),"+6.92")</f>
        <v>+6.92</v>
      </c>
      <c r="F107" s="1">
        <f ca="1">IFERROR(__xludf.DUMMYFUNCTION("""COMPUTED_VALUE"""),108.8)</f>
        <v>108.8</v>
      </c>
      <c r="G107" s="1">
        <f ca="1">IFERROR(__xludf.DUMMYFUNCTION("""COMPUTED_VALUE"""),102)</f>
        <v>102</v>
      </c>
      <c r="H107" s="1">
        <f ca="1">IFERROR(__xludf.DUMMYFUNCTION("""COMPUTED_VALUE"""),101.9)</f>
        <v>101.9</v>
      </c>
      <c r="I107" s="1">
        <f ca="1">IFERROR(__xludf.DUMMYFUNCTION("""COMPUTED_VALUE"""),110)</f>
        <v>110</v>
      </c>
      <c r="J107" s="1">
        <f ca="1">IFERROR(__xludf.DUMMYFUNCTION("""COMPUTED_VALUE"""),66.8)</f>
        <v>66.8</v>
      </c>
      <c r="K107" s="1">
        <f ca="1">IFERROR(__xludf.DUMMYFUNCTION("""COMPUTED_VALUE"""),246)</f>
        <v>246</v>
      </c>
      <c r="L107" s="1">
        <f ca="1">IFERROR(__xludf.DUMMYFUNCTION("""COMPUTED_VALUE"""),-0.015)</f>
        <v>-1.4999999999999999E-2</v>
      </c>
      <c r="M107" s="1">
        <f ca="1">IFERROR(__xludf.DUMMYFUNCTION("""COMPUTED_VALUE"""),218)</f>
        <v>218</v>
      </c>
      <c r="N107" s="1">
        <f ca="1">IFERROR(__xludf.DUMMYFUNCTION("""COMPUTED_VALUE"""),-2.51)</f>
        <v>-2.5099999999999998</v>
      </c>
      <c r="O107" s="1">
        <f ca="1">IFERROR(__xludf.DUMMYFUNCTION("""COMPUTED_VALUE"""),207)</f>
        <v>207</v>
      </c>
      <c r="P107" s="1">
        <f ca="1">IFERROR(__xludf.DUMMYFUNCTION("""COMPUTED_VALUE"""),103.4)</f>
        <v>103.4</v>
      </c>
      <c r="Q107" s="1">
        <f ca="1">IFERROR(__xludf.DUMMYFUNCTION("""COMPUTED_VALUE"""),229)</f>
        <v>229</v>
      </c>
      <c r="R107" s="1">
        <f ca="1">IFERROR(__xludf.DUMMYFUNCTION("""COMPUTED_VALUE"""),105.9)</f>
        <v>105.9</v>
      </c>
      <c r="S107" s="1">
        <f ca="1">IFERROR(__xludf.DUMMYFUNCTION("""COMPUTED_VALUE"""),186)</f>
        <v>186</v>
      </c>
      <c r="T107" s="1">
        <f ca="1">IFERROR(__xludf.DUMMYFUNCTION("""COMPUTED_VALUE"""),-3.22)</f>
        <v>-3.22</v>
      </c>
      <c r="U107" s="1">
        <f ca="1">IFERROR(__xludf.DUMMYFUNCTION("""COMPUTED_VALUE"""),263)</f>
        <v>263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IFERROR(__xludf.DUMMYFUNCTION("""COMPUTED_VALUE"""),"Illinois")</f>
        <v>Illinois</v>
      </c>
      <c r="C108" s="1" t="str">
        <f ca="1">IFERROR(__xludf.DUMMYFUNCTION("""COMPUTED_VALUE"""),"B10")</f>
        <v>B10</v>
      </c>
      <c r="D108" s="1" t="str">
        <f ca="1">IFERROR(__xludf.DUMMYFUNCTION("""COMPUTED_VALUE"""),"14-18")</f>
        <v>14-18</v>
      </c>
      <c r="E108" s="1" t="str">
        <f ca="1">IFERROR(__xludf.DUMMYFUNCTION("""COMPUTED_VALUE"""),"+6.67")</f>
        <v>+6.67</v>
      </c>
      <c r="F108" s="1">
        <f ca="1">IFERROR(__xludf.DUMMYFUNCTION("""COMPUTED_VALUE"""),109.6)</f>
        <v>109.6</v>
      </c>
      <c r="G108" s="1">
        <f ca="1">IFERROR(__xludf.DUMMYFUNCTION("""COMPUTED_VALUE"""),86)</f>
        <v>86</v>
      </c>
      <c r="H108" s="1">
        <f ca="1">IFERROR(__xludf.DUMMYFUNCTION("""COMPUTED_VALUE"""),103)</f>
        <v>103</v>
      </c>
      <c r="I108" s="1">
        <f ca="1">IFERROR(__xludf.DUMMYFUNCTION("""COMPUTED_VALUE"""),129)</f>
        <v>129</v>
      </c>
      <c r="J108" s="1">
        <f ca="1">IFERROR(__xludf.DUMMYFUNCTION("""COMPUTED_VALUE"""),69.9)</f>
        <v>69.900000000000006</v>
      </c>
      <c r="K108" s="1">
        <f ca="1">IFERROR(__xludf.DUMMYFUNCTION("""COMPUTED_VALUE"""),81)</f>
        <v>81</v>
      </c>
      <c r="L108" s="1">
        <f ca="1">IFERROR(__xludf.DUMMYFUNCTION("""COMPUTED_VALUE"""),-0.093)</f>
        <v>-9.2999999999999999E-2</v>
      </c>
      <c r="M108" s="1">
        <f ca="1">IFERROR(__xludf.DUMMYFUNCTION("""COMPUTED_VALUE"""),343)</f>
        <v>343</v>
      </c>
      <c r="N108" s="1" t="str">
        <f ca="1">IFERROR(__xludf.DUMMYFUNCTION("""COMPUTED_VALUE"""),"+7.32")</f>
        <v>+7.32</v>
      </c>
      <c r="O108" s="1">
        <f ca="1">IFERROR(__xludf.DUMMYFUNCTION("""COMPUTED_VALUE"""),58)</f>
        <v>58</v>
      </c>
      <c r="P108" s="1">
        <f ca="1">IFERROR(__xludf.DUMMYFUNCTION("""COMPUTED_VALUE"""),108.1)</f>
        <v>108.1</v>
      </c>
      <c r="Q108" s="1">
        <f ca="1">IFERROR(__xludf.DUMMYFUNCTION("""COMPUTED_VALUE"""),71)</f>
        <v>71</v>
      </c>
      <c r="R108" s="1">
        <f ca="1">IFERROR(__xludf.DUMMYFUNCTION("""COMPUTED_VALUE"""),100.8)</f>
        <v>100.8</v>
      </c>
      <c r="S108" s="1">
        <f ca="1">IFERROR(__xludf.DUMMYFUNCTION("""COMPUTED_VALUE"""),35)</f>
        <v>35</v>
      </c>
      <c r="T108" s="1">
        <f ca="1">IFERROR(__xludf.DUMMYFUNCTION("""COMPUTED_VALUE"""),-3.19)</f>
        <v>-3.19</v>
      </c>
      <c r="U108" s="1">
        <f ca="1">IFERROR(__xludf.DUMMYFUNCTION("""COMPUTED_VALUE"""),260)</f>
        <v>260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IFERROR(__xludf.DUMMYFUNCTION("""COMPUTED_VALUE"""),"Iowa St.")</f>
        <v>Iowa St.</v>
      </c>
      <c r="C109" s="1" t="str">
        <f ca="1">IFERROR(__xludf.DUMMYFUNCTION("""COMPUTED_VALUE"""),"B12")</f>
        <v>B12</v>
      </c>
      <c r="D109" s="1" t="str">
        <f ca="1">IFERROR(__xludf.DUMMYFUNCTION("""COMPUTED_VALUE"""),"13-18")</f>
        <v>13-18</v>
      </c>
      <c r="E109" s="1" t="str">
        <f ca="1">IFERROR(__xludf.DUMMYFUNCTION("""COMPUTED_VALUE"""),"+6.58")</f>
        <v>+6.58</v>
      </c>
      <c r="F109" s="1">
        <f ca="1">IFERROR(__xludf.DUMMYFUNCTION("""COMPUTED_VALUE"""),109.9)</f>
        <v>109.9</v>
      </c>
      <c r="G109" s="1">
        <f ca="1">IFERROR(__xludf.DUMMYFUNCTION("""COMPUTED_VALUE"""),81)</f>
        <v>81</v>
      </c>
      <c r="H109" s="1">
        <f ca="1">IFERROR(__xludf.DUMMYFUNCTION("""COMPUTED_VALUE"""),103.4)</f>
        <v>103.4</v>
      </c>
      <c r="I109" s="1">
        <f ca="1">IFERROR(__xludf.DUMMYFUNCTION("""COMPUTED_VALUE"""),143)</f>
        <v>143</v>
      </c>
      <c r="J109" s="1">
        <f ca="1">IFERROR(__xludf.DUMMYFUNCTION("""COMPUTED_VALUE"""),68.9)</f>
        <v>68.900000000000006</v>
      </c>
      <c r="K109" s="1">
        <f ca="1">IFERROR(__xludf.DUMMYFUNCTION("""COMPUTED_VALUE"""),130)</f>
        <v>130</v>
      </c>
      <c r="L109" s="1">
        <f ca="1">IFERROR(__xludf.DUMMYFUNCTION("""COMPUTED_VALUE"""),-0.009)</f>
        <v>-8.9999999999999993E-3</v>
      </c>
      <c r="M109" s="1">
        <f ca="1">IFERROR(__xludf.DUMMYFUNCTION("""COMPUTED_VALUE"""),200)</f>
        <v>200</v>
      </c>
      <c r="N109" s="1" t="str">
        <f ca="1">IFERROR(__xludf.DUMMYFUNCTION("""COMPUTED_VALUE"""),"+10.71")</f>
        <v>+10.71</v>
      </c>
      <c r="O109" s="1">
        <f ca="1">IFERROR(__xludf.DUMMYFUNCTION("""COMPUTED_VALUE"""),14)</f>
        <v>14</v>
      </c>
      <c r="P109" s="1">
        <f ca="1">IFERROR(__xludf.DUMMYFUNCTION("""COMPUTED_VALUE"""),110.5)</f>
        <v>110.5</v>
      </c>
      <c r="Q109" s="1">
        <f ca="1">IFERROR(__xludf.DUMMYFUNCTION("""COMPUTED_VALUE"""),29)</f>
        <v>29</v>
      </c>
      <c r="R109" s="1">
        <f ca="1">IFERROR(__xludf.DUMMYFUNCTION("""COMPUTED_VALUE"""),99.7)</f>
        <v>99.7</v>
      </c>
      <c r="S109" s="1">
        <f ca="1">IFERROR(__xludf.DUMMYFUNCTION("""COMPUTED_VALUE"""),9)</f>
        <v>9</v>
      </c>
      <c r="T109" s="1">
        <f ca="1">IFERROR(__xludf.DUMMYFUNCTION("""COMPUTED_VALUE"""),-3.06)</f>
        <v>-3.06</v>
      </c>
      <c r="U109" s="1">
        <f ca="1">IFERROR(__xludf.DUMMYFUNCTION("""COMPUTED_VALUE"""),251)</f>
        <v>251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IFERROR(__xludf.DUMMYFUNCTION("""COMPUTED_VALUE"""),"Northern Colorado")</f>
        <v>Northern Colorado</v>
      </c>
      <c r="C110" s="1" t="str">
        <f ca="1">IFERROR(__xludf.DUMMYFUNCTION("""COMPUTED_VALUE"""),"BSky")</f>
        <v>BSky</v>
      </c>
      <c r="D110" s="1" t="str">
        <f ca="1">IFERROR(__xludf.DUMMYFUNCTION("""COMPUTED_VALUE"""),"26-12")</f>
        <v>26-12</v>
      </c>
      <c r="E110" s="1" t="str">
        <f ca="1">IFERROR(__xludf.DUMMYFUNCTION("""COMPUTED_VALUE"""),"+6.55")</f>
        <v>+6.55</v>
      </c>
      <c r="F110" s="1">
        <f ca="1">IFERROR(__xludf.DUMMYFUNCTION("""COMPUTED_VALUE"""),107.3)</f>
        <v>107.3</v>
      </c>
      <c r="G110" s="1">
        <f ca="1">IFERROR(__xludf.DUMMYFUNCTION("""COMPUTED_VALUE"""),129)</f>
        <v>129</v>
      </c>
      <c r="H110" s="1">
        <f ca="1">IFERROR(__xludf.DUMMYFUNCTION("""COMPUTED_VALUE"""),100.8)</f>
        <v>100.8</v>
      </c>
      <c r="I110" s="1">
        <f ca="1">IFERROR(__xludf.DUMMYFUNCTION("""COMPUTED_VALUE"""),94)</f>
        <v>94</v>
      </c>
      <c r="J110" s="1">
        <f ca="1">IFERROR(__xludf.DUMMYFUNCTION("""COMPUTED_VALUE"""),72.2)</f>
        <v>72.2</v>
      </c>
      <c r="K110" s="1">
        <f ca="1">IFERROR(__xludf.DUMMYFUNCTION("""COMPUTED_VALUE"""),24)</f>
        <v>24</v>
      </c>
      <c r="L110" s="1">
        <f ca="1">IFERROR(__xludf.DUMMYFUNCTION("""COMPUTED_VALUE"""),-0.023)</f>
        <v>-2.3E-2</v>
      </c>
      <c r="M110" s="1">
        <f ca="1">IFERROR(__xludf.DUMMYFUNCTION("""COMPUTED_VALUE"""),239)</f>
        <v>239</v>
      </c>
      <c r="N110" s="1">
        <f ca="1">IFERROR(__xludf.DUMMYFUNCTION("""COMPUTED_VALUE"""),-1.73)</f>
        <v>-1.73</v>
      </c>
      <c r="O110" s="1">
        <f ca="1">IFERROR(__xludf.DUMMYFUNCTION("""COMPUTED_VALUE"""),181)</f>
        <v>181</v>
      </c>
      <c r="P110" s="1">
        <f ca="1">IFERROR(__xludf.DUMMYFUNCTION("""COMPUTED_VALUE"""),104.4)</f>
        <v>104.4</v>
      </c>
      <c r="Q110" s="1">
        <f ca="1">IFERROR(__xludf.DUMMYFUNCTION("""COMPUTED_VALUE"""),178)</f>
        <v>178</v>
      </c>
      <c r="R110" s="1">
        <f ca="1">IFERROR(__xludf.DUMMYFUNCTION("""COMPUTED_VALUE"""),106.1)</f>
        <v>106.1</v>
      </c>
      <c r="S110" s="1">
        <f ca="1">IFERROR(__xludf.DUMMYFUNCTION("""COMPUTED_VALUE"""),197)</f>
        <v>197</v>
      </c>
      <c r="T110" s="1" t="str">
        <f ca="1">IFERROR(__xludf.DUMMYFUNCTION("""COMPUTED_VALUE"""),"+1.38")</f>
        <v>+1.38</v>
      </c>
      <c r="U110" s="1">
        <f ca="1">IFERROR(__xludf.DUMMYFUNCTION("""COMPUTED_VALUE"""),119)</f>
        <v>119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IFERROR(__xludf.DUMMYFUNCTION("""COMPUTED_VALUE"""),"Marshall13")</f>
        <v>Marshall13</v>
      </c>
      <c r="C111" s="1" t="str">
        <f ca="1">IFERROR(__xludf.DUMMYFUNCTION("""COMPUTED_VALUE"""),"CUSA")</f>
        <v>CUSA</v>
      </c>
      <c r="D111" s="1" t="str">
        <f ca="1">IFERROR(__xludf.DUMMYFUNCTION("""COMPUTED_VALUE"""),"25-11")</f>
        <v>25-11</v>
      </c>
      <c r="E111" s="1" t="str">
        <f ca="1">IFERROR(__xludf.DUMMYFUNCTION("""COMPUTED_VALUE"""),"+6.53")</f>
        <v>+6.53</v>
      </c>
      <c r="F111" s="1">
        <f ca="1">IFERROR(__xludf.DUMMYFUNCTION("""COMPUTED_VALUE"""),109.4)</f>
        <v>109.4</v>
      </c>
      <c r="G111" s="1">
        <f ca="1">IFERROR(__xludf.DUMMYFUNCTION("""COMPUTED_VALUE"""),93)</f>
        <v>93</v>
      </c>
      <c r="H111" s="1">
        <f ca="1">IFERROR(__xludf.DUMMYFUNCTION("""COMPUTED_VALUE"""),102.9)</f>
        <v>102.9</v>
      </c>
      <c r="I111" s="1">
        <f ca="1">IFERROR(__xludf.DUMMYFUNCTION("""COMPUTED_VALUE"""),126)</f>
        <v>126</v>
      </c>
      <c r="J111" s="1">
        <f ca="1">IFERROR(__xludf.DUMMYFUNCTION("""COMPUTED_VALUE"""),74.7)</f>
        <v>74.7</v>
      </c>
      <c r="K111" s="1">
        <f ca="1">IFERROR(__xludf.DUMMYFUNCTION("""COMPUTED_VALUE"""),6)</f>
        <v>6</v>
      </c>
      <c r="L111" s="1" t="str">
        <f ca="1">IFERROR(__xludf.DUMMYFUNCTION("""COMPUTED_VALUE"""),"+.060")</f>
        <v>+.060</v>
      </c>
      <c r="M111" s="1">
        <f ca="1">IFERROR(__xludf.DUMMYFUNCTION("""COMPUTED_VALUE"""),54)</f>
        <v>54</v>
      </c>
      <c r="N111" s="1" t="str">
        <f ca="1">IFERROR(__xludf.DUMMYFUNCTION("""COMPUTED_VALUE"""),"+0.07")</f>
        <v>+0.07</v>
      </c>
      <c r="O111" s="1">
        <f ca="1">IFERROR(__xludf.DUMMYFUNCTION("""COMPUTED_VALUE"""),137)</f>
        <v>137</v>
      </c>
      <c r="P111" s="1">
        <f ca="1">IFERROR(__xludf.DUMMYFUNCTION("""COMPUTED_VALUE"""),105.6)</f>
        <v>105.6</v>
      </c>
      <c r="Q111" s="1">
        <f ca="1">IFERROR(__xludf.DUMMYFUNCTION("""COMPUTED_VALUE"""),118)</f>
        <v>118</v>
      </c>
      <c r="R111" s="1">
        <f ca="1">IFERROR(__xludf.DUMMYFUNCTION("""COMPUTED_VALUE"""),105.5)</f>
        <v>105.5</v>
      </c>
      <c r="S111" s="1">
        <f ca="1">IFERROR(__xludf.DUMMYFUNCTION("""COMPUTED_VALUE"""),164)</f>
        <v>164</v>
      </c>
      <c r="T111" s="1">
        <f ca="1">IFERROR(__xludf.DUMMYFUNCTION("""COMPUTED_VALUE"""),-7)</f>
        <v>-7</v>
      </c>
      <c r="U111" s="1">
        <f ca="1">IFERROR(__xludf.DUMMYFUNCTION("""COMPUTED_VALUE"""),333)</f>
        <v>333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IFERROR(__xludf.DUMMYFUNCTION("""COMPUTED_VALUE"""),"New Mexico")</f>
        <v>New Mexico</v>
      </c>
      <c r="C112" s="1" t="str">
        <f ca="1">IFERROR(__xludf.DUMMYFUNCTION("""COMPUTED_VALUE"""),"MWC")</f>
        <v>MWC</v>
      </c>
      <c r="D112" s="1" t="str">
        <f ca="1">IFERROR(__xludf.DUMMYFUNCTION("""COMPUTED_VALUE"""),"19-15")</f>
        <v>19-15</v>
      </c>
      <c r="E112" s="1" t="str">
        <f ca="1">IFERROR(__xludf.DUMMYFUNCTION("""COMPUTED_VALUE"""),"+6.52")</f>
        <v>+6.52</v>
      </c>
      <c r="F112" s="1">
        <f ca="1">IFERROR(__xludf.DUMMYFUNCTION("""COMPUTED_VALUE"""),113.3)</f>
        <v>113.3</v>
      </c>
      <c r="G112" s="1">
        <f ca="1">IFERROR(__xludf.DUMMYFUNCTION("""COMPUTED_VALUE"""),51)</f>
        <v>51</v>
      </c>
      <c r="H112" s="1">
        <f ca="1">IFERROR(__xludf.DUMMYFUNCTION("""COMPUTED_VALUE"""),106.8)</f>
        <v>106.8</v>
      </c>
      <c r="I112" s="1">
        <f ca="1">IFERROR(__xludf.DUMMYFUNCTION("""COMPUTED_VALUE"""),204)</f>
        <v>204</v>
      </c>
      <c r="J112" s="1">
        <f ca="1">IFERROR(__xludf.DUMMYFUNCTION("""COMPUTED_VALUE"""),71.3)</f>
        <v>71.3</v>
      </c>
      <c r="K112" s="1">
        <f ca="1">IFERROR(__xludf.DUMMYFUNCTION("""COMPUTED_VALUE"""),42)</f>
        <v>42</v>
      </c>
      <c r="L112" s="1">
        <f ca="1">IFERROR(__xludf.DUMMYFUNCTION("""COMPUTED_VALUE"""),-0.022)</f>
        <v>-2.1999999999999999E-2</v>
      </c>
      <c r="M112" s="1">
        <f ca="1">IFERROR(__xludf.DUMMYFUNCTION("""COMPUTED_VALUE"""),236)</f>
        <v>236</v>
      </c>
      <c r="N112" s="1" t="str">
        <f ca="1">IFERROR(__xludf.DUMMYFUNCTION("""COMPUTED_VALUE"""),"+2.70")</f>
        <v>+2.70</v>
      </c>
      <c r="O112" s="1">
        <f ca="1">IFERROR(__xludf.DUMMYFUNCTION("""COMPUTED_VALUE"""),97)</f>
        <v>97</v>
      </c>
      <c r="P112" s="1">
        <f ca="1">IFERROR(__xludf.DUMMYFUNCTION("""COMPUTED_VALUE"""),105.9)</f>
        <v>105.9</v>
      </c>
      <c r="Q112" s="1">
        <f ca="1">IFERROR(__xludf.DUMMYFUNCTION("""COMPUTED_VALUE"""),110)</f>
        <v>110</v>
      </c>
      <c r="R112" s="1">
        <f ca="1">IFERROR(__xludf.DUMMYFUNCTION("""COMPUTED_VALUE"""),103.2)</f>
        <v>103.2</v>
      </c>
      <c r="S112" s="1">
        <f ca="1">IFERROR(__xludf.DUMMYFUNCTION("""COMPUTED_VALUE"""),86)</f>
        <v>86</v>
      </c>
      <c r="T112" s="1" t="str">
        <f ca="1">IFERROR(__xludf.DUMMYFUNCTION("""COMPUTED_VALUE"""),"+1.41")</f>
        <v>+1.41</v>
      </c>
      <c r="U112" s="1">
        <f ca="1">IFERROR(__xludf.DUMMYFUNCTION("""COMPUTED_VALUE"""),117)</f>
        <v>117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IFERROR(__xludf.DUMMYFUNCTION("""COMPUTED_VALUE"""),"UNLV")</f>
        <v>UNLV</v>
      </c>
      <c r="C113" s="1" t="str">
        <f ca="1">IFERROR(__xludf.DUMMYFUNCTION("""COMPUTED_VALUE"""),"MWC")</f>
        <v>MWC</v>
      </c>
      <c r="D113" s="1" t="str">
        <f ca="1">IFERROR(__xludf.DUMMYFUNCTION("""COMPUTED_VALUE"""),"20-13")</f>
        <v>20-13</v>
      </c>
      <c r="E113" s="1" t="str">
        <f ca="1">IFERROR(__xludf.DUMMYFUNCTION("""COMPUTED_VALUE"""),"+6.44")</f>
        <v>+6.44</v>
      </c>
      <c r="F113" s="1">
        <f ca="1">IFERROR(__xludf.DUMMYFUNCTION("""COMPUTED_VALUE"""),111.4)</f>
        <v>111.4</v>
      </c>
      <c r="G113" s="1">
        <f ca="1">IFERROR(__xludf.DUMMYFUNCTION("""COMPUTED_VALUE"""),65)</f>
        <v>65</v>
      </c>
      <c r="H113" s="1">
        <f ca="1">IFERROR(__xludf.DUMMYFUNCTION("""COMPUTED_VALUE"""),104.9)</f>
        <v>104.9</v>
      </c>
      <c r="I113" s="1">
        <f ca="1">IFERROR(__xludf.DUMMYFUNCTION("""COMPUTED_VALUE"""),174)</f>
        <v>174</v>
      </c>
      <c r="J113" s="1">
        <f ca="1">IFERROR(__xludf.DUMMYFUNCTION("""COMPUTED_VALUE"""),72.3)</f>
        <v>72.3</v>
      </c>
      <c r="K113" s="1">
        <f ca="1">IFERROR(__xludf.DUMMYFUNCTION("""COMPUTED_VALUE"""),22)</f>
        <v>22</v>
      </c>
      <c r="L113" s="1">
        <f ca="1">IFERROR(__xludf.DUMMYFUNCTION("""COMPUTED_VALUE"""),-0.012)</f>
        <v>-1.2E-2</v>
      </c>
      <c r="M113" s="1">
        <f ca="1">IFERROR(__xludf.DUMMYFUNCTION("""COMPUTED_VALUE"""),209)</f>
        <v>209</v>
      </c>
      <c r="N113" s="1" t="str">
        <f ca="1">IFERROR(__xludf.DUMMYFUNCTION("""COMPUTED_VALUE"""),"+0.86")</f>
        <v>+0.86</v>
      </c>
      <c r="O113" s="1">
        <f ca="1">IFERROR(__xludf.DUMMYFUNCTION("""COMPUTED_VALUE"""),122)</f>
        <v>122</v>
      </c>
      <c r="P113" s="1">
        <f ca="1">IFERROR(__xludf.DUMMYFUNCTION("""COMPUTED_VALUE"""),106)</f>
        <v>106</v>
      </c>
      <c r="Q113" s="1">
        <f ca="1">IFERROR(__xludf.DUMMYFUNCTION("""COMPUTED_VALUE"""),109)</f>
        <v>109</v>
      </c>
      <c r="R113" s="1">
        <f ca="1">IFERROR(__xludf.DUMMYFUNCTION("""COMPUTED_VALUE"""),105.1)</f>
        <v>105.1</v>
      </c>
      <c r="S113" s="1">
        <f ca="1">IFERROR(__xludf.DUMMYFUNCTION("""COMPUTED_VALUE"""),145)</f>
        <v>145</v>
      </c>
      <c r="T113" s="1">
        <f ca="1">IFERROR(__xludf.DUMMYFUNCTION("""COMPUTED_VALUE"""),-5.02)</f>
        <v>-5.0199999999999996</v>
      </c>
      <c r="U113" s="1">
        <f ca="1">IFERROR(__xludf.DUMMYFUNCTION("""COMPUTED_VALUE"""),302)</f>
        <v>302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IFERROR(__xludf.DUMMYFUNCTION("""COMPUTED_VALUE"""),"Mississippi")</f>
        <v>Mississippi</v>
      </c>
      <c r="C114" s="1" t="str">
        <f ca="1">IFERROR(__xludf.DUMMYFUNCTION("""COMPUTED_VALUE"""),"SEC")</f>
        <v>SEC</v>
      </c>
      <c r="D114" s="2">
        <f ca="1">IFERROR(__xludf.DUMMYFUNCTION("""COMPUTED_VALUE"""),44915)</f>
        <v>44915</v>
      </c>
      <c r="E114" s="1" t="str">
        <f ca="1">IFERROR(__xludf.DUMMYFUNCTION("""COMPUTED_VALUE"""),"+6.42")</f>
        <v>+6.42</v>
      </c>
      <c r="F114" s="1">
        <f ca="1">IFERROR(__xludf.DUMMYFUNCTION("""COMPUTED_VALUE"""),111.1)</f>
        <v>111.1</v>
      </c>
      <c r="G114" s="1">
        <f ca="1">IFERROR(__xludf.DUMMYFUNCTION("""COMPUTED_VALUE"""),68)</f>
        <v>68</v>
      </c>
      <c r="H114" s="1">
        <f ca="1">IFERROR(__xludf.DUMMYFUNCTION("""COMPUTED_VALUE"""),104.7)</f>
        <v>104.7</v>
      </c>
      <c r="I114" s="1">
        <f ca="1">IFERROR(__xludf.DUMMYFUNCTION("""COMPUTED_VALUE"""),168)</f>
        <v>168</v>
      </c>
      <c r="J114" s="1">
        <f ca="1">IFERROR(__xludf.DUMMYFUNCTION("""COMPUTED_VALUE"""),70)</f>
        <v>70</v>
      </c>
      <c r="K114" s="1">
        <f ca="1">IFERROR(__xludf.DUMMYFUNCTION("""COMPUTED_VALUE"""),77)</f>
        <v>77</v>
      </c>
      <c r="L114" s="1">
        <f ca="1">IFERROR(__xludf.DUMMYFUNCTION("""COMPUTED_VALUE"""),-0.053)</f>
        <v>-5.2999999999999999E-2</v>
      </c>
      <c r="M114" s="1">
        <f ca="1">IFERROR(__xludf.DUMMYFUNCTION("""COMPUTED_VALUE"""),301)</f>
        <v>301</v>
      </c>
      <c r="N114" s="1" t="str">
        <f ca="1">IFERROR(__xludf.DUMMYFUNCTION("""COMPUTED_VALUE"""),"+9.62")</f>
        <v>+9.62</v>
      </c>
      <c r="O114" s="1">
        <f ca="1">IFERROR(__xludf.DUMMYFUNCTION("""COMPUTED_VALUE"""),31)</f>
        <v>31</v>
      </c>
      <c r="P114" s="1">
        <f ca="1">IFERROR(__xludf.DUMMYFUNCTION("""COMPUTED_VALUE"""),109.7)</f>
        <v>109.7</v>
      </c>
      <c r="Q114" s="1">
        <f ca="1">IFERROR(__xludf.DUMMYFUNCTION("""COMPUTED_VALUE"""),42)</f>
        <v>42</v>
      </c>
      <c r="R114" s="1">
        <f ca="1">IFERROR(__xludf.DUMMYFUNCTION("""COMPUTED_VALUE"""),100)</f>
        <v>100</v>
      </c>
      <c r="S114" s="1">
        <f ca="1">IFERROR(__xludf.DUMMYFUNCTION("""COMPUTED_VALUE"""),13)</f>
        <v>13</v>
      </c>
      <c r="T114" s="1" t="str">
        <f ca="1">IFERROR(__xludf.DUMMYFUNCTION("""COMPUTED_VALUE"""),"+0.90")</f>
        <v>+0.90</v>
      </c>
      <c r="U114" s="1">
        <f ca="1">IFERROR(__xludf.DUMMYFUNCTION("""COMPUTED_VALUE"""),139)</f>
        <v>139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IFERROR(__xludf.DUMMYFUNCTION("""COMPUTED_VALUE"""),"UAB")</f>
        <v>UAB</v>
      </c>
      <c r="C115" s="1" t="str">
        <f ca="1">IFERROR(__xludf.DUMMYFUNCTION("""COMPUTED_VALUE"""),"CUSA")</f>
        <v>CUSA</v>
      </c>
      <c r="D115" s="1" t="str">
        <f ca="1">IFERROR(__xludf.DUMMYFUNCTION("""COMPUTED_VALUE"""),"20-13")</f>
        <v>20-13</v>
      </c>
      <c r="E115" s="1" t="str">
        <f ca="1">IFERROR(__xludf.DUMMYFUNCTION("""COMPUTED_VALUE"""),"+6.32")</f>
        <v>+6.32</v>
      </c>
      <c r="F115" s="1">
        <f ca="1">IFERROR(__xludf.DUMMYFUNCTION("""COMPUTED_VALUE"""),109.6)</f>
        <v>109.6</v>
      </c>
      <c r="G115" s="1">
        <f ca="1">IFERROR(__xludf.DUMMYFUNCTION("""COMPUTED_VALUE"""),87)</f>
        <v>87</v>
      </c>
      <c r="H115" s="1">
        <f ca="1">IFERROR(__xludf.DUMMYFUNCTION("""COMPUTED_VALUE"""),103.3)</f>
        <v>103.3</v>
      </c>
      <c r="I115" s="1">
        <f ca="1">IFERROR(__xludf.DUMMYFUNCTION("""COMPUTED_VALUE"""),138)</f>
        <v>138</v>
      </c>
      <c r="J115" s="1">
        <f ca="1">IFERROR(__xludf.DUMMYFUNCTION("""COMPUTED_VALUE"""),67.7)</f>
        <v>67.7</v>
      </c>
      <c r="K115" s="1">
        <f ca="1">IFERROR(__xludf.DUMMYFUNCTION("""COMPUTED_VALUE"""),201)</f>
        <v>201</v>
      </c>
      <c r="L115" s="1">
        <f ca="1">IFERROR(__xludf.DUMMYFUNCTION("""COMPUTED_VALUE"""),-0.047)</f>
        <v>-4.7E-2</v>
      </c>
      <c r="M115" s="1">
        <f ca="1">IFERROR(__xludf.DUMMYFUNCTION("""COMPUTED_VALUE"""),291)</f>
        <v>291</v>
      </c>
      <c r="N115" s="1">
        <f ca="1">IFERROR(__xludf.DUMMYFUNCTION("""COMPUTED_VALUE"""),-0.93)</f>
        <v>-0.93</v>
      </c>
      <c r="O115" s="1">
        <f ca="1">IFERROR(__xludf.DUMMYFUNCTION("""COMPUTED_VALUE"""),160)</f>
        <v>160</v>
      </c>
      <c r="P115" s="1">
        <f ca="1">IFERROR(__xludf.DUMMYFUNCTION("""COMPUTED_VALUE"""),104.5)</f>
        <v>104.5</v>
      </c>
      <c r="Q115" s="1">
        <f ca="1">IFERROR(__xludf.DUMMYFUNCTION("""COMPUTED_VALUE"""),173)</f>
        <v>173</v>
      </c>
      <c r="R115" s="1">
        <f ca="1">IFERROR(__xludf.DUMMYFUNCTION("""COMPUTED_VALUE"""),105.4)</f>
        <v>105.4</v>
      </c>
      <c r="S115" s="1">
        <f ca="1">IFERROR(__xludf.DUMMYFUNCTION("""COMPUTED_VALUE"""),160)</f>
        <v>160</v>
      </c>
      <c r="T115" s="1">
        <f ca="1">IFERROR(__xludf.DUMMYFUNCTION("""COMPUTED_VALUE"""),-6.96)</f>
        <v>-6.96</v>
      </c>
      <c r="U115" s="1">
        <f ca="1">IFERROR(__xludf.DUMMYFUNCTION("""COMPUTED_VALUE"""),332)</f>
        <v>332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IFERROR(__xludf.DUMMYFUNCTION("""COMPUTED_VALUE"""),"Tulsa")</f>
        <v>Tulsa</v>
      </c>
      <c r="C116" s="1" t="str">
        <f ca="1">IFERROR(__xludf.DUMMYFUNCTION("""COMPUTED_VALUE"""),"Amer")</f>
        <v>Amer</v>
      </c>
      <c r="D116" s="1" t="str">
        <f ca="1">IFERROR(__xludf.DUMMYFUNCTION("""COMPUTED_VALUE"""),"19-12")</f>
        <v>19-12</v>
      </c>
      <c r="E116" s="1" t="str">
        <f ca="1">IFERROR(__xludf.DUMMYFUNCTION("""COMPUTED_VALUE"""),"+6.02")</f>
        <v>+6.02</v>
      </c>
      <c r="F116" s="1">
        <f ca="1">IFERROR(__xludf.DUMMYFUNCTION("""COMPUTED_VALUE"""),108.3)</f>
        <v>108.3</v>
      </c>
      <c r="G116" s="1">
        <f ca="1">IFERROR(__xludf.DUMMYFUNCTION("""COMPUTED_VALUE"""),113)</f>
        <v>113</v>
      </c>
      <c r="H116" s="1">
        <f ca="1">IFERROR(__xludf.DUMMYFUNCTION("""COMPUTED_VALUE"""),102.3)</f>
        <v>102.3</v>
      </c>
      <c r="I116" s="1">
        <f ca="1">IFERROR(__xludf.DUMMYFUNCTION("""COMPUTED_VALUE"""),118)</f>
        <v>118</v>
      </c>
      <c r="J116" s="1">
        <f ca="1">IFERROR(__xludf.DUMMYFUNCTION("""COMPUTED_VALUE"""),67.3)</f>
        <v>67.3</v>
      </c>
      <c r="K116" s="1">
        <f ca="1">IFERROR(__xludf.DUMMYFUNCTION("""COMPUTED_VALUE"""),220)</f>
        <v>220</v>
      </c>
      <c r="L116" s="1" t="str">
        <f ca="1">IFERROR(__xludf.DUMMYFUNCTION("""COMPUTED_VALUE"""),"+.029")</f>
        <v>+.029</v>
      </c>
      <c r="M116" s="1">
        <f ca="1">IFERROR(__xludf.DUMMYFUNCTION("""COMPUTED_VALUE"""),104)</f>
        <v>104</v>
      </c>
      <c r="N116" s="1" t="str">
        <f ca="1">IFERROR(__xludf.DUMMYFUNCTION("""COMPUTED_VALUE"""),"+0.68")</f>
        <v>+0.68</v>
      </c>
      <c r="O116" s="1">
        <f ca="1">IFERROR(__xludf.DUMMYFUNCTION("""COMPUTED_VALUE"""),126)</f>
        <v>126</v>
      </c>
      <c r="P116" s="1">
        <f ca="1">IFERROR(__xludf.DUMMYFUNCTION("""COMPUTED_VALUE"""),105.5)</f>
        <v>105.5</v>
      </c>
      <c r="Q116" s="1">
        <f ca="1">IFERROR(__xludf.DUMMYFUNCTION("""COMPUTED_VALUE"""),123)</f>
        <v>123</v>
      </c>
      <c r="R116" s="1">
        <f ca="1">IFERROR(__xludf.DUMMYFUNCTION("""COMPUTED_VALUE"""),104.8)</f>
        <v>104.8</v>
      </c>
      <c r="S116" s="1">
        <f ca="1">IFERROR(__xludf.DUMMYFUNCTION("""COMPUTED_VALUE"""),130)</f>
        <v>130</v>
      </c>
      <c r="T116" s="1">
        <f ca="1">IFERROR(__xludf.DUMMYFUNCTION("""COMPUTED_VALUE"""),-2.04)</f>
        <v>-2.04</v>
      </c>
      <c r="U116" s="1">
        <f ca="1">IFERROR(__xludf.DUMMYFUNCTION("""COMPUTED_VALUE"""),217)</f>
        <v>217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IFERROR(__xludf.DUMMYFUNCTION("""COMPUTED_VALUE"""),"UCF")</f>
        <v>UCF</v>
      </c>
      <c r="C117" s="1" t="str">
        <f ca="1">IFERROR(__xludf.DUMMYFUNCTION("""COMPUTED_VALUE"""),"Amer")</f>
        <v>Amer</v>
      </c>
      <c r="D117" s="1" t="str">
        <f ca="1">IFERROR(__xludf.DUMMYFUNCTION("""COMPUTED_VALUE"""),"19-13")</f>
        <v>19-13</v>
      </c>
      <c r="E117" s="1" t="str">
        <f ca="1">IFERROR(__xludf.DUMMYFUNCTION("""COMPUTED_VALUE"""),"+5.62")</f>
        <v>+5.62</v>
      </c>
      <c r="F117" s="1">
        <f ca="1">IFERROR(__xludf.DUMMYFUNCTION("""COMPUTED_VALUE"""),98.9)</f>
        <v>98.9</v>
      </c>
      <c r="G117" s="1">
        <f ca="1">IFERROR(__xludf.DUMMYFUNCTION("""COMPUTED_VALUE"""),281)</f>
        <v>281</v>
      </c>
      <c r="H117" s="1">
        <f ca="1">IFERROR(__xludf.DUMMYFUNCTION("""COMPUTED_VALUE"""),93.2)</f>
        <v>93.2</v>
      </c>
      <c r="I117" s="1">
        <f ca="1">IFERROR(__xludf.DUMMYFUNCTION("""COMPUTED_VALUE"""),8)</f>
        <v>8</v>
      </c>
      <c r="J117" s="1">
        <f ca="1">IFERROR(__xludf.DUMMYFUNCTION("""COMPUTED_VALUE"""),64.5)</f>
        <v>64.5</v>
      </c>
      <c r="K117" s="1">
        <f ca="1">IFERROR(__xludf.DUMMYFUNCTION("""COMPUTED_VALUE"""),333)</f>
        <v>333</v>
      </c>
      <c r="L117" s="1" t="str">
        <f ca="1">IFERROR(__xludf.DUMMYFUNCTION("""COMPUTED_VALUE"""),"+.062")</f>
        <v>+.062</v>
      </c>
      <c r="M117" s="1">
        <f ca="1">IFERROR(__xludf.DUMMYFUNCTION("""COMPUTED_VALUE"""),49)</f>
        <v>49</v>
      </c>
      <c r="N117" s="1" t="str">
        <f ca="1">IFERROR(__xludf.DUMMYFUNCTION("""COMPUTED_VALUE"""),"+2.52")</f>
        <v>+2.52</v>
      </c>
      <c r="O117" s="1">
        <f ca="1">IFERROR(__xludf.DUMMYFUNCTION("""COMPUTED_VALUE"""),98)</f>
        <v>98</v>
      </c>
      <c r="P117" s="1">
        <f ca="1">IFERROR(__xludf.DUMMYFUNCTION("""COMPUTED_VALUE"""),106.5)</f>
        <v>106.5</v>
      </c>
      <c r="Q117" s="1">
        <f ca="1">IFERROR(__xludf.DUMMYFUNCTION("""COMPUTED_VALUE"""),98)</f>
        <v>98</v>
      </c>
      <c r="R117" s="1">
        <f ca="1">IFERROR(__xludf.DUMMYFUNCTION("""COMPUTED_VALUE"""),104)</f>
        <v>104</v>
      </c>
      <c r="S117" s="1">
        <f ca="1">IFERROR(__xludf.DUMMYFUNCTION("""COMPUTED_VALUE"""),106)</f>
        <v>106</v>
      </c>
      <c r="T117" s="1">
        <f ca="1">IFERROR(__xludf.DUMMYFUNCTION("""COMPUTED_VALUE"""),-2.5)</f>
        <v>-2.5</v>
      </c>
      <c r="U117" s="1">
        <f ca="1">IFERROR(__xludf.DUMMYFUNCTION("""COMPUTED_VALUE"""),235)</f>
        <v>235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IFERROR(__xludf.DUMMYFUNCTION("""COMPUTED_VALUE"""),"Stephen F. Austin14")</f>
        <v>Stephen F. Austin14</v>
      </c>
      <c r="C118" s="1" t="str">
        <f ca="1">IFERROR(__xludf.DUMMYFUNCTION("""COMPUTED_VALUE"""),"Slnd")</f>
        <v>Slnd</v>
      </c>
      <c r="D118" s="1" t="str">
        <f ca="1">IFERROR(__xludf.DUMMYFUNCTION("""COMPUTED_VALUE"""),"28-7")</f>
        <v>28-7</v>
      </c>
      <c r="E118" s="1" t="str">
        <f ca="1">IFERROR(__xludf.DUMMYFUNCTION("""COMPUTED_VALUE"""),"+5.58")</f>
        <v>+5.58</v>
      </c>
      <c r="F118" s="1">
        <f ca="1">IFERROR(__xludf.DUMMYFUNCTION("""COMPUTED_VALUE"""),104.5)</f>
        <v>104.5</v>
      </c>
      <c r="G118" s="1">
        <f ca="1">IFERROR(__xludf.DUMMYFUNCTION("""COMPUTED_VALUE"""),181)</f>
        <v>181</v>
      </c>
      <c r="H118" s="1">
        <f ca="1">IFERROR(__xludf.DUMMYFUNCTION("""COMPUTED_VALUE"""),99)</f>
        <v>99</v>
      </c>
      <c r="I118" s="1">
        <f ca="1">IFERROR(__xludf.DUMMYFUNCTION("""COMPUTED_VALUE"""),64)</f>
        <v>64</v>
      </c>
      <c r="J118" s="1">
        <f ca="1">IFERROR(__xludf.DUMMYFUNCTION("""COMPUTED_VALUE"""),71.1)</f>
        <v>71.099999999999994</v>
      </c>
      <c r="K118" s="1">
        <f ca="1">IFERROR(__xludf.DUMMYFUNCTION("""COMPUTED_VALUE"""),49)</f>
        <v>49</v>
      </c>
      <c r="L118" s="1" t="str">
        <f ca="1">IFERROR(__xludf.DUMMYFUNCTION("""COMPUTED_VALUE"""),"+.031")</f>
        <v>+.031</v>
      </c>
      <c r="M118" s="1">
        <f ca="1">IFERROR(__xludf.DUMMYFUNCTION("""COMPUTED_VALUE"""),97)</f>
        <v>97</v>
      </c>
      <c r="N118" s="1">
        <f ca="1">IFERROR(__xludf.DUMMYFUNCTION("""COMPUTED_VALUE"""),-7.16)</f>
        <v>-7.16</v>
      </c>
      <c r="O118" s="1">
        <f ca="1">IFERROR(__xludf.DUMMYFUNCTION("""COMPUTED_VALUE"""),319)</f>
        <v>319</v>
      </c>
      <c r="P118" s="1">
        <f ca="1">IFERROR(__xludf.DUMMYFUNCTION("""COMPUTED_VALUE"""),100.6)</f>
        <v>100.6</v>
      </c>
      <c r="Q118" s="1">
        <f ca="1">IFERROR(__xludf.DUMMYFUNCTION("""COMPUTED_VALUE"""),330)</f>
        <v>330</v>
      </c>
      <c r="R118" s="1">
        <f ca="1">IFERROR(__xludf.DUMMYFUNCTION("""COMPUTED_VALUE"""),107.8)</f>
        <v>107.8</v>
      </c>
      <c r="S118" s="1">
        <f ca="1">IFERROR(__xludf.DUMMYFUNCTION("""COMPUTED_VALUE"""),293)</f>
        <v>293</v>
      </c>
      <c r="T118" s="1">
        <f ca="1">IFERROR(__xludf.DUMMYFUNCTION("""COMPUTED_VALUE"""),-2.26)</f>
        <v>-2.2599999999999998</v>
      </c>
      <c r="U118" s="1">
        <f ca="1">IFERROR(__xludf.DUMMYFUNCTION("""COMPUTED_VALUE"""),225)</f>
        <v>225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IFERROR(__xludf.DUMMYFUNCTION("""COMPUTED_VALUE"""),"Toledo")</f>
        <v>Toledo</v>
      </c>
      <c r="C119" s="1" t="str">
        <f ca="1">IFERROR(__xludf.DUMMYFUNCTION("""COMPUTED_VALUE"""),"MAC")</f>
        <v>MAC</v>
      </c>
      <c r="D119" s="1" t="str">
        <f ca="1">IFERROR(__xludf.DUMMYFUNCTION("""COMPUTED_VALUE"""),"23-11")</f>
        <v>23-11</v>
      </c>
      <c r="E119" s="1" t="str">
        <f ca="1">IFERROR(__xludf.DUMMYFUNCTION("""COMPUTED_VALUE"""),"+5.31")</f>
        <v>+5.31</v>
      </c>
      <c r="F119" s="1">
        <f ca="1">IFERROR(__xludf.DUMMYFUNCTION("""COMPUTED_VALUE"""),113.9)</f>
        <v>113.9</v>
      </c>
      <c r="G119" s="1">
        <f ca="1">IFERROR(__xludf.DUMMYFUNCTION("""COMPUTED_VALUE"""),46)</f>
        <v>46</v>
      </c>
      <c r="H119" s="1">
        <f ca="1">IFERROR(__xludf.DUMMYFUNCTION("""COMPUTED_VALUE"""),108.6)</f>
        <v>108.6</v>
      </c>
      <c r="I119" s="1">
        <f ca="1">IFERROR(__xludf.DUMMYFUNCTION("""COMPUTED_VALUE"""),247)</f>
        <v>247</v>
      </c>
      <c r="J119" s="1">
        <f ca="1">IFERROR(__xludf.DUMMYFUNCTION("""COMPUTED_VALUE"""),68.4)</f>
        <v>68.400000000000006</v>
      </c>
      <c r="K119" s="1">
        <f ca="1">IFERROR(__xludf.DUMMYFUNCTION("""COMPUTED_VALUE"""),166)</f>
        <v>166</v>
      </c>
      <c r="L119" s="1" t="str">
        <f ca="1">IFERROR(__xludf.DUMMYFUNCTION("""COMPUTED_VALUE"""),"+.049")</f>
        <v>+.049</v>
      </c>
      <c r="M119" s="1">
        <f ca="1">IFERROR(__xludf.DUMMYFUNCTION("""COMPUTED_VALUE"""),65)</f>
        <v>65</v>
      </c>
      <c r="N119" s="1">
        <f ca="1">IFERROR(__xludf.DUMMYFUNCTION("""COMPUTED_VALUE"""),-1.94)</f>
        <v>-1.94</v>
      </c>
      <c r="O119" s="1">
        <f ca="1">IFERROR(__xludf.DUMMYFUNCTION("""COMPUTED_VALUE"""),185)</f>
        <v>185</v>
      </c>
      <c r="P119" s="1">
        <f ca="1">IFERROR(__xludf.DUMMYFUNCTION("""COMPUTED_VALUE"""),103.9)</f>
        <v>103.9</v>
      </c>
      <c r="Q119" s="1">
        <f ca="1">IFERROR(__xludf.DUMMYFUNCTION("""COMPUTED_VALUE"""),195)</f>
        <v>195</v>
      </c>
      <c r="R119" s="1">
        <f ca="1">IFERROR(__xludf.DUMMYFUNCTION("""COMPUTED_VALUE"""),105.8)</f>
        <v>105.8</v>
      </c>
      <c r="S119" s="1">
        <f ca="1">IFERROR(__xludf.DUMMYFUNCTION("""COMPUTED_VALUE"""),183)</f>
        <v>183</v>
      </c>
      <c r="T119" s="1">
        <f ca="1">IFERROR(__xludf.DUMMYFUNCTION("""COMPUTED_VALUE"""),-1.81)</f>
        <v>-1.81</v>
      </c>
      <c r="U119" s="1">
        <f ca="1">IFERROR(__xludf.DUMMYFUNCTION("""COMPUTED_VALUE"""),207)</f>
        <v>207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IFERROR(__xludf.DUMMYFUNCTION("""COMPUTED_VALUE"""),"Colorado")</f>
        <v>Colorado</v>
      </c>
      <c r="C120" s="1" t="str">
        <f ca="1">IFERROR(__xludf.DUMMYFUNCTION("""COMPUTED_VALUE"""),"P12")</f>
        <v>P12</v>
      </c>
      <c r="D120" s="1" t="str">
        <f ca="1">IFERROR(__xludf.DUMMYFUNCTION("""COMPUTED_VALUE"""),"17-15")</f>
        <v>17-15</v>
      </c>
      <c r="E120" s="1" t="str">
        <f ca="1">IFERROR(__xludf.DUMMYFUNCTION("""COMPUTED_VALUE"""),"+5.27")</f>
        <v>+5.27</v>
      </c>
      <c r="F120" s="1">
        <f ca="1">IFERROR(__xludf.DUMMYFUNCTION("""COMPUTED_VALUE"""),104.9)</f>
        <v>104.9</v>
      </c>
      <c r="G120" s="1">
        <f ca="1">IFERROR(__xludf.DUMMYFUNCTION("""COMPUTED_VALUE"""),173)</f>
        <v>173</v>
      </c>
      <c r="H120" s="1">
        <f ca="1">IFERROR(__xludf.DUMMYFUNCTION("""COMPUTED_VALUE"""),99.6)</f>
        <v>99.6</v>
      </c>
      <c r="I120" s="1">
        <f ca="1">IFERROR(__xludf.DUMMYFUNCTION("""COMPUTED_VALUE"""),77)</f>
        <v>77</v>
      </c>
      <c r="J120" s="1">
        <f ca="1">IFERROR(__xludf.DUMMYFUNCTION("""COMPUTED_VALUE"""),67.8)</f>
        <v>67.8</v>
      </c>
      <c r="K120" s="1">
        <f ca="1">IFERROR(__xludf.DUMMYFUNCTION("""COMPUTED_VALUE"""),197)</f>
        <v>197</v>
      </c>
      <c r="L120" s="1" t="str">
        <f ca="1">IFERROR(__xludf.DUMMYFUNCTION("""COMPUTED_VALUE"""),"+.068")</f>
        <v>+.068</v>
      </c>
      <c r="M120" s="1">
        <f ca="1">IFERROR(__xludf.DUMMYFUNCTION("""COMPUTED_VALUE"""),36)</f>
        <v>36</v>
      </c>
      <c r="N120" s="1" t="str">
        <f ca="1">IFERROR(__xludf.DUMMYFUNCTION("""COMPUTED_VALUE"""),"+6.26")</f>
        <v>+6.26</v>
      </c>
      <c r="O120" s="1">
        <f ca="1">IFERROR(__xludf.DUMMYFUNCTION("""COMPUTED_VALUE"""),67)</f>
        <v>67</v>
      </c>
      <c r="P120" s="1">
        <f ca="1">IFERROR(__xludf.DUMMYFUNCTION("""COMPUTED_VALUE"""),110.1)</f>
        <v>110.1</v>
      </c>
      <c r="Q120" s="1">
        <f ca="1">IFERROR(__xludf.DUMMYFUNCTION("""COMPUTED_VALUE"""),32)</f>
        <v>32</v>
      </c>
      <c r="R120" s="1">
        <f ca="1">IFERROR(__xludf.DUMMYFUNCTION("""COMPUTED_VALUE"""),103.8)</f>
        <v>103.8</v>
      </c>
      <c r="S120" s="1">
        <f ca="1">IFERROR(__xludf.DUMMYFUNCTION("""COMPUTED_VALUE"""),99)</f>
        <v>99</v>
      </c>
      <c r="T120" s="1">
        <f ca="1">IFERROR(__xludf.DUMMYFUNCTION("""COMPUTED_VALUE"""),-0.09)</f>
        <v>-0.09</v>
      </c>
      <c r="U120" s="1">
        <f ca="1">IFERROR(__xludf.DUMMYFUNCTION("""COMPUTED_VALUE"""),160)</f>
        <v>160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IFERROR(__xludf.DUMMYFUNCTION("""COMPUTED_VALUE"""),"College of Charleston13")</f>
        <v>College of Charleston13</v>
      </c>
      <c r="C121" s="1" t="str">
        <f ca="1">IFERROR(__xludf.DUMMYFUNCTION("""COMPUTED_VALUE"""),"CAA")</f>
        <v>CAA</v>
      </c>
      <c r="D121" s="1" t="str">
        <f ca="1">IFERROR(__xludf.DUMMYFUNCTION("""COMPUTED_VALUE"""),"26-8")</f>
        <v>26-8</v>
      </c>
      <c r="E121" s="1" t="str">
        <f ca="1">IFERROR(__xludf.DUMMYFUNCTION("""COMPUTED_VALUE"""),"+5.16")</f>
        <v>+5.16</v>
      </c>
      <c r="F121" s="1">
        <f ca="1">IFERROR(__xludf.DUMMYFUNCTION("""COMPUTED_VALUE"""),108.7)</f>
        <v>108.7</v>
      </c>
      <c r="G121" s="1">
        <f ca="1">IFERROR(__xludf.DUMMYFUNCTION("""COMPUTED_VALUE"""),105)</f>
        <v>105</v>
      </c>
      <c r="H121" s="1">
        <f ca="1">IFERROR(__xludf.DUMMYFUNCTION("""COMPUTED_VALUE"""),103.6)</f>
        <v>103.6</v>
      </c>
      <c r="I121" s="1">
        <f ca="1">IFERROR(__xludf.DUMMYFUNCTION("""COMPUTED_VALUE"""),149)</f>
        <v>149</v>
      </c>
      <c r="J121" s="1">
        <f ca="1">IFERROR(__xludf.DUMMYFUNCTION("""COMPUTED_VALUE"""),64.9)</f>
        <v>64.900000000000006</v>
      </c>
      <c r="K121" s="1">
        <f ca="1">IFERROR(__xludf.DUMMYFUNCTION("""COMPUTED_VALUE"""),323)</f>
        <v>323</v>
      </c>
      <c r="L121" s="1" t="str">
        <f ca="1">IFERROR(__xludf.DUMMYFUNCTION("""COMPUTED_VALUE"""),"+.035")</f>
        <v>+.035</v>
      </c>
      <c r="M121" s="1">
        <f ca="1">IFERROR(__xludf.DUMMYFUNCTION("""COMPUTED_VALUE"""),91)</f>
        <v>91</v>
      </c>
      <c r="N121" s="1">
        <f ca="1">IFERROR(__xludf.DUMMYFUNCTION("""COMPUTED_VALUE"""),-4.06)</f>
        <v>-4.0599999999999996</v>
      </c>
      <c r="O121" s="1">
        <f ca="1">IFERROR(__xludf.DUMMYFUNCTION("""COMPUTED_VALUE"""),257)</f>
        <v>257</v>
      </c>
      <c r="P121" s="1">
        <f ca="1">IFERROR(__xludf.DUMMYFUNCTION("""COMPUTED_VALUE"""),104.8)</f>
        <v>104.8</v>
      </c>
      <c r="Q121" s="1">
        <f ca="1">IFERROR(__xludf.DUMMYFUNCTION("""COMPUTED_VALUE"""),153)</f>
        <v>153</v>
      </c>
      <c r="R121" s="1">
        <f ca="1">IFERROR(__xludf.DUMMYFUNCTION("""COMPUTED_VALUE"""),108.9)</f>
        <v>108.9</v>
      </c>
      <c r="S121" s="1">
        <f ca="1">IFERROR(__xludf.DUMMYFUNCTION("""COMPUTED_VALUE"""),332)</f>
        <v>332</v>
      </c>
      <c r="T121" s="1">
        <f ca="1">IFERROR(__xludf.DUMMYFUNCTION("""COMPUTED_VALUE"""),-7.64)</f>
        <v>-7.64</v>
      </c>
      <c r="U121" s="1">
        <f ca="1">IFERROR(__xludf.DUMMYFUNCTION("""COMPUTED_VALUE"""),337)</f>
        <v>337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IFERROR(__xludf.DUMMYFUNCTION("""COMPUTED_VALUE"""),"Saint Joseph's")</f>
        <v>Saint Joseph's</v>
      </c>
      <c r="C122" s="1" t="str">
        <f ca="1">IFERROR(__xludf.DUMMYFUNCTION("""COMPUTED_VALUE"""),"A10")</f>
        <v>A10</v>
      </c>
      <c r="D122" s="1" t="str">
        <f ca="1">IFERROR(__xludf.DUMMYFUNCTION("""COMPUTED_VALUE"""),"16-16")</f>
        <v>16-16</v>
      </c>
      <c r="E122" s="1" t="str">
        <f ca="1">IFERROR(__xludf.DUMMYFUNCTION("""COMPUTED_VALUE"""),"+5.15")</f>
        <v>+5.15</v>
      </c>
      <c r="F122" s="1">
        <f ca="1">IFERROR(__xludf.DUMMYFUNCTION("""COMPUTED_VALUE"""),105.6)</f>
        <v>105.6</v>
      </c>
      <c r="G122" s="1">
        <f ca="1">IFERROR(__xludf.DUMMYFUNCTION("""COMPUTED_VALUE"""),159)</f>
        <v>159</v>
      </c>
      <c r="H122" s="1">
        <f ca="1">IFERROR(__xludf.DUMMYFUNCTION("""COMPUTED_VALUE"""),100.5)</f>
        <v>100.5</v>
      </c>
      <c r="I122" s="1">
        <f ca="1">IFERROR(__xludf.DUMMYFUNCTION("""COMPUTED_VALUE"""),88)</f>
        <v>88</v>
      </c>
      <c r="J122" s="1">
        <f ca="1">IFERROR(__xludf.DUMMYFUNCTION("""COMPUTED_VALUE"""),70.5)</f>
        <v>70.5</v>
      </c>
      <c r="K122" s="1">
        <f ca="1">IFERROR(__xludf.DUMMYFUNCTION("""COMPUTED_VALUE"""),60)</f>
        <v>60</v>
      </c>
      <c r="L122" s="1">
        <f ca="1">IFERROR(__xludf.DUMMYFUNCTION("""COMPUTED_VALUE"""),-0.052)</f>
        <v>-5.1999999999999998E-2</v>
      </c>
      <c r="M122" s="1">
        <f ca="1">IFERROR(__xludf.DUMMYFUNCTION("""COMPUTED_VALUE"""),298)</f>
        <v>298</v>
      </c>
      <c r="N122" s="1" t="str">
        <f ca="1">IFERROR(__xludf.DUMMYFUNCTION("""COMPUTED_VALUE"""),"+0.77")</f>
        <v>+0.77</v>
      </c>
      <c r="O122" s="1">
        <f ca="1">IFERROR(__xludf.DUMMYFUNCTION("""COMPUTED_VALUE"""),124)</f>
        <v>124</v>
      </c>
      <c r="P122" s="1">
        <f ca="1">IFERROR(__xludf.DUMMYFUNCTION("""COMPUTED_VALUE"""),105.3)</f>
        <v>105.3</v>
      </c>
      <c r="Q122" s="1">
        <f ca="1">IFERROR(__xludf.DUMMYFUNCTION("""COMPUTED_VALUE"""),134)</f>
        <v>134</v>
      </c>
      <c r="R122" s="1">
        <f ca="1">IFERROR(__xludf.DUMMYFUNCTION("""COMPUTED_VALUE"""),104.6)</f>
        <v>104.6</v>
      </c>
      <c r="S122" s="1">
        <f ca="1">IFERROR(__xludf.DUMMYFUNCTION("""COMPUTED_VALUE"""),122)</f>
        <v>122</v>
      </c>
      <c r="T122" s="1" t="str">
        <f ca="1">IFERROR(__xludf.DUMMYFUNCTION("""COMPUTED_VALUE"""),"+2.17")</f>
        <v>+2.17</v>
      </c>
      <c r="U122" s="1">
        <f ca="1">IFERROR(__xludf.DUMMYFUNCTION("""COMPUTED_VALUE"""),94)</f>
        <v>94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IFERROR(__xludf.DUMMYFUNCTION("""COMPUTED_VALUE"""),"Minnesota")</f>
        <v>Minnesota</v>
      </c>
      <c r="C123" s="1" t="str">
        <f ca="1">IFERROR(__xludf.DUMMYFUNCTION("""COMPUTED_VALUE"""),"B10")</f>
        <v>B10</v>
      </c>
      <c r="D123" s="1" t="str">
        <f ca="1">IFERROR(__xludf.DUMMYFUNCTION("""COMPUTED_VALUE"""),"15-17")</f>
        <v>15-17</v>
      </c>
      <c r="E123" s="1" t="str">
        <f ca="1">IFERROR(__xludf.DUMMYFUNCTION("""COMPUTED_VALUE"""),"+5.08")</f>
        <v>+5.08</v>
      </c>
      <c r="F123" s="1">
        <f ca="1">IFERROR(__xludf.DUMMYFUNCTION("""COMPUTED_VALUE"""),108.7)</f>
        <v>108.7</v>
      </c>
      <c r="G123" s="1">
        <f ca="1">IFERROR(__xludf.DUMMYFUNCTION("""COMPUTED_VALUE"""),104)</f>
        <v>104</v>
      </c>
      <c r="H123" s="1">
        <f ca="1">IFERROR(__xludf.DUMMYFUNCTION("""COMPUTED_VALUE"""),103.7)</f>
        <v>103.7</v>
      </c>
      <c r="I123" s="1">
        <f ca="1">IFERROR(__xludf.DUMMYFUNCTION("""COMPUTED_VALUE"""),152)</f>
        <v>152</v>
      </c>
      <c r="J123" s="1">
        <f ca="1">IFERROR(__xludf.DUMMYFUNCTION("""COMPUTED_VALUE"""),69.8)</f>
        <v>69.8</v>
      </c>
      <c r="K123" s="1">
        <f ca="1">IFERROR(__xludf.DUMMYFUNCTION("""COMPUTED_VALUE"""),85)</f>
        <v>85</v>
      </c>
      <c r="L123" s="1">
        <f ca="1">IFERROR(__xludf.DUMMYFUNCTION("""COMPUTED_VALUE"""),-0.02)</f>
        <v>-0.02</v>
      </c>
      <c r="M123" s="1">
        <f ca="1">IFERROR(__xludf.DUMMYFUNCTION("""COMPUTED_VALUE"""),233)</f>
        <v>233</v>
      </c>
      <c r="N123" s="1" t="str">
        <f ca="1">IFERROR(__xludf.DUMMYFUNCTION("""COMPUTED_VALUE"""),"+6.85")</f>
        <v>+6.85</v>
      </c>
      <c r="O123" s="1">
        <f ca="1">IFERROR(__xludf.DUMMYFUNCTION("""COMPUTED_VALUE"""),61)</f>
        <v>61</v>
      </c>
      <c r="P123" s="1">
        <f ca="1">IFERROR(__xludf.DUMMYFUNCTION("""COMPUTED_VALUE"""),108.8)</f>
        <v>108.8</v>
      </c>
      <c r="Q123" s="1">
        <f ca="1">IFERROR(__xludf.DUMMYFUNCTION("""COMPUTED_VALUE"""),60)</f>
        <v>60</v>
      </c>
      <c r="R123" s="1">
        <f ca="1">IFERROR(__xludf.DUMMYFUNCTION("""COMPUTED_VALUE"""),101.9)</f>
        <v>101.9</v>
      </c>
      <c r="S123" s="1">
        <f ca="1">IFERROR(__xludf.DUMMYFUNCTION("""COMPUTED_VALUE"""),66)</f>
        <v>66</v>
      </c>
      <c r="T123" s="1">
        <f ca="1">IFERROR(__xludf.DUMMYFUNCTION("""COMPUTED_VALUE"""),-5.09)</f>
        <v>-5.09</v>
      </c>
      <c r="U123" s="1">
        <f ca="1">IFERROR(__xludf.DUMMYFUNCTION("""COMPUTED_VALUE"""),305)</f>
        <v>305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IFERROR(__xludf.DUMMYFUNCTION("""COMPUTED_VALUE"""),"Wyoming")</f>
        <v>Wyoming</v>
      </c>
      <c r="C124" s="1" t="str">
        <f ca="1">IFERROR(__xludf.DUMMYFUNCTION("""COMPUTED_VALUE"""),"MWC")</f>
        <v>MWC</v>
      </c>
      <c r="D124" s="1" t="str">
        <f ca="1">IFERROR(__xludf.DUMMYFUNCTION("""COMPUTED_VALUE"""),"20-13")</f>
        <v>20-13</v>
      </c>
      <c r="E124" s="1" t="str">
        <f ca="1">IFERROR(__xludf.DUMMYFUNCTION("""COMPUTED_VALUE"""),"+4.99")</f>
        <v>+4.99</v>
      </c>
      <c r="F124" s="1">
        <f ca="1">IFERROR(__xludf.DUMMYFUNCTION("""COMPUTED_VALUE"""),105.6)</f>
        <v>105.6</v>
      </c>
      <c r="G124" s="1">
        <f ca="1">IFERROR(__xludf.DUMMYFUNCTION("""COMPUTED_VALUE"""),160)</f>
        <v>160</v>
      </c>
      <c r="H124" s="1">
        <f ca="1">IFERROR(__xludf.DUMMYFUNCTION("""COMPUTED_VALUE"""),100.6)</f>
        <v>100.6</v>
      </c>
      <c r="I124" s="1">
        <f ca="1">IFERROR(__xludf.DUMMYFUNCTION("""COMPUTED_VALUE"""),92)</f>
        <v>92</v>
      </c>
      <c r="J124" s="1">
        <f ca="1">IFERROR(__xludf.DUMMYFUNCTION("""COMPUTED_VALUE"""),73.5)</f>
        <v>73.5</v>
      </c>
      <c r="K124" s="1">
        <f ca="1">IFERROR(__xludf.DUMMYFUNCTION("""COMPUTED_VALUE"""),13)</f>
        <v>13</v>
      </c>
      <c r="L124" s="1" t="str">
        <f ca="1">IFERROR(__xludf.DUMMYFUNCTION("""COMPUTED_VALUE"""),"+.068")</f>
        <v>+.068</v>
      </c>
      <c r="M124" s="1">
        <f ca="1">IFERROR(__xludf.DUMMYFUNCTION("""COMPUTED_VALUE"""),35)</f>
        <v>35</v>
      </c>
      <c r="N124" s="1" t="str">
        <f ca="1">IFERROR(__xludf.DUMMYFUNCTION("""COMPUTED_VALUE"""),"+3.44")</f>
        <v>+3.44</v>
      </c>
      <c r="O124" s="1">
        <f ca="1">IFERROR(__xludf.DUMMYFUNCTION("""COMPUTED_VALUE"""),88)</f>
        <v>88</v>
      </c>
      <c r="P124" s="1">
        <f ca="1">IFERROR(__xludf.DUMMYFUNCTION("""COMPUTED_VALUE"""),107.2)</f>
        <v>107.2</v>
      </c>
      <c r="Q124" s="1">
        <f ca="1">IFERROR(__xludf.DUMMYFUNCTION("""COMPUTED_VALUE"""),83)</f>
        <v>83</v>
      </c>
      <c r="R124" s="1">
        <f ca="1">IFERROR(__xludf.DUMMYFUNCTION("""COMPUTED_VALUE"""),103.8)</f>
        <v>103.8</v>
      </c>
      <c r="S124" s="1">
        <f ca="1">IFERROR(__xludf.DUMMYFUNCTION("""COMPUTED_VALUE"""),97)</f>
        <v>97</v>
      </c>
      <c r="T124" s="1" t="str">
        <f ca="1">IFERROR(__xludf.DUMMYFUNCTION("""COMPUTED_VALUE"""),"+2.31")</f>
        <v>+2.31</v>
      </c>
      <c r="U124" s="1">
        <f ca="1">IFERROR(__xludf.DUMMYFUNCTION("""COMPUTED_VALUE"""),90)</f>
        <v>90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IFERROR(__xludf.DUMMYFUNCTION("""COMPUTED_VALUE"""),"Georgia Tech")</f>
        <v>Georgia Tech</v>
      </c>
      <c r="C125" s="1" t="str">
        <f ca="1">IFERROR(__xludf.DUMMYFUNCTION("""COMPUTED_VALUE"""),"ACC")</f>
        <v>ACC</v>
      </c>
      <c r="D125" s="1" t="str">
        <f ca="1">IFERROR(__xludf.DUMMYFUNCTION("""COMPUTED_VALUE"""),"13-19")</f>
        <v>13-19</v>
      </c>
      <c r="E125" s="1" t="str">
        <f ca="1">IFERROR(__xludf.DUMMYFUNCTION("""COMPUTED_VALUE"""),"+4.90")</f>
        <v>+4.90</v>
      </c>
      <c r="F125" s="1">
        <f ca="1">IFERROR(__xludf.DUMMYFUNCTION("""COMPUTED_VALUE"""),103.6)</f>
        <v>103.6</v>
      </c>
      <c r="G125" s="1">
        <f ca="1">IFERROR(__xludf.DUMMYFUNCTION("""COMPUTED_VALUE"""),197)</f>
        <v>197</v>
      </c>
      <c r="H125" s="1">
        <f ca="1">IFERROR(__xludf.DUMMYFUNCTION("""COMPUTED_VALUE"""),98.7)</f>
        <v>98.7</v>
      </c>
      <c r="I125" s="1">
        <f ca="1">IFERROR(__xludf.DUMMYFUNCTION("""COMPUTED_VALUE"""),61)</f>
        <v>61</v>
      </c>
      <c r="J125" s="1">
        <f ca="1">IFERROR(__xludf.DUMMYFUNCTION("""COMPUTED_VALUE"""),66.1)</f>
        <v>66.099999999999994</v>
      </c>
      <c r="K125" s="1">
        <f ca="1">IFERROR(__xludf.DUMMYFUNCTION("""COMPUTED_VALUE"""),277)</f>
        <v>277</v>
      </c>
      <c r="L125" s="1">
        <f ca="1">IFERROR(__xludf.DUMMYFUNCTION("""COMPUTED_VALUE"""),-0.022)</f>
        <v>-2.1999999999999999E-2</v>
      </c>
      <c r="M125" s="1">
        <f ca="1">IFERROR(__xludf.DUMMYFUNCTION("""COMPUTED_VALUE"""),237)</f>
        <v>237</v>
      </c>
      <c r="N125" s="1" t="str">
        <f ca="1">IFERROR(__xludf.DUMMYFUNCTION("""COMPUTED_VALUE"""),"+8.11")</f>
        <v>+8.11</v>
      </c>
      <c r="O125" s="1">
        <f ca="1">IFERROR(__xludf.DUMMYFUNCTION("""COMPUTED_VALUE"""),51)</f>
        <v>51</v>
      </c>
      <c r="P125" s="1">
        <f ca="1">IFERROR(__xludf.DUMMYFUNCTION("""COMPUTED_VALUE"""),108.8)</f>
        <v>108.8</v>
      </c>
      <c r="Q125" s="1">
        <f ca="1">IFERROR(__xludf.DUMMYFUNCTION("""COMPUTED_VALUE"""),61)</f>
        <v>61</v>
      </c>
      <c r="R125" s="1">
        <f ca="1">IFERROR(__xludf.DUMMYFUNCTION("""COMPUTED_VALUE"""),100.6)</f>
        <v>100.6</v>
      </c>
      <c r="S125" s="1">
        <f ca="1">IFERROR(__xludf.DUMMYFUNCTION("""COMPUTED_VALUE"""),31)</f>
        <v>31</v>
      </c>
      <c r="T125" s="1">
        <f ca="1">IFERROR(__xludf.DUMMYFUNCTION("""COMPUTED_VALUE"""),-5.51)</f>
        <v>-5.51</v>
      </c>
      <c r="U125" s="1">
        <f ca="1">IFERROR(__xludf.DUMMYFUNCTION("""COMPUTED_VALUE"""),316)</f>
        <v>316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IFERROR(__xludf.DUMMYFUNCTION("""COMPUTED_VALUE"""),"Missouri St.")</f>
        <v>Missouri St.</v>
      </c>
      <c r="C126" s="1" t="str">
        <f ca="1">IFERROR(__xludf.DUMMYFUNCTION("""COMPUTED_VALUE"""),"MVC")</f>
        <v>MVC</v>
      </c>
      <c r="D126" s="1" t="str">
        <f ca="1">IFERROR(__xludf.DUMMYFUNCTION("""COMPUTED_VALUE"""),"18-15")</f>
        <v>18-15</v>
      </c>
      <c r="E126" s="1" t="str">
        <f ca="1">IFERROR(__xludf.DUMMYFUNCTION("""COMPUTED_VALUE"""),"+4.81")</f>
        <v>+4.81</v>
      </c>
      <c r="F126" s="1">
        <f ca="1">IFERROR(__xludf.DUMMYFUNCTION("""COMPUTED_VALUE"""),108.3)</f>
        <v>108.3</v>
      </c>
      <c r="G126" s="1">
        <f ca="1">IFERROR(__xludf.DUMMYFUNCTION("""COMPUTED_VALUE"""),112)</f>
        <v>112</v>
      </c>
      <c r="H126" s="1">
        <f ca="1">IFERROR(__xludf.DUMMYFUNCTION("""COMPUTED_VALUE"""),103.5)</f>
        <v>103.5</v>
      </c>
      <c r="I126" s="1">
        <f ca="1">IFERROR(__xludf.DUMMYFUNCTION("""COMPUTED_VALUE"""),145)</f>
        <v>145</v>
      </c>
      <c r="J126" s="1">
        <f ca="1">IFERROR(__xludf.DUMMYFUNCTION("""COMPUTED_VALUE"""),65.5)</f>
        <v>65.5</v>
      </c>
      <c r="K126" s="1">
        <f ca="1">IFERROR(__xludf.DUMMYFUNCTION("""COMPUTED_VALUE"""),309)</f>
        <v>309</v>
      </c>
      <c r="L126" s="1">
        <f ca="1">IFERROR(__xludf.DUMMYFUNCTION("""COMPUTED_VALUE"""),-0.046)</f>
        <v>-4.5999999999999999E-2</v>
      </c>
      <c r="M126" s="1">
        <f ca="1">IFERROR(__xludf.DUMMYFUNCTION("""COMPUTED_VALUE"""),287)</f>
        <v>287</v>
      </c>
      <c r="N126" s="1" t="str">
        <f ca="1">IFERROR(__xludf.DUMMYFUNCTION("""COMPUTED_VALUE"""),"+1.05")</f>
        <v>+1.05</v>
      </c>
      <c r="O126" s="1">
        <f ca="1">IFERROR(__xludf.DUMMYFUNCTION("""COMPUTED_VALUE"""),121)</f>
        <v>121</v>
      </c>
      <c r="P126" s="1">
        <f ca="1">IFERROR(__xludf.DUMMYFUNCTION("""COMPUTED_VALUE"""),103.9)</f>
        <v>103.9</v>
      </c>
      <c r="Q126" s="1">
        <f ca="1">IFERROR(__xludf.DUMMYFUNCTION("""COMPUTED_VALUE"""),194)</f>
        <v>194</v>
      </c>
      <c r="R126" s="1">
        <f ca="1">IFERROR(__xludf.DUMMYFUNCTION("""COMPUTED_VALUE"""),102.9)</f>
        <v>102.9</v>
      </c>
      <c r="S126" s="1">
        <f ca="1">IFERROR(__xludf.DUMMYFUNCTION("""COMPUTED_VALUE"""),80)</f>
        <v>80</v>
      </c>
      <c r="T126" s="1">
        <f ca="1">IFERROR(__xludf.DUMMYFUNCTION("""COMPUTED_VALUE"""),-3.02)</f>
        <v>-3.02</v>
      </c>
      <c r="U126" s="1">
        <f ca="1">IFERROR(__xludf.DUMMYFUNCTION("""COMPUTED_VALUE"""),250)</f>
        <v>250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IFERROR(__xludf.DUMMYFUNCTION("""COMPUTED_VALUE"""),"Grand Canyon")</f>
        <v>Grand Canyon</v>
      </c>
      <c r="C129" s="1" t="str">
        <f ca="1">IFERROR(__xludf.DUMMYFUNCTION("""COMPUTED_VALUE"""),"WAC")</f>
        <v>WAC</v>
      </c>
      <c r="D129" s="1" t="str">
        <f ca="1">IFERROR(__xludf.DUMMYFUNCTION("""COMPUTED_VALUE"""),"22-12")</f>
        <v>22-12</v>
      </c>
      <c r="E129" s="1" t="str">
        <f ca="1">IFERROR(__xludf.DUMMYFUNCTION("""COMPUTED_VALUE"""),"+4.53")</f>
        <v>+4.53</v>
      </c>
      <c r="F129" s="1">
        <f ca="1">IFERROR(__xludf.DUMMYFUNCTION("""COMPUTED_VALUE"""),102.1)</f>
        <v>102.1</v>
      </c>
      <c r="G129" s="1">
        <f ca="1">IFERROR(__xludf.DUMMYFUNCTION("""COMPUTED_VALUE"""),226)</f>
        <v>226</v>
      </c>
      <c r="H129" s="1">
        <f ca="1">IFERROR(__xludf.DUMMYFUNCTION("""COMPUTED_VALUE"""),97.5)</f>
        <v>97.5</v>
      </c>
      <c r="I129" s="1">
        <f ca="1">IFERROR(__xludf.DUMMYFUNCTION("""COMPUTED_VALUE"""),50)</f>
        <v>50</v>
      </c>
      <c r="J129" s="1">
        <f ca="1">IFERROR(__xludf.DUMMYFUNCTION("""COMPUTED_VALUE"""),69)</f>
        <v>69</v>
      </c>
      <c r="K129" s="1">
        <f ca="1">IFERROR(__xludf.DUMMYFUNCTION("""COMPUTED_VALUE"""),125)</f>
        <v>125</v>
      </c>
      <c r="L129" s="1">
        <f ca="1">IFERROR(__xludf.DUMMYFUNCTION("""COMPUTED_VALUE"""),-0.066)</f>
        <v>-6.6000000000000003E-2</v>
      </c>
      <c r="M129" s="1">
        <f ca="1">IFERROR(__xludf.DUMMYFUNCTION("""COMPUTED_VALUE"""),320)</f>
        <v>320</v>
      </c>
      <c r="N129" s="1">
        <f ca="1">IFERROR(__xludf.DUMMYFUNCTION("""COMPUTED_VALUE"""),-6.92)</f>
        <v>-6.92</v>
      </c>
      <c r="O129" s="1">
        <f ca="1">IFERROR(__xludf.DUMMYFUNCTION("""COMPUTED_VALUE"""),316)</f>
        <v>316</v>
      </c>
      <c r="P129" s="1">
        <f ca="1">IFERROR(__xludf.DUMMYFUNCTION("""COMPUTED_VALUE"""),100)</f>
        <v>100</v>
      </c>
      <c r="Q129" s="1">
        <f ca="1">IFERROR(__xludf.DUMMYFUNCTION("""COMPUTED_VALUE"""),336)</f>
        <v>336</v>
      </c>
      <c r="R129" s="1">
        <f ca="1">IFERROR(__xludf.DUMMYFUNCTION("""COMPUTED_VALUE"""),106.9)</f>
        <v>106.9</v>
      </c>
      <c r="S129" s="1">
        <f ca="1">IFERROR(__xludf.DUMMYFUNCTION("""COMPUTED_VALUE"""),253)</f>
        <v>253</v>
      </c>
      <c r="T129" s="1">
        <f ca="1">IFERROR(__xludf.DUMMYFUNCTION("""COMPUTED_VALUE"""),-11.37)</f>
        <v>-11.37</v>
      </c>
      <c r="U129" s="1">
        <f ca="1">IFERROR(__xludf.DUMMYFUNCTION("""COMPUTED_VALUE"""),346)</f>
        <v>346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IFERROR(__xludf.DUMMYFUNCTION("""COMPUTED_VALUE"""),"Northern Iowa")</f>
        <v>Northern Iowa</v>
      </c>
      <c r="C130" s="1" t="str">
        <f ca="1">IFERROR(__xludf.DUMMYFUNCTION("""COMPUTED_VALUE"""),"MVC")</f>
        <v>MVC</v>
      </c>
      <c r="D130" s="1" t="str">
        <f ca="1">IFERROR(__xludf.DUMMYFUNCTION("""COMPUTED_VALUE"""),"16-16")</f>
        <v>16-16</v>
      </c>
      <c r="E130" s="1" t="str">
        <f ca="1">IFERROR(__xludf.DUMMYFUNCTION("""COMPUTED_VALUE"""),"+4.51")</f>
        <v>+4.51</v>
      </c>
      <c r="F130" s="1">
        <f ca="1">IFERROR(__xludf.DUMMYFUNCTION("""COMPUTED_VALUE"""),103.2)</f>
        <v>103.2</v>
      </c>
      <c r="G130" s="1">
        <f ca="1">IFERROR(__xludf.DUMMYFUNCTION("""COMPUTED_VALUE"""),205)</f>
        <v>205</v>
      </c>
      <c r="H130" s="1">
        <f ca="1">IFERROR(__xludf.DUMMYFUNCTION("""COMPUTED_VALUE"""),98.7)</f>
        <v>98.7</v>
      </c>
      <c r="I130" s="1">
        <f ca="1">IFERROR(__xludf.DUMMYFUNCTION("""COMPUTED_VALUE"""),60)</f>
        <v>60</v>
      </c>
      <c r="J130" s="1">
        <f ca="1">IFERROR(__xludf.DUMMYFUNCTION("""COMPUTED_VALUE"""),62.7)</f>
        <v>62.7</v>
      </c>
      <c r="K130" s="1">
        <f ca="1">IFERROR(__xludf.DUMMYFUNCTION("""COMPUTED_VALUE"""),349)</f>
        <v>349</v>
      </c>
      <c r="L130" s="1">
        <f ca="1">IFERROR(__xludf.DUMMYFUNCTION("""COMPUTED_VALUE"""),-0.032)</f>
        <v>-3.2000000000000001E-2</v>
      </c>
      <c r="M130" s="1">
        <f ca="1">IFERROR(__xludf.DUMMYFUNCTION("""COMPUTED_VALUE"""),266)</f>
        <v>266</v>
      </c>
      <c r="N130" s="1" t="str">
        <f ca="1">IFERROR(__xludf.DUMMYFUNCTION("""COMPUTED_VALUE"""),"+4.58")</f>
        <v>+4.58</v>
      </c>
      <c r="O130" s="1">
        <f ca="1">IFERROR(__xludf.DUMMYFUNCTION("""COMPUTED_VALUE"""),78)</f>
        <v>78</v>
      </c>
      <c r="P130" s="1">
        <f ca="1">IFERROR(__xludf.DUMMYFUNCTION("""COMPUTED_VALUE"""),106.8)</f>
        <v>106.8</v>
      </c>
      <c r="Q130" s="1">
        <f ca="1">IFERROR(__xludf.DUMMYFUNCTION("""COMPUTED_VALUE"""),92)</f>
        <v>92</v>
      </c>
      <c r="R130" s="1">
        <f ca="1">IFERROR(__xludf.DUMMYFUNCTION("""COMPUTED_VALUE"""),102.2)</f>
        <v>102.2</v>
      </c>
      <c r="S130" s="1">
        <f ca="1">IFERROR(__xludf.DUMMYFUNCTION("""COMPUTED_VALUE"""),71)</f>
        <v>71</v>
      </c>
      <c r="T130" s="1" t="str">
        <f ca="1">IFERROR(__xludf.DUMMYFUNCTION("""COMPUTED_VALUE"""),"+6.04")</f>
        <v>+6.04</v>
      </c>
      <c r="U130" s="1">
        <f ca="1">IFERROR(__xludf.DUMMYFUNCTION("""COMPUTED_VALUE"""),28)</f>
        <v>28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IFERROR(__xludf.DUMMYFUNCTION("""COMPUTED_VALUE"""),"UC Santa Barbara")</f>
        <v>UC Santa Barbara</v>
      </c>
      <c r="C131" s="1" t="str">
        <f ca="1">IFERROR(__xludf.DUMMYFUNCTION("""COMPUTED_VALUE"""),"BW")</f>
        <v>BW</v>
      </c>
      <c r="D131" s="1" t="str">
        <f ca="1">IFERROR(__xludf.DUMMYFUNCTION("""COMPUTED_VALUE"""),"23-9")</f>
        <v>23-9</v>
      </c>
      <c r="E131" s="1" t="str">
        <f ca="1">IFERROR(__xludf.DUMMYFUNCTION("""COMPUTED_VALUE"""),"+4.27")</f>
        <v>+4.27</v>
      </c>
      <c r="F131" s="1">
        <f ca="1">IFERROR(__xludf.DUMMYFUNCTION("""COMPUTED_VALUE"""),111.4)</f>
        <v>111.4</v>
      </c>
      <c r="G131" s="1">
        <f ca="1">IFERROR(__xludf.DUMMYFUNCTION("""COMPUTED_VALUE"""),64)</f>
        <v>64</v>
      </c>
      <c r="H131" s="1">
        <f ca="1">IFERROR(__xludf.DUMMYFUNCTION("""COMPUTED_VALUE"""),107.1)</f>
        <v>107.1</v>
      </c>
      <c r="I131" s="1">
        <f ca="1">IFERROR(__xludf.DUMMYFUNCTION("""COMPUTED_VALUE"""),212)</f>
        <v>212</v>
      </c>
      <c r="J131" s="1">
        <f ca="1">IFERROR(__xludf.DUMMYFUNCTION("""COMPUTED_VALUE"""),66.7)</f>
        <v>66.7</v>
      </c>
      <c r="K131" s="1">
        <f ca="1">IFERROR(__xludf.DUMMYFUNCTION("""COMPUTED_VALUE"""),250)</f>
        <v>250</v>
      </c>
      <c r="L131" s="1" t="str">
        <f ca="1">IFERROR(__xludf.DUMMYFUNCTION("""COMPUTED_VALUE"""),"+.034")</f>
        <v>+.034</v>
      </c>
      <c r="M131" s="1">
        <f ca="1">IFERROR(__xludf.DUMMYFUNCTION("""COMPUTED_VALUE"""),92)</f>
        <v>92</v>
      </c>
      <c r="N131" s="1">
        <f ca="1">IFERROR(__xludf.DUMMYFUNCTION("""COMPUTED_VALUE"""),-3.86)</f>
        <v>-3.86</v>
      </c>
      <c r="O131" s="1">
        <f ca="1">IFERROR(__xludf.DUMMYFUNCTION("""COMPUTED_VALUE"""),251)</f>
        <v>251</v>
      </c>
      <c r="P131" s="1">
        <f ca="1">IFERROR(__xludf.DUMMYFUNCTION("""COMPUTED_VALUE"""),101.8)</f>
        <v>101.8</v>
      </c>
      <c r="Q131" s="1">
        <f ca="1">IFERROR(__xludf.DUMMYFUNCTION("""COMPUTED_VALUE"""),295)</f>
        <v>295</v>
      </c>
      <c r="R131" s="1">
        <f ca="1">IFERROR(__xludf.DUMMYFUNCTION("""COMPUTED_VALUE"""),105.7)</f>
        <v>105.7</v>
      </c>
      <c r="S131" s="1">
        <f ca="1">IFERROR(__xludf.DUMMYFUNCTION("""COMPUTED_VALUE"""),176)</f>
        <v>176</v>
      </c>
      <c r="T131" s="1">
        <f ca="1">IFERROR(__xludf.DUMMYFUNCTION("""COMPUTED_VALUE"""),-0.86)</f>
        <v>-0.86</v>
      </c>
      <c r="U131" s="1">
        <f ca="1">IFERROR(__xludf.DUMMYFUNCTION("""COMPUTED_VALUE"""),180)</f>
        <v>180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IFERROR(__xludf.DUMMYFUNCTION("""COMPUTED_VALUE"""),"Bradley")</f>
        <v>Bradley</v>
      </c>
      <c r="C132" s="1" t="str">
        <f ca="1">IFERROR(__xludf.DUMMYFUNCTION("""COMPUTED_VALUE"""),"MVC")</f>
        <v>MVC</v>
      </c>
      <c r="D132" s="1" t="str">
        <f ca="1">IFERROR(__xludf.DUMMYFUNCTION("""COMPUTED_VALUE"""),"20-13")</f>
        <v>20-13</v>
      </c>
      <c r="E132" s="1" t="str">
        <f ca="1">IFERROR(__xludf.DUMMYFUNCTION("""COMPUTED_VALUE"""),"+3.98")</f>
        <v>+3.98</v>
      </c>
      <c r="F132" s="1">
        <f ca="1">IFERROR(__xludf.DUMMYFUNCTION("""COMPUTED_VALUE"""),104.4)</f>
        <v>104.4</v>
      </c>
      <c r="G132" s="1">
        <f ca="1">IFERROR(__xludf.DUMMYFUNCTION("""COMPUTED_VALUE"""),184)</f>
        <v>184</v>
      </c>
      <c r="H132" s="1">
        <f ca="1">IFERROR(__xludf.DUMMYFUNCTION("""COMPUTED_VALUE"""),100.4)</f>
        <v>100.4</v>
      </c>
      <c r="I132" s="1">
        <f ca="1">IFERROR(__xludf.DUMMYFUNCTION("""COMPUTED_VALUE"""),84)</f>
        <v>84</v>
      </c>
      <c r="J132" s="1">
        <f ca="1">IFERROR(__xludf.DUMMYFUNCTION("""COMPUTED_VALUE"""),65.8)</f>
        <v>65.8</v>
      </c>
      <c r="K132" s="1">
        <f ca="1">IFERROR(__xludf.DUMMYFUNCTION("""COMPUTED_VALUE"""),292)</f>
        <v>292</v>
      </c>
      <c r="L132" s="1" t="str">
        <f ca="1">IFERROR(__xludf.DUMMYFUNCTION("""COMPUTED_VALUE"""),"+.042")</f>
        <v>+.042</v>
      </c>
      <c r="M132" s="1">
        <f ca="1">IFERROR(__xludf.DUMMYFUNCTION("""COMPUTED_VALUE"""),73)</f>
        <v>73</v>
      </c>
      <c r="N132" s="1" t="str">
        <f ca="1">IFERROR(__xludf.DUMMYFUNCTION("""COMPUTED_VALUE"""),"+1.07")</f>
        <v>+1.07</v>
      </c>
      <c r="O132" s="1">
        <f ca="1">IFERROR(__xludf.DUMMYFUNCTION("""COMPUTED_VALUE"""),120)</f>
        <v>120</v>
      </c>
      <c r="P132" s="1">
        <f ca="1">IFERROR(__xludf.DUMMYFUNCTION("""COMPUTED_VALUE"""),104.7)</f>
        <v>104.7</v>
      </c>
      <c r="Q132" s="1">
        <f ca="1">IFERROR(__xludf.DUMMYFUNCTION("""COMPUTED_VALUE"""),161)</f>
        <v>161</v>
      </c>
      <c r="R132" s="1">
        <f ca="1">IFERROR(__xludf.DUMMYFUNCTION("""COMPUTED_VALUE"""),103.6)</f>
        <v>103.6</v>
      </c>
      <c r="S132" s="1">
        <f ca="1">IFERROR(__xludf.DUMMYFUNCTION("""COMPUTED_VALUE"""),94)</f>
        <v>94</v>
      </c>
      <c r="T132" s="1">
        <f ca="1">IFERROR(__xludf.DUMMYFUNCTION("""COMPUTED_VALUE"""),-4.52)</f>
        <v>-4.5199999999999996</v>
      </c>
      <c r="U132" s="1">
        <f ca="1">IFERROR(__xludf.DUMMYFUNCTION("""COMPUTED_VALUE"""),297)</f>
        <v>297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IFERROR(__xludf.DUMMYFUNCTION("""COMPUTED_VALUE"""),"Penn16")</f>
        <v>Penn16</v>
      </c>
      <c r="C133" s="1" t="str">
        <f ca="1">IFERROR(__xludf.DUMMYFUNCTION("""COMPUTED_VALUE"""),"Ivy")</f>
        <v>Ivy</v>
      </c>
      <c r="D133" s="1" t="str">
        <f ca="1">IFERROR(__xludf.DUMMYFUNCTION("""COMPUTED_VALUE"""),"24-9")</f>
        <v>24-9</v>
      </c>
      <c r="E133" s="1" t="str">
        <f ca="1">IFERROR(__xludf.DUMMYFUNCTION("""COMPUTED_VALUE"""),"+3.69")</f>
        <v>+3.69</v>
      </c>
      <c r="F133" s="1">
        <f ca="1">IFERROR(__xludf.DUMMYFUNCTION("""COMPUTED_VALUE"""),103.1)</f>
        <v>103.1</v>
      </c>
      <c r="G133" s="1">
        <f ca="1">IFERROR(__xludf.DUMMYFUNCTION("""COMPUTED_VALUE"""),208)</f>
        <v>208</v>
      </c>
      <c r="H133" s="1">
        <f ca="1">IFERROR(__xludf.DUMMYFUNCTION("""COMPUTED_VALUE"""),99.4)</f>
        <v>99.4</v>
      </c>
      <c r="I133" s="1">
        <f ca="1">IFERROR(__xludf.DUMMYFUNCTION("""COMPUTED_VALUE"""),72)</f>
        <v>72</v>
      </c>
      <c r="J133" s="1">
        <f ca="1">IFERROR(__xludf.DUMMYFUNCTION("""COMPUTED_VALUE"""),68.9)</f>
        <v>68.900000000000006</v>
      </c>
      <c r="K133" s="1">
        <f ca="1">IFERROR(__xludf.DUMMYFUNCTION("""COMPUTED_VALUE"""),132)</f>
        <v>132</v>
      </c>
      <c r="L133" s="1" t="str">
        <f ca="1">IFERROR(__xludf.DUMMYFUNCTION("""COMPUTED_VALUE"""),"+.076")</f>
        <v>+.076</v>
      </c>
      <c r="M133" s="1">
        <f ca="1">IFERROR(__xludf.DUMMYFUNCTION("""COMPUTED_VALUE"""),24)</f>
        <v>24</v>
      </c>
      <c r="N133" s="1">
        <f ca="1">IFERROR(__xludf.DUMMYFUNCTION("""COMPUTED_VALUE"""),-4.15)</f>
        <v>-4.1500000000000004</v>
      </c>
      <c r="O133" s="1">
        <f ca="1">IFERROR(__xludf.DUMMYFUNCTION("""COMPUTED_VALUE"""),261)</f>
        <v>261</v>
      </c>
      <c r="P133" s="1">
        <f ca="1">IFERROR(__xludf.DUMMYFUNCTION("""COMPUTED_VALUE"""),103.7)</f>
        <v>103.7</v>
      </c>
      <c r="Q133" s="1">
        <f ca="1">IFERROR(__xludf.DUMMYFUNCTION("""COMPUTED_VALUE"""),209)</f>
        <v>209</v>
      </c>
      <c r="R133" s="1">
        <f ca="1">IFERROR(__xludf.DUMMYFUNCTION("""COMPUTED_VALUE"""),107.8)</f>
        <v>107.8</v>
      </c>
      <c r="S133" s="1">
        <f ca="1">IFERROR(__xludf.DUMMYFUNCTION("""COMPUTED_VALUE"""),296)</f>
        <v>296</v>
      </c>
      <c r="T133" s="1">
        <f ca="1">IFERROR(__xludf.DUMMYFUNCTION("""COMPUTED_VALUE"""),-2.98)</f>
        <v>-2.98</v>
      </c>
      <c r="U133" s="1">
        <f ca="1">IFERROR(__xludf.DUMMYFUNCTION("""COMPUTED_VALUE"""),249)</f>
        <v>249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IFERROR(__xludf.DUMMYFUNCTION("""COMPUTED_VALUE"""),"Idaho")</f>
        <v>Idaho</v>
      </c>
      <c r="C134" s="1" t="str">
        <f ca="1">IFERROR(__xludf.DUMMYFUNCTION("""COMPUTED_VALUE"""),"BSky")</f>
        <v>BSky</v>
      </c>
      <c r="D134" s="1" t="str">
        <f ca="1">IFERROR(__xludf.DUMMYFUNCTION("""COMPUTED_VALUE"""),"22-9")</f>
        <v>22-9</v>
      </c>
      <c r="E134" s="1" t="str">
        <f ca="1">IFERROR(__xludf.DUMMYFUNCTION("""COMPUTED_VALUE"""),"+3.54")</f>
        <v>+3.54</v>
      </c>
      <c r="F134" s="1">
        <f ca="1">IFERROR(__xludf.DUMMYFUNCTION("""COMPUTED_VALUE"""),109.2)</f>
        <v>109.2</v>
      </c>
      <c r="G134" s="1">
        <f ca="1">IFERROR(__xludf.DUMMYFUNCTION("""COMPUTED_VALUE"""),95)</f>
        <v>95</v>
      </c>
      <c r="H134" s="1">
        <f ca="1">IFERROR(__xludf.DUMMYFUNCTION("""COMPUTED_VALUE"""),105.6)</f>
        <v>105.6</v>
      </c>
      <c r="I134" s="1">
        <f ca="1">IFERROR(__xludf.DUMMYFUNCTION("""COMPUTED_VALUE"""),184)</f>
        <v>184</v>
      </c>
      <c r="J134" s="1">
        <f ca="1">IFERROR(__xludf.DUMMYFUNCTION("""COMPUTED_VALUE"""),65.6)</f>
        <v>65.599999999999994</v>
      </c>
      <c r="K134" s="1">
        <f ca="1">IFERROR(__xludf.DUMMYFUNCTION("""COMPUTED_VALUE"""),303)</f>
        <v>303</v>
      </c>
      <c r="L134" s="1" t="str">
        <f ca="1">IFERROR(__xludf.DUMMYFUNCTION("""COMPUTED_VALUE"""),"+.039")</f>
        <v>+.039</v>
      </c>
      <c r="M134" s="1">
        <f ca="1">IFERROR(__xludf.DUMMYFUNCTION("""COMPUTED_VALUE"""),80)</f>
        <v>80</v>
      </c>
      <c r="N134" s="1">
        <f ca="1">IFERROR(__xludf.DUMMYFUNCTION("""COMPUTED_VALUE"""),-3.98)</f>
        <v>-3.98</v>
      </c>
      <c r="O134" s="1">
        <f ca="1">IFERROR(__xludf.DUMMYFUNCTION("""COMPUTED_VALUE"""),253)</f>
        <v>253</v>
      </c>
      <c r="P134" s="1">
        <f ca="1">IFERROR(__xludf.DUMMYFUNCTION("""COMPUTED_VALUE"""),103.1)</f>
        <v>103.1</v>
      </c>
      <c r="Q134" s="1">
        <f ca="1">IFERROR(__xludf.DUMMYFUNCTION("""COMPUTED_VALUE"""),239)</f>
        <v>239</v>
      </c>
      <c r="R134" s="1">
        <f ca="1">IFERROR(__xludf.DUMMYFUNCTION("""COMPUTED_VALUE"""),107.1)</f>
        <v>107.1</v>
      </c>
      <c r="S134" s="1">
        <f ca="1">IFERROR(__xludf.DUMMYFUNCTION("""COMPUTED_VALUE"""),263)</f>
        <v>263</v>
      </c>
      <c r="T134" s="1">
        <f ca="1">IFERROR(__xludf.DUMMYFUNCTION("""COMPUTED_VALUE"""),-3.07)</f>
        <v>-3.07</v>
      </c>
      <c r="U134" s="1">
        <f ca="1">IFERROR(__xludf.DUMMYFUNCTION("""COMPUTED_VALUE"""),252)</f>
        <v>252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IFERROR(__xludf.DUMMYFUNCTION("""COMPUTED_VALUE"""),"Florida Gulf Coast7")</f>
        <v>Florida Gulf Coast7</v>
      </c>
      <c r="C135" s="1" t="str">
        <f ca="1">IFERROR(__xludf.DUMMYFUNCTION("""COMPUTED_VALUE"""),"ASun")</f>
        <v>ASun</v>
      </c>
      <c r="D135" s="1" t="str">
        <f ca="1">IFERROR(__xludf.DUMMYFUNCTION("""COMPUTED_VALUE"""),"23-12")</f>
        <v>23-12</v>
      </c>
      <c r="E135" s="1" t="str">
        <f ca="1">IFERROR(__xludf.DUMMYFUNCTION("""COMPUTED_VALUE"""),"+3.47")</f>
        <v>+3.47</v>
      </c>
      <c r="F135" s="1">
        <f ca="1">IFERROR(__xludf.DUMMYFUNCTION("""COMPUTED_VALUE"""),107.5)</f>
        <v>107.5</v>
      </c>
      <c r="G135" s="1">
        <f ca="1">IFERROR(__xludf.DUMMYFUNCTION("""COMPUTED_VALUE"""),124)</f>
        <v>124</v>
      </c>
      <c r="H135" s="1">
        <f ca="1">IFERROR(__xludf.DUMMYFUNCTION("""COMPUTED_VALUE"""),104)</f>
        <v>104</v>
      </c>
      <c r="I135" s="1">
        <f ca="1">IFERROR(__xludf.DUMMYFUNCTION("""COMPUTED_VALUE"""),158)</f>
        <v>158</v>
      </c>
      <c r="J135" s="1">
        <f ca="1">IFERROR(__xludf.DUMMYFUNCTION("""COMPUTED_VALUE"""),71.6)</f>
        <v>71.599999999999994</v>
      </c>
      <c r="K135" s="1">
        <f ca="1">IFERROR(__xludf.DUMMYFUNCTION("""COMPUTED_VALUE"""),35)</f>
        <v>35</v>
      </c>
      <c r="L135" s="1">
        <f ca="1">IFERROR(__xludf.DUMMYFUNCTION("""COMPUTED_VALUE"""),-0.059)</f>
        <v>-5.8999999999999997E-2</v>
      </c>
      <c r="M135" s="1">
        <f ca="1">IFERROR(__xludf.DUMMYFUNCTION("""COMPUTED_VALUE"""),313)</f>
        <v>313</v>
      </c>
      <c r="N135" s="1">
        <f ca="1">IFERROR(__xludf.DUMMYFUNCTION("""COMPUTED_VALUE"""),-6.95)</f>
        <v>-6.95</v>
      </c>
      <c r="O135" s="1">
        <f ca="1">IFERROR(__xludf.DUMMYFUNCTION("""COMPUTED_VALUE"""),317)</f>
        <v>317</v>
      </c>
      <c r="P135" s="1">
        <f ca="1">IFERROR(__xludf.DUMMYFUNCTION("""COMPUTED_VALUE"""),102.4)</f>
        <v>102.4</v>
      </c>
      <c r="Q135" s="1">
        <f ca="1">IFERROR(__xludf.DUMMYFUNCTION("""COMPUTED_VALUE"""),279)</f>
        <v>279</v>
      </c>
      <c r="R135" s="1">
        <f ca="1">IFERROR(__xludf.DUMMYFUNCTION("""COMPUTED_VALUE"""),109.3)</f>
        <v>109.3</v>
      </c>
      <c r="S135" s="1">
        <f ca="1">IFERROR(__xludf.DUMMYFUNCTION("""COMPUTED_VALUE"""),341)</f>
        <v>341</v>
      </c>
      <c r="T135" s="1">
        <f ca="1">IFERROR(__xludf.DUMMYFUNCTION("""COMPUTED_VALUE"""),-0.65)</f>
        <v>-0.65</v>
      </c>
      <c r="U135" s="1">
        <f ca="1">IFERROR(__xludf.DUMMYFUNCTION("""COMPUTED_VALUE"""),173)</f>
        <v>173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IFERROR(__xludf.DUMMYFUNCTION("""COMPUTED_VALUE"""),"UT Arlington")</f>
        <v>UT Arlington</v>
      </c>
      <c r="C136" s="1" t="str">
        <f ca="1">IFERROR(__xludf.DUMMYFUNCTION("""COMPUTED_VALUE"""),"SB")</f>
        <v>SB</v>
      </c>
      <c r="D136" s="1" t="str">
        <f ca="1">IFERROR(__xludf.DUMMYFUNCTION("""COMPUTED_VALUE"""),"21-13")</f>
        <v>21-13</v>
      </c>
      <c r="E136" s="1" t="str">
        <f ca="1">IFERROR(__xludf.DUMMYFUNCTION("""COMPUTED_VALUE"""),"+3.37")</f>
        <v>+3.37</v>
      </c>
      <c r="F136" s="1">
        <f ca="1">IFERROR(__xludf.DUMMYFUNCTION("""COMPUTED_VALUE"""),105.5)</f>
        <v>105.5</v>
      </c>
      <c r="G136" s="1">
        <f ca="1">IFERROR(__xludf.DUMMYFUNCTION("""COMPUTED_VALUE"""),163)</f>
        <v>163</v>
      </c>
      <c r="H136" s="1">
        <f ca="1">IFERROR(__xludf.DUMMYFUNCTION("""COMPUTED_VALUE"""),102.1)</f>
        <v>102.1</v>
      </c>
      <c r="I136" s="1">
        <f ca="1">IFERROR(__xludf.DUMMYFUNCTION("""COMPUTED_VALUE"""),115)</f>
        <v>115</v>
      </c>
      <c r="J136" s="1">
        <f ca="1">IFERROR(__xludf.DUMMYFUNCTION("""COMPUTED_VALUE"""),72.8)</f>
        <v>72.8</v>
      </c>
      <c r="K136" s="1">
        <f ca="1">IFERROR(__xludf.DUMMYFUNCTION("""COMPUTED_VALUE"""),15)</f>
        <v>15</v>
      </c>
      <c r="L136" s="1" t="str">
        <f ca="1">IFERROR(__xludf.DUMMYFUNCTION("""COMPUTED_VALUE"""),"+.009")</f>
        <v>+.009</v>
      </c>
      <c r="M136" s="1">
        <f ca="1">IFERROR(__xludf.DUMMYFUNCTION("""COMPUTED_VALUE"""),152)</f>
        <v>152</v>
      </c>
      <c r="N136" s="1">
        <f ca="1">IFERROR(__xludf.DUMMYFUNCTION("""COMPUTED_VALUE"""),-1.37)</f>
        <v>-1.37</v>
      </c>
      <c r="O136" s="1">
        <f ca="1">IFERROR(__xludf.DUMMYFUNCTION("""COMPUTED_VALUE"""),173)</f>
        <v>173</v>
      </c>
      <c r="P136" s="1">
        <f ca="1">IFERROR(__xludf.DUMMYFUNCTION("""COMPUTED_VALUE"""),104.2)</f>
        <v>104.2</v>
      </c>
      <c r="Q136" s="1">
        <f ca="1">IFERROR(__xludf.DUMMYFUNCTION("""COMPUTED_VALUE"""),185)</f>
        <v>185</v>
      </c>
      <c r="R136" s="1">
        <f ca="1">IFERROR(__xludf.DUMMYFUNCTION("""COMPUTED_VALUE"""),105.5)</f>
        <v>105.5</v>
      </c>
      <c r="S136" s="1">
        <f ca="1">IFERROR(__xludf.DUMMYFUNCTION("""COMPUTED_VALUE"""),166)</f>
        <v>166</v>
      </c>
      <c r="T136" s="1">
        <f ca="1">IFERROR(__xludf.DUMMYFUNCTION("""COMPUTED_VALUE"""),-1.2)</f>
        <v>-1.2</v>
      </c>
      <c r="U136" s="1">
        <f ca="1">IFERROR(__xludf.DUMMYFUNCTION("""COMPUTED_VALUE"""),187)</f>
        <v>187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IFERROR(__xludf.DUMMYFUNCTION("""COMPUTED_VALUE"""),"UC Davis7")</f>
        <v>UC Davis7</v>
      </c>
      <c r="C137" s="1" t="str">
        <f ca="1">IFERROR(__xludf.DUMMYFUNCTION("""COMPUTED_VALUE"""),"BW")</f>
        <v>BW</v>
      </c>
      <c r="D137" s="1" t="str">
        <f ca="1">IFERROR(__xludf.DUMMYFUNCTION("""COMPUTED_VALUE"""),"22-11")</f>
        <v>22-11</v>
      </c>
      <c r="E137" s="1" t="str">
        <f ca="1">IFERROR(__xludf.DUMMYFUNCTION("""COMPUTED_VALUE"""),"+3.25")</f>
        <v>+3.25</v>
      </c>
      <c r="F137" s="1">
        <f ca="1">IFERROR(__xludf.DUMMYFUNCTION("""COMPUTED_VALUE"""),104.1)</f>
        <v>104.1</v>
      </c>
      <c r="G137" s="1">
        <f ca="1">IFERROR(__xludf.DUMMYFUNCTION("""COMPUTED_VALUE"""),186)</f>
        <v>186</v>
      </c>
      <c r="H137" s="1">
        <f ca="1">IFERROR(__xludf.DUMMYFUNCTION("""COMPUTED_VALUE"""),100.9)</f>
        <v>100.9</v>
      </c>
      <c r="I137" s="1">
        <f ca="1">IFERROR(__xludf.DUMMYFUNCTION("""COMPUTED_VALUE"""),96)</f>
        <v>96</v>
      </c>
      <c r="J137" s="1">
        <f ca="1">IFERROR(__xludf.DUMMYFUNCTION("""COMPUTED_VALUE"""),66.5)</f>
        <v>66.5</v>
      </c>
      <c r="K137" s="1">
        <f ca="1">IFERROR(__xludf.DUMMYFUNCTION("""COMPUTED_VALUE"""),263)</f>
        <v>263</v>
      </c>
      <c r="L137" s="1" t="str">
        <f ca="1">IFERROR(__xludf.DUMMYFUNCTION("""COMPUTED_VALUE"""),"+.041")</f>
        <v>+.041</v>
      </c>
      <c r="M137" s="1">
        <f ca="1">IFERROR(__xludf.DUMMYFUNCTION("""COMPUTED_VALUE"""),75)</f>
        <v>75</v>
      </c>
      <c r="N137" s="1">
        <f ca="1">IFERROR(__xludf.DUMMYFUNCTION("""COMPUTED_VALUE"""),-1.05)</f>
        <v>-1.05</v>
      </c>
      <c r="O137" s="1">
        <f ca="1">IFERROR(__xludf.DUMMYFUNCTION("""COMPUTED_VALUE"""),164)</f>
        <v>164</v>
      </c>
      <c r="P137" s="1">
        <f ca="1">IFERROR(__xludf.DUMMYFUNCTION("""COMPUTED_VALUE"""),103.7)</f>
        <v>103.7</v>
      </c>
      <c r="Q137" s="1">
        <f ca="1">IFERROR(__xludf.DUMMYFUNCTION("""COMPUTED_VALUE"""),205)</f>
        <v>205</v>
      </c>
      <c r="R137" s="1">
        <f ca="1">IFERROR(__xludf.DUMMYFUNCTION("""COMPUTED_VALUE"""),104.8)</f>
        <v>104.8</v>
      </c>
      <c r="S137" s="1">
        <f ca="1">IFERROR(__xludf.DUMMYFUNCTION("""COMPUTED_VALUE"""),127)</f>
        <v>127</v>
      </c>
      <c r="T137" s="1" t="str">
        <f ca="1">IFERROR(__xludf.DUMMYFUNCTION("""COMPUTED_VALUE"""),"+4.12")</f>
        <v>+4.12</v>
      </c>
      <c r="U137" s="1">
        <f ca="1">IFERROR(__xludf.DUMMYFUNCTION("""COMPUTED_VALUE"""),56)</f>
        <v>56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IFERROR(__xludf.DUMMYFUNCTION("""COMPUTED_VALUE"""),"Rutgers")</f>
        <v>Rutgers</v>
      </c>
      <c r="C138" s="1" t="str">
        <f ca="1">IFERROR(__xludf.DUMMYFUNCTION("""COMPUTED_VALUE"""),"B10")</f>
        <v>B10</v>
      </c>
      <c r="D138" s="1" t="str">
        <f ca="1">IFERROR(__xludf.DUMMYFUNCTION("""COMPUTED_VALUE"""),"15-19")</f>
        <v>15-19</v>
      </c>
      <c r="E138" s="1" t="str">
        <f ca="1">IFERROR(__xludf.DUMMYFUNCTION("""COMPUTED_VALUE"""),"+3.07")</f>
        <v>+3.07</v>
      </c>
      <c r="F138" s="1">
        <f ca="1">IFERROR(__xludf.DUMMYFUNCTION("""COMPUTED_VALUE"""),99.2)</f>
        <v>99.2</v>
      </c>
      <c r="G138" s="1">
        <f ca="1">IFERROR(__xludf.DUMMYFUNCTION("""COMPUTED_VALUE"""),270)</f>
        <v>270</v>
      </c>
      <c r="H138" s="1">
        <f ca="1">IFERROR(__xludf.DUMMYFUNCTION("""COMPUTED_VALUE"""),96.2)</f>
        <v>96.2</v>
      </c>
      <c r="I138" s="1">
        <f ca="1">IFERROR(__xludf.DUMMYFUNCTION("""COMPUTED_VALUE"""),28)</f>
        <v>28</v>
      </c>
      <c r="J138" s="1">
        <f ca="1">IFERROR(__xludf.DUMMYFUNCTION("""COMPUTED_VALUE"""),66)</f>
        <v>66</v>
      </c>
      <c r="K138" s="1">
        <f ca="1">IFERROR(__xludf.DUMMYFUNCTION("""COMPUTED_VALUE"""),281)</f>
        <v>281</v>
      </c>
      <c r="L138" s="1">
        <f ca="1">IFERROR(__xludf.DUMMYFUNCTION("""COMPUTED_VALUE"""),-0.043)</f>
        <v>-4.2999999999999997E-2</v>
      </c>
      <c r="M138" s="1">
        <f ca="1">IFERROR(__xludf.DUMMYFUNCTION("""COMPUTED_VALUE"""),283)</f>
        <v>283</v>
      </c>
      <c r="N138" s="1" t="str">
        <f ca="1">IFERROR(__xludf.DUMMYFUNCTION("""COMPUTED_VALUE"""),"+5.58")</f>
        <v>+5.58</v>
      </c>
      <c r="O138" s="1">
        <f ca="1">IFERROR(__xludf.DUMMYFUNCTION("""COMPUTED_VALUE"""),70)</f>
        <v>70</v>
      </c>
      <c r="P138" s="1">
        <f ca="1">IFERROR(__xludf.DUMMYFUNCTION("""COMPUTED_VALUE"""),108.2)</f>
        <v>108.2</v>
      </c>
      <c r="Q138" s="1">
        <f ca="1">IFERROR(__xludf.DUMMYFUNCTION("""COMPUTED_VALUE"""),70)</f>
        <v>70</v>
      </c>
      <c r="R138" s="1">
        <f ca="1">IFERROR(__xludf.DUMMYFUNCTION("""COMPUTED_VALUE"""),102.6)</f>
        <v>102.6</v>
      </c>
      <c r="S138" s="1">
        <f ca="1">IFERROR(__xludf.DUMMYFUNCTION("""COMPUTED_VALUE"""),74)</f>
        <v>74</v>
      </c>
      <c r="T138" s="1">
        <f ca="1">IFERROR(__xludf.DUMMYFUNCTION("""COMPUTED_VALUE"""),-14.27)</f>
        <v>-14.27</v>
      </c>
      <c r="U138" s="1">
        <f ca="1">IFERROR(__xludf.DUMMYFUNCTION("""COMPUTED_VALUE"""),348)</f>
        <v>348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IFERROR(__xludf.DUMMYFUNCTION("""COMPUTED_VALUE"""),"Canisius")</f>
        <v>Canisius</v>
      </c>
      <c r="C139" s="1" t="str">
        <f ca="1">IFERROR(__xludf.DUMMYFUNCTION("""COMPUTED_VALUE"""),"MAAC")</f>
        <v>MAAC</v>
      </c>
      <c r="D139" s="1" t="str">
        <f ca="1">IFERROR(__xludf.DUMMYFUNCTION("""COMPUTED_VALUE"""),"21-12")</f>
        <v>21-12</v>
      </c>
      <c r="E139" s="1" t="str">
        <f ca="1">IFERROR(__xludf.DUMMYFUNCTION("""COMPUTED_VALUE"""),"+3.05")</f>
        <v>+3.05</v>
      </c>
      <c r="F139" s="1">
        <f ca="1">IFERROR(__xludf.DUMMYFUNCTION("""COMPUTED_VALUE"""),107.2)</f>
        <v>107.2</v>
      </c>
      <c r="G139" s="1">
        <f ca="1">IFERROR(__xludf.DUMMYFUNCTION("""COMPUTED_VALUE"""),133)</f>
        <v>133</v>
      </c>
      <c r="H139" s="1">
        <f ca="1">IFERROR(__xludf.DUMMYFUNCTION("""COMPUTED_VALUE"""),104.1)</f>
        <v>104.1</v>
      </c>
      <c r="I139" s="1">
        <f ca="1">IFERROR(__xludf.DUMMYFUNCTION("""COMPUTED_VALUE"""),159)</f>
        <v>159</v>
      </c>
      <c r="J139" s="1">
        <f ca="1">IFERROR(__xludf.DUMMYFUNCTION("""COMPUTED_VALUE"""),68.9)</f>
        <v>68.900000000000006</v>
      </c>
      <c r="K139" s="1">
        <f ca="1">IFERROR(__xludf.DUMMYFUNCTION("""COMPUTED_VALUE"""),131)</f>
        <v>131</v>
      </c>
      <c r="L139" s="1">
        <f ca="1">IFERROR(__xludf.DUMMYFUNCTION("""COMPUTED_VALUE"""),-0.034)</f>
        <v>-3.4000000000000002E-2</v>
      </c>
      <c r="M139" s="1">
        <f ca="1">IFERROR(__xludf.DUMMYFUNCTION("""COMPUTED_VALUE"""),270)</f>
        <v>270</v>
      </c>
      <c r="N139" s="1">
        <f ca="1">IFERROR(__xludf.DUMMYFUNCTION("""COMPUTED_VALUE"""),-4.82)</f>
        <v>-4.82</v>
      </c>
      <c r="O139" s="1">
        <f ca="1">IFERROR(__xludf.DUMMYFUNCTION("""COMPUTED_VALUE"""),281)</f>
        <v>281</v>
      </c>
      <c r="P139" s="1">
        <f ca="1">IFERROR(__xludf.DUMMYFUNCTION("""COMPUTED_VALUE"""),102.4)</f>
        <v>102.4</v>
      </c>
      <c r="Q139" s="1">
        <f ca="1">IFERROR(__xludf.DUMMYFUNCTION("""COMPUTED_VALUE"""),281)</f>
        <v>281</v>
      </c>
      <c r="R139" s="1">
        <f ca="1">IFERROR(__xludf.DUMMYFUNCTION("""COMPUTED_VALUE"""),107.2)</f>
        <v>107.2</v>
      </c>
      <c r="S139" s="1">
        <f ca="1">IFERROR(__xludf.DUMMYFUNCTION("""COMPUTED_VALUE"""),265)</f>
        <v>265</v>
      </c>
      <c r="T139" s="1">
        <f ca="1">IFERROR(__xludf.DUMMYFUNCTION("""COMPUTED_VALUE"""),-2.89)</f>
        <v>-2.89</v>
      </c>
      <c r="U139" s="1">
        <f ca="1">IFERROR(__xludf.DUMMYFUNCTION("""COMPUTED_VALUE"""),247)</f>
        <v>247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IFERROR(__xludf.DUMMYFUNCTION("""COMPUTED_VALUE"""),"San Diego")</f>
        <v>San Diego</v>
      </c>
      <c r="C140" s="1" t="str">
        <f ca="1">IFERROR(__xludf.DUMMYFUNCTION("""COMPUTED_VALUE"""),"WCC")</f>
        <v>WCC</v>
      </c>
      <c r="D140" s="1" t="str">
        <f ca="1">IFERROR(__xludf.DUMMYFUNCTION("""COMPUTED_VALUE"""),"20-14")</f>
        <v>20-14</v>
      </c>
      <c r="E140" s="1" t="str">
        <f ca="1">IFERROR(__xludf.DUMMYFUNCTION("""COMPUTED_VALUE"""),"+3.01")</f>
        <v>+3.01</v>
      </c>
      <c r="F140" s="1">
        <f ca="1">IFERROR(__xludf.DUMMYFUNCTION("""COMPUTED_VALUE"""),103.6)</f>
        <v>103.6</v>
      </c>
      <c r="G140" s="1">
        <f ca="1">IFERROR(__xludf.DUMMYFUNCTION("""COMPUTED_VALUE"""),195)</f>
        <v>195</v>
      </c>
      <c r="H140" s="1">
        <f ca="1">IFERROR(__xludf.DUMMYFUNCTION("""COMPUTED_VALUE"""),100.6)</f>
        <v>100.6</v>
      </c>
      <c r="I140" s="1">
        <f ca="1">IFERROR(__xludf.DUMMYFUNCTION("""COMPUTED_VALUE"""),91)</f>
        <v>91</v>
      </c>
      <c r="J140" s="1">
        <f ca="1">IFERROR(__xludf.DUMMYFUNCTION("""COMPUTED_VALUE"""),66.9)</f>
        <v>66.900000000000006</v>
      </c>
      <c r="K140" s="1">
        <f ca="1">IFERROR(__xludf.DUMMYFUNCTION("""COMPUTED_VALUE"""),242)</f>
        <v>242</v>
      </c>
      <c r="L140" s="1">
        <f ca="1">IFERROR(__xludf.DUMMYFUNCTION("""COMPUTED_VALUE"""),-0.014)</f>
        <v>-1.4E-2</v>
      </c>
      <c r="M140" s="1">
        <f ca="1">IFERROR(__xludf.DUMMYFUNCTION("""COMPUTED_VALUE"""),215)</f>
        <v>215</v>
      </c>
      <c r="N140" s="1">
        <f ca="1">IFERROR(__xludf.DUMMYFUNCTION("""COMPUTED_VALUE"""),-0.77)</f>
        <v>-0.77</v>
      </c>
      <c r="O140" s="1">
        <f ca="1">IFERROR(__xludf.DUMMYFUNCTION("""COMPUTED_VALUE"""),156)</f>
        <v>156</v>
      </c>
      <c r="P140" s="1">
        <f ca="1">IFERROR(__xludf.DUMMYFUNCTION("""COMPUTED_VALUE"""),104.5)</f>
        <v>104.5</v>
      </c>
      <c r="Q140" s="1">
        <f ca="1">IFERROR(__xludf.DUMMYFUNCTION("""COMPUTED_VALUE"""),175)</f>
        <v>175</v>
      </c>
      <c r="R140" s="1">
        <f ca="1">IFERROR(__xludf.DUMMYFUNCTION("""COMPUTED_VALUE"""),105.2)</f>
        <v>105.2</v>
      </c>
      <c r="S140" s="1">
        <f ca="1">IFERROR(__xludf.DUMMYFUNCTION("""COMPUTED_VALUE"""),150)</f>
        <v>150</v>
      </c>
      <c r="T140" s="1">
        <f ca="1">IFERROR(__xludf.DUMMYFUNCTION("""COMPUTED_VALUE"""),-2.63)</f>
        <v>-2.63</v>
      </c>
      <c r="U140" s="1">
        <f ca="1">IFERROR(__xludf.DUMMYFUNCTION("""COMPUTED_VALUE"""),240)</f>
        <v>240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IFERROR(__xludf.DUMMYFUNCTION("""COMPUTED_VALUE"""),"Wright St.14")</f>
        <v>Wright St.14</v>
      </c>
      <c r="C141" s="1" t="str">
        <f ca="1">IFERROR(__xludf.DUMMYFUNCTION("""COMPUTED_VALUE"""),"Horz")</f>
        <v>Horz</v>
      </c>
      <c r="D141" s="1" t="str">
        <f ca="1">IFERROR(__xludf.DUMMYFUNCTION("""COMPUTED_VALUE"""),"25-10")</f>
        <v>25-10</v>
      </c>
      <c r="E141" s="1" t="str">
        <f ca="1">IFERROR(__xludf.DUMMYFUNCTION("""COMPUTED_VALUE"""),"+2.89")</f>
        <v>+2.89</v>
      </c>
      <c r="F141" s="1">
        <f ca="1">IFERROR(__xludf.DUMMYFUNCTION("""COMPUTED_VALUE"""),100.6)</f>
        <v>100.6</v>
      </c>
      <c r="G141" s="1">
        <f ca="1">IFERROR(__xludf.DUMMYFUNCTION("""COMPUTED_VALUE"""),249)</f>
        <v>249</v>
      </c>
      <c r="H141" s="1">
        <f ca="1">IFERROR(__xludf.DUMMYFUNCTION("""COMPUTED_VALUE"""),97.7)</f>
        <v>97.7</v>
      </c>
      <c r="I141" s="1">
        <f ca="1">IFERROR(__xludf.DUMMYFUNCTION("""COMPUTED_VALUE"""),51)</f>
        <v>51</v>
      </c>
      <c r="J141" s="1">
        <f ca="1">IFERROR(__xludf.DUMMYFUNCTION("""COMPUTED_VALUE"""),68.3)</f>
        <v>68.3</v>
      </c>
      <c r="K141" s="1">
        <f ca="1">IFERROR(__xludf.DUMMYFUNCTION("""COMPUTED_VALUE"""),176)</f>
        <v>176</v>
      </c>
      <c r="L141" s="1" t="str">
        <f ca="1">IFERROR(__xludf.DUMMYFUNCTION("""COMPUTED_VALUE"""),"+.074")</f>
        <v>+.074</v>
      </c>
      <c r="M141" s="1">
        <f ca="1">IFERROR(__xludf.DUMMYFUNCTION("""COMPUTED_VALUE"""),27)</f>
        <v>27</v>
      </c>
      <c r="N141" s="1">
        <f ca="1">IFERROR(__xludf.DUMMYFUNCTION("""COMPUTED_VALUE"""),-3.79)</f>
        <v>-3.79</v>
      </c>
      <c r="O141" s="1">
        <f ca="1">IFERROR(__xludf.DUMMYFUNCTION("""COMPUTED_VALUE"""),250)</f>
        <v>250</v>
      </c>
      <c r="P141" s="1">
        <f ca="1">IFERROR(__xludf.DUMMYFUNCTION("""COMPUTED_VALUE"""),102.7)</f>
        <v>102.7</v>
      </c>
      <c r="Q141" s="1">
        <f ca="1">IFERROR(__xludf.DUMMYFUNCTION("""COMPUTED_VALUE"""),266)</f>
        <v>266</v>
      </c>
      <c r="R141" s="1">
        <f ca="1">IFERROR(__xludf.DUMMYFUNCTION("""COMPUTED_VALUE"""),106.5)</f>
        <v>106.5</v>
      </c>
      <c r="S141" s="1">
        <f ca="1">IFERROR(__xludf.DUMMYFUNCTION("""COMPUTED_VALUE"""),228)</f>
        <v>228</v>
      </c>
      <c r="T141" s="1" t="str">
        <f ca="1">IFERROR(__xludf.DUMMYFUNCTION("""COMPUTED_VALUE"""),"+2.23")</f>
        <v>+2.23</v>
      </c>
      <c r="U141" s="1">
        <f ca="1">IFERROR(__xludf.DUMMYFUNCTION("""COMPUTED_VALUE"""),92)</f>
        <v>92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IFERROR(__xludf.DUMMYFUNCTION("""COMPUTED_VALUE"""),"Evansville")</f>
        <v>Evansville</v>
      </c>
      <c r="C142" s="1" t="str">
        <f ca="1">IFERROR(__xludf.DUMMYFUNCTION("""COMPUTED_VALUE"""),"MVC")</f>
        <v>MVC</v>
      </c>
      <c r="D142" s="1" t="str">
        <f ca="1">IFERROR(__xludf.DUMMYFUNCTION("""COMPUTED_VALUE"""),"17-15")</f>
        <v>17-15</v>
      </c>
      <c r="E142" s="1" t="str">
        <f ca="1">IFERROR(__xludf.DUMMYFUNCTION("""COMPUTED_VALUE"""),"+2.85")</f>
        <v>+2.85</v>
      </c>
      <c r="F142" s="1">
        <f ca="1">IFERROR(__xludf.DUMMYFUNCTION("""COMPUTED_VALUE"""),99.3)</f>
        <v>99.3</v>
      </c>
      <c r="G142" s="1">
        <f ca="1">IFERROR(__xludf.DUMMYFUNCTION("""COMPUTED_VALUE"""),266)</f>
        <v>266</v>
      </c>
      <c r="H142" s="1">
        <f ca="1">IFERROR(__xludf.DUMMYFUNCTION("""COMPUTED_VALUE"""),96.5)</f>
        <v>96.5</v>
      </c>
      <c r="I142" s="1">
        <f ca="1">IFERROR(__xludf.DUMMYFUNCTION("""COMPUTED_VALUE"""),32)</f>
        <v>32</v>
      </c>
      <c r="J142" s="1">
        <f ca="1">IFERROR(__xludf.DUMMYFUNCTION("""COMPUTED_VALUE"""),65.7)</f>
        <v>65.7</v>
      </c>
      <c r="K142" s="1">
        <f ca="1">IFERROR(__xludf.DUMMYFUNCTION("""COMPUTED_VALUE"""),295)</f>
        <v>295</v>
      </c>
      <c r="L142" s="1" t="str">
        <f ca="1">IFERROR(__xludf.DUMMYFUNCTION("""COMPUTED_VALUE"""),"+.015")</f>
        <v>+.015</v>
      </c>
      <c r="M142" s="1">
        <f ca="1">IFERROR(__xludf.DUMMYFUNCTION("""COMPUTED_VALUE"""),138)</f>
        <v>138</v>
      </c>
      <c r="N142" s="1" t="str">
        <f ca="1">IFERROR(__xludf.DUMMYFUNCTION("""COMPUTED_VALUE"""),"+1.38")</f>
        <v>+1.38</v>
      </c>
      <c r="O142" s="1">
        <f ca="1">IFERROR(__xludf.DUMMYFUNCTION("""COMPUTED_VALUE"""),109)</f>
        <v>109</v>
      </c>
      <c r="P142" s="1">
        <f ca="1">IFERROR(__xludf.DUMMYFUNCTION("""COMPUTED_VALUE"""),105.4)</f>
        <v>105.4</v>
      </c>
      <c r="Q142" s="1">
        <f ca="1">IFERROR(__xludf.DUMMYFUNCTION("""COMPUTED_VALUE"""),131)</f>
        <v>131</v>
      </c>
      <c r="R142" s="1">
        <f ca="1">IFERROR(__xludf.DUMMYFUNCTION("""COMPUTED_VALUE"""),104)</f>
        <v>104</v>
      </c>
      <c r="S142" s="1">
        <f ca="1">IFERROR(__xludf.DUMMYFUNCTION("""COMPUTED_VALUE"""),103)</f>
        <v>103</v>
      </c>
      <c r="T142" s="1">
        <f ca="1">IFERROR(__xludf.DUMMYFUNCTION("""COMPUTED_VALUE"""),-3.48)</f>
        <v>-3.48</v>
      </c>
      <c r="U142" s="1">
        <f ca="1">IFERROR(__xludf.DUMMYFUNCTION("""COMPUTED_VALUE"""),273)</f>
        <v>273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IFERROR(__xludf.DUMMYFUNCTION("""COMPUTED_VALUE"""),"Southern Illinois")</f>
        <v>Southern Illinois</v>
      </c>
      <c r="C143" s="1" t="str">
        <f ca="1">IFERROR(__xludf.DUMMYFUNCTION("""COMPUTED_VALUE"""),"MVC")</f>
        <v>MVC</v>
      </c>
      <c r="D143" s="1" t="str">
        <f ca="1">IFERROR(__xludf.DUMMYFUNCTION("""COMPUTED_VALUE"""),"20-13")</f>
        <v>20-13</v>
      </c>
      <c r="E143" s="1" t="str">
        <f ca="1">IFERROR(__xludf.DUMMYFUNCTION("""COMPUTED_VALUE"""),"+2.82")</f>
        <v>+2.82</v>
      </c>
      <c r="F143" s="1">
        <f ca="1">IFERROR(__xludf.DUMMYFUNCTION("""COMPUTED_VALUE"""),106.1)</f>
        <v>106.1</v>
      </c>
      <c r="G143" s="1">
        <f ca="1">IFERROR(__xludf.DUMMYFUNCTION("""COMPUTED_VALUE"""),146)</f>
        <v>146</v>
      </c>
      <c r="H143" s="1">
        <f ca="1">IFERROR(__xludf.DUMMYFUNCTION("""COMPUTED_VALUE"""),103.3)</f>
        <v>103.3</v>
      </c>
      <c r="I143" s="1">
        <f ca="1">IFERROR(__xludf.DUMMYFUNCTION("""COMPUTED_VALUE"""),140)</f>
        <v>140</v>
      </c>
      <c r="J143" s="1">
        <f ca="1">IFERROR(__xludf.DUMMYFUNCTION("""COMPUTED_VALUE"""),66.6)</f>
        <v>66.599999999999994</v>
      </c>
      <c r="K143" s="1">
        <f ca="1">IFERROR(__xludf.DUMMYFUNCTION("""COMPUTED_VALUE"""),253)</f>
        <v>253</v>
      </c>
      <c r="L143" s="1" t="str">
        <f ca="1">IFERROR(__xludf.DUMMYFUNCTION("""COMPUTED_VALUE"""),"+.073")</f>
        <v>+.073</v>
      </c>
      <c r="M143" s="1">
        <f ca="1">IFERROR(__xludf.DUMMYFUNCTION("""COMPUTED_VALUE"""),30)</f>
        <v>30</v>
      </c>
      <c r="N143" s="1" t="str">
        <f ca="1">IFERROR(__xludf.DUMMYFUNCTION("""COMPUTED_VALUE"""),"+1.27")</f>
        <v>+1.27</v>
      </c>
      <c r="O143" s="1">
        <f ca="1">IFERROR(__xludf.DUMMYFUNCTION("""COMPUTED_VALUE"""),112)</f>
        <v>112</v>
      </c>
      <c r="P143" s="1">
        <f ca="1">IFERROR(__xludf.DUMMYFUNCTION("""COMPUTED_VALUE"""),104.5)</f>
        <v>104.5</v>
      </c>
      <c r="Q143" s="1">
        <f ca="1">IFERROR(__xludf.DUMMYFUNCTION("""COMPUTED_VALUE"""),170)</f>
        <v>170</v>
      </c>
      <c r="R143" s="1">
        <f ca="1">IFERROR(__xludf.DUMMYFUNCTION("""COMPUTED_VALUE"""),103.3)</f>
        <v>103.3</v>
      </c>
      <c r="S143" s="1">
        <f ca="1">IFERROR(__xludf.DUMMYFUNCTION("""COMPUTED_VALUE"""),88)</f>
        <v>88</v>
      </c>
      <c r="T143" s="1">
        <f ca="1">IFERROR(__xludf.DUMMYFUNCTION("""COMPUTED_VALUE"""),-4.09)</f>
        <v>-4.09</v>
      </c>
      <c r="U143" s="1">
        <f ca="1">IFERROR(__xludf.DUMMYFUNCTION("""COMPUTED_VALUE"""),289)</f>
        <v>289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IFERROR(__xludf.DUMMYFUNCTION("""COMPUTED_VALUE"""),"Eastern Washington")</f>
        <v>Eastern Washington</v>
      </c>
      <c r="C144" s="1" t="str">
        <f ca="1">IFERROR(__xludf.DUMMYFUNCTION("""COMPUTED_VALUE"""),"BSky")</f>
        <v>BSky</v>
      </c>
      <c r="D144" s="1" t="str">
        <f ca="1">IFERROR(__xludf.DUMMYFUNCTION("""COMPUTED_VALUE"""),"20-15")</f>
        <v>20-15</v>
      </c>
      <c r="E144" s="1" t="str">
        <f ca="1">IFERROR(__xludf.DUMMYFUNCTION("""COMPUTED_VALUE"""),"+2.67")</f>
        <v>+2.67</v>
      </c>
      <c r="F144" s="1">
        <f ca="1">IFERROR(__xludf.DUMMYFUNCTION("""COMPUTED_VALUE"""),107.3)</f>
        <v>107.3</v>
      </c>
      <c r="G144" s="1">
        <f ca="1">IFERROR(__xludf.DUMMYFUNCTION("""COMPUTED_VALUE"""),130)</f>
        <v>130</v>
      </c>
      <c r="H144" s="1">
        <f ca="1">IFERROR(__xludf.DUMMYFUNCTION("""COMPUTED_VALUE"""),104.6)</f>
        <v>104.6</v>
      </c>
      <c r="I144" s="1">
        <f ca="1">IFERROR(__xludf.DUMMYFUNCTION("""COMPUTED_VALUE"""),164)</f>
        <v>164</v>
      </c>
      <c r="J144" s="1">
        <f ca="1">IFERROR(__xludf.DUMMYFUNCTION("""COMPUTED_VALUE"""),66.5)</f>
        <v>66.5</v>
      </c>
      <c r="K144" s="1">
        <f ca="1">IFERROR(__xludf.DUMMYFUNCTION("""COMPUTED_VALUE"""),258)</f>
        <v>258</v>
      </c>
      <c r="L144" s="1">
        <f ca="1">IFERROR(__xludf.DUMMYFUNCTION("""COMPUTED_VALUE"""),-0.004)</f>
        <v>-4.0000000000000001E-3</v>
      </c>
      <c r="M144" s="1">
        <f ca="1">IFERROR(__xludf.DUMMYFUNCTION("""COMPUTED_VALUE"""),183)</f>
        <v>183</v>
      </c>
      <c r="N144" s="1" t="str">
        <f ca="1">IFERROR(__xludf.DUMMYFUNCTION("""COMPUTED_VALUE"""),"+0.11")</f>
        <v>+0.11</v>
      </c>
      <c r="O144" s="1">
        <f ca="1">IFERROR(__xludf.DUMMYFUNCTION("""COMPUTED_VALUE"""),136)</f>
        <v>136</v>
      </c>
      <c r="P144" s="1">
        <f ca="1">IFERROR(__xludf.DUMMYFUNCTION("""COMPUTED_VALUE"""),105.4)</f>
        <v>105.4</v>
      </c>
      <c r="Q144" s="1">
        <f ca="1">IFERROR(__xludf.DUMMYFUNCTION("""COMPUTED_VALUE"""),133)</f>
        <v>133</v>
      </c>
      <c r="R144" s="1">
        <f ca="1">IFERROR(__xludf.DUMMYFUNCTION("""COMPUTED_VALUE"""),105.2)</f>
        <v>105.2</v>
      </c>
      <c r="S144" s="1">
        <f ca="1">IFERROR(__xludf.DUMMYFUNCTION("""COMPUTED_VALUE"""),152)</f>
        <v>152</v>
      </c>
      <c r="T144" s="1" t="str">
        <f ca="1">IFERROR(__xludf.DUMMYFUNCTION("""COMPUTED_VALUE"""),"+6.20")</f>
        <v>+6.20</v>
      </c>
      <c r="U144" s="1">
        <f ca="1">IFERROR(__xludf.DUMMYFUNCTION("""COMPUTED_VALUE"""),27)</f>
        <v>27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IFERROR(__xludf.DUMMYFUNCTION("""COMPUTED_VALUE"""),"Iona15")</f>
        <v>Iona15</v>
      </c>
      <c r="C145" s="1" t="str">
        <f ca="1">IFERROR(__xludf.DUMMYFUNCTION("""COMPUTED_VALUE"""),"MAAC")</f>
        <v>MAAC</v>
      </c>
      <c r="D145" s="1" t="str">
        <f ca="1">IFERROR(__xludf.DUMMYFUNCTION("""COMPUTED_VALUE"""),"20-14")</f>
        <v>20-14</v>
      </c>
      <c r="E145" s="1" t="str">
        <f ca="1">IFERROR(__xludf.DUMMYFUNCTION("""COMPUTED_VALUE"""),"+2.63")</f>
        <v>+2.63</v>
      </c>
      <c r="F145" s="1">
        <f ca="1">IFERROR(__xludf.DUMMYFUNCTION("""COMPUTED_VALUE"""),110)</f>
        <v>110</v>
      </c>
      <c r="G145" s="1">
        <f ca="1">IFERROR(__xludf.DUMMYFUNCTION("""COMPUTED_VALUE"""),80)</f>
        <v>80</v>
      </c>
      <c r="H145" s="1">
        <f ca="1">IFERROR(__xludf.DUMMYFUNCTION("""COMPUTED_VALUE"""),107.3)</f>
        <v>107.3</v>
      </c>
      <c r="I145" s="1">
        <f ca="1">IFERROR(__xludf.DUMMYFUNCTION("""COMPUTED_VALUE"""),218)</f>
        <v>218</v>
      </c>
      <c r="J145" s="1">
        <f ca="1">IFERROR(__xludf.DUMMYFUNCTION("""COMPUTED_VALUE"""),70.7)</f>
        <v>70.7</v>
      </c>
      <c r="K145" s="1">
        <f ca="1">IFERROR(__xludf.DUMMYFUNCTION("""COMPUTED_VALUE"""),58)</f>
        <v>58</v>
      </c>
      <c r="L145" s="1">
        <f ca="1">IFERROR(__xludf.DUMMYFUNCTION("""COMPUTED_VALUE"""),-0.008)</f>
        <v>-8.0000000000000002E-3</v>
      </c>
      <c r="M145" s="1">
        <f ca="1">IFERROR(__xludf.DUMMYFUNCTION("""COMPUTED_VALUE"""),196)</f>
        <v>196</v>
      </c>
      <c r="N145" s="1">
        <f ca="1">IFERROR(__xludf.DUMMYFUNCTION("""COMPUTED_VALUE"""),-2.12)</f>
        <v>-2.12</v>
      </c>
      <c r="O145" s="1">
        <f ca="1">IFERROR(__xludf.DUMMYFUNCTION("""COMPUTED_VALUE"""),195)</f>
        <v>195</v>
      </c>
      <c r="P145" s="1">
        <f ca="1">IFERROR(__xludf.DUMMYFUNCTION("""COMPUTED_VALUE"""),103.1)</f>
        <v>103.1</v>
      </c>
      <c r="Q145" s="1">
        <f ca="1">IFERROR(__xludf.DUMMYFUNCTION("""COMPUTED_VALUE"""),240)</f>
        <v>240</v>
      </c>
      <c r="R145" s="1">
        <f ca="1">IFERROR(__xludf.DUMMYFUNCTION("""COMPUTED_VALUE"""),105.2)</f>
        <v>105.2</v>
      </c>
      <c r="S145" s="1">
        <f ca="1">IFERROR(__xludf.DUMMYFUNCTION("""COMPUTED_VALUE"""),151)</f>
        <v>151</v>
      </c>
      <c r="T145" s="1" t="str">
        <f ca="1">IFERROR(__xludf.DUMMYFUNCTION("""COMPUTED_VALUE"""),"+2.14")</f>
        <v>+2.14</v>
      </c>
      <c r="U145" s="1">
        <f ca="1">IFERROR(__xludf.DUMMYFUNCTION("""COMPUTED_VALUE"""),95)</f>
        <v>95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IFERROR(__xludf.DUMMYFUNCTION("""COMPUTED_VALUE"""),"Indiana St.")</f>
        <v>Indiana St.</v>
      </c>
      <c r="C146" s="1" t="str">
        <f ca="1">IFERROR(__xludf.DUMMYFUNCTION("""COMPUTED_VALUE"""),"MVC")</f>
        <v>MVC</v>
      </c>
      <c r="D146" s="1" t="str">
        <f ca="1">IFERROR(__xludf.DUMMYFUNCTION("""COMPUTED_VALUE"""),"13-18")</f>
        <v>13-18</v>
      </c>
      <c r="E146" s="1" t="str">
        <f ca="1">IFERROR(__xludf.DUMMYFUNCTION("""COMPUTED_VALUE"""),"+2.63")</f>
        <v>+2.63</v>
      </c>
      <c r="F146" s="1">
        <f ca="1">IFERROR(__xludf.DUMMYFUNCTION("""COMPUTED_VALUE"""),104.7)</f>
        <v>104.7</v>
      </c>
      <c r="G146" s="1">
        <f ca="1">IFERROR(__xludf.DUMMYFUNCTION("""COMPUTED_VALUE"""),176)</f>
        <v>176</v>
      </c>
      <c r="H146" s="1">
        <f ca="1">IFERROR(__xludf.DUMMYFUNCTION("""COMPUTED_VALUE"""),102.1)</f>
        <v>102.1</v>
      </c>
      <c r="I146" s="1">
        <f ca="1">IFERROR(__xludf.DUMMYFUNCTION("""COMPUTED_VALUE"""),113)</f>
        <v>113</v>
      </c>
      <c r="J146" s="1">
        <f ca="1">IFERROR(__xludf.DUMMYFUNCTION("""COMPUTED_VALUE"""),69.9)</f>
        <v>69.900000000000006</v>
      </c>
      <c r="K146" s="1">
        <f ca="1">IFERROR(__xludf.DUMMYFUNCTION("""COMPUTED_VALUE"""),82)</f>
        <v>82</v>
      </c>
      <c r="L146" s="1">
        <f ca="1">IFERROR(__xludf.DUMMYFUNCTION("""COMPUTED_VALUE"""),-0.097)</f>
        <v>-9.7000000000000003E-2</v>
      </c>
      <c r="M146" s="1">
        <f ca="1">IFERROR(__xludf.DUMMYFUNCTION("""COMPUTED_VALUE"""),346)</f>
        <v>346</v>
      </c>
      <c r="N146" s="1" t="str">
        <f ca="1">IFERROR(__xludf.DUMMYFUNCTION("""COMPUTED_VALUE"""),"+3.13")</f>
        <v>+3.13</v>
      </c>
      <c r="O146" s="1">
        <f ca="1">IFERROR(__xludf.DUMMYFUNCTION("""COMPUTED_VALUE"""),89)</f>
        <v>89</v>
      </c>
      <c r="P146" s="1">
        <f ca="1">IFERROR(__xludf.DUMMYFUNCTION("""COMPUTED_VALUE"""),105.1)</f>
        <v>105.1</v>
      </c>
      <c r="Q146" s="1">
        <f ca="1">IFERROR(__xludf.DUMMYFUNCTION("""COMPUTED_VALUE"""),143)</f>
        <v>143</v>
      </c>
      <c r="R146" s="1">
        <f ca="1">IFERROR(__xludf.DUMMYFUNCTION("""COMPUTED_VALUE"""),102)</f>
        <v>102</v>
      </c>
      <c r="S146" s="1">
        <f ca="1">IFERROR(__xludf.DUMMYFUNCTION("""COMPUTED_VALUE"""),67)</f>
        <v>67</v>
      </c>
      <c r="T146" s="1" t="str">
        <f ca="1">IFERROR(__xludf.DUMMYFUNCTION("""COMPUTED_VALUE"""),"+2.05")</f>
        <v>+2.05</v>
      </c>
      <c r="U146" s="1">
        <f ca="1">IFERROR(__xludf.DUMMYFUNCTION("""COMPUTED_VALUE"""),100)</f>
        <v>100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IFERROR(__xludf.DUMMYFUNCTION("""COMPUTED_VALUE"""),"Utah St.")</f>
        <v>Utah St.</v>
      </c>
      <c r="C147" s="1" t="str">
        <f ca="1">IFERROR(__xludf.DUMMYFUNCTION("""COMPUTED_VALUE"""),"MWC")</f>
        <v>MWC</v>
      </c>
      <c r="D147" s="1" t="str">
        <f ca="1">IFERROR(__xludf.DUMMYFUNCTION("""COMPUTED_VALUE"""),"17-17")</f>
        <v>17-17</v>
      </c>
      <c r="E147" s="1" t="str">
        <f ca="1">IFERROR(__xludf.DUMMYFUNCTION("""COMPUTED_VALUE"""),"+2.57")</f>
        <v>+2.57</v>
      </c>
      <c r="F147" s="1">
        <f ca="1">IFERROR(__xludf.DUMMYFUNCTION("""COMPUTED_VALUE"""),107.2)</f>
        <v>107.2</v>
      </c>
      <c r="G147" s="1">
        <f ca="1">IFERROR(__xludf.DUMMYFUNCTION("""COMPUTED_VALUE"""),132)</f>
        <v>132</v>
      </c>
      <c r="H147" s="1">
        <f ca="1">IFERROR(__xludf.DUMMYFUNCTION("""COMPUTED_VALUE"""),104.7)</f>
        <v>104.7</v>
      </c>
      <c r="I147" s="1">
        <f ca="1">IFERROR(__xludf.DUMMYFUNCTION("""COMPUTED_VALUE"""),165)</f>
        <v>165</v>
      </c>
      <c r="J147" s="1">
        <f ca="1">IFERROR(__xludf.DUMMYFUNCTION("""COMPUTED_VALUE"""),66.8)</f>
        <v>66.8</v>
      </c>
      <c r="K147" s="1">
        <f ca="1">IFERROR(__xludf.DUMMYFUNCTION("""COMPUTED_VALUE"""),244)</f>
        <v>244</v>
      </c>
      <c r="L147" s="1">
        <f ca="1">IFERROR(__xludf.DUMMYFUNCTION("""COMPUTED_VALUE"""),-0.014)</f>
        <v>-1.4E-2</v>
      </c>
      <c r="M147" s="1">
        <f ca="1">IFERROR(__xludf.DUMMYFUNCTION("""COMPUTED_VALUE"""),213)</f>
        <v>213</v>
      </c>
      <c r="N147" s="1" t="str">
        <f ca="1">IFERROR(__xludf.DUMMYFUNCTION("""COMPUTED_VALUE"""),"+2.74")</f>
        <v>+2.74</v>
      </c>
      <c r="O147" s="1">
        <f ca="1">IFERROR(__xludf.DUMMYFUNCTION("""COMPUTED_VALUE"""),96)</f>
        <v>96</v>
      </c>
      <c r="P147" s="1">
        <f ca="1">IFERROR(__xludf.DUMMYFUNCTION("""COMPUTED_VALUE"""),106.7)</f>
        <v>106.7</v>
      </c>
      <c r="Q147" s="1">
        <f ca="1">IFERROR(__xludf.DUMMYFUNCTION("""COMPUTED_VALUE"""),93)</f>
        <v>93</v>
      </c>
      <c r="R147" s="1">
        <f ca="1">IFERROR(__xludf.DUMMYFUNCTION("""COMPUTED_VALUE"""),103.9)</f>
        <v>103.9</v>
      </c>
      <c r="S147" s="1">
        <f ca="1">IFERROR(__xludf.DUMMYFUNCTION("""COMPUTED_VALUE"""),102)</f>
        <v>102</v>
      </c>
      <c r="T147" s="1">
        <f ca="1">IFERROR(__xludf.DUMMYFUNCTION("""COMPUTED_VALUE"""),-0.95)</f>
        <v>-0.95</v>
      </c>
      <c r="U147" s="1">
        <f ca="1">IFERROR(__xludf.DUMMYFUNCTION("""COMPUTED_VALUE"""),184)</f>
        <v>184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IFERROR(__xludf.DUMMYFUNCTION("""COMPUTED_VALUE"""),"Illinois St.")</f>
        <v>Illinois St.</v>
      </c>
      <c r="C148" s="1" t="str">
        <f ca="1">IFERROR(__xludf.DUMMYFUNCTION("""COMPUTED_VALUE"""),"MVC")</f>
        <v>MVC</v>
      </c>
      <c r="D148" s="1" t="str">
        <f ca="1">IFERROR(__xludf.DUMMYFUNCTION("""COMPUTED_VALUE"""),"18-15")</f>
        <v>18-15</v>
      </c>
      <c r="E148" s="1" t="str">
        <f ca="1">IFERROR(__xludf.DUMMYFUNCTION("""COMPUTED_VALUE"""),"+2.39")</f>
        <v>+2.39</v>
      </c>
      <c r="F148" s="1">
        <f ca="1">IFERROR(__xludf.DUMMYFUNCTION("""COMPUTED_VALUE"""),105.7)</f>
        <v>105.7</v>
      </c>
      <c r="G148" s="1">
        <f ca="1">IFERROR(__xludf.DUMMYFUNCTION("""COMPUTED_VALUE"""),157)</f>
        <v>157</v>
      </c>
      <c r="H148" s="1">
        <f ca="1">IFERROR(__xludf.DUMMYFUNCTION("""COMPUTED_VALUE"""),103.3)</f>
        <v>103.3</v>
      </c>
      <c r="I148" s="1">
        <f ca="1">IFERROR(__xludf.DUMMYFUNCTION("""COMPUTED_VALUE"""),139)</f>
        <v>139</v>
      </c>
      <c r="J148" s="1">
        <f ca="1">IFERROR(__xludf.DUMMYFUNCTION("""COMPUTED_VALUE"""),68.9)</f>
        <v>68.900000000000006</v>
      </c>
      <c r="K148" s="1">
        <f ca="1">IFERROR(__xludf.DUMMYFUNCTION("""COMPUTED_VALUE"""),138)</f>
        <v>138</v>
      </c>
      <c r="L148" s="1" t="str">
        <f ca="1">IFERROR(__xludf.DUMMYFUNCTION("""COMPUTED_VALUE"""),"+.116")</f>
        <v>+.116</v>
      </c>
      <c r="M148" s="1">
        <f ca="1">IFERROR(__xludf.DUMMYFUNCTION("""COMPUTED_VALUE"""),6)</f>
        <v>6</v>
      </c>
      <c r="N148" s="1" t="str">
        <f ca="1">IFERROR(__xludf.DUMMYFUNCTION("""COMPUTED_VALUE"""),"+4.95")</f>
        <v>+4.95</v>
      </c>
      <c r="O148" s="1">
        <f ca="1">IFERROR(__xludf.DUMMYFUNCTION("""COMPUTED_VALUE"""),76)</f>
        <v>76</v>
      </c>
      <c r="P148" s="1">
        <f ca="1">IFERROR(__xludf.DUMMYFUNCTION("""COMPUTED_VALUE"""),106.1)</f>
        <v>106.1</v>
      </c>
      <c r="Q148" s="1">
        <f ca="1">IFERROR(__xludf.DUMMYFUNCTION("""COMPUTED_VALUE"""),106)</f>
        <v>106</v>
      </c>
      <c r="R148" s="1">
        <f ca="1">IFERROR(__xludf.DUMMYFUNCTION("""COMPUTED_VALUE"""),101.2)</f>
        <v>101.2</v>
      </c>
      <c r="S148" s="1">
        <f ca="1">IFERROR(__xludf.DUMMYFUNCTION("""COMPUTED_VALUE"""),48)</f>
        <v>48</v>
      </c>
      <c r="T148" s="1" t="str">
        <f ca="1">IFERROR(__xludf.DUMMYFUNCTION("""COMPUTED_VALUE"""),"+6.60")</f>
        <v>+6.60</v>
      </c>
      <c r="U148" s="1">
        <f ca="1">IFERROR(__xludf.DUMMYFUNCTION("""COMPUTED_VALUE"""),22)</f>
        <v>22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IFERROR(__xludf.DUMMYFUNCTION("""COMPUTED_VALUE"""),"Harvard7")</f>
        <v>Harvard7</v>
      </c>
      <c r="C149" s="1" t="str">
        <f ca="1">IFERROR(__xludf.DUMMYFUNCTION("""COMPUTED_VALUE"""),"Ivy")</f>
        <v>Ivy</v>
      </c>
      <c r="D149" s="1" t="str">
        <f ca="1">IFERROR(__xludf.DUMMYFUNCTION("""COMPUTED_VALUE"""),"18-14")</f>
        <v>18-14</v>
      </c>
      <c r="E149" s="1" t="str">
        <f ca="1">IFERROR(__xludf.DUMMYFUNCTION("""COMPUTED_VALUE"""),"+2.33")</f>
        <v>+2.33</v>
      </c>
      <c r="F149" s="1">
        <f ca="1">IFERROR(__xludf.DUMMYFUNCTION("""COMPUTED_VALUE"""),100.6)</f>
        <v>100.6</v>
      </c>
      <c r="G149" s="1">
        <f ca="1">IFERROR(__xludf.DUMMYFUNCTION("""COMPUTED_VALUE"""),248)</f>
        <v>248</v>
      </c>
      <c r="H149" s="1">
        <f ca="1">IFERROR(__xludf.DUMMYFUNCTION("""COMPUTED_VALUE"""),98.3)</f>
        <v>98.3</v>
      </c>
      <c r="I149" s="1">
        <f ca="1">IFERROR(__xludf.DUMMYFUNCTION("""COMPUTED_VALUE"""),55)</f>
        <v>55</v>
      </c>
      <c r="J149" s="1">
        <f ca="1">IFERROR(__xludf.DUMMYFUNCTION("""COMPUTED_VALUE"""),65.6)</f>
        <v>65.599999999999994</v>
      </c>
      <c r="K149" s="1">
        <f ca="1">IFERROR(__xludf.DUMMYFUNCTION("""COMPUTED_VALUE"""),301)</f>
        <v>301</v>
      </c>
      <c r="L149" s="1">
        <f ca="1">IFERROR(__xludf.DUMMYFUNCTION("""COMPUTED_VALUE"""),-0.008)</f>
        <v>-8.0000000000000002E-3</v>
      </c>
      <c r="M149" s="1">
        <f ca="1">IFERROR(__xludf.DUMMYFUNCTION("""COMPUTED_VALUE"""),197)</f>
        <v>197</v>
      </c>
      <c r="N149" s="1">
        <f ca="1">IFERROR(__xludf.DUMMYFUNCTION("""COMPUTED_VALUE"""),-0.97)</f>
        <v>-0.97</v>
      </c>
      <c r="O149" s="1">
        <f ca="1">IFERROR(__xludf.DUMMYFUNCTION("""COMPUTED_VALUE"""),162)</f>
        <v>162</v>
      </c>
      <c r="P149" s="1">
        <f ca="1">IFERROR(__xludf.DUMMYFUNCTION("""COMPUTED_VALUE"""),105.4)</f>
        <v>105.4</v>
      </c>
      <c r="Q149" s="1">
        <f ca="1">IFERROR(__xludf.DUMMYFUNCTION("""COMPUTED_VALUE"""),128)</f>
        <v>128</v>
      </c>
      <c r="R149" s="1">
        <f ca="1">IFERROR(__xludf.DUMMYFUNCTION("""COMPUTED_VALUE"""),106.4)</f>
        <v>106.4</v>
      </c>
      <c r="S149" s="1">
        <f ca="1">IFERROR(__xludf.DUMMYFUNCTION("""COMPUTED_VALUE"""),214)</f>
        <v>214</v>
      </c>
      <c r="T149" s="1" t="str">
        <f ca="1">IFERROR(__xludf.DUMMYFUNCTION("""COMPUTED_VALUE"""),"+3.27")</f>
        <v>+3.27</v>
      </c>
      <c r="U149" s="1">
        <f ca="1">IFERROR(__xludf.DUMMYFUNCTION("""COMPUTED_VALUE"""),77)</f>
        <v>77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IFERROR(__xludf.DUMMYFUNCTION("""COMPUTED_VALUE"""),"Jacksonville St.")</f>
        <v>Jacksonville St.</v>
      </c>
      <c r="C150" s="1" t="str">
        <f ca="1">IFERROR(__xludf.DUMMYFUNCTION("""COMPUTED_VALUE"""),"OVC")</f>
        <v>OVC</v>
      </c>
      <c r="D150" s="1" t="str">
        <f ca="1">IFERROR(__xludf.DUMMYFUNCTION("""COMPUTED_VALUE"""),"23-13")</f>
        <v>23-13</v>
      </c>
      <c r="E150" s="1" t="str">
        <f ca="1">IFERROR(__xludf.DUMMYFUNCTION("""COMPUTED_VALUE"""),"+2.32")</f>
        <v>+2.32</v>
      </c>
      <c r="F150" s="1">
        <f ca="1">IFERROR(__xludf.DUMMYFUNCTION("""COMPUTED_VALUE"""),102.3)</f>
        <v>102.3</v>
      </c>
      <c r="G150" s="1">
        <f ca="1">IFERROR(__xludf.DUMMYFUNCTION("""COMPUTED_VALUE"""),219)</f>
        <v>219</v>
      </c>
      <c r="H150" s="1">
        <f ca="1">IFERROR(__xludf.DUMMYFUNCTION("""COMPUTED_VALUE"""),100)</f>
        <v>100</v>
      </c>
      <c r="I150" s="1">
        <f ca="1">IFERROR(__xludf.DUMMYFUNCTION("""COMPUTED_VALUE"""),79)</f>
        <v>79</v>
      </c>
      <c r="J150" s="1">
        <f ca="1">IFERROR(__xludf.DUMMYFUNCTION("""COMPUTED_VALUE"""),66.2)</f>
        <v>66.2</v>
      </c>
      <c r="K150" s="1">
        <f ca="1">IFERROR(__xludf.DUMMYFUNCTION("""COMPUTED_VALUE"""),271)</f>
        <v>271</v>
      </c>
      <c r="L150" s="1">
        <f ca="1">IFERROR(__xludf.DUMMYFUNCTION("""COMPUTED_VALUE"""),-0.005)</f>
        <v>-5.0000000000000001E-3</v>
      </c>
      <c r="M150" s="1">
        <f ca="1">IFERROR(__xludf.DUMMYFUNCTION("""COMPUTED_VALUE"""),189)</f>
        <v>189</v>
      </c>
      <c r="N150" s="1">
        <f ca="1">IFERROR(__xludf.DUMMYFUNCTION("""COMPUTED_VALUE"""),-4.47)</f>
        <v>-4.47</v>
      </c>
      <c r="O150" s="1">
        <f ca="1">IFERROR(__xludf.DUMMYFUNCTION("""COMPUTED_VALUE"""),275)</f>
        <v>275</v>
      </c>
      <c r="P150" s="1">
        <f ca="1">IFERROR(__xludf.DUMMYFUNCTION("""COMPUTED_VALUE"""),103.6)</f>
        <v>103.6</v>
      </c>
      <c r="Q150" s="1">
        <f ca="1">IFERROR(__xludf.DUMMYFUNCTION("""COMPUTED_VALUE"""),211)</f>
        <v>211</v>
      </c>
      <c r="R150" s="1">
        <f ca="1">IFERROR(__xludf.DUMMYFUNCTION("""COMPUTED_VALUE"""),108.1)</f>
        <v>108.1</v>
      </c>
      <c r="S150" s="1">
        <f ca="1">IFERROR(__xludf.DUMMYFUNCTION("""COMPUTED_VALUE"""),312)</f>
        <v>312</v>
      </c>
      <c r="T150" s="1">
        <f ca="1">IFERROR(__xludf.DUMMYFUNCTION("""COMPUTED_VALUE"""),-9.38)</f>
        <v>-9.3800000000000008</v>
      </c>
      <c r="U150" s="1">
        <f ca="1">IFERROR(__xludf.DUMMYFUNCTION("""COMPUTED_VALUE"""),341)</f>
        <v>341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IFERROR(__xludf.DUMMYFUNCTION("""COMPUTED_VALUE"""),"Eastern Michigan")</f>
        <v>Eastern Michigan</v>
      </c>
      <c r="C151" s="1" t="str">
        <f ca="1">IFERROR(__xludf.DUMMYFUNCTION("""COMPUTED_VALUE"""),"MAC")</f>
        <v>MAC</v>
      </c>
      <c r="D151" s="1" t="str">
        <f ca="1">IFERROR(__xludf.DUMMYFUNCTION("""COMPUTED_VALUE"""),"22-13")</f>
        <v>22-13</v>
      </c>
      <c r="E151" s="1" t="str">
        <f ca="1">IFERROR(__xludf.DUMMYFUNCTION("""COMPUTED_VALUE"""),"+2.31")</f>
        <v>+2.31</v>
      </c>
      <c r="F151" s="1">
        <f ca="1">IFERROR(__xludf.DUMMYFUNCTION("""COMPUTED_VALUE"""),102.3)</f>
        <v>102.3</v>
      </c>
      <c r="G151" s="1">
        <f ca="1">IFERROR(__xludf.DUMMYFUNCTION("""COMPUTED_VALUE"""),218)</f>
        <v>218</v>
      </c>
      <c r="H151" s="1">
        <f ca="1">IFERROR(__xludf.DUMMYFUNCTION("""COMPUTED_VALUE"""),100)</f>
        <v>100</v>
      </c>
      <c r="I151" s="1">
        <f ca="1">IFERROR(__xludf.DUMMYFUNCTION("""COMPUTED_VALUE"""),81)</f>
        <v>81</v>
      </c>
      <c r="J151" s="1">
        <f ca="1">IFERROR(__xludf.DUMMYFUNCTION("""COMPUTED_VALUE"""),65.1)</f>
        <v>65.099999999999994</v>
      </c>
      <c r="K151" s="1">
        <f ca="1">IFERROR(__xludf.DUMMYFUNCTION("""COMPUTED_VALUE"""),319)</f>
        <v>319</v>
      </c>
      <c r="L151" s="1">
        <f ca="1">IFERROR(__xludf.DUMMYFUNCTION("""COMPUTED_VALUE"""),-0.006)</f>
        <v>-6.0000000000000001E-3</v>
      </c>
      <c r="M151" s="1">
        <f ca="1">IFERROR(__xludf.DUMMYFUNCTION("""COMPUTED_VALUE"""),191)</f>
        <v>191</v>
      </c>
      <c r="N151" s="1">
        <f ca="1">IFERROR(__xludf.DUMMYFUNCTION("""COMPUTED_VALUE"""),-2.49)</f>
        <v>-2.4900000000000002</v>
      </c>
      <c r="O151" s="1">
        <f ca="1">IFERROR(__xludf.DUMMYFUNCTION("""COMPUTED_VALUE"""),205)</f>
        <v>205</v>
      </c>
      <c r="P151" s="1">
        <f ca="1">IFERROR(__xludf.DUMMYFUNCTION("""COMPUTED_VALUE"""),105.4)</f>
        <v>105.4</v>
      </c>
      <c r="Q151" s="1">
        <f ca="1">IFERROR(__xludf.DUMMYFUNCTION("""COMPUTED_VALUE"""),126)</f>
        <v>126</v>
      </c>
      <c r="R151" s="1">
        <f ca="1">IFERROR(__xludf.DUMMYFUNCTION("""COMPUTED_VALUE"""),107.9)</f>
        <v>107.9</v>
      </c>
      <c r="S151" s="1">
        <f ca="1">IFERROR(__xludf.DUMMYFUNCTION("""COMPUTED_VALUE"""),302)</f>
        <v>302</v>
      </c>
      <c r="T151" s="1">
        <f ca="1">IFERROR(__xludf.DUMMYFUNCTION("""COMPUTED_VALUE"""),-2.23)</f>
        <v>-2.23</v>
      </c>
      <c r="U151" s="1">
        <f ca="1">IFERROR(__xludf.DUMMYFUNCTION("""COMPUTED_VALUE"""),224)</f>
        <v>224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IFERROR(__xludf.DUMMYFUNCTION("""COMPUTED_VALUE"""),"VCU")</f>
        <v>VCU</v>
      </c>
      <c r="C152" s="1" t="str">
        <f ca="1">IFERROR(__xludf.DUMMYFUNCTION("""COMPUTED_VALUE"""),"A10")</f>
        <v>A10</v>
      </c>
      <c r="D152" s="1" t="str">
        <f ca="1">IFERROR(__xludf.DUMMYFUNCTION("""COMPUTED_VALUE"""),"18-15")</f>
        <v>18-15</v>
      </c>
      <c r="E152" s="1" t="str">
        <f ca="1">IFERROR(__xludf.DUMMYFUNCTION("""COMPUTED_VALUE"""),"+2.28")</f>
        <v>+2.28</v>
      </c>
      <c r="F152" s="1">
        <f ca="1">IFERROR(__xludf.DUMMYFUNCTION("""COMPUTED_VALUE"""),106.1)</f>
        <v>106.1</v>
      </c>
      <c r="G152" s="1">
        <f ca="1">IFERROR(__xludf.DUMMYFUNCTION("""COMPUTED_VALUE"""),149)</f>
        <v>149</v>
      </c>
      <c r="H152" s="1">
        <f ca="1">IFERROR(__xludf.DUMMYFUNCTION("""COMPUTED_VALUE"""),103.8)</f>
        <v>103.8</v>
      </c>
      <c r="I152" s="1">
        <f ca="1">IFERROR(__xludf.DUMMYFUNCTION("""COMPUTED_VALUE"""),156)</f>
        <v>156</v>
      </c>
      <c r="J152" s="1">
        <f ca="1">IFERROR(__xludf.DUMMYFUNCTION("""COMPUTED_VALUE"""),70.9)</f>
        <v>70.900000000000006</v>
      </c>
      <c r="K152" s="1">
        <f ca="1">IFERROR(__xludf.DUMMYFUNCTION("""COMPUTED_VALUE"""),51)</f>
        <v>51</v>
      </c>
      <c r="L152" s="1" t="str">
        <f ca="1">IFERROR(__xludf.DUMMYFUNCTION("""COMPUTED_VALUE"""),"+.015")</f>
        <v>+.015</v>
      </c>
      <c r="M152" s="1">
        <f ca="1">IFERROR(__xludf.DUMMYFUNCTION("""COMPUTED_VALUE"""),136)</f>
        <v>136</v>
      </c>
      <c r="N152" s="1" t="str">
        <f ca="1">IFERROR(__xludf.DUMMYFUNCTION("""COMPUTED_VALUE"""),"+0.51")</f>
        <v>+0.51</v>
      </c>
      <c r="O152" s="1">
        <f ca="1">IFERROR(__xludf.DUMMYFUNCTION("""COMPUTED_VALUE"""),129)</f>
        <v>129</v>
      </c>
      <c r="P152" s="1">
        <f ca="1">IFERROR(__xludf.DUMMYFUNCTION("""COMPUTED_VALUE"""),105.3)</f>
        <v>105.3</v>
      </c>
      <c r="Q152" s="1">
        <f ca="1">IFERROR(__xludf.DUMMYFUNCTION("""COMPUTED_VALUE"""),138)</f>
        <v>138</v>
      </c>
      <c r="R152" s="1">
        <f ca="1">IFERROR(__xludf.DUMMYFUNCTION("""COMPUTED_VALUE"""),104.8)</f>
        <v>104.8</v>
      </c>
      <c r="S152" s="1">
        <f ca="1">IFERROR(__xludf.DUMMYFUNCTION("""COMPUTED_VALUE"""),125)</f>
        <v>125</v>
      </c>
      <c r="T152" s="1" t="str">
        <f ca="1">IFERROR(__xludf.DUMMYFUNCTION("""COMPUTED_VALUE"""),"+1.16")</f>
        <v>+1.16</v>
      </c>
      <c r="U152" s="1">
        <f ca="1">IFERROR(__xludf.DUMMYFUNCTION("""COMPUTED_VALUE"""),128)</f>
        <v>128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IFERROR(__xludf.DUMMYFUNCTION("""COMPUTED_VALUE"""),"Rider6")</f>
        <v>Rider6</v>
      </c>
      <c r="C153" s="1" t="str">
        <f ca="1">IFERROR(__xludf.DUMMYFUNCTION("""COMPUTED_VALUE"""),"MAAC")</f>
        <v>MAAC</v>
      </c>
      <c r="D153" s="1" t="str">
        <f ca="1">IFERROR(__xludf.DUMMYFUNCTION("""COMPUTED_VALUE"""),"22-10")</f>
        <v>22-10</v>
      </c>
      <c r="E153" s="1" t="str">
        <f ca="1">IFERROR(__xludf.DUMMYFUNCTION("""COMPUTED_VALUE"""),"+2.28")</f>
        <v>+2.28</v>
      </c>
      <c r="F153" s="1">
        <f ca="1">IFERROR(__xludf.DUMMYFUNCTION("""COMPUTED_VALUE"""),109.2)</f>
        <v>109.2</v>
      </c>
      <c r="G153" s="1">
        <f ca="1">IFERROR(__xludf.DUMMYFUNCTION("""COMPUTED_VALUE"""),94)</f>
        <v>94</v>
      </c>
      <c r="H153" s="1">
        <f ca="1">IFERROR(__xludf.DUMMYFUNCTION("""COMPUTED_VALUE"""),106.9)</f>
        <v>106.9</v>
      </c>
      <c r="I153" s="1">
        <f ca="1">IFERROR(__xludf.DUMMYFUNCTION("""COMPUTED_VALUE"""),208)</f>
        <v>208</v>
      </c>
      <c r="J153" s="1">
        <f ca="1">IFERROR(__xludf.DUMMYFUNCTION("""COMPUTED_VALUE"""),73.8)</f>
        <v>73.8</v>
      </c>
      <c r="K153" s="1">
        <f ca="1">IFERROR(__xludf.DUMMYFUNCTION("""COMPUTED_VALUE"""),8)</f>
        <v>8</v>
      </c>
      <c r="L153" s="1" t="str">
        <f ca="1">IFERROR(__xludf.DUMMYFUNCTION("""COMPUTED_VALUE"""),"+.088")</f>
        <v>+.088</v>
      </c>
      <c r="M153" s="1">
        <f ca="1">IFERROR(__xludf.DUMMYFUNCTION("""COMPUTED_VALUE"""),19)</f>
        <v>19</v>
      </c>
      <c r="N153" s="1">
        <f ca="1">IFERROR(__xludf.DUMMYFUNCTION("""COMPUTED_VALUE"""),-2.78)</f>
        <v>-2.78</v>
      </c>
      <c r="O153" s="1">
        <f ca="1">IFERROR(__xludf.DUMMYFUNCTION("""COMPUTED_VALUE"""),216)</f>
        <v>216</v>
      </c>
      <c r="P153" s="1">
        <f ca="1">IFERROR(__xludf.DUMMYFUNCTION("""COMPUTED_VALUE"""),103.1)</f>
        <v>103.1</v>
      </c>
      <c r="Q153" s="1">
        <f ca="1">IFERROR(__xludf.DUMMYFUNCTION("""COMPUTED_VALUE"""),241)</f>
        <v>241</v>
      </c>
      <c r="R153" s="1">
        <f ca="1">IFERROR(__xludf.DUMMYFUNCTION("""COMPUTED_VALUE"""),105.9)</f>
        <v>105.9</v>
      </c>
      <c r="S153" s="1">
        <f ca="1">IFERROR(__xludf.DUMMYFUNCTION("""COMPUTED_VALUE"""),187)</f>
        <v>187</v>
      </c>
      <c r="T153" s="1" t="str">
        <f ca="1">IFERROR(__xludf.DUMMYFUNCTION("""COMPUTED_VALUE"""),"+0.32")</f>
        <v>+0.32</v>
      </c>
      <c r="U153" s="1">
        <f ca="1">IFERROR(__xludf.DUMMYFUNCTION("""COMPUTED_VALUE"""),150)</f>
        <v>150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IFERROR(__xludf.DUMMYFUNCTION("""COMPUTED_VALUE"""),"North Texas")</f>
        <v>North Texas</v>
      </c>
      <c r="C154" s="1" t="str">
        <f ca="1">IFERROR(__xludf.DUMMYFUNCTION("""COMPUTED_VALUE"""),"CUSA")</f>
        <v>CUSA</v>
      </c>
      <c r="D154" s="1" t="str">
        <f ca="1">IFERROR(__xludf.DUMMYFUNCTION("""COMPUTED_VALUE"""),"20-18")</f>
        <v>20-18</v>
      </c>
      <c r="E154" s="1" t="str">
        <f ca="1">IFERROR(__xludf.DUMMYFUNCTION("""COMPUTED_VALUE"""),"+2.20")</f>
        <v>+2.20</v>
      </c>
      <c r="F154" s="1">
        <f ca="1">IFERROR(__xludf.DUMMYFUNCTION("""COMPUTED_VALUE"""),105.6)</f>
        <v>105.6</v>
      </c>
      <c r="G154" s="1">
        <f ca="1">IFERROR(__xludf.DUMMYFUNCTION("""COMPUTED_VALUE"""),162)</f>
        <v>162</v>
      </c>
      <c r="H154" s="1">
        <f ca="1">IFERROR(__xludf.DUMMYFUNCTION("""COMPUTED_VALUE"""),103.4)</f>
        <v>103.4</v>
      </c>
      <c r="I154" s="1">
        <f ca="1">IFERROR(__xludf.DUMMYFUNCTION("""COMPUTED_VALUE"""),142)</f>
        <v>142</v>
      </c>
      <c r="J154" s="1">
        <f ca="1">IFERROR(__xludf.DUMMYFUNCTION("""COMPUTED_VALUE"""),67.8)</f>
        <v>67.8</v>
      </c>
      <c r="K154" s="1">
        <f ca="1">IFERROR(__xludf.DUMMYFUNCTION("""COMPUTED_VALUE"""),196)</f>
        <v>196</v>
      </c>
      <c r="L154" s="1">
        <f ca="1">IFERROR(__xludf.DUMMYFUNCTION("""COMPUTED_VALUE"""),-0.048)</f>
        <v>-4.8000000000000001E-2</v>
      </c>
      <c r="M154" s="1">
        <f ca="1">IFERROR(__xludf.DUMMYFUNCTION("""COMPUTED_VALUE"""),295)</f>
        <v>295</v>
      </c>
      <c r="N154" s="1">
        <f ca="1">IFERROR(__xludf.DUMMYFUNCTION("""COMPUTED_VALUE"""),-0.69)</f>
        <v>-0.69</v>
      </c>
      <c r="O154" s="1">
        <f ca="1">IFERROR(__xludf.DUMMYFUNCTION("""COMPUTED_VALUE"""),153)</f>
        <v>153</v>
      </c>
      <c r="P154" s="1">
        <f ca="1">IFERROR(__xludf.DUMMYFUNCTION("""COMPUTED_VALUE"""),103.5)</f>
        <v>103.5</v>
      </c>
      <c r="Q154" s="1">
        <f ca="1">IFERROR(__xludf.DUMMYFUNCTION("""COMPUTED_VALUE"""),222)</f>
        <v>222</v>
      </c>
      <c r="R154" s="1">
        <f ca="1">IFERROR(__xludf.DUMMYFUNCTION("""COMPUTED_VALUE"""),104.1)</f>
        <v>104.1</v>
      </c>
      <c r="S154" s="1">
        <f ca="1">IFERROR(__xludf.DUMMYFUNCTION("""COMPUTED_VALUE"""),108)</f>
        <v>108</v>
      </c>
      <c r="T154" s="1">
        <f ca="1">IFERROR(__xludf.DUMMYFUNCTION("""COMPUTED_VALUE"""),-0.5)</f>
        <v>-0.5</v>
      </c>
      <c r="U154" s="1">
        <f ca="1">IFERROR(__xludf.DUMMYFUNCTION("""COMPUTED_VALUE"""),170)</f>
        <v>170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IFERROR(__xludf.DUMMYFUNCTION("""COMPUTED_VALUE"""),"UC Irvine")</f>
        <v>UC Irvine</v>
      </c>
      <c r="C155" s="1" t="str">
        <f ca="1">IFERROR(__xludf.DUMMYFUNCTION("""COMPUTED_VALUE"""),"BW")</f>
        <v>BW</v>
      </c>
      <c r="D155" s="1" t="str">
        <f ca="1">IFERROR(__xludf.DUMMYFUNCTION("""COMPUTED_VALUE"""),"18-17")</f>
        <v>18-17</v>
      </c>
      <c r="E155" s="1" t="str">
        <f ca="1">IFERROR(__xludf.DUMMYFUNCTION("""COMPUTED_VALUE"""),"+2.11")</f>
        <v>+2.11</v>
      </c>
      <c r="F155" s="1">
        <f ca="1">IFERROR(__xludf.DUMMYFUNCTION("""COMPUTED_VALUE"""),100.1)</f>
        <v>100.1</v>
      </c>
      <c r="G155" s="1">
        <f ca="1">IFERROR(__xludf.DUMMYFUNCTION("""COMPUTED_VALUE"""),256)</f>
        <v>256</v>
      </c>
      <c r="H155" s="1">
        <f ca="1">IFERROR(__xludf.DUMMYFUNCTION("""COMPUTED_VALUE"""),98)</f>
        <v>98</v>
      </c>
      <c r="I155" s="1">
        <f ca="1">IFERROR(__xludf.DUMMYFUNCTION("""COMPUTED_VALUE"""),53)</f>
        <v>53</v>
      </c>
      <c r="J155" s="1">
        <f ca="1">IFERROR(__xludf.DUMMYFUNCTION("""COMPUTED_VALUE"""),67)</f>
        <v>67</v>
      </c>
      <c r="K155" s="1">
        <f ca="1">IFERROR(__xludf.DUMMYFUNCTION("""COMPUTED_VALUE"""),239)</f>
        <v>239</v>
      </c>
      <c r="L155" s="1">
        <f ca="1">IFERROR(__xludf.DUMMYFUNCTION("""COMPUTED_VALUE"""),-0.025)</f>
        <v>-2.5000000000000001E-2</v>
      </c>
      <c r="M155" s="1">
        <f ca="1">IFERROR(__xludf.DUMMYFUNCTION("""COMPUTED_VALUE"""),250)</f>
        <v>250</v>
      </c>
      <c r="N155" s="1" t="str">
        <f ca="1">IFERROR(__xludf.DUMMYFUNCTION("""COMPUTED_VALUE"""),"+1.08")</f>
        <v>+1.08</v>
      </c>
      <c r="O155" s="1">
        <f ca="1">IFERROR(__xludf.DUMMYFUNCTION("""COMPUTED_VALUE"""),119)</f>
        <v>119</v>
      </c>
      <c r="P155" s="1">
        <f ca="1">IFERROR(__xludf.DUMMYFUNCTION("""COMPUTED_VALUE"""),105.6)</f>
        <v>105.6</v>
      </c>
      <c r="Q155" s="1">
        <f ca="1">IFERROR(__xludf.DUMMYFUNCTION("""COMPUTED_VALUE"""),117)</f>
        <v>117</v>
      </c>
      <c r="R155" s="1">
        <f ca="1">IFERROR(__xludf.DUMMYFUNCTION("""COMPUTED_VALUE"""),104.5)</f>
        <v>104.5</v>
      </c>
      <c r="S155" s="1">
        <f ca="1">IFERROR(__xludf.DUMMYFUNCTION("""COMPUTED_VALUE"""),121)</f>
        <v>121</v>
      </c>
      <c r="T155" s="1" t="str">
        <f ca="1">IFERROR(__xludf.DUMMYFUNCTION("""COMPUTED_VALUE"""),"+8.99")</f>
        <v>+8.99</v>
      </c>
      <c r="U155" s="1">
        <f ca="1">IFERROR(__xludf.DUMMYFUNCTION("""COMPUTED_VALUE"""),9)</f>
        <v>9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IFERROR(__xludf.DUMMYFUNCTION("""COMPUTED_VALUE"""),"Saint Louis")</f>
        <v>Saint Louis</v>
      </c>
      <c r="C156" s="1" t="str">
        <f ca="1">IFERROR(__xludf.DUMMYFUNCTION("""COMPUTED_VALUE"""),"A10")</f>
        <v>A10</v>
      </c>
      <c r="D156" s="1" t="str">
        <f ca="1">IFERROR(__xludf.DUMMYFUNCTION("""COMPUTED_VALUE"""),"17-16")</f>
        <v>17-16</v>
      </c>
      <c r="E156" s="1" t="str">
        <f ca="1">IFERROR(__xludf.DUMMYFUNCTION("""COMPUTED_VALUE"""),"+2.10")</f>
        <v>+2.10</v>
      </c>
      <c r="F156" s="1">
        <f ca="1">IFERROR(__xludf.DUMMYFUNCTION("""COMPUTED_VALUE"""),102.1)</f>
        <v>102.1</v>
      </c>
      <c r="G156" s="1">
        <f ca="1">IFERROR(__xludf.DUMMYFUNCTION("""COMPUTED_VALUE"""),225)</f>
        <v>225</v>
      </c>
      <c r="H156" s="1">
        <f ca="1">IFERROR(__xludf.DUMMYFUNCTION("""COMPUTED_VALUE"""),100)</f>
        <v>100</v>
      </c>
      <c r="I156" s="1">
        <f ca="1">IFERROR(__xludf.DUMMYFUNCTION("""COMPUTED_VALUE"""),80)</f>
        <v>80</v>
      </c>
      <c r="J156" s="1">
        <f ca="1">IFERROR(__xludf.DUMMYFUNCTION("""COMPUTED_VALUE"""),64.1)</f>
        <v>64.099999999999994</v>
      </c>
      <c r="K156" s="1">
        <f ca="1">IFERROR(__xludf.DUMMYFUNCTION("""COMPUTED_VALUE"""),337)</f>
        <v>337</v>
      </c>
      <c r="L156" s="1" t="str">
        <f ca="1">IFERROR(__xludf.DUMMYFUNCTION("""COMPUTED_VALUE"""),"+.003")</f>
        <v>+.003</v>
      </c>
      <c r="M156" s="1">
        <f ca="1">IFERROR(__xludf.DUMMYFUNCTION("""COMPUTED_VALUE"""),168)</f>
        <v>168</v>
      </c>
      <c r="N156" s="1" t="str">
        <f ca="1">IFERROR(__xludf.DUMMYFUNCTION("""COMPUTED_VALUE"""),"+1.23")</f>
        <v>+1.23</v>
      </c>
      <c r="O156" s="1">
        <f ca="1">IFERROR(__xludf.DUMMYFUNCTION("""COMPUTED_VALUE"""),113)</f>
        <v>113</v>
      </c>
      <c r="P156" s="1">
        <f ca="1">IFERROR(__xludf.DUMMYFUNCTION("""COMPUTED_VALUE"""),106.8)</f>
        <v>106.8</v>
      </c>
      <c r="Q156" s="1">
        <f ca="1">IFERROR(__xludf.DUMMYFUNCTION("""COMPUTED_VALUE"""),91)</f>
        <v>91</v>
      </c>
      <c r="R156" s="1">
        <f ca="1">IFERROR(__xludf.DUMMYFUNCTION("""COMPUTED_VALUE"""),105.6)</f>
        <v>105.6</v>
      </c>
      <c r="S156" s="1">
        <f ca="1">IFERROR(__xludf.DUMMYFUNCTION("""COMPUTED_VALUE"""),171)</f>
        <v>171</v>
      </c>
      <c r="T156" s="1" t="str">
        <f ca="1">IFERROR(__xludf.DUMMYFUNCTION("""COMPUTED_VALUE"""),"+1.00")</f>
        <v>+1.00</v>
      </c>
      <c r="U156" s="1">
        <f ca="1">IFERROR(__xludf.DUMMYFUNCTION("""COMPUTED_VALUE"""),135)</f>
        <v>135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IFERROR(__xludf.DUMMYFUNCTION("""COMPUTED_VALUE"""),"Louisiana Tech")</f>
        <v>Louisiana Tech</v>
      </c>
      <c r="C157" s="1" t="str">
        <f ca="1">IFERROR(__xludf.DUMMYFUNCTION("""COMPUTED_VALUE"""),"CUSA")</f>
        <v>CUSA</v>
      </c>
      <c r="D157" s="1" t="str">
        <f ca="1">IFERROR(__xludf.DUMMYFUNCTION("""COMPUTED_VALUE"""),"17-16")</f>
        <v>17-16</v>
      </c>
      <c r="E157" s="1" t="str">
        <f ca="1">IFERROR(__xludf.DUMMYFUNCTION("""COMPUTED_VALUE"""),"+2.01")</f>
        <v>+2.01</v>
      </c>
      <c r="F157" s="1">
        <f ca="1">IFERROR(__xludf.DUMMYFUNCTION("""COMPUTED_VALUE"""),106.9)</f>
        <v>106.9</v>
      </c>
      <c r="G157" s="1">
        <f ca="1">IFERROR(__xludf.DUMMYFUNCTION("""COMPUTED_VALUE"""),137)</f>
        <v>137</v>
      </c>
      <c r="H157" s="1">
        <f ca="1">IFERROR(__xludf.DUMMYFUNCTION("""COMPUTED_VALUE"""),104.9)</f>
        <v>104.9</v>
      </c>
      <c r="I157" s="1">
        <f ca="1">IFERROR(__xludf.DUMMYFUNCTION("""COMPUTED_VALUE"""),173)</f>
        <v>173</v>
      </c>
      <c r="J157" s="1">
        <f ca="1">IFERROR(__xludf.DUMMYFUNCTION("""COMPUTED_VALUE"""),67.3)</f>
        <v>67.3</v>
      </c>
      <c r="K157" s="1">
        <f ca="1">IFERROR(__xludf.DUMMYFUNCTION("""COMPUTED_VALUE"""),218)</f>
        <v>218</v>
      </c>
      <c r="L157" s="1">
        <f ca="1">IFERROR(__xludf.DUMMYFUNCTION("""COMPUTED_VALUE"""),-0.067)</f>
        <v>-6.7000000000000004E-2</v>
      </c>
      <c r="M157" s="1">
        <f ca="1">IFERROR(__xludf.DUMMYFUNCTION("""COMPUTED_VALUE"""),324)</f>
        <v>324</v>
      </c>
      <c r="N157" s="1">
        <f ca="1">IFERROR(__xludf.DUMMYFUNCTION("""COMPUTED_VALUE"""),-0.37)</f>
        <v>-0.37</v>
      </c>
      <c r="O157" s="1">
        <f ca="1">IFERROR(__xludf.DUMMYFUNCTION("""COMPUTED_VALUE"""),146)</f>
        <v>146</v>
      </c>
      <c r="P157" s="1">
        <f ca="1">IFERROR(__xludf.DUMMYFUNCTION("""COMPUTED_VALUE"""),104.1)</f>
        <v>104.1</v>
      </c>
      <c r="Q157" s="1">
        <f ca="1">IFERROR(__xludf.DUMMYFUNCTION("""COMPUTED_VALUE"""),187)</f>
        <v>187</v>
      </c>
      <c r="R157" s="1">
        <f ca="1">IFERROR(__xludf.DUMMYFUNCTION("""COMPUTED_VALUE"""),104.5)</f>
        <v>104.5</v>
      </c>
      <c r="S157" s="1">
        <f ca="1">IFERROR(__xludf.DUMMYFUNCTION("""COMPUTED_VALUE"""),120)</f>
        <v>120</v>
      </c>
      <c r="T157" s="1">
        <f ca="1">IFERROR(__xludf.DUMMYFUNCTION("""COMPUTED_VALUE"""),-3.36)</f>
        <v>-3.36</v>
      </c>
      <c r="U157" s="1">
        <f ca="1">IFERROR(__xludf.DUMMYFUNCTION("""COMPUTED_VALUE"""),265)</f>
        <v>265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IFERROR(__xludf.DUMMYFUNCTION("""COMPUTED_VALUE"""),"Valparaiso")</f>
        <v>Valparaiso</v>
      </c>
      <c r="C158" s="1" t="str">
        <f ca="1">IFERROR(__xludf.DUMMYFUNCTION("""COMPUTED_VALUE"""),"MVC")</f>
        <v>MVC</v>
      </c>
      <c r="D158" s="1" t="str">
        <f ca="1">IFERROR(__xludf.DUMMYFUNCTION("""COMPUTED_VALUE"""),"15-17")</f>
        <v>15-17</v>
      </c>
      <c r="E158" s="1" t="str">
        <f ca="1">IFERROR(__xludf.DUMMYFUNCTION("""COMPUTED_VALUE"""),"+1.78")</f>
        <v>+1.78</v>
      </c>
      <c r="F158" s="1">
        <f ca="1">IFERROR(__xludf.DUMMYFUNCTION("""COMPUTED_VALUE"""),103)</f>
        <v>103</v>
      </c>
      <c r="G158" s="1">
        <f ca="1">IFERROR(__xludf.DUMMYFUNCTION("""COMPUTED_VALUE"""),210)</f>
        <v>210</v>
      </c>
      <c r="H158" s="1">
        <f ca="1">IFERROR(__xludf.DUMMYFUNCTION("""COMPUTED_VALUE"""),101.2)</f>
        <v>101.2</v>
      </c>
      <c r="I158" s="1">
        <f ca="1">IFERROR(__xludf.DUMMYFUNCTION("""COMPUTED_VALUE"""),101)</f>
        <v>101</v>
      </c>
      <c r="J158" s="1">
        <f ca="1">IFERROR(__xludf.DUMMYFUNCTION("""COMPUTED_VALUE"""),69.7)</f>
        <v>69.7</v>
      </c>
      <c r="K158" s="1">
        <f ca="1">IFERROR(__xludf.DUMMYFUNCTION("""COMPUTED_VALUE"""),90)</f>
        <v>90</v>
      </c>
      <c r="L158" s="1">
        <f ca="1">IFERROR(__xludf.DUMMYFUNCTION("""COMPUTED_VALUE"""),-0.053)</f>
        <v>-5.2999999999999999E-2</v>
      </c>
      <c r="M158" s="1">
        <f ca="1">IFERROR(__xludf.DUMMYFUNCTION("""COMPUTED_VALUE"""),302)</f>
        <v>302</v>
      </c>
      <c r="N158" s="1" t="str">
        <f ca="1">IFERROR(__xludf.DUMMYFUNCTION("""COMPUTED_VALUE"""),"+1.62")</f>
        <v>+1.62</v>
      </c>
      <c r="O158" s="1">
        <f ca="1">IFERROR(__xludf.DUMMYFUNCTION("""COMPUTED_VALUE"""),107)</f>
        <v>107</v>
      </c>
      <c r="P158" s="1">
        <f ca="1">IFERROR(__xludf.DUMMYFUNCTION("""COMPUTED_VALUE"""),105)</f>
        <v>105</v>
      </c>
      <c r="Q158" s="1">
        <f ca="1">IFERROR(__xludf.DUMMYFUNCTION("""COMPUTED_VALUE"""),147)</f>
        <v>147</v>
      </c>
      <c r="R158" s="1">
        <f ca="1">IFERROR(__xludf.DUMMYFUNCTION("""COMPUTED_VALUE"""),103.4)</f>
        <v>103.4</v>
      </c>
      <c r="S158" s="1">
        <f ca="1">IFERROR(__xludf.DUMMYFUNCTION("""COMPUTED_VALUE"""),89)</f>
        <v>89</v>
      </c>
      <c r="T158" s="1">
        <f ca="1">IFERROR(__xludf.DUMMYFUNCTION("""COMPUTED_VALUE"""),-2.72)</f>
        <v>-2.72</v>
      </c>
      <c r="U158" s="1">
        <f ca="1">IFERROR(__xludf.DUMMYFUNCTION("""COMPUTED_VALUE"""),241)</f>
        <v>241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IFERROR(__xludf.DUMMYFUNCTION("""COMPUTED_VALUE"""),"Albany")</f>
        <v>Albany</v>
      </c>
      <c r="C159" s="1" t="str">
        <f ca="1">IFERROR(__xludf.DUMMYFUNCTION("""COMPUTED_VALUE"""),"AE")</f>
        <v>AE</v>
      </c>
      <c r="D159" s="1" t="str">
        <f ca="1">IFERROR(__xludf.DUMMYFUNCTION("""COMPUTED_VALUE"""),"22-10")</f>
        <v>22-10</v>
      </c>
      <c r="E159" s="1" t="str">
        <f ca="1">IFERROR(__xludf.DUMMYFUNCTION("""COMPUTED_VALUE"""),"+1.71")</f>
        <v>+1.71</v>
      </c>
      <c r="F159" s="1">
        <f ca="1">IFERROR(__xludf.DUMMYFUNCTION("""COMPUTED_VALUE"""),107.1)</f>
        <v>107.1</v>
      </c>
      <c r="G159" s="1">
        <f ca="1">IFERROR(__xludf.DUMMYFUNCTION("""COMPUTED_VALUE"""),134)</f>
        <v>134</v>
      </c>
      <c r="H159" s="1">
        <f ca="1">IFERROR(__xludf.DUMMYFUNCTION("""COMPUTED_VALUE"""),105.4)</f>
        <v>105.4</v>
      </c>
      <c r="I159" s="1">
        <f ca="1">IFERROR(__xludf.DUMMYFUNCTION("""COMPUTED_VALUE"""),180)</f>
        <v>180</v>
      </c>
      <c r="J159" s="1">
        <f ca="1">IFERROR(__xludf.DUMMYFUNCTION("""COMPUTED_VALUE"""),66.2)</f>
        <v>66.2</v>
      </c>
      <c r="K159" s="1">
        <f ca="1">IFERROR(__xludf.DUMMYFUNCTION("""COMPUTED_VALUE"""),272)</f>
        <v>272</v>
      </c>
      <c r="L159" s="1" t="str">
        <f ca="1">IFERROR(__xludf.DUMMYFUNCTION("""COMPUTED_VALUE"""),"+.007")</f>
        <v>+.007</v>
      </c>
      <c r="M159" s="1">
        <f ca="1">IFERROR(__xludf.DUMMYFUNCTION("""COMPUTED_VALUE"""),157)</f>
        <v>157</v>
      </c>
      <c r="N159" s="1">
        <f ca="1">IFERROR(__xludf.DUMMYFUNCTION("""COMPUTED_VALUE"""),-6.49)</f>
        <v>-6.49</v>
      </c>
      <c r="O159" s="1">
        <f ca="1">IFERROR(__xludf.DUMMYFUNCTION("""COMPUTED_VALUE"""),306)</f>
        <v>306</v>
      </c>
      <c r="P159" s="1">
        <f ca="1">IFERROR(__xludf.DUMMYFUNCTION("""COMPUTED_VALUE"""),101.4)</f>
        <v>101.4</v>
      </c>
      <c r="Q159" s="1">
        <f ca="1">IFERROR(__xludf.DUMMYFUNCTION("""COMPUTED_VALUE"""),307)</f>
        <v>307</v>
      </c>
      <c r="R159" s="1">
        <f ca="1">IFERROR(__xludf.DUMMYFUNCTION("""COMPUTED_VALUE"""),107.9)</f>
        <v>107.9</v>
      </c>
      <c r="S159" s="1">
        <f ca="1">IFERROR(__xludf.DUMMYFUNCTION("""COMPUTED_VALUE"""),300)</f>
        <v>300</v>
      </c>
      <c r="T159" s="1">
        <f ca="1">IFERROR(__xludf.DUMMYFUNCTION("""COMPUTED_VALUE"""),-5.2)</f>
        <v>-5.2</v>
      </c>
      <c r="U159" s="1">
        <f ca="1">IFERROR(__xludf.DUMMYFUNCTION("""COMPUTED_VALUE"""),307)</f>
        <v>307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IFERROR(__xludf.DUMMYFUNCTION("""COMPUTED_VALUE"""),"Georgia Southern")</f>
        <v>Georgia Southern</v>
      </c>
      <c r="C160" s="1" t="str">
        <f ca="1">IFERROR(__xludf.DUMMYFUNCTION("""COMPUTED_VALUE"""),"SB")</f>
        <v>SB</v>
      </c>
      <c r="D160" s="1" t="str">
        <f ca="1">IFERROR(__xludf.DUMMYFUNCTION("""COMPUTED_VALUE"""),"21-12")</f>
        <v>21-12</v>
      </c>
      <c r="E160" s="1" t="str">
        <f ca="1">IFERROR(__xludf.DUMMYFUNCTION("""COMPUTED_VALUE"""),"+1.65")</f>
        <v>+1.65</v>
      </c>
      <c r="F160" s="1">
        <f ca="1">IFERROR(__xludf.DUMMYFUNCTION("""COMPUTED_VALUE"""),105.9)</f>
        <v>105.9</v>
      </c>
      <c r="G160" s="1">
        <f ca="1">IFERROR(__xludf.DUMMYFUNCTION("""COMPUTED_VALUE"""),153)</f>
        <v>153</v>
      </c>
      <c r="H160" s="1">
        <f ca="1">IFERROR(__xludf.DUMMYFUNCTION("""COMPUTED_VALUE"""),104.3)</f>
        <v>104.3</v>
      </c>
      <c r="I160" s="1">
        <f ca="1">IFERROR(__xludf.DUMMYFUNCTION("""COMPUTED_VALUE"""),161)</f>
        <v>161</v>
      </c>
      <c r="J160" s="1">
        <f ca="1">IFERROR(__xludf.DUMMYFUNCTION("""COMPUTED_VALUE"""),68.9)</f>
        <v>68.900000000000006</v>
      </c>
      <c r="K160" s="1">
        <f ca="1">IFERROR(__xludf.DUMMYFUNCTION("""COMPUTED_VALUE"""),134)</f>
        <v>134</v>
      </c>
      <c r="L160" s="1" t="str">
        <f ca="1">IFERROR(__xludf.DUMMYFUNCTION("""COMPUTED_VALUE"""),"+.015")</f>
        <v>+.015</v>
      </c>
      <c r="M160" s="1">
        <f ca="1">IFERROR(__xludf.DUMMYFUNCTION("""COMPUTED_VALUE"""),137)</f>
        <v>137</v>
      </c>
      <c r="N160" s="1">
        <f ca="1">IFERROR(__xludf.DUMMYFUNCTION("""COMPUTED_VALUE"""),-2.52)</f>
        <v>-2.52</v>
      </c>
      <c r="O160" s="1">
        <f ca="1">IFERROR(__xludf.DUMMYFUNCTION("""COMPUTED_VALUE"""),208)</f>
        <v>208</v>
      </c>
      <c r="P160" s="1">
        <f ca="1">IFERROR(__xludf.DUMMYFUNCTION("""COMPUTED_VALUE"""),102.9)</f>
        <v>102.9</v>
      </c>
      <c r="Q160" s="1">
        <f ca="1">IFERROR(__xludf.DUMMYFUNCTION("""COMPUTED_VALUE"""),254)</f>
        <v>254</v>
      </c>
      <c r="R160" s="1">
        <f ca="1">IFERROR(__xludf.DUMMYFUNCTION("""COMPUTED_VALUE"""),105.4)</f>
        <v>105.4</v>
      </c>
      <c r="S160" s="1">
        <f ca="1">IFERROR(__xludf.DUMMYFUNCTION("""COMPUTED_VALUE"""),156)</f>
        <v>156</v>
      </c>
      <c r="T160" s="1">
        <f ca="1">IFERROR(__xludf.DUMMYFUNCTION("""COMPUTED_VALUE"""),-1.55)</f>
        <v>-1.55</v>
      </c>
      <c r="U160" s="1">
        <f ca="1">IFERROR(__xludf.DUMMYFUNCTION("""COMPUTED_VALUE"""),199)</f>
        <v>199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IFERROR(__xludf.DUMMYFUNCTION("""COMPUTED_VALUE"""),"Towson")</f>
        <v>Towson</v>
      </c>
      <c r="C161" s="1" t="str">
        <f ca="1">IFERROR(__xludf.DUMMYFUNCTION("""COMPUTED_VALUE"""),"CAA")</f>
        <v>CAA</v>
      </c>
      <c r="D161" s="1" t="str">
        <f ca="1">IFERROR(__xludf.DUMMYFUNCTION("""COMPUTED_VALUE"""),"18-14")</f>
        <v>18-14</v>
      </c>
      <c r="E161" s="1" t="str">
        <f ca="1">IFERROR(__xludf.DUMMYFUNCTION("""COMPUTED_VALUE"""),"+1.29")</f>
        <v>+1.29</v>
      </c>
      <c r="F161" s="1">
        <f ca="1">IFERROR(__xludf.DUMMYFUNCTION("""COMPUTED_VALUE"""),106)</f>
        <v>106</v>
      </c>
      <c r="G161" s="1">
        <f ca="1">IFERROR(__xludf.DUMMYFUNCTION("""COMPUTED_VALUE"""),151)</f>
        <v>151</v>
      </c>
      <c r="H161" s="1">
        <f ca="1">IFERROR(__xludf.DUMMYFUNCTION("""COMPUTED_VALUE"""),104.7)</f>
        <v>104.7</v>
      </c>
      <c r="I161" s="1">
        <f ca="1">IFERROR(__xludf.DUMMYFUNCTION("""COMPUTED_VALUE"""),167)</f>
        <v>167</v>
      </c>
      <c r="J161" s="1">
        <f ca="1">IFERROR(__xludf.DUMMYFUNCTION("""COMPUTED_VALUE"""),67.9)</f>
        <v>67.900000000000006</v>
      </c>
      <c r="K161" s="1">
        <f ca="1">IFERROR(__xludf.DUMMYFUNCTION("""COMPUTED_VALUE"""),188)</f>
        <v>188</v>
      </c>
      <c r="L161" s="1">
        <f ca="1">IFERROR(__xludf.DUMMYFUNCTION("""COMPUTED_VALUE"""),-0.07)</f>
        <v>-7.0000000000000007E-2</v>
      </c>
      <c r="M161" s="1">
        <f ca="1">IFERROR(__xludf.DUMMYFUNCTION("""COMPUTED_VALUE"""),329)</f>
        <v>329</v>
      </c>
      <c r="N161" s="1">
        <f ca="1">IFERROR(__xludf.DUMMYFUNCTION("""COMPUTED_VALUE"""),-2.8)</f>
        <v>-2.8</v>
      </c>
      <c r="O161" s="1">
        <f ca="1">IFERROR(__xludf.DUMMYFUNCTION("""COMPUTED_VALUE"""),218)</f>
        <v>218</v>
      </c>
      <c r="P161" s="1">
        <f ca="1">IFERROR(__xludf.DUMMYFUNCTION("""COMPUTED_VALUE"""),104.8)</f>
        <v>104.8</v>
      </c>
      <c r="Q161" s="1">
        <f ca="1">IFERROR(__xludf.DUMMYFUNCTION("""COMPUTED_VALUE"""),154)</f>
        <v>154</v>
      </c>
      <c r="R161" s="1">
        <f ca="1">IFERROR(__xludf.DUMMYFUNCTION("""COMPUTED_VALUE"""),107.6)</f>
        <v>107.6</v>
      </c>
      <c r="S161" s="1">
        <f ca="1">IFERROR(__xludf.DUMMYFUNCTION("""COMPUTED_VALUE"""),284)</f>
        <v>284</v>
      </c>
      <c r="T161" s="1">
        <f ca="1">IFERROR(__xludf.DUMMYFUNCTION("""COMPUTED_VALUE"""),-2.22)</f>
        <v>-2.2200000000000002</v>
      </c>
      <c r="U161" s="1">
        <f ca="1">IFERROR(__xludf.DUMMYFUNCTION("""COMPUTED_VALUE"""),222)</f>
        <v>222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IFERROR(__xludf.DUMMYFUNCTION("""COMPUTED_VALUE"""),"Mercer")</f>
        <v>Mercer</v>
      </c>
      <c r="C162" s="1" t="str">
        <f ca="1">IFERROR(__xludf.DUMMYFUNCTION("""COMPUTED_VALUE"""),"SC")</f>
        <v>SC</v>
      </c>
      <c r="D162" s="1" t="str">
        <f ca="1">IFERROR(__xludf.DUMMYFUNCTION("""COMPUTED_VALUE"""),"19-15")</f>
        <v>19-15</v>
      </c>
      <c r="E162" s="1" t="str">
        <f ca="1">IFERROR(__xludf.DUMMYFUNCTION("""COMPUTED_VALUE"""),"+1.27")</f>
        <v>+1.27</v>
      </c>
      <c r="F162" s="1">
        <f ca="1">IFERROR(__xludf.DUMMYFUNCTION("""COMPUTED_VALUE"""),111.7)</f>
        <v>111.7</v>
      </c>
      <c r="G162" s="1">
        <f ca="1">IFERROR(__xludf.DUMMYFUNCTION("""COMPUTED_VALUE"""),60)</f>
        <v>60</v>
      </c>
      <c r="H162" s="1">
        <f ca="1">IFERROR(__xludf.DUMMYFUNCTION("""COMPUTED_VALUE"""),110.5)</f>
        <v>110.5</v>
      </c>
      <c r="I162" s="1">
        <f ca="1">IFERROR(__xludf.DUMMYFUNCTION("""COMPUTED_VALUE"""),283)</f>
        <v>283</v>
      </c>
      <c r="J162" s="1">
        <f ca="1">IFERROR(__xludf.DUMMYFUNCTION("""COMPUTED_VALUE"""),64.3)</f>
        <v>64.3</v>
      </c>
      <c r="K162" s="1">
        <f ca="1">IFERROR(__xludf.DUMMYFUNCTION("""COMPUTED_VALUE"""),335)</f>
        <v>335</v>
      </c>
      <c r="L162" s="1">
        <f ca="1">IFERROR(__xludf.DUMMYFUNCTION("""COMPUTED_VALUE"""),-0.047)</f>
        <v>-4.7E-2</v>
      </c>
      <c r="M162" s="1">
        <f ca="1">IFERROR(__xludf.DUMMYFUNCTION("""COMPUTED_VALUE"""),288)</f>
        <v>288</v>
      </c>
      <c r="N162" s="1">
        <f ca="1">IFERROR(__xludf.DUMMYFUNCTION("""COMPUTED_VALUE"""),-2.86)</f>
        <v>-2.86</v>
      </c>
      <c r="O162" s="1">
        <f ca="1">IFERROR(__xludf.DUMMYFUNCTION("""COMPUTED_VALUE"""),223)</f>
        <v>223</v>
      </c>
      <c r="P162" s="1">
        <f ca="1">IFERROR(__xludf.DUMMYFUNCTION("""COMPUTED_VALUE"""),102.9)</f>
        <v>102.9</v>
      </c>
      <c r="Q162" s="1">
        <f ca="1">IFERROR(__xludf.DUMMYFUNCTION("""COMPUTED_VALUE"""),252)</f>
        <v>252</v>
      </c>
      <c r="R162" s="1">
        <f ca="1">IFERROR(__xludf.DUMMYFUNCTION("""COMPUTED_VALUE"""),105.8)</f>
        <v>105.8</v>
      </c>
      <c r="S162" s="1">
        <f ca="1">IFERROR(__xludf.DUMMYFUNCTION("""COMPUTED_VALUE"""),178)</f>
        <v>178</v>
      </c>
      <c r="T162" s="1">
        <f ca="1">IFERROR(__xludf.DUMMYFUNCTION("""COMPUTED_VALUE"""),-0.19)</f>
        <v>-0.19</v>
      </c>
      <c r="U162" s="1">
        <f ca="1">IFERROR(__xludf.DUMMYFUNCTION("""COMPUTED_VALUE"""),161)</f>
        <v>161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IFERROR(__xludf.DUMMYFUNCTION("""COMPUTED_VALUE"""),"Drake")</f>
        <v>Drake</v>
      </c>
      <c r="C163" s="1" t="str">
        <f ca="1">IFERROR(__xludf.DUMMYFUNCTION("""COMPUTED_VALUE"""),"MVC")</f>
        <v>MVC</v>
      </c>
      <c r="D163" s="1" t="str">
        <f ca="1">IFERROR(__xludf.DUMMYFUNCTION("""COMPUTED_VALUE"""),"17-17")</f>
        <v>17-17</v>
      </c>
      <c r="E163" s="1" t="str">
        <f ca="1">IFERROR(__xludf.DUMMYFUNCTION("""COMPUTED_VALUE"""),"+1.09")</f>
        <v>+1.09</v>
      </c>
      <c r="F163" s="1">
        <f ca="1">IFERROR(__xludf.DUMMYFUNCTION("""COMPUTED_VALUE"""),105.9)</f>
        <v>105.9</v>
      </c>
      <c r="G163" s="1">
        <f ca="1">IFERROR(__xludf.DUMMYFUNCTION("""COMPUTED_VALUE"""),152)</f>
        <v>152</v>
      </c>
      <c r="H163" s="1">
        <f ca="1">IFERROR(__xludf.DUMMYFUNCTION("""COMPUTED_VALUE"""),104.8)</f>
        <v>104.8</v>
      </c>
      <c r="I163" s="1">
        <f ca="1">IFERROR(__xludf.DUMMYFUNCTION("""COMPUTED_VALUE"""),171)</f>
        <v>171</v>
      </c>
      <c r="J163" s="1">
        <f ca="1">IFERROR(__xludf.DUMMYFUNCTION("""COMPUTED_VALUE"""),68.4)</f>
        <v>68.400000000000006</v>
      </c>
      <c r="K163" s="1">
        <f ca="1">IFERROR(__xludf.DUMMYFUNCTION("""COMPUTED_VALUE"""),169)</f>
        <v>169</v>
      </c>
      <c r="L163" s="1" t="str">
        <f ca="1">IFERROR(__xludf.DUMMYFUNCTION("""COMPUTED_VALUE"""),"+.016")</f>
        <v>+.016</v>
      </c>
      <c r="M163" s="1">
        <f ca="1">IFERROR(__xludf.DUMMYFUNCTION("""COMPUTED_VALUE"""),134)</f>
        <v>134</v>
      </c>
      <c r="N163" s="1" t="str">
        <f ca="1">IFERROR(__xludf.DUMMYFUNCTION("""COMPUTED_VALUE"""),"+2.22")</f>
        <v>+2.22</v>
      </c>
      <c r="O163" s="1">
        <f ca="1">IFERROR(__xludf.DUMMYFUNCTION("""COMPUTED_VALUE"""),103)</f>
        <v>103</v>
      </c>
      <c r="P163" s="1">
        <f ca="1">IFERROR(__xludf.DUMMYFUNCTION("""COMPUTED_VALUE"""),105.4)</f>
        <v>105.4</v>
      </c>
      <c r="Q163" s="1">
        <f ca="1">IFERROR(__xludf.DUMMYFUNCTION("""COMPUTED_VALUE"""),130)</f>
        <v>130</v>
      </c>
      <c r="R163" s="1">
        <f ca="1">IFERROR(__xludf.DUMMYFUNCTION("""COMPUTED_VALUE"""),103.2)</f>
        <v>103.2</v>
      </c>
      <c r="S163" s="1">
        <f ca="1">IFERROR(__xludf.DUMMYFUNCTION("""COMPUTED_VALUE"""),83)</f>
        <v>83</v>
      </c>
      <c r="T163" s="1">
        <f ca="1">IFERROR(__xludf.DUMMYFUNCTION("""COMPUTED_VALUE"""),-0.38)</f>
        <v>-0.38</v>
      </c>
      <c r="U163" s="1">
        <f ca="1">IFERROR(__xludf.DUMMYFUNCTION("""COMPUTED_VALUE"""),167)</f>
        <v>167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IFERROR(__xludf.DUMMYFUNCTION("""COMPUTED_VALUE"""),"La Salle")</f>
        <v>La Salle</v>
      </c>
      <c r="C164" s="1" t="str">
        <f ca="1">IFERROR(__xludf.DUMMYFUNCTION("""COMPUTED_VALUE"""),"A10")</f>
        <v>A10</v>
      </c>
      <c r="D164" s="1" t="str">
        <f ca="1">IFERROR(__xludf.DUMMYFUNCTION("""COMPUTED_VALUE"""),"13-19")</f>
        <v>13-19</v>
      </c>
      <c r="E164" s="1" t="str">
        <f ca="1">IFERROR(__xludf.DUMMYFUNCTION("""COMPUTED_VALUE"""),"+1.06")</f>
        <v>+1.06</v>
      </c>
      <c r="F164" s="1">
        <f ca="1">IFERROR(__xludf.DUMMYFUNCTION("""COMPUTED_VALUE"""),104.9)</f>
        <v>104.9</v>
      </c>
      <c r="G164" s="1">
        <f ca="1">IFERROR(__xludf.DUMMYFUNCTION("""COMPUTED_VALUE"""),175)</f>
        <v>175</v>
      </c>
      <c r="H164" s="1">
        <f ca="1">IFERROR(__xludf.DUMMYFUNCTION("""COMPUTED_VALUE"""),103.8)</f>
        <v>103.8</v>
      </c>
      <c r="I164" s="1">
        <f ca="1">IFERROR(__xludf.DUMMYFUNCTION("""COMPUTED_VALUE"""),155)</f>
        <v>155</v>
      </c>
      <c r="J164" s="1">
        <f ca="1">IFERROR(__xludf.DUMMYFUNCTION("""COMPUTED_VALUE"""),68.9)</f>
        <v>68.900000000000006</v>
      </c>
      <c r="K164" s="1">
        <f ca="1">IFERROR(__xludf.DUMMYFUNCTION("""COMPUTED_VALUE"""),129)</f>
        <v>129</v>
      </c>
      <c r="L164" s="1">
        <f ca="1">IFERROR(__xludf.DUMMYFUNCTION("""COMPUTED_VALUE"""),-0.072)</f>
        <v>-7.1999999999999995E-2</v>
      </c>
      <c r="M164" s="1">
        <f ca="1">IFERROR(__xludf.DUMMYFUNCTION("""COMPUTED_VALUE"""),331)</f>
        <v>331</v>
      </c>
      <c r="N164" s="1" t="str">
        <f ca="1">IFERROR(__xludf.DUMMYFUNCTION("""COMPUTED_VALUE"""),"+1.15")</f>
        <v>+1.15</v>
      </c>
      <c r="O164" s="1">
        <f ca="1">IFERROR(__xludf.DUMMYFUNCTION("""COMPUTED_VALUE"""),115)</f>
        <v>115</v>
      </c>
      <c r="P164" s="1">
        <f ca="1">IFERROR(__xludf.DUMMYFUNCTION("""COMPUTED_VALUE"""),105.5)</f>
        <v>105.5</v>
      </c>
      <c r="Q164" s="1">
        <f ca="1">IFERROR(__xludf.DUMMYFUNCTION("""COMPUTED_VALUE"""),121)</f>
        <v>121</v>
      </c>
      <c r="R164" s="1">
        <f ca="1">IFERROR(__xludf.DUMMYFUNCTION("""COMPUTED_VALUE"""),104.4)</f>
        <v>104.4</v>
      </c>
      <c r="S164" s="1">
        <f ca="1">IFERROR(__xludf.DUMMYFUNCTION("""COMPUTED_VALUE"""),117)</f>
        <v>117</v>
      </c>
      <c r="T164" s="1" t="str">
        <f ca="1">IFERROR(__xludf.DUMMYFUNCTION("""COMPUTED_VALUE"""),"+2.22")</f>
        <v>+2.22</v>
      </c>
      <c r="U164" s="1">
        <f ca="1">IFERROR(__xludf.DUMMYFUNCTION("""COMPUTED_VALUE"""),93)</f>
        <v>93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IFERROR(__xludf.DUMMYFUNCTION("""COMPUTED_VALUE"""),"Hofstra")</f>
        <v>Hofstra</v>
      </c>
      <c r="C165" s="1" t="str">
        <f ca="1">IFERROR(__xludf.DUMMYFUNCTION("""COMPUTED_VALUE"""),"CAA")</f>
        <v>CAA</v>
      </c>
      <c r="D165" s="1" t="str">
        <f ca="1">IFERROR(__xludf.DUMMYFUNCTION("""COMPUTED_VALUE"""),"19-12")</f>
        <v>19-12</v>
      </c>
      <c r="E165" s="1" t="str">
        <f ca="1">IFERROR(__xludf.DUMMYFUNCTION("""COMPUTED_VALUE"""),"+0.99")</f>
        <v>+0.99</v>
      </c>
      <c r="F165" s="1">
        <f ca="1">IFERROR(__xludf.DUMMYFUNCTION("""COMPUTED_VALUE"""),111.1)</f>
        <v>111.1</v>
      </c>
      <c r="G165" s="1">
        <f ca="1">IFERROR(__xludf.DUMMYFUNCTION("""COMPUTED_VALUE"""),71)</f>
        <v>71</v>
      </c>
      <c r="H165" s="1">
        <f ca="1">IFERROR(__xludf.DUMMYFUNCTION("""COMPUTED_VALUE"""),110.1)</f>
        <v>110.1</v>
      </c>
      <c r="I165" s="1">
        <f ca="1">IFERROR(__xludf.DUMMYFUNCTION("""COMPUTED_VALUE"""),282)</f>
        <v>282</v>
      </c>
      <c r="J165" s="1">
        <f ca="1">IFERROR(__xludf.DUMMYFUNCTION("""COMPUTED_VALUE"""),68.9)</f>
        <v>68.900000000000006</v>
      </c>
      <c r="K165" s="1">
        <f ca="1">IFERROR(__xludf.DUMMYFUNCTION("""COMPUTED_VALUE"""),136)</f>
        <v>136</v>
      </c>
      <c r="L165" s="1" t="str">
        <f ca="1">IFERROR(__xludf.DUMMYFUNCTION("""COMPUTED_VALUE"""),"+.062")</f>
        <v>+.062</v>
      </c>
      <c r="M165" s="1">
        <f ca="1">IFERROR(__xludf.DUMMYFUNCTION("""COMPUTED_VALUE"""),50)</f>
        <v>50</v>
      </c>
      <c r="N165" s="1">
        <f ca="1">IFERROR(__xludf.DUMMYFUNCTION("""COMPUTED_VALUE"""),-1.8)</f>
        <v>-1.8</v>
      </c>
      <c r="O165" s="1">
        <f ca="1">IFERROR(__xludf.DUMMYFUNCTION("""COMPUTED_VALUE"""),182)</f>
        <v>182</v>
      </c>
      <c r="P165" s="1">
        <f ca="1">IFERROR(__xludf.DUMMYFUNCTION("""COMPUTED_VALUE"""),105.4)</f>
        <v>105.4</v>
      </c>
      <c r="Q165" s="1">
        <f ca="1">IFERROR(__xludf.DUMMYFUNCTION("""COMPUTED_VALUE"""),127)</f>
        <v>127</v>
      </c>
      <c r="R165" s="1">
        <f ca="1">IFERROR(__xludf.DUMMYFUNCTION("""COMPUTED_VALUE"""),107.2)</f>
        <v>107.2</v>
      </c>
      <c r="S165" s="1">
        <f ca="1">IFERROR(__xludf.DUMMYFUNCTION("""COMPUTED_VALUE"""),267)</f>
        <v>267</v>
      </c>
      <c r="T165" s="1" t="str">
        <f ca="1">IFERROR(__xludf.DUMMYFUNCTION("""COMPUTED_VALUE"""),"+1.99")</f>
        <v>+1.99</v>
      </c>
      <c r="U165" s="1">
        <f ca="1">IFERROR(__xludf.DUMMYFUNCTION("""COMPUTED_VALUE"""),103)</f>
        <v>103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IFERROR(__xludf.DUMMYFUNCTION("""COMPUTED_VALUE"""),"San Francisco")</f>
        <v>San Francisco</v>
      </c>
      <c r="C166" s="1" t="str">
        <f ca="1">IFERROR(__xludf.DUMMYFUNCTION("""COMPUTED_VALUE"""),"WCC")</f>
        <v>WCC</v>
      </c>
      <c r="D166" s="1" t="str">
        <f ca="1">IFERROR(__xludf.DUMMYFUNCTION("""COMPUTED_VALUE"""),"22-17")</f>
        <v>22-17</v>
      </c>
      <c r="E166" s="1" t="str">
        <f ca="1">IFERROR(__xludf.DUMMYFUNCTION("""COMPUTED_VALUE"""),"+0.97")</f>
        <v>+0.97</v>
      </c>
      <c r="F166" s="1">
        <f ca="1">IFERROR(__xludf.DUMMYFUNCTION("""COMPUTED_VALUE"""),102.1)</f>
        <v>102.1</v>
      </c>
      <c r="G166" s="1">
        <f ca="1">IFERROR(__xludf.DUMMYFUNCTION("""COMPUTED_VALUE"""),230)</f>
        <v>230</v>
      </c>
      <c r="H166" s="1">
        <f ca="1">IFERROR(__xludf.DUMMYFUNCTION("""COMPUTED_VALUE"""),101.1)</f>
        <v>101.1</v>
      </c>
      <c r="I166" s="1">
        <f ca="1">IFERROR(__xludf.DUMMYFUNCTION("""COMPUTED_VALUE"""),99)</f>
        <v>99</v>
      </c>
      <c r="J166" s="1">
        <f ca="1">IFERROR(__xludf.DUMMYFUNCTION("""COMPUTED_VALUE"""),67.1)</f>
        <v>67.099999999999994</v>
      </c>
      <c r="K166" s="1">
        <f ca="1">IFERROR(__xludf.DUMMYFUNCTION("""COMPUTED_VALUE"""),225)</f>
        <v>225</v>
      </c>
      <c r="L166" s="1" t="str">
        <f ca="1">IFERROR(__xludf.DUMMYFUNCTION("""COMPUTED_VALUE"""),"+.066")</f>
        <v>+.066</v>
      </c>
      <c r="M166" s="1">
        <f ca="1">IFERROR(__xludf.DUMMYFUNCTION("""COMPUTED_VALUE"""),37)</f>
        <v>37</v>
      </c>
      <c r="N166" s="1" t="str">
        <f ca="1">IFERROR(__xludf.DUMMYFUNCTION("""COMPUTED_VALUE"""),"+0.06")</f>
        <v>+0.06</v>
      </c>
      <c r="O166" s="1">
        <f ca="1">IFERROR(__xludf.DUMMYFUNCTION("""COMPUTED_VALUE"""),138)</f>
        <v>138</v>
      </c>
      <c r="P166" s="1">
        <f ca="1">IFERROR(__xludf.DUMMYFUNCTION("""COMPUTED_VALUE"""),106.5)</f>
        <v>106.5</v>
      </c>
      <c r="Q166" s="1">
        <f ca="1">IFERROR(__xludf.DUMMYFUNCTION("""COMPUTED_VALUE"""),100)</f>
        <v>100</v>
      </c>
      <c r="R166" s="1">
        <f ca="1">IFERROR(__xludf.DUMMYFUNCTION("""COMPUTED_VALUE"""),106.4)</f>
        <v>106.4</v>
      </c>
      <c r="S166" s="1">
        <f ca="1">IFERROR(__xludf.DUMMYFUNCTION("""COMPUTED_VALUE"""),221)</f>
        <v>221</v>
      </c>
      <c r="T166" s="1">
        <f ca="1">IFERROR(__xludf.DUMMYFUNCTION("""COMPUTED_VALUE"""),-0.33)</f>
        <v>-0.33</v>
      </c>
      <c r="U166" s="1">
        <f ca="1">IFERROR(__xludf.DUMMYFUNCTION("""COMPUTED_VALUE"""),165)</f>
        <v>165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IFERROR(__xludf.DUMMYFUNCTION("""COMPUTED_VALUE"""),"Weber St.")</f>
        <v>Weber St.</v>
      </c>
      <c r="C167" s="1" t="str">
        <f ca="1">IFERROR(__xludf.DUMMYFUNCTION("""COMPUTED_VALUE"""),"BSky")</f>
        <v>BSky</v>
      </c>
      <c r="D167" s="1" t="str">
        <f ca="1">IFERROR(__xludf.DUMMYFUNCTION("""COMPUTED_VALUE"""),"20-11")</f>
        <v>20-11</v>
      </c>
      <c r="E167" s="1" t="str">
        <f ca="1">IFERROR(__xludf.DUMMYFUNCTION("""COMPUTED_VALUE"""),"+0.88")</f>
        <v>+0.88</v>
      </c>
      <c r="F167" s="1">
        <f ca="1">IFERROR(__xludf.DUMMYFUNCTION("""COMPUTED_VALUE"""),106.7)</f>
        <v>106.7</v>
      </c>
      <c r="G167" s="1">
        <f ca="1">IFERROR(__xludf.DUMMYFUNCTION("""COMPUTED_VALUE"""),138)</f>
        <v>138</v>
      </c>
      <c r="H167" s="1">
        <f ca="1">IFERROR(__xludf.DUMMYFUNCTION("""COMPUTED_VALUE"""),105.8)</f>
        <v>105.8</v>
      </c>
      <c r="I167" s="1">
        <f ca="1">IFERROR(__xludf.DUMMYFUNCTION("""COMPUTED_VALUE"""),186)</f>
        <v>186</v>
      </c>
      <c r="J167" s="1">
        <f ca="1">IFERROR(__xludf.DUMMYFUNCTION("""COMPUTED_VALUE"""),67.5)</f>
        <v>67.5</v>
      </c>
      <c r="K167" s="1">
        <f ca="1">IFERROR(__xludf.DUMMYFUNCTION("""COMPUTED_VALUE"""),209)</f>
        <v>209</v>
      </c>
      <c r="L167" s="1" t="str">
        <f ca="1">IFERROR(__xludf.DUMMYFUNCTION("""COMPUTED_VALUE"""),"+.037")</f>
        <v>+.037</v>
      </c>
      <c r="M167" s="1">
        <f ca="1">IFERROR(__xludf.DUMMYFUNCTION("""COMPUTED_VALUE"""),87)</f>
        <v>87</v>
      </c>
      <c r="N167" s="1">
        <f ca="1">IFERROR(__xludf.DUMMYFUNCTION("""COMPUTED_VALUE"""),-2.94)</f>
        <v>-2.94</v>
      </c>
      <c r="O167" s="1">
        <f ca="1">IFERROR(__xludf.DUMMYFUNCTION("""COMPUTED_VALUE"""),225)</f>
        <v>225</v>
      </c>
      <c r="P167" s="1">
        <f ca="1">IFERROR(__xludf.DUMMYFUNCTION("""COMPUTED_VALUE"""),103.9)</f>
        <v>103.9</v>
      </c>
      <c r="Q167" s="1">
        <f ca="1">IFERROR(__xludf.DUMMYFUNCTION("""COMPUTED_VALUE"""),197)</f>
        <v>197</v>
      </c>
      <c r="R167" s="1">
        <f ca="1">IFERROR(__xludf.DUMMYFUNCTION("""COMPUTED_VALUE"""),106.8)</f>
        <v>106.8</v>
      </c>
      <c r="S167" s="1">
        <f ca="1">IFERROR(__xludf.DUMMYFUNCTION("""COMPUTED_VALUE"""),248)</f>
        <v>248</v>
      </c>
      <c r="T167" s="1">
        <f ca="1">IFERROR(__xludf.DUMMYFUNCTION("""COMPUTED_VALUE"""),-0.23)</f>
        <v>-0.23</v>
      </c>
      <c r="U167" s="1">
        <f ca="1">IFERROR(__xludf.DUMMYFUNCTION("""COMPUTED_VALUE"""),164)</f>
        <v>164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IFERROR(__xludf.DUMMYFUNCTION("""COMPUTED_VALUE"""),"Winthrop")</f>
        <v>Winthrop</v>
      </c>
      <c r="C168" s="1" t="str">
        <f ca="1">IFERROR(__xludf.DUMMYFUNCTION("""COMPUTED_VALUE"""),"BSth")</f>
        <v>BSth</v>
      </c>
      <c r="D168" s="1" t="str">
        <f ca="1">IFERROR(__xludf.DUMMYFUNCTION("""COMPUTED_VALUE"""),"19-12")</f>
        <v>19-12</v>
      </c>
      <c r="E168" s="1" t="str">
        <f ca="1">IFERROR(__xludf.DUMMYFUNCTION("""COMPUTED_VALUE"""),"+0.85")</f>
        <v>+0.85</v>
      </c>
      <c r="F168" s="1">
        <f ca="1">IFERROR(__xludf.DUMMYFUNCTION("""COMPUTED_VALUE"""),106.1)</f>
        <v>106.1</v>
      </c>
      <c r="G168" s="1">
        <f ca="1">IFERROR(__xludf.DUMMYFUNCTION("""COMPUTED_VALUE"""),148)</f>
        <v>148</v>
      </c>
      <c r="H168" s="1">
        <f ca="1">IFERROR(__xludf.DUMMYFUNCTION("""COMPUTED_VALUE"""),105.2)</f>
        <v>105.2</v>
      </c>
      <c r="I168" s="1">
        <f ca="1">IFERROR(__xludf.DUMMYFUNCTION("""COMPUTED_VALUE"""),176)</f>
        <v>176</v>
      </c>
      <c r="J168" s="1">
        <f ca="1">IFERROR(__xludf.DUMMYFUNCTION("""COMPUTED_VALUE"""),71.6)</f>
        <v>71.599999999999994</v>
      </c>
      <c r="K168" s="1">
        <f ca="1">IFERROR(__xludf.DUMMYFUNCTION("""COMPUTED_VALUE"""),34)</f>
        <v>34</v>
      </c>
      <c r="L168" s="1">
        <f ca="1">IFERROR(__xludf.DUMMYFUNCTION("""COMPUTED_VALUE"""),-0.037)</f>
        <v>-3.6999999999999998E-2</v>
      </c>
      <c r="M168" s="1">
        <f ca="1">IFERROR(__xludf.DUMMYFUNCTION("""COMPUTED_VALUE"""),274)</f>
        <v>274</v>
      </c>
      <c r="N168" s="1">
        <f ca="1">IFERROR(__xludf.DUMMYFUNCTION("""COMPUTED_VALUE"""),-5.51)</f>
        <v>-5.51</v>
      </c>
      <c r="O168" s="1">
        <f ca="1">IFERROR(__xludf.DUMMYFUNCTION("""COMPUTED_VALUE"""),291)</f>
        <v>291</v>
      </c>
      <c r="P168" s="1">
        <f ca="1">IFERROR(__xludf.DUMMYFUNCTION("""COMPUTED_VALUE"""),101.6)</f>
        <v>101.6</v>
      </c>
      <c r="Q168" s="1">
        <f ca="1">IFERROR(__xludf.DUMMYFUNCTION("""COMPUTED_VALUE"""),304)</f>
        <v>304</v>
      </c>
      <c r="R168" s="1">
        <f ca="1">IFERROR(__xludf.DUMMYFUNCTION("""COMPUTED_VALUE"""),107.1)</f>
        <v>107.1</v>
      </c>
      <c r="S168" s="1">
        <f ca="1">IFERROR(__xludf.DUMMYFUNCTION("""COMPUTED_VALUE"""),261)</f>
        <v>261</v>
      </c>
      <c r="T168" s="1" t="str">
        <f ca="1">IFERROR(__xludf.DUMMYFUNCTION("""COMPUTED_VALUE"""),"+2.13")</f>
        <v>+2.13</v>
      </c>
      <c r="U168" s="1">
        <f ca="1">IFERROR(__xludf.DUMMYFUNCTION("""COMPUTED_VALUE"""),97)</f>
        <v>97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IFERROR(__xludf.DUMMYFUNCTION("""COMPUTED_VALUE"""),"Memphis")</f>
        <v>Memphis</v>
      </c>
      <c r="C171" s="1" t="str">
        <f ca="1">IFERROR(__xludf.DUMMYFUNCTION("""COMPUTED_VALUE"""),"Amer")</f>
        <v>Amer</v>
      </c>
      <c r="D171" s="1" t="str">
        <f ca="1">IFERROR(__xludf.DUMMYFUNCTION("""COMPUTED_VALUE"""),"21-13")</f>
        <v>21-13</v>
      </c>
      <c r="E171" s="1" t="str">
        <f ca="1">IFERROR(__xludf.DUMMYFUNCTION("""COMPUTED_VALUE"""),"+0.78")</f>
        <v>+0.78</v>
      </c>
      <c r="F171" s="1">
        <f ca="1">IFERROR(__xludf.DUMMYFUNCTION("""COMPUTED_VALUE"""),107.5)</f>
        <v>107.5</v>
      </c>
      <c r="G171" s="1">
        <f ca="1">IFERROR(__xludf.DUMMYFUNCTION("""COMPUTED_VALUE"""),125)</f>
        <v>125</v>
      </c>
      <c r="H171" s="1">
        <f ca="1">IFERROR(__xludf.DUMMYFUNCTION("""COMPUTED_VALUE"""),106.7)</f>
        <v>106.7</v>
      </c>
      <c r="I171" s="1">
        <f ca="1">IFERROR(__xludf.DUMMYFUNCTION("""COMPUTED_VALUE"""),200)</f>
        <v>200</v>
      </c>
      <c r="J171" s="1">
        <f ca="1">IFERROR(__xludf.DUMMYFUNCTION("""COMPUTED_VALUE"""),66.6)</f>
        <v>66.599999999999994</v>
      </c>
      <c r="K171" s="1">
        <f ca="1">IFERROR(__xludf.DUMMYFUNCTION("""COMPUTED_VALUE"""),255)</f>
        <v>255</v>
      </c>
      <c r="L171" s="1" t="str">
        <f ca="1">IFERROR(__xludf.DUMMYFUNCTION("""COMPUTED_VALUE"""),"+.135")</f>
        <v>+.135</v>
      </c>
      <c r="M171" s="1">
        <f ca="1">IFERROR(__xludf.DUMMYFUNCTION("""COMPUTED_VALUE"""),1)</f>
        <v>1</v>
      </c>
      <c r="N171" s="1" t="str">
        <f ca="1">IFERROR(__xludf.DUMMYFUNCTION("""COMPUTED_VALUE"""),"+0.42")</f>
        <v>+0.42</v>
      </c>
      <c r="O171" s="1">
        <f ca="1">IFERROR(__xludf.DUMMYFUNCTION("""COMPUTED_VALUE"""),131)</f>
        <v>131</v>
      </c>
      <c r="P171" s="1">
        <f ca="1">IFERROR(__xludf.DUMMYFUNCTION("""COMPUTED_VALUE"""),104.7)</f>
        <v>104.7</v>
      </c>
      <c r="Q171" s="1">
        <f ca="1">IFERROR(__xludf.DUMMYFUNCTION("""COMPUTED_VALUE"""),164)</f>
        <v>164</v>
      </c>
      <c r="R171" s="1">
        <f ca="1">IFERROR(__xludf.DUMMYFUNCTION("""COMPUTED_VALUE"""),104.2)</f>
        <v>104.2</v>
      </c>
      <c r="S171" s="1">
        <f ca="1">IFERROR(__xludf.DUMMYFUNCTION("""COMPUTED_VALUE"""),112)</f>
        <v>112</v>
      </c>
      <c r="T171" s="1">
        <f ca="1">IFERROR(__xludf.DUMMYFUNCTION("""COMPUTED_VALUE"""),-6.39)</f>
        <v>-6.39</v>
      </c>
      <c r="U171" s="1">
        <f ca="1">IFERROR(__xludf.DUMMYFUNCTION("""COMPUTED_VALUE"""),323)</f>
        <v>323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IFERROR(__xludf.DUMMYFUNCTION("""COMPUTED_VALUE"""),"Cal St. Fullerton15")</f>
        <v>Cal St. Fullerton15</v>
      </c>
      <c r="C172" s="1" t="str">
        <f ca="1">IFERROR(__xludf.DUMMYFUNCTION("""COMPUTED_VALUE"""),"BW")</f>
        <v>BW</v>
      </c>
      <c r="D172" s="1" t="str">
        <f ca="1">IFERROR(__xludf.DUMMYFUNCTION("""COMPUTED_VALUE"""),"20-12")</f>
        <v>20-12</v>
      </c>
      <c r="E172" s="1" t="str">
        <f ca="1">IFERROR(__xludf.DUMMYFUNCTION("""COMPUTED_VALUE"""),"+0.62")</f>
        <v>+0.62</v>
      </c>
      <c r="F172" s="1">
        <f ca="1">IFERROR(__xludf.DUMMYFUNCTION("""COMPUTED_VALUE"""),103.7)</f>
        <v>103.7</v>
      </c>
      <c r="G172" s="1">
        <f ca="1">IFERROR(__xludf.DUMMYFUNCTION("""COMPUTED_VALUE"""),192)</f>
        <v>192</v>
      </c>
      <c r="H172" s="1">
        <f ca="1">IFERROR(__xludf.DUMMYFUNCTION("""COMPUTED_VALUE"""),103.1)</f>
        <v>103.1</v>
      </c>
      <c r="I172" s="1">
        <f ca="1">IFERROR(__xludf.DUMMYFUNCTION("""COMPUTED_VALUE"""),133)</f>
        <v>133</v>
      </c>
      <c r="J172" s="1">
        <f ca="1">IFERROR(__xludf.DUMMYFUNCTION("""COMPUTED_VALUE"""),69.6)</f>
        <v>69.599999999999994</v>
      </c>
      <c r="K172" s="1">
        <f ca="1">IFERROR(__xludf.DUMMYFUNCTION("""COMPUTED_VALUE"""),98)</f>
        <v>98</v>
      </c>
      <c r="L172" s="1" t="str">
        <f ca="1">IFERROR(__xludf.DUMMYFUNCTION("""COMPUTED_VALUE"""),"+.097")</f>
        <v>+.097</v>
      </c>
      <c r="M172" s="1">
        <f ca="1">IFERROR(__xludf.DUMMYFUNCTION("""COMPUTED_VALUE"""),14)</f>
        <v>14</v>
      </c>
      <c r="N172" s="1">
        <f ca="1">IFERROR(__xludf.DUMMYFUNCTION("""COMPUTED_VALUE"""),-1.2)</f>
        <v>-1.2</v>
      </c>
      <c r="O172" s="1">
        <f ca="1">IFERROR(__xludf.DUMMYFUNCTION("""COMPUTED_VALUE"""),167)</f>
        <v>167</v>
      </c>
      <c r="P172" s="1">
        <f ca="1">IFERROR(__xludf.DUMMYFUNCTION("""COMPUTED_VALUE"""),103.8)</f>
        <v>103.8</v>
      </c>
      <c r="Q172" s="1">
        <f ca="1">IFERROR(__xludf.DUMMYFUNCTION("""COMPUTED_VALUE"""),204)</f>
        <v>204</v>
      </c>
      <c r="R172" s="1">
        <f ca="1">IFERROR(__xludf.DUMMYFUNCTION("""COMPUTED_VALUE"""),105)</f>
        <v>105</v>
      </c>
      <c r="S172" s="1">
        <f ca="1">IFERROR(__xludf.DUMMYFUNCTION("""COMPUTED_VALUE"""),139)</f>
        <v>139</v>
      </c>
      <c r="T172" s="1" t="str">
        <f ca="1">IFERROR(__xludf.DUMMYFUNCTION("""COMPUTED_VALUE"""),"+2.76")</f>
        <v>+2.76</v>
      </c>
      <c r="U172" s="1">
        <f ca="1">IFERROR(__xludf.DUMMYFUNCTION("""COMPUTED_VALUE"""),83)</f>
        <v>83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IFERROR(__xludf.DUMMYFUNCTION("""COMPUTED_VALUE"""),"Wofford")</f>
        <v>Wofford</v>
      </c>
      <c r="C173" s="1" t="str">
        <f ca="1">IFERROR(__xludf.DUMMYFUNCTION("""COMPUTED_VALUE"""),"SC")</f>
        <v>SC</v>
      </c>
      <c r="D173" s="1" t="str">
        <f ca="1">IFERROR(__xludf.DUMMYFUNCTION("""COMPUTED_VALUE"""),"21-13")</f>
        <v>21-13</v>
      </c>
      <c r="E173" s="1" t="str">
        <f ca="1">IFERROR(__xludf.DUMMYFUNCTION("""COMPUTED_VALUE"""),"+0.59")</f>
        <v>+0.59</v>
      </c>
      <c r="F173" s="1">
        <f ca="1">IFERROR(__xludf.DUMMYFUNCTION("""COMPUTED_VALUE"""),109.1)</f>
        <v>109.1</v>
      </c>
      <c r="G173" s="1">
        <f ca="1">IFERROR(__xludf.DUMMYFUNCTION("""COMPUTED_VALUE"""),97)</f>
        <v>97</v>
      </c>
      <c r="H173" s="1">
        <f ca="1">IFERROR(__xludf.DUMMYFUNCTION("""COMPUTED_VALUE"""),108.5)</f>
        <v>108.5</v>
      </c>
      <c r="I173" s="1">
        <f ca="1">IFERROR(__xludf.DUMMYFUNCTION("""COMPUTED_VALUE"""),243)</f>
        <v>243</v>
      </c>
      <c r="J173" s="1">
        <f ca="1">IFERROR(__xludf.DUMMYFUNCTION("""COMPUTED_VALUE"""),66.1)</f>
        <v>66.099999999999994</v>
      </c>
      <c r="K173" s="1">
        <f ca="1">IFERROR(__xludf.DUMMYFUNCTION("""COMPUTED_VALUE"""),273)</f>
        <v>273</v>
      </c>
      <c r="L173" s="1" t="str">
        <f ca="1">IFERROR(__xludf.DUMMYFUNCTION("""COMPUTED_VALUE"""),"+.043")</f>
        <v>+.043</v>
      </c>
      <c r="M173" s="1">
        <f ca="1">IFERROR(__xludf.DUMMYFUNCTION("""COMPUTED_VALUE"""),69)</f>
        <v>69</v>
      </c>
      <c r="N173" s="1">
        <f ca="1">IFERROR(__xludf.DUMMYFUNCTION("""COMPUTED_VALUE"""),-2.59)</f>
        <v>-2.59</v>
      </c>
      <c r="O173" s="1">
        <f ca="1">IFERROR(__xludf.DUMMYFUNCTION("""COMPUTED_VALUE"""),212)</f>
        <v>212</v>
      </c>
      <c r="P173" s="1">
        <f ca="1">IFERROR(__xludf.DUMMYFUNCTION("""COMPUTED_VALUE"""),103.7)</f>
        <v>103.7</v>
      </c>
      <c r="Q173" s="1">
        <f ca="1">IFERROR(__xludf.DUMMYFUNCTION("""COMPUTED_VALUE"""),207)</f>
        <v>207</v>
      </c>
      <c r="R173" s="1">
        <f ca="1">IFERROR(__xludf.DUMMYFUNCTION("""COMPUTED_VALUE"""),106.3)</f>
        <v>106.3</v>
      </c>
      <c r="S173" s="1">
        <f ca="1">IFERROR(__xludf.DUMMYFUNCTION("""COMPUTED_VALUE"""),208)</f>
        <v>208</v>
      </c>
      <c r="T173" s="1" t="str">
        <f ca="1">IFERROR(__xludf.DUMMYFUNCTION("""COMPUTED_VALUE"""),"+2.05")</f>
        <v>+2.05</v>
      </c>
      <c r="U173" s="1">
        <f ca="1">IFERROR(__xludf.DUMMYFUNCTION("""COMPUTED_VALUE"""),101)</f>
        <v>101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IFERROR(__xludf.DUMMYFUNCTION("""COMPUTED_VALUE"""),"Portland St.")</f>
        <v>Portland St.</v>
      </c>
      <c r="C174" s="1" t="str">
        <f ca="1">IFERROR(__xludf.DUMMYFUNCTION("""COMPUTED_VALUE"""),"BSky")</f>
        <v>BSky</v>
      </c>
      <c r="D174" s="1" t="str">
        <f ca="1">IFERROR(__xludf.DUMMYFUNCTION("""COMPUTED_VALUE"""),"20-14")</f>
        <v>20-14</v>
      </c>
      <c r="E174" s="1" t="str">
        <f ca="1">IFERROR(__xludf.DUMMYFUNCTION("""COMPUTED_VALUE"""),"+0.56")</f>
        <v>+0.56</v>
      </c>
      <c r="F174" s="1">
        <f ca="1">IFERROR(__xludf.DUMMYFUNCTION("""COMPUTED_VALUE"""),107.9)</f>
        <v>107.9</v>
      </c>
      <c r="G174" s="1">
        <f ca="1">IFERROR(__xludf.DUMMYFUNCTION("""COMPUTED_VALUE"""),115)</f>
        <v>115</v>
      </c>
      <c r="H174" s="1">
        <f ca="1">IFERROR(__xludf.DUMMYFUNCTION("""COMPUTED_VALUE"""),107.3)</f>
        <v>107.3</v>
      </c>
      <c r="I174" s="1">
        <f ca="1">IFERROR(__xludf.DUMMYFUNCTION("""COMPUTED_VALUE"""),217)</f>
        <v>217</v>
      </c>
      <c r="J174" s="1">
        <f ca="1">IFERROR(__xludf.DUMMYFUNCTION("""COMPUTED_VALUE"""),74.6)</f>
        <v>74.599999999999994</v>
      </c>
      <c r="K174" s="1">
        <f ca="1">IFERROR(__xludf.DUMMYFUNCTION("""COMPUTED_VALUE"""),7)</f>
        <v>7</v>
      </c>
      <c r="L174" s="1" t="str">
        <f ca="1">IFERROR(__xludf.DUMMYFUNCTION("""COMPUTED_VALUE"""),"+.022")</f>
        <v>+.022</v>
      </c>
      <c r="M174" s="1">
        <f ca="1">IFERROR(__xludf.DUMMYFUNCTION("""COMPUTED_VALUE"""),115)</f>
        <v>115</v>
      </c>
      <c r="N174" s="1">
        <f ca="1">IFERROR(__xludf.DUMMYFUNCTION("""COMPUTED_VALUE"""),-0.82)</f>
        <v>-0.82</v>
      </c>
      <c r="O174" s="1">
        <f ca="1">IFERROR(__xludf.DUMMYFUNCTION("""COMPUTED_VALUE"""),157)</f>
        <v>157</v>
      </c>
      <c r="P174" s="1">
        <f ca="1">IFERROR(__xludf.DUMMYFUNCTION("""COMPUTED_VALUE"""),104.9)</f>
        <v>104.9</v>
      </c>
      <c r="Q174" s="1">
        <f ca="1">IFERROR(__xludf.DUMMYFUNCTION("""COMPUTED_VALUE"""),149)</f>
        <v>149</v>
      </c>
      <c r="R174" s="1">
        <f ca="1">IFERROR(__xludf.DUMMYFUNCTION("""COMPUTED_VALUE"""),105.7)</f>
        <v>105.7</v>
      </c>
      <c r="S174" s="1">
        <f ca="1">IFERROR(__xludf.DUMMYFUNCTION("""COMPUTED_VALUE"""),175)</f>
        <v>175</v>
      </c>
      <c r="T174" s="1" t="str">
        <f ca="1">IFERROR(__xludf.DUMMYFUNCTION("""COMPUTED_VALUE"""),"+3.30")</f>
        <v>+3.30</v>
      </c>
      <c r="U174" s="1">
        <f ca="1">IFERROR(__xludf.DUMMYFUNCTION("""COMPUTED_VALUE"""),76)</f>
        <v>76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IFERROR(__xludf.DUMMYFUNCTION("""COMPUTED_VALUE"""),"Fort Wayne")</f>
        <v>Fort Wayne</v>
      </c>
      <c r="C175" s="1" t="str">
        <f ca="1">IFERROR(__xludf.DUMMYFUNCTION("""COMPUTED_VALUE"""),"Sum")</f>
        <v>Sum</v>
      </c>
      <c r="D175" s="1" t="str">
        <f ca="1">IFERROR(__xludf.DUMMYFUNCTION("""COMPUTED_VALUE"""),"18-15")</f>
        <v>18-15</v>
      </c>
      <c r="E175" s="1" t="str">
        <f ca="1">IFERROR(__xludf.DUMMYFUNCTION("""COMPUTED_VALUE"""),"+0.50")</f>
        <v>+0.50</v>
      </c>
      <c r="F175" s="1">
        <f ca="1">IFERROR(__xludf.DUMMYFUNCTION("""COMPUTED_VALUE"""),107.7)</f>
        <v>107.7</v>
      </c>
      <c r="G175" s="1">
        <f ca="1">IFERROR(__xludf.DUMMYFUNCTION("""COMPUTED_VALUE"""),118)</f>
        <v>118</v>
      </c>
      <c r="H175" s="1">
        <f ca="1">IFERROR(__xludf.DUMMYFUNCTION("""COMPUTED_VALUE"""),107.2)</f>
        <v>107.2</v>
      </c>
      <c r="I175" s="1">
        <f ca="1">IFERROR(__xludf.DUMMYFUNCTION("""COMPUTED_VALUE"""),215)</f>
        <v>215</v>
      </c>
      <c r="J175" s="1">
        <f ca="1">IFERROR(__xludf.DUMMYFUNCTION("""COMPUTED_VALUE"""),72.6)</f>
        <v>72.599999999999994</v>
      </c>
      <c r="K175" s="1">
        <f ca="1">IFERROR(__xludf.DUMMYFUNCTION("""COMPUTED_VALUE"""),19)</f>
        <v>19</v>
      </c>
      <c r="L175" s="1">
        <f ca="1">IFERROR(__xludf.DUMMYFUNCTION("""COMPUTED_VALUE"""),-0.072)</f>
        <v>-7.1999999999999995E-2</v>
      </c>
      <c r="M175" s="1">
        <f ca="1">IFERROR(__xludf.DUMMYFUNCTION("""COMPUTED_VALUE"""),330)</f>
        <v>330</v>
      </c>
      <c r="N175" s="1">
        <f ca="1">IFERROR(__xludf.DUMMYFUNCTION("""COMPUTED_VALUE"""),-2.49)</f>
        <v>-2.4900000000000002</v>
      </c>
      <c r="O175" s="1">
        <f ca="1">IFERROR(__xludf.DUMMYFUNCTION("""COMPUTED_VALUE"""),204)</f>
        <v>204</v>
      </c>
      <c r="P175" s="1">
        <f ca="1">IFERROR(__xludf.DUMMYFUNCTION("""COMPUTED_VALUE"""),104.4)</f>
        <v>104.4</v>
      </c>
      <c r="Q175" s="1">
        <f ca="1">IFERROR(__xludf.DUMMYFUNCTION("""COMPUTED_VALUE"""),176)</f>
        <v>176</v>
      </c>
      <c r="R175" s="1">
        <f ca="1">IFERROR(__xludf.DUMMYFUNCTION("""COMPUTED_VALUE"""),106.9)</f>
        <v>106.9</v>
      </c>
      <c r="S175" s="1">
        <f ca="1">IFERROR(__xludf.DUMMYFUNCTION("""COMPUTED_VALUE"""),255)</f>
        <v>255</v>
      </c>
      <c r="T175" s="1">
        <f ca="1">IFERROR(__xludf.DUMMYFUNCTION("""COMPUTED_VALUE"""),-2.21)</f>
        <v>-2.21</v>
      </c>
      <c r="U175" s="1">
        <f ca="1">IFERROR(__xludf.DUMMYFUNCTION("""COMPUTED_VALUE"""),221)</f>
        <v>221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IFERROR(__xludf.DUMMYFUNCTION("""COMPUTED_VALUE"""),"UMBC16")</f>
        <v>UMBC16</v>
      </c>
      <c r="C176" s="1" t="str">
        <f ca="1">IFERROR(__xludf.DUMMYFUNCTION("""COMPUTED_VALUE"""),"AE")</f>
        <v>AE</v>
      </c>
      <c r="D176" s="1" t="str">
        <f ca="1">IFERROR(__xludf.DUMMYFUNCTION("""COMPUTED_VALUE"""),"25-11")</f>
        <v>25-11</v>
      </c>
      <c r="E176" s="1" t="str">
        <f ca="1">IFERROR(__xludf.DUMMYFUNCTION("""COMPUTED_VALUE"""),"+0.50")</f>
        <v>+0.50</v>
      </c>
      <c r="F176" s="1">
        <f ca="1">IFERROR(__xludf.DUMMYFUNCTION("""COMPUTED_VALUE"""),103.1)</f>
        <v>103.1</v>
      </c>
      <c r="G176" s="1">
        <f ca="1">IFERROR(__xludf.DUMMYFUNCTION("""COMPUTED_VALUE"""),206)</f>
        <v>206</v>
      </c>
      <c r="H176" s="1">
        <f ca="1">IFERROR(__xludf.DUMMYFUNCTION("""COMPUTED_VALUE"""),102.6)</f>
        <v>102.6</v>
      </c>
      <c r="I176" s="1">
        <f ca="1">IFERROR(__xludf.DUMMYFUNCTION("""COMPUTED_VALUE"""),124)</f>
        <v>124</v>
      </c>
      <c r="J176" s="1">
        <f ca="1">IFERROR(__xludf.DUMMYFUNCTION("""COMPUTED_VALUE"""),68.4)</f>
        <v>68.400000000000006</v>
      </c>
      <c r="K176" s="1">
        <f ca="1">IFERROR(__xludf.DUMMYFUNCTION("""COMPUTED_VALUE"""),170)</f>
        <v>170</v>
      </c>
      <c r="L176" s="1" t="str">
        <f ca="1">IFERROR(__xludf.DUMMYFUNCTION("""COMPUTED_VALUE"""),"+.125")</f>
        <v>+.125</v>
      </c>
      <c r="M176" s="1">
        <f ca="1">IFERROR(__xludf.DUMMYFUNCTION("""COMPUTED_VALUE"""),2)</f>
        <v>2</v>
      </c>
      <c r="N176" s="1">
        <f ca="1">IFERROR(__xludf.DUMMYFUNCTION("""COMPUTED_VALUE"""),-4.38)</f>
        <v>-4.38</v>
      </c>
      <c r="O176" s="1">
        <f ca="1">IFERROR(__xludf.DUMMYFUNCTION("""COMPUTED_VALUE"""),269)</f>
        <v>269</v>
      </c>
      <c r="P176" s="1">
        <f ca="1">IFERROR(__xludf.DUMMYFUNCTION("""COMPUTED_VALUE"""),102.7)</f>
        <v>102.7</v>
      </c>
      <c r="Q176" s="1">
        <f ca="1">IFERROR(__xludf.DUMMYFUNCTION("""COMPUTED_VALUE"""),267)</f>
        <v>267</v>
      </c>
      <c r="R176" s="1">
        <f ca="1">IFERROR(__xludf.DUMMYFUNCTION("""COMPUTED_VALUE"""),107.1)</f>
        <v>107.1</v>
      </c>
      <c r="S176" s="1">
        <f ca="1">IFERROR(__xludf.DUMMYFUNCTION("""COMPUTED_VALUE"""),259)</f>
        <v>259</v>
      </c>
      <c r="T176" s="1">
        <f ca="1">IFERROR(__xludf.DUMMYFUNCTION("""COMPUTED_VALUE"""),-3.55)</f>
        <v>-3.55</v>
      </c>
      <c r="U176" s="1">
        <f ca="1">IFERROR(__xludf.DUMMYFUNCTION("""COMPUTED_VALUE"""),277)</f>
        <v>277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IFERROR(__xludf.DUMMYFUNCTION("""COMPUTED_VALUE"""),"Lipscomb15")</f>
        <v>Lipscomb15</v>
      </c>
      <c r="C177" s="1" t="str">
        <f ca="1">IFERROR(__xludf.DUMMYFUNCTION("""COMPUTED_VALUE"""),"ASun")</f>
        <v>ASun</v>
      </c>
      <c r="D177" s="1" t="str">
        <f ca="1">IFERROR(__xludf.DUMMYFUNCTION("""COMPUTED_VALUE"""),"23-10")</f>
        <v>23-10</v>
      </c>
      <c r="E177" s="1" t="str">
        <f ca="1">IFERROR(__xludf.DUMMYFUNCTION("""COMPUTED_VALUE"""),"+0.43")</f>
        <v>+0.43</v>
      </c>
      <c r="F177" s="1">
        <f ca="1">IFERROR(__xludf.DUMMYFUNCTION("""COMPUTED_VALUE"""),103.2)</f>
        <v>103.2</v>
      </c>
      <c r="G177" s="1">
        <f ca="1">IFERROR(__xludf.DUMMYFUNCTION("""COMPUTED_VALUE"""),203)</f>
        <v>203</v>
      </c>
      <c r="H177" s="1">
        <f ca="1">IFERROR(__xludf.DUMMYFUNCTION("""COMPUTED_VALUE"""),102.8)</f>
        <v>102.8</v>
      </c>
      <c r="I177" s="1">
        <f ca="1">IFERROR(__xludf.DUMMYFUNCTION("""COMPUTED_VALUE"""),125)</f>
        <v>125</v>
      </c>
      <c r="J177" s="1">
        <f ca="1">IFERROR(__xludf.DUMMYFUNCTION("""COMPUTED_VALUE"""),74.9)</f>
        <v>74.900000000000006</v>
      </c>
      <c r="K177" s="1">
        <f ca="1">IFERROR(__xludf.DUMMYFUNCTION("""COMPUTED_VALUE"""),5)</f>
        <v>5</v>
      </c>
      <c r="L177" s="1" t="str">
        <f ca="1">IFERROR(__xludf.DUMMYFUNCTION("""COMPUTED_VALUE"""),"+.112")</f>
        <v>+.112</v>
      </c>
      <c r="M177" s="1">
        <f ca="1">IFERROR(__xludf.DUMMYFUNCTION("""COMPUTED_VALUE"""),7)</f>
        <v>7</v>
      </c>
      <c r="N177" s="1">
        <f ca="1">IFERROR(__xludf.DUMMYFUNCTION("""COMPUTED_VALUE"""),-4.31)</f>
        <v>-4.3099999999999996</v>
      </c>
      <c r="O177" s="1">
        <f ca="1">IFERROR(__xludf.DUMMYFUNCTION("""COMPUTED_VALUE"""),267)</f>
        <v>267</v>
      </c>
      <c r="P177" s="1">
        <f ca="1">IFERROR(__xludf.DUMMYFUNCTION("""COMPUTED_VALUE"""),103.2)</f>
        <v>103.2</v>
      </c>
      <c r="Q177" s="1">
        <f ca="1">IFERROR(__xludf.DUMMYFUNCTION("""COMPUTED_VALUE"""),235)</f>
        <v>235</v>
      </c>
      <c r="R177" s="1">
        <f ca="1">IFERROR(__xludf.DUMMYFUNCTION("""COMPUTED_VALUE"""),107.5)</f>
        <v>107.5</v>
      </c>
      <c r="S177" s="1">
        <f ca="1">IFERROR(__xludf.DUMMYFUNCTION("""COMPUTED_VALUE"""),278)</f>
        <v>278</v>
      </c>
      <c r="T177" s="1" t="str">
        <f ca="1">IFERROR(__xludf.DUMMYFUNCTION("""COMPUTED_VALUE"""),"+5.84")</f>
        <v>+5.84</v>
      </c>
      <c r="U177" s="1">
        <f ca="1">IFERROR(__xludf.DUMMYFUNCTION("""COMPUTED_VALUE"""),30)</f>
        <v>30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IFERROR(__xludf.DUMMYFUNCTION("""COMPUTED_VALUE"""),"Central Michigan")</f>
        <v>Central Michigan</v>
      </c>
      <c r="C178" s="1" t="str">
        <f ca="1">IFERROR(__xludf.DUMMYFUNCTION("""COMPUTED_VALUE"""),"MAC")</f>
        <v>MAC</v>
      </c>
      <c r="D178" s="1" t="str">
        <f ca="1">IFERROR(__xludf.DUMMYFUNCTION("""COMPUTED_VALUE"""),"21-15")</f>
        <v>21-15</v>
      </c>
      <c r="E178" s="1" t="str">
        <f ca="1">IFERROR(__xludf.DUMMYFUNCTION("""COMPUTED_VALUE"""),"+0.13")</f>
        <v>+0.13</v>
      </c>
      <c r="F178" s="1">
        <f ca="1">IFERROR(__xludf.DUMMYFUNCTION("""COMPUTED_VALUE"""),110.1)</f>
        <v>110.1</v>
      </c>
      <c r="G178" s="1">
        <f ca="1">IFERROR(__xludf.DUMMYFUNCTION("""COMPUTED_VALUE"""),79)</f>
        <v>79</v>
      </c>
      <c r="H178" s="1">
        <f ca="1">IFERROR(__xludf.DUMMYFUNCTION("""COMPUTED_VALUE"""),109.9)</f>
        <v>109.9</v>
      </c>
      <c r="I178" s="1">
        <f ca="1">IFERROR(__xludf.DUMMYFUNCTION("""COMPUTED_VALUE"""),272)</f>
        <v>272</v>
      </c>
      <c r="J178" s="1">
        <f ca="1">IFERROR(__xludf.DUMMYFUNCTION("""COMPUTED_VALUE"""),67.6)</f>
        <v>67.599999999999994</v>
      </c>
      <c r="K178" s="1">
        <f ca="1">IFERROR(__xludf.DUMMYFUNCTION("""COMPUTED_VALUE"""),205)</f>
        <v>205</v>
      </c>
      <c r="L178" s="1">
        <f ca="1">IFERROR(__xludf.DUMMYFUNCTION("""COMPUTED_VALUE"""),-0.022)</f>
        <v>-2.1999999999999999E-2</v>
      </c>
      <c r="M178" s="1">
        <f ca="1">IFERROR(__xludf.DUMMYFUNCTION("""COMPUTED_VALUE"""),234)</f>
        <v>234</v>
      </c>
      <c r="N178" s="1">
        <f ca="1">IFERROR(__xludf.DUMMYFUNCTION("""COMPUTED_VALUE"""),-3.15)</f>
        <v>-3.15</v>
      </c>
      <c r="O178" s="1">
        <f ca="1">IFERROR(__xludf.DUMMYFUNCTION("""COMPUTED_VALUE"""),233)</f>
        <v>233</v>
      </c>
      <c r="P178" s="1">
        <f ca="1">IFERROR(__xludf.DUMMYFUNCTION("""COMPUTED_VALUE"""),103.4)</f>
        <v>103.4</v>
      </c>
      <c r="Q178" s="1">
        <f ca="1">IFERROR(__xludf.DUMMYFUNCTION("""COMPUTED_VALUE"""),226)</f>
        <v>226</v>
      </c>
      <c r="R178" s="1">
        <f ca="1">IFERROR(__xludf.DUMMYFUNCTION("""COMPUTED_VALUE"""),106.5)</f>
        <v>106.5</v>
      </c>
      <c r="S178" s="1">
        <f ca="1">IFERROR(__xludf.DUMMYFUNCTION("""COMPUTED_VALUE"""),231)</f>
        <v>231</v>
      </c>
      <c r="T178" s="1">
        <f ca="1">IFERROR(__xludf.DUMMYFUNCTION("""COMPUTED_VALUE"""),-9.32)</f>
        <v>-9.32</v>
      </c>
      <c r="U178" s="1">
        <f ca="1">IFERROR(__xludf.DUMMYFUNCTION("""COMPUTED_VALUE"""),340)</f>
        <v>340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IFERROR(__xludf.DUMMYFUNCTION("""COMPUTED_VALUE"""),"William &amp; Mary")</f>
        <v>William &amp; Mary</v>
      </c>
      <c r="C179" s="1" t="str">
        <f ca="1">IFERROR(__xludf.DUMMYFUNCTION("""COMPUTED_VALUE"""),"CAA")</f>
        <v>CAA</v>
      </c>
      <c r="D179" s="1" t="str">
        <f ca="1">IFERROR(__xludf.DUMMYFUNCTION("""COMPUTED_VALUE"""),"19-12")</f>
        <v>19-12</v>
      </c>
      <c r="E179" s="1" t="str">
        <f ca="1">IFERROR(__xludf.DUMMYFUNCTION("""COMPUTED_VALUE"""),"+0.09")</f>
        <v>+0.09</v>
      </c>
      <c r="F179" s="1">
        <f ca="1">IFERROR(__xludf.DUMMYFUNCTION("""COMPUTED_VALUE"""),115.3)</f>
        <v>115.3</v>
      </c>
      <c r="G179" s="1">
        <f ca="1">IFERROR(__xludf.DUMMYFUNCTION("""COMPUTED_VALUE"""),27)</f>
        <v>27</v>
      </c>
      <c r="H179" s="1">
        <f ca="1">IFERROR(__xludf.DUMMYFUNCTION("""COMPUTED_VALUE"""),115.2)</f>
        <v>115.2</v>
      </c>
      <c r="I179" s="1">
        <f ca="1">IFERROR(__xludf.DUMMYFUNCTION("""COMPUTED_VALUE"""),335)</f>
        <v>335</v>
      </c>
      <c r="J179" s="1">
        <f ca="1">IFERROR(__xludf.DUMMYFUNCTION("""COMPUTED_VALUE"""),70)</f>
        <v>70</v>
      </c>
      <c r="K179" s="1">
        <f ca="1">IFERROR(__xludf.DUMMYFUNCTION("""COMPUTED_VALUE"""),78)</f>
        <v>78</v>
      </c>
      <c r="L179" s="1" t="str">
        <f ca="1">IFERROR(__xludf.DUMMYFUNCTION("""COMPUTED_VALUE"""),"+.098")</f>
        <v>+.098</v>
      </c>
      <c r="M179" s="1">
        <f ca="1">IFERROR(__xludf.DUMMYFUNCTION("""COMPUTED_VALUE"""),11)</f>
        <v>11</v>
      </c>
      <c r="N179" s="1">
        <f ca="1">IFERROR(__xludf.DUMMYFUNCTION("""COMPUTED_VALUE"""),-0.75)</f>
        <v>-0.75</v>
      </c>
      <c r="O179" s="1">
        <f ca="1">IFERROR(__xludf.DUMMYFUNCTION("""COMPUTED_VALUE"""),155)</f>
        <v>155</v>
      </c>
      <c r="P179" s="1">
        <f ca="1">IFERROR(__xludf.DUMMYFUNCTION("""COMPUTED_VALUE"""),105.5)</f>
        <v>105.5</v>
      </c>
      <c r="Q179" s="1">
        <f ca="1">IFERROR(__xludf.DUMMYFUNCTION("""COMPUTED_VALUE"""),125)</f>
        <v>125</v>
      </c>
      <c r="R179" s="1">
        <f ca="1">IFERROR(__xludf.DUMMYFUNCTION("""COMPUTED_VALUE"""),106.3)</f>
        <v>106.3</v>
      </c>
      <c r="S179" s="1">
        <f ca="1">IFERROR(__xludf.DUMMYFUNCTION("""COMPUTED_VALUE"""),207)</f>
        <v>207</v>
      </c>
      <c r="T179" s="1" t="str">
        <f ca="1">IFERROR(__xludf.DUMMYFUNCTION("""COMPUTED_VALUE"""),"+3.56")</f>
        <v>+3.56</v>
      </c>
      <c r="U179" s="1">
        <f ca="1">IFERROR(__xludf.DUMMYFUNCTION("""COMPUTED_VALUE"""),69)</f>
        <v>69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IFERROR(__xludf.DUMMYFUNCTION("""COMPUTED_VALUE"""),"Radford16")</f>
        <v>Radford16</v>
      </c>
      <c r="C180" s="1" t="str">
        <f ca="1">IFERROR(__xludf.DUMMYFUNCTION("""COMPUTED_VALUE"""),"BSth")</f>
        <v>BSth</v>
      </c>
      <c r="D180" s="1" t="str">
        <f ca="1">IFERROR(__xludf.DUMMYFUNCTION("""COMPUTED_VALUE"""),"23-13")</f>
        <v>23-13</v>
      </c>
      <c r="E180" s="1" t="str">
        <f ca="1">IFERROR(__xludf.DUMMYFUNCTION("""COMPUTED_VALUE"""),"+0.07")</f>
        <v>+0.07</v>
      </c>
      <c r="F180" s="1">
        <f ca="1">IFERROR(__xludf.DUMMYFUNCTION("""COMPUTED_VALUE"""),102.9)</f>
        <v>102.9</v>
      </c>
      <c r="G180" s="1">
        <f ca="1">IFERROR(__xludf.DUMMYFUNCTION("""COMPUTED_VALUE"""),212)</f>
        <v>212</v>
      </c>
      <c r="H180" s="1">
        <f ca="1">IFERROR(__xludf.DUMMYFUNCTION("""COMPUTED_VALUE"""),102.9)</f>
        <v>102.9</v>
      </c>
      <c r="I180" s="1">
        <f ca="1">IFERROR(__xludf.DUMMYFUNCTION("""COMPUTED_VALUE"""),127)</f>
        <v>127</v>
      </c>
      <c r="J180" s="1">
        <f ca="1">IFERROR(__xludf.DUMMYFUNCTION("""COMPUTED_VALUE"""),63)</f>
        <v>63</v>
      </c>
      <c r="K180" s="1">
        <f ca="1">IFERROR(__xludf.DUMMYFUNCTION("""COMPUTED_VALUE"""),344)</f>
        <v>344</v>
      </c>
      <c r="L180" s="1" t="str">
        <f ca="1">IFERROR(__xludf.DUMMYFUNCTION("""COMPUTED_VALUE"""),"+.063")</f>
        <v>+.063</v>
      </c>
      <c r="M180" s="1">
        <f ca="1">IFERROR(__xludf.DUMMYFUNCTION("""COMPUTED_VALUE"""),45)</f>
        <v>45</v>
      </c>
      <c r="N180" s="1">
        <f ca="1">IFERROR(__xludf.DUMMYFUNCTION("""COMPUTED_VALUE"""),-4.03)</f>
        <v>-4.03</v>
      </c>
      <c r="O180" s="1">
        <f ca="1">IFERROR(__xludf.DUMMYFUNCTION("""COMPUTED_VALUE"""),255)</f>
        <v>255</v>
      </c>
      <c r="P180" s="1">
        <f ca="1">IFERROR(__xludf.DUMMYFUNCTION("""COMPUTED_VALUE"""),102.8)</f>
        <v>102.8</v>
      </c>
      <c r="Q180" s="1">
        <f ca="1">IFERROR(__xludf.DUMMYFUNCTION("""COMPUTED_VALUE"""),259)</f>
        <v>259</v>
      </c>
      <c r="R180" s="1">
        <f ca="1">IFERROR(__xludf.DUMMYFUNCTION("""COMPUTED_VALUE"""),106.9)</f>
        <v>106.9</v>
      </c>
      <c r="S180" s="1">
        <f ca="1">IFERROR(__xludf.DUMMYFUNCTION("""COMPUTED_VALUE"""),249)</f>
        <v>249</v>
      </c>
      <c r="T180" s="1" t="str">
        <f ca="1">IFERROR(__xludf.DUMMYFUNCTION("""COMPUTED_VALUE"""),"+3.49")</f>
        <v>+3.49</v>
      </c>
      <c r="U180" s="1">
        <f ca="1">IFERROR(__xludf.DUMMYFUNCTION("""COMPUTED_VALUE"""),71)</f>
        <v>71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IFERROR(__xludf.DUMMYFUNCTION("""COMPUTED_VALUE"""),"Tulane")</f>
        <v>Tulane</v>
      </c>
      <c r="C181" s="1" t="str">
        <f ca="1">IFERROR(__xludf.DUMMYFUNCTION("""COMPUTED_VALUE"""),"Amer")</f>
        <v>Amer</v>
      </c>
      <c r="D181" s="1" t="str">
        <f ca="1">IFERROR(__xludf.DUMMYFUNCTION("""COMPUTED_VALUE"""),"14-17")</f>
        <v>14-17</v>
      </c>
      <c r="E181" s="1" t="str">
        <f ca="1">IFERROR(__xludf.DUMMYFUNCTION("""COMPUTED_VALUE"""),"+0.04")</f>
        <v>+0.04</v>
      </c>
      <c r="F181" s="1">
        <f ca="1">IFERROR(__xludf.DUMMYFUNCTION("""COMPUTED_VALUE"""),106.9)</f>
        <v>106.9</v>
      </c>
      <c r="G181" s="1">
        <f ca="1">IFERROR(__xludf.DUMMYFUNCTION("""COMPUTED_VALUE"""),136)</f>
        <v>136</v>
      </c>
      <c r="H181" s="1">
        <f ca="1">IFERROR(__xludf.DUMMYFUNCTION("""COMPUTED_VALUE"""),106.9)</f>
        <v>106.9</v>
      </c>
      <c r="I181" s="1">
        <f ca="1">IFERROR(__xludf.DUMMYFUNCTION("""COMPUTED_VALUE"""),207)</f>
        <v>207</v>
      </c>
      <c r="J181" s="1">
        <f ca="1">IFERROR(__xludf.DUMMYFUNCTION("""COMPUTED_VALUE"""),69)</f>
        <v>69</v>
      </c>
      <c r="K181" s="1">
        <f ca="1">IFERROR(__xludf.DUMMYFUNCTION("""COMPUTED_VALUE"""),126)</f>
        <v>126</v>
      </c>
      <c r="L181" s="1">
        <f ca="1">IFERROR(__xludf.DUMMYFUNCTION("""COMPUTED_VALUE"""),-0.018)</f>
        <v>-1.7999999999999999E-2</v>
      </c>
      <c r="M181" s="1">
        <f ca="1">IFERROR(__xludf.DUMMYFUNCTION("""COMPUTED_VALUE"""),224)</f>
        <v>224</v>
      </c>
      <c r="N181" s="1" t="str">
        <f ca="1">IFERROR(__xludf.DUMMYFUNCTION("""COMPUTED_VALUE"""),"+0.76")</f>
        <v>+0.76</v>
      </c>
      <c r="O181" s="1">
        <f ca="1">IFERROR(__xludf.DUMMYFUNCTION("""COMPUTED_VALUE"""),125)</f>
        <v>125</v>
      </c>
      <c r="P181" s="1">
        <f ca="1">IFERROR(__xludf.DUMMYFUNCTION("""COMPUTED_VALUE"""),104.6)</f>
        <v>104.6</v>
      </c>
      <c r="Q181" s="1">
        <f ca="1">IFERROR(__xludf.DUMMYFUNCTION("""COMPUTED_VALUE"""),167)</f>
        <v>167</v>
      </c>
      <c r="R181" s="1">
        <f ca="1">IFERROR(__xludf.DUMMYFUNCTION("""COMPUTED_VALUE"""),103.9)</f>
        <v>103.9</v>
      </c>
      <c r="S181" s="1">
        <f ca="1">IFERROR(__xludf.DUMMYFUNCTION("""COMPUTED_VALUE"""),100)</f>
        <v>100</v>
      </c>
      <c r="T181" s="1">
        <f ca="1">IFERROR(__xludf.DUMMYFUNCTION("""COMPUTED_VALUE"""),-6.27)</f>
        <v>-6.27</v>
      </c>
      <c r="U181" s="1">
        <f ca="1">IFERROR(__xludf.DUMMYFUNCTION("""COMPUTED_VALUE"""),320)</f>
        <v>320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IFERROR(__xludf.DUMMYFUNCTION("""COMPUTED_VALUE"""),"Dayton")</f>
        <v>Dayton</v>
      </c>
      <c r="C182" s="1" t="str">
        <f ca="1">IFERROR(__xludf.DUMMYFUNCTION("""COMPUTED_VALUE"""),"A10")</f>
        <v>A10</v>
      </c>
      <c r="D182" s="1" t="str">
        <f ca="1">IFERROR(__xludf.DUMMYFUNCTION("""COMPUTED_VALUE"""),"14-17")</f>
        <v>14-17</v>
      </c>
      <c r="E182" s="1" t="str">
        <f ca="1">IFERROR(__xludf.DUMMYFUNCTION("""COMPUTED_VALUE"""),"+0.02")</f>
        <v>+0.02</v>
      </c>
      <c r="F182" s="1">
        <f ca="1">IFERROR(__xludf.DUMMYFUNCTION("""COMPUTED_VALUE"""),108.4)</f>
        <v>108.4</v>
      </c>
      <c r="G182" s="1">
        <f ca="1">IFERROR(__xludf.DUMMYFUNCTION("""COMPUTED_VALUE"""),109)</f>
        <v>109</v>
      </c>
      <c r="H182" s="1">
        <f ca="1">IFERROR(__xludf.DUMMYFUNCTION("""COMPUTED_VALUE"""),108.3)</f>
        <v>108.3</v>
      </c>
      <c r="I182" s="1">
        <f ca="1">IFERROR(__xludf.DUMMYFUNCTION("""COMPUTED_VALUE"""),238)</f>
        <v>238</v>
      </c>
      <c r="J182" s="1">
        <f ca="1">IFERROR(__xludf.DUMMYFUNCTION("""COMPUTED_VALUE"""),66.3)</f>
        <v>66.3</v>
      </c>
      <c r="K182" s="1">
        <f ca="1">IFERROR(__xludf.DUMMYFUNCTION("""COMPUTED_VALUE"""),267)</f>
        <v>267</v>
      </c>
      <c r="L182" s="1">
        <f ca="1">IFERROR(__xludf.DUMMYFUNCTION("""COMPUTED_VALUE"""),-0.004)</f>
        <v>-4.0000000000000001E-3</v>
      </c>
      <c r="M182" s="1">
        <f ca="1">IFERROR(__xludf.DUMMYFUNCTION("""COMPUTED_VALUE"""),185)</f>
        <v>185</v>
      </c>
      <c r="N182" s="1" t="str">
        <f ca="1">IFERROR(__xludf.DUMMYFUNCTION("""COMPUTED_VALUE"""),"+1.36")</f>
        <v>+1.36</v>
      </c>
      <c r="O182" s="1">
        <f ca="1">IFERROR(__xludf.DUMMYFUNCTION("""COMPUTED_VALUE"""),110)</f>
        <v>110</v>
      </c>
      <c r="P182" s="1">
        <f ca="1">IFERROR(__xludf.DUMMYFUNCTION("""COMPUTED_VALUE"""),105.6)</f>
        <v>105.6</v>
      </c>
      <c r="Q182" s="1">
        <f ca="1">IFERROR(__xludf.DUMMYFUNCTION("""COMPUTED_VALUE"""),120)</f>
        <v>120</v>
      </c>
      <c r="R182" s="1">
        <f ca="1">IFERROR(__xludf.DUMMYFUNCTION("""COMPUTED_VALUE"""),104.2)</f>
        <v>104.2</v>
      </c>
      <c r="S182" s="1">
        <f ca="1">IFERROR(__xludf.DUMMYFUNCTION("""COMPUTED_VALUE"""),110)</f>
        <v>110</v>
      </c>
      <c r="T182" s="1" t="str">
        <f ca="1">IFERROR(__xludf.DUMMYFUNCTION("""COMPUTED_VALUE"""),"+1.38")</f>
        <v>+1.38</v>
      </c>
      <c r="U182" s="1">
        <f ca="1">IFERROR(__xludf.DUMMYFUNCTION("""COMPUTED_VALUE"""),118)</f>
        <v>118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IFERROR(__xludf.DUMMYFUNCTION("""COMPUTED_VALUE"""),"Ball St.")</f>
        <v>Ball St.</v>
      </c>
      <c r="C183" s="1" t="str">
        <f ca="1">IFERROR(__xludf.DUMMYFUNCTION("""COMPUTED_VALUE"""),"MAC")</f>
        <v>MAC</v>
      </c>
      <c r="D183" s="1" t="str">
        <f ca="1">IFERROR(__xludf.DUMMYFUNCTION("""COMPUTED_VALUE"""),"19-13")</f>
        <v>19-13</v>
      </c>
      <c r="E183" s="1">
        <f ca="1">IFERROR(__xludf.DUMMYFUNCTION("""COMPUTED_VALUE"""),-0.08)</f>
        <v>-0.08</v>
      </c>
      <c r="F183" s="1">
        <f ca="1">IFERROR(__xludf.DUMMYFUNCTION("""COMPUTED_VALUE"""),103.3)</f>
        <v>103.3</v>
      </c>
      <c r="G183" s="1">
        <f ca="1">IFERROR(__xludf.DUMMYFUNCTION("""COMPUTED_VALUE"""),202)</f>
        <v>202</v>
      </c>
      <c r="H183" s="1">
        <f ca="1">IFERROR(__xludf.DUMMYFUNCTION("""COMPUTED_VALUE"""),103.3)</f>
        <v>103.3</v>
      </c>
      <c r="I183" s="1">
        <f ca="1">IFERROR(__xludf.DUMMYFUNCTION("""COMPUTED_VALUE"""),141)</f>
        <v>141</v>
      </c>
      <c r="J183" s="1">
        <f ca="1">IFERROR(__xludf.DUMMYFUNCTION("""COMPUTED_VALUE"""),69.9)</f>
        <v>69.900000000000006</v>
      </c>
      <c r="K183" s="1">
        <f ca="1">IFERROR(__xludf.DUMMYFUNCTION("""COMPUTED_VALUE"""),83)</f>
        <v>83</v>
      </c>
      <c r="L183" s="1" t="str">
        <f ca="1">IFERROR(__xludf.DUMMYFUNCTION("""COMPUTED_VALUE"""),"+.060")</f>
        <v>+.060</v>
      </c>
      <c r="M183" s="1">
        <f ca="1">IFERROR(__xludf.DUMMYFUNCTION("""COMPUTED_VALUE"""),55)</f>
        <v>55</v>
      </c>
      <c r="N183" s="1">
        <f ca="1">IFERROR(__xludf.DUMMYFUNCTION("""COMPUTED_VALUE"""),-2.07)</f>
        <v>-2.0699999999999998</v>
      </c>
      <c r="O183" s="1">
        <f ca="1">IFERROR(__xludf.DUMMYFUNCTION("""COMPUTED_VALUE"""),192)</f>
        <v>192</v>
      </c>
      <c r="P183" s="1">
        <f ca="1">IFERROR(__xludf.DUMMYFUNCTION("""COMPUTED_VALUE"""),104.7)</f>
        <v>104.7</v>
      </c>
      <c r="Q183" s="1">
        <f ca="1">IFERROR(__xludf.DUMMYFUNCTION("""COMPUTED_VALUE"""),163)</f>
        <v>163</v>
      </c>
      <c r="R183" s="1">
        <f ca="1">IFERROR(__xludf.DUMMYFUNCTION("""COMPUTED_VALUE"""),106.7)</f>
        <v>106.7</v>
      </c>
      <c r="S183" s="1">
        <f ca="1">IFERROR(__xludf.DUMMYFUNCTION("""COMPUTED_VALUE"""),245)</f>
        <v>245</v>
      </c>
      <c r="T183" s="1">
        <f ca="1">IFERROR(__xludf.DUMMYFUNCTION("""COMPUTED_VALUE"""),-1.46)</f>
        <v>-1.46</v>
      </c>
      <c r="U183" s="1">
        <f ca="1">IFERROR(__xludf.DUMMYFUNCTION("""COMPUTED_VALUE"""),195)</f>
        <v>195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IFERROR(__xludf.DUMMYFUNCTION("""COMPUTED_VALUE"""),"UTSA")</f>
        <v>UTSA</v>
      </c>
      <c r="C184" s="1" t="str">
        <f ca="1">IFERROR(__xludf.DUMMYFUNCTION("""COMPUTED_VALUE"""),"CUSA")</f>
        <v>CUSA</v>
      </c>
      <c r="D184" s="1" t="str">
        <f ca="1">IFERROR(__xludf.DUMMYFUNCTION("""COMPUTED_VALUE"""),"20-15")</f>
        <v>20-15</v>
      </c>
      <c r="E184" s="1">
        <f ca="1">IFERROR(__xludf.DUMMYFUNCTION("""COMPUTED_VALUE"""),-0.09)</f>
        <v>-0.09</v>
      </c>
      <c r="F184" s="1">
        <f ca="1">IFERROR(__xludf.DUMMYFUNCTION("""COMPUTED_VALUE"""),104.7)</f>
        <v>104.7</v>
      </c>
      <c r="G184" s="1">
        <f ca="1">IFERROR(__xludf.DUMMYFUNCTION("""COMPUTED_VALUE"""),178)</f>
        <v>178</v>
      </c>
      <c r="H184" s="1">
        <f ca="1">IFERROR(__xludf.DUMMYFUNCTION("""COMPUTED_VALUE"""),104.7)</f>
        <v>104.7</v>
      </c>
      <c r="I184" s="1">
        <f ca="1">IFERROR(__xludf.DUMMYFUNCTION("""COMPUTED_VALUE"""),169)</f>
        <v>169</v>
      </c>
      <c r="J184" s="1">
        <f ca="1">IFERROR(__xludf.DUMMYFUNCTION("""COMPUTED_VALUE"""),71.8)</f>
        <v>71.8</v>
      </c>
      <c r="K184" s="1">
        <f ca="1">IFERROR(__xludf.DUMMYFUNCTION("""COMPUTED_VALUE"""),29)</f>
        <v>29</v>
      </c>
      <c r="L184" s="1" t="str">
        <f ca="1">IFERROR(__xludf.DUMMYFUNCTION("""COMPUTED_VALUE"""),"+.038")</f>
        <v>+.038</v>
      </c>
      <c r="M184" s="1">
        <f ca="1">IFERROR(__xludf.DUMMYFUNCTION("""COMPUTED_VALUE"""),82)</f>
        <v>82</v>
      </c>
      <c r="N184" s="1">
        <f ca="1">IFERROR(__xludf.DUMMYFUNCTION("""COMPUTED_VALUE"""),-1.04)</f>
        <v>-1.04</v>
      </c>
      <c r="O184" s="1">
        <f ca="1">IFERROR(__xludf.DUMMYFUNCTION("""COMPUTED_VALUE"""),163)</f>
        <v>163</v>
      </c>
      <c r="P184" s="1">
        <f ca="1">IFERROR(__xludf.DUMMYFUNCTION("""COMPUTED_VALUE"""),103.9)</f>
        <v>103.9</v>
      </c>
      <c r="Q184" s="1">
        <f ca="1">IFERROR(__xludf.DUMMYFUNCTION("""COMPUTED_VALUE"""),196)</f>
        <v>196</v>
      </c>
      <c r="R184" s="1">
        <f ca="1">IFERROR(__xludf.DUMMYFUNCTION("""COMPUTED_VALUE"""),104.9)</f>
        <v>104.9</v>
      </c>
      <c r="S184" s="1">
        <f ca="1">IFERROR(__xludf.DUMMYFUNCTION("""COMPUTED_VALUE"""),135)</f>
        <v>135</v>
      </c>
      <c r="T184" s="1" t="str">
        <f ca="1">IFERROR(__xludf.DUMMYFUNCTION("""COMPUTED_VALUE"""),"+1.32")</f>
        <v>+1.32</v>
      </c>
      <c r="U184" s="1">
        <f ca="1">IFERROR(__xludf.DUMMYFUNCTION("""COMPUTED_VALUE"""),122)</f>
        <v>122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IFERROR(__xludf.DUMMYFUNCTION("""COMPUTED_VALUE"""),"Oakland")</f>
        <v>Oakland</v>
      </c>
      <c r="C185" s="1" t="str">
        <f ca="1">IFERROR(__xludf.DUMMYFUNCTION("""COMPUTED_VALUE"""),"Horz")</f>
        <v>Horz</v>
      </c>
      <c r="D185" s="1" t="str">
        <f ca="1">IFERROR(__xludf.DUMMYFUNCTION("""COMPUTED_VALUE"""),"19-14")</f>
        <v>19-14</v>
      </c>
      <c r="E185" s="1">
        <f ca="1">IFERROR(__xludf.DUMMYFUNCTION("""COMPUTED_VALUE"""),-0.23)</f>
        <v>-0.23</v>
      </c>
      <c r="F185" s="1">
        <f ca="1">IFERROR(__xludf.DUMMYFUNCTION("""COMPUTED_VALUE"""),107.4)</f>
        <v>107.4</v>
      </c>
      <c r="G185" s="1">
        <f ca="1">IFERROR(__xludf.DUMMYFUNCTION("""COMPUTED_VALUE"""),126)</f>
        <v>126</v>
      </c>
      <c r="H185" s="1">
        <f ca="1">IFERROR(__xludf.DUMMYFUNCTION("""COMPUTED_VALUE"""),107.7)</f>
        <v>107.7</v>
      </c>
      <c r="I185" s="1">
        <f ca="1">IFERROR(__xludf.DUMMYFUNCTION("""COMPUTED_VALUE"""),226)</f>
        <v>226</v>
      </c>
      <c r="J185" s="1">
        <f ca="1">IFERROR(__xludf.DUMMYFUNCTION("""COMPUTED_VALUE"""),70.3)</f>
        <v>70.3</v>
      </c>
      <c r="K185" s="1">
        <f ca="1">IFERROR(__xludf.DUMMYFUNCTION("""COMPUTED_VALUE"""),72)</f>
        <v>72</v>
      </c>
      <c r="L185" s="1" t="str">
        <f ca="1">IFERROR(__xludf.DUMMYFUNCTION("""COMPUTED_VALUE"""),"+.011")</f>
        <v>+.011</v>
      </c>
      <c r="M185" s="1">
        <f ca="1">IFERROR(__xludf.DUMMYFUNCTION("""COMPUTED_VALUE"""),145)</f>
        <v>145</v>
      </c>
      <c r="N185" s="1">
        <f ca="1">IFERROR(__xludf.DUMMYFUNCTION("""COMPUTED_VALUE"""),-4.41)</f>
        <v>-4.41</v>
      </c>
      <c r="O185" s="1">
        <f ca="1">IFERROR(__xludf.DUMMYFUNCTION("""COMPUTED_VALUE"""),271)</f>
        <v>271</v>
      </c>
      <c r="P185" s="1">
        <f ca="1">IFERROR(__xludf.DUMMYFUNCTION("""COMPUTED_VALUE"""),102.5)</f>
        <v>102.5</v>
      </c>
      <c r="Q185" s="1">
        <f ca="1">IFERROR(__xludf.DUMMYFUNCTION("""COMPUTED_VALUE"""),274)</f>
        <v>274</v>
      </c>
      <c r="R185" s="1">
        <f ca="1">IFERROR(__xludf.DUMMYFUNCTION("""COMPUTED_VALUE"""),106.9)</f>
        <v>106.9</v>
      </c>
      <c r="S185" s="1">
        <f ca="1">IFERROR(__xludf.DUMMYFUNCTION("""COMPUTED_VALUE"""),256)</f>
        <v>256</v>
      </c>
      <c r="T185" s="1" t="str">
        <f ca="1">IFERROR(__xludf.DUMMYFUNCTION("""COMPUTED_VALUE"""),"+1.24")</f>
        <v>+1.24</v>
      </c>
      <c r="U185" s="1">
        <f ca="1">IFERROR(__xludf.DUMMYFUNCTION("""COMPUTED_VALUE"""),125)</f>
        <v>125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IFERROR(__xludf.DUMMYFUNCTION("""COMPUTED_VALUE"""),"North Dakota St.")</f>
        <v>North Dakota St.</v>
      </c>
      <c r="C186" s="1" t="str">
        <f ca="1">IFERROR(__xludf.DUMMYFUNCTION("""COMPUTED_VALUE"""),"Sum")</f>
        <v>Sum</v>
      </c>
      <c r="D186" s="1" t="str">
        <f ca="1">IFERROR(__xludf.DUMMYFUNCTION("""COMPUTED_VALUE"""),"15-17")</f>
        <v>15-17</v>
      </c>
      <c r="E186" s="1">
        <f ca="1">IFERROR(__xludf.DUMMYFUNCTION("""COMPUTED_VALUE"""),-0.37)</f>
        <v>-0.37</v>
      </c>
      <c r="F186" s="1">
        <f ca="1">IFERROR(__xludf.DUMMYFUNCTION("""COMPUTED_VALUE"""),105)</f>
        <v>105</v>
      </c>
      <c r="G186" s="1">
        <f ca="1">IFERROR(__xludf.DUMMYFUNCTION("""COMPUTED_VALUE"""),169)</f>
        <v>169</v>
      </c>
      <c r="H186" s="1">
        <f ca="1">IFERROR(__xludf.DUMMYFUNCTION("""COMPUTED_VALUE"""),105.4)</f>
        <v>105.4</v>
      </c>
      <c r="I186" s="1">
        <f ca="1">IFERROR(__xludf.DUMMYFUNCTION("""COMPUTED_VALUE"""),179)</f>
        <v>179</v>
      </c>
      <c r="J186" s="1">
        <f ca="1">IFERROR(__xludf.DUMMYFUNCTION("""COMPUTED_VALUE"""),66.5)</f>
        <v>66.5</v>
      </c>
      <c r="K186" s="1">
        <f ca="1">IFERROR(__xludf.DUMMYFUNCTION("""COMPUTED_VALUE"""),261)</f>
        <v>261</v>
      </c>
      <c r="L186" s="1">
        <f ca="1">IFERROR(__xludf.DUMMYFUNCTION("""COMPUTED_VALUE"""),-0.078)</f>
        <v>-7.8E-2</v>
      </c>
      <c r="M186" s="1">
        <f ca="1">IFERROR(__xludf.DUMMYFUNCTION("""COMPUTED_VALUE"""),334)</f>
        <v>334</v>
      </c>
      <c r="N186" s="1">
        <f ca="1">IFERROR(__xludf.DUMMYFUNCTION("""COMPUTED_VALUE"""),-0.09)</f>
        <v>-0.09</v>
      </c>
      <c r="O186" s="1">
        <f ca="1">IFERROR(__xludf.DUMMYFUNCTION("""COMPUTED_VALUE"""),142)</f>
        <v>142</v>
      </c>
      <c r="P186" s="1">
        <f ca="1">IFERROR(__xludf.DUMMYFUNCTION("""COMPUTED_VALUE"""),106.3)</f>
        <v>106.3</v>
      </c>
      <c r="Q186" s="1">
        <f ca="1">IFERROR(__xludf.DUMMYFUNCTION("""COMPUTED_VALUE"""),104)</f>
        <v>104</v>
      </c>
      <c r="R186" s="1">
        <f ca="1">IFERROR(__xludf.DUMMYFUNCTION("""COMPUTED_VALUE"""),106.4)</f>
        <v>106.4</v>
      </c>
      <c r="S186" s="1">
        <f ca="1">IFERROR(__xludf.DUMMYFUNCTION("""COMPUTED_VALUE"""),217)</f>
        <v>217</v>
      </c>
      <c r="T186" s="1" t="str">
        <f ca="1">IFERROR(__xludf.DUMMYFUNCTION("""COMPUTED_VALUE"""),"+1.58")</f>
        <v>+1.58</v>
      </c>
      <c r="U186" s="1">
        <f ca="1">IFERROR(__xludf.DUMMYFUNCTION("""COMPUTED_VALUE"""),113)</f>
        <v>113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IFERROR(__xludf.DUMMYFUNCTION("""COMPUTED_VALUE"""),"Troy")</f>
        <v>Troy</v>
      </c>
      <c r="C187" s="1" t="str">
        <f ca="1">IFERROR(__xludf.DUMMYFUNCTION("""COMPUTED_VALUE"""),"SB")</f>
        <v>SB</v>
      </c>
      <c r="D187" s="1" t="str">
        <f ca="1">IFERROR(__xludf.DUMMYFUNCTION("""COMPUTED_VALUE"""),"16-17")</f>
        <v>16-17</v>
      </c>
      <c r="E187" s="1">
        <f ca="1">IFERROR(__xludf.DUMMYFUNCTION("""COMPUTED_VALUE"""),-0.37)</f>
        <v>-0.37</v>
      </c>
      <c r="F187" s="1">
        <f ca="1">IFERROR(__xludf.DUMMYFUNCTION("""COMPUTED_VALUE"""),106.2)</f>
        <v>106.2</v>
      </c>
      <c r="G187" s="1">
        <f ca="1">IFERROR(__xludf.DUMMYFUNCTION("""COMPUTED_VALUE"""),145)</f>
        <v>145</v>
      </c>
      <c r="H187" s="1">
        <f ca="1">IFERROR(__xludf.DUMMYFUNCTION("""COMPUTED_VALUE"""),106.5)</f>
        <v>106.5</v>
      </c>
      <c r="I187" s="1">
        <f ca="1">IFERROR(__xludf.DUMMYFUNCTION("""COMPUTED_VALUE"""),197)</f>
        <v>197</v>
      </c>
      <c r="J187" s="1">
        <f ca="1">IFERROR(__xludf.DUMMYFUNCTION("""COMPUTED_VALUE"""),68.3)</f>
        <v>68.3</v>
      </c>
      <c r="K187" s="1">
        <f ca="1">IFERROR(__xludf.DUMMYFUNCTION("""COMPUTED_VALUE"""),175)</f>
        <v>175</v>
      </c>
      <c r="L187" s="1">
        <f ca="1">IFERROR(__xludf.DUMMYFUNCTION("""COMPUTED_VALUE"""),-0.065)</f>
        <v>-6.5000000000000002E-2</v>
      </c>
      <c r="M187" s="1">
        <f ca="1">IFERROR(__xludf.DUMMYFUNCTION("""COMPUTED_VALUE"""),319)</f>
        <v>319</v>
      </c>
      <c r="N187" s="1">
        <f ca="1">IFERROR(__xludf.DUMMYFUNCTION("""COMPUTED_VALUE"""),-1.18)</f>
        <v>-1.18</v>
      </c>
      <c r="O187" s="1">
        <f ca="1">IFERROR(__xludf.DUMMYFUNCTION("""COMPUTED_VALUE"""),166)</f>
        <v>166</v>
      </c>
      <c r="P187" s="1">
        <f ca="1">IFERROR(__xludf.DUMMYFUNCTION("""COMPUTED_VALUE"""),103.7)</f>
        <v>103.7</v>
      </c>
      <c r="Q187" s="1">
        <f ca="1">IFERROR(__xludf.DUMMYFUNCTION("""COMPUTED_VALUE"""),208)</f>
        <v>208</v>
      </c>
      <c r="R187" s="1">
        <f ca="1">IFERROR(__xludf.DUMMYFUNCTION("""COMPUTED_VALUE"""),104.8)</f>
        <v>104.8</v>
      </c>
      <c r="S187" s="1">
        <f ca="1">IFERROR(__xludf.DUMMYFUNCTION("""COMPUTED_VALUE"""),131)</f>
        <v>131</v>
      </c>
      <c r="T187" s="1" t="str">
        <f ca="1">IFERROR(__xludf.DUMMYFUNCTION("""COMPUTED_VALUE"""),"+0.04")</f>
        <v>+0.04</v>
      </c>
      <c r="U187" s="1">
        <f ca="1">IFERROR(__xludf.DUMMYFUNCTION("""COMPUTED_VALUE"""),156)</f>
        <v>156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IFERROR(__xludf.DUMMYFUNCTION("""COMPUTED_VALUE"""),"Pacific")</f>
        <v>Pacific</v>
      </c>
      <c r="C188" s="1" t="str">
        <f ca="1">IFERROR(__xludf.DUMMYFUNCTION("""COMPUTED_VALUE"""),"WCC")</f>
        <v>WCC</v>
      </c>
      <c r="D188" s="1" t="str">
        <f ca="1">IFERROR(__xludf.DUMMYFUNCTION("""COMPUTED_VALUE"""),"14-18")</f>
        <v>14-18</v>
      </c>
      <c r="E188" s="1">
        <f ca="1">IFERROR(__xludf.DUMMYFUNCTION("""COMPUTED_VALUE"""),-0.43)</f>
        <v>-0.43</v>
      </c>
      <c r="F188" s="1">
        <f ca="1">IFERROR(__xludf.DUMMYFUNCTION("""COMPUTED_VALUE"""),106.6)</f>
        <v>106.6</v>
      </c>
      <c r="G188" s="1">
        <f ca="1">IFERROR(__xludf.DUMMYFUNCTION("""COMPUTED_VALUE"""),139)</f>
        <v>139</v>
      </c>
      <c r="H188" s="1">
        <f ca="1">IFERROR(__xludf.DUMMYFUNCTION("""COMPUTED_VALUE"""),107)</f>
        <v>107</v>
      </c>
      <c r="I188" s="1">
        <f ca="1">IFERROR(__xludf.DUMMYFUNCTION("""COMPUTED_VALUE"""),210)</f>
        <v>210</v>
      </c>
      <c r="J188" s="1">
        <f ca="1">IFERROR(__xludf.DUMMYFUNCTION("""COMPUTED_VALUE"""),66.3)</f>
        <v>66.3</v>
      </c>
      <c r="K188" s="1">
        <f ca="1">IFERROR(__xludf.DUMMYFUNCTION("""COMPUTED_VALUE"""),268)</f>
        <v>268</v>
      </c>
      <c r="L188" s="1">
        <f ca="1">IFERROR(__xludf.DUMMYFUNCTION("""COMPUTED_VALUE"""),-0.016)</f>
        <v>-1.6E-2</v>
      </c>
      <c r="M188" s="1">
        <f ca="1">IFERROR(__xludf.DUMMYFUNCTION("""COMPUTED_VALUE"""),220)</f>
        <v>220</v>
      </c>
      <c r="N188" s="1" t="str">
        <f ca="1">IFERROR(__xludf.DUMMYFUNCTION("""COMPUTED_VALUE"""),"+1.28")</f>
        <v>+1.28</v>
      </c>
      <c r="O188" s="1">
        <f ca="1">IFERROR(__xludf.DUMMYFUNCTION("""COMPUTED_VALUE"""),111)</f>
        <v>111</v>
      </c>
      <c r="P188" s="1">
        <f ca="1">IFERROR(__xludf.DUMMYFUNCTION("""COMPUTED_VALUE"""),105.8)</f>
        <v>105.8</v>
      </c>
      <c r="Q188" s="1">
        <f ca="1">IFERROR(__xludf.DUMMYFUNCTION("""COMPUTED_VALUE"""),112)</f>
        <v>112</v>
      </c>
      <c r="R188" s="1">
        <f ca="1">IFERROR(__xludf.DUMMYFUNCTION("""COMPUTED_VALUE"""),104.6)</f>
        <v>104.6</v>
      </c>
      <c r="S188" s="1">
        <f ca="1">IFERROR(__xludf.DUMMYFUNCTION("""COMPUTED_VALUE"""),123)</f>
        <v>123</v>
      </c>
      <c r="T188" s="1" t="str">
        <f ca="1">IFERROR(__xludf.DUMMYFUNCTION("""COMPUTED_VALUE"""),"+1.84")</f>
        <v>+1.84</v>
      </c>
      <c r="U188" s="1">
        <f ca="1">IFERROR(__xludf.DUMMYFUNCTION("""COMPUTED_VALUE"""),107)</f>
        <v>107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IFERROR(__xludf.DUMMYFUNCTION("""COMPUTED_VALUE"""),"Connecticut")</f>
        <v>Connecticut</v>
      </c>
      <c r="C189" s="1" t="str">
        <f ca="1">IFERROR(__xludf.DUMMYFUNCTION("""COMPUTED_VALUE"""),"Amer")</f>
        <v>Amer</v>
      </c>
      <c r="D189" s="1" t="str">
        <f ca="1">IFERROR(__xludf.DUMMYFUNCTION("""COMPUTED_VALUE"""),"14-18")</f>
        <v>14-18</v>
      </c>
      <c r="E189" s="1">
        <f ca="1">IFERROR(__xludf.DUMMYFUNCTION("""COMPUTED_VALUE"""),-0.43)</f>
        <v>-0.43</v>
      </c>
      <c r="F189" s="1">
        <f ca="1">IFERROR(__xludf.DUMMYFUNCTION("""COMPUTED_VALUE"""),105)</f>
        <v>105</v>
      </c>
      <c r="G189" s="1">
        <f ca="1">IFERROR(__xludf.DUMMYFUNCTION("""COMPUTED_VALUE"""),171)</f>
        <v>171</v>
      </c>
      <c r="H189" s="1">
        <f ca="1">IFERROR(__xludf.DUMMYFUNCTION("""COMPUTED_VALUE"""),105.4)</f>
        <v>105.4</v>
      </c>
      <c r="I189" s="1">
        <f ca="1">IFERROR(__xludf.DUMMYFUNCTION("""COMPUTED_VALUE"""),178)</f>
        <v>178</v>
      </c>
      <c r="J189" s="1">
        <f ca="1">IFERROR(__xludf.DUMMYFUNCTION("""COMPUTED_VALUE"""),67)</f>
        <v>67</v>
      </c>
      <c r="K189" s="1">
        <f ca="1">IFERROR(__xludf.DUMMYFUNCTION("""COMPUTED_VALUE"""),236)</f>
        <v>236</v>
      </c>
      <c r="L189" s="1" t="str">
        <f ca="1">IFERROR(__xludf.DUMMYFUNCTION("""COMPUTED_VALUE"""),"+.075")</f>
        <v>+.075</v>
      </c>
      <c r="M189" s="1">
        <f ca="1">IFERROR(__xludf.DUMMYFUNCTION("""COMPUTED_VALUE"""),26)</f>
        <v>26</v>
      </c>
      <c r="N189" s="1" t="str">
        <f ca="1">IFERROR(__xludf.DUMMYFUNCTION("""COMPUTED_VALUE"""),"+5.89")</f>
        <v>+5.89</v>
      </c>
      <c r="O189" s="1">
        <f ca="1">IFERROR(__xludf.DUMMYFUNCTION("""COMPUTED_VALUE"""),69)</f>
        <v>69</v>
      </c>
      <c r="P189" s="1">
        <f ca="1">IFERROR(__xludf.DUMMYFUNCTION("""COMPUTED_VALUE"""),107.7)</f>
        <v>107.7</v>
      </c>
      <c r="Q189" s="1">
        <f ca="1">IFERROR(__xludf.DUMMYFUNCTION("""COMPUTED_VALUE"""),74)</f>
        <v>74</v>
      </c>
      <c r="R189" s="1">
        <f ca="1">IFERROR(__xludf.DUMMYFUNCTION("""COMPUTED_VALUE"""),101.8)</f>
        <v>101.8</v>
      </c>
      <c r="S189" s="1">
        <f ca="1">IFERROR(__xludf.DUMMYFUNCTION("""COMPUTED_VALUE"""),61)</f>
        <v>61</v>
      </c>
      <c r="T189" s="1" t="str">
        <f ca="1">IFERROR(__xludf.DUMMYFUNCTION("""COMPUTED_VALUE"""),"+4.87")</f>
        <v>+4.87</v>
      </c>
      <c r="U189" s="1">
        <f ca="1">IFERROR(__xludf.DUMMYFUNCTION("""COMPUTED_VALUE"""),40)</f>
        <v>40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IFERROR(__xludf.DUMMYFUNCTION("""COMPUTED_VALUE"""),"Wagner8")</f>
        <v>Wagner8</v>
      </c>
      <c r="C190" s="1" t="str">
        <f ca="1">IFERROR(__xludf.DUMMYFUNCTION("""COMPUTED_VALUE"""),"NEC")</f>
        <v>NEC</v>
      </c>
      <c r="D190" s="1" t="str">
        <f ca="1">IFERROR(__xludf.DUMMYFUNCTION("""COMPUTED_VALUE"""),"23-10")</f>
        <v>23-10</v>
      </c>
      <c r="E190" s="1">
        <f ca="1">IFERROR(__xludf.DUMMYFUNCTION("""COMPUTED_VALUE"""),-0.6)</f>
        <v>-0.6</v>
      </c>
      <c r="F190" s="1">
        <f ca="1">IFERROR(__xludf.DUMMYFUNCTION("""COMPUTED_VALUE"""),103)</f>
        <v>103</v>
      </c>
      <c r="G190" s="1">
        <f ca="1">IFERROR(__xludf.DUMMYFUNCTION("""COMPUTED_VALUE"""),209)</f>
        <v>209</v>
      </c>
      <c r="H190" s="1">
        <f ca="1">IFERROR(__xludf.DUMMYFUNCTION("""COMPUTED_VALUE"""),103.6)</f>
        <v>103.6</v>
      </c>
      <c r="I190" s="1">
        <f ca="1">IFERROR(__xludf.DUMMYFUNCTION("""COMPUTED_VALUE"""),151)</f>
        <v>151</v>
      </c>
      <c r="J190" s="1">
        <f ca="1">IFERROR(__xludf.DUMMYFUNCTION("""COMPUTED_VALUE"""),67.6)</f>
        <v>67.599999999999994</v>
      </c>
      <c r="K190" s="1">
        <f ca="1">IFERROR(__xludf.DUMMYFUNCTION("""COMPUTED_VALUE"""),202)</f>
        <v>202</v>
      </c>
      <c r="L190" s="1" t="str">
        <f ca="1">IFERROR(__xludf.DUMMYFUNCTION("""COMPUTED_VALUE"""),"+.070")</f>
        <v>+.070</v>
      </c>
      <c r="M190" s="1">
        <f ca="1">IFERROR(__xludf.DUMMYFUNCTION("""COMPUTED_VALUE"""),32)</f>
        <v>32</v>
      </c>
      <c r="N190" s="1">
        <f ca="1">IFERROR(__xludf.DUMMYFUNCTION("""COMPUTED_VALUE"""),-8.35)</f>
        <v>-8.35</v>
      </c>
      <c r="O190" s="1">
        <f ca="1">IFERROR(__xludf.DUMMYFUNCTION("""COMPUTED_VALUE"""),334)</f>
        <v>334</v>
      </c>
      <c r="P190" s="1">
        <f ca="1">IFERROR(__xludf.DUMMYFUNCTION("""COMPUTED_VALUE"""),101.2)</f>
        <v>101.2</v>
      </c>
      <c r="Q190" s="1">
        <f ca="1">IFERROR(__xludf.DUMMYFUNCTION("""COMPUTED_VALUE"""),314)</f>
        <v>314</v>
      </c>
      <c r="R190" s="1">
        <f ca="1">IFERROR(__xludf.DUMMYFUNCTION("""COMPUTED_VALUE"""),109.5)</f>
        <v>109.5</v>
      </c>
      <c r="S190" s="1">
        <f ca="1">IFERROR(__xludf.DUMMYFUNCTION("""COMPUTED_VALUE"""),343)</f>
        <v>343</v>
      </c>
      <c r="T190" s="1">
        <f ca="1">IFERROR(__xludf.DUMMYFUNCTION("""COMPUTED_VALUE"""),-0.09)</f>
        <v>-0.09</v>
      </c>
      <c r="U190" s="1">
        <f ca="1">IFERROR(__xludf.DUMMYFUNCTION("""COMPUTED_VALUE"""),159)</f>
        <v>159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IFERROR(__xludf.DUMMYFUNCTION("""COMPUTED_VALUE"""),"Richmond")</f>
        <v>Richmond</v>
      </c>
      <c r="C191" s="1" t="str">
        <f ca="1">IFERROR(__xludf.DUMMYFUNCTION("""COMPUTED_VALUE"""),"A10")</f>
        <v>A10</v>
      </c>
      <c r="D191" s="2">
        <f ca="1">IFERROR(__xludf.DUMMYFUNCTION("""COMPUTED_VALUE"""),44915)</f>
        <v>44915</v>
      </c>
      <c r="E191" s="1">
        <f ca="1">IFERROR(__xludf.DUMMYFUNCTION("""COMPUTED_VALUE"""),-0.78)</f>
        <v>-0.78</v>
      </c>
      <c r="F191" s="1">
        <f ca="1">IFERROR(__xludf.DUMMYFUNCTION("""COMPUTED_VALUE"""),107.4)</f>
        <v>107.4</v>
      </c>
      <c r="G191" s="1">
        <f ca="1">IFERROR(__xludf.DUMMYFUNCTION("""COMPUTED_VALUE"""),127)</f>
        <v>127</v>
      </c>
      <c r="H191" s="1">
        <f ca="1">IFERROR(__xludf.DUMMYFUNCTION("""COMPUTED_VALUE"""),108.1)</f>
        <v>108.1</v>
      </c>
      <c r="I191" s="1">
        <f ca="1">IFERROR(__xludf.DUMMYFUNCTION("""COMPUTED_VALUE"""),234)</f>
        <v>234</v>
      </c>
      <c r="J191" s="1">
        <f ca="1">IFERROR(__xludf.DUMMYFUNCTION("""COMPUTED_VALUE"""),67.9)</f>
        <v>67.900000000000006</v>
      </c>
      <c r="K191" s="1">
        <f ca="1">IFERROR(__xludf.DUMMYFUNCTION("""COMPUTED_VALUE"""),189)</f>
        <v>189</v>
      </c>
      <c r="L191" s="1">
        <f ca="1">IFERROR(__xludf.DUMMYFUNCTION("""COMPUTED_VALUE"""),-0.022)</f>
        <v>-2.1999999999999999E-2</v>
      </c>
      <c r="M191" s="1">
        <f ca="1">IFERROR(__xludf.DUMMYFUNCTION("""COMPUTED_VALUE"""),235)</f>
        <v>235</v>
      </c>
      <c r="N191" s="1" t="str">
        <f ca="1">IFERROR(__xludf.DUMMYFUNCTION("""COMPUTED_VALUE"""),"+2.75")</f>
        <v>+2.75</v>
      </c>
      <c r="O191" s="1">
        <f ca="1">IFERROR(__xludf.DUMMYFUNCTION("""COMPUTED_VALUE"""),95)</f>
        <v>95</v>
      </c>
      <c r="P191" s="1">
        <f ca="1">IFERROR(__xludf.DUMMYFUNCTION("""COMPUTED_VALUE"""),106.6)</f>
        <v>106.6</v>
      </c>
      <c r="Q191" s="1">
        <f ca="1">IFERROR(__xludf.DUMMYFUNCTION("""COMPUTED_VALUE"""),97)</f>
        <v>97</v>
      </c>
      <c r="R191" s="1">
        <f ca="1">IFERROR(__xludf.DUMMYFUNCTION("""COMPUTED_VALUE"""),103.8)</f>
        <v>103.8</v>
      </c>
      <c r="S191" s="1">
        <f ca="1">IFERROR(__xludf.DUMMYFUNCTION("""COMPUTED_VALUE"""),98)</f>
        <v>98</v>
      </c>
      <c r="T191" s="1" t="str">
        <f ca="1">IFERROR(__xludf.DUMMYFUNCTION("""COMPUTED_VALUE"""),"+5.44")</f>
        <v>+5.44</v>
      </c>
      <c r="U191" s="1">
        <f ca="1">IFERROR(__xludf.DUMMYFUNCTION("""COMPUTED_VALUE"""),34)</f>
        <v>34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IFERROR(__xludf.DUMMYFUNCTION("""COMPUTED_VALUE"""),"Illinois Chicago")</f>
        <v>Illinois Chicago</v>
      </c>
      <c r="C192" s="1" t="str">
        <f ca="1">IFERROR(__xludf.DUMMYFUNCTION("""COMPUTED_VALUE"""),"Horz")</f>
        <v>Horz</v>
      </c>
      <c r="D192" s="1" t="str">
        <f ca="1">IFERROR(__xludf.DUMMYFUNCTION("""COMPUTED_VALUE"""),"20-16")</f>
        <v>20-16</v>
      </c>
      <c r="E192" s="1">
        <f ca="1">IFERROR(__xludf.DUMMYFUNCTION("""COMPUTED_VALUE"""),-0.84)</f>
        <v>-0.84</v>
      </c>
      <c r="F192" s="1">
        <f ca="1">IFERROR(__xludf.DUMMYFUNCTION("""COMPUTED_VALUE"""),100.9)</f>
        <v>100.9</v>
      </c>
      <c r="G192" s="1">
        <f ca="1">IFERROR(__xludf.DUMMYFUNCTION("""COMPUTED_VALUE"""),245)</f>
        <v>245</v>
      </c>
      <c r="H192" s="1">
        <f ca="1">IFERROR(__xludf.DUMMYFUNCTION("""COMPUTED_VALUE"""),101.8)</f>
        <v>101.8</v>
      </c>
      <c r="I192" s="1">
        <f ca="1">IFERROR(__xludf.DUMMYFUNCTION("""COMPUTED_VALUE"""),107)</f>
        <v>107</v>
      </c>
      <c r="J192" s="1">
        <f ca="1">IFERROR(__xludf.DUMMYFUNCTION("""COMPUTED_VALUE"""),72.5)</f>
        <v>72.5</v>
      </c>
      <c r="K192" s="1">
        <f ca="1">IFERROR(__xludf.DUMMYFUNCTION("""COMPUTED_VALUE"""),20)</f>
        <v>20</v>
      </c>
      <c r="L192" s="1">
        <f ca="1">IFERROR(__xludf.DUMMYFUNCTION("""COMPUTED_VALUE"""),-0.01)</f>
        <v>-0.01</v>
      </c>
      <c r="M192" s="1">
        <f ca="1">IFERROR(__xludf.DUMMYFUNCTION("""COMPUTED_VALUE"""),204)</f>
        <v>204</v>
      </c>
      <c r="N192" s="1">
        <f ca="1">IFERROR(__xludf.DUMMYFUNCTION("""COMPUTED_VALUE"""),-4.11)</f>
        <v>-4.1100000000000003</v>
      </c>
      <c r="O192" s="1">
        <f ca="1">IFERROR(__xludf.DUMMYFUNCTION("""COMPUTED_VALUE"""),260)</f>
        <v>260</v>
      </c>
      <c r="P192" s="1">
        <f ca="1">IFERROR(__xludf.DUMMYFUNCTION("""COMPUTED_VALUE"""),102.7)</f>
        <v>102.7</v>
      </c>
      <c r="Q192" s="1">
        <f ca="1">IFERROR(__xludf.DUMMYFUNCTION("""COMPUTED_VALUE"""),268)</f>
        <v>268</v>
      </c>
      <c r="R192" s="1">
        <f ca="1">IFERROR(__xludf.DUMMYFUNCTION("""COMPUTED_VALUE"""),106.8)</f>
        <v>106.8</v>
      </c>
      <c r="S192" s="1">
        <f ca="1">IFERROR(__xludf.DUMMYFUNCTION("""COMPUTED_VALUE"""),247)</f>
        <v>247</v>
      </c>
      <c r="T192" s="1">
        <f ca="1">IFERROR(__xludf.DUMMYFUNCTION("""COMPUTED_VALUE"""),-1.48)</f>
        <v>-1.48</v>
      </c>
      <c r="U192" s="1">
        <f ca="1">IFERROR(__xludf.DUMMYFUNCTION("""COMPUTED_VALUE"""),197)</f>
        <v>197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IFERROR(__xludf.DUMMYFUNCTION("""COMPUTED_VALUE"""),"Monmouth")</f>
        <v>Monmouth</v>
      </c>
      <c r="C193" s="1" t="str">
        <f ca="1">IFERROR(__xludf.DUMMYFUNCTION("""COMPUTED_VALUE"""),"MAAC")</f>
        <v>MAAC</v>
      </c>
      <c r="D193" s="2">
        <f ca="1">IFERROR(__xludf.DUMMYFUNCTION("""COMPUTED_VALUE"""),44885)</f>
        <v>44885</v>
      </c>
      <c r="E193" s="1">
        <f ca="1">IFERROR(__xludf.DUMMYFUNCTION("""COMPUTED_VALUE"""),-1.21)</f>
        <v>-1.21</v>
      </c>
      <c r="F193" s="1">
        <f ca="1">IFERROR(__xludf.DUMMYFUNCTION("""COMPUTED_VALUE"""),103.5)</f>
        <v>103.5</v>
      </c>
      <c r="G193" s="1">
        <f ca="1">IFERROR(__xludf.DUMMYFUNCTION("""COMPUTED_VALUE"""),198)</f>
        <v>198</v>
      </c>
      <c r="H193" s="1">
        <f ca="1">IFERROR(__xludf.DUMMYFUNCTION("""COMPUTED_VALUE"""),104.7)</f>
        <v>104.7</v>
      </c>
      <c r="I193" s="1">
        <f ca="1">IFERROR(__xludf.DUMMYFUNCTION("""COMPUTED_VALUE"""),170)</f>
        <v>170</v>
      </c>
      <c r="J193" s="1">
        <f ca="1">IFERROR(__xludf.DUMMYFUNCTION("""COMPUTED_VALUE"""),70)</f>
        <v>70</v>
      </c>
      <c r="K193" s="1">
        <f ca="1">IFERROR(__xludf.DUMMYFUNCTION("""COMPUTED_VALUE"""),79)</f>
        <v>79</v>
      </c>
      <c r="L193" s="1">
        <f ca="1">IFERROR(__xludf.DUMMYFUNCTION("""COMPUTED_VALUE"""),-0.112)</f>
        <v>-0.112</v>
      </c>
      <c r="M193" s="1">
        <f ca="1">IFERROR(__xludf.DUMMYFUNCTION("""COMPUTED_VALUE"""),349)</f>
        <v>349</v>
      </c>
      <c r="N193" s="1">
        <f ca="1">IFERROR(__xludf.DUMMYFUNCTION("""COMPUTED_VALUE"""),-0.86)</f>
        <v>-0.86</v>
      </c>
      <c r="O193" s="1">
        <f ca="1">IFERROR(__xludf.DUMMYFUNCTION("""COMPUTED_VALUE"""),158)</f>
        <v>158</v>
      </c>
      <c r="P193" s="1">
        <f ca="1">IFERROR(__xludf.DUMMYFUNCTION("""COMPUTED_VALUE"""),104.8)</f>
        <v>104.8</v>
      </c>
      <c r="Q193" s="1">
        <f ca="1">IFERROR(__xludf.DUMMYFUNCTION("""COMPUTED_VALUE"""),155)</f>
        <v>155</v>
      </c>
      <c r="R193" s="1">
        <f ca="1">IFERROR(__xludf.DUMMYFUNCTION("""COMPUTED_VALUE"""),105.7)</f>
        <v>105.7</v>
      </c>
      <c r="S193" s="1">
        <f ca="1">IFERROR(__xludf.DUMMYFUNCTION("""COMPUTED_VALUE"""),174)</f>
        <v>174</v>
      </c>
      <c r="T193" s="1" t="str">
        <f ca="1">IFERROR(__xludf.DUMMYFUNCTION("""COMPUTED_VALUE"""),"+5.06")</f>
        <v>+5.06</v>
      </c>
      <c r="U193" s="1">
        <f ca="1">IFERROR(__xludf.DUMMYFUNCTION("""COMPUTED_VALUE"""),38)</f>
        <v>38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IFERROR(__xludf.DUMMYFUNCTION("""COMPUTED_VALUE"""),"Liberty")</f>
        <v>Liberty</v>
      </c>
      <c r="C194" s="1" t="str">
        <f ca="1">IFERROR(__xludf.DUMMYFUNCTION("""COMPUTED_VALUE"""),"BSth")</f>
        <v>BSth</v>
      </c>
      <c r="D194" s="1" t="str">
        <f ca="1">IFERROR(__xludf.DUMMYFUNCTION("""COMPUTED_VALUE"""),"22-15")</f>
        <v>22-15</v>
      </c>
      <c r="E194" s="1">
        <f ca="1">IFERROR(__xludf.DUMMYFUNCTION("""COMPUTED_VALUE"""),-1.22)</f>
        <v>-1.22</v>
      </c>
      <c r="F194" s="1">
        <f ca="1">IFERROR(__xludf.DUMMYFUNCTION("""COMPUTED_VALUE"""),103.9)</f>
        <v>103.9</v>
      </c>
      <c r="G194" s="1">
        <f ca="1">IFERROR(__xludf.DUMMYFUNCTION("""COMPUTED_VALUE"""),188)</f>
        <v>188</v>
      </c>
      <c r="H194" s="1">
        <f ca="1">IFERROR(__xludf.DUMMYFUNCTION("""COMPUTED_VALUE"""),105.2)</f>
        <v>105.2</v>
      </c>
      <c r="I194" s="1">
        <f ca="1">IFERROR(__xludf.DUMMYFUNCTION("""COMPUTED_VALUE"""),175)</f>
        <v>175</v>
      </c>
      <c r="J194" s="1">
        <f ca="1">IFERROR(__xludf.DUMMYFUNCTION("""COMPUTED_VALUE"""),63.1)</f>
        <v>63.1</v>
      </c>
      <c r="K194" s="1">
        <f ca="1">IFERROR(__xludf.DUMMYFUNCTION("""COMPUTED_VALUE"""),343)</f>
        <v>343</v>
      </c>
      <c r="L194" s="1">
        <f ca="1">IFERROR(__xludf.DUMMYFUNCTION("""COMPUTED_VALUE"""),-0.052)</f>
        <v>-5.1999999999999998E-2</v>
      </c>
      <c r="M194" s="1">
        <f ca="1">IFERROR(__xludf.DUMMYFUNCTION("""COMPUTED_VALUE"""),300)</f>
        <v>300</v>
      </c>
      <c r="N194" s="1">
        <f ca="1">IFERROR(__xludf.DUMMYFUNCTION("""COMPUTED_VALUE"""),-6.7)</f>
        <v>-6.7</v>
      </c>
      <c r="O194" s="1">
        <f ca="1">IFERROR(__xludf.DUMMYFUNCTION("""COMPUTED_VALUE"""),310)</f>
        <v>310</v>
      </c>
      <c r="P194" s="1">
        <f ca="1">IFERROR(__xludf.DUMMYFUNCTION("""COMPUTED_VALUE"""),101.7)</f>
        <v>101.7</v>
      </c>
      <c r="Q194" s="1">
        <f ca="1">IFERROR(__xludf.DUMMYFUNCTION("""COMPUTED_VALUE"""),297)</f>
        <v>297</v>
      </c>
      <c r="R194" s="1">
        <f ca="1">IFERROR(__xludf.DUMMYFUNCTION("""COMPUTED_VALUE"""),108.4)</f>
        <v>108.4</v>
      </c>
      <c r="S194" s="1">
        <f ca="1">IFERROR(__xludf.DUMMYFUNCTION("""COMPUTED_VALUE"""),322)</f>
        <v>322</v>
      </c>
      <c r="T194" s="1">
        <f ca="1">IFERROR(__xludf.DUMMYFUNCTION("""COMPUTED_VALUE"""),-5.44)</f>
        <v>-5.44</v>
      </c>
      <c r="U194" s="1">
        <f ca="1">IFERROR(__xludf.DUMMYFUNCTION("""COMPUTED_VALUE"""),314)</f>
        <v>314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IFERROR(__xludf.DUMMYFUNCTION("""COMPUTED_VALUE"""),"Nicholls St.")</f>
        <v>Nicholls St.</v>
      </c>
      <c r="C195" s="1" t="str">
        <f ca="1">IFERROR(__xludf.DUMMYFUNCTION("""COMPUTED_VALUE"""),"Slnd")</f>
        <v>Slnd</v>
      </c>
      <c r="D195" s="1" t="str">
        <f ca="1">IFERROR(__xludf.DUMMYFUNCTION("""COMPUTED_VALUE"""),"21-11")</f>
        <v>21-11</v>
      </c>
      <c r="E195" s="1">
        <f ca="1">IFERROR(__xludf.DUMMYFUNCTION("""COMPUTED_VALUE"""),-1.56)</f>
        <v>-1.56</v>
      </c>
      <c r="F195" s="1">
        <f ca="1">IFERROR(__xludf.DUMMYFUNCTION("""COMPUTED_VALUE"""),103.3)</f>
        <v>103.3</v>
      </c>
      <c r="G195" s="1">
        <f ca="1">IFERROR(__xludf.DUMMYFUNCTION("""COMPUTED_VALUE"""),200)</f>
        <v>200</v>
      </c>
      <c r="H195" s="1">
        <f ca="1">IFERROR(__xludf.DUMMYFUNCTION("""COMPUTED_VALUE"""),104.9)</f>
        <v>104.9</v>
      </c>
      <c r="I195" s="1">
        <f ca="1">IFERROR(__xludf.DUMMYFUNCTION("""COMPUTED_VALUE"""),172)</f>
        <v>172</v>
      </c>
      <c r="J195" s="1">
        <f ca="1">IFERROR(__xludf.DUMMYFUNCTION("""COMPUTED_VALUE"""),73.5)</f>
        <v>73.5</v>
      </c>
      <c r="K195" s="1">
        <f ca="1">IFERROR(__xludf.DUMMYFUNCTION("""COMPUTED_VALUE"""),12)</f>
        <v>12</v>
      </c>
      <c r="L195" s="1" t="str">
        <f ca="1">IFERROR(__xludf.DUMMYFUNCTION("""COMPUTED_VALUE"""),"+.037")</f>
        <v>+.037</v>
      </c>
      <c r="M195" s="1">
        <f ca="1">IFERROR(__xludf.DUMMYFUNCTION("""COMPUTED_VALUE"""),85)</f>
        <v>85</v>
      </c>
      <c r="N195" s="1">
        <f ca="1">IFERROR(__xludf.DUMMYFUNCTION("""COMPUTED_VALUE"""),-5.69)</f>
        <v>-5.69</v>
      </c>
      <c r="O195" s="1">
        <f ca="1">IFERROR(__xludf.DUMMYFUNCTION("""COMPUTED_VALUE"""),295)</f>
        <v>295</v>
      </c>
      <c r="P195" s="1">
        <f ca="1">IFERROR(__xludf.DUMMYFUNCTION("""COMPUTED_VALUE"""),101.9)</f>
        <v>101.9</v>
      </c>
      <c r="Q195" s="1">
        <f ca="1">IFERROR(__xludf.DUMMYFUNCTION("""COMPUTED_VALUE"""),292)</f>
        <v>292</v>
      </c>
      <c r="R195" s="1">
        <f ca="1">IFERROR(__xludf.DUMMYFUNCTION("""COMPUTED_VALUE"""),107.6)</f>
        <v>107.6</v>
      </c>
      <c r="S195" s="1">
        <f ca="1">IFERROR(__xludf.DUMMYFUNCTION("""COMPUTED_VALUE"""),283)</f>
        <v>283</v>
      </c>
      <c r="T195" s="1" t="str">
        <f ca="1">IFERROR(__xludf.DUMMYFUNCTION("""COMPUTED_VALUE"""),"+4.11")</f>
        <v>+4.11</v>
      </c>
      <c r="U195" s="1">
        <f ca="1">IFERROR(__xludf.DUMMYFUNCTION("""COMPUTED_VALUE"""),57)</f>
        <v>57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IFERROR(__xludf.DUMMYFUNCTION("""COMPUTED_VALUE"""),"Washington St.")</f>
        <v>Washington St.</v>
      </c>
      <c r="C196" s="1" t="str">
        <f ca="1">IFERROR(__xludf.DUMMYFUNCTION("""COMPUTED_VALUE"""),"P12")</f>
        <v>P12</v>
      </c>
      <c r="D196" s="2">
        <f ca="1">IFERROR(__xludf.DUMMYFUNCTION("""COMPUTED_VALUE"""),44914)</f>
        <v>44914</v>
      </c>
      <c r="E196" s="1">
        <f ca="1">IFERROR(__xludf.DUMMYFUNCTION("""COMPUTED_VALUE"""),-1.66)</f>
        <v>-1.66</v>
      </c>
      <c r="F196" s="1">
        <f ca="1">IFERROR(__xludf.DUMMYFUNCTION("""COMPUTED_VALUE"""),108.4)</f>
        <v>108.4</v>
      </c>
      <c r="G196" s="1">
        <f ca="1">IFERROR(__xludf.DUMMYFUNCTION("""COMPUTED_VALUE"""),108)</f>
        <v>108</v>
      </c>
      <c r="H196" s="1">
        <f ca="1">IFERROR(__xludf.DUMMYFUNCTION("""COMPUTED_VALUE"""),110)</f>
        <v>110</v>
      </c>
      <c r="I196" s="1">
        <f ca="1">IFERROR(__xludf.DUMMYFUNCTION("""COMPUTED_VALUE"""),278)</f>
        <v>278</v>
      </c>
      <c r="J196" s="1">
        <f ca="1">IFERROR(__xludf.DUMMYFUNCTION("""COMPUTED_VALUE"""),68.2)</f>
        <v>68.2</v>
      </c>
      <c r="K196" s="1">
        <f ca="1">IFERROR(__xludf.DUMMYFUNCTION("""COMPUTED_VALUE"""),178)</f>
        <v>178</v>
      </c>
      <c r="L196" s="1" t="str">
        <f ca="1">IFERROR(__xludf.DUMMYFUNCTION("""COMPUTED_VALUE"""),"+.004")</f>
        <v>+.004</v>
      </c>
      <c r="M196" s="1">
        <f ca="1">IFERROR(__xludf.DUMMYFUNCTION("""COMPUTED_VALUE"""),165)</f>
        <v>165</v>
      </c>
      <c r="N196" s="1" t="str">
        <f ca="1">IFERROR(__xludf.DUMMYFUNCTION("""COMPUTED_VALUE"""),"+4.41")</f>
        <v>+4.41</v>
      </c>
      <c r="O196" s="1">
        <f ca="1">IFERROR(__xludf.DUMMYFUNCTION("""COMPUTED_VALUE"""),79)</f>
        <v>79</v>
      </c>
      <c r="P196" s="1">
        <f ca="1">IFERROR(__xludf.DUMMYFUNCTION("""COMPUTED_VALUE"""),107.2)</f>
        <v>107.2</v>
      </c>
      <c r="Q196" s="1">
        <f ca="1">IFERROR(__xludf.DUMMYFUNCTION("""COMPUTED_VALUE"""),84)</f>
        <v>84</v>
      </c>
      <c r="R196" s="1">
        <f ca="1">IFERROR(__xludf.DUMMYFUNCTION("""COMPUTED_VALUE"""),102.8)</f>
        <v>102.8</v>
      </c>
      <c r="S196" s="1">
        <f ca="1">IFERROR(__xludf.DUMMYFUNCTION("""COMPUTED_VALUE"""),77)</f>
        <v>77</v>
      </c>
      <c r="T196" s="1">
        <f ca="1">IFERROR(__xludf.DUMMYFUNCTION("""COMPUTED_VALUE"""),-1.75)</f>
        <v>-1.75</v>
      </c>
      <c r="U196" s="1">
        <f ca="1">IFERROR(__xludf.DUMMYFUNCTION("""COMPUTED_VALUE"""),206)</f>
        <v>206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IFERROR(__xludf.DUMMYFUNCTION("""COMPUTED_VALUE"""),"UNC Asheville8")</f>
        <v>UNC Asheville8</v>
      </c>
      <c r="C197" s="1" t="str">
        <f ca="1">IFERROR(__xludf.DUMMYFUNCTION("""COMPUTED_VALUE"""),"BSth")</f>
        <v>BSth</v>
      </c>
      <c r="D197" s="1" t="str">
        <f ca="1">IFERROR(__xludf.DUMMYFUNCTION("""COMPUTED_VALUE"""),"21-13")</f>
        <v>21-13</v>
      </c>
      <c r="E197" s="1">
        <f ca="1">IFERROR(__xludf.DUMMYFUNCTION("""COMPUTED_VALUE"""),-1.91)</f>
        <v>-1.91</v>
      </c>
      <c r="F197" s="1">
        <f ca="1">IFERROR(__xludf.DUMMYFUNCTION("""COMPUTED_VALUE"""),105.7)</f>
        <v>105.7</v>
      </c>
      <c r="G197" s="1">
        <f ca="1">IFERROR(__xludf.DUMMYFUNCTION("""COMPUTED_VALUE"""),158)</f>
        <v>158</v>
      </c>
      <c r="H197" s="1">
        <f ca="1">IFERROR(__xludf.DUMMYFUNCTION("""COMPUTED_VALUE"""),107.6)</f>
        <v>107.6</v>
      </c>
      <c r="I197" s="1">
        <f ca="1">IFERROR(__xludf.DUMMYFUNCTION("""COMPUTED_VALUE"""),225)</f>
        <v>225</v>
      </c>
      <c r="J197" s="1">
        <f ca="1">IFERROR(__xludf.DUMMYFUNCTION("""COMPUTED_VALUE"""),69.4)</f>
        <v>69.400000000000006</v>
      </c>
      <c r="K197" s="1">
        <f ca="1">IFERROR(__xludf.DUMMYFUNCTION("""COMPUTED_VALUE"""),108)</f>
        <v>108</v>
      </c>
      <c r="L197" s="1" t="str">
        <f ca="1">IFERROR(__xludf.DUMMYFUNCTION("""COMPUTED_VALUE"""),"+.095")</f>
        <v>+.095</v>
      </c>
      <c r="M197" s="1">
        <f ca="1">IFERROR(__xludf.DUMMYFUNCTION("""COMPUTED_VALUE"""),16)</f>
        <v>16</v>
      </c>
      <c r="N197" s="1">
        <f ca="1">IFERROR(__xludf.DUMMYFUNCTION("""COMPUTED_VALUE"""),-3.36)</f>
        <v>-3.36</v>
      </c>
      <c r="O197" s="1">
        <f ca="1">IFERROR(__xludf.DUMMYFUNCTION("""COMPUTED_VALUE"""),239)</f>
        <v>239</v>
      </c>
      <c r="P197" s="1">
        <f ca="1">IFERROR(__xludf.DUMMYFUNCTION("""COMPUTED_VALUE"""),103.3)</f>
        <v>103.3</v>
      </c>
      <c r="Q197" s="1">
        <f ca="1">IFERROR(__xludf.DUMMYFUNCTION("""COMPUTED_VALUE"""),232)</f>
        <v>232</v>
      </c>
      <c r="R197" s="1">
        <f ca="1">IFERROR(__xludf.DUMMYFUNCTION("""COMPUTED_VALUE"""),106.7)</f>
        <v>106.7</v>
      </c>
      <c r="S197" s="1">
        <f ca="1">IFERROR(__xludf.DUMMYFUNCTION("""COMPUTED_VALUE"""),237)</f>
        <v>237</v>
      </c>
      <c r="T197" s="1" t="str">
        <f ca="1">IFERROR(__xludf.DUMMYFUNCTION("""COMPUTED_VALUE"""),"+5.59")</f>
        <v>+5.59</v>
      </c>
      <c r="U197" s="1">
        <f ca="1">IFERROR(__xludf.DUMMYFUNCTION("""COMPUTED_VALUE"""),33)</f>
        <v>33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IFERROR(__xludf.DUMMYFUNCTION("""COMPUTED_VALUE"""),"Western Michigan")</f>
        <v>Western Michigan</v>
      </c>
      <c r="C198" s="1" t="str">
        <f ca="1">IFERROR(__xludf.DUMMYFUNCTION("""COMPUTED_VALUE"""),"MAC")</f>
        <v>MAC</v>
      </c>
      <c r="D198" s="1" t="str">
        <f ca="1">IFERROR(__xludf.DUMMYFUNCTION("""COMPUTED_VALUE"""),"17-15")</f>
        <v>17-15</v>
      </c>
      <c r="E198" s="1">
        <f ca="1">IFERROR(__xludf.DUMMYFUNCTION("""COMPUTED_VALUE"""),-2.02)</f>
        <v>-2.02</v>
      </c>
      <c r="F198" s="1">
        <f ca="1">IFERROR(__xludf.DUMMYFUNCTION("""COMPUTED_VALUE"""),106.2)</f>
        <v>106.2</v>
      </c>
      <c r="G198" s="1">
        <f ca="1">IFERROR(__xludf.DUMMYFUNCTION("""COMPUTED_VALUE"""),144)</f>
        <v>144</v>
      </c>
      <c r="H198" s="1">
        <f ca="1">IFERROR(__xludf.DUMMYFUNCTION("""COMPUTED_VALUE"""),108.2)</f>
        <v>108.2</v>
      </c>
      <c r="I198" s="1">
        <f ca="1">IFERROR(__xludf.DUMMYFUNCTION("""COMPUTED_VALUE"""),235)</f>
        <v>235</v>
      </c>
      <c r="J198" s="1">
        <f ca="1">IFERROR(__xludf.DUMMYFUNCTION("""COMPUTED_VALUE"""),67.8)</f>
        <v>67.8</v>
      </c>
      <c r="K198" s="1">
        <f ca="1">IFERROR(__xludf.DUMMYFUNCTION("""COMPUTED_VALUE"""),193)</f>
        <v>193</v>
      </c>
      <c r="L198" s="1" t="str">
        <f ca="1">IFERROR(__xludf.DUMMYFUNCTION("""COMPUTED_VALUE"""),"+.010")</f>
        <v>+.010</v>
      </c>
      <c r="M198" s="1">
        <f ca="1">IFERROR(__xludf.DUMMYFUNCTION("""COMPUTED_VALUE"""),148)</f>
        <v>148</v>
      </c>
      <c r="N198" s="1">
        <f ca="1">IFERROR(__xludf.DUMMYFUNCTION("""COMPUTED_VALUE"""),-1.97)</f>
        <v>-1.97</v>
      </c>
      <c r="O198" s="1">
        <f ca="1">IFERROR(__xludf.DUMMYFUNCTION("""COMPUTED_VALUE"""),187)</f>
        <v>187</v>
      </c>
      <c r="P198" s="1">
        <f ca="1">IFERROR(__xludf.DUMMYFUNCTION("""COMPUTED_VALUE"""),104.4)</f>
        <v>104.4</v>
      </c>
      <c r="Q198" s="1">
        <f ca="1">IFERROR(__xludf.DUMMYFUNCTION("""COMPUTED_VALUE"""),177)</f>
        <v>177</v>
      </c>
      <c r="R198" s="1">
        <f ca="1">IFERROR(__xludf.DUMMYFUNCTION("""COMPUTED_VALUE"""),106.4)</f>
        <v>106.4</v>
      </c>
      <c r="S198" s="1">
        <f ca="1">IFERROR(__xludf.DUMMYFUNCTION("""COMPUTED_VALUE"""),212)</f>
        <v>212</v>
      </c>
      <c r="T198" s="1">
        <f ca="1">IFERROR(__xludf.DUMMYFUNCTION("""COMPUTED_VALUE"""),-2.51)</f>
        <v>-2.5099999999999998</v>
      </c>
      <c r="U198" s="1">
        <f ca="1">IFERROR(__xludf.DUMMYFUNCTION("""COMPUTED_VALUE"""),237)</f>
        <v>237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IFERROR(__xludf.DUMMYFUNCTION("""COMPUTED_VALUE"""),"Austin Peay")</f>
        <v>Austin Peay</v>
      </c>
      <c r="C199" s="1" t="str">
        <f ca="1">IFERROR(__xludf.DUMMYFUNCTION("""COMPUTED_VALUE"""),"OVC")</f>
        <v>OVC</v>
      </c>
      <c r="D199" s="1" t="str">
        <f ca="1">IFERROR(__xludf.DUMMYFUNCTION("""COMPUTED_VALUE"""),"19-15")</f>
        <v>19-15</v>
      </c>
      <c r="E199" s="1">
        <f ca="1">IFERROR(__xludf.DUMMYFUNCTION("""COMPUTED_VALUE"""),-2.09)</f>
        <v>-2.09</v>
      </c>
      <c r="F199" s="1">
        <f ca="1">IFERROR(__xludf.DUMMYFUNCTION("""COMPUTED_VALUE"""),105)</f>
        <v>105</v>
      </c>
      <c r="G199" s="1">
        <f ca="1">IFERROR(__xludf.DUMMYFUNCTION("""COMPUTED_VALUE"""),172)</f>
        <v>172</v>
      </c>
      <c r="H199" s="1">
        <f ca="1">IFERROR(__xludf.DUMMYFUNCTION("""COMPUTED_VALUE"""),107)</f>
        <v>107</v>
      </c>
      <c r="I199" s="1">
        <f ca="1">IFERROR(__xludf.DUMMYFUNCTION("""COMPUTED_VALUE"""),211)</f>
        <v>211</v>
      </c>
      <c r="J199" s="1">
        <f ca="1">IFERROR(__xludf.DUMMYFUNCTION("""COMPUTED_VALUE"""),69.2)</f>
        <v>69.2</v>
      </c>
      <c r="K199" s="1">
        <f ca="1">IFERROR(__xludf.DUMMYFUNCTION("""COMPUTED_VALUE"""),115)</f>
        <v>115</v>
      </c>
      <c r="L199" s="1" t="str">
        <f ca="1">IFERROR(__xludf.DUMMYFUNCTION("""COMPUTED_VALUE"""),"+.052")</f>
        <v>+.052</v>
      </c>
      <c r="M199" s="1">
        <f ca="1">IFERROR(__xludf.DUMMYFUNCTION("""COMPUTED_VALUE"""),60)</f>
        <v>60</v>
      </c>
      <c r="N199" s="1">
        <f ca="1">IFERROR(__xludf.DUMMYFUNCTION("""COMPUTED_VALUE"""),-2.74)</f>
        <v>-2.74</v>
      </c>
      <c r="O199" s="1">
        <f ca="1">IFERROR(__xludf.DUMMYFUNCTION("""COMPUTED_VALUE"""),215)</f>
        <v>215</v>
      </c>
      <c r="P199" s="1">
        <f ca="1">IFERROR(__xludf.DUMMYFUNCTION("""COMPUTED_VALUE"""),103.1)</f>
        <v>103.1</v>
      </c>
      <c r="Q199" s="1">
        <f ca="1">IFERROR(__xludf.DUMMYFUNCTION("""COMPUTED_VALUE"""),244)</f>
        <v>244</v>
      </c>
      <c r="R199" s="1">
        <f ca="1">IFERROR(__xludf.DUMMYFUNCTION("""COMPUTED_VALUE"""),105.8)</f>
        <v>105.8</v>
      </c>
      <c r="S199" s="1">
        <f ca="1">IFERROR(__xludf.DUMMYFUNCTION("""COMPUTED_VALUE"""),182)</f>
        <v>182</v>
      </c>
      <c r="T199" s="1" t="str">
        <f ca="1">IFERROR(__xludf.DUMMYFUNCTION("""COMPUTED_VALUE"""),"+4.27")</f>
        <v>+4.27</v>
      </c>
      <c r="U199" s="1">
        <f ca="1">IFERROR(__xludf.DUMMYFUNCTION("""COMPUTED_VALUE"""),54)</f>
        <v>54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IFERROR(__xludf.DUMMYFUNCTION("""COMPUTED_VALUE"""),"Princeton")</f>
        <v>Princeton</v>
      </c>
      <c r="C200" s="1" t="str">
        <f ca="1">IFERROR(__xludf.DUMMYFUNCTION("""COMPUTED_VALUE"""),"Ivy")</f>
        <v>Ivy</v>
      </c>
      <c r="D200" s="1" t="str">
        <f ca="1">IFERROR(__xludf.DUMMYFUNCTION("""COMPUTED_VALUE"""),"13-16")</f>
        <v>13-16</v>
      </c>
      <c r="E200" s="1">
        <f ca="1">IFERROR(__xludf.DUMMYFUNCTION("""COMPUTED_VALUE"""),-2.44)</f>
        <v>-2.44</v>
      </c>
      <c r="F200" s="1">
        <f ca="1">IFERROR(__xludf.DUMMYFUNCTION("""COMPUTED_VALUE"""),105.3)</f>
        <v>105.3</v>
      </c>
      <c r="G200" s="1">
        <f ca="1">IFERROR(__xludf.DUMMYFUNCTION("""COMPUTED_VALUE"""),165)</f>
        <v>165</v>
      </c>
      <c r="H200" s="1">
        <f ca="1">IFERROR(__xludf.DUMMYFUNCTION("""COMPUTED_VALUE"""),107.8)</f>
        <v>107.8</v>
      </c>
      <c r="I200" s="1">
        <f ca="1">IFERROR(__xludf.DUMMYFUNCTION("""COMPUTED_VALUE"""),230)</f>
        <v>230</v>
      </c>
      <c r="J200" s="1">
        <f ca="1">IFERROR(__xludf.DUMMYFUNCTION("""COMPUTED_VALUE"""),64.5)</f>
        <v>64.5</v>
      </c>
      <c r="K200" s="1">
        <f ca="1">IFERROR(__xludf.DUMMYFUNCTION("""COMPUTED_VALUE"""),328)</f>
        <v>328</v>
      </c>
      <c r="L200" s="1">
        <f ca="1">IFERROR(__xludf.DUMMYFUNCTION("""COMPUTED_VALUE"""),-0.055)</f>
        <v>-5.5E-2</v>
      </c>
      <c r="M200" s="1">
        <f ca="1">IFERROR(__xludf.DUMMYFUNCTION("""COMPUTED_VALUE"""),304)</f>
        <v>304</v>
      </c>
      <c r="N200" s="1">
        <f ca="1">IFERROR(__xludf.DUMMYFUNCTION("""COMPUTED_VALUE"""),-2.02)</f>
        <v>-2.02</v>
      </c>
      <c r="O200" s="1">
        <f ca="1">IFERROR(__xludf.DUMMYFUNCTION("""COMPUTED_VALUE"""),188)</f>
        <v>188</v>
      </c>
      <c r="P200" s="1">
        <f ca="1">IFERROR(__xludf.DUMMYFUNCTION("""COMPUTED_VALUE"""),104.2)</f>
        <v>104.2</v>
      </c>
      <c r="Q200" s="1">
        <f ca="1">IFERROR(__xludf.DUMMYFUNCTION("""COMPUTED_VALUE"""),186)</f>
        <v>186</v>
      </c>
      <c r="R200" s="1">
        <f ca="1">IFERROR(__xludf.DUMMYFUNCTION("""COMPUTED_VALUE"""),106.2)</f>
        <v>106.2</v>
      </c>
      <c r="S200" s="1">
        <f ca="1">IFERROR(__xludf.DUMMYFUNCTION("""COMPUTED_VALUE"""),202)</f>
        <v>202</v>
      </c>
      <c r="T200" s="1" t="str">
        <f ca="1">IFERROR(__xludf.DUMMYFUNCTION("""COMPUTED_VALUE"""),"+1.98")</f>
        <v>+1.98</v>
      </c>
      <c r="U200" s="1">
        <f ca="1">IFERROR(__xludf.DUMMYFUNCTION("""COMPUTED_VALUE"""),104)</f>
        <v>104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IFERROR(__xludf.DUMMYFUNCTION("""COMPUTED_VALUE"""),"Long Beach St.")</f>
        <v>Long Beach St.</v>
      </c>
      <c r="C201" s="1" t="str">
        <f ca="1">IFERROR(__xludf.DUMMYFUNCTION("""COMPUTED_VALUE"""),"BW")</f>
        <v>BW</v>
      </c>
      <c r="D201" s="1" t="str">
        <f ca="1">IFERROR(__xludf.DUMMYFUNCTION("""COMPUTED_VALUE"""),"15-18")</f>
        <v>15-18</v>
      </c>
      <c r="E201" s="1">
        <f ca="1">IFERROR(__xludf.DUMMYFUNCTION("""COMPUTED_VALUE"""),-2.62)</f>
        <v>-2.62</v>
      </c>
      <c r="F201" s="1">
        <f ca="1">IFERROR(__xludf.DUMMYFUNCTION("""COMPUTED_VALUE"""),106.1)</f>
        <v>106.1</v>
      </c>
      <c r="G201" s="1">
        <f ca="1">IFERROR(__xludf.DUMMYFUNCTION("""COMPUTED_VALUE"""),147)</f>
        <v>147</v>
      </c>
      <c r="H201" s="1">
        <f ca="1">IFERROR(__xludf.DUMMYFUNCTION("""COMPUTED_VALUE"""),108.7)</f>
        <v>108.7</v>
      </c>
      <c r="I201" s="1">
        <f ca="1">IFERROR(__xludf.DUMMYFUNCTION("""COMPUTED_VALUE"""),254)</f>
        <v>254</v>
      </c>
      <c r="J201" s="1">
        <f ca="1">IFERROR(__xludf.DUMMYFUNCTION("""COMPUTED_VALUE"""),71.8)</f>
        <v>71.8</v>
      </c>
      <c r="K201" s="1">
        <f ca="1">IFERROR(__xludf.DUMMYFUNCTION("""COMPUTED_VALUE"""),30)</f>
        <v>30</v>
      </c>
      <c r="L201" s="1" t="str">
        <f ca="1">IFERROR(__xludf.DUMMYFUNCTION("""COMPUTED_VALUE"""),"+.027")</f>
        <v>+.027</v>
      </c>
      <c r="M201" s="1">
        <f ca="1">IFERROR(__xludf.DUMMYFUNCTION("""COMPUTED_VALUE"""),107)</f>
        <v>107</v>
      </c>
      <c r="N201" s="1" t="str">
        <f ca="1">IFERROR(__xludf.DUMMYFUNCTION("""COMPUTED_VALUE"""),"+1.11")</f>
        <v>+1.11</v>
      </c>
      <c r="O201" s="1">
        <f ca="1">IFERROR(__xludf.DUMMYFUNCTION("""COMPUTED_VALUE"""),116)</f>
        <v>116</v>
      </c>
      <c r="P201" s="1">
        <f ca="1">IFERROR(__xludf.DUMMYFUNCTION("""COMPUTED_VALUE"""),104.7)</f>
        <v>104.7</v>
      </c>
      <c r="Q201" s="1">
        <f ca="1">IFERROR(__xludf.DUMMYFUNCTION("""COMPUTED_VALUE"""),166)</f>
        <v>166</v>
      </c>
      <c r="R201" s="1">
        <f ca="1">IFERROR(__xludf.DUMMYFUNCTION("""COMPUTED_VALUE"""),103.5)</f>
        <v>103.5</v>
      </c>
      <c r="S201" s="1">
        <f ca="1">IFERROR(__xludf.DUMMYFUNCTION("""COMPUTED_VALUE"""),92)</f>
        <v>92</v>
      </c>
      <c r="T201" s="1" t="str">
        <f ca="1">IFERROR(__xludf.DUMMYFUNCTION("""COMPUTED_VALUE"""),"+8.21")</f>
        <v>+8.21</v>
      </c>
      <c r="U201" s="1">
        <f ca="1">IFERROR(__xludf.DUMMYFUNCTION("""COMPUTED_VALUE"""),11)</f>
        <v>11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IFERROR(__xludf.DUMMYFUNCTION("""COMPUTED_VALUE"""),"George Washington")</f>
        <v>George Washington</v>
      </c>
      <c r="C202" s="1" t="str">
        <f ca="1">IFERROR(__xludf.DUMMYFUNCTION("""COMPUTED_VALUE"""),"A10")</f>
        <v>A10</v>
      </c>
      <c r="D202" s="1" t="str">
        <f ca="1">IFERROR(__xludf.DUMMYFUNCTION("""COMPUTED_VALUE"""),"15-18")</f>
        <v>15-18</v>
      </c>
      <c r="E202" s="1">
        <f ca="1">IFERROR(__xludf.DUMMYFUNCTION("""COMPUTED_VALUE"""),-2.66)</f>
        <v>-2.66</v>
      </c>
      <c r="F202" s="1">
        <f ca="1">IFERROR(__xludf.DUMMYFUNCTION("""COMPUTED_VALUE"""),103.6)</f>
        <v>103.6</v>
      </c>
      <c r="G202" s="1">
        <f ca="1">IFERROR(__xludf.DUMMYFUNCTION("""COMPUTED_VALUE"""),196)</f>
        <v>196</v>
      </c>
      <c r="H202" s="1">
        <f ca="1">IFERROR(__xludf.DUMMYFUNCTION("""COMPUTED_VALUE"""),106.2)</f>
        <v>106.2</v>
      </c>
      <c r="I202" s="1">
        <f ca="1">IFERROR(__xludf.DUMMYFUNCTION("""COMPUTED_VALUE"""),193)</f>
        <v>193</v>
      </c>
      <c r="J202" s="1">
        <f ca="1">IFERROR(__xludf.DUMMYFUNCTION("""COMPUTED_VALUE"""),65.8)</f>
        <v>65.8</v>
      </c>
      <c r="K202" s="1">
        <f ca="1">IFERROR(__xludf.DUMMYFUNCTION("""COMPUTED_VALUE"""),288)</f>
        <v>288</v>
      </c>
      <c r="L202" s="1" t="str">
        <f ca="1">IFERROR(__xludf.DUMMYFUNCTION("""COMPUTED_VALUE"""),"+.036")</f>
        <v>+.036</v>
      </c>
      <c r="M202" s="1">
        <f ca="1">IFERROR(__xludf.DUMMYFUNCTION("""COMPUTED_VALUE"""),90)</f>
        <v>90</v>
      </c>
      <c r="N202" s="1" t="str">
        <f ca="1">IFERROR(__xludf.DUMMYFUNCTION("""COMPUTED_VALUE"""),"+0.31")</f>
        <v>+0.31</v>
      </c>
      <c r="O202" s="1">
        <f ca="1">IFERROR(__xludf.DUMMYFUNCTION("""COMPUTED_VALUE"""),132)</f>
        <v>132</v>
      </c>
      <c r="P202" s="1">
        <f ca="1">IFERROR(__xludf.DUMMYFUNCTION("""COMPUTED_VALUE"""),105.3)</f>
        <v>105.3</v>
      </c>
      <c r="Q202" s="1">
        <f ca="1">IFERROR(__xludf.DUMMYFUNCTION("""COMPUTED_VALUE"""),136)</f>
        <v>136</v>
      </c>
      <c r="R202" s="1">
        <f ca="1">IFERROR(__xludf.DUMMYFUNCTION("""COMPUTED_VALUE"""),105)</f>
        <v>105</v>
      </c>
      <c r="S202" s="1">
        <f ca="1">IFERROR(__xludf.DUMMYFUNCTION("""COMPUTED_VALUE"""),140)</f>
        <v>140</v>
      </c>
      <c r="T202" s="1" t="str">
        <f ca="1">IFERROR(__xludf.DUMMYFUNCTION("""COMPUTED_VALUE"""),"+0.16")</f>
        <v>+0.16</v>
      </c>
      <c r="U202" s="1">
        <f ca="1">IFERROR(__xludf.DUMMYFUNCTION("""COMPUTED_VALUE"""),153)</f>
        <v>153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IFERROR(__xludf.DUMMYFUNCTION("""COMPUTED_VALUE"""),"Ohio")</f>
        <v>Ohio</v>
      </c>
      <c r="C203" s="1" t="str">
        <f ca="1">IFERROR(__xludf.DUMMYFUNCTION("""COMPUTED_VALUE"""),"MAC")</f>
        <v>MAC</v>
      </c>
      <c r="D203" s="1" t="str">
        <f ca="1">IFERROR(__xludf.DUMMYFUNCTION("""COMPUTED_VALUE"""),"14-17")</f>
        <v>14-17</v>
      </c>
      <c r="E203" s="1">
        <f ca="1">IFERROR(__xludf.DUMMYFUNCTION("""COMPUTED_VALUE"""),-2.74)</f>
        <v>-2.74</v>
      </c>
      <c r="F203" s="1">
        <f ca="1">IFERROR(__xludf.DUMMYFUNCTION("""COMPUTED_VALUE"""),100.4)</f>
        <v>100.4</v>
      </c>
      <c r="G203" s="1">
        <f ca="1">IFERROR(__xludf.DUMMYFUNCTION("""COMPUTED_VALUE"""),252)</f>
        <v>252</v>
      </c>
      <c r="H203" s="1">
        <f ca="1">IFERROR(__xludf.DUMMYFUNCTION("""COMPUTED_VALUE"""),103.1)</f>
        <v>103.1</v>
      </c>
      <c r="I203" s="1">
        <f ca="1">IFERROR(__xludf.DUMMYFUNCTION("""COMPUTED_VALUE"""),134)</f>
        <v>134</v>
      </c>
      <c r="J203" s="1">
        <f ca="1">IFERROR(__xludf.DUMMYFUNCTION("""COMPUTED_VALUE"""),71.3)</f>
        <v>71.3</v>
      </c>
      <c r="K203" s="1">
        <f ca="1">IFERROR(__xludf.DUMMYFUNCTION("""COMPUTED_VALUE"""),44)</f>
        <v>44</v>
      </c>
      <c r="L203" s="1">
        <f ca="1">IFERROR(__xludf.DUMMYFUNCTION("""COMPUTED_VALUE"""),-0.047)</f>
        <v>-4.7E-2</v>
      </c>
      <c r="M203" s="1">
        <f ca="1">IFERROR(__xludf.DUMMYFUNCTION("""COMPUTED_VALUE"""),292)</f>
        <v>292</v>
      </c>
      <c r="N203" s="1">
        <f ca="1">IFERROR(__xludf.DUMMYFUNCTION("""COMPUTED_VALUE"""),-1.48)</f>
        <v>-1.48</v>
      </c>
      <c r="O203" s="1">
        <f ca="1">IFERROR(__xludf.DUMMYFUNCTION("""COMPUTED_VALUE"""),177)</f>
        <v>177</v>
      </c>
      <c r="P203" s="1">
        <f ca="1">IFERROR(__xludf.DUMMYFUNCTION("""COMPUTED_VALUE"""),104.9)</f>
        <v>104.9</v>
      </c>
      <c r="Q203" s="1">
        <f ca="1">IFERROR(__xludf.DUMMYFUNCTION("""COMPUTED_VALUE"""),148)</f>
        <v>148</v>
      </c>
      <c r="R203" s="1">
        <f ca="1">IFERROR(__xludf.DUMMYFUNCTION("""COMPUTED_VALUE"""),106.4)</f>
        <v>106.4</v>
      </c>
      <c r="S203" s="1">
        <f ca="1">IFERROR(__xludf.DUMMYFUNCTION("""COMPUTED_VALUE"""),220)</f>
        <v>220</v>
      </c>
      <c r="T203" s="1">
        <f ca="1">IFERROR(__xludf.DUMMYFUNCTION("""COMPUTED_VALUE"""),-1.72)</f>
        <v>-1.72</v>
      </c>
      <c r="U203" s="1">
        <f ca="1">IFERROR(__xludf.DUMMYFUNCTION("""COMPUTED_VALUE"""),204)</f>
        <v>204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IFERROR(__xludf.DUMMYFUNCTION("""COMPUTED_VALUE"""),"Miami OH")</f>
        <v>Miami OH</v>
      </c>
      <c r="C204" s="1" t="str">
        <f ca="1">IFERROR(__xludf.DUMMYFUNCTION("""COMPUTED_VALUE"""),"MAC")</f>
        <v>MAC</v>
      </c>
      <c r="D204" s="1" t="str">
        <f ca="1">IFERROR(__xludf.DUMMYFUNCTION("""COMPUTED_VALUE"""),"16-18")</f>
        <v>16-18</v>
      </c>
      <c r="E204" s="1">
        <f ca="1">IFERROR(__xludf.DUMMYFUNCTION("""COMPUTED_VALUE"""),-2.82)</f>
        <v>-2.82</v>
      </c>
      <c r="F204" s="1">
        <f ca="1">IFERROR(__xludf.DUMMYFUNCTION("""COMPUTED_VALUE"""),100.2)</f>
        <v>100.2</v>
      </c>
      <c r="G204" s="1">
        <f ca="1">IFERROR(__xludf.DUMMYFUNCTION("""COMPUTED_VALUE"""),254)</f>
        <v>254</v>
      </c>
      <c r="H204" s="1">
        <f ca="1">IFERROR(__xludf.DUMMYFUNCTION("""COMPUTED_VALUE"""),103)</f>
        <v>103</v>
      </c>
      <c r="I204" s="1">
        <f ca="1">IFERROR(__xludf.DUMMYFUNCTION("""COMPUTED_VALUE"""),132)</f>
        <v>132</v>
      </c>
      <c r="J204" s="1">
        <f ca="1">IFERROR(__xludf.DUMMYFUNCTION("""COMPUTED_VALUE"""),66.7)</f>
        <v>66.7</v>
      </c>
      <c r="K204" s="1">
        <f ca="1">IFERROR(__xludf.DUMMYFUNCTION("""COMPUTED_VALUE"""),248)</f>
        <v>248</v>
      </c>
      <c r="L204" s="1" t="str">
        <f ca="1">IFERROR(__xludf.DUMMYFUNCTION("""COMPUTED_VALUE"""),"+.022")</f>
        <v>+.022</v>
      </c>
      <c r="M204" s="1">
        <f ca="1">IFERROR(__xludf.DUMMYFUNCTION("""COMPUTED_VALUE"""),118)</f>
        <v>118</v>
      </c>
      <c r="N204" s="1">
        <f ca="1">IFERROR(__xludf.DUMMYFUNCTION("""COMPUTED_VALUE"""),-0.68)</f>
        <v>-0.68</v>
      </c>
      <c r="O204" s="1">
        <f ca="1">IFERROR(__xludf.DUMMYFUNCTION("""COMPUTED_VALUE"""),151)</f>
        <v>151</v>
      </c>
      <c r="P204" s="1">
        <f ca="1">IFERROR(__xludf.DUMMYFUNCTION("""COMPUTED_VALUE"""),104.8)</f>
        <v>104.8</v>
      </c>
      <c r="Q204" s="1">
        <f ca="1">IFERROR(__xludf.DUMMYFUNCTION("""COMPUTED_VALUE"""),150)</f>
        <v>150</v>
      </c>
      <c r="R204" s="1">
        <f ca="1">IFERROR(__xludf.DUMMYFUNCTION("""COMPUTED_VALUE"""),105.5)</f>
        <v>105.5</v>
      </c>
      <c r="S204" s="1">
        <f ca="1">IFERROR(__xludf.DUMMYFUNCTION("""COMPUTED_VALUE"""),165)</f>
        <v>165</v>
      </c>
      <c r="T204" s="1" t="str">
        <f ca="1">IFERROR(__xludf.DUMMYFUNCTION("""COMPUTED_VALUE"""),"+1.72")</f>
        <v>+1.72</v>
      </c>
      <c r="U204" s="1">
        <f ca="1">IFERROR(__xludf.DUMMYFUNCTION("""COMPUTED_VALUE"""),112)</f>
        <v>112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IFERROR(__xludf.DUMMYFUNCTION("""COMPUTED_VALUE"""),"Seattle")</f>
        <v>Seattle</v>
      </c>
      <c r="C205" s="1" t="str">
        <f ca="1">IFERROR(__xludf.DUMMYFUNCTION("""COMPUTED_VALUE"""),"WAC")</f>
        <v>WAC</v>
      </c>
      <c r="D205" s="1" t="str">
        <f ca="1">IFERROR(__xludf.DUMMYFUNCTION("""COMPUTED_VALUE"""),"20-14")</f>
        <v>20-14</v>
      </c>
      <c r="E205" s="1">
        <f ca="1">IFERROR(__xludf.DUMMYFUNCTION("""COMPUTED_VALUE"""),-2.95)</f>
        <v>-2.95</v>
      </c>
      <c r="F205" s="1">
        <f ca="1">IFERROR(__xludf.DUMMYFUNCTION("""COMPUTED_VALUE"""),103.7)</f>
        <v>103.7</v>
      </c>
      <c r="G205" s="1">
        <f ca="1">IFERROR(__xludf.DUMMYFUNCTION("""COMPUTED_VALUE"""),190)</f>
        <v>190</v>
      </c>
      <c r="H205" s="1">
        <f ca="1">IFERROR(__xludf.DUMMYFUNCTION("""COMPUTED_VALUE"""),106.7)</f>
        <v>106.7</v>
      </c>
      <c r="I205" s="1">
        <f ca="1">IFERROR(__xludf.DUMMYFUNCTION("""COMPUTED_VALUE"""),201)</f>
        <v>201</v>
      </c>
      <c r="J205" s="1">
        <f ca="1">IFERROR(__xludf.DUMMYFUNCTION("""COMPUTED_VALUE"""),67.4)</f>
        <v>67.400000000000006</v>
      </c>
      <c r="K205" s="1">
        <f ca="1">IFERROR(__xludf.DUMMYFUNCTION("""COMPUTED_VALUE"""),213)</f>
        <v>213</v>
      </c>
      <c r="L205" s="1" t="str">
        <f ca="1">IFERROR(__xludf.DUMMYFUNCTION("""COMPUTED_VALUE"""),"+.038")</f>
        <v>+.038</v>
      </c>
      <c r="M205" s="1">
        <f ca="1">IFERROR(__xludf.DUMMYFUNCTION("""COMPUTED_VALUE"""),81)</f>
        <v>81</v>
      </c>
      <c r="N205" s="1">
        <f ca="1">IFERROR(__xludf.DUMMYFUNCTION("""COMPUTED_VALUE"""),-4.43)</f>
        <v>-4.43</v>
      </c>
      <c r="O205" s="1">
        <f ca="1">IFERROR(__xludf.DUMMYFUNCTION("""COMPUTED_VALUE"""),273)</f>
        <v>273</v>
      </c>
      <c r="P205" s="1">
        <f ca="1">IFERROR(__xludf.DUMMYFUNCTION("""COMPUTED_VALUE"""),101.9)</f>
        <v>101.9</v>
      </c>
      <c r="Q205" s="1">
        <f ca="1">IFERROR(__xludf.DUMMYFUNCTION("""COMPUTED_VALUE"""),291)</f>
        <v>291</v>
      </c>
      <c r="R205" s="1">
        <f ca="1">IFERROR(__xludf.DUMMYFUNCTION("""COMPUTED_VALUE"""),106.4)</f>
        <v>106.4</v>
      </c>
      <c r="S205" s="1">
        <f ca="1">IFERROR(__xludf.DUMMYFUNCTION("""COMPUTED_VALUE"""),213)</f>
        <v>213</v>
      </c>
      <c r="T205" s="1">
        <f ca="1">IFERROR(__xludf.DUMMYFUNCTION("""COMPUTED_VALUE"""),-5.24)</f>
        <v>-5.24</v>
      </c>
      <c r="U205" s="1">
        <f ca="1">IFERROR(__xludf.DUMMYFUNCTION("""COMPUTED_VALUE"""),308)</f>
        <v>308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IFERROR(__xludf.DUMMYFUNCTION("""COMPUTED_VALUE"""),"Milwaukee")</f>
        <v>Milwaukee</v>
      </c>
      <c r="C206" s="1" t="str">
        <f ca="1">IFERROR(__xludf.DUMMYFUNCTION("""COMPUTED_VALUE"""),"Horz")</f>
        <v>Horz</v>
      </c>
      <c r="D206" s="1" t="str">
        <f ca="1">IFERROR(__xludf.DUMMYFUNCTION("""COMPUTED_VALUE"""),"16-17")</f>
        <v>16-17</v>
      </c>
      <c r="E206" s="1">
        <f ca="1">IFERROR(__xludf.DUMMYFUNCTION("""COMPUTED_VALUE"""),-3.11)</f>
        <v>-3.11</v>
      </c>
      <c r="F206" s="1">
        <f ca="1">IFERROR(__xludf.DUMMYFUNCTION("""COMPUTED_VALUE"""),100.3)</f>
        <v>100.3</v>
      </c>
      <c r="G206" s="1">
        <f ca="1">IFERROR(__xludf.DUMMYFUNCTION("""COMPUTED_VALUE"""),253)</f>
        <v>253</v>
      </c>
      <c r="H206" s="1">
        <f ca="1">IFERROR(__xludf.DUMMYFUNCTION("""COMPUTED_VALUE"""),103.4)</f>
        <v>103.4</v>
      </c>
      <c r="I206" s="1">
        <f ca="1">IFERROR(__xludf.DUMMYFUNCTION("""COMPUTED_VALUE"""),144)</f>
        <v>144</v>
      </c>
      <c r="J206" s="1">
        <f ca="1">IFERROR(__xludf.DUMMYFUNCTION("""COMPUTED_VALUE"""),65.7)</f>
        <v>65.7</v>
      </c>
      <c r="K206" s="1">
        <f ca="1">IFERROR(__xludf.DUMMYFUNCTION("""COMPUTED_VALUE"""),294)</f>
        <v>294</v>
      </c>
      <c r="L206" s="1">
        <f ca="1">IFERROR(__xludf.DUMMYFUNCTION("""COMPUTED_VALUE"""),-0.023)</f>
        <v>-2.3E-2</v>
      </c>
      <c r="M206" s="1">
        <f ca="1">IFERROR(__xludf.DUMMYFUNCTION("""COMPUTED_VALUE"""),241)</f>
        <v>241</v>
      </c>
      <c r="N206" s="1">
        <f ca="1">IFERROR(__xludf.DUMMYFUNCTION("""COMPUTED_VALUE"""),-4.43)</f>
        <v>-4.43</v>
      </c>
      <c r="O206" s="1">
        <f ca="1">IFERROR(__xludf.DUMMYFUNCTION("""COMPUTED_VALUE"""),274)</f>
        <v>274</v>
      </c>
      <c r="P206" s="1">
        <f ca="1">IFERROR(__xludf.DUMMYFUNCTION("""COMPUTED_VALUE"""),102.3)</f>
        <v>102.3</v>
      </c>
      <c r="Q206" s="1">
        <f ca="1">IFERROR(__xludf.DUMMYFUNCTION("""COMPUTED_VALUE"""),285)</f>
        <v>285</v>
      </c>
      <c r="R206" s="1">
        <f ca="1">IFERROR(__xludf.DUMMYFUNCTION("""COMPUTED_VALUE"""),106.7)</f>
        <v>106.7</v>
      </c>
      <c r="S206" s="1">
        <f ca="1">IFERROR(__xludf.DUMMYFUNCTION("""COMPUTED_VALUE"""),241)</f>
        <v>241</v>
      </c>
      <c r="T206" s="1">
        <f ca="1">IFERROR(__xludf.DUMMYFUNCTION("""COMPUTED_VALUE"""),-2.02)</f>
        <v>-2.02</v>
      </c>
      <c r="U206" s="1">
        <f ca="1">IFERROR(__xludf.DUMMYFUNCTION("""COMPUTED_VALUE"""),216)</f>
        <v>216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IFERROR(__xludf.DUMMYFUNCTION("""COMPUTED_VALUE"""),"Yale")</f>
        <v>Yale</v>
      </c>
      <c r="C207" s="1" t="str">
        <f ca="1">IFERROR(__xludf.DUMMYFUNCTION("""COMPUTED_VALUE"""),"Ivy")</f>
        <v>Ivy</v>
      </c>
      <c r="D207" s="1" t="str">
        <f ca="1">IFERROR(__xludf.DUMMYFUNCTION("""COMPUTED_VALUE"""),"16-15")</f>
        <v>16-15</v>
      </c>
      <c r="E207" s="1">
        <f ca="1">IFERROR(__xludf.DUMMYFUNCTION("""COMPUTED_VALUE"""),-3.18)</f>
        <v>-3.18</v>
      </c>
      <c r="F207" s="1">
        <f ca="1">IFERROR(__xludf.DUMMYFUNCTION("""COMPUTED_VALUE"""),103.8)</f>
        <v>103.8</v>
      </c>
      <c r="G207" s="1">
        <f ca="1">IFERROR(__xludf.DUMMYFUNCTION("""COMPUTED_VALUE"""),189)</f>
        <v>189</v>
      </c>
      <c r="H207" s="1">
        <f ca="1">IFERROR(__xludf.DUMMYFUNCTION("""COMPUTED_VALUE"""),107)</f>
        <v>107</v>
      </c>
      <c r="I207" s="1">
        <f ca="1">IFERROR(__xludf.DUMMYFUNCTION("""COMPUTED_VALUE"""),209)</f>
        <v>209</v>
      </c>
      <c r="J207" s="1">
        <f ca="1">IFERROR(__xludf.DUMMYFUNCTION("""COMPUTED_VALUE"""),68.8)</f>
        <v>68.8</v>
      </c>
      <c r="K207" s="1">
        <f ca="1">IFERROR(__xludf.DUMMYFUNCTION("""COMPUTED_VALUE"""),140)</f>
        <v>140</v>
      </c>
      <c r="L207" s="1" t="str">
        <f ca="1">IFERROR(__xludf.DUMMYFUNCTION("""COMPUTED_VALUE"""),"+.042")</f>
        <v>+.042</v>
      </c>
      <c r="M207" s="1">
        <f ca="1">IFERROR(__xludf.DUMMYFUNCTION("""COMPUTED_VALUE"""),71)</f>
        <v>71</v>
      </c>
      <c r="N207" s="1">
        <f ca="1">IFERROR(__xludf.DUMMYFUNCTION("""COMPUTED_VALUE"""),-1.86)</f>
        <v>-1.86</v>
      </c>
      <c r="O207" s="1">
        <f ca="1">IFERROR(__xludf.DUMMYFUNCTION("""COMPUTED_VALUE"""),183)</f>
        <v>183</v>
      </c>
      <c r="P207" s="1">
        <f ca="1">IFERROR(__xludf.DUMMYFUNCTION("""COMPUTED_VALUE"""),104.8)</f>
        <v>104.8</v>
      </c>
      <c r="Q207" s="1">
        <f ca="1">IFERROR(__xludf.DUMMYFUNCTION("""COMPUTED_VALUE"""),152)</f>
        <v>152</v>
      </c>
      <c r="R207" s="1">
        <f ca="1">IFERROR(__xludf.DUMMYFUNCTION("""COMPUTED_VALUE"""),106.7)</f>
        <v>106.7</v>
      </c>
      <c r="S207" s="1">
        <f ca="1">IFERROR(__xludf.DUMMYFUNCTION("""COMPUTED_VALUE"""),239)</f>
        <v>239</v>
      </c>
      <c r="T207" s="1" t="str">
        <f ca="1">IFERROR(__xludf.DUMMYFUNCTION("""COMPUTED_VALUE"""),"+1.49")</f>
        <v>+1.49</v>
      </c>
      <c r="U207" s="1">
        <f ca="1">IFERROR(__xludf.DUMMYFUNCTION("""COMPUTED_VALUE"""),115)</f>
        <v>115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IFERROR(__xludf.DUMMYFUNCTION("""COMPUTED_VALUE"""),"Tennessee St.")</f>
        <v>Tennessee St.</v>
      </c>
      <c r="C208" s="1" t="str">
        <f ca="1">IFERROR(__xludf.DUMMYFUNCTION("""COMPUTED_VALUE"""),"OVC")</f>
        <v>OVC</v>
      </c>
      <c r="D208" s="1" t="str">
        <f ca="1">IFERROR(__xludf.DUMMYFUNCTION("""COMPUTED_VALUE"""),"15-15")</f>
        <v>15-15</v>
      </c>
      <c r="E208" s="1">
        <f ca="1">IFERROR(__xludf.DUMMYFUNCTION("""COMPUTED_VALUE"""),-3.27)</f>
        <v>-3.27</v>
      </c>
      <c r="F208" s="1">
        <f ca="1">IFERROR(__xludf.DUMMYFUNCTION("""COMPUTED_VALUE"""),97.5)</f>
        <v>97.5</v>
      </c>
      <c r="G208" s="1">
        <f ca="1">IFERROR(__xludf.DUMMYFUNCTION("""COMPUTED_VALUE"""),305)</f>
        <v>305</v>
      </c>
      <c r="H208" s="1">
        <f ca="1">IFERROR(__xludf.DUMMYFUNCTION("""COMPUTED_VALUE"""),100.8)</f>
        <v>100.8</v>
      </c>
      <c r="I208" s="1">
        <f ca="1">IFERROR(__xludf.DUMMYFUNCTION("""COMPUTED_VALUE"""),95)</f>
        <v>95</v>
      </c>
      <c r="J208" s="1">
        <f ca="1">IFERROR(__xludf.DUMMYFUNCTION("""COMPUTED_VALUE"""),65.6)</f>
        <v>65.599999999999994</v>
      </c>
      <c r="K208" s="1">
        <f ca="1">IFERROR(__xludf.DUMMYFUNCTION("""COMPUTED_VALUE"""),300)</f>
        <v>300</v>
      </c>
      <c r="L208" s="1" t="str">
        <f ca="1">IFERROR(__xludf.DUMMYFUNCTION("""COMPUTED_VALUE"""),"+.016")</f>
        <v>+.016</v>
      </c>
      <c r="M208" s="1">
        <f ca="1">IFERROR(__xludf.DUMMYFUNCTION("""COMPUTED_VALUE"""),132)</f>
        <v>132</v>
      </c>
      <c r="N208" s="1">
        <f ca="1">IFERROR(__xludf.DUMMYFUNCTION("""COMPUTED_VALUE"""),-2.98)</f>
        <v>-2.98</v>
      </c>
      <c r="O208" s="1">
        <f ca="1">IFERROR(__xludf.DUMMYFUNCTION("""COMPUTED_VALUE"""),230)</f>
        <v>230</v>
      </c>
      <c r="P208" s="1">
        <f ca="1">IFERROR(__xludf.DUMMYFUNCTION("""COMPUTED_VALUE"""),103.5)</f>
        <v>103.5</v>
      </c>
      <c r="Q208" s="1">
        <f ca="1">IFERROR(__xludf.DUMMYFUNCTION("""COMPUTED_VALUE"""),217)</f>
        <v>217</v>
      </c>
      <c r="R208" s="1">
        <f ca="1">IFERROR(__xludf.DUMMYFUNCTION("""COMPUTED_VALUE"""),106.5)</f>
        <v>106.5</v>
      </c>
      <c r="S208" s="1">
        <f ca="1">IFERROR(__xludf.DUMMYFUNCTION("""COMPUTED_VALUE"""),227)</f>
        <v>227</v>
      </c>
      <c r="T208" s="1" t="str">
        <f ca="1">IFERROR(__xludf.DUMMYFUNCTION("""COMPUTED_VALUE"""),"+4.02")</f>
        <v>+4.02</v>
      </c>
      <c r="U208" s="1">
        <f ca="1">IFERROR(__xludf.DUMMYFUNCTION("""COMPUTED_VALUE"""),60)</f>
        <v>60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IFERROR(__xludf.DUMMYFUNCTION("""COMPUTED_VALUE"""),"Southeastern Louisiana8")</f>
        <v>Southeastern Louisiana8</v>
      </c>
      <c r="C209" s="1" t="str">
        <f ca="1">IFERROR(__xludf.DUMMYFUNCTION("""COMPUTED_VALUE"""),"Slnd")</f>
        <v>Slnd</v>
      </c>
      <c r="D209" s="1" t="str">
        <f ca="1">IFERROR(__xludf.DUMMYFUNCTION("""COMPUTED_VALUE"""),"22-12")</f>
        <v>22-12</v>
      </c>
      <c r="E209" s="1">
        <f ca="1">IFERROR(__xludf.DUMMYFUNCTION("""COMPUTED_VALUE"""),-3.31)</f>
        <v>-3.31</v>
      </c>
      <c r="F209" s="1">
        <f ca="1">IFERROR(__xludf.DUMMYFUNCTION("""COMPUTED_VALUE"""),102.6)</f>
        <v>102.6</v>
      </c>
      <c r="G209" s="1">
        <f ca="1">IFERROR(__xludf.DUMMYFUNCTION("""COMPUTED_VALUE"""),216)</f>
        <v>216</v>
      </c>
      <c r="H209" s="1">
        <f ca="1">IFERROR(__xludf.DUMMYFUNCTION("""COMPUTED_VALUE"""),105.9)</f>
        <v>105.9</v>
      </c>
      <c r="I209" s="1">
        <f ca="1">IFERROR(__xludf.DUMMYFUNCTION("""COMPUTED_VALUE"""),188)</f>
        <v>188</v>
      </c>
      <c r="J209" s="1">
        <f ca="1">IFERROR(__xludf.DUMMYFUNCTION("""COMPUTED_VALUE"""),65.7)</f>
        <v>65.7</v>
      </c>
      <c r="K209" s="1">
        <f ca="1">IFERROR(__xludf.DUMMYFUNCTION("""COMPUTED_VALUE"""),297)</f>
        <v>297</v>
      </c>
      <c r="L209" s="1" t="str">
        <f ca="1">IFERROR(__xludf.DUMMYFUNCTION("""COMPUTED_VALUE"""),"+.118")</f>
        <v>+.118</v>
      </c>
      <c r="M209" s="1">
        <f ca="1">IFERROR(__xludf.DUMMYFUNCTION("""COMPUTED_VALUE"""),3)</f>
        <v>3</v>
      </c>
      <c r="N209" s="1">
        <f ca="1">IFERROR(__xludf.DUMMYFUNCTION("""COMPUTED_VALUE"""),-5.11)</f>
        <v>-5.1100000000000003</v>
      </c>
      <c r="O209" s="1">
        <f ca="1">IFERROR(__xludf.DUMMYFUNCTION("""COMPUTED_VALUE"""),285)</f>
        <v>285</v>
      </c>
      <c r="P209" s="1">
        <f ca="1">IFERROR(__xludf.DUMMYFUNCTION("""COMPUTED_VALUE"""),101.6)</f>
        <v>101.6</v>
      </c>
      <c r="Q209" s="1">
        <f ca="1">IFERROR(__xludf.DUMMYFUNCTION("""COMPUTED_VALUE"""),303)</f>
        <v>303</v>
      </c>
      <c r="R209" s="1">
        <f ca="1">IFERROR(__xludf.DUMMYFUNCTION("""COMPUTED_VALUE"""),106.7)</f>
        <v>106.7</v>
      </c>
      <c r="S209" s="1">
        <f ca="1">IFERROR(__xludf.DUMMYFUNCTION("""COMPUTED_VALUE"""),240)</f>
        <v>240</v>
      </c>
      <c r="T209" s="1" t="str">
        <f ca="1">IFERROR(__xludf.DUMMYFUNCTION("""COMPUTED_VALUE"""),"+1.12")</f>
        <v>+1.12</v>
      </c>
      <c r="U209" s="1">
        <f ca="1">IFERROR(__xludf.DUMMYFUNCTION("""COMPUTED_VALUE"""),130)</f>
        <v>130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IFERROR(__xludf.DUMMYFUNCTION("""COMPUTED_VALUE"""),"Hawaii")</f>
        <v>Hawaii</v>
      </c>
      <c r="C210" s="1" t="str">
        <f ca="1">IFERROR(__xludf.DUMMYFUNCTION("""COMPUTED_VALUE"""),"BW")</f>
        <v>BW</v>
      </c>
      <c r="D210" s="1" t="str">
        <f ca="1">IFERROR(__xludf.DUMMYFUNCTION("""COMPUTED_VALUE"""),"17-13")</f>
        <v>17-13</v>
      </c>
      <c r="E210" s="1">
        <f ca="1">IFERROR(__xludf.DUMMYFUNCTION("""COMPUTED_VALUE"""),-3.38)</f>
        <v>-3.38</v>
      </c>
      <c r="F210" s="1">
        <f ca="1">IFERROR(__xludf.DUMMYFUNCTION("""COMPUTED_VALUE"""),99.1)</f>
        <v>99.1</v>
      </c>
      <c r="G210" s="1">
        <f ca="1">IFERROR(__xludf.DUMMYFUNCTION("""COMPUTED_VALUE"""),273)</f>
        <v>273</v>
      </c>
      <c r="H210" s="1">
        <f ca="1">IFERROR(__xludf.DUMMYFUNCTION("""COMPUTED_VALUE"""),102.5)</f>
        <v>102.5</v>
      </c>
      <c r="I210" s="1">
        <f ca="1">IFERROR(__xludf.DUMMYFUNCTION("""COMPUTED_VALUE"""),121)</f>
        <v>121</v>
      </c>
      <c r="J210" s="1">
        <f ca="1">IFERROR(__xludf.DUMMYFUNCTION("""COMPUTED_VALUE"""),67.9)</f>
        <v>67.900000000000006</v>
      </c>
      <c r="K210" s="1">
        <f ca="1">IFERROR(__xludf.DUMMYFUNCTION("""COMPUTED_VALUE"""),192)</f>
        <v>192</v>
      </c>
      <c r="L210" s="1" t="str">
        <f ca="1">IFERROR(__xludf.DUMMYFUNCTION("""COMPUTED_VALUE"""),"+.034")</f>
        <v>+.034</v>
      </c>
      <c r="M210" s="1">
        <f ca="1">IFERROR(__xludf.DUMMYFUNCTION("""COMPUTED_VALUE"""),93)</f>
        <v>93</v>
      </c>
      <c r="N210" s="1">
        <f ca="1">IFERROR(__xludf.DUMMYFUNCTION("""COMPUTED_VALUE"""),-4)</f>
        <v>-4</v>
      </c>
      <c r="O210" s="1">
        <f ca="1">IFERROR(__xludf.DUMMYFUNCTION("""COMPUTED_VALUE"""),254)</f>
        <v>254</v>
      </c>
      <c r="P210" s="1">
        <f ca="1">IFERROR(__xludf.DUMMYFUNCTION("""COMPUTED_VALUE"""),102.9)</f>
        <v>102.9</v>
      </c>
      <c r="Q210" s="1">
        <f ca="1">IFERROR(__xludf.DUMMYFUNCTION("""COMPUTED_VALUE"""),256)</f>
        <v>256</v>
      </c>
      <c r="R210" s="1">
        <f ca="1">IFERROR(__xludf.DUMMYFUNCTION("""COMPUTED_VALUE"""),106.9)</f>
        <v>106.9</v>
      </c>
      <c r="S210" s="1">
        <f ca="1">IFERROR(__xludf.DUMMYFUNCTION("""COMPUTED_VALUE"""),250)</f>
        <v>250</v>
      </c>
      <c r="T210" s="1">
        <f ca="1">IFERROR(__xludf.DUMMYFUNCTION("""COMPUTED_VALUE"""),-3.64)</f>
        <v>-3.64</v>
      </c>
      <c r="U210" s="1">
        <f ca="1">IFERROR(__xludf.DUMMYFUNCTION("""COMPUTED_VALUE"""),280)</f>
        <v>280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IFERROR(__xludf.DUMMYFUNCTION("""COMPUTED_VALUE"""),"Duquesne")</f>
        <v>Duquesne</v>
      </c>
      <c r="C213" s="1" t="str">
        <f ca="1">IFERROR(__xludf.DUMMYFUNCTION("""COMPUTED_VALUE"""),"A10")</f>
        <v>A10</v>
      </c>
      <c r="D213" s="1" t="str">
        <f ca="1">IFERROR(__xludf.DUMMYFUNCTION("""COMPUTED_VALUE"""),"16-16")</f>
        <v>16-16</v>
      </c>
      <c r="E213" s="1">
        <f ca="1">IFERROR(__xludf.DUMMYFUNCTION("""COMPUTED_VALUE"""),-3.63)</f>
        <v>-3.63</v>
      </c>
      <c r="F213" s="1">
        <f ca="1">IFERROR(__xludf.DUMMYFUNCTION("""COMPUTED_VALUE"""),104.6)</f>
        <v>104.6</v>
      </c>
      <c r="G213" s="1">
        <f ca="1">IFERROR(__xludf.DUMMYFUNCTION("""COMPUTED_VALUE"""),179)</f>
        <v>179</v>
      </c>
      <c r="H213" s="1">
        <f ca="1">IFERROR(__xludf.DUMMYFUNCTION("""COMPUTED_VALUE"""),108.2)</f>
        <v>108.2</v>
      </c>
      <c r="I213" s="1">
        <f ca="1">IFERROR(__xludf.DUMMYFUNCTION("""COMPUTED_VALUE"""),236)</f>
        <v>236</v>
      </c>
      <c r="J213" s="1">
        <f ca="1">IFERROR(__xludf.DUMMYFUNCTION("""COMPUTED_VALUE"""),66.2)</f>
        <v>66.2</v>
      </c>
      <c r="K213" s="1">
        <f ca="1">IFERROR(__xludf.DUMMYFUNCTION("""COMPUTED_VALUE"""),269)</f>
        <v>269</v>
      </c>
      <c r="L213" s="1">
        <f ca="1">IFERROR(__xludf.DUMMYFUNCTION("""COMPUTED_VALUE"""),-0.059)</f>
        <v>-5.8999999999999997E-2</v>
      </c>
      <c r="M213" s="1">
        <f ca="1">IFERROR(__xludf.DUMMYFUNCTION("""COMPUTED_VALUE"""),312)</f>
        <v>312</v>
      </c>
      <c r="N213" s="1">
        <f ca="1">IFERROR(__xludf.DUMMYFUNCTION("""COMPUTED_VALUE"""),-6.22)</f>
        <v>-6.22</v>
      </c>
      <c r="O213" s="1">
        <f ca="1">IFERROR(__xludf.DUMMYFUNCTION("""COMPUTED_VALUE"""),302)</f>
        <v>302</v>
      </c>
      <c r="P213" s="1">
        <f ca="1">IFERROR(__xludf.DUMMYFUNCTION("""COMPUTED_VALUE"""),101.2)</f>
        <v>101.2</v>
      </c>
      <c r="Q213" s="1">
        <f ca="1">IFERROR(__xludf.DUMMYFUNCTION("""COMPUTED_VALUE"""),312)</f>
        <v>312</v>
      </c>
      <c r="R213" s="1">
        <f ca="1">IFERROR(__xludf.DUMMYFUNCTION("""COMPUTED_VALUE"""),107.4)</f>
        <v>107.4</v>
      </c>
      <c r="S213" s="1">
        <f ca="1">IFERROR(__xludf.DUMMYFUNCTION("""COMPUTED_VALUE"""),274)</f>
        <v>274</v>
      </c>
      <c r="T213" s="1">
        <f ca="1">IFERROR(__xludf.DUMMYFUNCTION("""COMPUTED_VALUE"""),-16.97)</f>
        <v>-16.97</v>
      </c>
      <c r="U213" s="1">
        <f ca="1">IFERROR(__xludf.DUMMYFUNCTION("""COMPUTED_VALUE"""),350)</f>
        <v>350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IFERROR(__xludf.DUMMYFUNCTION("""COMPUTED_VALUE"""),"Colgate")</f>
        <v>Colgate</v>
      </c>
      <c r="C214" s="1" t="str">
        <f ca="1">IFERROR(__xludf.DUMMYFUNCTION("""COMPUTED_VALUE"""),"Pat")</f>
        <v>Pat</v>
      </c>
      <c r="D214" s="1" t="str">
        <f ca="1">IFERROR(__xludf.DUMMYFUNCTION("""COMPUTED_VALUE"""),"19-14")</f>
        <v>19-14</v>
      </c>
      <c r="E214" s="1">
        <f ca="1">IFERROR(__xludf.DUMMYFUNCTION("""COMPUTED_VALUE"""),-3.72)</f>
        <v>-3.72</v>
      </c>
      <c r="F214" s="1">
        <f ca="1">IFERROR(__xludf.DUMMYFUNCTION("""COMPUTED_VALUE"""),105)</f>
        <v>105</v>
      </c>
      <c r="G214" s="1">
        <f ca="1">IFERROR(__xludf.DUMMYFUNCTION("""COMPUTED_VALUE"""),170)</f>
        <v>170</v>
      </c>
      <c r="H214" s="1">
        <f ca="1">IFERROR(__xludf.DUMMYFUNCTION("""COMPUTED_VALUE"""),108.7)</f>
        <v>108.7</v>
      </c>
      <c r="I214" s="1">
        <f ca="1">IFERROR(__xludf.DUMMYFUNCTION("""COMPUTED_VALUE"""),252)</f>
        <v>252</v>
      </c>
      <c r="J214" s="1">
        <f ca="1">IFERROR(__xludf.DUMMYFUNCTION("""COMPUTED_VALUE"""),66.6)</f>
        <v>66.599999999999994</v>
      </c>
      <c r="K214" s="1">
        <f ca="1">IFERROR(__xludf.DUMMYFUNCTION("""COMPUTED_VALUE"""),254)</f>
        <v>254</v>
      </c>
      <c r="L214" s="1" t="str">
        <f ca="1">IFERROR(__xludf.DUMMYFUNCTION("""COMPUTED_VALUE"""),"+.030")</f>
        <v>+.030</v>
      </c>
      <c r="M214" s="1">
        <f ca="1">IFERROR(__xludf.DUMMYFUNCTION("""COMPUTED_VALUE"""),100)</f>
        <v>100</v>
      </c>
      <c r="N214" s="1">
        <f ca="1">IFERROR(__xludf.DUMMYFUNCTION("""COMPUTED_VALUE"""),-6.25)</f>
        <v>-6.25</v>
      </c>
      <c r="O214" s="1">
        <f ca="1">IFERROR(__xludf.DUMMYFUNCTION("""COMPUTED_VALUE"""),303)</f>
        <v>303</v>
      </c>
      <c r="P214" s="1">
        <f ca="1">IFERROR(__xludf.DUMMYFUNCTION("""COMPUTED_VALUE"""),101.7)</f>
        <v>101.7</v>
      </c>
      <c r="Q214" s="1">
        <f ca="1">IFERROR(__xludf.DUMMYFUNCTION("""COMPUTED_VALUE"""),298)</f>
        <v>298</v>
      </c>
      <c r="R214" s="1">
        <f ca="1">IFERROR(__xludf.DUMMYFUNCTION("""COMPUTED_VALUE"""),108)</f>
        <v>108</v>
      </c>
      <c r="S214" s="1">
        <f ca="1">IFERROR(__xludf.DUMMYFUNCTION("""COMPUTED_VALUE"""),305)</f>
        <v>305</v>
      </c>
      <c r="T214" s="1">
        <f ca="1">IFERROR(__xludf.DUMMYFUNCTION("""COMPUTED_VALUE"""),-2.44)</f>
        <v>-2.44</v>
      </c>
      <c r="U214" s="1">
        <f ca="1">IFERROR(__xludf.DUMMYFUNCTION("""COMPUTED_VALUE"""),230)</f>
        <v>230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IFERROR(__xludf.DUMMYFUNCTION("""COMPUTED_VALUE"""),"Lamar")</f>
        <v>Lamar</v>
      </c>
      <c r="C215" s="1" t="str">
        <f ca="1">IFERROR(__xludf.DUMMYFUNCTION("""COMPUTED_VALUE"""),"Slnd")</f>
        <v>Slnd</v>
      </c>
      <c r="D215" s="1" t="str">
        <f ca="1">IFERROR(__xludf.DUMMYFUNCTION("""COMPUTED_VALUE"""),"19-14")</f>
        <v>19-14</v>
      </c>
      <c r="E215" s="1">
        <f ca="1">IFERROR(__xludf.DUMMYFUNCTION("""COMPUTED_VALUE"""),-3.72)</f>
        <v>-3.72</v>
      </c>
      <c r="F215" s="1">
        <f ca="1">IFERROR(__xludf.DUMMYFUNCTION("""COMPUTED_VALUE"""),101.6)</f>
        <v>101.6</v>
      </c>
      <c r="G215" s="1">
        <f ca="1">IFERROR(__xludf.DUMMYFUNCTION("""COMPUTED_VALUE"""),239)</f>
        <v>239</v>
      </c>
      <c r="H215" s="1">
        <f ca="1">IFERROR(__xludf.DUMMYFUNCTION("""COMPUTED_VALUE"""),105.3)</f>
        <v>105.3</v>
      </c>
      <c r="I215" s="1">
        <f ca="1">IFERROR(__xludf.DUMMYFUNCTION("""COMPUTED_VALUE"""),177)</f>
        <v>177</v>
      </c>
      <c r="J215" s="1">
        <f ca="1">IFERROR(__xludf.DUMMYFUNCTION("""COMPUTED_VALUE"""),67.8)</f>
        <v>67.8</v>
      </c>
      <c r="K215" s="1">
        <f ca="1">IFERROR(__xludf.DUMMYFUNCTION("""COMPUTED_VALUE"""),195)</f>
        <v>195</v>
      </c>
      <c r="L215" s="1">
        <f ca="1">IFERROR(__xludf.DUMMYFUNCTION("""COMPUTED_VALUE"""),-0.059)</f>
        <v>-5.8999999999999997E-2</v>
      </c>
      <c r="M215" s="1">
        <f ca="1">IFERROR(__xludf.DUMMYFUNCTION("""COMPUTED_VALUE"""),311)</f>
        <v>311</v>
      </c>
      <c r="N215" s="1">
        <f ca="1">IFERROR(__xludf.DUMMYFUNCTION("""COMPUTED_VALUE"""),-6.97)</f>
        <v>-6.97</v>
      </c>
      <c r="O215" s="1">
        <f ca="1">IFERROR(__xludf.DUMMYFUNCTION("""COMPUTED_VALUE"""),318)</f>
        <v>318</v>
      </c>
      <c r="P215" s="1">
        <f ca="1">IFERROR(__xludf.DUMMYFUNCTION("""COMPUTED_VALUE"""),100.5)</f>
        <v>100.5</v>
      </c>
      <c r="Q215" s="1">
        <f ca="1">IFERROR(__xludf.DUMMYFUNCTION("""COMPUTED_VALUE"""),331)</f>
        <v>331</v>
      </c>
      <c r="R215" s="1">
        <f ca="1">IFERROR(__xludf.DUMMYFUNCTION("""COMPUTED_VALUE"""),107.5)</f>
        <v>107.5</v>
      </c>
      <c r="S215" s="1">
        <f ca="1">IFERROR(__xludf.DUMMYFUNCTION("""COMPUTED_VALUE"""),276)</f>
        <v>276</v>
      </c>
      <c r="T215" s="1">
        <f ca="1">IFERROR(__xludf.DUMMYFUNCTION("""COMPUTED_VALUE"""),-1.75)</f>
        <v>-1.75</v>
      </c>
      <c r="U215" s="1">
        <f ca="1">IFERROR(__xludf.DUMMYFUNCTION("""COMPUTED_VALUE"""),205)</f>
        <v>205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IFERROR(__xludf.DUMMYFUNCTION("""COMPUTED_VALUE"""),"Sam Houston St.")</f>
        <v>Sam Houston St.</v>
      </c>
      <c r="C216" s="1" t="str">
        <f ca="1">IFERROR(__xludf.DUMMYFUNCTION("""COMPUTED_VALUE"""),"Slnd")</f>
        <v>Slnd</v>
      </c>
      <c r="D216" s="1" t="str">
        <f ca="1">IFERROR(__xludf.DUMMYFUNCTION("""COMPUTED_VALUE"""),"21-15")</f>
        <v>21-15</v>
      </c>
      <c r="E216" s="1">
        <f ca="1">IFERROR(__xludf.DUMMYFUNCTION("""COMPUTED_VALUE"""),-3.77)</f>
        <v>-3.77</v>
      </c>
      <c r="F216" s="1">
        <f ca="1">IFERROR(__xludf.DUMMYFUNCTION("""COMPUTED_VALUE"""),102.1)</f>
        <v>102.1</v>
      </c>
      <c r="G216" s="1">
        <f ca="1">IFERROR(__xludf.DUMMYFUNCTION("""COMPUTED_VALUE"""),224)</f>
        <v>224</v>
      </c>
      <c r="H216" s="1">
        <f ca="1">IFERROR(__xludf.DUMMYFUNCTION("""COMPUTED_VALUE"""),105.9)</f>
        <v>105.9</v>
      </c>
      <c r="I216" s="1">
        <f ca="1">IFERROR(__xludf.DUMMYFUNCTION("""COMPUTED_VALUE"""),187)</f>
        <v>187</v>
      </c>
      <c r="J216" s="1">
        <f ca="1">IFERROR(__xludf.DUMMYFUNCTION("""COMPUTED_VALUE"""),67.2)</f>
        <v>67.2</v>
      </c>
      <c r="K216" s="1">
        <f ca="1">IFERROR(__xludf.DUMMYFUNCTION("""COMPUTED_VALUE"""),221)</f>
        <v>221</v>
      </c>
      <c r="L216" s="1" t="str">
        <f ca="1">IFERROR(__xludf.DUMMYFUNCTION("""COMPUTED_VALUE"""),"+.040")</f>
        <v>+.040</v>
      </c>
      <c r="M216" s="1">
        <f ca="1">IFERROR(__xludf.DUMMYFUNCTION("""COMPUTED_VALUE"""),77)</f>
        <v>77</v>
      </c>
      <c r="N216" s="1">
        <f ca="1">IFERROR(__xludf.DUMMYFUNCTION("""COMPUTED_VALUE"""),-4.27)</f>
        <v>-4.2699999999999996</v>
      </c>
      <c r="O216" s="1">
        <f ca="1">IFERROR(__xludf.DUMMYFUNCTION("""COMPUTED_VALUE"""),266)</f>
        <v>266</v>
      </c>
      <c r="P216" s="1">
        <f ca="1">IFERROR(__xludf.DUMMYFUNCTION("""COMPUTED_VALUE"""),102.3)</f>
        <v>102.3</v>
      </c>
      <c r="Q216" s="1">
        <f ca="1">IFERROR(__xludf.DUMMYFUNCTION("""COMPUTED_VALUE"""),284)</f>
        <v>284</v>
      </c>
      <c r="R216" s="1">
        <f ca="1">IFERROR(__xludf.DUMMYFUNCTION("""COMPUTED_VALUE"""),106.6)</f>
        <v>106.6</v>
      </c>
      <c r="S216" s="1">
        <f ca="1">IFERROR(__xludf.DUMMYFUNCTION("""COMPUTED_VALUE"""),232)</f>
        <v>232</v>
      </c>
      <c r="T216" s="1" t="str">
        <f ca="1">IFERROR(__xludf.DUMMYFUNCTION("""COMPUTED_VALUE"""),"+4.15")</f>
        <v>+4.15</v>
      </c>
      <c r="U216" s="1">
        <f ca="1">IFERROR(__xludf.DUMMYFUNCTION("""COMPUTED_VALUE"""),55)</f>
        <v>55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IFERROR(__xludf.DUMMYFUNCTION("""COMPUTED_VALUE"""),"Niagara")</f>
        <v>Niagara</v>
      </c>
      <c r="C217" s="1" t="str">
        <f ca="1">IFERROR(__xludf.DUMMYFUNCTION("""COMPUTED_VALUE"""),"MAAC")</f>
        <v>MAAC</v>
      </c>
      <c r="D217" s="1" t="str">
        <f ca="1">IFERROR(__xludf.DUMMYFUNCTION("""COMPUTED_VALUE"""),"19-14")</f>
        <v>19-14</v>
      </c>
      <c r="E217" s="1">
        <f ca="1">IFERROR(__xludf.DUMMYFUNCTION("""COMPUTED_VALUE"""),-3.99)</f>
        <v>-3.99</v>
      </c>
      <c r="F217" s="1">
        <f ca="1">IFERROR(__xludf.DUMMYFUNCTION("""COMPUTED_VALUE"""),109.5)</f>
        <v>109.5</v>
      </c>
      <c r="G217" s="1">
        <f ca="1">IFERROR(__xludf.DUMMYFUNCTION("""COMPUTED_VALUE"""),88)</f>
        <v>88</v>
      </c>
      <c r="H217" s="1">
        <f ca="1">IFERROR(__xludf.DUMMYFUNCTION("""COMPUTED_VALUE"""),113.5)</f>
        <v>113.5</v>
      </c>
      <c r="I217" s="1">
        <f ca="1">IFERROR(__xludf.DUMMYFUNCTION("""COMPUTED_VALUE"""),323)</f>
        <v>323</v>
      </c>
      <c r="J217" s="1">
        <f ca="1">IFERROR(__xludf.DUMMYFUNCTION("""COMPUTED_VALUE"""),73.7)</f>
        <v>73.7</v>
      </c>
      <c r="K217" s="1">
        <f ca="1">IFERROR(__xludf.DUMMYFUNCTION("""COMPUTED_VALUE"""),10)</f>
        <v>10</v>
      </c>
      <c r="L217" s="1" t="str">
        <f ca="1">IFERROR(__xludf.DUMMYFUNCTION("""COMPUTED_VALUE"""),"+.090")</f>
        <v>+.090</v>
      </c>
      <c r="M217" s="1">
        <f ca="1">IFERROR(__xludf.DUMMYFUNCTION("""COMPUTED_VALUE"""),18)</f>
        <v>18</v>
      </c>
      <c r="N217" s="1">
        <f ca="1">IFERROR(__xludf.DUMMYFUNCTION("""COMPUTED_VALUE"""),-4.08)</f>
        <v>-4.08</v>
      </c>
      <c r="O217" s="1">
        <f ca="1">IFERROR(__xludf.DUMMYFUNCTION("""COMPUTED_VALUE"""),258)</f>
        <v>258</v>
      </c>
      <c r="P217" s="1">
        <f ca="1">IFERROR(__xludf.DUMMYFUNCTION("""COMPUTED_VALUE"""),102.6)</f>
        <v>102.6</v>
      </c>
      <c r="Q217" s="1">
        <f ca="1">IFERROR(__xludf.DUMMYFUNCTION("""COMPUTED_VALUE"""),269)</f>
        <v>269</v>
      </c>
      <c r="R217" s="1">
        <f ca="1">IFERROR(__xludf.DUMMYFUNCTION("""COMPUTED_VALUE"""),106.7)</f>
        <v>106.7</v>
      </c>
      <c r="S217" s="1">
        <f ca="1">IFERROR(__xludf.DUMMYFUNCTION("""COMPUTED_VALUE"""),242)</f>
        <v>242</v>
      </c>
      <c r="T217" s="1">
        <f ca="1">IFERROR(__xludf.DUMMYFUNCTION("""COMPUTED_VALUE"""),-3.49)</f>
        <v>-3.49</v>
      </c>
      <c r="U217" s="1">
        <f ca="1">IFERROR(__xludf.DUMMYFUNCTION("""COMPUTED_VALUE"""),274)</f>
        <v>274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IFERROR(__xludf.DUMMYFUNCTION("""COMPUTED_VALUE"""),"Southern Miss")</f>
        <v>Southern Miss</v>
      </c>
      <c r="C218" s="1" t="str">
        <f ca="1">IFERROR(__xludf.DUMMYFUNCTION("""COMPUTED_VALUE"""),"CUSA")</f>
        <v>CUSA</v>
      </c>
      <c r="D218" s="1" t="str">
        <f ca="1">IFERROR(__xludf.DUMMYFUNCTION("""COMPUTED_VALUE"""),"16-18")</f>
        <v>16-18</v>
      </c>
      <c r="E218" s="1">
        <f ca="1">IFERROR(__xludf.DUMMYFUNCTION("""COMPUTED_VALUE"""),-4.04)</f>
        <v>-4.04</v>
      </c>
      <c r="F218" s="1">
        <f ca="1">IFERROR(__xludf.DUMMYFUNCTION("""COMPUTED_VALUE"""),105.8)</f>
        <v>105.8</v>
      </c>
      <c r="G218" s="1">
        <f ca="1">IFERROR(__xludf.DUMMYFUNCTION("""COMPUTED_VALUE"""),154)</f>
        <v>154</v>
      </c>
      <c r="H218" s="1">
        <f ca="1">IFERROR(__xludf.DUMMYFUNCTION("""COMPUTED_VALUE"""),109.9)</f>
        <v>109.9</v>
      </c>
      <c r="I218" s="1">
        <f ca="1">IFERROR(__xludf.DUMMYFUNCTION("""COMPUTED_VALUE"""),271)</f>
        <v>271</v>
      </c>
      <c r="J218" s="1">
        <f ca="1">IFERROR(__xludf.DUMMYFUNCTION("""COMPUTED_VALUE"""),65.4)</f>
        <v>65.400000000000006</v>
      </c>
      <c r="K218" s="1">
        <f ca="1">IFERROR(__xludf.DUMMYFUNCTION("""COMPUTED_VALUE"""),311)</f>
        <v>311</v>
      </c>
      <c r="L218" s="1" t="str">
        <f ca="1">IFERROR(__xludf.DUMMYFUNCTION("""COMPUTED_VALUE"""),"+.037")</f>
        <v>+.037</v>
      </c>
      <c r="M218" s="1">
        <f ca="1">IFERROR(__xludf.DUMMYFUNCTION("""COMPUTED_VALUE"""),84)</f>
        <v>84</v>
      </c>
      <c r="N218" s="1" t="str">
        <f ca="1">IFERROR(__xludf.DUMMYFUNCTION("""COMPUTED_VALUE"""),"+2.40")</f>
        <v>+2.40</v>
      </c>
      <c r="O218" s="1">
        <f ca="1">IFERROR(__xludf.DUMMYFUNCTION("""COMPUTED_VALUE"""),101)</f>
        <v>101</v>
      </c>
      <c r="P218" s="1">
        <f ca="1">IFERROR(__xludf.DUMMYFUNCTION("""COMPUTED_VALUE"""),105.3)</f>
        <v>105.3</v>
      </c>
      <c r="Q218" s="1">
        <f ca="1">IFERROR(__xludf.DUMMYFUNCTION("""COMPUTED_VALUE"""),139)</f>
        <v>139</v>
      </c>
      <c r="R218" s="1">
        <f ca="1">IFERROR(__xludf.DUMMYFUNCTION("""COMPUTED_VALUE"""),102.9)</f>
        <v>102.9</v>
      </c>
      <c r="S218" s="1">
        <f ca="1">IFERROR(__xludf.DUMMYFUNCTION("""COMPUTED_VALUE"""),79)</f>
        <v>79</v>
      </c>
      <c r="T218" s="1" t="str">
        <f ca="1">IFERROR(__xludf.DUMMYFUNCTION("""COMPUTED_VALUE"""),"+4.36")</f>
        <v>+4.36</v>
      </c>
      <c r="U218" s="1">
        <f ca="1">IFERROR(__xludf.DUMMYFUNCTION("""COMPUTED_VALUE"""),50)</f>
        <v>50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IFERROR(__xludf.DUMMYFUNCTION("""COMPUTED_VALUE"""),"Massachusetts")</f>
        <v>Massachusetts</v>
      </c>
      <c r="C219" s="1" t="str">
        <f ca="1">IFERROR(__xludf.DUMMYFUNCTION("""COMPUTED_VALUE"""),"A10")</f>
        <v>A10</v>
      </c>
      <c r="D219" s="1" t="str">
        <f ca="1">IFERROR(__xludf.DUMMYFUNCTION("""COMPUTED_VALUE"""),"13-20")</f>
        <v>13-20</v>
      </c>
      <c r="E219" s="1">
        <f ca="1">IFERROR(__xludf.DUMMYFUNCTION("""COMPUTED_VALUE"""),-4.09)</f>
        <v>-4.09</v>
      </c>
      <c r="F219" s="1">
        <f ca="1">IFERROR(__xludf.DUMMYFUNCTION("""COMPUTED_VALUE"""),106.4)</f>
        <v>106.4</v>
      </c>
      <c r="G219" s="1">
        <f ca="1">IFERROR(__xludf.DUMMYFUNCTION("""COMPUTED_VALUE"""),142)</f>
        <v>142</v>
      </c>
      <c r="H219" s="1">
        <f ca="1">IFERROR(__xludf.DUMMYFUNCTION("""COMPUTED_VALUE"""),110.5)</f>
        <v>110.5</v>
      </c>
      <c r="I219" s="1">
        <f ca="1">IFERROR(__xludf.DUMMYFUNCTION("""COMPUTED_VALUE"""),285)</f>
        <v>285</v>
      </c>
      <c r="J219" s="1">
        <f ca="1">IFERROR(__xludf.DUMMYFUNCTION("""COMPUTED_VALUE"""),66.4)</f>
        <v>66.400000000000006</v>
      </c>
      <c r="K219" s="1">
        <f ca="1">IFERROR(__xludf.DUMMYFUNCTION("""COMPUTED_VALUE"""),264)</f>
        <v>264</v>
      </c>
      <c r="L219" s="1">
        <f ca="1">IFERROR(__xludf.DUMMYFUNCTION("""COMPUTED_VALUE"""),-0.013)</f>
        <v>-1.2999999999999999E-2</v>
      </c>
      <c r="M219" s="1">
        <f ca="1">IFERROR(__xludf.DUMMYFUNCTION("""COMPUTED_VALUE"""),212)</f>
        <v>212</v>
      </c>
      <c r="N219" s="1">
        <f ca="1">IFERROR(__xludf.DUMMYFUNCTION("""COMPUTED_VALUE"""),-0.54)</f>
        <v>-0.54</v>
      </c>
      <c r="O219" s="1">
        <f ca="1">IFERROR(__xludf.DUMMYFUNCTION("""COMPUTED_VALUE"""),149)</f>
        <v>149</v>
      </c>
      <c r="P219" s="1">
        <f ca="1">IFERROR(__xludf.DUMMYFUNCTION("""COMPUTED_VALUE"""),104.3)</f>
        <v>104.3</v>
      </c>
      <c r="Q219" s="1">
        <f ca="1">IFERROR(__xludf.DUMMYFUNCTION("""COMPUTED_VALUE"""),182)</f>
        <v>182</v>
      </c>
      <c r="R219" s="1">
        <f ca="1">IFERROR(__xludf.DUMMYFUNCTION("""COMPUTED_VALUE"""),104.8)</f>
        <v>104.8</v>
      </c>
      <c r="S219" s="1">
        <f ca="1">IFERROR(__xludf.DUMMYFUNCTION("""COMPUTED_VALUE"""),129)</f>
        <v>129</v>
      </c>
      <c r="T219" s="1">
        <f ca="1">IFERROR(__xludf.DUMMYFUNCTION("""COMPUTED_VALUE"""),-3.17)</f>
        <v>-3.17</v>
      </c>
      <c r="U219" s="1">
        <f ca="1">IFERROR(__xludf.DUMMYFUNCTION("""COMPUTED_VALUE"""),259)</f>
        <v>259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IFERROR(__xludf.DUMMYFUNCTION("""COMPUTED_VALUE"""),"Appalachian St.")</f>
        <v>Appalachian St.</v>
      </c>
      <c r="C220" s="1" t="str">
        <f ca="1">IFERROR(__xludf.DUMMYFUNCTION("""COMPUTED_VALUE"""),"SB")</f>
        <v>SB</v>
      </c>
      <c r="D220" s="1" t="str">
        <f ca="1">IFERROR(__xludf.DUMMYFUNCTION("""COMPUTED_VALUE"""),"15-18")</f>
        <v>15-18</v>
      </c>
      <c r="E220" s="1">
        <f ca="1">IFERROR(__xludf.DUMMYFUNCTION("""COMPUTED_VALUE"""),-4.11)</f>
        <v>-4.1100000000000003</v>
      </c>
      <c r="F220" s="1">
        <f ca="1">IFERROR(__xludf.DUMMYFUNCTION("""COMPUTED_VALUE"""),103.4)</f>
        <v>103.4</v>
      </c>
      <c r="G220" s="1">
        <f ca="1">IFERROR(__xludf.DUMMYFUNCTION("""COMPUTED_VALUE"""),199)</f>
        <v>199</v>
      </c>
      <c r="H220" s="1">
        <f ca="1">IFERROR(__xludf.DUMMYFUNCTION("""COMPUTED_VALUE"""),107.5)</f>
        <v>107.5</v>
      </c>
      <c r="I220" s="1">
        <f ca="1">IFERROR(__xludf.DUMMYFUNCTION("""COMPUTED_VALUE"""),224)</f>
        <v>224</v>
      </c>
      <c r="J220" s="1">
        <f ca="1">IFERROR(__xludf.DUMMYFUNCTION("""COMPUTED_VALUE"""),70.1)</f>
        <v>70.099999999999994</v>
      </c>
      <c r="K220" s="1">
        <f ca="1">IFERROR(__xludf.DUMMYFUNCTION("""COMPUTED_VALUE"""),75)</f>
        <v>75</v>
      </c>
      <c r="L220" s="1">
        <f ca="1">IFERROR(__xludf.DUMMYFUNCTION("""COMPUTED_VALUE"""),-0.026)</f>
        <v>-2.5999999999999999E-2</v>
      </c>
      <c r="M220" s="1">
        <f ca="1">IFERROR(__xludf.DUMMYFUNCTION("""COMPUTED_VALUE"""),256)</f>
        <v>256</v>
      </c>
      <c r="N220" s="1">
        <f ca="1">IFERROR(__xludf.DUMMYFUNCTION("""COMPUTED_VALUE"""),-2.58)</f>
        <v>-2.58</v>
      </c>
      <c r="O220" s="1">
        <f ca="1">IFERROR(__xludf.DUMMYFUNCTION("""COMPUTED_VALUE"""),210)</f>
        <v>210</v>
      </c>
      <c r="P220" s="1">
        <f ca="1">IFERROR(__xludf.DUMMYFUNCTION("""COMPUTED_VALUE"""),103)</f>
        <v>103</v>
      </c>
      <c r="Q220" s="1">
        <f ca="1">IFERROR(__xludf.DUMMYFUNCTION("""COMPUTED_VALUE"""),248)</f>
        <v>248</v>
      </c>
      <c r="R220" s="1">
        <f ca="1">IFERROR(__xludf.DUMMYFUNCTION("""COMPUTED_VALUE"""),105.6)</f>
        <v>105.6</v>
      </c>
      <c r="S220" s="1">
        <f ca="1">IFERROR(__xludf.DUMMYFUNCTION("""COMPUTED_VALUE"""),168)</f>
        <v>168</v>
      </c>
      <c r="T220" s="1">
        <f ca="1">IFERROR(__xludf.DUMMYFUNCTION("""COMPUTED_VALUE"""),-0.19)</f>
        <v>-0.19</v>
      </c>
      <c r="U220" s="1">
        <f ca="1">IFERROR(__xludf.DUMMYFUNCTION("""COMPUTED_VALUE"""),162)</f>
        <v>162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IFERROR(__xludf.DUMMYFUNCTION("""COMPUTED_VALUE"""),"Coastal Carolina")</f>
        <v>Coastal Carolina</v>
      </c>
      <c r="C221" s="1" t="str">
        <f ca="1">IFERROR(__xludf.DUMMYFUNCTION("""COMPUTED_VALUE"""),"SB")</f>
        <v>SB</v>
      </c>
      <c r="D221" s="1" t="str">
        <f ca="1">IFERROR(__xludf.DUMMYFUNCTION("""COMPUTED_VALUE"""),"14-18")</f>
        <v>14-18</v>
      </c>
      <c r="E221" s="1">
        <f ca="1">IFERROR(__xludf.DUMMYFUNCTION("""COMPUTED_VALUE"""),-4.19)</f>
        <v>-4.1900000000000004</v>
      </c>
      <c r="F221" s="1">
        <f ca="1">IFERROR(__xludf.DUMMYFUNCTION("""COMPUTED_VALUE"""),101.8)</f>
        <v>101.8</v>
      </c>
      <c r="G221" s="1">
        <f ca="1">IFERROR(__xludf.DUMMYFUNCTION("""COMPUTED_VALUE"""),235)</f>
        <v>235</v>
      </c>
      <c r="H221" s="1">
        <f ca="1">IFERROR(__xludf.DUMMYFUNCTION("""COMPUTED_VALUE"""),105.9)</f>
        <v>105.9</v>
      </c>
      <c r="I221" s="1">
        <f ca="1">IFERROR(__xludf.DUMMYFUNCTION("""COMPUTED_VALUE"""),189)</f>
        <v>189</v>
      </c>
      <c r="J221" s="1">
        <f ca="1">IFERROR(__xludf.DUMMYFUNCTION("""COMPUTED_VALUE"""),67.8)</f>
        <v>67.8</v>
      </c>
      <c r="K221" s="1">
        <f ca="1">IFERROR(__xludf.DUMMYFUNCTION("""COMPUTED_VALUE"""),194)</f>
        <v>194</v>
      </c>
      <c r="L221" s="1">
        <f ca="1">IFERROR(__xludf.DUMMYFUNCTION("""COMPUTED_VALUE"""),-0.052)</f>
        <v>-5.1999999999999998E-2</v>
      </c>
      <c r="M221" s="1">
        <f ca="1">IFERROR(__xludf.DUMMYFUNCTION("""COMPUTED_VALUE"""),299)</f>
        <v>299</v>
      </c>
      <c r="N221" s="1">
        <f ca="1">IFERROR(__xludf.DUMMYFUNCTION("""COMPUTED_VALUE"""),-2.25)</f>
        <v>-2.25</v>
      </c>
      <c r="O221" s="1">
        <f ca="1">IFERROR(__xludf.DUMMYFUNCTION("""COMPUTED_VALUE"""),200)</f>
        <v>200</v>
      </c>
      <c r="P221" s="1">
        <f ca="1">IFERROR(__xludf.DUMMYFUNCTION("""COMPUTED_VALUE"""),103.5)</f>
        <v>103.5</v>
      </c>
      <c r="Q221" s="1">
        <f ca="1">IFERROR(__xludf.DUMMYFUNCTION("""COMPUTED_VALUE"""),215)</f>
        <v>215</v>
      </c>
      <c r="R221" s="1">
        <f ca="1">IFERROR(__xludf.DUMMYFUNCTION("""COMPUTED_VALUE"""),105.8)</f>
        <v>105.8</v>
      </c>
      <c r="S221" s="1">
        <f ca="1">IFERROR(__xludf.DUMMYFUNCTION("""COMPUTED_VALUE"""),180)</f>
        <v>180</v>
      </c>
      <c r="T221" s="1" t="str">
        <f ca="1">IFERROR(__xludf.DUMMYFUNCTION("""COMPUTED_VALUE"""),"+0.76")</f>
        <v>+0.76</v>
      </c>
      <c r="U221" s="1">
        <f ca="1">IFERROR(__xludf.DUMMYFUNCTION("""COMPUTED_VALUE"""),142)</f>
        <v>142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IFERROR(__xludf.DUMMYFUNCTION("""COMPUTED_VALUE"""),"Denver")</f>
        <v>Denver</v>
      </c>
      <c r="C222" s="1" t="str">
        <f ca="1">IFERROR(__xludf.DUMMYFUNCTION("""COMPUTED_VALUE"""),"Sum")</f>
        <v>Sum</v>
      </c>
      <c r="D222" s="1" t="str">
        <f ca="1">IFERROR(__xludf.DUMMYFUNCTION("""COMPUTED_VALUE"""),"15-15")</f>
        <v>15-15</v>
      </c>
      <c r="E222" s="1">
        <f ca="1">IFERROR(__xludf.DUMMYFUNCTION("""COMPUTED_VALUE"""),-4.23)</f>
        <v>-4.2300000000000004</v>
      </c>
      <c r="F222" s="1">
        <f ca="1">IFERROR(__xludf.DUMMYFUNCTION("""COMPUTED_VALUE"""),102.6)</f>
        <v>102.6</v>
      </c>
      <c r="G222" s="1">
        <f ca="1">IFERROR(__xludf.DUMMYFUNCTION("""COMPUTED_VALUE"""),217)</f>
        <v>217</v>
      </c>
      <c r="H222" s="1">
        <f ca="1">IFERROR(__xludf.DUMMYFUNCTION("""COMPUTED_VALUE"""),106.8)</f>
        <v>106.8</v>
      </c>
      <c r="I222" s="1">
        <f ca="1">IFERROR(__xludf.DUMMYFUNCTION("""COMPUTED_VALUE"""),203)</f>
        <v>203</v>
      </c>
      <c r="J222" s="1">
        <f ca="1">IFERROR(__xludf.DUMMYFUNCTION("""COMPUTED_VALUE"""),66.4)</f>
        <v>66.400000000000006</v>
      </c>
      <c r="K222" s="1">
        <f ca="1">IFERROR(__xludf.DUMMYFUNCTION("""COMPUTED_VALUE"""),265)</f>
        <v>265</v>
      </c>
      <c r="L222" s="1" t="str">
        <f ca="1">IFERROR(__xludf.DUMMYFUNCTION("""COMPUTED_VALUE"""),"+.026")</f>
        <v>+.026</v>
      </c>
      <c r="M222" s="1">
        <f ca="1">IFERROR(__xludf.DUMMYFUNCTION("""COMPUTED_VALUE"""),109)</f>
        <v>109</v>
      </c>
      <c r="N222" s="1">
        <f ca="1">IFERROR(__xludf.DUMMYFUNCTION("""COMPUTED_VALUE"""),-2.09)</f>
        <v>-2.09</v>
      </c>
      <c r="O222" s="1">
        <f ca="1">IFERROR(__xludf.DUMMYFUNCTION("""COMPUTED_VALUE"""),194)</f>
        <v>194</v>
      </c>
      <c r="P222" s="1">
        <f ca="1">IFERROR(__xludf.DUMMYFUNCTION("""COMPUTED_VALUE"""),104.6)</f>
        <v>104.6</v>
      </c>
      <c r="Q222" s="1">
        <f ca="1">IFERROR(__xludf.DUMMYFUNCTION("""COMPUTED_VALUE"""),169)</f>
        <v>169</v>
      </c>
      <c r="R222" s="1">
        <f ca="1">IFERROR(__xludf.DUMMYFUNCTION("""COMPUTED_VALUE"""),106.6)</f>
        <v>106.6</v>
      </c>
      <c r="S222" s="1">
        <f ca="1">IFERROR(__xludf.DUMMYFUNCTION("""COMPUTED_VALUE"""),236)</f>
        <v>236</v>
      </c>
      <c r="T222" s="1">
        <f ca="1">IFERROR(__xludf.DUMMYFUNCTION("""COMPUTED_VALUE"""),-3.34)</f>
        <v>-3.34</v>
      </c>
      <c r="U222" s="1">
        <f ca="1">IFERROR(__xludf.DUMMYFUNCTION("""COMPUTED_VALUE"""),264)</f>
        <v>264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IFERROR(__xludf.DUMMYFUNCTION("""COMPUTED_VALUE"""),"Kent St.")</f>
        <v>Kent St.</v>
      </c>
      <c r="C223" s="1" t="str">
        <f ca="1">IFERROR(__xludf.DUMMYFUNCTION("""COMPUTED_VALUE"""),"MAC")</f>
        <v>MAC</v>
      </c>
      <c r="D223" s="1" t="str">
        <f ca="1">IFERROR(__xludf.DUMMYFUNCTION("""COMPUTED_VALUE"""),"17-17")</f>
        <v>17-17</v>
      </c>
      <c r="E223" s="1">
        <f ca="1">IFERROR(__xludf.DUMMYFUNCTION("""COMPUTED_VALUE"""),-4.34)</f>
        <v>-4.34</v>
      </c>
      <c r="F223" s="1">
        <f ca="1">IFERROR(__xludf.DUMMYFUNCTION("""COMPUTED_VALUE"""),102.1)</f>
        <v>102.1</v>
      </c>
      <c r="G223" s="1">
        <f ca="1">IFERROR(__xludf.DUMMYFUNCTION("""COMPUTED_VALUE"""),227)</f>
        <v>227</v>
      </c>
      <c r="H223" s="1">
        <f ca="1">IFERROR(__xludf.DUMMYFUNCTION("""COMPUTED_VALUE"""),106.4)</f>
        <v>106.4</v>
      </c>
      <c r="I223" s="1">
        <f ca="1">IFERROR(__xludf.DUMMYFUNCTION("""COMPUTED_VALUE"""),194)</f>
        <v>194</v>
      </c>
      <c r="J223" s="1">
        <f ca="1">IFERROR(__xludf.DUMMYFUNCTION("""COMPUTED_VALUE"""),68.7)</f>
        <v>68.7</v>
      </c>
      <c r="K223" s="1">
        <f ca="1">IFERROR(__xludf.DUMMYFUNCTION("""COMPUTED_VALUE"""),152)</f>
        <v>152</v>
      </c>
      <c r="L223" s="1" t="str">
        <f ca="1">IFERROR(__xludf.DUMMYFUNCTION("""COMPUTED_VALUE"""),"+.066")</f>
        <v>+.066</v>
      </c>
      <c r="M223" s="1">
        <f ca="1">IFERROR(__xludf.DUMMYFUNCTION("""COMPUTED_VALUE"""),40)</f>
        <v>40</v>
      </c>
      <c r="N223" s="1">
        <f ca="1">IFERROR(__xludf.DUMMYFUNCTION("""COMPUTED_VALUE"""),-1.69)</f>
        <v>-1.69</v>
      </c>
      <c r="O223" s="1">
        <f ca="1">IFERROR(__xludf.DUMMYFUNCTION("""COMPUTED_VALUE"""),178)</f>
        <v>178</v>
      </c>
      <c r="P223" s="1">
        <f ca="1">IFERROR(__xludf.DUMMYFUNCTION("""COMPUTED_VALUE"""),104.3)</f>
        <v>104.3</v>
      </c>
      <c r="Q223" s="1">
        <f ca="1">IFERROR(__xludf.DUMMYFUNCTION("""COMPUTED_VALUE"""),180)</f>
        <v>180</v>
      </c>
      <c r="R223" s="1">
        <f ca="1">IFERROR(__xludf.DUMMYFUNCTION("""COMPUTED_VALUE"""),106)</f>
        <v>106</v>
      </c>
      <c r="S223" s="1">
        <f ca="1">IFERROR(__xludf.DUMMYFUNCTION("""COMPUTED_VALUE"""),193)</f>
        <v>193</v>
      </c>
      <c r="T223" s="1">
        <f ca="1">IFERROR(__xludf.DUMMYFUNCTION("""COMPUTED_VALUE"""),-1.86)</f>
        <v>-1.86</v>
      </c>
      <c r="U223" s="1">
        <f ca="1">IFERROR(__xludf.DUMMYFUNCTION("""COMPUTED_VALUE"""),210)</f>
        <v>210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IFERROR(__xludf.DUMMYFUNCTION("""COMPUTED_VALUE"""),"Fairfield")</f>
        <v>Fairfield</v>
      </c>
      <c r="C224" s="1" t="str">
        <f ca="1">IFERROR(__xludf.DUMMYFUNCTION("""COMPUTED_VALUE"""),"MAAC")</f>
        <v>MAAC</v>
      </c>
      <c r="D224" s="1" t="str">
        <f ca="1">IFERROR(__xludf.DUMMYFUNCTION("""COMPUTED_VALUE"""),"17-16")</f>
        <v>17-16</v>
      </c>
      <c r="E224" s="1">
        <f ca="1">IFERROR(__xludf.DUMMYFUNCTION("""COMPUTED_VALUE"""),-4.37)</f>
        <v>-4.37</v>
      </c>
      <c r="F224" s="1">
        <f ca="1">IFERROR(__xludf.DUMMYFUNCTION("""COMPUTED_VALUE"""),102.1)</f>
        <v>102.1</v>
      </c>
      <c r="G224" s="1">
        <f ca="1">IFERROR(__xludf.DUMMYFUNCTION("""COMPUTED_VALUE"""),229)</f>
        <v>229</v>
      </c>
      <c r="H224" s="1">
        <f ca="1">IFERROR(__xludf.DUMMYFUNCTION("""COMPUTED_VALUE"""),106.4)</f>
        <v>106.4</v>
      </c>
      <c r="I224" s="1">
        <f ca="1">IFERROR(__xludf.DUMMYFUNCTION("""COMPUTED_VALUE"""),195)</f>
        <v>195</v>
      </c>
      <c r="J224" s="1">
        <f ca="1">IFERROR(__xludf.DUMMYFUNCTION("""COMPUTED_VALUE"""),70.5)</f>
        <v>70.5</v>
      </c>
      <c r="K224" s="1">
        <f ca="1">IFERROR(__xludf.DUMMYFUNCTION("""COMPUTED_VALUE"""),63)</f>
        <v>63</v>
      </c>
      <c r="L224" s="1" t="str">
        <f ca="1">IFERROR(__xludf.DUMMYFUNCTION("""COMPUTED_VALUE"""),"+.051")</f>
        <v>+.051</v>
      </c>
      <c r="M224" s="1">
        <f ca="1">IFERROR(__xludf.DUMMYFUNCTION("""COMPUTED_VALUE"""),64)</f>
        <v>64</v>
      </c>
      <c r="N224" s="1">
        <f ca="1">IFERROR(__xludf.DUMMYFUNCTION("""COMPUTED_VALUE"""),-4.52)</f>
        <v>-4.5199999999999996</v>
      </c>
      <c r="O224" s="1">
        <f ca="1">IFERROR(__xludf.DUMMYFUNCTION("""COMPUTED_VALUE"""),277)</f>
        <v>277</v>
      </c>
      <c r="P224" s="1">
        <f ca="1">IFERROR(__xludf.DUMMYFUNCTION("""COMPUTED_VALUE"""),103)</f>
        <v>103</v>
      </c>
      <c r="Q224" s="1">
        <f ca="1">IFERROR(__xludf.DUMMYFUNCTION("""COMPUTED_VALUE"""),249)</f>
        <v>249</v>
      </c>
      <c r="R224" s="1">
        <f ca="1">IFERROR(__xludf.DUMMYFUNCTION("""COMPUTED_VALUE"""),107.5)</f>
        <v>107.5</v>
      </c>
      <c r="S224" s="1">
        <f ca="1">IFERROR(__xludf.DUMMYFUNCTION("""COMPUTED_VALUE"""),275)</f>
        <v>275</v>
      </c>
      <c r="T224" s="1">
        <f ca="1">IFERROR(__xludf.DUMMYFUNCTION("""COMPUTED_VALUE"""),-0.9)</f>
        <v>-0.9</v>
      </c>
      <c r="U224" s="1">
        <f ca="1">IFERROR(__xludf.DUMMYFUNCTION("""COMPUTED_VALUE"""),183)</f>
        <v>183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IFERROR(__xludf.DUMMYFUNCTION("""COMPUTED_VALUE"""),"Central Arkansas")</f>
        <v>Central Arkansas</v>
      </c>
      <c r="C225" s="1" t="str">
        <f ca="1">IFERROR(__xludf.DUMMYFUNCTION("""COMPUTED_VALUE"""),"Slnd")</f>
        <v>Slnd</v>
      </c>
      <c r="D225" s="1" t="str">
        <f ca="1">IFERROR(__xludf.DUMMYFUNCTION("""COMPUTED_VALUE"""),"18-17")</f>
        <v>18-17</v>
      </c>
      <c r="E225" s="1">
        <f ca="1">IFERROR(__xludf.DUMMYFUNCTION("""COMPUTED_VALUE"""),-4.41)</f>
        <v>-4.41</v>
      </c>
      <c r="F225" s="1">
        <f ca="1">IFERROR(__xludf.DUMMYFUNCTION("""COMPUTED_VALUE"""),105.4)</f>
        <v>105.4</v>
      </c>
      <c r="G225" s="1">
        <f ca="1">IFERROR(__xludf.DUMMYFUNCTION("""COMPUTED_VALUE"""),164)</f>
        <v>164</v>
      </c>
      <c r="H225" s="1">
        <f ca="1">IFERROR(__xludf.DUMMYFUNCTION("""COMPUTED_VALUE"""),109.8)</f>
        <v>109.8</v>
      </c>
      <c r="I225" s="1">
        <f ca="1">IFERROR(__xludf.DUMMYFUNCTION("""COMPUTED_VALUE"""),268)</f>
        <v>268</v>
      </c>
      <c r="J225" s="1">
        <f ca="1">IFERROR(__xludf.DUMMYFUNCTION("""COMPUTED_VALUE"""),72.7)</f>
        <v>72.7</v>
      </c>
      <c r="K225" s="1">
        <f ca="1">IFERROR(__xludf.DUMMYFUNCTION("""COMPUTED_VALUE"""),17)</f>
        <v>17</v>
      </c>
      <c r="L225" s="1" t="str">
        <f ca="1">IFERROR(__xludf.DUMMYFUNCTION("""COMPUTED_VALUE"""),"+.001")</f>
        <v>+.001</v>
      </c>
      <c r="M225" s="1">
        <f ca="1">IFERROR(__xludf.DUMMYFUNCTION("""COMPUTED_VALUE"""),174)</f>
        <v>174</v>
      </c>
      <c r="N225" s="1">
        <f ca="1">IFERROR(__xludf.DUMMYFUNCTION("""COMPUTED_VALUE"""),-5.45)</f>
        <v>-5.45</v>
      </c>
      <c r="O225" s="1">
        <f ca="1">IFERROR(__xludf.DUMMYFUNCTION("""COMPUTED_VALUE"""),289)</f>
        <v>289</v>
      </c>
      <c r="P225" s="1">
        <f ca="1">IFERROR(__xludf.DUMMYFUNCTION("""COMPUTED_VALUE"""),100.7)</f>
        <v>100.7</v>
      </c>
      <c r="Q225" s="1">
        <f ca="1">IFERROR(__xludf.DUMMYFUNCTION("""COMPUTED_VALUE"""),328)</f>
        <v>328</v>
      </c>
      <c r="R225" s="1">
        <f ca="1">IFERROR(__xludf.DUMMYFUNCTION("""COMPUTED_VALUE"""),106.1)</f>
        <v>106.1</v>
      </c>
      <c r="S225" s="1">
        <f ca="1">IFERROR(__xludf.DUMMYFUNCTION("""COMPUTED_VALUE"""),201)</f>
        <v>201</v>
      </c>
      <c r="T225" s="1">
        <f ca="1">IFERROR(__xludf.DUMMYFUNCTION("""COMPUTED_VALUE"""),-2.23)</f>
        <v>-2.23</v>
      </c>
      <c r="U225" s="1">
        <f ca="1">IFERROR(__xludf.DUMMYFUNCTION("""COMPUTED_VALUE"""),223)</f>
        <v>223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IFERROR(__xludf.DUMMYFUNCTION("""COMPUTED_VALUE"""),"St. Francis PA")</f>
        <v>St. Francis PA</v>
      </c>
      <c r="C226" s="1" t="str">
        <f ca="1">IFERROR(__xludf.DUMMYFUNCTION("""COMPUTED_VALUE"""),"NEC")</f>
        <v>NEC</v>
      </c>
      <c r="D226" s="1" t="str">
        <f ca="1">IFERROR(__xludf.DUMMYFUNCTION("""COMPUTED_VALUE"""),"18-13")</f>
        <v>18-13</v>
      </c>
      <c r="E226" s="1">
        <f ca="1">IFERROR(__xludf.DUMMYFUNCTION("""COMPUTED_VALUE"""),-4.86)</f>
        <v>-4.8600000000000003</v>
      </c>
      <c r="F226" s="1">
        <f ca="1">IFERROR(__xludf.DUMMYFUNCTION("""COMPUTED_VALUE"""),106.4)</f>
        <v>106.4</v>
      </c>
      <c r="G226" s="1">
        <f ca="1">IFERROR(__xludf.DUMMYFUNCTION("""COMPUTED_VALUE"""),143)</f>
        <v>143</v>
      </c>
      <c r="H226" s="1">
        <f ca="1">IFERROR(__xludf.DUMMYFUNCTION("""COMPUTED_VALUE"""),111.2)</f>
        <v>111.2</v>
      </c>
      <c r="I226" s="1">
        <f ca="1">IFERROR(__xludf.DUMMYFUNCTION("""COMPUTED_VALUE"""),300)</f>
        <v>300</v>
      </c>
      <c r="J226" s="1">
        <f ca="1">IFERROR(__xludf.DUMMYFUNCTION("""COMPUTED_VALUE"""),68.2)</f>
        <v>68.2</v>
      </c>
      <c r="K226" s="1">
        <f ca="1">IFERROR(__xludf.DUMMYFUNCTION("""COMPUTED_VALUE"""),180)</f>
        <v>180</v>
      </c>
      <c r="L226" s="1" t="str">
        <f ca="1">IFERROR(__xludf.DUMMYFUNCTION("""COMPUTED_VALUE"""),"+.039")</f>
        <v>+.039</v>
      </c>
      <c r="M226" s="1">
        <f ca="1">IFERROR(__xludf.DUMMYFUNCTION("""COMPUTED_VALUE"""),79)</f>
        <v>79</v>
      </c>
      <c r="N226" s="1">
        <f ca="1">IFERROR(__xludf.DUMMYFUNCTION("""COMPUTED_VALUE"""),-7.41)</f>
        <v>-7.41</v>
      </c>
      <c r="O226" s="1">
        <f ca="1">IFERROR(__xludf.DUMMYFUNCTION("""COMPUTED_VALUE"""),326)</f>
        <v>326</v>
      </c>
      <c r="P226" s="1">
        <f ca="1">IFERROR(__xludf.DUMMYFUNCTION("""COMPUTED_VALUE"""),101.3)</f>
        <v>101.3</v>
      </c>
      <c r="Q226" s="1">
        <f ca="1">IFERROR(__xludf.DUMMYFUNCTION("""COMPUTED_VALUE"""),308)</f>
        <v>308</v>
      </c>
      <c r="R226" s="1">
        <f ca="1">IFERROR(__xludf.DUMMYFUNCTION("""COMPUTED_VALUE"""),108.7)</f>
        <v>108.7</v>
      </c>
      <c r="S226" s="1">
        <f ca="1">IFERROR(__xludf.DUMMYFUNCTION("""COMPUTED_VALUE"""),330)</f>
        <v>330</v>
      </c>
      <c r="T226" s="1" t="str">
        <f ca="1">IFERROR(__xludf.DUMMYFUNCTION("""COMPUTED_VALUE"""),"+2.45")</f>
        <v>+2.45</v>
      </c>
      <c r="U226" s="1">
        <f ca="1">IFERROR(__xludf.DUMMYFUNCTION("""COMPUTED_VALUE"""),87)</f>
        <v>87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IFERROR(__xludf.DUMMYFUNCTION("""COMPUTED_VALUE"""),"Hartford")</f>
        <v>Hartford</v>
      </c>
      <c r="C227" s="1" t="str">
        <f ca="1">IFERROR(__xludf.DUMMYFUNCTION("""COMPUTED_VALUE"""),"AE")</f>
        <v>AE</v>
      </c>
      <c r="D227" s="1" t="str">
        <f ca="1">IFERROR(__xludf.DUMMYFUNCTION("""COMPUTED_VALUE"""),"19-14")</f>
        <v>19-14</v>
      </c>
      <c r="E227" s="1">
        <f ca="1">IFERROR(__xludf.DUMMYFUNCTION("""COMPUTED_VALUE"""),-4.89)</f>
        <v>-4.8899999999999997</v>
      </c>
      <c r="F227" s="1">
        <f ca="1">IFERROR(__xludf.DUMMYFUNCTION("""COMPUTED_VALUE"""),102.9)</f>
        <v>102.9</v>
      </c>
      <c r="G227" s="1">
        <f ca="1">IFERROR(__xludf.DUMMYFUNCTION("""COMPUTED_VALUE"""),213)</f>
        <v>213</v>
      </c>
      <c r="H227" s="1">
        <f ca="1">IFERROR(__xludf.DUMMYFUNCTION("""COMPUTED_VALUE"""),107.8)</f>
        <v>107.8</v>
      </c>
      <c r="I227" s="1">
        <f ca="1">IFERROR(__xludf.DUMMYFUNCTION("""COMPUTED_VALUE"""),231)</f>
        <v>231</v>
      </c>
      <c r="J227" s="1">
        <f ca="1">IFERROR(__xludf.DUMMYFUNCTION("""COMPUTED_VALUE"""),66.5)</f>
        <v>66.5</v>
      </c>
      <c r="K227" s="1">
        <f ca="1">IFERROR(__xludf.DUMMYFUNCTION("""COMPUTED_VALUE"""),257)</f>
        <v>257</v>
      </c>
      <c r="L227" s="1" t="str">
        <f ca="1">IFERROR(__xludf.DUMMYFUNCTION("""COMPUTED_VALUE"""),"+.065")</f>
        <v>+.065</v>
      </c>
      <c r="M227" s="1">
        <f ca="1">IFERROR(__xludf.DUMMYFUNCTION("""COMPUTED_VALUE"""),41)</f>
        <v>41</v>
      </c>
      <c r="N227" s="1">
        <f ca="1">IFERROR(__xludf.DUMMYFUNCTION("""COMPUTED_VALUE"""),-6.02)</f>
        <v>-6.02</v>
      </c>
      <c r="O227" s="1">
        <f ca="1">IFERROR(__xludf.DUMMYFUNCTION("""COMPUTED_VALUE"""),298)</f>
        <v>298</v>
      </c>
      <c r="P227" s="1">
        <f ca="1">IFERROR(__xludf.DUMMYFUNCTION("""COMPUTED_VALUE"""),101.2)</f>
        <v>101.2</v>
      </c>
      <c r="Q227" s="1">
        <f ca="1">IFERROR(__xludf.DUMMYFUNCTION("""COMPUTED_VALUE"""),315)</f>
        <v>315</v>
      </c>
      <c r="R227" s="1">
        <f ca="1">IFERROR(__xludf.DUMMYFUNCTION("""COMPUTED_VALUE"""),107.2)</f>
        <v>107.2</v>
      </c>
      <c r="S227" s="1">
        <f ca="1">IFERROR(__xludf.DUMMYFUNCTION("""COMPUTED_VALUE"""),266)</f>
        <v>266</v>
      </c>
      <c r="T227" s="1">
        <f ca="1">IFERROR(__xludf.DUMMYFUNCTION("""COMPUTED_VALUE"""),-6.72)</f>
        <v>-6.72</v>
      </c>
      <c r="U227" s="1">
        <f ca="1">IFERROR(__xludf.DUMMYFUNCTION("""COMPUTED_VALUE"""),327)</f>
        <v>327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IFERROR(__xludf.DUMMYFUNCTION("""COMPUTED_VALUE"""),"Manhattan")</f>
        <v>Manhattan</v>
      </c>
      <c r="C228" s="1" t="str">
        <f ca="1">IFERROR(__xludf.DUMMYFUNCTION("""COMPUTED_VALUE"""),"MAAC")</f>
        <v>MAAC</v>
      </c>
      <c r="D228" s="1" t="str">
        <f ca="1">IFERROR(__xludf.DUMMYFUNCTION("""COMPUTED_VALUE"""),"14-17")</f>
        <v>14-17</v>
      </c>
      <c r="E228" s="1">
        <f ca="1">IFERROR(__xludf.DUMMYFUNCTION("""COMPUTED_VALUE"""),-4.95)</f>
        <v>-4.95</v>
      </c>
      <c r="F228" s="1">
        <f ca="1">IFERROR(__xludf.DUMMYFUNCTION("""COMPUTED_VALUE"""),99.3)</f>
        <v>99.3</v>
      </c>
      <c r="G228" s="1">
        <f ca="1">IFERROR(__xludf.DUMMYFUNCTION("""COMPUTED_VALUE"""),269)</f>
        <v>269</v>
      </c>
      <c r="H228" s="1">
        <f ca="1">IFERROR(__xludf.DUMMYFUNCTION("""COMPUTED_VALUE"""),104.2)</f>
        <v>104.2</v>
      </c>
      <c r="I228" s="1">
        <f ca="1">IFERROR(__xludf.DUMMYFUNCTION("""COMPUTED_VALUE"""),160)</f>
        <v>160</v>
      </c>
      <c r="J228" s="1">
        <f ca="1">IFERROR(__xludf.DUMMYFUNCTION("""COMPUTED_VALUE"""),65.8)</f>
        <v>65.8</v>
      </c>
      <c r="K228" s="1">
        <f ca="1">IFERROR(__xludf.DUMMYFUNCTION("""COMPUTED_VALUE"""),291)</f>
        <v>291</v>
      </c>
      <c r="L228" s="1">
        <f ca="1">IFERROR(__xludf.DUMMYFUNCTION("""COMPUTED_VALUE"""),-0.007)</f>
        <v>-7.0000000000000001E-3</v>
      </c>
      <c r="M228" s="1">
        <f ca="1">IFERROR(__xludf.DUMMYFUNCTION("""COMPUTED_VALUE"""),194)</f>
        <v>194</v>
      </c>
      <c r="N228" s="1">
        <f ca="1">IFERROR(__xludf.DUMMYFUNCTION("""COMPUTED_VALUE"""),-4.26)</f>
        <v>-4.26</v>
      </c>
      <c r="O228" s="1">
        <f ca="1">IFERROR(__xludf.DUMMYFUNCTION("""COMPUTED_VALUE"""),265)</f>
        <v>265</v>
      </c>
      <c r="P228" s="1">
        <f ca="1">IFERROR(__xludf.DUMMYFUNCTION("""COMPUTED_VALUE"""),103.5)</f>
        <v>103.5</v>
      </c>
      <c r="Q228" s="1">
        <f ca="1">IFERROR(__xludf.DUMMYFUNCTION("""COMPUTED_VALUE"""),220)</f>
        <v>220</v>
      </c>
      <c r="R228" s="1">
        <f ca="1">IFERROR(__xludf.DUMMYFUNCTION("""COMPUTED_VALUE"""),107.7)</f>
        <v>107.7</v>
      </c>
      <c r="S228" s="1">
        <f ca="1">IFERROR(__xludf.DUMMYFUNCTION("""COMPUTED_VALUE"""),291)</f>
        <v>291</v>
      </c>
      <c r="T228" s="1">
        <f ca="1">IFERROR(__xludf.DUMMYFUNCTION("""COMPUTED_VALUE"""),-3.79)</f>
        <v>-3.79</v>
      </c>
      <c r="U228" s="1">
        <f ca="1">IFERROR(__xludf.DUMMYFUNCTION("""COMPUTED_VALUE"""),283)</f>
        <v>283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IFERROR(__xludf.DUMMYFUNCTION("""COMPUTED_VALUE"""),"Saint Peter's")</f>
        <v>Saint Peter's</v>
      </c>
      <c r="C229" s="1" t="str">
        <f ca="1">IFERROR(__xludf.DUMMYFUNCTION("""COMPUTED_VALUE"""),"MAAC")</f>
        <v>MAAC</v>
      </c>
      <c r="D229" s="1" t="str">
        <f ca="1">IFERROR(__xludf.DUMMYFUNCTION("""COMPUTED_VALUE"""),"14-18")</f>
        <v>14-18</v>
      </c>
      <c r="E229" s="1">
        <f ca="1">IFERROR(__xludf.DUMMYFUNCTION("""COMPUTED_VALUE"""),-5)</f>
        <v>-5</v>
      </c>
      <c r="F229" s="1">
        <f ca="1">IFERROR(__xludf.DUMMYFUNCTION("""COMPUTED_VALUE"""),95.5)</f>
        <v>95.5</v>
      </c>
      <c r="G229" s="1">
        <f ca="1">IFERROR(__xludf.DUMMYFUNCTION("""COMPUTED_VALUE"""),326)</f>
        <v>326</v>
      </c>
      <c r="H229" s="1">
        <f ca="1">IFERROR(__xludf.DUMMYFUNCTION("""COMPUTED_VALUE"""),100.5)</f>
        <v>100.5</v>
      </c>
      <c r="I229" s="1">
        <f ca="1">IFERROR(__xludf.DUMMYFUNCTION("""COMPUTED_VALUE"""),89)</f>
        <v>89</v>
      </c>
      <c r="J229" s="1">
        <f ca="1">IFERROR(__xludf.DUMMYFUNCTION("""COMPUTED_VALUE"""),62.6)</f>
        <v>62.6</v>
      </c>
      <c r="K229" s="1">
        <f ca="1">IFERROR(__xludf.DUMMYFUNCTION("""COMPUTED_VALUE"""),350)</f>
        <v>350</v>
      </c>
      <c r="L229" s="1">
        <f ca="1">IFERROR(__xludf.DUMMYFUNCTION("""COMPUTED_VALUE"""),-0.037)</f>
        <v>-3.6999999999999998E-2</v>
      </c>
      <c r="M229" s="1">
        <f ca="1">IFERROR(__xludf.DUMMYFUNCTION("""COMPUTED_VALUE"""),273)</f>
        <v>273</v>
      </c>
      <c r="N229" s="1">
        <f ca="1">IFERROR(__xludf.DUMMYFUNCTION("""COMPUTED_VALUE"""),-4.4)</f>
        <v>-4.4000000000000004</v>
      </c>
      <c r="O229" s="1">
        <f ca="1">IFERROR(__xludf.DUMMYFUNCTION("""COMPUTED_VALUE"""),270)</f>
        <v>270</v>
      </c>
      <c r="P229" s="1">
        <f ca="1">IFERROR(__xludf.DUMMYFUNCTION("""COMPUTED_VALUE"""),103.9)</f>
        <v>103.9</v>
      </c>
      <c r="Q229" s="1">
        <f ca="1">IFERROR(__xludf.DUMMYFUNCTION("""COMPUTED_VALUE"""),198)</f>
        <v>198</v>
      </c>
      <c r="R229" s="1">
        <f ca="1">IFERROR(__xludf.DUMMYFUNCTION("""COMPUTED_VALUE"""),108.3)</f>
        <v>108.3</v>
      </c>
      <c r="S229" s="1">
        <f ca="1">IFERROR(__xludf.DUMMYFUNCTION("""COMPUTED_VALUE"""),316)</f>
        <v>316</v>
      </c>
      <c r="T229" s="1">
        <f ca="1">IFERROR(__xludf.DUMMYFUNCTION("""COMPUTED_VALUE"""),-5.37)</f>
        <v>-5.37</v>
      </c>
      <c r="U229" s="1">
        <f ca="1">IFERROR(__xludf.DUMMYFUNCTION("""COMPUTED_VALUE"""),312)</f>
        <v>312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IFERROR(__xludf.DUMMYFUNCTION("""COMPUTED_VALUE"""),"Campbell")</f>
        <v>Campbell</v>
      </c>
      <c r="C230" s="1" t="str">
        <f ca="1">IFERROR(__xludf.DUMMYFUNCTION("""COMPUTED_VALUE"""),"BSth")</f>
        <v>BSth</v>
      </c>
      <c r="D230" s="1" t="str">
        <f ca="1">IFERROR(__xludf.DUMMYFUNCTION("""COMPUTED_VALUE"""),"18-16")</f>
        <v>18-16</v>
      </c>
      <c r="E230" s="1">
        <f ca="1">IFERROR(__xludf.DUMMYFUNCTION("""COMPUTED_VALUE"""),-5.01)</f>
        <v>-5.01</v>
      </c>
      <c r="F230" s="1">
        <f ca="1">IFERROR(__xludf.DUMMYFUNCTION("""COMPUTED_VALUE"""),105.8)</f>
        <v>105.8</v>
      </c>
      <c r="G230" s="1">
        <f ca="1">IFERROR(__xludf.DUMMYFUNCTION("""COMPUTED_VALUE"""),155)</f>
        <v>155</v>
      </c>
      <c r="H230" s="1">
        <f ca="1">IFERROR(__xludf.DUMMYFUNCTION("""COMPUTED_VALUE"""),110.8)</f>
        <v>110.8</v>
      </c>
      <c r="I230" s="1">
        <f ca="1">IFERROR(__xludf.DUMMYFUNCTION("""COMPUTED_VALUE"""),294)</f>
        <v>294</v>
      </c>
      <c r="J230" s="1">
        <f ca="1">IFERROR(__xludf.DUMMYFUNCTION("""COMPUTED_VALUE"""),68)</f>
        <v>68</v>
      </c>
      <c r="K230" s="1">
        <f ca="1">IFERROR(__xludf.DUMMYFUNCTION("""COMPUTED_VALUE"""),184)</f>
        <v>184</v>
      </c>
      <c r="L230" s="1">
        <f ca="1">IFERROR(__xludf.DUMMYFUNCTION("""COMPUTED_VALUE"""),-0.057)</f>
        <v>-5.7000000000000002E-2</v>
      </c>
      <c r="M230" s="1">
        <f ca="1">IFERROR(__xludf.DUMMYFUNCTION("""COMPUTED_VALUE"""),307)</f>
        <v>307</v>
      </c>
      <c r="N230" s="1">
        <f ca="1">IFERROR(__xludf.DUMMYFUNCTION("""COMPUTED_VALUE"""),-7.3)</f>
        <v>-7.3</v>
      </c>
      <c r="O230" s="1">
        <f ca="1">IFERROR(__xludf.DUMMYFUNCTION("""COMPUTED_VALUE"""),323)</f>
        <v>323</v>
      </c>
      <c r="P230" s="1">
        <f ca="1">IFERROR(__xludf.DUMMYFUNCTION("""COMPUTED_VALUE"""),100.6)</f>
        <v>100.6</v>
      </c>
      <c r="Q230" s="1">
        <f ca="1">IFERROR(__xludf.DUMMYFUNCTION("""COMPUTED_VALUE"""),329)</f>
        <v>329</v>
      </c>
      <c r="R230" s="1">
        <f ca="1">IFERROR(__xludf.DUMMYFUNCTION("""COMPUTED_VALUE"""),107.9)</f>
        <v>107.9</v>
      </c>
      <c r="S230" s="1">
        <f ca="1">IFERROR(__xludf.DUMMYFUNCTION("""COMPUTED_VALUE"""),303)</f>
        <v>303</v>
      </c>
      <c r="T230" s="1">
        <f ca="1">IFERROR(__xludf.DUMMYFUNCTION("""COMPUTED_VALUE"""),-8.04)</f>
        <v>-8.0399999999999991</v>
      </c>
      <c r="U230" s="1">
        <f ca="1">IFERROR(__xludf.DUMMYFUNCTION("""COMPUTED_VALUE"""),338)</f>
        <v>338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IFERROR(__xludf.DUMMYFUNCTION("""COMPUTED_VALUE"""),"Tennessee Tech")</f>
        <v>Tennessee Tech</v>
      </c>
      <c r="C231" s="1" t="str">
        <f ca="1">IFERROR(__xludf.DUMMYFUNCTION("""COMPUTED_VALUE"""),"OVC")</f>
        <v>OVC</v>
      </c>
      <c r="D231" s="1" t="str">
        <f ca="1">IFERROR(__xludf.DUMMYFUNCTION("""COMPUTED_VALUE"""),"19-14")</f>
        <v>19-14</v>
      </c>
      <c r="E231" s="1">
        <f ca="1">IFERROR(__xludf.DUMMYFUNCTION("""COMPUTED_VALUE"""),-5.06)</f>
        <v>-5.0599999999999996</v>
      </c>
      <c r="F231" s="1">
        <f ca="1">IFERROR(__xludf.DUMMYFUNCTION("""COMPUTED_VALUE"""),98.5)</f>
        <v>98.5</v>
      </c>
      <c r="G231" s="1">
        <f ca="1">IFERROR(__xludf.DUMMYFUNCTION("""COMPUTED_VALUE"""),290)</f>
        <v>290</v>
      </c>
      <c r="H231" s="1">
        <f ca="1">IFERROR(__xludf.DUMMYFUNCTION("""COMPUTED_VALUE"""),103.5)</f>
        <v>103.5</v>
      </c>
      <c r="I231" s="1">
        <f ca="1">IFERROR(__xludf.DUMMYFUNCTION("""COMPUTED_VALUE"""),147)</f>
        <v>147</v>
      </c>
      <c r="J231" s="1">
        <f ca="1">IFERROR(__xludf.DUMMYFUNCTION("""COMPUTED_VALUE"""),70.9)</f>
        <v>70.900000000000006</v>
      </c>
      <c r="K231" s="1">
        <f ca="1">IFERROR(__xludf.DUMMYFUNCTION("""COMPUTED_VALUE"""),54)</f>
        <v>54</v>
      </c>
      <c r="L231" s="1" t="str">
        <f ca="1">IFERROR(__xludf.DUMMYFUNCTION("""COMPUTED_VALUE"""),"+.118")</f>
        <v>+.118</v>
      </c>
      <c r="M231" s="1">
        <f ca="1">IFERROR(__xludf.DUMMYFUNCTION("""COMPUTED_VALUE"""),4)</f>
        <v>4</v>
      </c>
      <c r="N231" s="1">
        <f ca="1">IFERROR(__xludf.DUMMYFUNCTION("""COMPUTED_VALUE"""),-2.81)</f>
        <v>-2.81</v>
      </c>
      <c r="O231" s="1">
        <f ca="1">IFERROR(__xludf.DUMMYFUNCTION("""COMPUTED_VALUE"""),219)</f>
        <v>219</v>
      </c>
      <c r="P231" s="1">
        <f ca="1">IFERROR(__xludf.DUMMYFUNCTION("""COMPUTED_VALUE"""),104.1)</f>
        <v>104.1</v>
      </c>
      <c r="Q231" s="1">
        <f ca="1">IFERROR(__xludf.DUMMYFUNCTION("""COMPUTED_VALUE"""),188)</f>
        <v>188</v>
      </c>
      <c r="R231" s="1">
        <f ca="1">IFERROR(__xludf.DUMMYFUNCTION("""COMPUTED_VALUE"""),106.9)</f>
        <v>106.9</v>
      </c>
      <c r="S231" s="1">
        <f ca="1">IFERROR(__xludf.DUMMYFUNCTION("""COMPUTED_VALUE"""),254)</f>
        <v>254</v>
      </c>
      <c r="T231" s="1">
        <f ca="1">IFERROR(__xludf.DUMMYFUNCTION("""COMPUTED_VALUE"""),-0.53)</f>
        <v>-0.53</v>
      </c>
      <c r="U231" s="1">
        <f ca="1">IFERROR(__xludf.DUMMYFUNCTION("""COMPUTED_VALUE"""),171)</f>
        <v>171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IFERROR(__xludf.DUMMYFUNCTION("""COMPUTED_VALUE"""),"George Mason")</f>
        <v>George Mason</v>
      </c>
      <c r="C232" s="1" t="str">
        <f ca="1">IFERROR(__xludf.DUMMYFUNCTION("""COMPUTED_VALUE"""),"A10")</f>
        <v>A10</v>
      </c>
      <c r="D232" s="1" t="str">
        <f ca="1">IFERROR(__xludf.DUMMYFUNCTION("""COMPUTED_VALUE"""),"16-17")</f>
        <v>16-17</v>
      </c>
      <c r="E232" s="1">
        <f ca="1">IFERROR(__xludf.DUMMYFUNCTION("""COMPUTED_VALUE"""),-5.17)</f>
        <v>-5.17</v>
      </c>
      <c r="F232" s="1">
        <f ca="1">IFERROR(__xludf.DUMMYFUNCTION("""COMPUTED_VALUE"""),102.1)</f>
        <v>102.1</v>
      </c>
      <c r="G232" s="1">
        <f ca="1">IFERROR(__xludf.DUMMYFUNCTION("""COMPUTED_VALUE"""),223)</f>
        <v>223</v>
      </c>
      <c r="H232" s="1">
        <f ca="1">IFERROR(__xludf.DUMMYFUNCTION("""COMPUTED_VALUE"""),107.3)</f>
        <v>107.3</v>
      </c>
      <c r="I232" s="1">
        <f ca="1">IFERROR(__xludf.DUMMYFUNCTION("""COMPUTED_VALUE"""),216)</f>
        <v>216</v>
      </c>
      <c r="J232" s="1">
        <f ca="1">IFERROR(__xludf.DUMMYFUNCTION("""COMPUTED_VALUE"""),69.1)</f>
        <v>69.099999999999994</v>
      </c>
      <c r="K232" s="1">
        <f ca="1">IFERROR(__xludf.DUMMYFUNCTION("""COMPUTED_VALUE"""),122)</f>
        <v>122</v>
      </c>
      <c r="L232" s="1" t="str">
        <f ca="1">IFERROR(__xludf.DUMMYFUNCTION("""COMPUTED_VALUE"""),"+.117")</f>
        <v>+.117</v>
      </c>
      <c r="M232" s="1">
        <f ca="1">IFERROR(__xludf.DUMMYFUNCTION("""COMPUTED_VALUE"""),5)</f>
        <v>5</v>
      </c>
      <c r="N232" s="1">
        <f ca="1">IFERROR(__xludf.DUMMYFUNCTION("""COMPUTED_VALUE"""),-0.68)</f>
        <v>-0.68</v>
      </c>
      <c r="O232" s="1">
        <f ca="1">IFERROR(__xludf.DUMMYFUNCTION("""COMPUTED_VALUE"""),152)</f>
        <v>152</v>
      </c>
      <c r="P232" s="1">
        <f ca="1">IFERROR(__xludf.DUMMYFUNCTION("""COMPUTED_VALUE"""),105.2)</f>
        <v>105.2</v>
      </c>
      <c r="Q232" s="1">
        <f ca="1">IFERROR(__xludf.DUMMYFUNCTION("""COMPUTED_VALUE"""),142)</f>
        <v>142</v>
      </c>
      <c r="R232" s="1">
        <f ca="1">IFERROR(__xludf.DUMMYFUNCTION("""COMPUTED_VALUE"""),105.9)</f>
        <v>105.9</v>
      </c>
      <c r="S232" s="1">
        <f ca="1">IFERROR(__xludf.DUMMYFUNCTION("""COMPUTED_VALUE"""),184)</f>
        <v>184</v>
      </c>
      <c r="T232" s="1">
        <f ca="1">IFERROR(__xludf.DUMMYFUNCTION("""COMPUTED_VALUE"""),-3.59)</f>
        <v>-3.59</v>
      </c>
      <c r="U232" s="1">
        <f ca="1">IFERROR(__xludf.DUMMYFUNCTION("""COMPUTED_VALUE"""),279)</f>
        <v>279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IFERROR(__xludf.DUMMYFUNCTION("""COMPUTED_VALUE"""),"South Alabama")</f>
        <v>South Alabama</v>
      </c>
      <c r="C233" s="1" t="str">
        <f ca="1">IFERROR(__xludf.DUMMYFUNCTION("""COMPUTED_VALUE"""),"SB")</f>
        <v>SB</v>
      </c>
      <c r="D233" s="1" t="str">
        <f ca="1">IFERROR(__xludf.DUMMYFUNCTION("""COMPUTED_VALUE"""),"14-18")</f>
        <v>14-18</v>
      </c>
      <c r="E233" s="1">
        <f ca="1">IFERROR(__xludf.DUMMYFUNCTION("""COMPUTED_VALUE"""),-5.32)</f>
        <v>-5.32</v>
      </c>
      <c r="F233" s="1">
        <f ca="1">IFERROR(__xludf.DUMMYFUNCTION("""COMPUTED_VALUE"""),96.9)</f>
        <v>96.9</v>
      </c>
      <c r="G233" s="1">
        <f ca="1">IFERROR(__xludf.DUMMYFUNCTION("""COMPUTED_VALUE"""),309)</f>
        <v>309</v>
      </c>
      <c r="H233" s="1">
        <f ca="1">IFERROR(__xludf.DUMMYFUNCTION("""COMPUTED_VALUE"""),102.2)</f>
        <v>102.2</v>
      </c>
      <c r="I233" s="1">
        <f ca="1">IFERROR(__xludf.DUMMYFUNCTION("""COMPUTED_VALUE"""),117)</f>
        <v>117</v>
      </c>
      <c r="J233" s="1">
        <f ca="1">IFERROR(__xludf.DUMMYFUNCTION("""COMPUTED_VALUE"""),70.4)</f>
        <v>70.400000000000006</v>
      </c>
      <c r="K233" s="1">
        <f ca="1">IFERROR(__xludf.DUMMYFUNCTION("""COMPUTED_VALUE"""),69)</f>
        <v>69</v>
      </c>
      <c r="L233" s="1">
        <f ca="1">IFERROR(__xludf.DUMMYFUNCTION("""COMPUTED_VALUE"""),-0.033)</f>
        <v>-3.3000000000000002E-2</v>
      </c>
      <c r="M233" s="1">
        <f ca="1">IFERROR(__xludf.DUMMYFUNCTION("""COMPUTED_VALUE"""),269)</f>
        <v>269</v>
      </c>
      <c r="N233" s="1">
        <f ca="1">IFERROR(__xludf.DUMMYFUNCTION("""COMPUTED_VALUE"""),-2.98)</f>
        <v>-2.98</v>
      </c>
      <c r="O233" s="1">
        <f ca="1">IFERROR(__xludf.DUMMYFUNCTION("""COMPUTED_VALUE"""),229)</f>
        <v>229</v>
      </c>
      <c r="P233" s="1">
        <f ca="1">IFERROR(__xludf.DUMMYFUNCTION("""COMPUTED_VALUE"""),103)</f>
        <v>103</v>
      </c>
      <c r="Q233" s="1">
        <f ca="1">IFERROR(__xludf.DUMMYFUNCTION("""COMPUTED_VALUE"""),251)</f>
        <v>251</v>
      </c>
      <c r="R233" s="1">
        <f ca="1">IFERROR(__xludf.DUMMYFUNCTION("""COMPUTED_VALUE"""),105.9)</f>
        <v>105.9</v>
      </c>
      <c r="S233" s="1">
        <f ca="1">IFERROR(__xludf.DUMMYFUNCTION("""COMPUTED_VALUE"""),190)</f>
        <v>190</v>
      </c>
      <c r="T233" s="1">
        <f ca="1">IFERROR(__xludf.DUMMYFUNCTION("""COMPUTED_VALUE"""),-6.15)</f>
        <v>-6.15</v>
      </c>
      <c r="U233" s="1">
        <f ca="1">IFERROR(__xludf.DUMMYFUNCTION("""COMPUTED_VALUE"""),319)</f>
        <v>319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IFERROR(__xludf.DUMMYFUNCTION("""COMPUTED_VALUE"""),"FIU")</f>
        <v>FIU</v>
      </c>
      <c r="C234" s="1" t="str">
        <f ca="1">IFERROR(__xludf.DUMMYFUNCTION("""COMPUTED_VALUE"""),"CUSA")</f>
        <v>CUSA</v>
      </c>
      <c r="D234" s="1" t="str">
        <f ca="1">IFERROR(__xludf.DUMMYFUNCTION("""COMPUTED_VALUE"""),"14-18")</f>
        <v>14-18</v>
      </c>
      <c r="E234" s="1">
        <f ca="1">IFERROR(__xludf.DUMMYFUNCTION("""COMPUTED_VALUE"""),-5.33)</f>
        <v>-5.33</v>
      </c>
      <c r="F234" s="1">
        <f ca="1">IFERROR(__xludf.DUMMYFUNCTION("""COMPUTED_VALUE"""),98.4)</f>
        <v>98.4</v>
      </c>
      <c r="G234" s="1">
        <f ca="1">IFERROR(__xludf.DUMMYFUNCTION("""COMPUTED_VALUE"""),292)</f>
        <v>292</v>
      </c>
      <c r="H234" s="1">
        <f ca="1">IFERROR(__xludf.DUMMYFUNCTION("""COMPUTED_VALUE"""),103.7)</f>
        <v>103.7</v>
      </c>
      <c r="I234" s="1">
        <f ca="1">IFERROR(__xludf.DUMMYFUNCTION("""COMPUTED_VALUE"""),154)</f>
        <v>154</v>
      </c>
      <c r="J234" s="1">
        <f ca="1">IFERROR(__xludf.DUMMYFUNCTION("""COMPUTED_VALUE"""),69)</f>
        <v>69</v>
      </c>
      <c r="K234" s="1">
        <f ca="1">IFERROR(__xludf.DUMMYFUNCTION("""COMPUTED_VALUE"""),128)</f>
        <v>128</v>
      </c>
      <c r="L234" s="1">
        <f ca="1">IFERROR(__xludf.DUMMYFUNCTION("""COMPUTED_VALUE"""),-0.039)</f>
        <v>-3.9E-2</v>
      </c>
      <c r="M234" s="1">
        <f ca="1">IFERROR(__xludf.DUMMYFUNCTION("""COMPUTED_VALUE"""),278)</f>
        <v>278</v>
      </c>
      <c r="N234" s="1">
        <f ca="1">IFERROR(__xludf.DUMMYFUNCTION("""COMPUTED_VALUE"""),-3.16)</f>
        <v>-3.16</v>
      </c>
      <c r="O234" s="1">
        <f ca="1">IFERROR(__xludf.DUMMYFUNCTION("""COMPUTED_VALUE"""),234)</f>
        <v>234</v>
      </c>
      <c r="P234" s="1">
        <f ca="1">IFERROR(__xludf.DUMMYFUNCTION("""COMPUTED_VALUE"""),103)</f>
        <v>103</v>
      </c>
      <c r="Q234" s="1">
        <f ca="1">IFERROR(__xludf.DUMMYFUNCTION("""COMPUTED_VALUE"""),250)</f>
        <v>250</v>
      </c>
      <c r="R234" s="1">
        <f ca="1">IFERROR(__xludf.DUMMYFUNCTION("""COMPUTED_VALUE"""),106.1)</f>
        <v>106.1</v>
      </c>
      <c r="S234" s="1">
        <f ca="1">IFERROR(__xludf.DUMMYFUNCTION("""COMPUTED_VALUE"""),199)</f>
        <v>199</v>
      </c>
      <c r="T234" s="1">
        <f ca="1">IFERROR(__xludf.DUMMYFUNCTION("""COMPUTED_VALUE"""),-6.95)</f>
        <v>-6.95</v>
      </c>
      <c r="U234" s="1">
        <f ca="1">IFERROR(__xludf.DUMMYFUNCTION("""COMPUTED_VALUE"""),331)</f>
        <v>331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IFERROR(__xludf.DUMMYFUNCTION("""COMPUTED_VALUE"""),"Stony Brook")</f>
        <v>Stony Brook</v>
      </c>
      <c r="C235" s="1" t="str">
        <f ca="1">IFERROR(__xludf.DUMMYFUNCTION("""COMPUTED_VALUE"""),"AE")</f>
        <v>AE</v>
      </c>
      <c r="D235" s="1" t="str">
        <f ca="1">IFERROR(__xludf.DUMMYFUNCTION("""COMPUTED_VALUE"""),"13-19")</f>
        <v>13-19</v>
      </c>
      <c r="E235" s="1">
        <f ca="1">IFERROR(__xludf.DUMMYFUNCTION("""COMPUTED_VALUE"""),-5.33)</f>
        <v>-5.33</v>
      </c>
      <c r="F235" s="1">
        <f ca="1">IFERROR(__xludf.DUMMYFUNCTION("""COMPUTED_VALUE"""),96.8)</f>
        <v>96.8</v>
      </c>
      <c r="G235" s="1">
        <f ca="1">IFERROR(__xludf.DUMMYFUNCTION("""COMPUTED_VALUE"""),311)</f>
        <v>311</v>
      </c>
      <c r="H235" s="1">
        <f ca="1">IFERROR(__xludf.DUMMYFUNCTION("""COMPUTED_VALUE"""),102.1)</f>
        <v>102.1</v>
      </c>
      <c r="I235" s="1">
        <f ca="1">IFERROR(__xludf.DUMMYFUNCTION("""COMPUTED_VALUE"""),114)</f>
        <v>114</v>
      </c>
      <c r="J235" s="1">
        <f ca="1">IFERROR(__xludf.DUMMYFUNCTION("""COMPUTED_VALUE"""),68.4)</f>
        <v>68.400000000000006</v>
      </c>
      <c r="K235" s="1">
        <f ca="1">IFERROR(__xludf.DUMMYFUNCTION("""COMPUTED_VALUE"""),171)</f>
        <v>171</v>
      </c>
      <c r="L235" s="1" t="str">
        <f ca="1">IFERROR(__xludf.DUMMYFUNCTION("""COMPUTED_VALUE"""),"+.009")</f>
        <v>+.009</v>
      </c>
      <c r="M235" s="1">
        <f ca="1">IFERROR(__xludf.DUMMYFUNCTION("""COMPUTED_VALUE"""),150)</f>
        <v>150</v>
      </c>
      <c r="N235" s="1">
        <f ca="1">IFERROR(__xludf.DUMMYFUNCTION("""COMPUTED_VALUE"""),-2.17)</f>
        <v>-2.17</v>
      </c>
      <c r="O235" s="1">
        <f ca="1">IFERROR(__xludf.DUMMYFUNCTION("""COMPUTED_VALUE"""),198)</f>
        <v>198</v>
      </c>
      <c r="P235" s="1">
        <f ca="1">IFERROR(__xludf.DUMMYFUNCTION("""COMPUTED_VALUE"""),104.2)</f>
        <v>104.2</v>
      </c>
      <c r="Q235" s="1">
        <f ca="1">IFERROR(__xludf.DUMMYFUNCTION("""COMPUTED_VALUE"""),184)</f>
        <v>184</v>
      </c>
      <c r="R235" s="1">
        <f ca="1">IFERROR(__xludf.DUMMYFUNCTION("""COMPUTED_VALUE"""),106.4)</f>
        <v>106.4</v>
      </c>
      <c r="S235" s="1">
        <f ca="1">IFERROR(__xludf.DUMMYFUNCTION("""COMPUTED_VALUE"""),216)</f>
        <v>216</v>
      </c>
      <c r="T235" s="1" t="str">
        <f ca="1">IFERROR(__xludf.DUMMYFUNCTION("""COMPUTED_VALUE"""),"+1.11")</f>
        <v>+1.11</v>
      </c>
      <c r="U235" s="1">
        <f ca="1">IFERROR(__xludf.DUMMYFUNCTION("""COMPUTED_VALUE"""),131)</f>
        <v>131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IFERROR(__xludf.DUMMYFUNCTION("""COMPUTED_VALUE"""),"Colorado St.")</f>
        <v>Colorado St.</v>
      </c>
      <c r="C236" s="1" t="str">
        <f ca="1">IFERROR(__xludf.DUMMYFUNCTION("""COMPUTED_VALUE"""),"MWC")</f>
        <v>MWC</v>
      </c>
      <c r="D236" s="2">
        <f ca="1">IFERROR(__xludf.DUMMYFUNCTION("""COMPUTED_VALUE"""),44886)</f>
        <v>44886</v>
      </c>
      <c r="E236" s="1">
        <f ca="1">IFERROR(__xludf.DUMMYFUNCTION("""COMPUTED_VALUE"""),-5.66)</f>
        <v>-5.66</v>
      </c>
      <c r="F236" s="1">
        <f ca="1">IFERROR(__xludf.DUMMYFUNCTION("""COMPUTED_VALUE"""),102.6)</f>
        <v>102.6</v>
      </c>
      <c r="G236" s="1">
        <f ca="1">IFERROR(__xludf.DUMMYFUNCTION("""COMPUTED_VALUE"""),214)</f>
        <v>214</v>
      </c>
      <c r="H236" s="1">
        <f ca="1">IFERROR(__xludf.DUMMYFUNCTION("""COMPUTED_VALUE"""),108.3)</f>
        <v>108.3</v>
      </c>
      <c r="I236" s="1">
        <f ca="1">IFERROR(__xludf.DUMMYFUNCTION("""COMPUTED_VALUE"""),237)</f>
        <v>237</v>
      </c>
      <c r="J236" s="1">
        <f ca="1">IFERROR(__xludf.DUMMYFUNCTION("""COMPUTED_VALUE"""),69.6)</f>
        <v>69.599999999999994</v>
      </c>
      <c r="K236" s="1">
        <f ca="1">IFERROR(__xludf.DUMMYFUNCTION("""COMPUTED_VALUE"""),97)</f>
        <v>97</v>
      </c>
      <c r="L236" s="1" t="str">
        <f ca="1">IFERROR(__xludf.DUMMYFUNCTION("""COMPUTED_VALUE"""),"+.037")</f>
        <v>+.037</v>
      </c>
      <c r="M236" s="1">
        <f ca="1">IFERROR(__xludf.DUMMYFUNCTION("""COMPUTED_VALUE"""),86)</f>
        <v>86</v>
      </c>
      <c r="N236" s="1" t="str">
        <f ca="1">IFERROR(__xludf.DUMMYFUNCTION("""COMPUTED_VALUE"""),"+3.92")</f>
        <v>+3.92</v>
      </c>
      <c r="O236" s="1">
        <f ca="1">IFERROR(__xludf.DUMMYFUNCTION("""COMPUTED_VALUE"""),80)</f>
        <v>80</v>
      </c>
      <c r="P236" s="1">
        <f ca="1">IFERROR(__xludf.DUMMYFUNCTION("""COMPUTED_VALUE"""),107.1)</f>
        <v>107.1</v>
      </c>
      <c r="Q236" s="1">
        <f ca="1">IFERROR(__xludf.DUMMYFUNCTION("""COMPUTED_VALUE"""),85)</f>
        <v>85</v>
      </c>
      <c r="R236" s="1">
        <f ca="1">IFERROR(__xludf.DUMMYFUNCTION("""COMPUTED_VALUE"""),103.2)</f>
        <v>103.2</v>
      </c>
      <c r="S236" s="1">
        <f ca="1">IFERROR(__xludf.DUMMYFUNCTION("""COMPUTED_VALUE"""),85)</f>
        <v>85</v>
      </c>
      <c r="T236" s="1" t="str">
        <f ca="1">IFERROR(__xludf.DUMMYFUNCTION("""COMPUTED_VALUE"""),"+1.14")</f>
        <v>+1.14</v>
      </c>
      <c r="U236" s="1">
        <f ca="1">IFERROR(__xludf.DUMMYFUNCTION("""COMPUTED_VALUE"""),129)</f>
        <v>129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IFERROR(__xludf.DUMMYFUNCTION("""COMPUTED_VALUE"""),"Navy")</f>
        <v>Navy</v>
      </c>
      <c r="C237" s="1" t="str">
        <f ca="1">IFERROR(__xludf.DUMMYFUNCTION("""COMPUTED_VALUE"""),"Pat")</f>
        <v>Pat</v>
      </c>
      <c r="D237" s="1" t="str">
        <f ca="1">IFERROR(__xludf.DUMMYFUNCTION("""COMPUTED_VALUE"""),"20-12")</f>
        <v>20-12</v>
      </c>
      <c r="E237" s="1">
        <f ca="1">IFERROR(__xludf.DUMMYFUNCTION("""COMPUTED_VALUE"""),-5.67)</f>
        <v>-5.67</v>
      </c>
      <c r="F237" s="1">
        <f ca="1">IFERROR(__xludf.DUMMYFUNCTION("""COMPUTED_VALUE"""),98.7)</f>
        <v>98.7</v>
      </c>
      <c r="G237" s="1">
        <f ca="1">IFERROR(__xludf.DUMMYFUNCTION("""COMPUTED_VALUE"""),284)</f>
        <v>284</v>
      </c>
      <c r="H237" s="1">
        <f ca="1">IFERROR(__xludf.DUMMYFUNCTION("""COMPUTED_VALUE"""),104.3)</f>
        <v>104.3</v>
      </c>
      <c r="I237" s="1">
        <f ca="1">IFERROR(__xludf.DUMMYFUNCTION("""COMPUTED_VALUE"""),162)</f>
        <v>162</v>
      </c>
      <c r="J237" s="1">
        <f ca="1">IFERROR(__xludf.DUMMYFUNCTION("""COMPUTED_VALUE"""),65.4)</f>
        <v>65.400000000000006</v>
      </c>
      <c r="K237" s="1">
        <f ca="1">IFERROR(__xludf.DUMMYFUNCTION("""COMPUTED_VALUE"""),310)</f>
        <v>310</v>
      </c>
      <c r="L237" s="1" t="str">
        <f ca="1">IFERROR(__xludf.DUMMYFUNCTION("""COMPUTED_VALUE"""),"+.095")</f>
        <v>+.095</v>
      </c>
      <c r="M237" s="1">
        <f ca="1">IFERROR(__xludf.DUMMYFUNCTION("""COMPUTED_VALUE"""),15)</f>
        <v>15</v>
      </c>
      <c r="N237" s="1">
        <f ca="1">IFERROR(__xludf.DUMMYFUNCTION("""COMPUTED_VALUE"""),-8.2)</f>
        <v>-8.1999999999999993</v>
      </c>
      <c r="O237" s="1">
        <f ca="1">IFERROR(__xludf.DUMMYFUNCTION("""COMPUTED_VALUE"""),333)</f>
        <v>333</v>
      </c>
      <c r="P237" s="1">
        <f ca="1">IFERROR(__xludf.DUMMYFUNCTION("""COMPUTED_VALUE"""),100.8)</f>
        <v>100.8</v>
      </c>
      <c r="Q237" s="1">
        <f ca="1">IFERROR(__xludf.DUMMYFUNCTION("""COMPUTED_VALUE"""),324)</f>
        <v>324</v>
      </c>
      <c r="R237" s="1">
        <f ca="1">IFERROR(__xludf.DUMMYFUNCTION("""COMPUTED_VALUE"""),109)</f>
        <v>109</v>
      </c>
      <c r="S237" s="1">
        <f ca="1">IFERROR(__xludf.DUMMYFUNCTION("""COMPUTED_VALUE"""),335)</f>
        <v>335</v>
      </c>
      <c r="T237" s="1">
        <f ca="1">IFERROR(__xludf.DUMMYFUNCTION("""COMPUTED_VALUE"""),-6.56)</f>
        <v>-6.56</v>
      </c>
      <c r="U237" s="1">
        <f ca="1">IFERROR(__xludf.DUMMYFUNCTION("""COMPUTED_VALUE"""),325)</f>
        <v>325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IFERROR(__xludf.DUMMYFUNCTION("""COMPUTED_VALUE"""),"Idaho St.")</f>
        <v>Idaho St.</v>
      </c>
      <c r="C238" s="1" t="str">
        <f ca="1">IFERROR(__xludf.DUMMYFUNCTION("""COMPUTED_VALUE"""),"BSky")</f>
        <v>BSky</v>
      </c>
      <c r="D238" s="1" t="str">
        <f ca="1">IFERROR(__xludf.DUMMYFUNCTION("""COMPUTED_VALUE"""),"14-16")</f>
        <v>14-16</v>
      </c>
      <c r="E238" s="1">
        <f ca="1">IFERROR(__xludf.DUMMYFUNCTION("""COMPUTED_VALUE"""),-5.7)</f>
        <v>-5.7</v>
      </c>
      <c r="F238" s="1">
        <f ca="1">IFERROR(__xludf.DUMMYFUNCTION("""COMPUTED_VALUE"""),103.2)</f>
        <v>103.2</v>
      </c>
      <c r="G238" s="1">
        <f ca="1">IFERROR(__xludf.DUMMYFUNCTION("""COMPUTED_VALUE"""),204)</f>
        <v>204</v>
      </c>
      <c r="H238" s="1">
        <f ca="1">IFERROR(__xludf.DUMMYFUNCTION("""COMPUTED_VALUE"""),108.9)</f>
        <v>108.9</v>
      </c>
      <c r="I238" s="1">
        <f ca="1">IFERROR(__xludf.DUMMYFUNCTION("""COMPUTED_VALUE"""),257)</f>
        <v>257</v>
      </c>
      <c r="J238" s="1">
        <f ca="1">IFERROR(__xludf.DUMMYFUNCTION("""COMPUTED_VALUE"""),68.1)</f>
        <v>68.099999999999994</v>
      </c>
      <c r="K238" s="1">
        <f ca="1">IFERROR(__xludf.DUMMYFUNCTION("""COMPUTED_VALUE"""),181)</f>
        <v>181</v>
      </c>
      <c r="L238" s="1">
        <f ca="1">IFERROR(__xludf.DUMMYFUNCTION("""COMPUTED_VALUE"""),-0.005)</f>
        <v>-5.0000000000000001E-3</v>
      </c>
      <c r="M238" s="1">
        <f ca="1">IFERROR(__xludf.DUMMYFUNCTION("""COMPUTED_VALUE"""),186)</f>
        <v>186</v>
      </c>
      <c r="N238" s="1">
        <f ca="1">IFERROR(__xludf.DUMMYFUNCTION("""COMPUTED_VALUE"""),-3.69)</f>
        <v>-3.69</v>
      </c>
      <c r="O238" s="1">
        <f ca="1">IFERROR(__xludf.DUMMYFUNCTION("""COMPUTED_VALUE"""),248)</f>
        <v>248</v>
      </c>
      <c r="P238" s="1">
        <f ca="1">IFERROR(__xludf.DUMMYFUNCTION("""COMPUTED_VALUE"""),103.8)</f>
        <v>103.8</v>
      </c>
      <c r="Q238" s="1">
        <f ca="1">IFERROR(__xludf.DUMMYFUNCTION("""COMPUTED_VALUE"""),200)</f>
        <v>200</v>
      </c>
      <c r="R238" s="1">
        <f ca="1">IFERROR(__xludf.DUMMYFUNCTION("""COMPUTED_VALUE"""),107.5)</f>
        <v>107.5</v>
      </c>
      <c r="S238" s="1">
        <f ca="1">IFERROR(__xludf.DUMMYFUNCTION("""COMPUTED_VALUE"""),277)</f>
        <v>277</v>
      </c>
      <c r="T238" s="1">
        <f ca="1">IFERROR(__xludf.DUMMYFUNCTION("""COMPUTED_VALUE"""),-2.39)</f>
        <v>-2.39</v>
      </c>
      <c r="U238" s="1">
        <f ca="1">IFERROR(__xludf.DUMMYFUNCTION("""COMPUTED_VALUE"""),228)</f>
        <v>228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IFERROR(__xludf.DUMMYFUNCTION("""COMPUTED_VALUE"""),"Pittsburgh")</f>
        <v>Pittsburgh</v>
      </c>
      <c r="C239" s="1" t="str">
        <f ca="1">IFERROR(__xludf.DUMMYFUNCTION("""COMPUTED_VALUE"""),"ACC")</f>
        <v>ACC</v>
      </c>
      <c r="D239" s="2">
        <f ca="1">IFERROR(__xludf.DUMMYFUNCTION("""COMPUTED_VALUE"""),44797)</f>
        <v>44797</v>
      </c>
      <c r="E239" s="1">
        <f ca="1">IFERROR(__xludf.DUMMYFUNCTION("""COMPUTED_VALUE"""),-5.76)</f>
        <v>-5.76</v>
      </c>
      <c r="F239" s="1">
        <f ca="1">IFERROR(__xludf.DUMMYFUNCTION("""COMPUTED_VALUE"""),98.9)</f>
        <v>98.9</v>
      </c>
      <c r="G239" s="1">
        <f ca="1">IFERROR(__xludf.DUMMYFUNCTION("""COMPUTED_VALUE"""),278)</f>
        <v>278</v>
      </c>
      <c r="H239" s="1">
        <f ca="1">IFERROR(__xludf.DUMMYFUNCTION("""COMPUTED_VALUE"""),104.7)</f>
        <v>104.7</v>
      </c>
      <c r="I239" s="1">
        <f ca="1">IFERROR(__xludf.DUMMYFUNCTION("""COMPUTED_VALUE"""),166)</f>
        <v>166</v>
      </c>
      <c r="J239" s="1">
        <f ca="1">IFERROR(__xludf.DUMMYFUNCTION("""COMPUTED_VALUE"""),65.2)</f>
        <v>65.2</v>
      </c>
      <c r="K239" s="1">
        <f ca="1">IFERROR(__xludf.DUMMYFUNCTION("""COMPUTED_VALUE"""),318)</f>
        <v>318</v>
      </c>
      <c r="L239" s="1" t="str">
        <f ca="1">IFERROR(__xludf.DUMMYFUNCTION("""COMPUTED_VALUE"""),"+.007")</f>
        <v>+.007</v>
      </c>
      <c r="M239" s="1">
        <f ca="1">IFERROR(__xludf.DUMMYFUNCTION("""COMPUTED_VALUE"""),156)</f>
        <v>156</v>
      </c>
      <c r="N239" s="1" t="str">
        <f ca="1">IFERROR(__xludf.DUMMYFUNCTION("""COMPUTED_VALUE"""),"+9.14")</f>
        <v>+9.14</v>
      </c>
      <c r="O239" s="1">
        <f ca="1">IFERROR(__xludf.DUMMYFUNCTION("""COMPUTED_VALUE"""),39)</f>
        <v>39</v>
      </c>
      <c r="P239" s="1">
        <f ca="1">IFERROR(__xludf.DUMMYFUNCTION("""COMPUTED_VALUE"""),110)</f>
        <v>110</v>
      </c>
      <c r="Q239" s="1">
        <f ca="1">IFERROR(__xludf.DUMMYFUNCTION("""COMPUTED_VALUE"""),34)</f>
        <v>34</v>
      </c>
      <c r="R239" s="1">
        <f ca="1">IFERROR(__xludf.DUMMYFUNCTION("""COMPUTED_VALUE"""),100.8)</f>
        <v>100.8</v>
      </c>
      <c r="S239" s="1">
        <f ca="1">IFERROR(__xludf.DUMMYFUNCTION("""COMPUTED_VALUE"""),36)</f>
        <v>36</v>
      </c>
      <c r="T239" s="1">
        <f ca="1">IFERROR(__xludf.DUMMYFUNCTION("""COMPUTED_VALUE"""),-3.57)</f>
        <v>-3.57</v>
      </c>
      <c r="U239" s="1">
        <f ca="1">IFERROR(__xludf.DUMMYFUNCTION("""COMPUTED_VALUE"""),278)</f>
        <v>278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IFERROR(__xludf.DUMMYFUNCTION("""COMPUTED_VALUE"""),"Texas St.")</f>
        <v>Texas St.</v>
      </c>
      <c r="C240" s="1" t="str">
        <f ca="1">IFERROR(__xludf.DUMMYFUNCTION("""COMPUTED_VALUE"""),"SB")</f>
        <v>SB</v>
      </c>
      <c r="D240" s="1" t="str">
        <f ca="1">IFERROR(__xludf.DUMMYFUNCTION("""COMPUTED_VALUE"""),"15-18")</f>
        <v>15-18</v>
      </c>
      <c r="E240" s="1">
        <f ca="1">IFERROR(__xludf.DUMMYFUNCTION("""COMPUTED_VALUE"""),-5.79)</f>
        <v>-5.79</v>
      </c>
      <c r="F240" s="1">
        <f ca="1">IFERROR(__xludf.DUMMYFUNCTION("""COMPUTED_VALUE"""),99.8)</f>
        <v>99.8</v>
      </c>
      <c r="G240" s="1">
        <f ca="1">IFERROR(__xludf.DUMMYFUNCTION("""COMPUTED_VALUE"""),261)</f>
        <v>261</v>
      </c>
      <c r="H240" s="1">
        <f ca="1">IFERROR(__xludf.DUMMYFUNCTION("""COMPUTED_VALUE"""),105.6)</f>
        <v>105.6</v>
      </c>
      <c r="I240" s="1">
        <f ca="1">IFERROR(__xludf.DUMMYFUNCTION("""COMPUTED_VALUE"""),183)</f>
        <v>183</v>
      </c>
      <c r="J240" s="1">
        <f ca="1">IFERROR(__xludf.DUMMYFUNCTION("""COMPUTED_VALUE"""),62.7)</f>
        <v>62.7</v>
      </c>
      <c r="K240" s="1">
        <f ca="1">IFERROR(__xludf.DUMMYFUNCTION("""COMPUTED_VALUE"""),348)</f>
        <v>348</v>
      </c>
      <c r="L240" s="1" t="str">
        <f ca="1">IFERROR(__xludf.DUMMYFUNCTION("""COMPUTED_VALUE"""),"+.003")</f>
        <v>+.003</v>
      </c>
      <c r="M240" s="1">
        <f ca="1">IFERROR(__xludf.DUMMYFUNCTION("""COMPUTED_VALUE"""),170)</f>
        <v>170</v>
      </c>
      <c r="N240" s="1">
        <f ca="1">IFERROR(__xludf.DUMMYFUNCTION("""COMPUTED_VALUE"""),-2.99)</f>
        <v>-2.99</v>
      </c>
      <c r="O240" s="1">
        <f ca="1">IFERROR(__xludf.DUMMYFUNCTION("""COMPUTED_VALUE"""),231)</f>
        <v>231</v>
      </c>
      <c r="P240" s="1">
        <f ca="1">IFERROR(__xludf.DUMMYFUNCTION("""COMPUTED_VALUE"""),103.1)</f>
        <v>103.1</v>
      </c>
      <c r="Q240" s="1">
        <f ca="1">IFERROR(__xludf.DUMMYFUNCTION("""COMPUTED_VALUE"""),242)</f>
        <v>242</v>
      </c>
      <c r="R240" s="1">
        <f ca="1">IFERROR(__xludf.DUMMYFUNCTION("""COMPUTED_VALUE"""),106.1)</f>
        <v>106.1</v>
      </c>
      <c r="S240" s="1">
        <f ca="1">IFERROR(__xludf.DUMMYFUNCTION("""COMPUTED_VALUE"""),196)</f>
        <v>196</v>
      </c>
      <c r="T240" s="1">
        <f ca="1">IFERROR(__xludf.DUMMYFUNCTION("""COMPUTED_VALUE"""),-6.83)</f>
        <v>-6.83</v>
      </c>
      <c r="U240" s="1">
        <f ca="1">IFERROR(__xludf.DUMMYFUNCTION("""COMPUTED_VALUE"""),329)</f>
        <v>329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IFERROR(__xludf.DUMMYFUNCTION("""COMPUTED_VALUE"""),"James Madison")</f>
        <v>James Madison</v>
      </c>
      <c r="C241" s="1" t="str">
        <f ca="1">IFERROR(__xludf.DUMMYFUNCTION("""COMPUTED_VALUE"""),"CAA")</f>
        <v>CAA</v>
      </c>
      <c r="D241" s="2">
        <f ca="1">IFERROR(__xludf.DUMMYFUNCTION("""COMPUTED_VALUE"""),44856)</f>
        <v>44856</v>
      </c>
      <c r="E241" s="1">
        <f ca="1">IFERROR(__xludf.DUMMYFUNCTION("""COMPUTED_VALUE"""),-5.97)</f>
        <v>-5.97</v>
      </c>
      <c r="F241" s="1">
        <f ca="1">IFERROR(__xludf.DUMMYFUNCTION("""COMPUTED_VALUE"""),101.4)</f>
        <v>101.4</v>
      </c>
      <c r="G241" s="1">
        <f ca="1">IFERROR(__xludf.DUMMYFUNCTION("""COMPUTED_VALUE"""),241)</f>
        <v>241</v>
      </c>
      <c r="H241" s="1">
        <f ca="1">IFERROR(__xludf.DUMMYFUNCTION("""COMPUTED_VALUE"""),107.4)</f>
        <v>107.4</v>
      </c>
      <c r="I241" s="1">
        <f ca="1">IFERROR(__xludf.DUMMYFUNCTION("""COMPUTED_VALUE"""),221)</f>
        <v>221</v>
      </c>
      <c r="J241" s="1">
        <f ca="1">IFERROR(__xludf.DUMMYFUNCTION("""COMPUTED_VALUE"""),67.9)</f>
        <v>67.900000000000006</v>
      </c>
      <c r="K241" s="1">
        <f ca="1">IFERROR(__xludf.DUMMYFUNCTION("""COMPUTED_VALUE"""),191)</f>
        <v>191</v>
      </c>
      <c r="L241" s="1">
        <f ca="1">IFERROR(__xludf.DUMMYFUNCTION("""COMPUTED_VALUE"""),-0.025)</f>
        <v>-2.5000000000000001E-2</v>
      </c>
      <c r="M241" s="1">
        <f ca="1">IFERROR(__xludf.DUMMYFUNCTION("""COMPUTED_VALUE"""),251)</f>
        <v>251</v>
      </c>
      <c r="N241" s="1">
        <f ca="1">IFERROR(__xludf.DUMMYFUNCTION("""COMPUTED_VALUE"""),-2.06)</f>
        <v>-2.06</v>
      </c>
      <c r="O241" s="1">
        <f ca="1">IFERROR(__xludf.DUMMYFUNCTION("""COMPUTED_VALUE"""),190)</f>
        <v>190</v>
      </c>
      <c r="P241" s="1">
        <f ca="1">IFERROR(__xludf.DUMMYFUNCTION("""COMPUTED_VALUE"""),105.6)</f>
        <v>105.6</v>
      </c>
      <c r="Q241" s="1">
        <f ca="1">IFERROR(__xludf.DUMMYFUNCTION("""COMPUTED_VALUE"""),119)</f>
        <v>119</v>
      </c>
      <c r="R241" s="1">
        <f ca="1">IFERROR(__xludf.DUMMYFUNCTION("""COMPUTED_VALUE"""),107.6)</f>
        <v>107.6</v>
      </c>
      <c r="S241" s="1">
        <f ca="1">IFERROR(__xludf.DUMMYFUNCTION("""COMPUTED_VALUE"""),286)</f>
        <v>286</v>
      </c>
      <c r="T241" s="1">
        <f ca="1">IFERROR(__xludf.DUMMYFUNCTION("""COMPUTED_VALUE"""),-0.83)</f>
        <v>-0.83</v>
      </c>
      <c r="U241" s="1">
        <f ca="1">IFERROR(__xludf.DUMMYFUNCTION("""COMPUTED_VALUE"""),179)</f>
        <v>179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IFERROR(__xludf.DUMMYFUNCTION("""COMPUTED_VALUE"""),"Louisiana Monroe")</f>
        <v>Louisiana Monroe</v>
      </c>
      <c r="C242" s="1" t="str">
        <f ca="1">IFERROR(__xludf.DUMMYFUNCTION("""COMPUTED_VALUE"""),"SB")</f>
        <v>SB</v>
      </c>
      <c r="D242" s="1" t="str">
        <f ca="1">IFERROR(__xludf.DUMMYFUNCTION("""COMPUTED_VALUE"""),"16-16")</f>
        <v>16-16</v>
      </c>
      <c r="E242" s="1">
        <f ca="1">IFERROR(__xludf.DUMMYFUNCTION("""COMPUTED_VALUE"""),-6)</f>
        <v>-6</v>
      </c>
      <c r="F242" s="1">
        <f ca="1">IFERROR(__xludf.DUMMYFUNCTION("""COMPUTED_VALUE"""),100.5)</f>
        <v>100.5</v>
      </c>
      <c r="G242" s="1">
        <f ca="1">IFERROR(__xludf.DUMMYFUNCTION("""COMPUTED_VALUE"""),251)</f>
        <v>251</v>
      </c>
      <c r="H242" s="1">
        <f ca="1">IFERROR(__xludf.DUMMYFUNCTION("""COMPUTED_VALUE"""),106.5)</f>
        <v>106.5</v>
      </c>
      <c r="I242" s="1">
        <f ca="1">IFERROR(__xludf.DUMMYFUNCTION("""COMPUTED_VALUE"""),196)</f>
        <v>196</v>
      </c>
      <c r="J242" s="1">
        <f ca="1">IFERROR(__xludf.DUMMYFUNCTION("""COMPUTED_VALUE"""),66.1)</f>
        <v>66.099999999999994</v>
      </c>
      <c r="K242" s="1">
        <f ca="1">IFERROR(__xludf.DUMMYFUNCTION("""COMPUTED_VALUE"""),278)</f>
        <v>278</v>
      </c>
      <c r="L242" s="1" t="str">
        <f ca="1">IFERROR(__xludf.DUMMYFUNCTION("""COMPUTED_VALUE"""),"+.042")</f>
        <v>+.042</v>
      </c>
      <c r="M242" s="1">
        <f ca="1">IFERROR(__xludf.DUMMYFUNCTION("""COMPUTED_VALUE"""),70)</f>
        <v>70</v>
      </c>
      <c r="N242" s="1">
        <f ca="1">IFERROR(__xludf.DUMMYFUNCTION("""COMPUTED_VALUE"""),-2.83)</f>
        <v>-2.83</v>
      </c>
      <c r="O242" s="1">
        <f ca="1">IFERROR(__xludf.DUMMYFUNCTION("""COMPUTED_VALUE"""),221)</f>
        <v>221</v>
      </c>
      <c r="P242" s="1">
        <f ca="1">IFERROR(__xludf.DUMMYFUNCTION("""COMPUTED_VALUE"""),102.7)</f>
        <v>102.7</v>
      </c>
      <c r="Q242" s="1">
        <f ca="1">IFERROR(__xludf.DUMMYFUNCTION("""COMPUTED_VALUE"""),264)</f>
        <v>264</v>
      </c>
      <c r="R242" s="1">
        <f ca="1">IFERROR(__xludf.DUMMYFUNCTION("""COMPUTED_VALUE"""),105.6)</f>
        <v>105.6</v>
      </c>
      <c r="S242" s="1">
        <f ca="1">IFERROR(__xludf.DUMMYFUNCTION("""COMPUTED_VALUE"""),170)</f>
        <v>170</v>
      </c>
      <c r="T242" s="1">
        <f ca="1">IFERROR(__xludf.DUMMYFUNCTION("""COMPUTED_VALUE"""),-3.19)</f>
        <v>-3.19</v>
      </c>
      <c r="U242" s="1">
        <f ca="1">IFERROR(__xludf.DUMMYFUNCTION("""COMPUTED_VALUE"""),261)</f>
        <v>261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IFERROR(__xludf.DUMMYFUNCTION("""COMPUTED_VALUE"""),"Columbia")</f>
        <v>Columbia</v>
      </c>
      <c r="C243" s="1" t="str">
        <f ca="1">IFERROR(__xludf.DUMMYFUNCTION("""COMPUTED_VALUE"""),"Ivy")</f>
        <v>Ivy</v>
      </c>
      <c r="D243" s="2">
        <f ca="1">IFERROR(__xludf.DUMMYFUNCTION("""COMPUTED_VALUE"""),44792)</f>
        <v>44792</v>
      </c>
      <c r="E243" s="1">
        <f ca="1">IFERROR(__xludf.DUMMYFUNCTION("""COMPUTED_VALUE"""),-6.01)</f>
        <v>-6.01</v>
      </c>
      <c r="F243" s="1">
        <f ca="1">IFERROR(__xludf.DUMMYFUNCTION("""COMPUTED_VALUE"""),107.3)</f>
        <v>107.3</v>
      </c>
      <c r="G243" s="1">
        <f ca="1">IFERROR(__xludf.DUMMYFUNCTION("""COMPUTED_VALUE"""),128)</f>
        <v>128</v>
      </c>
      <c r="H243" s="1">
        <f ca="1">IFERROR(__xludf.DUMMYFUNCTION("""COMPUTED_VALUE"""),113.3)</f>
        <v>113.3</v>
      </c>
      <c r="I243" s="1">
        <f ca="1">IFERROR(__xludf.DUMMYFUNCTION("""COMPUTED_VALUE"""),321)</f>
        <v>321</v>
      </c>
      <c r="J243" s="1">
        <f ca="1">IFERROR(__xludf.DUMMYFUNCTION("""COMPUTED_VALUE"""),70)</f>
        <v>70</v>
      </c>
      <c r="K243" s="1">
        <f ca="1">IFERROR(__xludf.DUMMYFUNCTION("""COMPUTED_VALUE"""),80)</f>
        <v>80</v>
      </c>
      <c r="L243" s="1">
        <f ca="1">IFERROR(__xludf.DUMMYFUNCTION("""COMPUTED_VALUE"""),-0.146)</f>
        <v>-0.14599999999999999</v>
      </c>
      <c r="M243" s="1">
        <f ca="1">IFERROR(__xludf.DUMMYFUNCTION("""COMPUTED_VALUE"""),351)</f>
        <v>351</v>
      </c>
      <c r="N243" s="1">
        <f ca="1">IFERROR(__xludf.DUMMYFUNCTION("""COMPUTED_VALUE"""),-3.5)</f>
        <v>-3.5</v>
      </c>
      <c r="O243" s="1">
        <f ca="1">IFERROR(__xludf.DUMMYFUNCTION("""COMPUTED_VALUE"""),242)</f>
        <v>242</v>
      </c>
      <c r="P243" s="1">
        <f ca="1">IFERROR(__xludf.DUMMYFUNCTION("""COMPUTED_VALUE"""),102.7)</f>
        <v>102.7</v>
      </c>
      <c r="Q243" s="1">
        <f ca="1">IFERROR(__xludf.DUMMYFUNCTION("""COMPUTED_VALUE"""),263)</f>
        <v>263</v>
      </c>
      <c r="R243" s="1">
        <f ca="1">IFERROR(__xludf.DUMMYFUNCTION("""COMPUTED_VALUE"""),106.2)</f>
        <v>106.2</v>
      </c>
      <c r="S243" s="1">
        <f ca="1">IFERROR(__xludf.DUMMYFUNCTION("""COMPUTED_VALUE"""),206)</f>
        <v>206</v>
      </c>
      <c r="T243" s="1">
        <f ca="1">IFERROR(__xludf.DUMMYFUNCTION("""COMPUTED_VALUE"""),-1.21)</f>
        <v>-1.21</v>
      </c>
      <c r="U243" s="1">
        <f ca="1">IFERROR(__xludf.DUMMYFUNCTION("""COMPUTED_VALUE"""),188)</f>
        <v>188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IFERROR(__xludf.DUMMYFUNCTION("""COMPUTED_VALUE"""),"Bowling Green")</f>
        <v>Bowling Green</v>
      </c>
      <c r="C244" s="1" t="str">
        <f ca="1">IFERROR(__xludf.DUMMYFUNCTION("""COMPUTED_VALUE"""),"MAC")</f>
        <v>MAC</v>
      </c>
      <c r="D244" s="1" t="str">
        <f ca="1">IFERROR(__xludf.DUMMYFUNCTION("""COMPUTED_VALUE"""),"16-16")</f>
        <v>16-16</v>
      </c>
      <c r="E244" s="1">
        <f ca="1">IFERROR(__xludf.DUMMYFUNCTION("""COMPUTED_VALUE"""),-6.04)</f>
        <v>-6.04</v>
      </c>
      <c r="F244" s="1">
        <f ca="1">IFERROR(__xludf.DUMMYFUNCTION("""COMPUTED_VALUE"""),102)</f>
        <v>102</v>
      </c>
      <c r="G244" s="1">
        <f ca="1">IFERROR(__xludf.DUMMYFUNCTION("""COMPUTED_VALUE"""),231)</f>
        <v>231</v>
      </c>
      <c r="H244" s="1">
        <f ca="1">IFERROR(__xludf.DUMMYFUNCTION("""COMPUTED_VALUE"""),108.1)</f>
        <v>108.1</v>
      </c>
      <c r="I244" s="1">
        <f ca="1">IFERROR(__xludf.DUMMYFUNCTION("""COMPUTED_VALUE"""),233)</f>
        <v>233</v>
      </c>
      <c r="J244" s="1">
        <f ca="1">IFERROR(__xludf.DUMMYFUNCTION("""COMPUTED_VALUE"""),70)</f>
        <v>70</v>
      </c>
      <c r="K244" s="1">
        <f ca="1">IFERROR(__xludf.DUMMYFUNCTION("""COMPUTED_VALUE"""),76)</f>
        <v>76</v>
      </c>
      <c r="L244" s="1" t="str">
        <f ca="1">IFERROR(__xludf.DUMMYFUNCTION("""COMPUTED_VALUE"""),"+.066")</f>
        <v>+.066</v>
      </c>
      <c r="M244" s="1">
        <f ca="1">IFERROR(__xludf.DUMMYFUNCTION("""COMPUTED_VALUE"""),39)</f>
        <v>39</v>
      </c>
      <c r="N244" s="1">
        <f ca="1">IFERROR(__xludf.DUMMYFUNCTION("""COMPUTED_VALUE"""),-2.61)</f>
        <v>-2.61</v>
      </c>
      <c r="O244" s="1">
        <f ca="1">IFERROR(__xludf.DUMMYFUNCTION("""COMPUTED_VALUE"""),214)</f>
        <v>214</v>
      </c>
      <c r="P244" s="1">
        <f ca="1">IFERROR(__xludf.DUMMYFUNCTION("""COMPUTED_VALUE"""),103.8)</f>
        <v>103.8</v>
      </c>
      <c r="Q244" s="1">
        <f ca="1">IFERROR(__xludf.DUMMYFUNCTION("""COMPUTED_VALUE"""),199)</f>
        <v>199</v>
      </c>
      <c r="R244" s="1">
        <f ca="1">IFERROR(__xludf.DUMMYFUNCTION("""COMPUTED_VALUE"""),106.5)</f>
        <v>106.5</v>
      </c>
      <c r="S244" s="1">
        <f ca="1">IFERROR(__xludf.DUMMYFUNCTION("""COMPUTED_VALUE"""),224)</f>
        <v>224</v>
      </c>
      <c r="T244" s="1">
        <f ca="1">IFERROR(__xludf.DUMMYFUNCTION("""COMPUTED_VALUE"""),-4.63)</f>
        <v>-4.63</v>
      </c>
      <c r="U244" s="1">
        <f ca="1">IFERROR(__xludf.DUMMYFUNCTION("""COMPUTED_VALUE"""),298)</f>
        <v>298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IFERROR(__xludf.DUMMYFUNCTION("""COMPUTED_VALUE"""),"Florida Atlantic")</f>
        <v>Florida Atlantic</v>
      </c>
      <c r="C245" s="1" t="str">
        <f ca="1">IFERROR(__xludf.DUMMYFUNCTION("""COMPUTED_VALUE"""),"CUSA")</f>
        <v>CUSA</v>
      </c>
      <c r="D245" s="2">
        <f ca="1">IFERROR(__xludf.DUMMYFUNCTION("""COMPUTED_VALUE"""),44914)</f>
        <v>44914</v>
      </c>
      <c r="E245" s="1">
        <f ca="1">IFERROR(__xludf.DUMMYFUNCTION("""COMPUTED_VALUE"""),-6.1)</f>
        <v>-6.1</v>
      </c>
      <c r="F245" s="1">
        <f ca="1">IFERROR(__xludf.DUMMYFUNCTION("""COMPUTED_VALUE"""),95.9)</f>
        <v>95.9</v>
      </c>
      <c r="G245" s="1">
        <f ca="1">IFERROR(__xludf.DUMMYFUNCTION("""COMPUTED_VALUE"""),321)</f>
        <v>321</v>
      </c>
      <c r="H245" s="1">
        <f ca="1">IFERROR(__xludf.DUMMYFUNCTION("""COMPUTED_VALUE"""),102)</f>
        <v>102</v>
      </c>
      <c r="I245" s="1">
        <f ca="1">IFERROR(__xludf.DUMMYFUNCTION("""COMPUTED_VALUE"""),112)</f>
        <v>112</v>
      </c>
      <c r="J245" s="1">
        <f ca="1">IFERROR(__xludf.DUMMYFUNCTION("""COMPUTED_VALUE"""),69.2)</f>
        <v>69.2</v>
      </c>
      <c r="K245" s="1">
        <f ca="1">IFERROR(__xludf.DUMMYFUNCTION("""COMPUTED_VALUE"""),119)</f>
        <v>119</v>
      </c>
      <c r="L245" s="1">
        <f ca="1">IFERROR(__xludf.DUMMYFUNCTION("""COMPUTED_VALUE"""),-0.025)</f>
        <v>-2.5000000000000001E-2</v>
      </c>
      <c r="M245" s="1">
        <f ca="1">IFERROR(__xludf.DUMMYFUNCTION("""COMPUTED_VALUE"""),248)</f>
        <v>248</v>
      </c>
      <c r="N245" s="1">
        <f ca="1">IFERROR(__xludf.DUMMYFUNCTION("""COMPUTED_VALUE"""),-0.28)</f>
        <v>-0.28000000000000003</v>
      </c>
      <c r="O245" s="1">
        <f ca="1">IFERROR(__xludf.DUMMYFUNCTION("""COMPUTED_VALUE"""),144)</f>
        <v>144</v>
      </c>
      <c r="P245" s="1">
        <f ca="1">IFERROR(__xludf.DUMMYFUNCTION("""COMPUTED_VALUE"""),104.8)</f>
        <v>104.8</v>
      </c>
      <c r="Q245" s="1">
        <f ca="1">IFERROR(__xludf.DUMMYFUNCTION("""COMPUTED_VALUE"""),157)</f>
        <v>157</v>
      </c>
      <c r="R245" s="1">
        <f ca="1">IFERROR(__xludf.DUMMYFUNCTION("""COMPUTED_VALUE"""),105.1)</f>
        <v>105.1</v>
      </c>
      <c r="S245" s="1">
        <f ca="1">IFERROR(__xludf.DUMMYFUNCTION("""COMPUTED_VALUE"""),142)</f>
        <v>142</v>
      </c>
      <c r="T245" s="1">
        <f ca="1">IFERROR(__xludf.DUMMYFUNCTION("""COMPUTED_VALUE"""),-0.38)</f>
        <v>-0.38</v>
      </c>
      <c r="U245" s="1">
        <f ca="1">IFERROR(__xludf.DUMMYFUNCTION("""COMPUTED_VALUE"""),168)</f>
        <v>168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IFERROR(__xludf.DUMMYFUNCTION("""COMPUTED_VALUE"""),"Loyola Marymount")</f>
        <v>Loyola Marymount</v>
      </c>
      <c r="C246" s="1" t="str">
        <f ca="1">IFERROR(__xludf.DUMMYFUNCTION("""COMPUTED_VALUE"""),"WCC")</f>
        <v>WCC</v>
      </c>
      <c r="D246" s="2">
        <f ca="1">IFERROR(__xludf.DUMMYFUNCTION("""COMPUTED_VALUE"""),44885)</f>
        <v>44885</v>
      </c>
      <c r="E246" s="1">
        <f ca="1">IFERROR(__xludf.DUMMYFUNCTION("""COMPUTED_VALUE"""),-6.17)</f>
        <v>-6.17</v>
      </c>
      <c r="F246" s="1">
        <f ca="1">IFERROR(__xludf.DUMMYFUNCTION("""COMPUTED_VALUE"""),107.2)</f>
        <v>107.2</v>
      </c>
      <c r="G246" s="1">
        <f ca="1">IFERROR(__xludf.DUMMYFUNCTION("""COMPUTED_VALUE"""),131)</f>
        <v>131</v>
      </c>
      <c r="H246" s="1">
        <f ca="1">IFERROR(__xludf.DUMMYFUNCTION("""COMPUTED_VALUE"""),113.4)</f>
        <v>113.4</v>
      </c>
      <c r="I246" s="1">
        <f ca="1">IFERROR(__xludf.DUMMYFUNCTION("""COMPUTED_VALUE"""),322)</f>
        <v>322</v>
      </c>
      <c r="J246" s="1">
        <f ca="1">IFERROR(__xludf.DUMMYFUNCTION("""COMPUTED_VALUE"""),66.9)</f>
        <v>66.900000000000006</v>
      </c>
      <c r="K246" s="1">
        <f ca="1">IFERROR(__xludf.DUMMYFUNCTION("""COMPUTED_VALUE"""),243)</f>
        <v>243</v>
      </c>
      <c r="L246" s="1" t="str">
        <f ca="1">IFERROR(__xludf.DUMMYFUNCTION("""COMPUTED_VALUE"""),"+.012")</f>
        <v>+.012</v>
      </c>
      <c r="M246" s="1">
        <f ca="1">IFERROR(__xludf.DUMMYFUNCTION("""COMPUTED_VALUE"""),142)</f>
        <v>142</v>
      </c>
      <c r="N246" s="1" t="str">
        <f ca="1">IFERROR(__xludf.DUMMYFUNCTION("""COMPUTED_VALUE"""),"+0.50")</f>
        <v>+0.50</v>
      </c>
      <c r="O246" s="1">
        <f ca="1">IFERROR(__xludf.DUMMYFUNCTION("""COMPUTED_VALUE"""),130)</f>
        <v>130</v>
      </c>
      <c r="P246" s="1">
        <f ca="1">IFERROR(__xludf.DUMMYFUNCTION("""COMPUTED_VALUE"""),105.3)</f>
        <v>105.3</v>
      </c>
      <c r="Q246" s="1">
        <f ca="1">IFERROR(__xludf.DUMMYFUNCTION("""COMPUTED_VALUE"""),137)</f>
        <v>137</v>
      </c>
      <c r="R246" s="1">
        <f ca="1">IFERROR(__xludf.DUMMYFUNCTION("""COMPUTED_VALUE"""),104.8)</f>
        <v>104.8</v>
      </c>
      <c r="S246" s="1">
        <f ca="1">IFERROR(__xludf.DUMMYFUNCTION("""COMPUTED_VALUE"""),126)</f>
        <v>126</v>
      </c>
      <c r="T246" s="1">
        <f ca="1">IFERROR(__xludf.DUMMYFUNCTION("""COMPUTED_VALUE"""),-2.55)</f>
        <v>-2.5499999999999998</v>
      </c>
      <c r="U246" s="1">
        <f ca="1">IFERROR(__xludf.DUMMYFUNCTION("""COMPUTED_VALUE"""),238)</f>
        <v>238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IFERROR(__xludf.DUMMYFUNCTION("""COMPUTED_VALUE"""),"Lehigh")</f>
        <v>Lehigh</v>
      </c>
      <c r="C247" s="1" t="str">
        <f ca="1">IFERROR(__xludf.DUMMYFUNCTION("""COMPUTED_VALUE"""),"Pat")</f>
        <v>Pat</v>
      </c>
      <c r="D247" s="1" t="str">
        <f ca="1">IFERROR(__xludf.DUMMYFUNCTION("""COMPUTED_VALUE"""),"16-14")</f>
        <v>16-14</v>
      </c>
      <c r="E247" s="1">
        <f ca="1">IFERROR(__xludf.DUMMYFUNCTION("""COMPUTED_VALUE"""),-6.23)</f>
        <v>-6.23</v>
      </c>
      <c r="F247" s="1">
        <f ca="1">IFERROR(__xludf.DUMMYFUNCTION("""COMPUTED_VALUE"""),105.7)</f>
        <v>105.7</v>
      </c>
      <c r="G247" s="1">
        <f ca="1">IFERROR(__xludf.DUMMYFUNCTION("""COMPUTED_VALUE"""),156)</f>
        <v>156</v>
      </c>
      <c r="H247" s="1">
        <f ca="1">IFERROR(__xludf.DUMMYFUNCTION("""COMPUTED_VALUE"""),111.9)</f>
        <v>111.9</v>
      </c>
      <c r="I247" s="1">
        <f ca="1">IFERROR(__xludf.DUMMYFUNCTION("""COMPUTED_VALUE"""),309)</f>
        <v>309</v>
      </c>
      <c r="J247" s="1">
        <f ca="1">IFERROR(__xludf.DUMMYFUNCTION("""COMPUTED_VALUE"""),70.8)</f>
        <v>70.8</v>
      </c>
      <c r="K247" s="1">
        <f ca="1">IFERROR(__xludf.DUMMYFUNCTION("""COMPUTED_VALUE"""),56)</f>
        <v>56</v>
      </c>
      <c r="L247" s="1" t="str">
        <f ca="1">IFERROR(__xludf.DUMMYFUNCTION("""COMPUTED_VALUE"""),"+.042")</f>
        <v>+.042</v>
      </c>
      <c r="M247" s="1">
        <f ca="1">IFERROR(__xludf.DUMMYFUNCTION("""COMPUTED_VALUE"""),72)</f>
        <v>72</v>
      </c>
      <c r="N247" s="1">
        <f ca="1">IFERROR(__xludf.DUMMYFUNCTION("""COMPUTED_VALUE"""),-6.82)</f>
        <v>-6.82</v>
      </c>
      <c r="O247" s="1">
        <f ca="1">IFERROR(__xludf.DUMMYFUNCTION("""COMPUTED_VALUE"""),312)</f>
        <v>312</v>
      </c>
      <c r="P247" s="1">
        <f ca="1">IFERROR(__xludf.DUMMYFUNCTION("""COMPUTED_VALUE"""),101.2)</f>
        <v>101.2</v>
      </c>
      <c r="Q247" s="1">
        <f ca="1">IFERROR(__xludf.DUMMYFUNCTION("""COMPUTED_VALUE"""),311)</f>
        <v>311</v>
      </c>
      <c r="R247" s="1">
        <f ca="1">IFERROR(__xludf.DUMMYFUNCTION("""COMPUTED_VALUE"""),108)</f>
        <v>108</v>
      </c>
      <c r="S247" s="1">
        <f ca="1">IFERROR(__xludf.DUMMYFUNCTION("""COMPUTED_VALUE"""),310)</f>
        <v>310</v>
      </c>
      <c r="T247" s="1">
        <f ca="1">IFERROR(__xludf.DUMMYFUNCTION("""COMPUTED_VALUE"""),-2.17)</f>
        <v>-2.17</v>
      </c>
      <c r="U247" s="1">
        <f ca="1">IFERROR(__xludf.DUMMYFUNCTION("""COMPUTED_VALUE"""),220)</f>
        <v>220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IFERROR(__xludf.DUMMYFUNCTION("""COMPUTED_VALUE"""),"Oral Roberts")</f>
        <v>Oral Roberts</v>
      </c>
      <c r="C248" s="1" t="str">
        <f ca="1">IFERROR(__xludf.DUMMYFUNCTION("""COMPUTED_VALUE"""),"Sum")</f>
        <v>Sum</v>
      </c>
      <c r="D248" s="2">
        <f ca="1">IFERROR(__xludf.DUMMYFUNCTION("""COMPUTED_VALUE"""),44886)</f>
        <v>44886</v>
      </c>
      <c r="E248" s="1">
        <f ca="1">IFERROR(__xludf.DUMMYFUNCTION("""COMPUTED_VALUE"""),-6.24)</f>
        <v>-6.24</v>
      </c>
      <c r="F248" s="1">
        <f ca="1">IFERROR(__xludf.DUMMYFUNCTION("""COMPUTED_VALUE"""),106)</f>
        <v>106</v>
      </c>
      <c r="G248" s="1">
        <f ca="1">IFERROR(__xludf.DUMMYFUNCTION("""COMPUTED_VALUE"""),150)</f>
        <v>150</v>
      </c>
      <c r="H248" s="1">
        <f ca="1">IFERROR(__xludf.DUMMYFUNCTION("""COMPUTED_VALUE"""),112.3)</f>
        <v>112.3</v>
      </c>
      <c r="I248" s="1">
        <f ca="1">IFERROR(__xludf.DUMMYFUNCTION("""COMPUTED_VALUE"""),314)</f>
        <v>314</v>
      </c>
      <c r="J248" s="1">
        <f ca="1">IFERROR(__xludf.DUMMYFUNCTION("""COMPUTED_VALUE"""),65.3)</f>
        <v>65.3</v>
      </c>
      <c r="K248" s="1">
        <f ca="1">IFERROR(__xludf.DUMMYFUNCTION("""COMPUTED_VALUE"""),315)</f>
        <v>315</v>
      </c>
      <c r="L248" s="1">
        <f ca="1">IFERROR(__xludf.DUMMYFUNCTION("""COMPUTED_VALUE"""),-0.033)</f>
        <v>-3.3000000000000002E-2</v>
      </c>
      <c r="M248" s="1">
        <f ca="1">IFERROR(__xludf.DUMMYFUNCTION("""COMPUTED_VALUE"""),268)</f>
        <v>268</v>
      </c>
      <c r="N248" s="1" t="str">
        <f ca="1">IFERROR(__xludf.DUMMYFUNCTION("""COMPUTED_VALUE"""),"+2.92")</f>
        <v>+2.92</v>
      </c>
      <c r="O248" s="1">
        <f ca="1">IFERROR(__xludf.DUMMYFUNCTION("""COMPUTED_VALUE"""),92)</f>
        <v>92</v>
      </c>
      <c r="P248" s="1">
        <f ca="1">IFERROR(__xludf.DUMMYFUNCTION("""COMPUTED_VALUE"""),107.2)</f>
        <v>107.2</v>
      </c>
      <c r="Q248" s="1">
        <f ca="1">IFERROR(__xludf.DUMMYFUNCTION("""COMPUTED_VALUE"""),81)</f>
        <v>81</v>
      </c>
      <c r="R248" s="1">
        <f ca="1">IFERROR(__xludf.DUMMYFUNCTION("""COMPUTED_VALUE"""),104.3)</f>
        <v>104.3</v>
      </c>
      <c r="S248" s="1">
        <f ca="1">IFERROR(__xludf.DUMMYFUNCTION("""COMPUTED_VALUE"""),113)</f>
        <v>113</v>
      </c>
      <c r="T248" s="1" t="str">
        <f ca="1">IFERROR(__xludf.DUMMYFUNCTION("""COMPUTED_VALUE"""),"+8.44")</f>
        <v>+8.44</v>
      </c>
      <c r="U248" s="1">
        <f ca="1">IFERROR(__xludf.DUMMYFUNCTION("""COMPUTED_VALUE"""),10)</f>
        <v>10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IFERROR(__xludf.DUMMYFUNCTION("""COMPUTED_VALUE"""),"Air Force")</f>
        <v>Air Force</v>
      </c>
      <c r="C249" s="1" t="str">
        <f ca="1">IFERROR(__xludf.DUMMYFUNCTION("""COMPUTED_VALUE"""),"MWC")</f>
        <v>MWC</v>
      </c>
      <c r="D249" s="2">
        <f ca="1">IFERROR(__xludf.DUMMYFUNCTION("""COMPUTED_VALUE"""),44914)</f>
        <v>44914</v>
      </c>
      <c r="E249" s="1">
        <f ca="1">IFERROR(__xludf.DUMMYFUNCTION("""COMPUTED_VALUE"""),-6.25)</f>
        <v>-6.25</v>
      </c>
      <c r="F249" s="1">
        <f ca="1">IFERROR(__xludf.DUMMYFUNCTION("""COMPUTED_VALUE"""),100.5)</f>
        <v>100.5</v>
      </c>
      <c r="G249" s="1">
        <f ca="1">IFERROR(__xludf.DUMMYFUNCTION("""COMPUTED_VALUE"""),250)</f>
        <v>250</v>
      </c>
      <c r="H249" s="1">
        <f ca="1">IFERROR(__xludf.DUMMYFUNCTION("""COMPUTED_VALUE"""),106.8)</f>
        <v>106.8</v>
      </c>
      <c r="I249" s="1">
        <f ca="1">IFERROR(__xludf.DUMMYFUNCTION("""COMPUTED_VALUE"""),202)</f>
        <v>202</v>
      </c>
      <c r="J249" s="1">
        <f ca="1">IFERROR(__xludf.DUMMYFUNCTION("""COMPUTED_VALUE"""),66)</f>
        <v>66</v>
      </c>
      <c r="K249" s="1">
        <f ca="1">IFERROR(__xludf.DUMMYFUNCTION("""COMPUTED_VALUE"""),284)</f>
        <v>284</v>
      </c>
      <c r="L249" s="1" t="str">
        <f ca="1">IFERROR(__xludf.DUMMYFUNCTION("""COMPUTED_VALUE"""),"+.022")</f>
        <v>+.022</v>
      </c>
      <c r="M249" s="1">
        <f ca="1">IFERROR(__xludf.DUMMYFUNCTION("""COMPUTED_VALUE"""),117)</f>
        <v>117</v>
      </c>
      <c r="N249" s="1" t="str">
        <f ca="1">IFERROR(__xludf.DUMMYFUNCTION("""COMPUTED_VALUE"""),"+1.72")</f>
        <v>+1.72</v>
      </c>
      <c r="O249" s="1">
        <f ca="1">IFERROR(__xludf.DUMMYFUNCTION("""COMPUTED_VALUE"""),106)</f>
        <v>106</v>
      </c>
      <c r="P249" s="1">
        <f ca="1">IFERROR(__xludf.DUMMYFUNCTION("""COMPUTED_VALUE"""),105.7)</f>
        <v>105.7</v>
      </c>
      <c r="Q249" s="1">
        <f ca="1">IFERROR(__xludf.DUMMYFUNCTION("""COMPUTED_VALUE"""),115)</f>
        <v>115</v>
      </c>
      <c r="R249" s="1">
        <f ca="1">IFERROR(__xludf.DUMMYFUNCTION("""COMPUTED_VALUE"""),104)</f>
        <v>104</v>
      </c>
      <c r="S249" s="1">
        <f ca="1">IFERROR(__xludf.DUMMYFUNCTION("""COMPUTED_VALUE"""),105)</f>
        <v>105</v>
      </c>
      <c r="T249" s="1">
        <f ca="1">IFERROR(__xludf.DUMMYFUNCTION("""COMPUTED_VALUE"""),-5.13)</f>
        <v>-5.13</v>
      </c>
      <c r="U249" s="1">
        <f ca="1">IFERROR(__xludf.DUMMYFUNCTION("""COMPUTED_VALUE"""),306)</f>
        <v>306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IFERROR(__xludf.DUMMYFUNCTION("""COMPUTED_VALUE"""),"Mount St. Mary's")</f>
        <v>Mount St. Mary's</v>
      </c>
      <c r="C250" s="1" t="str">
        <f ca="1">IFERROR(__xludf.DUMMYFUNCTION("""COMPUTED_VALUE"""),"NEC")</f>
        <v>NEC</v>
      </c>
      <c r="D250" s="1" t="str">
        <f ca="1">IFERROR(__xludf.DUMMYFUNCTION("""COMPUTED_VALUE"""),"18-14")</f>
        <v>18-14</v>
      </c>
      <c r="E250" s="1">
        <f ca="1">IFERROR(__xludf.DUMMYFUNCTION("""COMPUTED_VALUE"""),-6.36)</f>
        <v>-6.36</v>
      </c>
      <c r="F250" s="1">
        <f ca="1">IFERROR(__xludf.DUMMYFUNCTION("""COMPUTED_VALUE"""),103.7)</f>
        <v>103.7</v>
      </c>
      <c r="G250" s="1">
        <f ca="1">IFERROR(__xludf.DUMMYFUNCTION("""COMPUTED_VALUE"""),191)</f>
        <v>191</v>
      </c>
      <c r="H250" s="1">
        <f ca="1">IFERROR(__xludf.DUMMYFUNCTION("""COMPUTED_VALUE"""),110.1)</f>
        <v>110.1</v>
      </c>
      <c r="I250" s="1">
        <f ca="1">IFERROR(__xludf.DUMMYFUNCTION("""COMPUTED_VALUE"""),281)</f>
        <v>281</v>
      </c>
      <c r="J250" s="1">
        <f ca="1">IFERROR(__xludf.DUMMYFUNCTION("""COMPUTED_VALUE"""),64.7)</f>
        <v>64.7</v>
      </c>
      <c r="K250" s="1">
        <f ca="1">IFERROR(__xludf.DUMMYFUNCTION("""COMPUTED_VALUE"""),325)</f>
        <v>325</v>
      </c>
      <c r="L250" s="1" t="str">
        <f ca="1">IFERROR(__xludf.DUMMYFUNCTION("""COMPUTED_VALUE"""),"+.029")</f>
        <v>+.029</v>
      </c>
      <c r="M250" s="1">
        <f ca="1">IFERROR(__xludf.DUMMYFUNCTION("""COMPUTED_VALUE"""),103)</f>
        <v>103</v>
      </c>
      <c r="N250" s="1">
        <f ca="1">IFERROR(__xludf.DUMMYFUNCTION("""COMPUTED_VALUE"""),-8.63)</f>
        <v>-8.6300000000000008</v>
      </c>
      <c r="O250" s="1">
        <f ca="1">IFERROR(__xludf.DUMMYFUNCTION("""COMPUTED_VALUE"""),335)</f>
        <v>335</v>
      </c>
      <c r="P250" s="1">
        <f ca="1">IFERROR(__xludf.DUMMYFUNCTION("""COMPUTED_VALUE"""),100.7)</f>
        <v>100.7</v>
      </c>
      <c r="Q250" s="1">
        <f ca="1">IFERROR(__xludf.DUMMYFUNCTION("""COMPUTED_VALUE"""),327)</f>
        <v>327</v>
      </c>
      <c r="R250" s="1">
        <f ca="1">IFERROR(__xludf.DUMMYFUNCTION("""COMPUTED_VALUE"""),109.4)</f>
        <v>109.4</v>
      </c>
      <c r="S250" s="1">
        <f ca="1">IFERROR(__xludf.DUMMYFUNCTION("""COMPUTED_VALUE"""),342)</f>
        <v>342</v>
      </c>
      <c r="T250" s="1">
        <f ca="1">IFERROR(__xludf.DUMMYFUNCTION("""COMPUTED_VALUE"""),-3.44)</f>
        <v>-3.44</v>
      </c>
      <c r="U250" s="1">
        <f ca="1">IFERROR(__xludf.DUMMYFUNCTION("""COMPUTED_VALUE"""),271)</f>
        <v>271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IFERROR(__xludf.DUMMYFUNCTION("""COMPUTED_VALUE"""),"North Dakota")</f>
        <v>North Dakota</v>
      </c>
      <c r="C251" s="1" t="str">
        <f ca="1">IFERROR(__xludf.DUMMYFUNCTION("""COMPUTED_VALUE"""),"BSky")</f>
        <v>BSky</v>
      </c>
      <c r="D251" s="2">
        <f ca="1">IFERROR(__xludf.DUMMYFUNCTION("""COMPUTED_VALUE"""),44915)</f>
        <v>44915</v>
      </c>
      <c r="E251" s="1">
        <f ca="1">IFERROR(__xludf.DUMMYFUNCTION("""COMPUTED_VALUE"""),-6.41)</f>
        <v>-6.41</v>
      </c>
      <c r="F251" s="1">
        <f ca="1">IFERROR(__xludf.DUMMYFUNCTION("""COMPUTED_VALUE"""),103.1)</f>
        <v>103.1</v>
      </c>
      <c r="G251" s="1">
        <f ca="1">IFERROR(__xludf.DUMMYFUNCTION("""COMPUTED_VALUE"""),207)</f>
        <v>207</v>
      </c>
      <c r="H251" s="1">
        <f ca="1">IFERROR(__xludf.DUMMYFUNCTION("""COMPUTED_VALUE"""),109.5)</f>
        <v>109.5</v>
      </c>
      <c r="I251" s="1">
        <f ca="1">IFERROR(__xludf.DUMMYFUNCTION("""COMPUTED_VALUE"""),265)</f>
        <v>265</v>
      </c>
      <c r="J251" s="1">
        <f ca="1">IFERROR(__xludf.DUMMYFUNCTION("""COMPUTED_VALUE"""),71.4)</f>
        <v>71.400000000000006</v>
      </c>
      <c r="K251" s="1">
        <f ca="1">IFERROR(__xludf.DUMMYFUNCTION("""COMPUTED_VALUE"""),39)</f>
        <v>39</v>
      </c>
      <c r="L251" s="1" t="str">
        <f ca="1">IFERROR(__xludf.DUMMYFUNCTION("""COMPUTED_VALUE"""),"+.015")</f>
        <v>+.015</v>
      </c>
      <c r="M251" s="1">
        <f ca="1">IFERROR(__xludf.DUMMYFUNCTION("""COMPUTED_VALUE"""),135)</f>
        <v>135</v>
      </c>
      <c r="N251" s="1" t="str">
        <f ca="1">IFERROR(__xludf.DUMMYFUNCTION("""COMPUTED_VALUE"""),"+1.09")</f>
        <v>+1.09</v>
      </c>
      <c r="O251" s="1">
        <f ca="1">IFERROR(__xludf.DUMMYFUNCTION("""COMPUTED_VALUE"""),118)</f>
        <v>118</v>
      </c>
      <c r="P251" s="1">
        <f ca="1">IFERROR(__xludf.DUMMYFUNCTION("""COMPUTED_VALUE"""),106)</f>
        <v>106</v>
      </c>
      <c r="Q251" s="1">
        <f ca="1">IFERROR(__xludf.DUMMYFUNCTION("""COMPUTED_VALUE"""),108)</f>
        <v>108</v>
      </c>
      <c r="R251" s="1">
        <f ca="1">IFERROR(__xludf.DUMMYFUNCTION("""COMPUTED_VALUE"""),104.9)</f>
        <v>104.9</v>
      </c>
      <c r="S251" s="1">
        <f ca="1">IFERROR(__xludf.DUMMYFUNCTION("""COMPUTED_VALUE"""),133)</f>
        <v>133</v>
      </c>
      <c r="T251" s="1" t="str">
        <f ca="1">IFERROR(__xludf.DUMMYFUNCTION("""COMPUTED_VALUE"""),"+6.47")</f>
        <v>+6.47</v>
      </c>
      <c r="U251" s="1">
        <f ca="1">IFERROR(__xludf.DUMMYFUNCTION("""COMPUTED_VALUE"""),24)</f>
        <v>24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IFERROR(__xludf.DUMMYFUNCTION("""COMPUTED_VALUE"""),"UTEP")</f>
        <v>UTEP</v>
      </c>
      <c r="C252" s="1" t="str">
        <f ca="1">IFERROR(__xludf.DUMMYFUNCTION("""COMPUTED_VALUE"""),"CUSA")</f>
        <v>CUSA</v>
      </c>
      <c r="D252" s="2">
        <f ca="1">IFERROR(__xludf.DUMMYFUNCTION("""COMPUTED_VALUE"""),44885)</f>
        <v>44885</v>
      </c>
      <c r="E252" s="1">
        <f ca="1">IFERROR(__xludf.DUMMYFUNCTION("""COMPUTED_VALUE"""),-6.49)</f>
        <v>-6.49</v>
      </c>
      <c r="F252" s="1">
        <f ca="1">IFERROR(__xludf.DUMMYFUNCTION("""COMPUTED_VALUE"""),98)</f>
        <v>98</v>
      </c>
      <c r="G252" s="1">
        <f ca="1">IFERROR(__xludf.DUMMYFUNCTION("""COMPUTED_VALUE"""),301)</f>
        <v>301</v>
      </c>
      <c r="H252" s="1">
        <f ca="1">IFERROR(__xludf.DUMMYFUNCTION("""COMPUTED_VALUE"""),104.5)</f>
        <v>104.5</v>
      </c>
      <c r="I252" s="1">
        <f ca="1">IFERROR(__xludf.DUMMYFUNCTION("""COMPUTED_VALUE"""),163)</f>
        <v>163</v>
      </c>
      <c r="J252" s="1">
        <f ca="1">IFERROR(__xludf.DUMMYFUNCTION("""COMPUTED_VALUE"""),67.6)</f>
        <v>67.599999999999994</v>
      </c>
      <c r="K252" s="1">
        <f ca="1">IFERROR(__xludf.DUMMYFUNCTION("""COMPUTED_VALUE"""),206)</f>
        <v>206</v>
      </c>
      <c r="L252" s="1">
        <f ca="1">IFERROR(__xludf.DUMMYFUNCTION("""COMPUTED_VALUE"""),-0.039)</f>
        <v>-3.9E-2</v>
      </c>
      <c r="M252" s="1">
        <f ca="1">IFERROR(__xludf.DUMMYFUNCTION("""COMPUTED_VALUE"""),277)</f>
        <v>277</v>
      </c>
      <c r="N252" s="1">
        <f ca="1">IFERROR(__xludf.DUMMYFUNCTION("""COMPUTED_VALUE"""),-1.14)</f>
        <v>-1.1399999999999999</v>
      </c>
      <c r="O252" s="1">
        <f ca="1">IFERROR(__xludf.DUMMYFUNCTION("""COMPUTED_VALUE"""),165)</f>
        <v>165</v>
      </c>
      <c r="P252" s="1">
        <f ca="1">IFERROR(__xludf.DUMMYFUNCTION("""COMPUTED_VALUE"""),104.3)</f>
        <v>104.3</v>
      </c>
      <c r="Q252" s="1">
        <f ca="1">IFERROR(__xludf.DUMMYFUNCTION("""COMPUTED_VALUE"""),181)</f>
        <v>181</v>
      </c>
      <c r="R252" s="1">
        <f ca="1">IFERROR(__xludf.DUMMYFUNCTION("""COMPUTED_VALUE"""),105.4)</f>
        <v>105.4</v>
      </c>
      <c r="S252" s="1">
        <f ca="1">IFERROR(__xludf.DUMMYFUNCTION("""COMPUTED_VALUE"""),158)</f>
        <v>158</v>
      </c>
      <c r="T252" s="1">
        <f ca="1">IFERROR(__xludf.DUMMYFUNCTION("""COMPUTED_VALUE"""),-2.56)</f>
        <v>-2.56</v>
      </c>
      <c r="U252" s="1">
        <f ca="1">IFERROR(__xludf.DUMMYFUNCTION("""COMPUTED_VALUE"""),239)</f>
        <v>239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IFERROR(__xludf.DUMMYFUNCTION("""COMPUTED_VALUE"""),"High Point")</f>
        <v>High Point</v>
      </c>
      <c r="C255" s="1" t="str">
        <f ca="1">IFERROR(__xludf.DUMMYFUNCTION("""COMPUTED_VALUE"""),"BSth")</f>
        <v>BSth</v>
      </c>
      <c r="D255" s="1" t="str">
        <f ca="1">IFERROR(__xludf.DUMMYFUNCTION("""COMPUTED_VALUE"""),"14-16")</f>
        <v>14-16</v>
      </c>
      <c r="E255" s="1">
        <f ca="1">IFERROR(__xludf.DUMMYFUNCTION("""COMPUTED_VALUE"""),-6.51)</f>
        <v>-6.51</v>
      </c>
      <c r="F255" s="1">
        <f ca="1">IFERROR(__xludf.DUMMYFUNCTION("""COMPUTED_VALUE"""),100.1)</f>
        <v>100.1</v>
      </c>
      <c r="G255" s="1">
        <f ca="1">IFERROR(__xludf.DUMMYFUNCTION("""COMPUTED_VALUE"""),257)</f>
        <v>257</v>
      </c>
      <c r="H255" s="1">
        <f ca="1">IFERROR(__xludf.DUMMYFUNCTION("""COMPUTED_VALUE"""),106.6)</f>
        <v>106.6</v>
      </c>
      <c r="I255" s="1">
        <f ca="1">IFERROR(__xludf.DUMMYFUNCTION("""COMPUTED_VALUE"""),199)</f>
        <v>199</v>
      </c>
      <c r="J255" s="1">
        <f ca="1">IFERROR(__xludf.DUMMYFUNCTION("""COMPUTED_VALUE"""),65.9)</f>
        <v>65.900000000000006</v>
      </c>
      <c r="K255" s="1">
        <f ca="1">IFERROR(__xludf.DUMMYFUNCTION("""COMPUTED_VALUE"""),287)</f>
        <v>287</v>
      </c>
      <c r="L255" s="1">
        <f ca="1">IFERROR(__xludf.DUMMYFUNCTION("""COMPUTED_VALUE"""),-0.082)</f>
        <v>-8.2000000000000003E-2</v>
      </c>
      <c r="M255" s="1">
        <f ca="1">IFERROR(__xludf.DUMMYFUNCTION("""COMPUTED_VALUE"""),338)</f>
        <v>338</v>
      </c>
      <c r="N255" s="1">
        <f ca="1">IFERROR(__xludf.DUMMYFUNCTION("""COMPUTED_VALUE"""),-6.42)</f>
        <v>-6.42</v>
      </c>
      <c r="O255" s="1">
        <f ca="1">IFERROR(__xludf.DUMMYFUNCTION("""COMPUTED_VALUE"""),305)</f>
        <v>305</v>
      </c>
      <c r="P255" s="1">
        <f ca="1">IFERROR(__xludf.DUMMYFUNCTION("""COMPUTED_VALUE"""),101.6)</f>
        <v>101.6</v>
      </c>
      <c r="Q255" s="1">
        <f ca="1">IFERROR(__xludf.DUMMYFUNCTION("""COMPUTED_VALUE"""),302)</f>
        <v>302</v>
      </c>
      <c r="R255" s="1">
        <f ca="1">IFERROR(__xludf.DUMMYFUNCTION("""COMPUTED_VALUE"""),108)</f>
        <v>108</v>
      </c>
      <c r="S255" s="1">
        <f ca="1">IFERROR(__xludf.DUMMYFUNCTION("""COMPUTED_VALUE"""),309)</f>
        <v>309</v>
      </c>
      <c r="T255" s="1">
        <f ca="1">IFERROR(__xludf.DUMMYFUNCTION("""COMPUTED_VALUE"""),-1.82)</f>
        <v>-1.82</v>
      </c>
      <c r="U255" s="1">
        <f ca="1">IFERROR(__xludf.DUMMYFUNCTION("""COMPUTED_VALUE"""),208)</f>
        <v>208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IFERROR(__xludf.DUMMYFUNCTION("""COMPUTED_VALUE"""),"Cal St. Bakersfield")</f>
        <v>Cal St. Bakersfield</v>
      </c>
      <c r="C256" s="1" t="str">
        <f ca="1">IFERROR(__xludf.DUMMYFUNCTION("""COMPUTED_VALUE"""),"WAC")</f>
        <v>WAC</v>
      </c>
      <c r="D256" s="2">
        <f ca="1">IFERROR(__xludf.DUMMYFUNCTION("""COMPUTED_VALUE"""),44913)</f>
        <v>44913</v>
      </c>
      <c r="E256" s="1">
        <f ca="1">IFERROR(__xludf.DUMMYFUNCTION("""COMPUTED_VALUE"""),-6.65)</f>
        <v>-6.65</v>
      </c>
      <c r="F256" s="1">
        <f ca="1">IFERROR(__xludf.DUMMYFUNCTION("""COMPUTED_VALUE"""),97.3)</f>
        <v>97.3</v>
      </c>
      <c r="G256" s="1">
        <f ca="1">IFERROR(__xludf.DUMMYFUNCTION("""COMPUTED_VALUE"""),308)</f>
        <v>308</v>
      </c>
      <c r="H256" s="1">
        <f ca="1">IFERROR(__xludf.DUMMYFUNCTION("""COMPUTED_VALUE"""),103.9)</f>
        <v>103.9</v>
      </c>
      <c r="I256" s="1">
        <f ca="1">IFERROR(__xludf.DUMMYFUNCTION("""COMPUTED_VALUE"""),157)</f>
        <v>157</v>
      </c>
      <c r="J256" s="1">
        <f ca="1">IFERROR(__xludf.DUMMYFUNCTION("""COMPUTED_VALUE"""),65.3)</f>
        <v>65.3</v>
      </c>
      <c r="K256" s="1">
        <f ca="1">IFERROR(__xludf.DUMMYFUNCTION("""COMPUTED_VALUE"""),314)</f>
        <v>314</v>
      </c>
      <c r="L256" s="1">
        <f ca="1">IFERROR(__xludf.DUMMYFUNCTION("""COMPUTED_VALUE"""),-0.024)</f>
        <v>-2.4E-2</v>
      </c>
      <c r="M256" s="1">
        <f ca="1">IFERROR(__xludf.DUMMYFUNCTION("""COMPUTED_VALUE"""),246)</f>
        <v>246</v>
      </c>
      <c r="N256" s="1" t="str">
        <f ca="1">IFERROR(__xludf.DUMMYFUNCTION("""COMPUTED_VALUE"""),"+0.64")</f>
        <v>+0.64</v>
      </c>
      <c r="O256" s="1">
        <f ca="1">IFERROR(__xludf.DUMMYFUNCTION("""COMPUTED_VALUE"""),127)</f>
        <v>127</v>
      </c>
      <c r="P256" s="1">
        <f ca="1">IFERROR(__xludf.DUMMYFUNCTION("""COMPUTED_VALUE"""),105.5)</f>
        <v>105.5</v>
      </c>
      <c r="Q256" s="1">
        <f ca="1">IFERROR(__xludf.DUMMYFUNCTION("""COMPUTED_VALUE"""),124)</f>
        <v>124</v>
      </c>
      <c r="R256" s="1">
        <f ca="1">IFERROR(__xludf.DUMMYFUNCTION("""COMPUTED_VALUE"""),104.9)</f>
        <v>104.9</v>
      </c>
      <c r="S256" s="1">
        <f ca="1">IFERROR(__xludf.DUMMYFUNCTION("""COMPUTED_VALUE"""),132)</f>
        <v>132</v>
      </c>
      <c r="T256" s="1" t="str">
        <f ca="1">IFERROR(__xludf.DUMMYFUNCTION("""COMPUTED_VALUE"""),"+4.67")</f>
        <v>+4.67</v>
      </c>
      <c r="U256" s="1">
        <f ca="1">IFERROR(__xludf.DUMMYFUNCTION("""COMPUTED_VALUE"""),43)</f>
        <v>43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IFERROR(__xludf.DUMMYFUNCTION("""COMPUTED_VALUE"""),"Texas Southern16")</f>
        <v>Texas Southern16</v>
      </c>
      <c r="C257" s="1" t="str">
        <f ca="1">IFERROR(__xludf.DUMMYFUNCTION("""COMPUTED_VALUE"""),"SWAC")</f>
        <v>SWAC</v>
      </c>
      <c r="D257" s="1" t="str">
        <f ca="1">IFERROR(__xludf.DUMMYFUNCTION("""COMPUTED_VALUE"""),"16-20")</f>
        <v>16-20</v>
      </c>
      <c r="E257" s="1">
        <f ca="1">IFERROR(__xludf.DUMMYFUNCTION("""COMPUTED_VALUE"""),-6.65)</f>
        <v>-6.65</v>
      </c>
      <c r="F257" s="1">
        <f ca="1">IFERROR(__xludf.DUMMYFUNCTION("""COMPUTED_VALUE"""),104.6)</f>
        <v>104.6</v>
      </c>
      <c r="G257" s="1">
        <f ca="1">IFERROR(__xludf.DUMMYFUNCTION("""COMPUTED_VALUE"""),180)</f>
        <v>180</v>
      </c>
      <c r="H257" s="1">
        <f ca="1">IFERROR(__xludf.DUMMYFUNCTION("""COMPUTED_VALUE"""),111.2)</f>
        <v>111.2</v>
      </c>
      <c r="I257" s="1">
        <f ca="1">IFERROR(__xludf.DUMMYFUNCTION("""COMPUTED_VALUE"""),299)</f>
        <v>299</v>
      </c>
      <c r="J257" s="1">
        <f ca="1">IFERROR(__xludf.DUMMYFUNCTION("""COMPUTED_VALUE"""),71.7)</f>
        <v>71.7</v>
      </c>
      <c r="K257" s="1">
        <f ca="1">IFERROR(__xludf.DUMMYFUNCTION("""COMPUTED_VALUE"""),31)</f>
        <v>31</v>
      </c>
      <c r="L257" s="1">
        <f ca="1">IFERROR(__xludf.DUMMYFUNCTION("""COMPUTED_VALUE"""),-0.01)</f>
        <v>-0.01</v>
      </c>
      <c r="M257" s="1">
        <f ca="1">IFERROR(__xludf.DUMMYFUNCTION("""COMPUTED_VALUE"""),206)</f>
        <v>206</v>
      </c>
      <c r="N257" s="1">
        <f ca="1">IFERROR(__xludf.DUMMYFUNCTION("""COMPUTED_VALUE"""),-6.3)</f>
        <v>-6.3</v>
      </c>
      <c r="O257" s="1">
        <f ca="1">IFERROR(__xludf.DUMMYFUNCTION("""COMPUTED_VALUE"""),304)</f>
        <v>304</v>
      </c>
      <c r="P257" s="1">
        <f ca="1">IFERROR(__xludf.DUMMYFUNCTION("""COMPUTED_VALUE"""),101)</f>
        <v>101</v>
      </c>
      <c r="Q257" s="1">
        <f ca="1">IFERROR(__xludf.DUMMYFUNCTION("""COMPUTED_VALUE"""),318)</f>
        <v>318</v>
      </c>
      <c r="R257" s="1">
        <f ca="1">IFERROR(__xludf.DUMMYFUNCTION("""COMPUTED_VALUE"""),107.3)</f>
        <v>107.3</v>
      </c>
      <c r="S257" s="1">
        <f ca="1">IFERROR(__xludf.DUMMYFUNCTION("""COMPUTED_VALUE"""),271)</f>
        <v>271</v>
      </c>
      <c r="T257" s="1" t="str">
        <f ca="1">IFERROR(__xludf.DUMMYFUNCTION("""COMPUTED_VALUE"""),"+17.20")</f>
        <v>+17.20</v>
      </c>
      <c r="U257" s="1">
        <f ca="1">IFERROR(__xludf.DUMMYFUNCTION("""COMPUTED_VALUE"""),1)</f>
        <v>1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IFERROR(__xludf.DUMMYFUNCTION("""COMPUTED_VALUE"""),"California")</f>
        <v>California</v>
      </c>
      <c r="C258" s="1" t="str">
        <f ca="1">IFERROR(__xludf.DUMMYFUNCTION("""COMPUTED_VALUE"""),"P12")</f>
        <v>P12</v>
      </c>
      <c r="D258" s="2">
        <f ca="1">IFERROR(__xludf.DUMMYFUNCTION("""COMPUTED_VALUE"""),44797)</f>
        <v>44797</v>
      </c>
      <c r="E258" s="1">
        <f ca="1">IFERROR(__xludf.DUMMYFUNCTION("""COMPUTED_VALUE"""),-7.27)</f>
        <v>-7.27</v>
      </c>
      <c r="F258" s="1">
        <f ca="1">IFERROR(__xludf.DUMMYFUNCTION("""COMPUTED_VALUE"""),98.2)</f>
        <v>98.2</v>
      </c>
      <c r="G258" s="1">
        <f ca="1">IFERROR(__xludf.DUMMYFUNCTION("""COMPUTED_VALUE"""),296)</f>
        <v>296</v>
      </c>
      <c r="H258" s="1">
        <f ca="1">IFERROR(__xludf.DUMMYFUNCTION("""COMPUTED_VALUE"""),105.4)</f>
        <v>105.4</v>
      </c>
      <c r="I258" s="1">
        <f ca="1">IFERROR(__xludf.DUMMYFUNCTION("""COMPUTED_VALUE"""),181)</f>
        <v>181</v>
      </c>
      <c r="J258" s="1">
        <f ca="1">IFERROR(__xludf.DUMMYFUNCTION("""COMPUTED_VALUE"""),68.7)</f>
        <v>68.7</v>
      </c>
      <c r="K258" s="1">
        <f ca="1">IFERROR(__xludf.DUMMYFUNCTION("""COMPUTED_VALUE"""),154)</f>
        <v>154</v>
      </c>
      <c r="L258" s="1" t="str">
        <f ca="1">IFERROR(__xludf.DUMMYFUNCTION("""COMPUTED_VALUE"""),"+.008")</f>
        <v>+.008</v>
      </c>
      <c r="M258" s="1">
        <f ca="1">IFERROR(__xludf.DUMMYFUNCTION("""COMPUTED_VALUE"""),155)</f>
        <v>155</v>
      </c>
      <c r="N258" s="1" t="str">
        <f ca="1">IFERROR(__xludf.DUMMYFUNCTION("""COMPUTED_VALUE"""),"+5.14")</f>
        <v>+5.14</v>
      </c>
      <c r="O258" s="1">
        <f ca="1">IFERROR(__xludf.DUMMYFUNCTION("""COMPUTED_VALUE"""),72)</f>
        <v>72</v>
      </c>
      <c r="P258" s="1">
        <f ca="1">IFERROR(__xludf.DUMMYFUNCTION("""COMPUTED_VALUE"""),108.9)</f>
        <v>108.9</v>
      </c>
      <c r="Q258" s="1">
        <f ca="1">IFERROR(__xludf.DUMMYFUNCTION("""COMPUTED_VALUE"""),56)</f>
        <v>56</v>
      </c>
      <c r="R258" s="1">
        <f ca="1">IFERROR(__xludf.DUMMYFUNCTION("""COMPUTED_VALUE"""),103.8)</f>
        <v>103.8</v>
      </c>
      <c r="S258" s="1">
        <f ca="1">IFERROR(__xludf.DUMMYFUNCTION("""COMPUTED_VALUE"""),95)</f>
        <v>95</v>
      </c>
      <c r="T258" s="1">
        <f ca="1">IFERROR(__xludf.DUMMYFUNCTION("""COMPUTED_VALUE"""),-3.08)</f>
        <v>-3.08</v>
      </c>
      <c r="U258" s="1">
        <f ca="1">IFERROR(__xludf.DUMMYFUNCTION("""COMPUTED_VALUE"""),253)</f>
        <v>253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IFERROR(__xludf.DUMMYFUNCTION("""COMPUTED_VALUE"""),"UNC Wilmington")</f>
        <v>UNC Wilmington</v>
      </c>
      <c r="C259" s="1" t="str">
        <f ca="1">IFERROR(__xludf.DUMMYFUNCTION("""COMPUTED_VALUE"""),"CAA")</f>
        <v>CAA</v>
      </c>
      <c r="D259" s="2">
        <f ca="1">IFERROR(__xludf.DUMMYFUNCTION("""COMPUTED_VALUE"""),44886)</f>
        <v>44886</v>
      </c>
      <c r="E259" s="1">
        <f ca="1">IFERROR(__xludf.DUMMYFUNCTION("""COMPUTED_VALUE"""),-7.43)</f>
        <v>-7.43</v>
      </c>
      <c r="F259" s="1">
        <f ca="1">IFERROR(__xludf.DUMMYFUNCTION("""COMPUTED_VALUE"""),104.3)</f>
        <v>104.3</v>
      </c>
      <c r="G259" s="1">
        <f ca="1">IFERROR(__xludf.DUMMYFUNCTION("""COMPUTED_VALUE"""),185)</f>
        <v>185</v>
      </c>
      <c r="H259" s="1">
        <f ca="1">IFERROR(__xludf.DUMMYFUNCTION("""COMPUTED_VALUE"""),111.7)</f>
        <v>111.7</v>
      </c>
      <c r="I259" s="1">
        <f ca="1">IFERROR(__xludf.DUMMYFUNCTION("""COMPUTED_VALUE"""),303)</f>
        <v>303</v>
      </c>
      <c r="J259" s="1">
        <f ca="1">IFERROR(__xludf.DUMMYFUNCTION("""COMPUTED_VALUE"""),72)</f>
        <v>72</v>
      </c>
      <c r="K259" s="1">
        <f ca="1">IFERROR(__xludf.DUMMYFUNCTION("""COMPUTED_VALUE"""),27)</f>
        <v>27</v>
      </c>
      <c r="L259" s="1">
        <f ca="1">IFERROR(__xludf.DUMMYFUNCTION("""COMPUTED_VALUE"""),-0.023)</f>
        <v>-2.3E-2</v>
      </c>
      <c r="M259" s="1">
        <f ca="1">IFERROR(__xludf.DUMMYFUNCTION("""COMPUTED_VALUE"""),238)</f>
        <v>238</v>
      </c>
      <c r="N259" s="1">
        <f ca="1">IFERROR(__xludf.DUMMYFUNCTION("""COMPUTED_VALUE"""),-0.32)</f>
        <v>-0.32</v>
      </c>
      <c r="O259" s="1">
        <f ca="1">IFERROR(__xludf.DUMMYFUNCTION("""COMPUTED_VALUE"""),145)</f>
        <v>145</v>
      </c>
      <c r="P259" s="1">
        <f ca="1">IFERROR(__xludf.DUMMYFUNCTION("""COMPUTED_VALUE"""),106.6)</f>
        <v>106.6</v>
      </c>
      <c r="Q259" s="1">
        <f ca="1">IFERROR(__xludf.DUMMYFUNCTION("""COMPUTED_VALUE"""),94)</f>
        <v>94</v>
      </c>
      <c r="R259" s="1">
        <f ca="1">IFERROR(__xludf.DUMMYFUNCTION("""COMPUTED_VALUE"""),106.9)</f>
        <v>106.9</v>
      </c>
      <c r="S259" s="1">
        <f ca="1">IFERROR(__xludf.DUMMYFUNCTION("""COMPUTED_VALUE"""),252)</f>
        <v>252</v>
      </c>
      <c r="T259" s="1" t="str">
        <f ca="1">IFERROR(__xludf.DUMMYFUNCTION("""COMPUTED_VALUE"""),"+2.87")</f>
        <v>+2.87</v>
      </c>
      <c r="U259" s="1">
        <f ca="1">IFERROR(__xludf.DUMMYFUNCTION("""COMPUTED_VALUE"""),82)</f>
        <v>82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IFERROR(__xludf.DUMMYFUNCTION("""COMPUTED_VALUE"""),"Charleston Southern")</f>
        <v>Charleston Southern</v>
      </c>
      <c r="C260" s="1" t="str">
        <f ca="1">IFERROR(__xludf.DUMMYFUNCTION("""COMPUTED_VALUE"""),"BSth")</f>
        <v>BSth</v>
      </c>
      <c r="D260" s="1" t="str">
        <f ca="1">IFERROR(__xludf.DUMMYFUNCTION("""COMPUTED_VALUE"""),"15-16")</f>
        <v>15-16</v>
      </c>
      <c r="E260" s="1">
        <f ca="1">IFERROR(__xludf.DUMMYFUNCTION("""COMPUTED_VALUE"""),-7.43)</f>
        <v>-7.43</v>
      </c>
      <c r="F260" s="1">
        <f ca="1">IFERROR(__xludf.DUMMYFUNCTION("""COMPUTED_VALUE"""),99.4)</f>
        <v>99.4</v>
      </c>
      <c r="G260" s="1">
        <f ca="1">IFERROR(__xludf.DUMMYFUNCTION("""COMPUTED_VALUE"""),265)</f>
        <v>265</v>
      </c>
      <c r="H260" s="1">
        <f ca="1">IFERROR(__xludf.DUMMYFUNCTION("""COMPUTED_VALUE"""),106.8)</f>
        <v>106.8</v>
      </c>
      <c r="I260" s="1">
        <f ca="1">IFERROR(__xludf.DUMMYFUNCTION("""COMPUTED_VALUE"""),206)</f>
        <v>206</v>
      </c>
      <c r="J260" s="1">
        <f ca="1">IFERROR(__xludf.DUMMYFUNCTION("""COMPUTED_VALUE"""),66.5)</f>
        <v>66.5</v>
      </c>
      <c r="K260" s="1">
        <f ca="1">IFERROR(__xludf.DUMMYFUNCTION("""COMPUTED_VALUE"""),262)</f>
        <v>262</v>
      </c>
      <c r="L260" s="1">
        <f ca="1">IFERROR(__xludf.DUMMYFUNCTION("""COMPUTED_VALUE"""),-0.019)</f>
        <v>-1.9E-2</v>
      </c>
      <c r="M260" s="1">
        <f ca="1">IFERROR(__xludf.DUMMYFUNCTION("""COMPUTED_VALUE"""),232)</f>
        <v>232</v>
      </c>
      <c r="N260" s="1">
        <f ca="1">IFERROR(__xludf.DUMMYFUNCTION("""COMPUTED_VALUE"""),-6.06)</f>
        <v>-6.06</v>
      </c>
      <c r="O260" s="1">
        <f ca="1">IFERROR(__xludf.DUMMYFUNCTION("""COMPUTED_VALUE"""),299)</f>
        <v>299</v>
      </c>
      <c r="P260" s="1">
        <f ca="1">IFERROR(__xludf.DUMMYFUNCTION("""COMPUTED_VALUE"""),102.3)</f>
        <v>102.3</v>
      </c>
      <c r="Q260" s="1">
        <f ca="1">IFERROR(__xludf.DUMMYFUNCTION("""COMPUTED_VALUE"""),282)</f>
        <v>282</v>
      </c>
      <c r="R260" s="1">
        <f ca="1">IFERROR(__xludf.DUMMYFUNCTION("""COMPUTED_VALUE"""),108.4)</f>
        <v>108.4</v>
      </c>
      <c r="S260" s="1">
        <f ca="1">IFERROR(__xludf.DUMMYFUNCTION("""COMPUTED_VALUE"""),320)</f>
        <v>320</v>
      </c>
      <c r="T260" s="1">
        <f ca="1">IFERROR(__xludf.DUMMYFUNCTION("""COMPUTED_VALUE"""),-1.08)</f>
        <v>-1.08</v>
      </c>
      <c r="U260" s="1">
        <f ca="1">IFERROR(__xludf.DUMMYFUNCTION("""COMPUTED_VALUE"""),186)</f>
        <v>186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IFERROR(__xludf.DUMMYFUNCTION("""COMPUTED_VALUE"""),"Delaware")</f>
        <v>Delaware</v>
      </c>
      <c r="C261" s="1" t="str">
        <f ca="1">IFERROR(__xludf.DUMMYFUNCTION("""COMPUTED_VALUE"""),"CAA")</f>
        <v>CAA</v>
      </c>
      <c r="D261" s="1" t="str">
        <f ca="1">IFERROR(__xludf.DUMMYFUNCTION("""COMPUTED_VALUE"""),"14-19")</f>
        <v>14-19</v>
      </c>
      <c r="E261" s="1">
        <f ca="1">IFERROR(__xludf.DUMMYFUNCTION("""COMPUTED_VALUE"""),-7.57)</f>
        <v>-7.57</v>
      </c>
      <c r="F261" s="1">
        <f ca="1">IFERROR(__xludf.DUMMYFUNCTION("""COMPUTED_VALUE"""),102)</f>
        <v>102</v>
      </c>
      <c r="G261" s="1">
        <f ca="1">IFERROR(__xludf.DUMMYFUNCTION("""COMPUTED_VALUE"""),232)</f>
        <v>232</v>
      </c>
      <c r="H261" s="1">
        <f ca="1">IFERROR(__xludf.DUMMYFUNCTION("""COMPUTED_VALUE"""),109.6)</f>
        <v>109.6</v>
      </c>
      <c r="I261" s="1">
        <f ca="1">IFERROR(__xludf.DUMMYFUNCTION("""COMPUTED_VALUE"""),267)</f>
        <v>267</v>
      </c>
      <c r="J261" s="1">
        <f ca="1">IFERROR(__xludf.DUMMYFUNCTION("""COMPUTED_VALUE"""),65.9)</f>
        <v>65.900000000000006</v>
      </c>
      <c r="K261" s="1">
        <f ca="1">IFERROR(__xludf.DUMMYFUNCTION("""COMPUTED_VALUE"""),285)</f>
        <v>285</v>
      </c>
      <c r="L261" s="1" t="str">
        <f ca="1">IFERROR(__xludf.DUMMYFUNCTION("""COMPUTED_VALUE"""),"+.015")</f>
        <v>+.015</v>
      </c>
      <c r="M261" s="1">
        <f ca="1">IFERROR(__xludf.DUMMYFUNCTION("""COMPUTED_VALUE"""),139)</f>
        <v>139</v>
      </c>
      <c r="N261" s="1">
        <f ca="1">IFERROR(__xludf.DUMMYFUNCTION("""COMPUTED_VALUE"""),-2.54)</f>
        <v>-2.54</v>
      </c>
      <c r="O261" s="1">
        <f ca="1">IFERROR(__xludf.DUMMYFUNCTION("""COMPUTED_VALUE"""),209)</f>
        <v>209</v>
      </c>
      <c r="P261" s="1">
        <f ca="1">IFERROR(__xludf.DUMMYFUNCTION("""COMPUTED_VALUE"""),105)</f>
        <v>105</v>
      </c>
      <c r="Q261" s="1">
        <f ca="1">IFERROR(__xludf.DUMMYFUNCTION("""COMPUTED_VALUE"""),146)</f>
        <v>146</v>
      </c>
      <c r="R261" s="1">
        <f ca="1">IFERROR(__xludf.DUMMYFUNCTION("""COMPUTED_VALUE"""),107.6)</f>
        <v>107.6</v>
      </c>
      <c r="S261" s="1">
        <f ca="1">IFERROR(__xludf.DUMMYFUNCTION("""COMPUTED_VALUE"""),280)</f>
        <v>280</v>
      </c>
      <c r="T261" s="1">
        <f ca="1">IFERROR(__xludf.DUMMYFUNCTION("""COMPUTED_VALUE"""),-3.38)</f>
        <v>-3.38</v>
      </c>
      <c r="U261" s="1">
        <f ca="1">IFERROR(__xludf.DUMMYFUNCTION("""COMPUTED_VALUE"""),267)</f>
        <v>267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IFERROR(__xludf.DUMMYFUNCTION("""COMPUTED_VALUE"""),"Elon")</f>
        <v>Elon</v>
      </c>
      <c r="C262" s="1" t="str">
        <f ca="1">IFERROR(__xludf.DUMMYFUNCTION("""COMPUTED_VALUE"""),"CAA")</f>
        <v>CAA</v>
      </c>
      <c r="D262" s="1" t="str">
        <f ca="1">IFERROR(__xludf.DUMMYFUNCTION("""COMPUTED_VALUE"""),"14-18")</f>
        <v>14-18</v>
      </c>
      <c r="E262" s="1">
        <f ca="1">IFERROR(__xludf.DUMMYFUNCTION("""COMPUTED_VALUE"""),-7.62)</f>
        <v>-7.62</v>
      </c>
      <c r="F262" s="1">
        <f ca="1">IFERROR(__xludf.DUMMYFUNCTION("""COMPUTED_VALUE"""),103.6)</f>
        <v>103.6</v>
      </c>
      <c r="G262" s="1">
        <f ca="1">IFERROR(__xludf.DUMMYFUNCTION("""COMPUTED_VALUE"""),193)</f>
        <v>193</v>
      </c>
      <c r="H262" s="1">
        <f ca="1">IFERROR(__xludf.DUMMYFUNCTION("""COMPUTED_VALUE"""),111.3)</f>
        <v>111.3</v>
      </c>
      <c r="I262" s="1">
        <f ca="1">IFERROR(__xludf.DUMMYFUNCTION("""COMPUTED_VALUE"""),301)</f>
        <v>301</v>
      </c>
      <c r="J262" s="1">
        <f ca="1">IFERROR(__xludf.DUMMYFUNCTION("""COMPUTED_VALUE"""),67.3)</f>
        <v>67.3</v>
      </c>
      <c r="K262" s="1">
        <f ca="1">IFERROR(__xludf.DUMMYFUNCTION("""COMPUTED_VALUE"""),216)</f>
        <v>216</v>
      </c>
      <c r="L262" s="1" t="str">
        <f ca="1">IFERROR(__xludf.DUMMYFUNCTION("""COMPUTED_VALUE"""),"+.061")</f>
        <v>+.061</v>
      </c>
      <c r="M262" s="1">
        <f ca="1">IFERROR(__xludf.DUMMYFUNCTION("""COMPUTED_VALUE"""),52)</f>
        <v>52</v>
      </c>
      <c r="N262" s="1">
        <f ca="1">IFERROR(__xludf.DUMMYFUNCTION("""COMPUTED_VALUE"""),-0.95)</f>
        <v>-0.95</v>
      </c>
      <c r="O262" s="1">
        <f ca="1">IFERROR(__xludf.DUMMYFUNCTION("""COMPUTED_VALUE"""),161)</f>
        <v>161</v>
      </c>
      <c r="P262" s="1">
        <f ca="1">IFERROR(__xludf.DUMMYFUNCTION("""COMPUTED_VALUE"""),105.3)</f>
        <v>105.3</v>
      </c>
      <c r="Q262" s="1">
        <f ca="1">IFERROR(__xludf.DUMMYFUNCTION("""COMPUTED_VALUE"""),135)</f>
        <v>135</v>
      </c>
      <c r="R262" s="1">
        <f ca="1">IFERROR(__xludf.DUMMYFUNCTION("""COMPUTED_VALUE"""),106.3)</f>
        <v>106.3</v>
      </c>
      <c r="S262" s="1">
        <f ca="1">IFERROR(__xludf.DUMMYFUNCTION("""COMPUTED_VALUE"""),209)</f>
        <v>209</v>
      </c>
      <c r="T262" s="1" t="str">
        <f ca="1">IFERROR(__xludf.DUMMYFUNCTION("""COMPUTED_VALUE"""),"+2.40")</f>
        <v>+2.40</v>
      </c>
      <c r="U262" s="1">
        <f ca="1">IFERROR(__xludf.DUMMYFUNCTION("""COMPUTED_VALUE"""),88)</f>
        <v>88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IFERROR(__xludf.DUMMYFUNCTION("""COMPUTED_VALUE"""),"Northern Illinois")</f>
        <v>Northern Illinois</v>
      </c>
      <c r="C263" s="1" t="str">
        <f ca="1">IFERROR(__xludf.DUMMYFUNCTION("""COMPUTED_VALUE"""),"MAC")</f>
        <v>MAC</v>
      </c>
      <c r="D263" s="1" t="str">
        <f ca="1">IFERROR(__xludf.DUMMYFUNCTION("""COMPUTED_VALUE"""),"13-19")</f>
        <v>13-19</v>
      </c>
      <c r="E263" s="1">
        <f ca="1">IFERROR(__xludf.DUMMYFUNCTION("""COMPUTED_VALUE"""),-7.66)</f>
        <v>-7.66</v>
      </c>
      <c r="F263" s="1">
        <f ca="1">IFERROR(__xludf.DUMMYFUNCTION("""COMPUTED_VALUE"""),103.3)</f>
        <v>103.3</v>
      </c>
      <c r="G263" s="1">
        <f ca="1">IFERROR(__xludf.DUMMYFUNCTION("""COMPUTED_VALUE"""),201)</f>
        <v>201</v>
      </c>
      <c r="H263" s="1">
        <f ca="1">IFERROR(__xludf.DUMMYFUNCTION("""COMPUTED_VALUE"""),111)</f>
        <v>111</v>
      </c>
      <c r="I263" s="1">
        <f ca="1">IFERROR(__xludf.DUMMYFUNCTION("""COMPUTED_VALUE"""),297)</f>
        <v>297</v>
      </c>
      <c r="J263" s="1">
        <f ca="1">IFERROR(__xludf.DUMMYFUNCTION("""COMPUTED_VALUE"""),67)</f>
        <v>67</v>
      </c>
      <c r="K263" s="1">
        <f ca="1">IFERROR(__xludf.DUMMYFUNCTION("""COMPUTED_VALUE"""),235)</f>
        <v>235</v>
      </c>
      <c r="L263" s="1" t="str">
        <f ca="1">IFERROR(__xludf.DUMMYFUNCTION("""COMPUTED_VALUE"""),"+.002")</f>
        <v>+.002</v>
      </c>
      <c r="M263" s="1">
        <f ca="1">IFERROR(__xludf.DUMMYFUNCTION("""COMPUTED_VALUE"""),173)</f>
        <v>173</v>
      </c>
      <c r="N263" s="1">
        <f ca="1">IFERROR(__xludf.DUMMYFUNCTION("""COMPUTED_VALUE"""),-1.45)</f>
        <v>-1.45</v>
      </c>
      <c r="O263" s="1">
        <f ca="1">IFERROR(__xludf.DUMMYFUNCTION("""COMPUTED_VALUE"""),176)</f>
        <v>176</v>
      </c>
      <c r="P263" s="1">
        <f ca="1">IFERROR(__xludf.DUMMYFUNCTION("""COMPUTED_VALUE"""),104.8)</f>
        <v>104.8</v>
      </c>
      <c r="Q263" s="1">
        <f ca="1">IFERROR(__xludf.DUMMYFUNCTION("""COMPUTED_VALUE"""),159)</f>
        <v>159</v>
      </c>
      <c r="R263" s="1">
        <f ca="1">IFERROR(__xludf.DUMMYFUNCTION("""COMPUTED_VALUE"""),106.2)</f>
        <v>106.2</v>
      </c>
      <c r="S263" s="1">
        <f ca="1">IFERROR(__xludf.DUMMYFUNCTION("""COMPUTED_VALUE"""),204)</f>
        <v>204</v>
      </c>
      <c r="T263" s="1">
        <f ca="1">IFERROR(__xludf.DUMMYFUNCTION("""COMPUTED_VALUE"""),-3.54)</f>
        <v>-3.54</v>
      </c>
      <c r="U263" s="1">
        <f ca="1">IFERROR(__xludf.DUMMYFUNCTION("""COMPUTED_VALUE"""),276)</f>
        <v>276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IFERROR(__xludf.DUMMYFUNCTION("""COMPUTED_VALUE"""),"Hampton8")</f>
        <v>Hampton8</v>
      </c>
      <c r="C264" s="1" t="str">
        <f ca="1">IFERROR(__xludf.DUMMYFUNCTION("""COMPUTED_VALUE"""),"MEAC")</f>
        <v>MEAC</v>
      </c>
      <c r="D264" s="1" t="str">
        <f ca="1">IFERROR(__xludf.DUMMYFUNCTION("""COMPUTED_VALUE"""),"19-16")</f>
        <v>19-16</v>
      </c>
      <c r="E264" s="1">
        <f ca="1">IFERROR(__xludf.DUMMYFUNCTION("""COMPUTED_VALUE"""),-7.68)</f>
        <v>-7.68</v>
      </c>
      <c r="F264" s="1">
        <f ca="1">IFERROR(__xludf.DUMMYFUNCTION("""COMPUTED_VALUE"""),101)</f>
        <v>101</v>
      </c>
      <c r="G264" s="1">
        <f ca="1">IFERROR(__xludf.DUMMYFUNCTION("""COMPUTED_VALUE"""),243)</f>
        <v>243</v>
      </c>
      <c r="H264" s="1">
        <f ca="1">IFERROR(__xludf.DUMMYFUNCTION("""COMPUTED_VALUE"""),108.7)</f>
        <v>108.7</v>
      </c>
      <c r="I264" s="1">
        <f ca="1">IFERROR(__xludf.DUMMYFUNCTION("""COMPUTED_VALUE"""),251)</f>
        <v>251</v>
      </c>
      <c r="J264" s="1">
        <f ca="1">IFERROR(__xludf.DUMMYFUNCTION("""COMPUTED_VALUE"""),71.9)</f>
        <v>71.900000000000006</v>
      </c>
      <c r="K264" s="1">
        <f ca="1">IFERROR(__xludf.DUMMYFUNCTION("""COMPUTED_VALUE"""),28)</f>
        <v>28</v>
      </c>
      <c r="L264" s="1">
        <f ca="1">IFERROR(__xludf.DUMMYFUNCTION("""COMPUTED_VALUE"""),-0.017)</f>
        <v>-1.7000000000000001E-2</v>
      </c>
      <c r="M264" s="1">
        <f ca="1">IFERROR(__xludf.DUMMYFUNCTION("""COMPUTED_VALUE"""),223)</f>
        <v>223</v>
      </c>
      <c r="N264" s="1">
        <f ca="1">IFERROR(__xludf.DUMMYFUNCTION("""COMPUTED_VALUE"""),-11.05)</f>
        <v>-11.05</v>
      </c>
      <c r="O264" s="1">
        <f ca="1">IFERROR(__xludf.DUMMYFUNCTION("""COMPUTED_VALUE"""),346)</f>
        <v>346</v>
      </c>
      <c r="P264" s="1">
        <f ca="1">IFERROR(__xludf.DUMMYFUNCTION("""COMPUTED_VALUE"""),99.5)</f>
        <v>99.5</v>
      </c>
      <c r="Q264" s="1">
        <f ca="1">IFERROR(__xludf.DUMMYFUNCTION("""COMPUTED_VALUE"""),342)</f>
        <v>342</v>
      </c>
      <c r="R264" s="1">
        <f ca="1">IFERROR(__xludf.DUMMYFUNCTION("""COMPUTED_VALUE"""),110.6)</f>
        <v>110.6</v>
      </c>
      <c r="S264" s="1">
        <f ca="1">IFERROR(__xludf.DUMMYFUNCTION("""COMPUTED_VALUE"""),349)</f>
        <v>349</v>
      </c>
      <c r="T264" s="1" t="str">
        <f ca="1">IFERROR(__xludf.DUMMYFUNCTION("""COMPUTED_VALUE"""),"+1.01")</f>
        <v>+1.01</v>
      </c>
      <c r="U264" s="1">
        <f ca="1">IFERROR(__xludf.DUMMYFUNCTION("""COMPUTED_VALUE"""),134)</f>
        <v>134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IFERROR(__xludf.DUMMYFUNCTION("""COMPUTED_VALUE"""),"Drexel")</f>
        <v>Drexel</v>
      </c>
      <c r="C265" s="1" t="str">
        <f ca="1">IFERROR(__xludf.DUMMYFUNCTION("""COMPUTED_VALUE"""),"CAA")</f>
        <v>CAA</v>
      </c>
      <c r="D265" s="1" t="str">
        <f ca="1">IFERROR(__xludf.DUMMYFUNCTION("""COMPUTED_VALUE"""),"13-20")</f>
        <v>13-20</v>
      </c>
      <c r="E265" s="1">
        <f ca="1">IFERROR(__xludf.DUMMYFUNCTION("""COMPUTED_VALUE"""),-7.73)</f>
        <v>-7.73</v>
      </c>
      <c r="F265" s="1">
        <f ca="1">IFERROR(__xludf.DUMMYFUNCTION("""COMPUTED_VALUE"""),103)</f>
        <v>103</v>
      </c>
      <c r="G265" s="1">
        <f ca="1">IFERROR(__xludf.DUMMYFUNCTION("""COMPUTED_VALUE"""),211)</f>
        <v>211</v>
      </c>
      <c r="H265" s="1">
        <f ca="1">IFERROR(__xludf.DUMMYFUNCTION("""COMPUTED_VALUE"""),110.7)</f>
        <v>110.7</v>
      </c>
      <c r="I265" s="1">
        <f ca="1">IFERROR(__xludf.DUMMYFUNCTION("""COMPUTED_VALUE"""),292)</f>
        <v>292</v>
      </c>
      <c r="J265" s="1">
        <f ca="1">IFERROR(__xludf.DUMMYFUNCTION("""COMPUTED_VALUE"""),69)</f>
        <v>69</v>
      </c>
      <c r="K265" s="1">
        <f ca="1">IFERROR(__xludf.DUMMYFUNCTION("""COMPUTED_VALUE"""),123)</f>
        <v>123</v>
      </c>
      <c r="L265" s="1" t="str">
        <f ca="1">IFERROR(__xludf.DUMMYFUNCTION("""COMPUTED_VALUE"""),"+.064")</f>
        <v>+.064</v>
      </c>
      <c r="M265" s="1">
        <f ca="1">IFERROR(__xludf.DUMMYFUNCTION("""COMPUTED_VALUE"""),42)</f>
        <v>42</v>
      </c>
      <c r="N265" s="1">
        <f ca="1">IFERROR(__xludf.DUMMYFUNCTION("""COMPUTED_VALUE"""),-2.16)</f>
        <v>-2.16</v>
      </c>
      <c r="O265" s="1">
        <f ca="1">IFERROR(__xludf.DUMMYFUNCTION("""COMPUTED_VALUE"""),197)</f>
        <v>197</v>
      </c>
      <c r="P265" s="1">
        <f ca="1">IFERROR(__xludf.DUMMYFUNCTION("""COMPUTED_VALUE"""),105.4)</f>
        <v>105.4</v>
      </c>
      <c r="Q265" s="1">
        <f ca="1">IFERROR(__xludf.DUMMYFUNCTION("""COMPUTED_VALUE"""),132)</f>
        <v>132</v>
      </c>
      <c r="R265" s="1">
        <f ca="1">IFERROR(__xludf.DUMMYFUNCTION("""COMPUTED_VALUE"""),107.5)</f>
        <v>107.5</v>
      </c>
      <c r="S265" s="1">
        <f ca="1">IFERROR(__xludf.DUMMYFUNCTION("""COMPUTED_VALUE"""),279)</f>
        <v>279</v>
      </c>
      <c r="T265" s="1">
        <f ca="1">IFERROR(__xludf.DUMMYFUNCTION("""COMPUTED_VALUE"""),-2.43)</f>
        <v>-2.4300000000000002</v>
      </c>
      <c r="U265" s="1">
        <f ca="1">IFERROR(__xludf.DUMMYFUNCTION("""COMPUTED_VALUE"""),229)</f>
        <v>229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IFERROR(__xludf.DUMMYFUNCTION("""COMPUTED_VALUE"""),"Southern Utah")</f>
        <v>Southern Utah</v>
      </c>
      <c r="C266" s="1" t="str">
        <f ca="1">IFERROR(__xludf.DUMMYFUNCTION("""COMPUTED_VALUE"""),"BSky")</f>
        <v>BSky</v>
      </c>
      <c r="D266" s="1" t="str">
        <f ca="1">IFERROR(__xludf.DUMMYFUNCTION("""COMPUTED_VALUE"""),"13-19")</f>
        <v>13-19</v>
      </c>
      <c r="E266" s="1">
        <f ca="1">IFERROR(__xludf.DUMMYFUNCTION("""COMPUTED_VALUE"""),-7.74)</f>
        <v>-7.74</v>
      </c>
      <c r="F266" s="1">
        <f ca="1">IFERROR(__xludf.DUMMYFUNCTION("""COMPUTED_VALUE"""),102.2)</f>
        <v>102.2</v>
      </c>
      <c r="G266" s="1">
        <f ca="1">IFERROR(__xludf.DUMMYFUNCTION("""COMPUTED_VALUE"""),221)</f>
        <v>221</v>
      </c>
      <c r="H266" s="1">
        <f ca="1">IFERROR(__xludf.DUMMYFUNCTION("""COMPUTED_VALUE"""),110)</f>
        <v>110</v>
      </c>
      <c r="I266" s="1">
        <f ca="1">IFERROR(__xludf.DUMMYFUNCTION("""COMPUTED_VALUE"""),273)</f>
        <v>273</v>
      </c>
      <c r="J266" s="1">
        <f ca="1">IFERROR(__xludf.DUMMYFUNCTION("""COMPUTED_VALUE"""),71.7)</f>
        <v>71.7</v>
      </c>
      <c r="K266" s="1">
        <f ca="1">IFERROR(__xludf.DUMMYFUNCTION("""COMPUTED_VALUE"""),32)</f>
        <v>32</v>
      </c>
      <c r="L266" s="1" t="str">
        <f ca="1">IFERROR(__xludf.DUMMYFUNCTION("""COMPUTED_VALUE"""),"+.062")</f>
        <v>+.062</v>
      </c>
      <c r="M266" s="1">
        <f ca="1">IFERROR(__xludf.DUMMYFUNCTION("""COMPUTED_VALUE"""),47)</f>
        <v>47</v>
      </c>
      <c r="N266" s="1">
        <f ca="1">IFERROR(__xludf.DUMMYFUNCTION("""COMPUTED_VALUE"""),-0.45)</f>
        <v>-0.45</v>
      </c>
      <c r="O266" s="1">
        <f ca="1">IFERROR(__xludf.DUMMYFUNCTION("""COMPUTED_VALUE"""),148)</f>
        <v>148</v>
      </c>
      <c r="P266" s="1">
        <f ca="1">IFERROR(__xludf.DUMMYFUNCTION("""COMPUTED_VALUE"""),105.8)</f>
        <v>105.8</v>
      </c>
      <c r="Q266" s="1">
        <f ca="1">IFERROR(__xludf.DUMMYFUNCTION("""COMPUTED_VALUE"""),111)</f>
        <v>111</v>
      </c>
      <c r="R266" s="1">
        <f ca="1">IFERROR(__xludf.DUMMYFUNCTION("""COMPUTED_VALUE"""),106.3)</f>
        <v>106.3</v>
      </c>
      <c r="S266" s="1">
        <f ca="1">IFERROR(__xludf.DUMMYFUNCTION("""COMPUTED_VALUE"""),211)</f>
        <v>211</v>
      </c>
      <c r="T266" s="1" t="str">
        <f ca="1">IFERROR(__xludf.DUMMYFUNCTION("""COMPUTED_VALUE"""),"+4.90")</f>
        <v>+4.90</v>
      </c>
      <c r="U266" s="1">
        <f ca="1">IFERROR(__xludf.DUMMYFUNCTION("""COMPUTED_VALUE"""),39)</f>
        <v>39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IFERROR(__xludf.DUMMYFUNCTION("""COMPUTED_VALUE"""),"Robert Morris")</f>
        <v>Robert Morris</v>
      </c>
      <c r="C267" s="1" t="str">
        <f ca="1">IFERROR(__xludf.DUMMYFUNCTION("""COMPUTED_VALUE"""),"NEC")</f>
        <v>NEC</v>
      </c>
      <c r="D267" s="1" t="str">
        <f ca="1">IFERROR(__xludf.DUMMYFUNCTION("""COMPUTED_VALUE"""),"16-17")</f>
        <v>16-17</v>
      </c>
      <c r="E267" s="1">
        <f ca="1">IFERROR(__xludf.DUMMYFUNCTION("""COMPUTED_VALUE"""),-7.79)</f>
        <v>-7.79</v>
      </c>
      <c r="F267" s="1">
        <f ca="1">IFERROR(__xludf.DUMMYFUNCTION("""COMPUTED_VALUE"""),94.7)</f>
        <v>94.7</v>
      </c>
      <c r="G267" s="1">
        <f ca="1">IFERROR(__xludf.DUMMYFUNCTION("""COMPUTED_VALUE"""),331)</f>
        <v>331</v>
      </c>
      <c r="H267" s="1">
        <f ca="1">IFERROR(__xludf.DUMMYFUNCTION("""COMPUTED_VALUE"""),102.5)</f>
        <v>102.5</v>
      </c>
      <c r="I267" s="1">
        <f ca="1">IFERROR(__xludf.DUMMYFUNCTION("""COMPUTED_VALUE"""),122)</f>
        <v>122</v>
      </c>
      <c r="J267" s="1">
        <f ca="1">IFERROR(__xludf.DUMMYFUNCTION("""COMPUTED_VALUE"""),69.3)</f>
        <v>69.3</v>
      </c>
      <c r="K267" s="1">
        <f ca="1">IFERROR(__xludf.DUMMYFUNCTION("""COMPUTED_VALUE"""),112)</f>
        <v>112</v>
      </c>
      <c r="L267" s="1" t="str">
        <f ca="1">IFERROR(__xludf.DUMMYFUNCTION("""COMPUTED_VALUE"""),"+.036")</f>
        <v>+.036</v>
      </c>
      <c r="M267" s="1">
        <f ca="1">IFERROR(__xludf.DUMMYFUNCTION("""COMPUTED_VALUE"""),89)</f>
        <v>89</v>
      </c>
      <c r="N267" s="1">
        <f ca="1">IFERROR(__xludf.DUMMYFUNCTION("""COMPUTED_VALUE"""),-5.74)</f>
        <v>-5.74</v>
      </c>
      <c r="O267" s="1">
        <f ca="1">IFERROR(__xludf.DUMMYFUNCTION("""COMPUTED_VALUE"""),296)</f>
        <v>296</v>
      </c>
      <c r="P267" s="1">
        <f ca="1">IFERROR(__xludf.DUMMYFUNCTION("""COMPUTED_VALUE"""),102.7)</f>
        <v>102.7</v>
      </c>
      <c r="Q267" s="1">
        <f ca="1">IFERROR(__xludf.DUMMYFUNCTION("""COMPUTED_VALUE"""),265)</f>
        <v>265</v>
      </c>
      <c r="R267" s="1">
        <f ca="1">IFERROR(__xludf.DUMMYFUNCTION("""COMPUTED_VALUE"""),108.5)</f>
        <v>108.5</v>
      </c>
      <c r="S267" s="1">
        <f ca="1">IFERROR(__xludf.DUMMYFUNCTION("""COMPUTED_VALUE"""),323)</f>
        <v>323</v>
      </c>
      <c r="T267" s="1" t="str">
        <f ca="1">IFERROR(__xludf.DUMMYFUNCTION("""COMPUTED_VALUE"""),"+0.95")</f>
        <v>+0.95</v>
      </c>
      <c r="U267" s="1">
        <f ca="1">IFERROR(__xludf.DUMMYFUNCTION("""COMPUTED_VALUE"""),137)</f>
        <v>137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IFERROR(__xludf.DUMMYFUNCTION("""COMPUTED_VALUE"""),"NJIT")</f>
        <v>NJIT</v>
      </c>
      <c r="C268" s="1" t="str">
        <f ca="1">IFERROR(__xludf.DUMMYFUNCTION("""COMPUTED_VALUE"""),"ASun")</f>
        <v>ASun</v>
      </c>
      <c r="D268" s="1" t="str">
        <f ca="1">IFERROR(__xludf.DUMMYFUNCTION("""COMPUTED_VALUE"""),"14-16")</f>
        <v>14-16</v>
      </c>
      <c r="E268" s="1">
        <f ca="1">IFERROR(__xludf.DUMMYFUNCTION("""COMPUTED_VALUE"""),-7.95)</f>
        <v>-7.95</v>
      </c>
      <c r="F268" s="1">
        <f ca="1">IFERROR(__xludf.DUMMYFUNCTION("""COMPUTED_VALUE"""),98.6)</f>
        <v>98.6</v>
      </c>
      <c r="G268" s="1">
        <f ca="1">IFERROR(__xludf.DUMMYFUNCTION("""COMPUTED_VALUE"""),286)</f>
        <v>286</v>
      </c>
      <c r="H268" s="1">
        <f ca="1">IFERROR(__xludf.DUMMYFUNCTION("""COMPUTED_VALUE"""),106.6)</f>
        <v>106.6</v>
      </c>
      <c r="I268" s="1">
        <f ca="1">IFERROR(__xludf.DUMMYFUNCTION("""COMPUTED_VALUE"""),198)</f>
        <v>198</v>
      </c>
      <c r="J268" s="1">
        <f ca="1">IFERROR(__xludf.DUMMYFUNCTION("""COMPUTED_VALUE"""),66.9)</f>
        <v>66.900000000000006</v>
      </c>
      <c r="K268" s="1">
        <f ca="1">IFERROR(__xludf.DUMMYFUNCTION("""COMPUTED_VALUE"""),241)</f>
        <v>241</v>
      </c>
      <c r="L268" s="1">
        <f ca="1">IFERROR(__xludf.DUMMYFUNCTION("""COMPUTED_VALUE"""),-0.024)</f>
        <v>-2.4E-2</v>
      </c>
      <c r="M268" s="1">
        <f ca="1">IFERROR(__xludf.DUMMYFUNCTION("""COMPUTED_VALUE"""),242)</f>
        <v>242</v>
      </c>
      <c r="N268" s="1">
        <f ca="1">IFERROR(__xludf.DUMMYFUNCTION("""COMPUTED_VALUE"""),-7.24)</f>
        <v>-7.24</v>
      </c>
      <c r="O268" s="1">
        <f ca="1">IFERROR(__xludf.DUMMYFUNCTION("""COMPUTED_VALUE"""),322)</f>
        <v>322</v>
      </c>
      <c r="P268" s="1">
        <f ca="1">IFERROR(__xludf.DUMMYFUNCTION("""COMPUTED_VALUE"""),103.3)</f>
        <v>103.3</v>
      </c>
      <c r="Q268" s="1">
        <f ca="1">IFERROR(__xludf.DUMMYFUNCTION("""COMPUTED_VALUE"""),231)</f>
        <v>231</v>
      </c>
      <c r="R268" s="1">
        <f ca="1">IFERROR(__xludf.DUMMYFUNCTION("""COMPUTED_VALUE"""),110.6)</f>
        <v>110.6</v>
      </c>
      <c r="S268" s="1">
        <f ca="1">IFERROR(__xludf.DUMMYFUNCTION("""COMPUTED_VALUE"""),348)</f>
        <v>348</v>
      </c>
      <c r="T268" s="1">
        <f ca="1">IFERROR(__xludf.DUMMYFUNCTION("""COMPUTED_VALUE"""),-2.51)</f>
        <v>-2.5099999999999998</v>
      </c>
      <c r="U268" s="1">
        <f ca="1">IFERROR(__xludf.DUMMYFUNCTION("""COMPUTED_VALUE"""),236)</f>
        <v>236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IFERROR(__xludf.DUMMYFUNCTION("""COMPUTED_VALUE"""),"Akron")</f>
        <v>Akron</v>
      </c>
      <c r="C269" s="1" t="str">
        <f ca="1">IFERROR(__xludf.DUMMYFUNCTION("""COMPUTED_VALUE"""),"MAC")</f>
        <v>MAC</v>
      </c>
      <c r="D269" s="1" t="str">
        <f ca="1">IFERROR(__xludf.DUMMYFUNCTION("""COMPUTED_VALUE"""),"14-18")</f>
        <v>14-18</v>
      </c>
      <c r="E269" s="1">
        <f ca="1">IFERROR(__xludf.DUMMYFUNCTION("""COMPUTED_VALUE"""),-8.08)</f>
        <v>-8.08</v>
      </c>
      <c r="F269" s="1">
        <f ca="1">IFERROR(__xludf.DUMMYFUNCTION("""COMPUTED_VALUE"""),101.8)</f>
        <v>101.8</v>
      </c>
      <c r="G269" s="1">
        <f ca="1">IFERROR(__xludf.DUMMYFUNCTION("""COMPUTED_VALUE"""),234)</f>
        <v>234</v>
      </c>
      <c r="H269" s="1">
        <f ca="1">IFERROR(__xludf.DUMMYFUNCTION("""COMPUTED_VALUE"""),109.9)</f>
        <v>109.9</v>
      </c>
      <c r="I269" s="1">
        <f ca="1">IFERROR(__xludf.DUMMYFUNCTION("""COMPUTED_VALUE"""),270)</f>
        <v>270</v>
      </c>
      <c r="J269" s="1">
        <f ca="1">IFERROR(__xludf.DUMMYFUNCTION("""COMPUTED_VALUE"""),67.8)</f>
        <v>67.8</v>
      </c>
      <c r="K269" s="1">
        <f ca="1">IFERROR(__xludf.DUMMYFUNCTION("""COMPUTED_VALUE"""),198)</f>
        <v>198</v>
      </c>
      <c r="L269" s="1" t="str">
        <f ca="1">IFERROR(__xludf.DUMMYFUNCTION("""COMPUTED_VALUE"""),"+.068")</f>
        <v>+.068</v>
      </c>
      <c r="M269" s="1">
        <f ca="1">IFERROR(__xludf.DUMMYFUNCTION("""COMPUTED_VALUE"""),34)</f>
        <v>34</v>
      </c>
      <c r="N269" s="1">
        <f ca="1">IFERROR(__xludf.DUMMYFUNCTION("""COMPUTED_VALUE"""),-2.06)</f>
        <v>-2.06</v>
      </c>
      <c r="O269" s="1">
        <f ca="1">IFERROR(__xludf.DUMMYFUNCTION("""COMPUTED_VALUE"""),189)</f>
        <v>189</v>
      </c>
      <c r="P269" s="1">
        <f ca="1">IFERROR(__xludf.DUMMYFUNCTION("""COMPUTED_VALUE"""),104.5)</f>
        <v>104.5</v>
      </c>
      <c r="Q269" s="1">
        <f ca="1">IFERROR(__xludf.DUMMYFUNCTION("""COMPUTED_VALUE"""),174)</f>
        <v>174</v>
      </c>
      <c r="R269" s="1">
        <f ca="1">IFERROR(__xludf.DUMMYFUNCTION("""COMPUTED_VALUE"""),106.5)</f>
        <v>106.5</v>
      </c>
      <c r="S269" s="1">
        <f ca="1">IFERROR(__xludf.DUMMYFUNCTION("""COMPUTED_VALUE"""),230)</f>
        <v>230</v>
      </c>
      <c r="T269" s="1">
        <f ca="1">IFERROR(__xludf.DUMMYFUNCTION("""COMPUTED_VALUE"""),-5.3)</f>
        <v>-5.3</v>
      </c>
      <c r="U269" s="1">
        <f ca="1">IFERROR(__xludf.DUMMYFUNCTION("""COMPUTED_VALUE"""),310)</f>
        <v>310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IFERROR(__xludf.DUMMYFUNCTION("""COMPUTED_VALUE"""),"Southeast Missouri St.")</f>
        <v>Southeast Missouri St.</v>
      </c>
      <c r="C270" s="1" t="str">
        <f ca="1">IFERROR(__xludf.DUMMYFUNCTION("""COMPUTED_VALUE"""),"OVC")</f>
        <v>OVC</v>
      </c>
      <c r="D270" s="1" t="str">
        <f ca="1">IFERROR(__xludf.DUMMYFUNCTION("""COMPUTED_VALUE"""),"14-17")</f>
        <v>14-17</v>
      </c>
      <c r="E270" s="1">
        <f ca="1">IFERROR(__xludf.DUMMYFUNCTION("""COMPUTED_VALUE"""),-8.11)</f>
        <v>-8.11</v>
      </c>
      <c r="F270" s="1">
        <f ca="1">IFERROR(__xludf.DUMMYFUNCTION("""COMPUTED_VALUE"""),108.5)</f>
        <v>108.5</v>
      </c>
      <c r="G270" s="1">
        <f ca="1">IFERROR(__xludf.DUMMYFUNCTION("""COMPUTED_VALUE"""),107)</f>
        <v>107</v>
      </c>
      <c r="H270" s="1">
        <f ca="1">IFERROR(__xludf.DUMMYFUNCTION("""COMPUTED_VALUE"""),116.6)</f>
        <v>116.6</v>
      </c>
      <c r="I270" s="1">
        <f ca="1">IFERROR(__xludf.DUMMYFUNCTION("""COMPUTED_VALUE"""),340)</f>
        <v>340</v>
      </c>
      <c r="J270" s="1">
        <f ca="1">IFERROR(__xludf.DUMMYFUNCTION("""COMPUTED_VALUE"""),69.2)</f>
        <v>69.2</v>
      </c>
      <c r="K270" s="1">
        <f ca="1">IFERROR(__xludf.DUMMYFUNCTION("""COMPUTED_VALUE"""),116)</f>
        <v>116</v>
      </c>
      <c r="L270" s="1" t="str">
        <f ca="1">IFERROR(__xludf.DUMMYFUNCTION("""COMPUTED_VALUE"""),"+.021")</f>
        <v>+.021</v>
      </c>
      <c r="M270" s="1">
        <f ca="1">IFERROR(__xludf.DUMMYFUNCTION("""COMPUTED_VALUE"""),121)</f>
        <v>121</v>
      </c>
      <c r="N270" s="1">
        <f ca="1">IFERROR(__xludf.DUMMYFUNCTION("""COMPUTED_VALUE"""),-4.53)</f>
        <v>-4.53</v>
      </c>
      <c r="O270" s="1">
        <f ca="1">IFERROR(__xludf.DUMMYFUNCTION("""COMPUTED_VALUE"""),279)</f>
        <v>279</v>
      </c>
      <c r="P270" s="1">
        <f ca="1">IFERROR(__xludf.DUMMYFUNCTION("""COMPUTED_VALUE"""),101.7)</f>
        <v>101.7</v>
      </c>
      <c r="Q270" s="1">
        <f ca="1">IFERROR(__xludf.DUMMYFUNCTION("""COMPUTED_VALUE"""),299)</f>
        <v>299</v>
      </c>
      <c r="R270" s="1">
        <f ca="1">IFERROR(__xludf.DUMMYFUNCTION("""COMPUTED_VALUE"""),106.2)</f>
        <v>106.2</v>
      </c>
      <c r="S270" s="1">
        <f ca="1">IFERROR(__xludf.DUMMYFUNCTION("""COMPUTED_VALUE"""),205)</f>
        <v>205</v>
      </c>
      <c r="T270" s="1">
        <f ca="1">IFERROR(__xludf.DUMMYFUNCTION("""COMPUTED_VALUE"""),-2.47)</f>
        <v>-2.4700000000000002</v>
      </c>
      <c r="U270" s="1">
        <f ca="1">IFERROR(__xludf.DUMMYFUNCTION("""COMPUTED_VALUE"""),232)</f>
        <v>232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IFERROR(__xludf.DUMMYFUNCTION("""COMPUTED_VALUE"""),"Eastern Illinois")</f>
        <v>Eastern Illinois</v>
      </c>
      <c r="C271" s="1" t="str">
        <f ca="1">IFERROR(__xludf.DUMMYFUNCTION("""COMPUTED_VALUE"""),"OVC")</f>
        <v>OVC</v>
      </c>
      <c r="D271" s="2">
        <f ca="1">IFERROR(__xludf.DUMMYFUNCTION("""COMPUTED_VALUE"""),44914)</f>
        <v>44914</v>
      </c>
      <c r="E271" s="1">
        <f ca="1">IFERROR(__xludf.DUMMYFUNCTION("""COMPUTED_VALUE"""),-8.14)</f>
        <v>-8.14</v>
      </c>
      <c r="F271" s="1">
        <f ca="1">IFERROR(__xludf.DUMMYFUNCTION("""COMPUTED_VALUE"""),99)</f>
        <v>99</v>
      </c>
      <c r="G271" s="1">
        <f ca="1">IFERROR(__xludf.DUMMYFUNCTION("""COMPUTED_VALUE"""),277)</f>
        <v>277</v>
      </c>
      <c r="H271" s="1">
        <f ca="1">IFERROR(__xludf.DUMMYFUNCTION("""COMPUTED_VALUE"""),107.1)</f>
        <v>107.1</v>
      </c>
      <c r="I271" s="1">
        <f ca="1">IFERROR(__xludf.DUMMYFUNCTION("""COMPUTED_VALUE"""),213)</f>
        <v>213</v>
      </c>
      <c r="J271" s="1">
        <f ca="1">IFERROR(__xludf.DUMMYFUNCTION("""COMPUTED_VALUE"""),65.5)</f>
        <v>65.5</v>
      </c>
      <c r="K271" s="1">
        <f ca="1">IFERROR(__xludf.DUMMYFUNCTION("""COMPUTED_VALUE"""),305)</f>
        <v>305</v>
      </c>
      <c r="L271" s="1" t="str">
        <f ca="1">IFERROR(__xludf.DUMMYFUNCTION("""COMPUTED_VALUE"""),"+.009")</f>
        <v>+.009</v>
      </c>
      <c r="M271" s="1">
        <f ca="1">IFERROR(__xludf.DUMMYFUNCTION("""COMPUTED_VALUE"""),149)</f>
        <v>149</v>
      </c>
      <c r="N271" s="1">
        <f ca="1">IFERROR(__xludf.DUMMYFUNCTION("""COMPUTED_VALUE"""),-2.42)</f>
        <v>-2.42</v>
      </c>
      <c r="O271" s="1">
        <f ca="1">IFERROR(__xludf.DUMMYFUNCTION("""COMPUTED_VALUE"""),202)</f>
        <v>202</v>
      </c>
      <c r="P271" s="1">
        <f ca="1">IFERROR(__xludf.DUMMYFUNCTION("""COMPUTED_VALUE"""),103.3)</f>
        <v>103.3</v>
      </c>
      <c r="Q271" s="1">
        <f ca="1">IFERROR(__xludf.DUMMYFUNCTION("""COMPUTED_VALUE"""),230)</f>
        <v>230</v>
      </c>
      <c r="R271" s="1">
        <f ca="1">IFERROR(__xludf.DUMMYFUNCTION("""COMPUTED_VALUE"""),105.8)</f>
        <v>105.8</v>
      </c>
      <c r="S271" s="1">
        <f ca="1">IFERROR(__xludf.DUMMYFUNCTION("""COMPUTED_VALUE"""),179)</f>
        <v>179</v>
      </c>
      <c r="T271" s="1" t="str">
        <f ca="1">IFERROR(__xludf.DUMMYFUNCTION("""COMPUTED_VALUE"""),"+2.01")</f>
        <v>+2.01</v>
      </c>
      <c r="U271" s="1">
        <f ca="1">IFERROR(__xludf.DUMMYFUNCTION("""COMPUTED_VALUE"""),102)</f>
        <v>102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IFERROR(__xludf.DUMMYFUNCTION("""COMPUTED_VALUE"""),"Boston University")</f>
        <v>Boston University</v>
      </c>
      <c r="C272" s="1" t="str">
        <f ca="1">IFERROR(__xludf.DUMMYFUNCTION("""COMPUTED_VALUE"""),"Pat")</f>
        <v>Pat</v>
      </c>
      <c r="D272" s="1" t="str">
        <f ca="1">IFERROR(__xludf.DUMMYFUNCTION("""COMPUTED_VALUE"""),"15-16")</f>
        <v>15-16</v>
      </c>
      <c r="E272" s="1">
        <f ca="1">IFERROR(__xludf.DUMMYFUNCTION("""COMPUTED_VALUE"""),-8.21)</f>
        <v>-8.2100000000000009</v>
      </c>
      <c r="F272" s="1">
        <f ca="1">IFERROR(__xludf.DUMMYFUNCTION("""COMPUTED_VALUE"""),100.2)</f>
        <v>100.2</v>
      </c>
      <c r="G272" s="1">
        <f ca="1">IFERROR(__xludf.DUMMYFUNCTION("""COMPUTED_VALUE"""),255)</f>
        <v>255</v>
      </c>
      <c r="H272" s="1">
        <f ca="1">IFERROR(__xludf.DUMMYFUNCTION("""COMPUTED_VALUE"""),108.4)</f>
        <v>108.4</v>
      </c>
      <c r="I272" s="1">
        <f ca="1">IFERROR(__xludf.DUMMYFUNCTION("""COMPUTED_VALUE"""),240)</f>
        <v>240</v>
      </c>
      <c r="J272" s="1">
        <f ca="1">IFERROR(__xludf.DUMMYFUNCTION("""COMPUTED_VALUE"""),67.5)</f>
        <v>67.5</v>
      </c>
      <c r="K272" s="1">
        <f ca="1">IFERROR(__xludf.DUMMYFUNCTION("""COMPUTED_VALUE"""),208)</f>
        <v>208</v>
      </c>
      <c r="L272" s="1" t="str">
        <f ca="1">IFERROR(__xludf.DUMMYFUNCTION("""COMPUTED_VALUE"""),"+.057")</f>
        <v>+.057</v>
      </c>
      <c r="M272" s="1">
        <f ca="1">IFERROR(__xludf.DUMMYFUNCTION("""COMPUTED_VALUE"""),58)</f>
        <v>58</v>
      </c>
      <c r="N272" s="1">
        <f ca="1">IFERROR(__xludf.DUMMYFUNCTION("""COMPUTED_VALUE"""),-5.49)</f>
        <v>-5.49</v>
      </c>
      <c r="O272" s="1">
        <f ca="1">IFERROR(__xludf.DUMMYFUNCTION("""COMPUTED_VALUE"""),290)</f>
        <v>290</v>
      </c>
      <c r="P272" s="1">
        <f ca="1">IFERROR(__xludf.DUMMYFUNCTION("""COMPUTED_VALUE"""),102.2)</f>
        <v>102.2</v>
      </c>
      <c r="Q272" s="1">
        <f ca="1">IFERROR(__xludf.DUMMYFUNCTION("""COMPUTED_VALUE"""),286)</f>
        <v>286</v>
      </c>
      <c r="R272" s="1">
        <f ca="1">IFERROR(__xludf.DUMMYFUNCTION("""COMPUTED_VALUE"""),107.7)</f>
        <v>107.7</v>
      </c>
      <c r="S272" s="1">
        <f ca="1">IFERROR(__xludf.DUMMYFUNCTION("""COMPUTED_VALUE"""),289)</f>
        <v>289</v>
      </c>
      <c r="T272" s="1">
        <f ca="1">IFERROR(__xludf.DUMMYFUNCTION("""COMPUTED_VALUE"""),-2.35)</f>
        <v>-2.35</v>
      </c>
      <c r="U272" s="1">
        <f ca="1">IFERROR(__xludf.DUMMYFUNCTION("""COMPUTED_VALUE"""),226)</f>
        <v>226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IFERROR(__xludf.DUMMYFUNCTION("""COMPUTED_VALUE"""),"LIU Brooklyn16")</f>
        <v>LIU Brooklyn16</v>
      </c>
      <c r="C273" s="1" t="str">
        <f ca="1">IFERROR(__xludf.DUMMYFUNCTION("""COMPUTED_VALUE"""),"NEC")</f>
        <v>NEC</v>
      </c>
      <c r="D273" s="1" t="str">
        <f ca="1">IFERROR(__xludf.DUMMYFUNCTION("""COMPUTED_VALUE"""),"18-17")</f>
        <v>18-17</v>
      </c>
      <c r="E273" s="1">
        <f ca="1">IFERROR(__xludf.DUMMYFUNCTION("""COMPUTED_VALUE"""),-8.27)</f>
        <v>-8.27</v>
      </c>
      <c r="F273" s="1">
        <f ca="1">IFERROR(__xludf.DUMMYFUNCTION("""COMPUTED_VALUE"""),102.3)</f>
        <v>102.3</v>
      </c>
      <c r="G273" s="1">
        <f ca="1">IFERROR(__xludf.DUMMYFUNCTION("""COMPUTED_VALUE"""),220)</f>
        <v>220</v>
      </c>
      <c r="H273" s="1">
        <f ca="1">IFERROR(__xludf.DUMMYFUNCTION("""COMPUTED_VALUE"""),110.6)</f>
        <v>110.6</v>
      </c>
      <c r="I273" s="1">
        <f ca="1">IFERROR(__xludf.DUMMYFUNCTION("""COMPUTED_VALUE"""),287)</f>
        <v>287</v>
      </c>
      <c r="J273" s="1">
        <f ca="1">IFERROR(__xludf.DUMMYFUNCTION("""COMPUTED_VALUE"""),71.6)</f>
        <v>71.599999999999994</v>
      </c>
      <c r="K273" s="1">
        <f ca="1">IFERROR(__xludf.DUMMYFUNCTION("""COMPUTED_VALUE"""),37)</f>
        <v>37</v>
      </c>
      <c r="L273" s="1" t="str">
        <f ca="1">IFERROR(__xludf.DUMMYFUNCTION("""COMPUTED_VALUE"""),"+.012")</f>
        <v>+.012</v>
      </c>
      <c r="M273" s="1">
        <f ca="1">IFERROR(__xludf.DUMMYFUNCTION("""COMPUTED_VALUE"""),144)</f>
        <v>144</v>
      </c>
      <c r="N273" s="1">
        <f ca="1">IFERROR(__xludf.DUMMYFUNCTION("""COMPUTED_VALUE"""),-8.68)</f>
        <v>-8.68</v>
      </c>
      <c r="O273" s="1">
        <f ca="1">IFERROR(__xludf.DUMMYFUNCTION("""COMPUTED_VALUE"""),336)</f>
        <v>336</v>
      </c>
      <c r="P273" s="1">
        <f ca="1">IFERROR(__xludf.DUMMYFUNCTION("""COMPUTED_VALUE"""),100.2)</f>
        <v>100.2</v>
      </c>
      <c r="Q273" s="1">
        <f ca="1">IFERROR(__xludf.DUMMYFUNCTION("""COMPUTED_VALUE"""),334)</f>
        <v>334</v>
      </c>
      <c r="R273" s="1">
        <f ca="1">IFERROR(__xludf.DUMMYFUNCTION("""COMPUTED_VALUE"""),108.9)</f>
        <v>108.9</v>
      </c>
      <c r="S273" s="1">
        <f ca="1">IFERROR(__xludf.DUMMYFUNCTION("""COMPUTED_VALUE"""),333)</f>
        <v>333</v>
      </c>
      <c r="T273" s="1">
        <f ca="1">IFERROR(__xludf.DUMMYFUNCTION("""COMPUTED_VALUE"""),-6.06)</f>
        <v>-6.06</v>
      </c>
      <c r="U273" s="1">
        <f ca="1">IFERROR(__xludf.DUMMYFUNCTION("""COMPUTED_VALUE"""),317)</f>
        <v>317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IFERROR(__xludf.DUMMYFUNCTION("""COMPUTED_VALUE"""),"UT Rio Grande Valley")</f>
        <v>UT Rio Grande Valley</v>
      </c>
      <c r="C274" s="1" t="str">
        <f ca="1">IFERROR(__xludf.DUMMYFUNCTION("""COMPUTED_VALUE"""),"WAC")</f>
        <v>WAC</v>
      </c>
      <c r="D274" s="1" t="str">
        <f ca="1">IFERROR(__xludf.DUMMYFUNCTION("""COMPUTED_VALUE"""),"15-18")</f>
        <v>15-18</v>
      </c>
      <c r="E274" s="1">
        <f ca="1">IFERROR(__xludf.DUMMYFUNCTION("""COMPUTED_VALUE"""),-8.47)</f>
        <v>-8.4700000000000006</v>
      </c>
      <c r="F274" s="1">
        <f ca="1">IFERROR(__xludf.DUMMYFUNCTION("""COMPUTED_VALUE"""),99.3)</f>
        <v>99.3</v>
      </c>
      <c r="G274" s="1">
        <f ca="1">IFERROR(__xludf.DUMMYFUNCTION("""COMPUTED_VALUE"""),268)</f>
        <v>268</v>
      </c>
      <c r="H274" s="1">
        <f ca="1">IFERROR(__xludf.DUMMYFUNCTION("""COMPUTED_VALUE"""),107.8)</f>
        <v>107.8</v>
      </c>
      <c r="I274" s="1">
        <f ca="1">IFERROR(__xludf.DUMMYFUNCTION("""COMPUTED_VALUE"""),229)</f>
        <v>229</v>
      </c>
      <c r="J274" s="1">
        <f ca="1">IFERROR(__xludf.DUMMYFUNCTION("""COMPUTED_VALUE"""),73.7)</f>
        <v>73.7</v>
      </c>
      <c r="K274" s="1">
        <f ca="1">IFERROR(__xludf.DUMMYFUNCTION("""COMPUTED_VALUE"""),9)</f>
        <v>9</v>
      </c>
      <c r="L274" s="1" t="str">
        <f ca="1">IFERROR(__xludf.DUMMYFUNCTION("""COMPUTED_VALUE"""),"+.064")</f>
        <v>+.064</v>
      </c>
      <c r="M274" s="1">
        <f ca="1">IFERROR(__xludf.DUMMYFUNCTION("""COMPUTED_VALUE"""),43)</f>
        <v>43</v>
      </c>
      <c r="N274" s="1">
        <f ca="1">IFERROR(__xludf.DUMMYFUNCTION("""COMPUTED_VALUE"""),-2.78)</f>
        <v>-2.78</v>
      </c>
      <c r="O274" s="1">
        <f ca="1">IFERROR(__xludf.DUMMYFUNCTION("""COMPUTED_VALUE"""),217)</f>
        <v>217</v>
      </c>
      <c r="P274" s="1">
        <f ca="1">IFERROR(__xludf.DUMMYFUNCTION("""COMPUTED_VALUE"""),102)</f>
        <v>102</v>
      </c>
      <c r="Q274" s="1">
        <f ca="1">IFERROR(__xludf.DUMMYFUNCTION("""COMPUTED_VALUE"""),290)</f>
        <v>290</v>
      </c>
      <c r="R274" s="1">
        <f ca="1">IFERROR(__xludf.DUMMYFUNCTION("""COMPUTED_VALUE"""),104.7)</f>
        <v>104.7</v>
      </c>
      <c r="S274" s="1">
        <f ca="1">IFERROR(__xludf.DUMMYFUNCTION("""COMPUTED_VALUE"""),124)</f>
        <v>124</v>
      </c>
      <c r="T274" s="1">
        <f ca="1">IFERROR(__xludf.DUMMYFUNCTION("""COMPUTED_VALUE"""),-2.47)</f>
        <v>-2.4700000000000002</v>
      </c>
      <c r="U274" s="1">
        <f ca="1">IFERROR(__xludf.DUMMYFUNCTION("""COMPUTED_VALUE"""),231)</f>
        <v>231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IFERROR(__xludf.DUMMYFUNCTION("""COMPUTED_VALUE"""),"Gardner Webb")</f>
        <v>Gardner Webb</v>
      </c>
      <c r="C275" s="1" t="str">
        <f ca="1">IFERROR(__xludf.DUMMYFUNCTION("""COMPUTED_VALUE"""),"BSth")</f>
        <v>BSth</v>
      </c>
      <c r="D275" s="1" t="str">
        <f ca="1">IFERROR(__xludf.DUMMYFUNCTION("""COMPUTED_VALUE"""),"14-18")</f>
        <v>14-18</v>
      </c>
      <c r="E275" s="1">
        <f ca="1">IFERROR(__xludf.DUMMYFUNCTION("""COMPUTED_VALUE"""),-8.52)</f>
        <v>-8.52</v>
      </c>
      <c r="F275" s="1">
        <f ca="1">IFERROR(__xludf.DUMMYFUNCTION("""COMPUTED_VALUE"""),97.6)</f>
        <v>97.6</v>
      </c>
      <c r="G275" s="1">
        <f ca="1">IFERROR(__xludf.DUMMYFUNCTION("""COMPUTED_VALUE"""),304)</f>
        <v>304</v>
      </c>
      <c r="H275" s="1">
        <f ca="1">IFERROR(__xludf.DUMMYFUNCTION("""COMPUTED_VALUE"""),106.1)</f>
        <v>106.1</v>
      </c>
      <c r="I275" s="1">
        <f ca="1">IFERROR(__xludf.DUMMYFUNCTION("""COMPUTED_VALUE"""),192)</f>
        <v>192</v>
      </c>
      <c r="J275" s="1">
        <f ca="1">IFERROR(__xludf.DUMMYFUNCTION("""COMPUTED_VALUE"""),67.7)</f>
        <v>67.7</v>
      </c>
      <c r="K275" s="1">
        <f ca="1">IFERROR(__xludf.DUMMYFUNCTION("""COMPUTED_VALUE"""),199)</f>
        <v>199</v>
      </c>
      <c r="L275" s="1" t="str">
        <f ca="1">IFERROR(__xludf.DUMMYFUNCTION("""COMPUTED_VALUE"""),"+.021")</f>
        <v>+.021</v>
      </c>
      <c r="M275" s="1">
        <f ca="1">IFERROR(__xludf.DUMMYFUNCTION("""COMPUTED_VALUE"""),120)</f>
        <v>120</v>
      </c>
      <c r="N275" s="1">
        <f ca="1">IFERROR(__xludf.DUMMYFUNCTION("""COMPUTED_VALUE"""),-2.87)</f>
        <v>-2.87</v>
      </c>
      <c r="O275" s="1">
        <f ca="1">IFERROR(__xludf.DUMMYFUNCTION("""COMPUTED_VALUE"""),224)</f>
        <v>224</v>
      </c>
      <c r="P275" s="1">
        <f ca="1">IFERROR(__xludf.DUMMYFUNCTION("""COMPUTED_VALUE"""),103.1)</f>
        <v>103.1</v>
      </c>
      <c r="Q275" s="1">
        <f ca="1">IFERROR(__xludf.DUMMYFUNCTION("""COMPUTED_VALUE"""),243)</f>
        <v>243</v>
      </c>
      <c r="R275" s="1">
        <f ca="1">IFERROR(__xludf.DUMMYFUNCTION("""COMPUTED_VALUE"""),106)</f>
        <v>106</v>
      </c>
      <c r="S275" s="1">
        <f ca="1">IFERROR(__xludf.DUMMYFUNCTION("""COMPUTED_VALUE"""),191)</f>
        <v>191</v>
      </c>
      <c r="T275" s="1" t="str">
        <f ca="1">IFERROR(__xludf.DUMMYFUNCTION("""COMPUTED_VALUE"""),"+6.54")</f>
        <v>+6.54</v>
      </c>
      <c r="U275" s="1">
        <f ca="1">IFERROR(__xludf.DUMMYFUNCTION("""COMPUTED_VALUE"""),23)</f>
        <v>23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IFERROR(__xludf.DUMMYFUNCTION("""COMPUTED_VALUE"""),"Abilene Christian")</f>
        <v>Abilene Christian</v>
      </c>
      <c r="C276" s="1" t="str">
        <f ca="1">IFERROR(__xludf.DUMMYFUNCTION("""COMPUTED_VALUE"""),"Slnd")</f>
        <v>Slnd</v>
      </c>
      <c r="D276" s="1" t="str">
        <f ca="1">IFERROR(__xludf.DUMMYFUNCTION("""COMPUTED_VALUE"""),"16-16")</f>
        <v>16-16</v>
      </c>
      <c r="E276" s="1">
        <f ca="1">IFERROR(__xludf.DUMMYFUNCTION("""COMPUTED_VALUE"""),-8.66)</f>
        <v>-8.66</v>
      </c>
      <c r="F276" s="1">
        <f ca="1">IFERROR(__xludf.DUMMYFUNCTION("""COMPUTED_VALUE"""),98.2)</f>
        <v>98.2</v>
      </c>
      <c r="G276" s="1">
        <f ca="1">IFERROR(__xludf.DUMMYFUNCTION("""COMPUTED_VALUE"""),298)</f>
        <v>298</v>
      </c>
      <c r="H276" s="1">
        <f ca="1">IFERROR(__xludf.DUMMYFUNCTION("""COMPUTED_VALUE"""),106.8)</f>
        <v>106.8</v>
      </c>
      <c r="I276" s="1">
        <f ca="1">IFERROR(__xludf.DUMMYFUNCTION("""COMPUTED_VALUE"""),205)</f>
        <v>205</v>
      </c>
      <c r="J276" s="1">
        <f ca="1">IFERROR(__xludf.DUMMYFUNCTION("""COMPUTED_VALUE"""),68.6)</f>
        <v>68.599999999999994</v>
      </c>
      <c r="K276" s="1">
        <f ca="1">IFERROR(__xludf.DUMMYFUNCTION("""COMPUTED_VALUE"""),155)</f>
        <v>155</v>
      </c>
      <c r="L276" s="1" t="str">
        <f ca="1">IFERROR(__xludf.DUMMYFUNCTION("""COMPUTED_VALUE"""),"+.014")</f>
        <v>+.014</v>
      </c>
      <c r="M276" s="1">
        <f ca="1">IFERROR(__xludf.DUMMYFUNCTION("""COMPUTED_VALUE"""),141)</f>
        <v>141</v>
      </c>
      <c r="N276" s="1">
        <f ca="1">IFERROR(__xludf.DUMMYFUNCTION("""COMPUTED_VALUE"""),-6.52)</f>
        <v>-6.52</v>
      </c>
      <c r="O276" s="1">
        <f ca="1">IFERROR(__xludf.DUMMYFUNCTION("""COMPUTED_VALUE"""),308)</f>
        <v>308</v>
      </c>
      <c r="P276" s="1">
        <f ca="1">IFERROR(__xludf.DUMMYFUNCTION("""COMPUTED_VALUE"""),101.3)</f>
        <v>101.3</v>
      </c>
      <c r="Q276" s="1">
        <f ca="1">IFERROR(__xludf.DUMMYFUNCTION("""COMPUTED_VALUE"""),309)</f>
        <v>309</v>
      </c>
      <c r="R276" s="1">
        <f ca="1">IFERROR(__xludf.DUMMYFUNCTION("""COMPUTED_VALUE"""),107.8)</f>
        <v>107.8</v>
      </c>
      <c r="S276" s="1">
        <f ca="1">IFERROR(__xludf.DUMMYFUNCTION("""COMPUTED_VALUE"""),297)</f>
        <v>297</v>
      </c>
      <c r="T276" s="1">
        <f ca="1">IFERROR(__xludf.DUMMYFUNCTION("""COMPUTED_VALUE"""),-3.16)</f>
        <v>-3.16</v>
      </c>
      <c r="U276" s="1">
        <f ca="1">IFERROR(__xludf.DUMMYFUNCTION("""COMPUTED_VALUE"""),258)</f>
        <v>258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IFERROR(__xludf.DUMMYFUNCTION("""COMPUTED_VALUE"""),"Green Bay")</f>
        <v>Green Bay</v>
      </c>
      <c r="C277" s="1" t="str">
        <f ca="1">IFERROR(__xludf.DUMMYFUNCTION("""COMPUTED_VALUE"""),"Horz")</f>
        <v>Horz</v>
      </c>
      <c r="D277" s="1" t="str">
        <f ca="1">IFERROR(__xludf.DUMMYFUNCTION("""COMPUTED_VALUE"""),"13-20")</f>
        <v>13-20</v>
      </c>
      <c r="E277" s="1">
        <f ca="1">IFERROR(__xludf.DUMMYFUNCTION("""COMPUTED_VALUE"""),-8.67)</f>
        <v>-8.67</v>
      </c>
      <c r="F277" s="1">
        <f ca="1">IFERROR(__xludf.DUMMYFUNCTION("""COMPUTED_VALUE"""),99.9)</f>
        <v>99.9</v>
      </c>
      <c r="G277" s="1">
        <f ca="1">IFERROR(__xludf.DUMMYFUNCTION("""COMPUTED_VALUE"""),258)</f>
        <v>258</v>
      </c>
      <c r="H277" s="1">
        <f ca="1">IFERROR(__xludf.DUMMYFUNCTION("""COMPUTED_VALUE"""),108.6)</f>
        <v>108.6</v>
      </c>
      <c r="I277" s="1">
        <f ca="1">IFERROR(__xludf.DUMMYFUNCTION("""COMPUTED_VALUE"""),248)</f>
        <v>248</v>
      </c>
      <c r="J277" s="1">
        <f ca="1">IFERROR(__xludf.DUMMYFUNCTION("""COMPUTED_VALUE"""),72.2)</f>
        <v>72.2</v>
      </c>
      <c r="K277" s="1">
        <f ca="1">IFERROR(__xludf.DUMMYFUNCTION("""COMPUTED_VALUE"""),23)</f>
        <v>23</v>
      </c>
      <c r="L277" s="1">
        <f ca="1">IFERROR(__xludf.DUMMYFUNCTION("""COMPUTED_VALUE"""),-0.028)</f>
        <v>-2.8000000000000001E-2</v>
      </c>
      <c r="M277" s="1">
        <f ca="1">IFERROR(__xludf.DUMMYFUNCTION("""COMPUTED_VALUE"""),258)</f>
        <v>258</v>
      </c>
      <c r="N277" s="1">
        <f ca="1">IFERROR(__xludf.DUMMYFUNCTION("""COMPUTED_VALUE"""),-4.11)</f>
        <v>-4.1100000000000003</v>
      </c>
      <c r="O277" s="1">
        <f ca="1">IFERROR(__xludf.DUMMYFUNCTION("""COMPUTED_VALUE"""),259)</f>
        <v>259</v>
      </c>
      <c r="P277" s="1">
        <f ca="1">IFERROR(__xludf.DUMMYFUNCTION("""COMPUTED_VALUE"""),102.6)</f>
        <v>102.6</v>
      </c>
      <c r="Q277" s="1">
        <f ca="1">IFERROR(__xludf.DUMMYFUNCTION("""COMPUTED_VALUE"""),273)</f>
        <v>273</v>
      </c>
      <c r="R277" s="1">
        <f ca="1">IFERROR(__xludf.DUMMYFUNCTION("""COMPUTED_VALUE"""),106.7)</f>
        <v>106.7</v>
      </c>
      <c r="S277" s="1">
        <f ca="1">IFERROR(__xludf.DUMMYFUNCTION("""COMPUTED_VALUE"""),238)</f>
        <v>238</v>
      </c>
      <c r="T277" s="1" t="str">
        <f ca="1">IFERROR(__xludf.DUMMYFUNCTION("""COMPUTED_VALUE"""),"+0.25")</f>
        <v>+0.25</v>
      </c>
      <c r="U277" s="1">
        <f ca="1">IFERROR(__xludf.DUMMYFUNCTION("""COMPUTED_VALUE"""),152)</f>
        <v>152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IFERROR(__xludf.DUMMYFUNCTION("""COMPUTED_VALUE"""),"Army")</f>
        <v>Army</v>
      </c>
      <c r="C278" s="1" t="str">
        <f ca="1">IFERROR(__xludf.DUMMYFUNCTION("""COMPUTED_VALUE"""),"Pat")</f>
        <v>Pat</v>
      </c>
      <c r="D278" s="1" t="str">
        <f ca="1">IFERROR(__xludf.DUMMYFUNCTION("""COMPUTED_VALUE"""),"13-17")</f>
        <v>13-17</v>
      </c>
      <c r="E278" s="1">
        <f ca="1">IFERROR(__xludf.DUMMYFUNCTION("""COMPUTED_VALUE"""),-8.69)</f>
        <v>-8.69</v>
      </c>
      <c r="F278" s="1">
        <f ca="1">IFERROR(__xludf.DUMMYFUNCTION("""COMPUTED_VALUE"""),99.8)</f>
        <v>99.8</v>
      </c>
      <c r="G278" s="1">
        <f ca="1">IFERROR(__xludf.DUMMYFUNCTION("""COMPUTED_VALUE"""),259)</f>
        <v>259</v>
      </c>
      <c r="H278" s="1">
        <f ca="1">IFERROR(__xludf.DUMMYFUNCTION("""COMPUTED_VALUE"""),108.5)</f>
        <v>108.5</v>
      </c>
      <c r="I278" s="1">
        <f ca="1">IFERROR(__xludf.DUMMYFUNCTION("""COMPUTED_VALUE"""),245)</f>
        <v>245</v>
      </c>
      <c r="J278" s="1">
        <f ca="1">IFERROR(__xludf.DUMMYFUNCTION("""COMPUTED_VALUE"""),70.4)</f>
        <v>70.400000000000006</v>
      </c>
      <c r="K278" s="1">
        <f ca="1">IFERROR(__xludf.DUMMYFUNCTION("""COMPUTED_VALUE"""),67)</f>
        <v>67</v>
      </c>
      <c r="L278" s="1">
        <f ca="1">IFERROR(__xludf.DUMMYFUNCTION("""COMPUTED_VALUE"""),-0.045)</f>
        <v>-4.4999999999999998E-2</v>
      </c>
      <c r="M278" s="1">
        <f ca="1">IFERROR(__xludf.DUMMYFUNCTION("""COMPUTED_VALUE"""),284)</f>
        <v>284</v>
      </c>
      <c r="N278" s="1">
        <f ca="1">IFERROR(__xludf.DUMMYFUNCTION("""COMPUTED_VALUE"""),-7.17)</f>
        <v>-7.17</v>
      </c>
      <c r="O278" s="1">
        <f ca="1">IFERROR(__xludf.DUMMYFUNCTION("""COMPUTED_VALUE"""),320)</f>
        <v>320</v>
      </c>
      <c r="P278" s="1">
        <f ca="1">IFERROR(__xludf.DUMMYFUNCTION("""COMPUTED_VALUE"""),101.9)</f>
        <v>101.9</v>
      </c>
      <c r="Q278" s="1">
        <f ca="1">IFERROR(__xludf.DUMMYFUNCTION("""COMPUTED_VALUE"""),294)</f>
        <v>294</v>
      </c>
      <c r="R278" s="1">
        <f ca="1">IFERROR(__xludf.DUMMYFUNCTION("""COMPUTED_VALUE"""),109.1)</f>
        <v>109.1</v>
      </c>
      <c r="S278" s="1">
        <f ca="1">IFERROR(__xludf.DUMMYFUNCTION("""COMPUTED_VALUE"""),337)</f>
        <v>337</v>
      </c>
      <c r="T278" s="1">
        <f ca="1">IFERROR(__xludf.DUMMYFUNCTION("""COMPUTED_VALUE"""),-4.75)</f>
        <v>-4.75</v>
      </c>
      <c r="U278" s="1">
        <f ca="1">IFERROR(__xludf.DUMMYFUNCTION("""COMPUTED_VALUE"""),300)</f>
        <v>300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IFERROR(__xludf.DUMMYFUNCTION("""COMPUTED_VALUE"""),"Cornell")</f>
        <v>Cornell</v>
      </c>
      <c r="C279" s="1" t="str">
        <f ca="1">IFERROR(__xludf.DUMMYFUNCTION("""COMPUTED_VALUE"""),"Ivy")</f>
        <v>Ivy</v>
      </c>
      <c r="D279" s="2">
        <f ca="1">IFERROR(__xludf.DUMMYFUNCTION("""COMPUTED_VALUE"""),44911)</f>
        <v>44911</v>
      </c>
      <c r="E279" s="1">
        <f ca="1">IFERROR(__xludf.DUMMYFUNCTION("""COMPUTED_VALUE"""),-8.9)</f>
        <v>-8.9</v>
      </c>
      <c r="F279" s="1">
        <f ca="1">IFERROR(__xludf.DUMMYFUNCTION("""COMPUTED_VALUE"""),104.7)</f>
        <v>104.7</v>
      </c>
      <c r="G279" s="1">
        <f ca="1">IFERROR(__xludf.DUMMYFUNCTION("""COMPUTED_VALUE"""),177)</f>
        <v>177</v>
      </c>
      <c r="H279" s="1">
        <f ca="1">IFERROR(__xludf.DUMMYFUNCTION("""COMPUTED_VALUE"""),113.6)</f>
        <v>113.6</v>
      </c>
      <c r="I279" s="1">
        <f ca="1">IFERROR(__xludf.DUMMYFUNCTION("""COMPUTED_VALUE"""),324)</f>
        <v>324</v>
      </c>
      <c r="J279" s="1">
        <f ca="1">IFERROR(__xludf.DUMMYFUNCTION("""COMPUTED_VALUE"""),69.2)</f>
        <v>69.2</v>
      </c>
      <c r="K279" s="1">
        <f ca="1">IFERROR(__xludf.DUMMYFUNCTION("""COMPUTED_VALUE"""),117)</f>
        <v>117</v>
      </c>
      <c r="L279" s="1" t="str">
        <f ca="1">IFERROR(__xludf.DUMMYFUNCTION("""COMPUTED_VALUE"""),"+.057")</f>
        <v>+.057</v>
      </c>
      <c r="M279" s="1">
        <f ca="1">IFERROR(__xludf.DUMMYFUNCTION("""COMPUTED_VALUE"""),57)</f>
        <v>57</v>
      </c>
      <c r="N279" s="1">
        <f ca="1">IFERROR(__xludf.DUMMYFUNCTION("""COMPUTED_VALUE"""),-3.19)</f>
        <v>-3.19</v>
      </c>
      <c r="O279" s="1">
        <f ca="1">IFERROR(__xludf.DUMMYFUNCTION("""COMPUTED_VALUE"""),235)</f>
        <v>235</v>
      </c>
      <c r="P279" s="1">
        <f ca="1">IFERROR(__xludf.DUMMYFUNCTION("""COMPUTED_VALUE"""),103.5)</f>
        <v>103.5</v>
      </c>
      <c r="Q279" s="1">
        <f ca="1">IFERROR(__xludf.DUMMYFUNCTION("""COMPUTED_VALUE"""),224)</f>
        <v>224</v>
      </c>
      <c r="R279" s="1">
        <f ca="1">IFERROR(__xludf.DUMMYFUNCTION("""COMPUTED_VALUE"""),106.6)</f>
        <v>106.6</v>
      </c>
      <c r="S279" s="1">
        <f ca="1">IFERROR(__xludf.DUMMYFUNCTION("""COMPUTED_VALUE"""),235)</f>
        <v>235</v>
      </c>
      <c r="T279" s="1">
        <f ca="1">IFERROR(__xludf.DUMMYFUNCTION("""COMPUTED_VALUE"""),-1.84)</f>
        <v>-1.84</v>
      </c>
      <c r="U279" s="1">
        <f ca="1">IFERROR(__xludf.DUMMYFUNCTION("""COMPUTED_VALUE"""),209)</f>
        <v>209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IFERROR(__xludf.DUMMYFUNCTION("""COMPUTED_VALUE"""),"New Orleans")</f>
        <v>New Orleans</v>
      </c>
      <c r="C280" s="1" t="str">
        <f ca="1">IFERROR(__xludf.DUMMYFUNCTION("""COMPUTED_VALUE"""),"Slnd")</f>
        <v>Slnd</v>
      </c>
      <c r="D280" s="1" t="str">
        <f ca="1">IFERROR(__xludf.DUMMYFUNCTION("""COMPUTED_VALUE"""),"16-17")</f>
        <v>16-17</v>
      </c>
      <c r="E280" s="1">
        <f ca="1">IFERROR(__xludf.DUMMYFUNCTION("""COMPUTED_VALUE"""),-8.95)</f>
        <v>-8.9499999999999993</v>
      </c>
      <c r="F280" s="1">
        <f ca="1">IFERROR(__xludf.DUMMYFUNCTION("""COMPUTED_VALUE"""),98.5)</f>
        <v>98.5</v>
      </c>
      <c r="G280" s="1">
        <f ca="1">IFERROR(__xludf.DUMMYFUNCTION("""COMPUTED_VALUE"""),288)</f>
        <v>288</v>
      </c>
      <c r="H280" s="1">
        <f ca="1">IFERROR(__xludf.DUMMYFUNCTION("""COMPUTED_VALUE"""),107.4)</f>
        <v>107.4</v>
      </c>
      <c r="I280" s="1">
        <f ca="1">IFERROR(__xludf.DUMMYFUNCTION("""COMPUTED_VALUE"""),223)</f>
        <v>223</v>
      </c>
      <c r="J280" s="1">
        <f ca="1">IFERROR(__xludf.DUMMYFUNCTION("""COMPUTED_VALUE"""),66.1)</f>
        <v>66.099999999999994</v>
      </c>
      <c r="K280" s="1">
        <f ca="1">IFERROR(__xludf.DUMMYFUNCTION("""COMPUTED_VALUE"""),279)</f>
        <v>279</v>
      </c>
      <c r="L280" s="1" t="str">
        <f ca="1">IFERROR(__xludf.DUMMYFUNCTION("""COMPUTED_VALUE"""),"+.047")</f>
        <v>+.047</v>
      </c>
      <c r="M280" s="1">
        <f ca="1">IFERROR(__xludf.DUMMYFUNCTION("""COMPUTED_VALUE"""),67)</f>
        <v>67</v>
      </c>
      <c r="N280" s="1">
        <f ca="1">IFERROR(__xludf.DUMMYFUNCTION("""COMPUTED_VALUE"""),-4.84)</f>
        <v>-4.84</v>
      </c>
      <c r="O280" s="1">
        <f ca="1">IFERROR(__xludf.DUMMYFUNCTION("""COMPUTED_VALUE"""),282)</f>
        <v>282</v>
      </c>
      <c r="P280" s="1">
        <f ca="1">IFERROR(__xludf.DUMMYFUNCTION("""COMPUTED_VALUE"""),101.6)</f>
        <v>101.6</v>
      </c>
      <c r="Q280" s="1">
        <f ca="1">IFERROR(__xludf.DUMMYFUNCTION("""COMPUTED_VALUE"""),301)</f>
        <v>301</v>
      </c>
      <c r="R280" s="1">
        <f ca="1">IFERROR(__xludf.DUMMYFUNCTION("""COMPUTED_VALUE"""),106.5)</f>
        <v>106.5</v>
      </c>
      <c r="S280" s="1">
        <f ca="1">IFERROR(__xludf.DUMMYFUNCTION("""COMPUTED_VALUE"""),225)</f>
        <v>225</v>
      </c>
      <c r="T280" s="1" t="str">
        <f ca="1">IFERROR(__xludf.DUMMYFUNCTION("""COMPUTED_VALUE"""),"+11.06")</f>
        <v>+11.06</v>
      </c>
      <c r="U280" s="1">
        <f ca="1">IFERROR(__xludf.DUMMYFUNCTION("""COMPUTED_VALUE"""),3)</f>
        <v>3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IFERROR(__xludf.DUMMYFUNCTION("""COMPUTED_VALUE"""),"Brown")</f>
        <v>Brown</v>
      </c>
      <c r="C281" s="1" t="str">
        <f ca="1">IFERROR(__xludf.DUMMYFUNCTION("""COMPUTED_VALUE"""),"Ivy")</f>
        <v>Ivy</v>
      </c>
      <c r="D281" s="2">
        <f ca="1">IFERROR(__xludf.DUMMYFUNCTION("""COMPUTED_VALUE"""),44881)</f>
        <v>44881</v>
      </c>
      <c r="E281" s="1">
        <f ca="1">IFERROR(__xludf.DUMMYFUNCTION("""COMPUTED_VALUE"""),-9.16)</f>
        <v>-9.16</v>
      </c>
      <c r="F281" s="1">
        <f ca="1">IFERROR(__xludf.DUMMYFUNCTION("""COMPUTED_VALUE"""),100.8)</f>
        <v>100.8</v>
      </c>
      <c r="G281" s="1">
        <f ca="1">IFERROR(__xludf.DUMMYFUNCTION("""COMPUTED_VALUE"""),246)</f>
        <v>246</v>
      </c>
      <c r="H281" s="1">
        <f ca="1">IFERROR(__xludf.DUMMYFUNCTION("""COMPUTED_VALUE"""),110)</f>
        <v>110</v>
      </c>
      <c r="I281" s="1">
        <f ca="1">IFERROR(__xludf.DUMMYFUNCTION("""COMPUTED_VALUE"""),274)</f>
        <v>274</v>
      </c>
      <c r="J281" s="1">
        <f ca="1">IFERROR(__xludf.DUMMYFUNCTION("""COMPUTED_VALUE"""),71.7)</f>
        <v>71.7</v>
      </c>
      <c r="K281" s="1">
        <f ca="1">IFERROR(__xludf.DUMMYFUNCTION("""COMPUTED_VALUE"""),33)</f>
        <v>33</v>
      </c>
      <c r="L281" s="1" t="str">
        <f ca="1">IFERROR(__xludf.DUMMYFUNCTION("""COMPUTED_VALUE"""),"+.004")</f>
        <v>+.004</v>
      </c>
      <c r="M281" s="1">
        <f ca="1">IFERROR(__xludf.DUMMYFUNCTION("""COMPUTED_VALUE"""),167)</f>
        <v>167</v>
      </c>
      <c r="N281" s="1">
        <f ca="1">IFERROR(__xludf.DUMMYFUNCTION("""COMPUTED_VALUE"""),-5.54)</f>
        <v>-5.54</v>
      </c>
      <c r="O281" s="1">
        <f ca="1">IFERROR(__xludf.DUMMYFUNCTION("""COMPUTED_VALUE"""),293)</f>
        <v>293</v>
      </c>
      <c r="P281" s="1">
        <f ca="1">IFERROR(__xludf.DUMMYFUNCTION("""COMPUTED_VALUE"""),102.4)</f>
        <v>102.4</v>
      </c>
      <c r="Q281" s="1">
        <f ca="1">IFERROR(__xludf.DUMMYFUNCTION("""COMPUTED_VALUE"""),278)</f>
        <v>278</v>
      </c>
      <c r="R281" s="1">
        <f ca="1">IFERROR(__xludf.DUMMYFUNCTION("""COMPUTED_VALUE"""),108)</f>
        <v>108</v>
      </c>
      <c r="S281" s="1">
        <f ca="1">IFERROR(__xludf.DUMMYFUNCTION("""COMPUTED_VALUE"""),304)</f>
        <v>304</v>
      </c>
      <c r="T281" s="1">
        <f ca="1">IFERROR(__xludf.DUMMYFUNCTION("""COMPUTED_VALUE"""),-7.07)</f>
        <v>-7.07</v>
      </c>
      <c r="U281" s="1">
        <f ca="1">IFERROR(__xludf.DUMMYFUNCTION("""COMPUTED_VALUE"""),334)</f>
        <v>334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IFERROR(__xludf.DUMMYFUNCTION("""COMPUTED_VALUE"""),"UC Riverside")</f>
        <v>UC Riverside</v>
      </c>
      <c r="C282" s="1" t="str">
        <f ca="1">IFERROR(__xludf.DUMMYFUNCTION("""COMPUTED_VALUE"""),"BW")</f>
        <v>BW</v>
      </c>
      <c r="D282" s="2">
        <f ca="1">IFERROR(__xludf.DUMMYFUNCTION("""COMPUTED_VALUE"""),44826)</f>
        <v>44826</v>
      </c>
      <c r="E282" s="1">
        <f ca="1">IFERROR(__xludf.DUMMYFUNCTION("""COMPUTED_VALUE"""),-9.17)</f>
        <v>-9.17</v>
      </c>
      <c r="F282" s="1">
        <f ca="1">IFERROR(__xludf.DUMMYFUNCTION("""COMPUTED_VALUE"""),94.5)</f>
        <v>94.5</v>
      </c>
      <c r="G282" s="1">
        <f ca="1">IFERROR(__xludf.DUMMYFUNCTION("""COMPUTED_VALUE"""),333)</f>
        <v>333</v>
      </c>
      <c r="H282" s="1">
        <f ca="1">IFERROR(__xludf.DUMMYFUNCTION("""COMPUTED_VALUE"""),103.7)</f>
        <v>103.7</v>
      </c>
      <c r="I282" s="1">
        <f ca="1">IFERROR(__xludf.DUMMYFUNCTION("""COMPUTED_VALUE"""),153)</f>
        <v>153</v>
      </c>
      <c r="J282" s="1">
        <f ca="1">IFERROR(__xludf.DUMMYFUNCTION("""COMPUTED_VALUE"""),68.3)</f>
        <v>68.3</v>
      </c>
      <c r="K282" s="1">
        <f ca="1">IFERROR(__xludf.DUMMYFUNCTION("""COMPUTED_VALUE"""),177)</f>
        <v>177</v>
      </c>
      <c r="L282" s="1">
        <f ca="1">IFERROR(__xludf.DUMMYFUNCTION("""COMPUTED_VALUE"""),-0.067)</f>
        <v>-6.7000000000000004E-2</v>
      </c>
      <c r="M282" s="1">
        <f ca="1">IFERROR(__xludf.DUMMYFUNCTION("""COMPUTED_VALUE"""),323)</f>
        <v>323</v>
      </c>
      <c r="N282" s="1">
        <f ca="1">IFERROR(__xludf.DUMMYFUNCTION("""COMPUTED_VALUE"""),-1.31)</f>
        <v>-1.31</v>
      </c>
      <c r="O282" s="1">
        <f ca="1">IFERROR(__xludf.DUMMYFUNCTION("""COMPUTED_VALUE"""),170)</f>
        <v>170</v>
      </c>
      <c r="P282" s="1">
        <f ca="1">IFERROR(__xludf.DUMMYFUNCTION("""COMPUTED_VALUE"""),103.8)</f>
        <v>103.8</v>
      </c>
      <c r="Q282" s="1">
        <f ca="1">IFERROR(__xludf.DUMMYFUNCTION("""COMPUTED_VALUE"""),202)</f>
        <v>202</v>
      </c>
      <c r="R282" s="1">
        <f ca="1">IFERROR(__xludf.DUMMYFUNCTION("""COMPUTED_VALUE"""),105.1)</f>
        <v>105.1</v>
      </c>
      <c r="S282" s="1">
        <f ca="1">IFERROR(__xludf.DUMMYFUNCTION("""COMPUTED_VALUE"""),143)</f>
        <v>143</v>
      </c>
      <c r="T282" s="1" t="str">
        <f ca="1">IFERROR(__xludf.DUMMYFUNCTION("""COMPUTED_VALUE"""),"+1.76")</f>
        <v>+1.76</v>
      </c>
      <c r="U282" s="1">
        <f ca="1">IFERROR(__xludf.DUMMYFUNCTION("""COMPUTED_VALUE"""),109)</f>
        <v>109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IFERROR(__xludf.DUMMYFUNCTION("""COMPUTED_VALUE"""),"Prairie View A&amp;M")</f>
        <v>Prairie View A&amp;M</v>
      </c>
      <c r="C283" s="1" t="str">
        <f ca="1">IFERROR(__xludf.DUMMYFUNCTION("""COMPUTED_VALUE"""),"SWAC")</f>
        <v>SWAC</v>
      </c>
      <c r="D283" s="1" t="str">
        <f ca="1">IFERROR(__xludf.DUMMYFUNCTION("""COMPUTED_VALUE"""),"16-18")</f>
        <v>16-18</v>
      </c>
      <c r="E283" s="1">
        <f ca="1">IFERROR(__xludf.DUMMYFUNCTION("""COMPUTED_VALUE"""),-9.2)</f>
        <v>-9.1999999999999993</v>
      </c>
      <c r="F283" s="1">
        <f ca="1">IFERROR(__xludf.DUMMYFUNCTION("""COMPUTED_VALUE"""),101.4)</f>
        <v>101.4</v>
      </c>
      <c r="G283" s="1">
        <f ca="1">IFERROR(__xludf.DUMMYFUNCTION("""COMPUTED_VALUE"""),240)</f>
        <v>240</v>
      </c>
      <c r="H283" s="1">
        <f ca="1">IFERROR(__xludf.DUMMYFUNCTION("""COMPUTED_VALUE"""),110.6)</f>
        <v>110.6</v>
      </c>
      <c r="I283" s="1">
        <f ca="1">IFERROR(__xludf.DUMMYFUNCTION("""COMPUTED_VALUE"""),290)</f>
        <v>290</v>
      </c>
      <c r="J283" s="1">
        <f ca="1">IFERROR(__xludf.DUMMYFUNCTION("""COMPUTED_VALUE"""),70.8)</f>
        <v>70.8</v>
      </c>
      <c r="K283" s="1">
        <f ca="1">IFERROR(__xludf.DUMMYFUNCTION("""COMPUTED_VALUE"""),55)</f>
        <v>55</v>
      </c>
      <c r="L283" s="1" t="str">
        <f ca="1">IFERROR(__xludf.DUMMYFUNCTION("""COMPUTED_VALUE"""),"+.010")</f>
        <v>+.010</v>
      </c>
      <c r="M283" s="1">
        <f ca="1">IFERROR(__xludf.DUMMYFUNCTION("""COMPUTED_VALUE"""),147)</f>
        <v>147</v>
      </c>
      <c r="N283" s="1">
        <f ca="1">IFERROR(__xludf.DUMMYFUNCTION("""COMPUTED_VALUE"""),-7.94)</f>
        <v>-7.94</v>
      </c>
      <c r="O283" s="1">
        <f ca="1">IFERROR(__xludf.DUMMYFUNCTION("""COMPUTED_VALUE"""),330)</f>
        <v>330</v>
      </c>
      <c r="P283" s="1">
        <f ca="1">IFERROR(__xludf.DUMMYFUNCTION("""COMPUTED_VALUE"""),100)</f>
        <v>100</v>
      </c>
      <c r="Q283" s="1">
        <f ca="1">IFERROR(__xludf.DUMMYFUNCTION("""COMPUTED_VALUE"""),337)</f>
        <v>337</v>
      </c>
      <c r="R283" s="1">
        <f ca="1">IFERROR(__xludf.DUMMYFUNCTION("""COMPUTED_VALUE"""),107.9)</f>
        <v>107.9</v>
      </c>
      <c r="S283" s="1">
        <f ca="1">IFERROR(__xludf.DUMMYFUNCTION("""COMPUTED_VALUE"""),301)</f>
        <v>301</v>
      </c>
      <c r="T283" s="1" t="str">
        <f ca="1">IFERROR(__xludf.DUMMYFUNCTION("""COMPUTED_VALUE"""),"+10.43")</f>
        <v>+10.43</v>
      </c>
      <c r="U283" s="1">
        <f ca="1">IFERROR(__xludf.DUMMYFUNCTION("""COMPUTED_VALUE"""),4)</f>
        <v>4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IFERROR(__xludf.DUMMYFUNCTION("""COMPUTED_VALUE"""),"Montana St.")</f>
        <v>Montana St.</v>
      </c>
      <c r="C284" s="1" t="str">
        <f ca="1">IFERROR(__xludf.DUMMYFUNCTION("""COMPUTED_VALUE"""),"BSky")</f>
        <v>BSky</v>
      </c>
      <c r="D284" s="1" t="str">
        <f ca="1">IFERROR(__xludf.DUMMYFUNCTION("""COMPUTED_VALUE"""),"13-19")</f>
        <v>13-19</v>
      </c>
      <c r="E284" s="1">
        <f ca="1">IFERROR(__xludf.DUMMYFUNCTION("""COMPUTED_VALUE"""),-9.27)</f>
        <v>-9.27</v>
      </c>
      <c r="F284" s="1">
        <f ca="1">IFERROR(__xludf.DUMMYFUNCTION("""COMPUTED_VALUE"""),102.1)</f>
        <v>102.1</v>
      </c>
      <c r="G284" s="1">
        <f ca="1">IFERROR(__xludf.DUMMYFUNCTION("""COMPUTED_VALUE"""),228)</f>
        <v>228</v>
      </c>
      <c r="H284" s="1">
        <f ca="1">IFERROR(__xludf.DUMMYFUNCTION("""COMPUTED_VALUE"""),111.3)</f>
        <v>111.3</v>
      </c>
      <c r="I284" s="1">
        <f ca="1">IFERROR(__xludf.DUMMYFUNCTION("""COMPUTED_VALUE"""),302)</f>
        <v>302</v>
      </c>
      <c r="J284" s="1">
        <f ca="1">IFERROR(__xludf.DUMMYFUNCTION("""COMPUTED_VALUE"""),69.7)</f>
        <v>69.7</v>
      </c>
      <c r="K284" s="1">
        <f ca="1">IFERROR(__xludf.DUMMYFUNCTION("""COMPUTED_VALUE"""),94)</f>
        <v>94</v>
      </c>
      <c r="L284" s="1" t="str">
        <f ca="1">IFERROR(__xludf.DUMMYFUNCTION("""COMPUTED_VALUE"""),"+.026")</f>
        <v>+.026</v>
      </c>
      <c r="M284" s="1">
        <f ca="1">IFERROR(__xludf.DUMMYFUNCTION("""COMPUTED_VALUE"""),110)</f>
        <v>110</v>
      </c>
      <c r="N284" s="1">
        <f ca="1">IFERROR(__xludf.DUMMYFUNCTION("""COMPUTED_VALUE"""),-2.85)</f>
        <v>-2.85</v>
      </c>
      <c r="O284" s="1">
        <f ca="1">IFERROR(__xludf.DUMMYFUNCTION("""COMPUTED_VALUE"""),222)</f>
        <v>222</v>
      </c>
      <c r="P284" s="1">
        <f ca="1">IFERROR(__xludf.DUMMYFUNCTION("""COMPUTED_VALUE"""),104.5)</f>
        <v>104.5</v>
      </c>
      <c r="Q284" s="1">
        <f ca="1">IFERROR(__xludf.DUMMYFUNCTION("""COMPUTED_VALUE"""),172)</f>
        <v>172</v>
      </c>
      <c r="R284" s="1">
        <f ca="1">IFERROR(__xludf.DUMMYFUNCTION("""COMPUTED_VALUE"""),107.4)</f>
        <v>107.4</v>
      </c>
      <c r="S284" s="1">
        <f ca="1">IFERROR(__xludf.DUMMYFUNCTION("""COMPUTED_VALUE"""),272)</f>
        <v>272</v>
      </c>
      <c r="T284" s="1">
        <f ca="1">IFERROR(__xludf.DUMMYFUNCTION("""COMPUTED_VALUE"""),-1.88)</f>
        <v>-1.88</v>
      </c>
      <c r="U284" s="1">
        <f ca="1">IFERROR(__xludf.DUMMYFUNCTION("""COMPUTED_VALUE"""),212)</f>
        <v>212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IFERROR(__xludf.DUMMYFUNCTION("""COMPUTED_VALUE"""),"Pepperdine")</f>
        <v>Pepperdine</v>
      </c>
      <c r="C285" s="1" t="str">
        <f ca="1">IFERROR(__xludf.DUMMYFUNCTION("""COMPUTED_VALUE"""),"WCC")</f>
        <v>WCC</v>
      </c>
      <c r="D285" s="2">
        <f ca="1">IFERROR(__xludf.DUMMYFUNCTION("""COMPUTED_VALUE"""),44738)</f>
        <v>44738</v>
      </c>
      <c r="E285" s="1">
        <f ca="1">IFERROR(__xludf.DUMMYFUNCTION("""COMPUTED_VALUE"""),-9.51)</f>
        <v>-9.51</v>
      </c>
      <c r="F285" s="1">
        <f ca="1">IFERROR(__xludf.DUMMYFUNCTION("""COMPUTED_VALUE"""),105)</f>
        <v>105</v>
      </c>
      <c r="G285" s="1">
        <f ca="1">IFERROR(__xludf.DUMMYFUNCTION("""COMPUTED_VALUE"""),168)</f>
        <v>168</v>
      </c>
      <c r="H285" s="1">
        <f ca="1">IFERROR(__xludf.DUMMYFUNCTION("""COMPUTED_VALUE"""),114.5)</f>
        <v>114.5</v>
      </c>
      <c r="I285" s="1">
        <f ca="1">IFERROR(__xludf.DUMMYFUNCTION("""COMPUTED_VALUE"""),328)</f>
        <v>328</v>
      </c>
      <c r="J285" s="1">
        <f ca="1">IFERROR(__xludf.DUMMYFUNCTION("""COMPUTED_VALUE"""),67.5)</f>
        <v>67.5</v>
      </c>
      <c r="K285" s="1">
        <f ca="1">IFERROR(__xludf.DUMMYFUNCTION("""COMPUTED_VALUE"""),210)</f>
        <v>210</v>
      </c>
      <c r="L285" s="1">
        <f ca="1">IFERROR(__xludf.DUMMYFUNCTION("""COMPUTED_VALUE"""),-0.056)</f>
        <v>-5.6000000000000001E-2</v>
      </c>
      <c r="M285" s="1">
        <f ca="1">IFERROR(__xludf.DUMMYFUNCTION("""COMPUTED_VALUE"""),305)</f>
        <v>305</v>
      </c>
      <c r="N285" s="1" t="str">
        <f ca="1">IFERROR(__xludf.DUMMYFUNCTION("""COMPUTED_VALUE"""),"+1.09")</f>
        <v>+1.09</v>
      </c>
      <c r="O285" s="1">
        <f ca="1">IFERROR(__xludf.DUMMYFUNCTION("""COMPUTED_VALUE"""),117)</f>
        <v>117</v>
      </c>
      <c r="P285" s="1">
        <f ca="1">IFERROR(__xludf.DUMMYFUNCTION("""COMPUTED_VALUE"""),106.3)</f>
        <v>106.3</v>
      </c>
      <c r="Q285" s="1">
        <f ca="1">IFERROR(__xludf.DUMMYFUNCTION("""COMPUTED_VALUE"""),103)</f>
        <v>103</v>
      </c>
      <c r="R285" s="1">
        <f ca="1">IFERROR(__xludf.DUMMYFUNCTION("""COMPUTED_VALUE"""),105.2)</f>
        <v>105.2</v>
      </c>
      <c r="S285" s="1">
        <f ca="1">IFERROR(__xludf.DUMMYFUNCTION("""COMPUTED_VALUE"""),149)</f>
        <v>149</v>
      </c>
      <c r="T285" s="1">
        <f ca="1">IFERROR(__xludf.DUMMYFUNCTION("""COMPUTED_VALUE"""),-0.68)</f>
        <v>-0.68</v>
      </c>
      <c r="U285" s="1">
        <f ca="1">IFERROR(__xludf.DUMMYFUNCTION("""COMPUTED_VALUE"""),175)</f>
        <v>175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IFERROR(__xludf.DUMMYFUNCTION("""COMPUTED_VALUE"""),"Portland")</f>
        <v>Portland</v>
      </c>
      <c r="C286" s="1" t="str">
        <f ca="1">IFERROR(__xludf.DUMMYFUNCTION("""COMPUTED_VALUE"""),"WCC")</f>
        <v>WCC</v>
      </c>
      <c r="D286" s="2">
        <f ca="1">IFERROR(__xludf.DUMMYFUNCTION("""COMPUTED_VALUE"""),44856)</f>
        <v>44856</v>
      </c>
      <c r="E286" s="1">
        <f ca="1">IFERROR(__xludf.DUMMYFUNCTION("""COMPUTED_VALUE"""),-9.66)</f>
        <v>-9.66</v>
      </c>
      <c r="F286" s="1">
        <f ca="1">IFERROR(__xludf.DUMMYFUNCTION("""COMPUTED_VALUE"""),99)</f>
        <v>99</v>
      </c>
      <c r="G286" s="1">
        <f ca="1">IFERROR(__xludf.DUMMYFUNCTION("""COMPUTED_VALUE"""),275)</f>
        <v>275</v>
      </c>
      <c r="H286" s="1">
        <f ca="1">IFERROR(__xludf.DUMMYFUNCTION("""COMPUTED_VALUE"""),108.7)</f>
        <v>108.7</v>
      </c>
      <c r="I286" s="1">
        <f ca="1">IFERROR(__xludf.DUMMYFUNCTION("""COMPUTED_VALUE"""),253)</f>
        <v>253</v>
      </c>
      <c r="J286" s="1">
        <f ca="1">IFERROR(__xludf.DUMMYFUNCTION("""COMPUTED_VALUE"""),67.1)</f>
        <v>67.099999999999994</v>
      </c>
      <c r="K286" s="1">
        <f ca="1">IFERROR(__xludf.DUMMYFUNCTION("""COMPUTED_VALUE"""),228)</f>
        <v>228</v>
      </c>
      <c r="L286" s="1">
        <f ca="1">IFERROR(__xludf.DUMMYFUNCTION("""COMPUTED_VALUE"""),-0.001)</f>
        <v>-1E-3</v>
      </c>
      <c r="M286" s="1">
        <f ca="1">IFERROR(__xludf.DUMMYFUNCTION("""COMPUTED_VALUE"""),179)</f>
        <v>179</v>
      </c>
      <c r="N286" s="1" t="str">
        <f ca="1">IFERROR(__xludf.DUMMYFUNCTION("""COMPUTED_VALUE"""),"+1.20")</f>
        <v>+1.20</v>
      </c>
      <c r="O286" s="1">
        <f ca="1">IFERROR(__xludf.DUMMYFUNCTION("""COMPUTED_VALUE"""),114)</f>
        <v>114</v>
      </c>
      <c r="P286" s="1">
        <f ca="1">IFERROR(__xludf.DUMMYFUNCTION("""COMPUTED_VALUE"""),106.5)</f>
        <v>106.5</v>
      </c>
      <c r="Q286" s="1">
        <f ca="1">IFERROR(__xludf.DUMMYFUNCTION("""COMPUTED_VALUE"""),99)</f>
        <v>99</v>
      </c>
      <c r="R286" s="1">
        <f ca="1">IFERROR(__xludf.DUMMYFUNCTION("""COMPUTED_VALUE"""),105.3)</f>
        <v>105.3</v>
      </c>
      <c r="S286" s="1">
        <f ca="1">IFERROR(__xludf.DUMMYFUNCTION("""COMPUTED_VALUE"""),153)</f>
        <v>153</v>
      </c>
      <c r="T286" s="1" t="str">
        <f ca="1">IFERROR(__xludf.DUMMYFUNCTION("""COMPUTED_VALUE"""),"+0.61")</f>
        <v>+0.61</v>
      </c>
      <c r="U286" s="1">
        <f ca="1">IFERROR(__xludf.DUMMYFUNCTION("""COMPUTED_VALUE"""),145)</f>
        <v>145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IFERROR(__xludf.DUMMYFUNCTION("""COMPUTED_VALUE"""),"Morehead St.")</f>
        <v>Morehead St.</v>
      </c>
      <c r="C287" s="1" t="str">
        <f ca="1">IFERROR(__xludf.DUMMYFUNCTION("""COMPUTED_VALUE"""),"OVC")</f>
        <v>OVC</v>
      </c>
      <c r="D287" s="2">
        <f ca="1">IFERROR(__xludf.DUMMYFUNCTION("""COMPUTED_VALUE"""),44794)</f>
        <v>44794</v>
      </c>
      <c r="E287" s="1">
        <f ca="1">IFERROR(__xludf.DUMMYFUNCTION("""COMPUTED_VALUE"""),-9.96)</f>
        <v>-9.9600000000000009</v>
      </c>
      <c r="F287" s="1">
        <f ca="1">IFERROR(__xludf.DUMMYFUNCTION("""COMPUTED_VALUE"""),99)</f>
        <v>99</v>
      </c>
      <c r="G287" s="1">
        <f ca="1">IFERROR(__xludf.DUMMYFUNCTION("""COMPUTED_VALUE"""),274)</f>
        <v>274</v>
      </c>
      <c r="H287" s="1">
        <f ca="1">IFERROR(__xludf.DUMMYFUNCTION("""COMPUTED_VALUE"""),109)</f>
        <v>109</v>
      </c>
      <c r="I287" s="1">
        <f ca="1">IFERROR(__xludf.DUMMYFUNCTION("""COMPUTED_VALUE"""),258)</f>
        <v>258</v>
      </c>
      <c r="J287" s="1">
        <f ca="1">IFERROR(__xludf.DUMMYFUNCTION("""COMPUTED_VALUE"""),68.5)</f>
        <v>68.5</v>
      </c>
      <c r="K287" s="1">
        <f ca="1">IFERROR(__xludf.DUMMYFUNCTION("""COMPUTED_VALUE"""),164)</f>
        <v>164</v>
      </c>
      <c r="L287" s="1">
        <f ca="1">IFERROR(__xludf.DUMMYFUNCTION("""COMPUTED_VALUE"""),-0.069)</f>
        <v>-6.9000000000000006E-2</v>
      </c>
      <c r="M287" s="1">
        <f ca="1">IFERROR(__xludf.DUMMYFUNCTION("""COMPUTED_VALUE"""),328)</f>
        <v>328</v>
      </c>
      <c r="N287" s="1">
        <f ca="1">IFERROR(__xludf.DUMMYFUNCTION("""COMPUTED_VALUE"""),-0.74)</f>
        <v>-0.74</v>
      </c>
      <c r="O287" s="1">
        <f ca="1">IFERROR(__xludf.DUMMYFUNCTION("""COMPUTED_VALUE"""),154)</f>
        <v>154</v>
      </c>
      <c r="P287" s="1">
        <f ca="1">IFERROR(__xludf.DUMMYFUNCTION("""COMPUTED_VALUE"""),104.7)</f>
        <v>104.7</v>
      </c>
      <c r="Q287" s="1">
        <f ca="1">IFERROR(__xludf.DUMMYFUNCTION("""COMPUTED_VALUE"""),160)</f>
        <v>160</v>
      </c>
      <c r="R287" s="1">
        <f ca="1">IFERROR(__xludf.DUMMYFUNCTION("""COMPUTED_VALUE"""),105.5)</f>
        <v>105.5</v>
      </c>
      <c r="S287" s="1">
        <f ca="1">IFERROR(__xludf.DUMMYFUNCTION("""COMPUTED_VALUE"""),162)</f>
        <v>162</v>
      </c>
      <c r="T287" s="1" t="str">
        <f ca="1">IFERROR(__xludf.DUMMYFUNCTION("""COMPUTED_VALUE"""),"+7.60")</f>
        <v>+7.60</v>
      </c>
      <c r="U287" s="1">
        <f ca="1">IFERROR(__xludf.DUMMYFUNCTION("""COMPUTED_VALUE"""),16)</f>
        <v>16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IFERROR(__xludf.DUMMYFUNCTION("""COMPUTED_VALUE"""),"Fairleigh Dickinson")</f>
        <v>Fairleigh Dickinson</v>
      </c>
      <c r="C288" s="1" t="str">
        <f ca="1">IFERROR(__xludf.DUMMYFUNCTION("""COMPUTED_VALUE"""),"NEC")</f>
        <v>NEC</v>
      </c>
      <c r="D288" s="1" t="str">
        <f ca="1">IFERROR(__xludf.DUMMYFUNCTION("""COMPUTED_VALUE"""),"13-18")</f>
        <v>13-18</v>
      </c>
      <c r="E288" s="1">
        <f ca="1">IFERROR(__xludf.DUMMYFUNCTION("""COMPUTED_VALUE"""),-10.16)</f>
        <v>-10.16</v>
      </c>
      <c r="F288" s="1">
        <f ca="1">IFERROR(__xludf.DUMMYFUNCTION("""COMPUTED_VALUE"""),102.2)</f>
        <v>102.2</v>
      </c>
      <c r="G288" s="1">
        <f ca="1">IFERROR(__xludf.DUMMYFUNCTION("""COMPUTED_VALUE"""),222)</f>
        <v>222</v>
      </c>
      <c r="H288" s="1">
        <f ca="1">IFERROR(__xludf.DUMMYFUNCTION("""COMPUTED_VALUE"""),112.4)</f>
        <v>112.4</v>
      </c>
      <c r="I288" s="1">
        <f ca="1">IFERROR(__xludf.DUMMYFUNCTION("""COMPUTED_VALUE"""),315)</f>
        <v>315</v>
      </c>
      <c r="J288" s="1">
        <f ca="1">IFERROR(__xludf.DUMMYFUNCTION("""COMPUTED_VALUE"""),70.5)</f>
        <v>70.5</v>
      </c>
      <c r="K288" s="1">
        <f ca="1">IFERROR(__xludf.DUMMYFUNCTION("""COMPUTED_VALUE"""),66)</f>
        <v>66</v>
      </c>
      <c r="L288" s="1" t="str">
        <f ca="1">IFERROR(__xludf.DUMMYFUNCTION("""COMPUTED_VALUE"""),"+.025")</f>
        <v>+.025</v>
      </c>
      <c r="M288" s="1">
        <f ca="1">IFERROR(__xludf.DUMMYFUNCTION("""COMPUTED_VALUE"""),113)</f>
        <v>113</v>
      </c>
      <c r="N288" s="1">
        <f ca="1">IFERROR(__xludf.DUMMYFUNCTION("""COMPUTED_VALUE"""),-5.59)</f>
        <v>-5.59</v>
      </c>
      <c r="O288" s="1">
        <f ca="1">IFERROR(__xludf.DUMMYFUNCTION("""COMPUTED_VALUE"""),294)</f>
        <v>294</v>
      </c>
      <c r="P288" s="1">
        <f ca="1">IFERROR(__xludf.DUMMYFUNCTION("""COMPUTED_VALUE"""),102.1)</f>
        <v>102.1</v>
      </c>
      <c r="Q288" s="1">
        <f ca="1">IFERROR(__xludf.DUMMYFUNCTION("""COMPUTED_VALUE"""),288)</f>
        <v>288</v>
      </c>
      <c r="R288" s="1">
        <f ca="1">IFERROR(__xludf.DUMMYFUNCTION("""COMPUTED_VALUE"""),107.7)</f>
        <v>107.7</v>
      </c>
      <c r="S288" s="1">
        <f ca="1">IFERROR(__xludf.DUMMYFUNCTION("""COMPUTED_VALUE"""),290)</f>
        <v>290</v>
      </c>
      <c r="T288" s="1" t="str">
        <f ca="1">IFERROR(__xludf.DUMMYFUNCTION("""COMPUTED_VALUE"""),"+5.93")</f>
        <v>+5.93</v>
      </c>
      <c r="U288" s="1">
        <f ca="1">IFERROR(__xludf.DUMMYFUNCTION("""COMPUTED_VALUE"""),29)</f>
        <v>29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IFERROR(__xludf.DUMMYFUNCTION("""COMPUTED_VALUE"""),"Lafayette")</f>
        <v>Lafayette</v>
      </c>
      <c r="C289" s="1" t="str">
        <f ca="1">IFERROR(__xludf.DUMMYFUNCTION("""COMPUTED_VALUE"""),"Pat")</f>
        <v>Pat</v>
      </c>
      <c r="D289" s="2">
        <f ca="1">IFERROR(__xludf.DUMMYFUNCTION("""COMPUTED_VALUE"""),44855)</f>
        <v>44855</v>
      </c>
      <c r="E289" s="1">
        <f ca="1">IFERROR(__xludf.DUMMYFUNCTION("""COMPUTED_VALUE"""),-10.17)</f>
        <v>-10.17</v>
      </c>
      <c r="F289" s="1">
        <f ca="1">IFERROR(__xludf.DUMMYFUNCTION("""COMPUTED_VALUE"""),101.8)</f>
        <v>101.8</v>
      </c>
      <c r="G289" s="1">
        <f ca="1">IFERROR(__xludf.DUMMYFUNCTION("""COMPUTED_VALUE"""),233)</f>
        <v>233</v>
      </c>
      <c r="H289" s="1">
        <f ca="1">IFERROR(__xludf.DUMMYFUNCTION("""COMPUTED_VALUE"""),112)</f>
        <v>112</v>
      </c>
      <c r="I289" s="1">
        <f ca="1">IFERROR(__xludf.DUMMYFUNCTION("""COMPUTED_VALUE"""),310)</f>
        <v>310</v>
      </c>
      <c r="J289" s="1">
        <f ca="1">IFERROR(__xludf.DUMMYFUNCTION("""COMPUTED_VALUE"""),68.3)</f>
        <v>68.3</v>
      </c>
      <c r="K289" s="1">
        <f ca="1">IFERROR(__xludf.DUMMYFUNCTION("""COMPUTED_VALUE"""),174)</f>
        <v>174</v>
      </c>
      <c r="L289" s="1">
        <f ca="1">IFERROR(__xludf.DUMMYFUNCTION("""COMPUTED_VALUE"""),-0.097)</f>
        <v>-9.7000000000000003E-2</v>
      </c>
      <c r="M289" s="1">
        <f ca="1">IFERROR(__xludf.DUMMYFUNCTION("""COMPUTED_VALUE"""),345)</f>
        <v>345</v>
      </c>
      <c r="N289" s="1">
        <f ca="1">IFERROR(__xludf.DUMMYFUNCTION("""COMPUTED_VALUE"""),-6.55)</f>
        <v>-6.55</v>
      </c>
      <c r="O289" s="1">
        <f ca="1">IFERROR(__xludf.DUMMYFUNCTION("""COMPUTED_VALUE"""),309)</f>
        <v>309</v>
      </c>
      <c r="P289" s="1">
        <f ca="1">IFERROR(__xludf.DUMMYFUNCTION("""COMPUTED_VALUE"""),101.5)</f>
        <v>101.5</v>
      </c>
      <c r="Q289" s="1">
        <f ca="1">IFERROR(__xludf.DUMMYFUNCTION("""COMPUTED_VALUE"""),305)</f>
        <v>305</v>
      </c>
      <c r="R289" s="1">
        <f ca="1">IFERROR(__xludf.DUMMYFUNCTION("""COMPUTED_VALUE"""),108.1)</f>
        <v>108.1</v>
      </c>
      <c r="S289" s="1">
        <f ca="1">IFERROR(__xludf.DUMMYFUNCTION("""COMPUTED_VALUE"""),311)</f>
        <v>311</v>
      </c>
      <c r="T289" s="1">
        <f ca="1">IFERROR(__xludf.DUMMYFUNCTION("""COMPUTED_VALUE"""),-2.8)</f>
        <v>-2.8</v>
      </c>
      <c r="U289" s="1">
        <f ca="1">IFERROR(__xludf.DUMMYFUNCTION("""COMPUTED_VALUE"""),244)</f>
        <v>244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IFERROR(__xludf.DUMMYFUNCTION("""COMPUTED_VALUE"""),"UMKC")</f>
        <v>UMKC</v>
      </c>
      <c r="C290" s="1" t="str">
        <f ca="1">IFERROR(__xludf.DUMMYFUNCTION("""COMPUTED_VALUE"""),"WAC")</f>
        <v>WAC</v>
      </c>
      <c r="D290" s="2">
        <f ca="1">IFERROR(__xludf.DUMMYFUNCTION("""COMPUTED_VALUE"""),44856)</f>
        <v>44856</v>
      </c>
      <c r="E290" s="1">
        <f ca="1">IFERROR(__xludf.DUMMYFUNCTION("""COMPUTED_VALUE"""),-10.32)</f>
        <v>-10.32</v>
      </c>
      <c r="F290" s="1">
        <f ca="1">IFERROR(__xludf.DUMMYFUNCTION("""COMPUTED_VALUE"""),98.2)</f>
        <v>98.2</v>
      </c>
      <c r="G290" s="1">
        <f ca="1">IFERROR(__xludf.DUMMYFUNCTION("""COMPUTED_VALUE"""),295)</f>
        <v>295</v>
      </c>
      <c r="H290" s="1">
        <f ca="1">IFERROR(__xludf.DUMMYFUNCTION("""COMPUTED_VALUE"""),108.5)</f>
        <v>108.5</v>
      </c>
      <c r="I290" s="1">
        <f ca="1">IFERROR(__xludf.DUMMYFUNCTION("""COMPUTED_VALUE"""),246)</f>
        <v>246</v>
      </c>
      <c r="J290" s="1">
        <f ca="1">IFERROR(__xludf.DUMMYFUNCTION("""COMPUTED_VALUE"""),69.3)</f>
        <v>69.3</v>
      </c>
      <c r="K290" s="1">
        <f ca="1">IFERROR(__xludf.DUMMYFUNCTION("""COMPUTED_VALUE"""),111)</f>
        <v>111</v>
      </c>
      <c r="L290" s="1">
        <f ca="1">IFERROR(__xludf.DUMMYFUNCTION("""COMPUTED_VALUE"""),-0.009)</f>
        <v>-8.9999999999999993E-3</v>
      </c>
      <c r="M290" s="1">
        <f ca="1">IFERROR(__xludf.DUMMYFUNCTION("""COMPUTED_VALUE"""),201)</f>
        <v>201</v>
      </c>
      <c r="N290" s="1">
        <f ca="1">IFERROR(__xludf.DUMMYFUNCTION("""COMPUTED_VALUE"""),-0.19)</f>
        <v>-0.19</v>
      </c>
      <c r="O290" s="1">
        <f ca="1">IFERROR(__xludf.DUMMYFUNCTION("""COMPUTED_VALUE"""),143)</f>
        <v>143</v>
      </c>
      <c r="P290" s="1">
        <f ca="1">IFERROR(__xludf.DUMMYFUNCTION("""COMPUTED_VALUE"""),104.8)</f>
        <v>104.8</v>
      </c>
      <c r="Q290" s="1">
        <f ca="1">IFERROR(__xludf.DUMMYFUNCTION("""COMPUTED_VALUE"""),158)</f>
        <v>158</v>
      </c>
      <c r="R290" s="1">
        <f ca="1">IFERROR(__xludf.DUMMYFUNCTION("""COMPUTED_VALUE"""),105)</f>
        <v>105</v>
      </c>
      <c r="S290" s="1">
        <f ca="1">IFERROR(__xludf.DUMMYFUNCTION("""COMPUTED_VALUE"""),138)</f>
        <v>138</v>
      </c>
      <c r="T290" s="1" t="str">
        <f ca="1">IFERROR(__xludf.DUMMYFUNCTION("""COMPUTED_VALUE"""),"+1.93")</f>
        <v>+1.93</v>
      </c>
      <c r="U290" s="1">
        <f ca="1">IFERROR(__xludf.DUMMYFUNCTION("""COMPUTED_VALUE"""),106)</f>
        <v>106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IFERROR(__xludf.DUMMYFUNCTION("""COMPUTED_VALUE"""),"Santa Clara")</f>
        <v>Santa Clara</v>
      </c>
      <c r="C291" s="1" t="str">
        <f ca="1">IFERROR(__xludf.DUMMYFUNCTION("""COMPUTED_VALUE"""),"WCC")</f>
        <v>WCC</v>
      </c>
      <c r="D291" s="2">
        <f ca="1">IFERROR(__xludf.DUMMYFUNCTION("""COMPUTED_VALUE"""),44885)</f>
        <v>44885</v>
      </c>
      <c r="E291" s="1">
        <f ca="1">IFERROR(__xludf.DUMMYFUNCTION("""COMPUTED_VALUE"""),-10.34)</f>
        <v>-10.34</v>
      </c>
      <c r="F291" s="1">
        <f ca="1">IFERROR(__xludf.DUMMYFUNCTION("""COMPUTED_VALUE"""),99.2)</f>
        <v>99.2</v>
      </c>
      <c r="G291" s="1">
        <f ca="1">IFERROR(__xludf.DUMMYFUNCTION("""COMPUTED_VALUE"""),272)</f>
        <v>272</v>
      </c>
      <c r="H291" s="1">
        <f ca="1">IFERROR(__xludf.DUMMYFUNCTION("""COMPUTED_VALUE"""),109.5)</f>
        <v>109.5</v>
      </c>
      <c r="I291" s="1">
        <f ca="1">IFERROR(__xludf.DUMMYFUNCTION("""COMPUTED_VALUE"""),264)</f>
        <v>264</v>
      </c>
      <c r="J291" s="1">
        <f ca="1">IFERROR(__xludf.DUMMYFUNCTION("""COMPUTED_VALUE"""),64.6)</f>
        <v>64.599999999999994</v>
      </c>
      <c r="K291" s="1">
        <f ca="1">IFERROR(__xludf.DUMMYFUNCTION("""COMPUTED_VALUE"""),326)</f>
        <v>326</v>
      </c>
      <c r="L291" s="1" t="str">
        <f ca="1">IFERROR(__xludf.DUMMYFUNCTION("""COMPUTED_VALUE"""),"+.018")</f>
        <v>+.018</v>
      </c>
      <c r="M291" s="1">
        <f ca="1">IFERROR(__xludf.DUMMYFUNCTION("""COMPUTED_VALUE"""),127)</f>
        <v>127</v>
      </c>
      <c r="N291" s="1">
        <f ca="1">IFERROR(__xludf.DUMMYFUNCTION("""COMPUTED_VALUE"""),-1.33)</f>
        <v>-1.33</v>
      </c>
      <c r="O291" s="1">
        <f ca="1">IFERROR(__xludf.DUMMYFUNCTION("""COMPUTED_VALUE"""),171)</f>
        <v>171</v>
      </c>
      <c r="P291" s="1">
        <f ca="1">IFERROR(__xludf.DUMMYFUNCTION("""COMPUTED_VALUE"""),105.2)</f>
        <v>105.2</v>
      </c>
      <c r="Q291" s="1">
        <f ca="1">IFERROR(__xludf.DUMMYFUNCTION("""COMPUTED_VALUE"""),141)</f>
        <v>141</v>
      </c>
      <c r="R291" s="1">
        <f ca="1">IFERROR(__xludf.DUMMYFUNCTION("""COMPUTED_VALUE"""),106.6)</f>
        <v>106.6</v>
      </c>
      <c r="S291" s="1">
        <f ca="1">IFERROR(__xludf.DUMMYFUNCTION("""COMPUTED_VALUE"""),233)</f>
        <v>233</v>
      </c>
      <c r="T291" s="1">
        <f ca="1">IFERROR(__xludf.DUMMYFUNCTION("""COMPUTED_VALUE"""),-6.82)</f>
        <v>-6.82</v>
      </c>
      <c r="U291" s="1">
        <f ca="1">IFERROR(__xludf.DUMMYFUNCTION("""COMPUTED_VALUE"""),328)</f>
        <v>328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IFERROR(__xludf.DUMMYFUNCTION("""COMPUTED_VALUE"""),"New Hampshire")</f>
        <v>New Hampshire</v>
      </c>
      <c r="C292" s="1" t="str">
        <f ca="1">IFERROR(__xludf.DUMMYFUNCTION("""COMPUTED_VALUE"""),"AE")</f>
        <v>AE</v>
      </c>
      <c r="D292" s="2">
        <f ca="1">IFERROR(__xludf.DUMMYFUNCTION("""COMPUTED_VALUE"""),44855)</f>
        <v>44855</v>
      </c>
      <c r="E292" s="1">
        <f ca="1">IFERROR(__xludf.DUMMYFUNCTION("""COMPUTED_VALUE"""),-10.35)</f>
        <v>-10.35</v>
      </c>
      <c r="F292" s="1">
        <f ca="1">IFERROR(__xludf.DUMMYFUNCTION("""COMPUTED_VALUE"""),98.2)</f>
        <v>98.2</v>
      </c>
      <c r="G292" s="1">
        <f ca="1">IFERROR(__xludf.DUMMYFUNCTION("""COMPUTED_VALUE"""),297)</f>
        <v>297</v>
      </c>
      <c r="H292" s="1">
        <f ca="1">IFERROR(__xludf.DUMMYFUNCTION("""COMPUTED_VALUE"""),108.5)</f>
        <v>108.5</v>
      </c>
      <c r="I292" s="1">
        <f ca="1">IFERROR(__xludf.DUMMYFUNCTION("""COMPUTED_VALUE"""),244)</f>
        <v>244</v>
      </c>
      <c r="J292" s="1">
        <f ca="1">IFERROR(__xludf.DUMMYFUNCTION("""COMPUTED_VALUE"""),65.4)</f>
        <v>65.400000000000006</v>
      </c>
      <c r="K292" s="1">
        <f ca="1">IFERROR(__xludf.DUMMYFUNCTION("""COMPUTED_VALUE"""),313)</f>
        <v>313</v>
      </c>
      <c r="L292" s="1">
        <f ca="1">IFERROR(__xludf.DUMMYFUNCTION("""COMPUTED_VALUE"""),-0.069)</f>
        <v>-6.9000000000000006E-2</v>
      </c>
      <c r="M292" s="1">
        <f ca="1">IFERROR(__xludf.DUMMYFUNCTION("""COMPUTED_VALUE"""),327)</f>
        <v>327</v>
      </c>
      <c r="N292" s="1">
        <f ca="1">IFERROR(__xludf.DUMMYFUNCTION("""COMPUTED_VALUE"""),-4.86)</f>
        <v>-4.8600000000000003</v>
      </c>
      <c r="O292" s="1">
        <f ca="1">IFERROR(__xludf.DUMMYFUNCTION("""COMPUTED_VALUE"""),283)</f>
        <v>283</v>
      </c>
      <c r="P292" s="1">
        <f ca="1">IFERROR(__xludf.DUMMYFUNCTION("""COMPUTED_VALUE"""),102.4)</f>
        <v>102.4</v>
      </c>
      <c r="Q292" s="1">
        <f ca="1">IFERROR(__xludf.DUMMYFUNCTION("""COMPUTED_VALUE"""),280)</f>
        <v>280</v>
      </c>
      <c r="R292" s="1">
        <f ca="1">IFERROR(__xludf.DUMMYFUNCTION("""COMPUTED_VALUE"""),107.2)</f>
        <v>107.2</v>
      </c>
      <c r="S292" s="1">
        <f ca="1">IFERROR(__xludf.DUMMYFUNCTION("""COMPUTED_VALUE"""),269)</f>
        <v>269</v>
      </c>
      <c r="T292" s="1">
        <f ca="1">IFERROR(__xludf.DUMMYFUNCTION("""COMPUTED_VALUE"""),-4.07)</f>
        <v>-4.07</v>
      </c>
      <c r="U292" s="1">
        <f ca="1">IFERROR(__xludf.DUMMYFUNCTION("""COMPUTED_VALUE"""),288)</f>
        <v>288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IFERROR(__xludf.DUMMYFUNCTION("""COMPUTED_VALUE"""),"South Florida")</f>
        <v>South Florida</v>
      </c>
      <c r="C293" s="1" t="str">
        <f ca="1">IFERROR(__xludf.DUMMYFUNCTION("""COMPUTED_VALUE"""),"Amer")</f>
        <v>Amer</v>
      </c>
      <c r="D293" s="2">
        <f ca="1">IFERROR(__xludf.DUMMYFUNCTION("""COMPUTED_VALUE"""),44856)</f>
        <v>44856</v>
      </c>
      <c r="E293" s="1">
        <f ca="1">IFERROR(__xludf.DUMMYFUNCTION("""COMPUTED_VALUE"""),-10.45)</f>
        <v>-10.45</v>
      </c>
      <c r="F293" s="1">
        <f ca="1">IFERROR(__xludf.DUMMYFUNCTION("""COMPUTED_VALUE"""),98.8)</f>
        <v>98.8</v>
      </c>
      <c r="G293" s="1">
        <f ca="1">IFERROR(__xludf.DUMMYFUNCTION("""COMPUTED_VALUE"""),282)</f>
        <v>282</v>
      </c>
      <c r="H293" s="1">
        <f ca="1">IFERROR(__xludf.DUMMYFUNCTION("""COMPUTED_VALUE"""),109.3)</f>
        <v>109.3</v>
      </c>
      <c r="I293" s="1">
        <f ca="1">IFERROR(__xludf.DUMMYFUNCTION("""COMPUTED_VALUE"""),261)</f>
        <v>261</v>
      </c>
      <c r="J293" s="1">
        <f ca="1">IFERROR(__xludf.DUMMYFUNCTION("""COMPUTED_VALUE"""),64.6)</f>
        <v>64.599999999999994</v>
      </c>
      <c r="K293" s="1">
        <f ca="1">IFERROR(__xludf.DUMMYFUNCTION("""COMPUTED_VALUE"""),327)</f>
        <v>327</v>
      </c>
      <c r="L293" s="1">
        <f ca="1">IFERROR(__xludf.DUMMYFUNCTION("""COMPUTED_VALUE"""),-0.013)</f>
        <v>-1.2999999999999999E-2</v>
      </c>
      <c r="M293" s="1">
        <f ca="1">IFERROR(__xludf.DUMMYFUNCTION("""COMPUTED_VALUE"""),211)</f>
        <v>211</v>
      </c>
      <c r="N293" s="1">
        <f ca="1">IFERROR(__xludf.DUMMYFUNCTION("""COMPUTED_VALUE"""),-1.73)</f>
        <v>-1.73</v>
      </c>
      <c r="O293" s="1">
        <f ca="1">IFERROR(__xludf.DUMMYFUNCTION("""COMPUTED_VALUE"""),180)</f>
        <v>180</v>
      </c>
      <c r="P293" s="1">
        <f ca="1">IFERROR(__xludf.DUMMYFUNCTION("""COMPUTED_VALUE"""),103.6)</f>
        <v>103.6</v>
      </c>
      <c r="Q293" s="1">
        <f ca="1">IFERROR(__xludf.DUMMYFUNCTION("""COMPUTED_VALUE"""),212)</f>
        <v>212</v>
      </c>
      <c r="R293" s="1">
        <f ca="1">IFERROR(__xludf.DUMMYFUNCTION("""COMPUTED_VALUE"""),105.3)</f>
        <v>105.3</v>
      </c>
      <c r="S293" s="1">
        <f ca="1">IFERROR(__xludf.DUMMYFUNCTION("""COMPUTED_VALUE"""),154)</f>
        <v>154</v>
      </c>
      <c r="T293" s="1">
        <f ca="1">IFERROR(__xludf.DUMMYFUNCTION("""COMPUTED_VALUE"""),-11.64)</f>
        <v>-11.64</v>
      </c>
      <c r="U293" s="1">
        <f ca="1">IFERROR(__xludf.DUMMYFUNCTION("""COMPUTED_VALUE"""),347)</f>
        <v>347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IFERROR(__xludf.DUMMYFUNCTION("""COMPUTED_VALUE"""),"Quinnipiac")</f>
        <v>Quinnipiac</v>
      </c>
      <c r="C294" s="1" t="str">
        <f ca="1">IFERROR(__xludf.DUMMYFUNCTION("""COMPUTED_VALUE"""),"MAAC")</f>
        <v>MAAC</v>
      </c>
      <c r="D294" s="2">
        <f ca="1">IFERROR(__xludf.DUMMYFUNCTION("""COMPUTED_VALUE"""),44916)</f>
        <v>44916</v>
      </c>
      <c r="E294" s="1">
        <f ca="1">IFERROR(__xludf.DUMMYFUNCTION("""COMPUTED_VALUE"""),-10.46)</f>
        <v>-10.46</v>
      </c>
      <c r="F294" s="1">
        <f ca="1">IFERROR(__xludf.DUMMYFUNCTION("""COMPUTED_VALUE"""),101.7)</f>
        <v>101.7</v>
      </c>
      <c r="G294" s="1">
        <f ca="1">IFERROR(__xludf.DUMMYFUNCTION("""COMPUTED_VALUE"""),236)</f>
        <v>236</v>
      </c>
      <c r="H294" s="1">
        <f ca="1">IFERROR(__xludf.DUMMYFUNCTION("""COMPUTED_VALUE"""),112.2)</f>
        <v>112.2</v>
      </c>
      <c r="I294" s="1">
        <f ca="1">IFERROR(__xludf.DUMMYFUNCTION("""COMPUTED_VALUE"""),313)</f>
        <v>313</v>
      </c>
      <c r="J294" s="1">
        <f ca="1">IFERROR(__xludf.DUMMYFUNCTION("""COMPUTED_VALUE"""),66.5)</f>
        <v>66.5</v>
      </c>
      <c r="K294" s="1">
        <f ca="1">IFERROR(__xludf.DUMMYFUNCTION("""COMPUTED_VALUE"""),260)</f>
        <v>260</v>
      </c>
      <c r="L294" s="1" t="str">
        <f ca="1">IFERROR(__xludf.DUMMYFUNCTION("""COMPUTED_VALUE"""),"+.079")</f>
        <v>+.079</v>
      </c>
      <c r="M294" s="1">
        <f ca="1">IFERROR(__xludf.DUMMYFUNCTION("""COMPUTED_VALUE"""),20)</f>
        <v>20</v>
      </c>
      <c r="N294" s="1">
        <f ca="1">IFERROR(__xludf.DUMMYFUNCTION("""COMPUTED_VALUE"""),-4.19)</f>
        <v>-4.1900000000000004</v>
      </c>
      <c r="O294" s="1">
        <f ca="1">IFERROR(__xludf.DUMMYFUNCTION("""COMPUTED_VALUE"""),263)</f>
        <v>263</v>
      </c>
      <c r="P294" s="1">
        <f ca="1">IFERROR(__xludf.DUMMYFUNCTION("""COMPUTED_VALUE"""),103.1)</f>
        <v>103.1</v>
      </c>
      <c r="Q294" s="1">
        <f ca="1">IFERROR(__xludf.DUMMYFUNCTION("""COMPUTED_VALUE"""),245)</f>
        <v>245</v>
      </c>
      <c r="R294" s="1">
        <f ca="1">IFERROR(__xludf.DUMMYFUNCTION("""COMPUTED_VALUE"""),107.3)</f>
        <v>107.3</v>
      </c>
      <c r="S294" s="1">
        <f ca="1">IFERROR(__xludf.DUMMYFUNCTION("""COMPUTED_VALUE"""),270)</f>
        <v>270</v>
      </c>
      <c r="T294" s="1">
        <f ca="1">IFERROR(__xludf.DUMMYFUNCTION("""COMPUTED_VALUE"""),-3.84)</f>
        <v>-3.84</v>
      </c>
      <c r="U294" s="1">
        <f ca="1">IFERROR(__xludf.DUMMYFUNCTION("""COMPUTED_VALUE"""),285)</f>
        <v>285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IFERROR(__xludf.DUMMYFUNCTION("""COMPUTED_VALUE"""),"Arkansas St.")</f>
        <v>Arkansas St.</v>
      </c>
      <c r="C297" s="1" t="str">
        <f ca="1">IFERROR(__xludf.DUMMYFUNCTION("""COMPUTED_VALUE"""),"SB")</f>
        <v>SB</v>
      </c>
      <c r="D297" s="2">
        <f ca="1">IFERROR(__xludf.DUMMYFUNCTION("""COMPUTED_VALUE"""),44886)</f>
        <v>44886</v>
      </c>
      <c r="E297" s="1">
        <f ca="1">IFERROR(__xludf.DUMMYFUNCTION("""COMPUTED_VALUE"""),-10.56)</f>
        <v>-10.56</v>
      </c>
      <c r="F297" s="1">
        <f ca="1">IFERROR(__xludf.DUMMYFUNCTION("""COMPUTED_VALUE"""),104.5)</f>
        <v>104.5</v>
      </c>
      <c r="G297" s="1">
        <f ca="1">IFERROR(__xludf.DUMMYFUNCTION("""COMPUTED_VALUE"""),182)</f>
        <v>182</v>
      </c>
      <c r="H297" s="1">
        <f ca="1">IFERROR(__xludf.DUMMYFUNCTION("""COMPUTED_VALUE"""),115.1)</f>
        <v>115.1</v>
      </c>
      <c r="I297" s="1">
        <f ca="1">IFERROR(__xludf.DUMMYFUNCTION("""COMPUTED_VALUE"""),333)</f>
        <v>333</v>
      </c>
      <c r="J297" s="1">
        <f ca="1">IFERROR(__xludf.DUMMYFUNCTION("""COMPUTED_VALUE"""),69.5)</f>
        <v>69.5</v>
      </c>
      <c r="K297" s="1">
        <f ca="1">IFERROR(__xludf.DUMMYFUNCTION("""COMPUTED_VALUE"""),99)</f>
        <v>99</v>
      </c>
      <c r="L297" s="1" t="str">
        <f ca="1">IFERROR(__xludf.DUMMYFUNCTION("""COMPUTED_VALUE"""),"+.017")</f>
        <v>+.017</v>
      </c>
      <c r="M297" s="1">
        <f ca="1">IFERROR(__xludf.DUMMYFUNCTION("""COMPUTED_VALUE"""),131)</f>
        <v>131</v>
      </c>
      <c r="N297" s="1">
        <f ca="1">IFERROR(__xludf.DUMMYFUNCTION("""COMPUTED_VALUE"""),-2.27)</f>
        <v>-2.27</v>
      </c>
      <c r="O297" s="1">
        <f ca="1">IFERROR(__xludf.DUMMYFUNCTION("""COMPUTED_VALUE"""),201)</f>
        <v>201</v>
      </c>
      <c r="P297" s="1">
        <f ca="1">IFERROR(__xludf.DUMMYFUNCTION("""COMPUTED_VALUE"""),102.9)</f>
        <v>102.9</v>
      </c>
      <c r="Q297" s="1">
        <f ca="1">IFERROR(__xludf.DUMMYFUNCTION("""COMPUTED_VALUE"""),255)</f>
        <v>255</v>
      </c>
      <c r="R297" s="1">
        <f ca="1">IFERROR(__xludf.DUMMYFUNCTION("""COMPUTED_VALUE"""),105.1)</f>
        <v>105.1</v>
      </c>
      <c r="S297" s="1">
        <f ca="1">IFERROR(__xludf.DUMMYFUNCTION("""COMPUTED_VALUE"""),146)</f>
        <v>146</v>
      </c>
      <c r="T297" s="1">
        <f ca="1">IFERROR(__xludf.DUMMYFUNCTION("""COMPUTED_VALUE"""),-2.75)</f>
        <v>-2.75</v>
      </c>
      <c r="U297" s="1">
        <f ca="1">IFERROR(__xludf.DUMMYFUNCTION("""COMPUTED_VALUE"""),242)</f>
        <v>242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IFERROR(__xludf.DUMMYFUNCTION("""COMPUTED_VALUE"""),"North Florida")</f>
        <v>North Florida</v>
      </c>
      <c r="C298" s="1" t="str">
        <f ca="1">IFERROR(__xludf.DUMMYFUNCTION("""COMPUTED_VALUE"""),"ASun")</f>
        <v>ASun</v>
      </c>
      <c r="D298" s="1" t="str">
        <f ca="1">IFERROR(__xludf.DUMMYFUNCTION("""COMPUTED_VALUE"""),"14-19")</f>
        <v>14-19</v>
      </c>
      <c r="E298" s="1">
        <f ca="1">IFERROR(__xludf.DUMMYFUNCTION("""COMPUTED_VALUE"""),-10.65)</f>
        <v>-10.65</v>
      </c>
      <c r="F298" s="1">
        <f ca="1">IFERROR(__xludf.DUMMYFUNCTION("""COMPUTED_VALUE"""),107.7)</f>
        <v>107.7</v>
      </c>
      <c r="G298" s="1">
        <f ca="1">IFERROR(__xludf.DUMMYFUNCTION("""COMPUTED_VALUE"""),121)</f>
        <v>121</v>
      </c>
      <c r="H298" s="1">
        <f ca="1">IFERROR(__xludf.DUMMYFUNCTION("""COMPUTED_VALUE"""),118.4)</f>
        <v>118.4</v>
      </c>
      <c r="I298" s="1">
        <f ca="1">IFERROR(__xludf.DUMMYFUNCTION("""COMPUTED_VALUE"""),345)</f>
        <v>345</v>
      </c>
      <c r="J298" s="1">
        <f ca="1">IFERROR(__xludf.DUMMYFUNCTION("""COMPUTED_VALUE"""),73.6)</f>
        <v>73.599999999999994</v>
      </c>
      <c r="K298" s="1">
        <f ca="1">IFERROR(__xludf.DUMMYFUNCTION("""COMPUTED_VALUE"""),11)</f>
        <v>11</v>
      </c>
      <c r="L298" s="1" t="str">
        <f ca="1">IFERROR(__xludf.DUMMYFUNCTION("""COMPUTED_VALUE"""),"+.074")</f>
        <v>+.074</v>
      </c>
      <c r="M298" s="1">
        <f ca="1">IFERROR(__xludf.DUMMYFUNCTION("""COMPUTED_VALUE"""),29)</f>
        <v>29</v>
      </c>
      <c r="N298" s="1">
        <f ca="1">IFERROR(__xludf.DUMMYFUNCTION("""COMPUTED_VALUE"""),-0.86)</f>
        <v>-0.86</v>
      </c>
      <c r="O298" s="1">
        <f ca="1">IFERROR(__xludf.DUMMYFUNCTION("""COMPUTED_VALUE"""),159)</f>
        <v>159</v>
      </c>
      <c r="P298" s="1">
        <f ca="1">IFERROR(__xludf.DUMMYFUNCTION("""COMPUTED_VALUE"""),104.7)</f>
        <v>104.7</v>
      </c>
      <c r="Q298" s="1">
        <f ca="1">IFERROR(__xludf.DUMMYFUNCTION("""COMPUTED_VALUE"""),162)</f>
        <v>162</v>
      </c>
      <c r="R298" s="1">
        <f ca="1">IFERROR(__xludf.DUMMYFUNCTION("""COMPUTED_VALUE"""),105.6)</f>
        <v>105.6</v>
      </c>
      <c r="S298" s="1">
        <f ca="1">IFERROR(__xludf.DUMMYFUNCTION("""COMPUTED_VALUE"""),167)</f>
        <v>167</v>
      </c>
      <c r="T298" s="1" t="str">
        <f ca="1">IFERROR(__xludf.DUMMYFUNCTION("""COMPUTED_VALUE"""),"+9.82")</f>
        <v>+9.82</v>
      </c>
      <c r="U298" s="1">
        <f ca="1">IFERROR(__xludf.DUMMYFUNCTION("""COMPUTED_VALUE"""),5)</f>
        <v>5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IFERROR(__xludf.DUMMYFUNCTION("""COMPUTED_VALUE"""),"Nebraska Omaha")</f>
        <v>Nebraska Omaha</v>
      </c>
      <c r="C299" s="1" t="str">
        <f ca="1">IFERROR(__xludf.DUMMYFUNCTION("""COMPUTED_VALUE"""),"Sum")</f>
        <v>Sum</v>
      </c>
      <c r="D299" s="2">
        <f ca="1">IFERROR(__xludf.DUMMYFUNCTION("""COMPUTED_VALUE"""),44826)</f>
        <v>44826</v>
      </c>
      <c r="E299" s="1">
        <f ca="1">IFERROR(__xludf.DUMMYFUNCTION("""COMPUTED_VALUE"""),-10.67)</f>
        <v>-10.67</v>
      </c>
      <c r="F299" s="1">
        <f ca="1">IFERROR(__xludf.DUMMYFUNCTION("""COMPUTED_VALUE"""),104.1)</f>
        <v>104.1</v>
      </c>
      <c r="G299" s="1">
        <f ca="1">IFERROR(__xludf.DUMMYFUNCTION("""COMPUTED_VALUE"""),187)</f>
        <v>187</v>
      </c>
      <c r="H299" s="1">
        <f ca="1">IFERROR(__xludf.DUMMYFUNCTION("""COMPUTED_VALUE"""),114.7)</f>
        <v>114.7</v>
      </c>
      <c r="I299" s="1">
        <f ca="1">IFERROR(__xludf.DUMMYFUNCTION("""COMPUTED_VALUE"""),330)</f>
        <v>330</v>
      </c>
      <c r="J299" s="1">
        <f ca="1">IFERROR(__xludf.DUMMYFUNCTION("""COMPUTED_VALUE"""),69.8)</f>
        <v>69.8</v>
      </c>
      <c r="K299" s="1">
        <f ca="1">IFERROR(__xludf.DUMMYFUNCTION("""COMPUTED_VALUE"""),87)</f>
        <v>87</v>
      </c>
      <c r="L299" s="1" t="str">
        <f ca="1">IFERROR(__xludf.DUMMYFUNCTION("""COMPUTED_VALUE"""),"+.012")</f>
        <v>+.012</v>
      </c>
      <c r="M299" s="1">
        <f ca="1">IFERROR(__xludf.DUMMYFUNCTION("""COMPUTED_VALUE"""),143)</f>
        <v>143</v>
      </c>
      <c r="N299" s="1" t="str">
        <f ca="1">IFERROR(__xludf.DUMMYFUNCTION("""COMPUTED_VALUE"""),"+1.80")</f>
        <v>+1.80</v>
      </c>
      <c r="O299" s="1">
        <f ca="1">IFERROR(__xludf.DUMMYFUNCTION("""COMPUTED_VALUE"""),105)</f>
        <v>105</v>
      </c>
      <c r="P299" s="1">
        <f ca="1">IFERROR(__xludf.DUMMYFUNCTION("""COMPUTED_VALUE"""),106.9)</f>
        <v>106.9</v>
      </c>
      <c r="Q299" s="1">
        <f ca="1">IFERROR(__xludf.DUMMYFUNCTION("""COMPUTED_VALUE"""),88)</f>
        <v>88</v>
      </c>
      <c r="R299" s="1">
        <f ca="1">IFERROR(__xludf.DUMMYFUNCTION("""COMPUTED_VALUE"""),105.1)</f>
        <v>105.1</v>
      </c>
      <c r="S299" s="1">
        <f ca="1">IFERROR(__xludf.DUMMYFUNCTION("""COMPUTED_VALUE"""),144)</f>
        <v>144</v>
      </c>
      <c r="T299" s="1" t="str">
        <f ca="1">IFERROR(__xludf.DUMMYFUNCTION("""COMPUTED_VALUE"""),"+4.31")</f>
        <v>+4.31</v>
      </c>
      <c r="U299" s="1">
        <f ca="1">IFERROR(__xludf.DUMMYFUNCTION("""COMPUTED_VALUE"""),52)</f>
        <v>52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IFERROR(__xludf.DUMMYFUNCTION("""COMPUTED_VALUE"""),"IUPUI")</f>
        <v>IUPUI</v>
      </c>
      <c r="C300" s="1" t="str">
        <f ca="1">IFERROR(__xludf.DUMMYFUNCTION("""COMPUTED_VALUE"""),"Horz")</f>
        <v>Horz</v>
      </c>
      <c r="D300" s="2">
        <f ca="1">IFERROR(__xludf.DUMMYFUNCTION("""COMPUTED_VALUE"""),44884)</f>
        <v>44884</v>
      </c>
      <c r="E300" s="1">
        <f ca="1">IFERROR(__xludf.DUMMYFUNCTION("""COMPUTED_VALUE"""),-10.72)</f>
        <v>-10.72</v>
      </c>
      <c r="F300" s="1">
        <f ca="1">IFERROR(__xludf.DUMMYFUNCTION("""COMPUTED_VALUE"""),98.3)</f>
        <v>98.3</v>
      </c>
      <c r="G300" s="1">
        <f ca="1">IFERROR(__xludf.DUMMYFUNCTION("""COMPUTED_VALUE"""),293)</f>
        <v>293</v>
      </c>
      <c r="H300" s="1">
        <f ca="1">IFERROR(__xludf.DUMMYFUNCTION("""COMPUTED_VALUE"""),109)</f>
        <v>109</v>
      </c>
      <c r="I300" s="1">
        <f ca="1">IFERROR(__xludf.DUMMYFUNCTION("""COMPUTED_VALUE"""),259)</f>
        <v>259</v>
      </c>
      <c r="J300" s="1">
        <f ca="1">IFERROR(__xludf.DUMMYFUNCTION("""COMPUTED_VALUE"""),66.1)</f>
        <v>66.099999999999994</v>
      </c>
      <c r="K300" s="1">
        <f ca="1">IFERROR(__xludf.DUMMYFUNCTION("""COMPUTED_VALUE"""),276)</f>
        <v>276</v>
      </c>
      <c r="L300" s="1" t="str">
        <f ca="1">IFERROR(__xludf.DUMMYFUNCTION("""COMPUTED_VALUE"""),"+.030")</f>
        <v>+.030</v>
      </c>
      <c r="M300" s="1">
        <f ca="1">IFERROR(__xludf.DUMMYFUNCTION("""COMPUTED_VALUE"""),101)</f>
        <v>101</v>
      </c>
      <c r="N300" s="1">
        <f ca="1">IFERROR(__xludf.DUMMYFUNCTION("""COMPUTED_VALUE"""),-3.2)</f>
        <v>-3.2</v>
      </c>
      <c r="O300" s="1">
        <f ca="1">IFERROR(__xludf.DUMMYFUNCTION("""COMPUTED_VALUE"""),236)</f>
        <v>236</v>
      </c>
      <c r="P300" s="1">
        <f ca="1">IFERROR(__xludf.DUMMYFUNCTION("""COMPUTED_VALUE"""),103.2)</f>
        <v>103.2</v>
      </c>
      <c r="Q300" s="1">
        <f ca="1">IFERROR(__xludf.DUMMYFUNCTION("""COMPUTED_VALUE"""),237)</f>
        <v>237</v>
      </c>
      <c r="R300" s="1">
        <f ca="1">IFERROR(__xludf.DUMMYFUNCTION("""COMPUTED_VALUE"""),106.4)</f>
        <v>106.4</v>
      </c>
      <c r="S300" s="1">
        <f ca="1">IFERROR(__xludf.DUMMYFUNCTION("""COMPUTED_VALUE"""),218)</f>
        <v>218</v>
      </c>
      <c r="T300" s="1" t="str">
        <f ca="1">IFERROR(__xludf.DUMMYFUNCTION("""COMPUTED_VALUE"""),"+2.32")</f>
        <v>+2.32</v>
      </c>
      <c r="U300" s="1">
        <f ca="1">IFERROR(__xludf.DUMMYFUNCTION("""COMPUTED_VALUE"""),89)</f>
        <v>89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IFERROR(__xludf.DUMMYFUNCTION("""COMPUTED_VALUE"""),"Sacramento St.")</f>
        <v>Sacramento St.</v>
      </c>
      <c r="C301" s="1" t="str">
        <f ca="1">IFERROR(__xludf.DUMMYFUNCTION("""COMPUTED_VALUE"""),"BSky")</f>
        <v>BSky</v>
      </c>
      <c r="D301" s="2">
        <f ca="1">IFERROR(__xludf.DUMMYFUNCTION("""COMPUTED_VALUE"""),44767)</f>
        <v>44767</v>
      </c>
      <c r="E301" s="1">
        <f ca="1">IFERROR(__xludf.DUMMYFUNCTION("""COMPUTED_VALUE"""),-10.77)</f>
        <v>-10.77</v>
      </c>
      <c r="F301" s="1">
        <f ca="1">IFERROR(__xludf.DUMMYFUNCTION("""COMPUTED_VALUE"""),99.8)</f>
        <v>99.8</v>
      </c>
      <c r="G301" s="1">
        <f ca="1">IFERROR(__xludf.DUMMYFUNCTION("""COMPUTED_VALUE"""),260)</f>
        <v>260</v>
      </c>
      <c r="H301" s="1">
        <f ca="1">IFERROR(__xludf.DUMMYFUNCTION("""COMPUTED_VALUE"""),110.6)</f>
        <v>110.6</v>
      </c>
      <c r="I301" s="1">
        <f ca="1">IFERROR(__xludf.DUMMYFUNCTION("""COMPUTED_VALUE"""),286)</f>
        <v>286</v>
      </c>
      <c r="J301" s="1">
        <f ca="1">IFERROR(__xludf.DUMMYFUNCTION("""COMPUTED_VALUE"""),65.6)</f>
        <v>65.599999999999994</v>
      </c>
      <c r="K301" s="1">
        <f ca="1">IFERROR(__xludf.DUMMYFUNCTION("""COMPUTED_VALUE"""),304)</f>
        <v>304</v>
      </c>
      <c r="L301" s="1">
        <f ca="1">IFERROR(__xludf.DUMMYFUNCTION("""COMPUTED_VALUE"""),-0.067)</f>
        <v>-6.7000000000000004E-2</v>
      </c>
      <c r="M301" s="1">
        <f ca="1">IFERROR(__xludf.DUMMYFUNCTION("""COMPUTED_VALUE"""),321)</f>
        <v>321</v>
      </c>
      <c r="N301" s="1" t="str">
        <f ca="1">IFERROR(__xludf.DUMMYFUNCTION("""COMPUTED_VALUE"""),"+0.05")</f>
        <v>+0.05</v>
      </c>
      <c r="O301" s="1">
        <f ca="1">IFERROR(__xludf.DUMMYFUNCTION("""COMPUTED_VALUE"""),139)</f>
        <v>139</v>
      </c>
      <c r="P301" s="1">
        <f ca="1">IFERROR(__xludf.DUMMYFUNCTION("""COMPUTED_VALUE"""),105.5)</f>
        <v>105.5</v>
      </c>
      <c r="Q301" s="1">
        <f ca="1">IFERROR(__xludf.DUMMYFUNCTION("""COMPUTED_VALUE"""),122)</f>
        <v>122</v>
      </c>
      <c r="R301" s="1">
        <f ca="1">IFERROR(__xludf.DUMMYFUNCTION("""COMPUTED_VALUE"""),105.5)</f>
        <v>105.5</v>
      </c>
      <c r="S301" s="1">
        <f ca="1">IFERROR(__xludf.DUMMYFUNCTION("""COMPUTED_VALUE"""),163)</f>
        <v>163</v>
      </c>
      <c r="T301" s="1" t="str">
        <f ca="1">IFERROR(__xludf.DUMMYFUNCTION("""COMPUTED_VALUE"""),"+3.32")</f>
        <v>+3.32</v>
      </c>
      <c r="U301" s="1">
        <f ca="1">IFERROR(__xludf.DUMMYFUNCTION("""COMPUTED_VALUE"""),75)</f>
        <v>75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IFERROR(__xludf.DUMMYFUNCTION("""COMPUTED_VALUE"""),"Eastern Kentucky")</f>
        <v>Eastern Kentucky</v>
      </c>
      <c r="C302" s="1" t="str">
        <f ca="1">IFERROR(__xludf.DUMMYFUNCTION("""COMPUTED_VALUE"""),"OVC")</f>
        <v>OVC</v>
      </c>
      <c r="D302" s="2">
        <f ca="1">IFERROR(__xludf.DUMMYFUNCTION("""COMPUTED_VALUE"""),44885)</f>
        <v>44885</v>
      </c>
      <c r="E302" s="1">
        <f ca="1">IFERROR(__xludf.DUMMYFUNCTION("""COMPUTED_VALUE"""),-10.96)</f>
        <v>-10.96</v>
      </c>
      <c r="F302" s="1">
        <f ca="1">IFERROR(__xludf.DUMMYFUNCTION("""COMPUTED_VALUE"""),101.7)</f>
        <v>101.7</v>
      </c>
      <c r="G302" s="1">
        <f ca="1">IFERROR(__xludf.DUMMYFUNCTION("""COMPUTED_VALUE"""),237)</f>
        <v>237</v>
      </c>
      <c r="H302" s="1">
        <f ca="1">IFERROR(__xludf.DUMMYFUNCTION("""COMPUTED_VALUE"""),112.6)</f>
        <v>112.6</v>
      </c>
      <c r="I302" s="1">
        <f ca="1">IFERROR(__xludf.DUMMYFUNCTION("""COMPUTED_VALUE"""),316)</f>
        <v>316</v>
      </c>
      <c r="J302" s="1">
        <f ca="1">IFERROR(__xludf.DUMMYFUNCTION("""COMPUTED_VALUE"""),68.6)</f>
        <v>68.599999999999994</v>
      </c>
      <c r="K302" s="1">
        <f ca="1">IFERROR(__xludf.DUMMYFUNCTION("""COMPUTED_VALUE"""),161)</f>
        <v>161</v>
      </c>
      <c r="L302" s="1" t="str">
        <f ca="1">IFERROR(__xludf.DUMMYFUNCTION("""COMPUTED_VALUE"""),"+.017")</f>
        <v>+.017</v>
      </c>
      <c r="M302" s="1">
        <f ca="1">IFERROR(__xludf.DUMMYFUNCTION("""COMPUTED_VALUE"""),129)</f>
        <v>129</v>
      </c>
      <c r="N302" s="1">
        <f ca="1">IFERROR(__xludf.DUMMYFUNCTION("""COMPUTED_VALUE"""),-2.5)</f>
        <v>-2.5</v>
      </c>
      <c r="O302" s="1">
        <f ca="1">IFERROR(__xludf.DUMMYFUNCTION("""COMPUTED_VALUE"""),206)</f>
        <v>206</v>
      </c>
      <c r="P302" s="1">
        <f ca="1">IFERROR(__xludf.DUMMYFUNCTION("""COMPUTED_VALUE"""),103.2)</f>
        <v>103.2</v>
      </c>
      <c r="Q302" s="1">
        <f ca="1">IFERROR(__xludf.DUMMYFUNCTION("""COMPUTED_VALUE"""),236)</f>
        <v>236</v>
      </c>
      <c r="R302" s="1">
        <f ca="1">IFERROR(__xludf.DUMMYFUNCTION("""COMPUTED_VALUE"""),105.7)</f>
        <v>105.7</v>
      </c>
      <c r="S302" s="1">
        <f ca="1">IFERROR(__xludf.DUMMYFUNCTION("""COMPUTED_VALUE"""),177)</f>
        <v>177</v>
      </c>
      <c r="T302" s="1" t="str">
        <f ca="1">IFERROR(__xludf.DUMMYFUNCTION("""COMPUTED_VALUE"""),"+1.19")</f>
        <v>+1.19</v>
      </c>
      <c r="U302" s="1">
        <f ca="1">IFERROR(__xludf.DUMMYFUNCTION("""COMPUTED_VALUE"""),126)</f>
        <v>126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IFERROR(__xludf.DUMMYFUNCTION("""COMPUTED_VALUE"""),"UMass Lowell")</f>
        <v>UMass Lowell</v>
      </c>
      <c r="C303" s="1" t="str">
        <f ca="1">IFERROR(__xludf.DUMMYFUNCTION("""COMPUTED_VALUE"""),"AE")</f>
        <v>AE</v>
      </c>
      <c r="D303" s="2">
        <f ca="1">IFERROR(__xludf.DUMMYFUNCTION("""COMPUTED_VALUE"""),44913)</f>
        <v>44913</v>
      </c>
      <c r="E303" s="1">
        <f ca="1">IFERROR(__xludf.DUMMYFUNCTION("""COMPUTED_VALUE"""),-11)</f>
        <v>-11</v>
      </c>
      <c r="F303" s="1">
        <f ca="1">IFERROR(__xludf.DUMMYFUNCTION("""COMPUTED_VALUE"""),103.6)</f>
        <v>103.6</v>
      </c>
      <c r="G303" s="1">
        <f ca="1">IFERROR(__xludf.DUMMYFUNCTION("""COMPUTED_VALUE"""),194)</f>
        <v>194</v>
      </c>
      <c r="H303" s="1">
        <f ca="1">IFERROR(__xludf.DUMMYFUNCTION("""COMPUTED_VALUE"""),114.6)</f>
        <v>114.6</v>
      </c>
      <c r="I303" s="1">
        <f ca="1">IFERROR(__xludf.DUMMYFUNCTION("""COMPUTED_VALUE"""),329)</f>
        <v>329</v>
      </c>
      <c r="J303" s="1">
        <f ca="1">IFERROR(__xludf.DUMMYFUNCTION("""COMPUTED_VALUE"""),71.6)</f>
        <v>71.599999999999994</v>
      </c>
      <c r="K303" s="1">
        <f ca="1">IFERROR(__xludf.DUMMYFUNCTION("""COMPUTED_VALUE"""),36)</f>
        <v>36</v>
      </c>
      <c r="L303" s="1" t="str">
        <f ca="1">IFERROR(__xludf.DUMMYFUNCTION("""COMPUTED_VALUE"""),"+.002")</f>
        <v>+.002</v>
      </c>
      <c r="M303" s="1">
        <f ca="1">IFERROR(__xludf.DUMMYFUNCTION("""COMPUTED_VALUE"""),171)</f>
        <v>171</v>
      </c>
      <c r="N303" s="1">
        <f ca="1">IFERROR(__xludf.DUMMYFUNCTION("""COMPUTED_VALUE"""),-6.84)</f>
        <v>-6.84</v>
      </c>
      <c r="O303" s="1">
        <f ca="1">IFERROR(__xludf.DUMMYFUNCTION("""COMPUTED_VALUE"""),314)</f>
        <v>314</v>
      </c>
      <c r="P303" s="1">
        <f ca="1">IFERROR(__xludf.DUMMYFUNCTION("""COMPUTED_VALUE"""),100.8)</f>
        <v>100.8</v>
      </c>
      <c r="Q303" s="1">
        <f ca="1">IFERROR(__xludf.DUMMYFUNCTION("""COMPUTED_VALUE"""),326)</f>
        <v>326</v>
      </c>
      <c r="R303" s="1">
        <f ca="1">IFERROR(__xludf.DUMMYFUNCTION("""COMPUTED_VALUE"""),107.6)</f>
        <v>107.6</v>
      </c>
      <c r="S303" s="1">
        <f ca="1">IFERROR(__xludf.DUMMYFUNCTION("""COMPUTED_VALUE"""),281)</f>
        <v>281</v>
      </c>
      <c r="T303" s="1">
        <f ca="1">IFERROR(__xludf.DUMMYFUNCTION("""COMPUTED_VALUE"""),-9.71)</f>
        <v>-9.7100000000000009</v>
      </c>
      <c r="U303" s="1">
        <f ca="1">IFERROR(__xludf.DUMMYFUNCTION("""COMPUTED_VALUE"""),343)</f>
        <v>343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IFERROR(__xludf.DUMMYFUNCTION("""COMPUTED_VALUE"""),"Bethune Cookman")</f>
        <v>Bethune Cookman</v>
      </c>
      <c r="C304" s="1" t="str">
        <f ca="1">IFERROR(__xludf.DUMMYFUNCTION("""COMPUTED_VALUE"""),"MEAC")</f>
        <v>MEAC</v>
      </c>
      <c r="D304" s="1" t="str">
        <f ca="1">IFERROR(__xludf.DUMMYFUNCTION("""COMPUTED_VALUE"""),"18-14")</f>
        <v>18-14</v>
      </c>
      <c r="E304" s="1">
        <f ca="1">IFERROR(__xludf.DUMMYFUNCTION("""COMPUTED_VALUE"""),-11.05)</f>
        <v>-11.05</v>
      </c>
      <c r="F304" s="1">
        <f ca="1">IFERROR(__xludf.DUMMYFUNCTION("""COMPUTED_VALUE"""),99.5)</f>
        <v>99.5</v>
      </c>
      <c r="G304" s="1">
        <f ca="1">IFERROR(__xludf.DUMMYFUNCTION("""COMPUTED_VALUE"""),262)</f>
        <v>262</v>
      </c>
      <c r="H304" s="1">
        <f ca="1">IFERROR(__xludf.DUMMYFUNCTION("""COMPUTED_VALUE"""),110.6)</f>
        <v>110.6</v>
      </c>
      <c r="I304" s="1">
        <f ca="1">IFERROR(__xludf.DUMMYFUNCTION("""COMPUTED_VALUE"""),288)</f>
        <v>288</v>
      </c>
      <c r="J304" s="1">
        <f ca="1">IFERROR(__xludf.DUMMYFUNCTION("""COMPUTED_VALUE"""),76)</f>
        <v>76</v>
      </c>
      <c r="K304" s="1">
        <f ca="1">IFERROR(__xludf.DUMMYFUNCTION("""COMPUTED_VALUE"""),3)</f>
        <v>3</v>
      </c>
      <c r="L304" s="1" t="str">
        <f ca="1">IFERROR(__xludf.DUMMYFUNCTION("""COMPUTED_VALUE"""),"+.025")</f>
        <v>+.025</v>
      </c>
      <c r="M304" s="1">
        <f ca="1">IFERROR(__xludf.DUMMYFUNCTION("""COMPUTED_VALUE"""),112)</f>
        <v>112</v>
      </c>
      <c r="N304" s="1">
        <f ca="1">IFERROR(__xludf.DUMMYFUNCTION("""COMPUTED_VALUE"""),-13.38)</f>
        <v>-13.38</v>
      </c>
      <c r="O304" s="1">
        <f ca="1">IFERROR(__xludf.DUMMYFUNCTION("""COMPUTED_VALUE"""),351)</f>
        <v>351</v>
      </c>
      <c r="P304" s="1">
        <f ca="1">IFERROR(__xludf.DUMMYFUNCTION("""COMPUTED_VALUE"""),97.2)</f>
        <v>97.2</v>
      </c>
      <c r="Q304" s="1">
        <f ca="1">IFERROR(__xludf.DUMMYFUNCTION("""COMPUTED_VALUE"""),351)</f>
        <v>351</v>
      </c>
      <c r="R304" s="1">
        <f ca="1">IFERROR(__xludf.DUMMYFUNCTION("""COMPUTED_VALUE"""),110.6)</f>
        <v>110.6</v>
      </c>
      <c r="S304" s="1">
        <f ca="1">IFERROR(__xludf.DUMMYFUNCTION("""COMPUTED_VALUE"""),350)</f>
        <v>350</v>
      </c>
      <c r="T304" s="1">
        <f ca="1">IFERROR(__xludf.DUMMYFUNCTION("""COMPUTED_VALUE"""),-5.09)</f>
        <v>-5.09</v>
      </c>
      <c r="U304" s="1">
        <f ca="1">IFERROR(__xludf.DUMMYFUNCTION("""COMPUTED_VALUE"""),304)</f>
        <v>304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IFERROR(__xludf.DUMMYFUNCTION("""COMPUTED_VALUE"""),"Rice")</f>
        <v>Rice</v>
      </c>
      <c r="C305" s="1" t="str">
        <f ca="1">IFERROR(__xludf.DUMMYFUNCTION("""COMPUTED_VALUE"""),"CUSA")</f>
        <v>CUSA</v>
      </c>
      <c r="D305" s="2">
        <f ca="1">IFERROR(__xludf.DUMMYFUNCTION("""COMPUTED_VALUE"""),44766)</f>
        <v>44766</v>
      </c>
      <c r="E305" s="1">
        <f ca="1">IFERROR(__xludf.DUMMYFUNCTION("""COMPUTED_VALUE"""),-11.09)</f>
        <v>-11.09</v>
      </c>
      <c r="F305" s="1">
        <f ca="1">IFERROR(__xludf.DUMMYFUNCTION("""COMPUTED_VALUE"""),99)</f>
        <v>99</v>
      </c>
      <c r="G305" s="1">
        <f ca="1">IFERROR(__xludf.DUMMYFUNCTION("""COMPUTED_VALUE"""),276)</f>
        <v>276</v>
      </c>
      <c r="H305" s="1">
        <f ca="1">IFERROR(__xludf.DUMMYFUNCTION("""COMPUTED_VALUE"""),110.1)</f>
        <v>110.1</v>
      </c>
      <c r="I305" s="1">
        <f ca="1">IFERROR(__xludf.DUMMYFUNCTION("""COMPUTED_VALUE"""),280)</f>
        <v>280</v>
      </c>
      <c r="J305" s="1">
        <f ca="1">IFERROR(__xludf.DUMMYFUNCTION("""COMPUTED_VALUE"""),67.5)</f>
        <v>67.5</v>
      </c>
      <c r="K305" s="1">
        <f ca="1">IFERROR(__xludf.DUMMYFUNCTION("""COMPUTED_VALUE"""),212)</f>
        <v>212</v>
      </c>
      <c r="L305" s="1">
        <f ca="1">IFERROR(__xludf.DUMMYFUNCTION("""COMPUTED_VALUE"""),-0.041)</f>
        <v>-4.1000000000000002E-2</v>
      </c>
      <c r="M305" s="1">
        <f ca="1">IFERROR(__xludf.DUMMYFUNCTION("""COMPUTED_VALUE"""),281)</f>
        <v>281</v>
      </c>
      <c r="N305" s="1" t="str">
        <f ca="1">IFERROR(__xludf.DUMMYFUNCTION("""COMPUTED_VALUE"""),"+0.21")</f>
        <v>+0.21</v>
      </c>
      <c r="O305" s="1">
        <f ca="1">IFERROR(__xludf.DUMMYFUNCTION("""COMPUTED_VALUE"""),134)</f>
        <v>134</v>
      </c>
      <c r="P305" s="1">
        <f ca="1">IFERROR(__xludf.DUMMYFUNCTION("""COMPUTED_VALUE"""),104.2)</f>
        <v>104.2</v>
      </c>
      <c r="Q305" s="1">
        <f ca="1">IFERROR(__xludf.DUMMYFUNCTION("""COMPUTED_VALUE"""),183)</f>
        <v>183</v>
      </c>
      <c r="R305" s="1">
        <f ca="1">IFERROR(__xludf.DUMMYFUNCTION("""COMPUTED_VALUE"""),104)</f>
        <v>104</v>
      </c>
      <c r="S305" s="1">
        <f ca="1">IFERROR(__xludf.DUMMYFUNCTION("""COMPUTED_VALUE"""),104)</f>
        <v>104</v>
      </c>
      <c r="T305" s="1" t="str">
        <f ca="1">IFERROR(__xludf.DUMMYFUNCTION("""COMPUTED_VALUE"""),"+1.04")</f>
        <v>+1.04</v>
      </c>
      <c r="U305" s="1">
        <f ca="1">IFERROR(__xludf.DUMMYFUNCTION("""COMPUTED_VALUE"""),133)</f>
        <v>133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IFERROR(__xludf.DUMMYFUNCTION("""COMPUTED_VALUE"""),"Holy Cross")</f>
        <v>Holy Cross</v>
      </c>
      <c r="C306" s="1" t="str">
        <f ca="1">IFERROR(__xludf.DUMMYFUNCTION("""COMPUTED_VALUE"""),"Pat")</f>
        <v>Pat</v>
      </c>
      <c r="D306" s="2">
        <f ca="1">IFERROR(__xludf.DUMMYFUNCTION("""COMPUTED_VALUE"""),44914)</f>
        <v>44914</v>
      </c>
      <c r="E306" s="1">
        <f ca="1">IFERROR(__xludf.DUMMYFUNCTION("""COMPUTED_VALUE"""),-11.36)</f>
        <v>-11.36</v>
      </c>
      <c r="F306" s="1">
        <f ca="1">IFERROR(__xludf.DUMMYFUNCTION("""COMPUTED_VALUE"""),97.5)</f>
        <v>97.5</v>
      </c>
      <c r="G306" s="1">
        <f ca="1">IFERROR(__xludf.DUMMYFUNCTION("""COMPUTED_VALUE"""),306)</f>
        <v>306</v>
      </c>
      <c r="H306" s="1">
        <f ca="1">IFERROR(__xludf.DUMMYFUNCTION("""COMPUTED_VALUE"""),108.9)</f>
        <v>108.9</v>
      </c>
      <c r="I306" s="1">
        <f ca="1">IFERROR(__xludf.DUMMYFUNCTION("""COMPUTED_VALUE"""),256)</f>
        <v>256</v>
      </c>
      <c r="J306" s="1">
        <f ca="1">IFERROR(__xludf.DUMMYFUNCTION("""COMPUTED_VALUE"""),62.9)</f>
        <v>62.9</v>
      </c>
      <c r="K306" s="1">
        <f ca="1">IFERROR(__xludf.DUMMYFUNCTION("""COMPUTED_VALUE"""),346)</f>
        <v>346</v>
      </c>
      <c r="L306" s="1" t="str">
        <f ca="1">IFERROR(__xludf.DUMMYFUNCTION("""COMPUTED_VALUE"""),"+.026")</f>
        <v>+.026</v>
      </c>
      <c r="M306" s="1">
        <f ca="1">IFERROR(__xludf.DUMMYFUNCTION("""COMPUTED_VALUE"""),108)</f>
        <v>108</v>
      </c>
      <c r="N306" s="1">
        <f ca="1">IFERROR(__xludf.DUMMYFUNCTION("""COMPUTED_VALUE"""),-6.02)</f>
        <v>-6.02</v>
      </c>
      <c r="O306" s="1">
        <f ca="1">IFERROR(__xludf.DUMMYFUNCTION("""COMPUTED_VALUE"""),297)</f>
        <v>297</v>
      </c>
      <c r="P306" s="1">
        <f ca="1">IFERROR(__xludf.DUMMYFUNCTION("""COMPUTED_VALUE"""),101.8)</f>
        <v>101.8</v>
      </c>
      <c r="Q306" s="1">
        <f ca="1">IFERROR(__xludf.DUMMYFUNCTION("""COMPUTED_VALUE"""),296)</f>
        <v>296</v>
      </c>
      <c r="R306" s="1">
        <f ca="1">IFERROR(__xludf.DUMMYFUNCTION("""COMPUTED_VALUE"""),107.8)</f>
        <v>107.8</v>
      </c>
      <c r="S306" s="1">
        <f ca="1">IFERROR(__xludf.DUMMYFUNCTION("""COMPUTED_VALUE"""),294)</f>
        <v>294</v>
      </c>
      <c r="T306" s="1">
        <f ca="1">IFERROR(__xludf.DUMMYFUNCTION("""COMPUTED_VALUE"""),-3.43)</f>
        <v>-3.43</v>
      </c>
      <c r="U306" s="1">
        <f ca="1">IFERROR(__xludf.DUMMYFUNCTION("""COMPUTED_VALUE"""),269)</f>
        <v>269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IFERROR(__xludf.DUMMYFUNCTION("""COMPUTED_VALUE"""),"McNeese St.")</f>
        <v>McNeese St.</v>
      </c>
      <c r="C307" s="1" t="str">
        <f ca="1">IFERROR(__xludf.DUMMYFUNCTION("""COMPUTED_VALUE"""),"Slnd")</f>
        <v>Slnd</v>
      </c>
      <c r="D307" s="2">
        <f ca="1">IFERROR(__xludf.DUMMYFUNCTION("""COMPUTED_VALUE"""),44912)</f>
        <v>44912</v>
      </c>
      <c r="E307" s="1">
        <f ca="1">IFERROR(__xludf.DUMMYFUNCTION("""COMPUTED_VALUE"""),-11.47)</f>
        <v>-11.47</v>
      </c>
      <c r="F307" s="1">
        <f ca="1">IFERROR(__xludf.DUMMYFUNCTION("""COMPUTED_VALUE"""),100.6)</f>
        <v>100.6</v>
      </c>
      <c r="G307" s="1">
        <f ca="1">IFERROR(__xludf.DUMMYFUNCTION("""COMPUTED_VALUE"""),247)</f>
        <v>247</v>
      </c>
      <c r="H307" s="1">
        <f ca="1">IFERROR(__xludf.DUMMYFUNCTION("""COMPUTED_VALUE"""),112.1)</f>
        <v>112.1</v>
      </c>
      <c r="I307" s="1">
        <f ca="1">IFERROR(__xludf.DUMMYFUNCTION("""COMPUTED_VALUE"""),311)</f>
        <v>311</v>
      </c>
      <c r="J307" s="1">
        <f ca="1">IFERROR(__xludf.DUMMYFUNCTION("""COMPUTED_VALUE"""),70.4)</f>
        <v>70.400000000000006</v>
      </c>
      <c r="K307" s="1">
        <f ca="1">IFERROR(__xludf.DUMMYFUNCTION("""COMPUTED_VALUE"""),68)</f>
        <v>68</v>
      </c>
      <c r="L307" s="1">
        <f ca="1">IFERROR(__xludf.DUMMYFUNCTION("""COMPUTED_VALUE"""),-0.025)</f>
        <v>-2.5000000000000001E-2</v>
      </c>
      <c r="M307" s="1">
        <f ca="1">IFERROR(__xludf.DUMMYFUNCTION("""COMPUTED_VALUE"""),247)</f>
        <v>247</v>
      </c>
      <c r="N307" s="1">
        <f ca="1">IFERROR(__xludf.DUMMYFUNCTION("""COMPUTED_VALUE"""),-5.05)</f>
        <v>-5.05</v>
      </c>
      <c r="O307" s="1">
        <f ca="1">IFERROR(__xludf.DUMMYFUNCTION("""COMPUTED_VALUE"""),284)</f>
        <v>284</v>
      </c>
      <c r="P307" s="1">
        <f ca="1">IFERROR(__xludf.DUMMYFUNCTION("""COMPUTED_VALUE"""),101.5)</f>
        <v>101.5</v>
      </c>
      <c r="Q307" s="1">
        <f ca="1">IFERROR(__xludf.DUMMYFUNCTION("""COMPUTED_VALUE"""),306)</f>
        <v>306</v>
      </c>
      <c r="R307" s="1">
        <f ca="1">IFERROR(__xludf.DUMMYFUNCTION("""COMPUTED_VALUE"""),106.5)</f>
        <v>106.5</v>
      </c>
      <c r="S307" s="1">
        <f ca="1">IFERROR(__xludf.DUMMYFUNCTION("""COMPUTED_VALUE"""),229)</f>
        <v>229</v>
      </c>
      <c r="T307" s="1" t="str">
        <f ca="1">IFERROR(__xludf.DUMMYFUNCTION("""COMPUTED_VALUE"""),"+7.74")</f>
        <v>+7.74</v>
      </c>
      <c r="U307" s="1">
        <f ca="1">IFERROR(__xludf.DUMMYFUNCTION("""COMPUTED_VALUE"""),14)</f>
        <v>14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IFERROR(__xludf.DUMMYFUNCTION("""COMPUTED_VALUE"""),"Fordham")</f>
        <v>Fordham</v>
      </c>
      <c r="C308" s="1" t="str">
        <f ca="1">IFERROR(__xludf.DUMMYFUNCTION("""COMPUTED_VALUE"""),"A10")</f>
        <v>A10</v>
      </c>
      <c r="D308" s="2">
        <f ca="1">IFERROR(__xludf.DUMMYFUNCTION("""COMPUTED_VALUE"""),44826)</f>
        <v>44826</v>
      </c>
      <c r="E308" s="1">
        <f ca="1">IFERROR(__xludf.DUMMYFUNCTION("""COMPUTED_VALUE"""),-11.63)</f>
        <v>-11.63</v>
      </c>
      <c r="F308" s="1">
        <f ca="1">IFERROR(__xludf.DUMMYFUNCTION("""COMPUTED_VALUE"""),94.5)</f>
        <v>94.5</v>
      </c>
      <c r="G308" s="1">
        <f ca="1">IFERROR(__xludf.DUMMYFUNCTION("""COMPUTED_VALUE"""),334)</f>
        <v>334</v>
      </c>
      <c r="H308" s="1">
        <f ca="1">IFERROR(__xludf.DUMMYFUNCTION("""COMPUTED_VALUE"""),106.1)</f>
        <v>106.1</v>
      </c>
      <c r="I308" s="1">
        <f ca="1">IFERROR(__xludf.DUMMYFUNCTION("""COMPUTED_VALUE"""),191)</f>
        <v>191</v>
      </c>
      <c r="J308" s="1">
        <f ca="1">IFERROR(__xludf.DUMMYFUNCTION("""COMPUTED_VALUE"""),66)</f>
        <v>66</v>
      </c>
      <c r="K308" s="1">
        <f ca="1">IFERROR(__xludf.DUMMYFUNCTION("""COMPUTED_VALUE"""),283)</f>
        <v>283</v>
      </c>
      <c r="L308" s="1" t="str">
        <f ca="1">IFERROR(__xludf.DUMMYFUNCTION("""COMPUTED_VALUE"""),"+.009")</f>
        <v>+.009</v>
      </c>
      <c r="M308" s="1">
        <f ca="1">IFERROR(__xludf.DUMMYFUNCTION("""COMPUTED_VALUE"""),151)</f>
        <v>151</v>
      </c>
      <c r="N308" s="1">
        <f ca="1">IFERROR(__xludf.DUMMYFUNCTION("""COMPUTED_VALUE"""),-0.38)</f>
        <v>-0.38</v>
      </c>
      <c r="O308" s="1">
        <f ca="1">IFERROR(__xludf.DUMMYFUNCTION("""COMPUTED_VALUE"""),147)</f>
        <v>147</v>
      </c>
      <c r="P308" s="1">
        <f ca="1">IFERROR(__xludf.DUMMYFUNCTION("""COMPUTED_VALUE"""),104.5)</f>
        <v>104.5</v>
      </c>
      <c r="Q308" s="1">
        <f ca="1">IFERROR(__xludf.DUMMYFUNCTION("""COMPUTED_VALUE"""),171)</f>
        <v>171</v>
      </c>
      <c r="R308" s="1">
        <f ca="1">IFERROR(__xludf.DUMMYFUNCTION("""COMPUTED_VALUE"""),104.9)</f>
        <v>104.9</v>
      </c>
      <c r="S308" s="1">
        <f ca="1">IFERROR(__xludf.DUMMYFUNCTION("""COMPUTED_VALUE"""),134)</f>
        <v>134</v>
      </c>
      <c r="T308" s="1">
        <f ca="1">IFERROR(__xludf.DUMMYFUNCTION("""COMPUTED_VALUE"""),-5.39)</f>
        <v>-5.39</v>
      </c>
      <c r="U308" s="1">
        <f ca="1">IFERROR(__xludf.DUMMYFUNCTION("""COMPUTED_VALUE"""),313)</f>
        <v>313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IFERROR(__xludf.DUMMYFUNCTION("""COMPUTED_VALUE"""),"Western Illinois")</f>
        <v>Western Illinois</v>
      </c>
      <c r="C309" s="1" t="str">
        <f ca="1">IFERROR(__xludf.DUMMYFUNCTION("""COMPUTED_VALUE"""),"Sum")</f>
        <v>Sum</v>
      </c>
      <c r="D309" s="2">
        <f ca="1">IFERROR(__xludf.DUMMYFUNCTION("""COMPUTED_VALUE"""),44911)</f>
        <v>44911</v>
      </c>
      <c r="E309" s="1">
        <f ca="1">IFERROR(__xludf.DUMMYFUNCTION("""COMPUTED_VALUE"""),-11.65)</f>
        <v>-11.65</v>
      </c>
      <c r="F309" s="1">
        <f ca="1">IFERROR(__xludf.DUMMYFUNCTION("""COMPUTED_VALUE"""),96.1)</f>
        <v>96.1</v>
      </c>
      <c r="G309" s="1">
        <f ca="1">IFERROR(__xludf.DUMMYFUNCTION("""COMPUTED_VALUE"""),319)</f>
        <v>319</v>
      </c>
      <c r="H309" s="1">
        <f ca="1">IFERROR(__xludf.DUMMYFUNCTION("""COMPUTED_VALUE"""),107.7)</f>
        <v>107.7</v>
      </c>
      <c r="I309" s="1">
        <f ca="1">IFERROR(__xludf.DUMMYFUNCTION("""COMPUTED_VALUE"""),228)</f>
        <v>228</v>
      </c>
      <c r="J309" s="1">
        <f ca="1">IFERROR(__xludf.DUMMYFUNCTION("""COMPUTED_VALUE"""),68.1)</f>
        <v>68.099999999999994</v>
      </c>
      <c r="K309" s="1">
        <f ca="1">IFERROR(__xludf.DUMMYFUNCTION("""COMPUTED_VALUE"""),183)</f>
        <v>183</v>
      </c>
      <c r="L309" s="1" t="str">
        <f ca="1">IFERROR(__xludf.DUMMYFUNCTION("""COMPUTED_VALUE"""),"+.006")</f>
        <v>+.006</v>
      </c>
      <c r="M309" s="1">
        <f ca="1">IFERROR(__xludf.DUMMYFUNCTION("""COMPUTED_VALUE"""),159)</f>
        <v>159</v>
      </c>
      <c r="N309" s="1">
        <f ca="1">IFERROR(__xludf.DUMMYFUNCTION("""COMPUTED_VALUE"""),-2.21)</f>
        <v>-2.21</v>
      </c>
      <c r="O309" s="1">
        <f ca="1">IFERROR(__xludf.DUMMYFUNCTION("""COMPUTED_VALUE"""),199)</f>
        <v>199</v>
      </c>
      <c r="P309" s="1">
        <f ca="1">IFERROR(__xludf.DUMMYFUNCTION("""COMPUTED_VALUE"""),104.8)</f>
        <v>104.8</v>
      </c>
      <c r="Q309" s="1">
        <f ca="1">IFERROR(__xludf.DUMMYFUNCTION("""COMPUTED_VALUE"""),151)</f>
        <v>151</v>
      </c>
      <c r="R309" s="1">
        <f ca="1">IFERROR(__xludf.DUMMYFUNCTION("""COMPUTED_VALUE"""),107.1)</f>
        <v>107.1</v>
      </c>
      <c r="S309" s="1">
        <f ca="1">IFERROR(__xludf.DUMMYFUNCTION("""COMPUTED_VALUE"""),258)</f>
        <v>258</v>
      </c>
      <c r="T309" s="1">
        <f ca="1">IFERROR(__xludf.DUMMYFUNCTION("""COMPUTED_VALUE"""),-6.56)</f>
        <v>-6.56</v>
      </c>
      <c r="U309" s="1">
        <f ca="1">IFERROR(__xludf.DUMMYFUNCTION("""COMPUTED_VALUE"""),326)</f>
        <v>326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IFERROR(__xludf.DUMMYFUNCTION("""COMPUTED_VALUE"""),"Tennessee Martin")</f>
        <v>Tennessee Martin</v>
      </c>
      <c r="C310" s="1" t="str">
        <f ca="1">IFERROR(__xludf.DUMMYFUNCTION("""COMPUTED_VALUE"""),"OVC")</f>
        <v>OVC</v>
      </c>
      <c r="D310" s="2">
        <f ca="1">IFERROR(__xludf.DUMMYFUNCTION("""COMPUTED_VALUE"""),44855)</f>
        <v>44855</v>
      </c>
      <c r="E310" s="1">
        <f ca="1">IFERROR(__xludf.DUMMYFUNCTION("""COMPUTED_VALUE"""),-11.66)</f>
        <v>-11.66</v>
      </c>
      <c r="F310" s="1">
        <f ca="1">IFERROR(__xludf.DUMMYFUNCTION("""COMPUTED_VALUE"""),95.5)</f>
        <v>95.5</v>
      </c>
      <c r="G310" s="1">
        <f ca="1">IFERROR(__xludf.DUMMYFUNCTION("""COMPUTED_VALUE"""),327)</f>
        <v>327</v>
      </c>
      <c r="H310" s="1">
        <f ca="1">IFERROR(__xludf.DUMMYFUNCTION("""COMPUTED_VALUE"""),107.2)</f>
        <v>107.2</v>
      </c>
      <c r="I310" s="1">
        <f ca="1">IFERROR(__xludf.DUMMYFUNCTION("""COMPUTED_VALUE"""),214)</f>
        <v>214</v>
      </c>
      <c r="J310" s="1">
        <f ca="1">IFERROR(__xludf.DUMMYFUNCTION("""COMPUTED_VALUE"""),66.1)</f>
        <v>66.099999999999994</v>
      </c>
      <c r="K310" s="1">
        <f ca="1">IFERROR(__xludf.DUMMYFUNCTION("""COMPUTED_VALUE"""),275)</f>
        <v>275</v>
      </c>
      <c r="L310" s="1">
        <f ca="1">IFERROR(__xludf.DUMMYFUNCTION("""COMPUTED_VALUE"""),-0.019)</f>
        <v>-1.9E-2</v>
      </c>
      <c r="M310" s="1">
        <f ca="1">IFERROR(__xludf.DUMMYFUNCTION("""COMPUTED_VALUE"""),231)</f>
        <v>231</v>
      </c>
      <c r="N310" s="1">
        <f ca="1">IFERROR(__xludf.DUMMYFUNCTION("""COMPUTED_VALUE"""),-4.41)</f>
        <v>-4.41</v>
      </c>
      <c r="O310" s="1">
        <f ca="1">IFERROR(__xludf.DUMMYFUNCTION("""COMPUTED_VALUE"""),272)</f>
        <v>272</v>
      </c>
      <c r="P310" s="1">
        <f ca="1">IFERROR(__xludf.DUMMYFUNCTION("""COMPUTED_VALUE"""),103.2)</f>
        <v>103.2</v>
      </c>
      <c r="Q310" s="1">
        <f ca="1">IFERROR(__xludf.DUMMYFUNCTION("""COMPUTED_VALUE"""),234)</f>
        <v>234</v>
      </c>
      <c r="R310" s="1">
        <f ca="1">IFERROR(__xludf.DUMMYFUNCTION("""COMPUTED_VALUE"""),107.6)</f>
        <v>107.6</v>
      </c>
      <c r="S310" s="1">
        <f ca="1">IFERROR(__xludf.DUMMYFUNCTION("""COMPUTED_VALUE"""),288)</f>
        <v>288</v>
      </c>
      <c r="T310" s="1">
        <f ca="1">IFERROR(__xludf.DUMMYFUNCTION("""COMPUTED_VALUE"""),-2.8)</f>
        <v>-2.8</v>
      </c>
      <c r="U310" s="1">
        <f ca="1">IFERROR(__xludf.DUMMYFUNCTION("""COMPUTED_VALUE"""),245)</f>
        <v>245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IFERROR(__xludf.DUMMYFUNCTION("""COMPUTED_VALUE"""),"Grambling St.")</f>
        <v>Grambling St.</v>
      </c>
      <c r="C311" s="1" t="str">
        <f ca="1">IFERROR(__xludf.DUMMYFUNCTION("""COMPUTED_VALUE"""),"SWAC")</f>
        <v>SWAC</v>
      </c>
      <c r="D311" s="1" t="str">
        <f ca="1">IFERROR(__xludf.DUMMYFUNCTION("""COMPUTED_VALUE"""),"17-14")</f>
        <v>17-14</v>
      </c>
      <c r="E311" s="1">
        <f ca="1">IFERROR(__xludf.DUMMYFUNCTION("""COMPUTED_VALUE"""),-11.71)</f>
        <v>-11.71</v>
      </c>
      <c r="F311" s="1">
        <f ca="1">IFERROR(__xludf.DUMMYFUNCTION("""COMPUTED_VALUE"""),94.3)</f>
        <v>94.3</v>
      </c>
      <c r="G311" s="1">
        <f ca="1">IFERROR(__xludf.DUMMYFUNCTION("""COMPUTED_VALUE"""),336)</f>
        <v>336</v>
      </c>
      <c r="H311" s="1">
        <f ca="1">IFERROR(__xludf.DUMMYFUNCTION("""COMPUTED_VALUE"""),106)</f>
        <v>106</v>
      </c>
      <c r="I311" s="1">
        <f ca="1">IFERROR(__xludf.DUMMYFUNCTION("""COMPUTED_VALUE"""),190)</f>
        <v>190</v>
      </c>
      <c r="J311" s="1">
        <f ca="1">IFERROR(__xludf.DUMMYFUNCTION("""COMPUTED_VALUE"""),72.2)</f>
        <v>72.2</v>
      </c>
      <c r="K311" s="1">
        <f ca="1">IFERROR(__xludf.DUMMYFUNCTION("""COMPUTED_VALUE"""),25)</f>
        <v>25</v>
      </c>
      <c r="L311" s="1" t="str">
        <f ca="1">IFERROR(__xludf.DUMMYFUNCTION("""COMPUTED_VALUE"""),"+.102")</f>
        <v>+.102</v>
      </c>
      <c r="M311" s="1">
        <f ca="1">IFERROR(__xludf.DUMMYFUNCTION("""COMPUTED_VALUE"""),9)</f>
        <v>9</v>
      </c>
      <c r="N311" s="1">
        <f ca="1">IFERROR(__xludf.DUMMYFUNCTION("""COMPUTED_VALUE"""),-9.87)</f>
        <v>-9.8699999999999992</v>
      </c>
      <c r="O311" s="1">
        <f ca="1">IFERROR(__xludf.DUMMYFUNCTION("""COMPUTED_VALUE"""),343)</f>
        <v>343</v>
      </c>
      <c r="P311" s="1">
        <f ca="1">IFERROR(__xludf.DUMMYFUNCTION("""COMPUTED_VALUE"""),98.8)</f>
        <v>98.8</v>
      </c>
      <c r="Q311" s="1">
        <f ca="1">IFERROR(__xludf.DUMMYFUNCTION("""COMPUTED_VALUE"""),346)</f>
        <v>346</v>
      </c>
      <c r="R311" s="1">
        <f ca="1">IFERROR(__xludf.DUMMYFUNCTION("""COMPUTED_VALUE"""),108.7)</f>
        <v>108.7</v>
      </c>
      <c r="S311" s="1">
        <f ca="1">IFERROR(__xludf.DUMMYFUNCTION("""COMPUTED_VALUE"""),329)</f>
        <v>329</v>
      </c>
      <c r="T311" s="1" t="str">
        <f ca="1">IFERROR(__xludf.DUMMYFUNCTION("""COMPUTED_VALUE"""),"+3.07")</f>
        <v>+3.07</v>
      </c>
      <c r="U311" s="1">
        <f ca="1">IFERROR(__xludf.DUMMYFUNCTION("""COMPUTED_VALUE"""),79)</f>
        <v>79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IFERROR(__xludf.DUMMYFUNCTION("""COMPUTED_VALUE"""),"Little Rock")</f>
        <v>Little Rock</v>
      </c>
      <c r="C312" s="1" t="str">
        <f ca="1">IFERROR(__xludf.DUMMYFUNCTION("""COMPUTED_VALUE"""),"SB")</f>
        <v>SB</v>
      </c>
      <c r="D312" s="2">
        <f ca="1">IFERROR(__xludf.DUMMYFUNCTION("""COMPUTED_VALUE"""),44767)</f>
        <v>44767</v>
      </c>
      <c r="E312" s="1">
        <f ca="1">IFERROR(__xludf.DUMMYFUNCTION("""COMPUTED_VALUE"""),-11.91)</f>
        <v>-11.91</v>
      </c>
      <c r="F312" s="1">
        <f ca="1">IFERROR(__xludf.DUMMYFUNCTION("""COMPUTED_VALUE"""),93.8)</f>
        <v>93.8</v>
      </c>
      <c r="G312" s="1">
        <f ca="1">IFERROR(__xludf.DUMMYFUNCTION("""COMPUTED_VALUE"""),338)</f>
        <v>338</v>
      </c>
      <c r="H312" s="1">
        <f ca="1">IFERROR(__xludf.DUMMYFUNCTION("""COMPUTED_VALUE"""),105.7)</f>
        <v>105.7</v>
      </c>
      <c r="I312" s="1">
        <f ca="1">IFERROR(__xludf.DUMMYFUNCTION("""COMPUTED_VALUE"""),185)</f>
        <v>185</v>
      </c>
      <c r="J312" s="1">
        <f ca="1">IFERROR(__xludf.DUMMYFUNCTION("""COMPUTED_VALUE"""),65)</f>
        <v>65</v>
      </c>
      <c r="K312" s="1">
        <f ca="1">IFERROR(__xludf.DUMMYFUNCTION("""COMPUTED_VALUE"""),320)</f>
        <v>320</v>
      </c>
      <c r="L312" s="1">
        <f ca="1">IFERROR(__xludf.DUMMYFUNCTION("""COMPUTED_VALUE"""),-0.058)</f>
        <v>-5.8000000000000003E-2</v>
      </c>
      <c r="M312" s="1">
        <f ca="1">IFERROR(__xludf.DUMMYFUNCTION("""COMPUTED_VALUE"""),308)</f>
        <v>308</v>
      </c>
      <c r="N312" s="1">
        <f ca="1">IFERROR(__xludf.DUMMYFUNCTION("""COMPUTED_VALUE"""),-1.35)</f>
        <v>-1.35</v>
      </c>
      <c r="O312" s="1">
        <f ca="1">IFERROR(__xludf.DUMMYFUNCTION("""COMPUTED_VALUE"""),172)</f>
        <v>172</v>
      </c>
      <c r="P312" s="1">
        <f ca="1">IFERROR(__xludf.DUMMYFUNCTION("""COMPUTED_VALUE"""),104.1)</f>
        <v>104.1</v>
      </c>
      <c r="Q312" s="1">
        <f ca="1">IFERROR(__xludf.DUMMYFUNCTION("""COMPUTED_VALUE"""),190)</f>
        <v>190</v>
      </c>
      <c r="R312" s="1">
        <f ca="1">IFERROR(__xludf.DUMMYFUNCTION("""COMPUTED_VALUE"""),105.4)</f>
        <v>105.4</v>
      </c>
      <c r="S312" s="1">
        <f ca="1">IFERROR(__xludf.DUMMYFUNCTION("""COMPUTED_VALUE"""),159)</f>
        <v>159</v>
      </c>
      <c r="T312" s="1">
        <f ca="1">IFERROR(__xludf.DUMMYFUNCTION("""COMPUTED_VALUE"""),-0.37)</f>
        <v>-0.37</v>
      </c>
      <c r="U312" s="1">
        <f ca="1">IFERROR(__xludf.DUMMYFUNCTION("""COMPUTED_VALUE"""),166)</f>
        <v>166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IFERROR(__xludf.DUMMYFUNCTION("""COMPUTED_VALUE"""),"Binghamton")</f>
        <v>Binghamton</v>
      </c>
      <c r="C313" s="1" t="str">
        <f ca="1">IFERROR(__xludf.DUMMYFUNCTION("""COMPUTED_VALUE"""),"AE")</f>
        <v>AE</v>
      </c>
      <c r="D313" s="2">
        <f ca="1">IFERROR(__xludf.DUMMYFUNCTION("""COMPUTED_VALUE"""),44885)</f>
        <v>44885</v>
      </c>
      <c r="E313" s="1">
        <f ca="1">IFERROR(__xludf.DUMMYFUNCTION("""COMPUTED_VALUE"""),-11.93)</f>
        <v>-11.93</v>
      </c>
      <c r="F313" s="1">
        <f ca="1">IFERROR(__xludf.DUMMYFUNCTION("""COMPUTED_VALUE"""),97.4)</f>
        <v>97.4</v>
      </c>
      <c r="G313" s="1">
        <f ca="1">IFERROR(__xludf.DUMMYFUNCTION("""COMPUTED_VALUE"""),307)</f>
        <v>307</v>
      </c>
      <c r="H313" s="1">
        <f ca="1">IFERROR(__xludf.DUMMYFUNCTION("""COMPUTED_VALUE"""),109.4)</f>
        <v>109.4</v>
      </c>
      <c r="I313" s="1">
        <f ca="1">IFERROR(__xludf.DUMMYFUNCTION("""COMPUTED_VALUE"""),262)</f>
        <v>262</v>
      </c>
      <c r="J313" s="1">
        <f ca="1">IFERROR(__xludf.DUMMYFUNCTION("""COMPUTED_VALUE"""),66.1)</f>
        <v>66.099999999999994</v>
      </c>
      <c r="K313" s="1">
        <f ca="1">IFERROR(__xludf.DUMMYFUNCTION("""COMPUTED_VALUE"""),280)</f>
        <v>280</v>
      </c>
      <c r="L313" s="1">
        <f ca="1">IFERROR(__xludf.DUMMYFUNCTION("""COMPUTED_VALUE"""),-0.061)</f>
        <v>-6.0999999999999999E-2</v>
      </c>
      <c r="M313" s="1">
        <f ca="1">IFERROR(__xludf.DUMMYFUNCTION("""COMPUTED_VALUE"""),316)</f>
        <v>316</v>
      </c>
      <c r="N313" s="1">
        <f ca="1">IFERROR(__xludf.DUMMYFUNCTION("""COMPUTED_VALUE"""),-6.88)</f>
        <v>-6.88</v>
      </c>
      <c r="O313" s="1">
        <f ca="1">IFERROR(__xludf.DUMMYFUNCTION("""COMPUTED_VALUE"""),315)</f>
        <v>315</v>
      </c>
      <c r="P313" s="1">
        <f ca="1">IFERROR(__xludf.DUMMYFUNCTION("""COMPUTED_VALUE"""),101)</f>
        <v>101</v>
      </c>
      <c r="Q313" s="1">
        <f ca="1">IFERROR(__xludf.DUMMYFUNCTION("""COMPUTED_VALUE"""),319)</f>
        <v>319</v>
      </c>
      <c r="R313" s="1">
        <f ca="1">IFERROR(__xludf.DUMMYFUNCTION("""COMPUTED_VALUE"""),107.9)</f>
        <v>107.9</v>
      </c>
      <c r="S313" s="1">
        <f ca="1">IFERROR(__xludf.DUMMYFUNCTION("""COMPUTED_VALUE"""),299)</f>
        <v>299</v>
      </c>
      <c r="T313" s="1">
        <f ca="1">IFERROR(__xludf.DUMMYFUNCTION("""COMPUTED_VALUE"""),-8.65)</f>
        <v>-8.65</v>
      </c>
      <c r="U313" s="1">
        <f ca="1">IFERROR(__xludf.DUMMYFUNCTION("""COMPUTED_VALUE"""),339)</f>
        <v>339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IFERROR(__xludf.DUMMYFUNCTION("""COMPUTED_VALUE"""),"Samford")</f>
        <v>Samford</v>
      </c>
      <c r="C314" s="1" t="str">
        <f ca="1">IFERROR(__xludf.DUMMYFUNCTION("""COMPUTED_VALUE"""),"SC")</f>
        <v>SC</v>
      </c>
      <c r="D314" s="2">
        <f ca="1">IFERROR(__xludf.DUMMYFUNCTION("""COMPUTED_VALUE"""),44856)</f>
        <v>44856</v>
      </c>
      <c r="E314" s="1">
        <f ca="1">IFERROR(__xludf.DUMMYFUNCTION("""COMPUTED_VALUE"""),-12)</f>
        <v>-12</v>
      </c>
      <c r="F314" s="1">
        <f ca="1">IFERROR(__xludf.DUMMYFUNCTION("""COMPUTED_VALUE"""),107.7)</f>
        <v>107.7</v>
      </c>
      <c r="G314" s="1">
        <f ca="1">IFERROR(__xludf.DUMMYFUNCTION("""COMPUTED_VALUE"""),119)</f>
        <v>119</v>
      </c>
      <c r="H314" s="1">
        <f ca="1">IFERROR(__xludf.DUMMYFUNCTION("""COMPUTED_VALUE"""),119.7)</f>
        <v>119.7</v>
      </c>
      <c r="I314" s="1">
        <f ca="1">IFERROR(__xludf.DUMMYFUNCTION("""COMPUTED_VALUE"""),349)</f>
        <v>349</v>
      </c>
      <c r="J314" s="1">
        <f ca="1">IFERROR(__xludf.DUMMYFUNCTION("""COMPUTED_VALUE"""),71.2)</f>
        <v>71.2</v>
      </c>
      <c r="K314" s="1">
        <f ca="1">IFERROR(__xludf.DUMMYFUNCTION("""COMPUTED_VALUE"""),47)</f>
        <v>47</v>
      </c>
      <c r="L314" s="1">
        <f ca="1">IFERROR(__xludf.DUMMYFUNCTION("""COMPUTED_VALUE"""),-0.036)</f>
        <v>-3.5999999999999997E-2</v>
      </c>
      <c r="M314" s="1">
        <f ca="1">IFERROR(__xludf.DUMMYFUNCTION("""COMPUTED_VALUE"""),272)</f>
        <v>272</v>
      </c>
      <c r="N314" s="1">
        <f ca="1">IFERROR(__xludf.DUMMYFUNCTION("""COMPUTED_VALUE"""),-2.09)</f>
        <v>-2.09</v>
      </c>
      <c r="O314" s="1">
        <f ca="1">IFERROR(__xludf.DUMMYFUNCTION("""COMPUTED_VALUE"""),193)</f>
        <v>193</v>
      </c>
      <c r="P314" s="1">
        <f ca="1">IFERROR(__xludf.DUMMYFUNCTION("""COMPUTED_VALUE"""),103.5)</f>
        <v>103.5</v>
      </c>
      <c r="Q314" s="1">
        <f ca="1">IFERROR(__xludf.DUMMYFUNCTION("""COMPUTED_VALUE"""),219)</f>
        <v>219</v>
      </c>
      <c r="R314" s="1">
        <f ca="1">IFERROR(__xludf.DUMMYFUNCTION("""COMPUTED_VALUE"""),105.6)</f>
        <v>105.6</v>
      </c>
      <c r="S314" s="1">
        <f ca="1">IFERROR(__xludf.DUMMYFUNCTION("""COMPUTED_VALUE"""),169)</f>
        <v>169</v>
      </c>
      <c r="T314" s="1" t="str">
        <f ca="1">IFERROR(__xludf.DUMMYFUNCTION("""COMPUTED_VALUE"""),"+3.84")</f>
        <v>+3.84</v>
      </c>
      <c r="U314" s="1">
        <f ca="1">IFERROR(__xludf.DUMMYFUNCTION("""COMPUTED_VALUE"""),63)</f>
        <v>63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IFERROR(__xludf.DUMMYFUNCTION("""COMPUTED_VALUE"""),"Dartmouth")</f>
        <v>Dartmouth</v>
      </c>
      <c r="C315" s="1" t="str">
        <f ca="1">IFERROR(__xludf.DUMMYFUNCTION("""COMPUTED_VALUE"""),"Ivy")</f>
        <v>Ivy</v>
      </c>
      <c r="D315" s="2">
        <f ca="1">IFERROR(__xludf.DUMMYFUNCTION("""COMPUTED_VALUE"""),44762)</f>
        <v>44762</v>
      </c>
      <c r="E315" s="1">
        <f ca="1">IFERROR(__xludf.DUMMYFUNCTION("""COMPUTED_VALUE"""),-12.09)</f>
        <v>-12.09</v>
      </c>
      <c r="F315" s="1">
        <f ca="1">IFERROR(__xludf.DUMMYFUNCTION("""COMPUTED_VALUE"""),98.5)</f>
        <v>98.5</v>
      </c>
      <c r="G315" s="1">
        <f ca="1">IFERROR(__xludf.DUMMYFUNCTION("""COMPUTED_VALUE"""),287)</f>
        <v>287</v>
      </c>
      <c r="H315" s="1">
        <f ca="1">IFERROR(__xludf.DUMMYFUNCTION("""COMPUTED_VALUE"""),110.6)</f>
        <v>110.6</v>
      </c>
      <c r="I315" s="1">
        <f ca="1">IFERROR(__xludf.DUMMYFUNCTION("""COMPUTED_VALUE"""),289)</f>
        <v>289</v>
      </c>
      <c r="J315" s="1">
        <f ca="1">IFERROR(__xludf.DUMMYFUNCTION("""COMPUTED_VALUE"""),66.8)</f>
        <v>66.8</v>
      </c>
      <c r="K315" s="1">
        <f ca="1">IFERROR(__xludf.DUMMYFUNCTION("""COMPUTED_VALUE"""),245)</f>
        <v>245</v>
      </c>
      <c r="L315" s="1">
        <f ca="1">IFERROR(__xludf.DUMMYFUNCTION("""COMPUTED_VALUE"""),-0.043)</f>
        <v>-4.2999999999999997E-2</v>
      </c>
      <c r="M315" s="1">
        <f ca="1">IFERROR(__xludf.DUMMYFUNCTION("""COMPUTED_VALUE"""),282)</f>
        <v>282</v>
      </c>
      <c r="N315" s="1">
        <f ca="1">IFERROR(__xludf.DUMMYFUNCTION("""COMPUTED_VALUE"""),-3.61)</f>
        <v>-3.61</v>
      </c>
      <c r="O315" s="1">
        <f ca="1">IFERROR(__xludf.DUMMYFUNCTION("""COMPUTED_VALUE"""),246)</f>
        <v>246</v>
      </c>
      <c r="P315" s="1">
        <f ca="1">IFERROR(__xludf.DUMMYFUNCTION("""COMPUTED_VALUE"""),103.5)</f>
        <v>103.5</v>
      </c>
      <c r="Q315" s="1">
        <f ca="1">IFERROR(__xludf.DUMMYFUNCTION("""COMPUTED_VALUE"""),218)</f>
        <v>218</v>
      </c>
      <c r="R315" s="1">
        <f ca="1">IFERROR(__xludf.DUMMYFUNCTION("""COMPUTED_VALUE"""),107.1)</f>
        <v>107.1</v>
      </c>
      <c r="S315" s="1">
        <f ca="1">IFERROR(__xludf.DUMMYFUNCTION("""COMPUTED_VALUE"""),262)</f>
        <v>262</v>
      </c>
      <c r="T315" s="1">
        <f ca="1">IFERROR(__xludf.DUMMYFUNCTION("""COMPUTED_VALUE"""),-2.86)</f>
        <v>-2.86</v>
      </c>
      <c r="U315" s="1">
        <f ca="1">IFERROR(__xludf.DUMMYFUNCTION("""COMPUTED_VALUE"""),246)</f>
        <v>246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IFERROR(__xludf.DUMMYFUNCTION("""COMPUTED_VALUE"""),"Cleveland St.")</f>
        <v>Cleveland St.</v>
      </c>
      <c r="C316" s="1" t="str">
        <f ca="1">IFERROR(__xludf.DUMMYFUNCTION("""COMPUTED_VALUE"""),"Horz")</f>
        <v>Horz</v>
      </c>
      <c r="D316" s="2">
        <f ca="1">IFERROR(__xludf.DUMMYFUNCTION("""COMPUTED_VALUE"""),44918)</f>
        <v>44918</v>
      </c>
      <c r="E316" s="1">
        <f ca="1">IFERROR(__xludf.DUMMYFUNCTION("""COMPUTED_VALUE"""),-12.14)</f>
        <v>-12.14</v>
      </c>
      <c r="F316" s="1">
        <f ca="1">IFERROR(__xludf.DUMMYFUNCTION("""COMPUTED_VALUE"""),97.9)</f>
        <v>97.9</v>
      </c>
      <c r="G316" s="1">
        <f ca="1">IFERROR(__xludf.DUMMYFUNCTION("""COMPUTED_VALUE"""),302)</f>
        <v>302</v>
      </c>
      <c r="H316" s="1">
        <f ca="1">IFERROR(__xludf.DUMMYFUNCTION("""COMPUTED_VALUE"""),110)</f>
        <v>110</v>
      </c>
      <c r="I316" s="1">
        <f ca="1">IFERROR(__xludf.DUMMYFUNCTION("""COMPUTED_VALUE"""),277)</f>
        <v>277</v>
      </c>
      <c r="J316" s="1">
        <f ca="1">IFERROR(__xludf.DUMMYFUNCTION("""COMPUTED_VALUE"""),67.1)</f>
        <v>67.099999999999994</v>
      </c>
      <c r="K316" s="1">
        <f ca="1">IFERROR(__xludf.DUMMYFUNCTION("""COMPUTED_VALUE"""),231)</f>
        <v>231</v>
      </c>
      <c r="L316" s="1" t="str">
        <f ca="1">IFERROR(__xludf.DUMMYFUNCTION("""COMPUTED_VALUE"""),"+.032")</f>
        <v>+.032</v>
      </c>
      <c r="M316" s="1">
        <f ca="1">IFERROR(__xludf.DUMMYFUNCTION("""COMPUTED_VALUE"""),96)</f>
        <v>96</v>
      </c>
      <c r="N316" s="1">
        <f ca="1">IFERROR(__xludf.DUMMYFUNCTION("""COMPUTED_VALUE"""),-3.64)</f>
        <v>-3.64</v>
      </c>
      <c r="O316" s="1">
        <f ca="1">IFERROR(__xludf.DUMMYFUNCTION("""COMPUTED_VALUE"""),247)</f>
        <v>247</v>
      </c>
      <c r="P316" s="1">
        <f ca="1">IFERROR(__xludf.DUMMYFUNCTION("""COMPUTED_VALUE"""),102.8)</f>
        <v>102.8</v>
      </c>
      <c r="Q316" s="1">
        <f ca="1">IFERROR(__xludf.DUMMYFUNCTION("""COMPUTED_VALUE"""),258)</f>
        <v>258</v>
      </c>
      <c r="R316" s="1">
        <f ca="1">IFERROR(__xludf.DUMMYFUNCTION("""COMPUTED_VALUE"""),106.5)</f>
        <v>106.5</v>
      </c>
      <c r="S316" s="1">
        <f ca="1">IFERROR(__xludf.DUMMYFUNCTION("""COMPUTED_VALUE"""),226)</f>
        <v>226</v>
      </c>
      <c r="T316" s="1">
        <f ca="1">IFERROR(__xludf.DUMMYFUNCTION("""COMPUTED_VALUE"""),-1.36)</f>
        <v>-1.36</v>
      </c>
      <c r="U316" s="1">
        <f ca="1">IFERROR(__xludf.DUMMYFUNCTION("""COMPUTED_VALUE"""),192)</f>
        <v>192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IFERROR(__xludf.DUMMYFUNCTION("""COMPUTED_VALUE"""),"San Jose St.")</f>
        <v>San Jose St.</v>
      </c>
      <c r="C317" s="1" t="str">
        <f ca="1">IFERROR(__xludf.DUMMYFUNCTION("""COMPUTED_VALUE"""),"MWC")</f>
        <v>MWC</v>
      </c>
      <c r="D317" s="2">
        <f ca="1">IFERROR(__xludf.DUMMYFUNCTION("""COMPUTED_VALUE"""),44677)</f>
        <v>44677</v>
      </c>
      <c r="E317" s="1">
        <f ca="1">IFERROR(__xludf.DUMMYFUNCTION("""COMPUTED_VALUE"""),-12.27)</f>
        <v>-12.27</v>
      </c>
      <c r="F317" s="1">
        <f ca="1">IFERROR(__xludf.DUMMYFUNCTION("""COMPUTED_VALUE"""),95.4)</f>
        <v>95.4</v>
      </c>
      <c r="G317" s="1">
        <f ca="1">IFERROR(__xludf.DUMMYFUNCTION("""COMPUTED_VALUE"""),329)</f>
        <v>329</v>
      </c>
      <c r="H317" s="1">
        <f ca="1">IFERROR(__xludf.DUMMYFUNCTION("""COMPUTED_VALUE"""),107.7)</f>
        <v>107.7</v>
      </c>
      <c r="I317" s="1">
        <f ca="1">IFERROR(__xludf.DUMMYFUNCTION("""COMPUTED_VALUE"""),227)</f>
        <v>227</v>
      </c>
      <c r="J317" s="1">
        <f ca="1">IFERROR(__xludf.DUMMYFUNCTION("""COMPUTED_VALUE"""),67.1)</f>
        <v>67.099999999999994</v>
      </c>
      <c r="K317" s="1">
        <f ca="1">IFERROR(__xludf.DUMMYFUNCTION("""COMPUTED_VALUE"""),229)</f>
        <v>229</v>
      </c>
      <c r="L317" s="1">
        <f ca="1">IFERROR(__xludf.DUMMYFUNCTION("""COMPUTED_VALUE"""),-0.03)</f>
        <v>-0.03</v>
      </c>
      <c r="M317" s="1">
        <f ca="1">IFERROR(__xludf.DUMMYFUNCTION("""COMPUTED_VALUE"""),262)</f>
        <v>262</v>
      </c>
      <c r="N317" s="1" t="str">
        <f ca="1">IFERROR(__xludf.DUMMYFUNCTION("""COMPUTED_VALUE"""),"+3.05")</f>
        <v>+3.05</v>
      </c>
      <c r="O317" s="1">
        <f ca="1">IFERROR(__xludf.DUMMYFUNCTION("""COMPUTED_VALUE"""),90)</f>
        <v>90</v>
      </c>
      <c r="P317" s="1">
        <f ca="1">IFERROR(__xludf.DUMMYFUNCTION("""COMPUTED_VALUE"""),107.2)</f>
        <v>107.2</v>
      </c>
      <c r="Q317" s="1">
        <f ca="1">IFERROR(__xludf.DUMMYFUNCTION("""COMPUTED_VALUE"""),82)</f>
        <v>82</v>
      </c>
      <c r="R317" s="1">
        <f ca="1">IFERROR(__xludf.DUMMYFUNCTION("""COMPUTED_VALUE"""),104.2)</f>
        <v>104.2</v>
      </c>
      <c r="S317" s="1">
        <f ca="1">IFERROR(__xludf.DUMMYFUNCTION("""COMPUTED_VALUE"""),109)</f>
        <v>109</v>
      </c>
      <c r="T317" s="1">
        <f ca="1">IFERROR(__xludf.DUMMYFUNCTION("""COMPUTED_VALUE"""),-0.88)</f>
        <v>-0.88</v>
      </c>
      <c r="U317" s="1">
        <f ca="1">IFERROR(__xludf.DUMMYFUNCTION("""COMPUTED_VALUE"""),181)</f>
        <v>181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IFERROR(__xludf.DUMMYFUNCTION("""COMPUTED_VALUE"""),"Western Carolina")</f>
        <v>Western Carolina</v>
      </c>
      <c r="C318" s="1" t="str">
        <f ca="1">IFERROR(__xludf.DUMMYFUNCTION("""COMPUTED_VALUE"""),"SC")</f>
        <v>SC</v>
      </c>
      <c r="D318" s="1" t="str">
        <f ca="1">IFERROR(__xludf.DUMMYFUNCTION("""COMPUTED_VALUE"""),"13-19")</f>
        <v>13-19</v>
      </c>
      <c r="E318" s="1">
        <f ca="1">IFERROR(__xludf.DUMMYFUNCTION("""COMPUTED_VALUE"""),-12.3)</f>
        <v>-12.3</v>
      </c>
      <c r="F318" s="1">
        <f ca="1">IFERROR(__xludf.DUMMYFUNCTION("""COMPUTED_VALUE"""),95.7)</f>
        <v>95.7</v>
      </c>
      <c r="G318" s="1">
        <f ca="1">IFERROR(__xludf.DUMMYFUNCTION("""COMPUTED_VALUE"""),323)</f>
        <v>323</v>
      </c>
      <c r="H318" s="1">
        <f ca="1">IFERROR(__xludf.DUMMYFUNCTION("""COMPUTED_VALUE"""),108)</f>
        <v>108</v>
      </c>
      <c r="I318" s="1">
        <f ca="1">IFERROR(__xludf.DUMMYFUNCTION("""COMPUTED_VALUE"""),232)</f>
        <v>232</v>
      </c>
      <c r="J318" s="1">
        <f ca="1">IFERROR(__xludf.DUMMYFUNCTION("""COMPUTED_VALUE"""),69.4)</f>
        <v>69.400000000000006</v>
      </c>
      <c r="K318" s="1">
        <f ca="1">IFERROR(__xludf.DUMMYFUNCTION("""COMPUTED_VALUE"""),109)</f>
        <v>109</v>
      </c>
      <c r="L318" s="1" t="str">
        <f ca="1">IFERROR(__xludf.DUMMYFUNCTION("""COMPUTED_VALUE"""),"+.102")</f>
        <v>+.102</v>
      </c>
      <c r="M318" s="1">
        <f ca="1">IFERROR(__xludf.DUMMYFUNCTION("""COMPUTED_VALUE"""),10)</f>
        <v>10</v>
      </c>
      <c r="N318" s="1">
        <f ca="1">IFERROR(__xludf.DUMMYFUNCTION("""COMPUTED_VALUE"""),-0.66)</f>
        <v>-0.66</v>
      </c>
      <c r="O318" s="1">
        <f ca="1">IFERROR(__xludf.DUMMYFUNCTION("""COMPUTED_VALUE"""),150)</f>
        <v>150</v>
      </c>
      <c r="P318" s="1">
        <f ca="1">IFERROR(__xludf.DUMMYFUNCTION("""COMPUTED_VALUE"""),105.1)</f>
        <v>105.1</v>
      </c>
      <c r="Q318" s="1">
        <f ca="1">IFERROR(__xludf.DUMMYFUNCTION("""COMPUTED_VALUE"""),144)</f>
        <v>144</v>
      </c>
      <c r="R318" s="1">
        <f ca="1">IFERROR(__xludf.DUMMYFUNCTION("""COMPUTED_VALUE"""),105.8)</f>
        <v>105.8</v>
      </c>
      <c r="S318" s="1">
        <f ca="1">IFERROR(__xludf.DUMMYFUNCTION("""COMPUTED_VALUE"""),181)</f>
        <v>181</v>
      </c>
      <c r="T318" s="1" t="str">
        <f ca="1">IFERROR(__xludf.DUMMYFUNCTION("""COMPUTED_VALUE"""),"+5.22")</f>
        <v>+5.22</v>
      </c>
      <c r="U318" s="1">
        <f ca="1">IFERROR(__xludf.DUMMYFUNCTION("""COMPUTED_VALUE"""),36)</f>
        <v>36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IFERROR(__xludf.DUMMYFUNCTION("""COMPUTED_VALUE"""),"Siena")</f>
        <v>Siena</v>
      </c>
      <c r="C319" s="1" t="str">
        <f ca="1">IFERROR(__xludf.DUMMYFUNCTION("""COMPUTED_VALUE"""),"MAAC")</f>
        <v>MAAC</v>
      </c>
      <c r="D319" s="2">
        <f ca="1">IFERROR(__xludf.DUMMYFUNCTION("""COMPUTED_VALUE"""),44797)</f>
        <v>44797</v>
      </c>
      <c r="E319" s="1">
        <f ca="1">IFERROR(__xludf.DUMMYFUNCTION("""COMPUTED_VALUE"""),-12.38)</f>
        <v>-12.38</v>
      </c>
      <c r="F319" s="1">
        <f ca="1">IFERROR(__xludf.DUMMYFUNCTION("""COMPUTED_VALUE"""),96.5)</f>
        <v>96.5</v>
      </c>
      <c r="G319" s="1">
        <f ca="1">IFERROR(__xludf.DUMMYFUNCTION("""COMPUTED_VALUE"""),316)</f>
        <v>316</v>
      </c>
      <c r="H319" s="1">
        <f ca="1">IFERROR(__xludf.DUMMYFUNCTION("""COMPUTED_VALUE"""),108.9)</f>
        <v>108.9</v>
      </c>
      <c r="I319" s="1">
        <f ca="1">IFERROR(__xludf.DUMMYFUNCTION("""COMPUTED_VALUE"""),255)</f>
        <v>255</v>
      </c>
      <c r="J319" s="1">
        <f ca="1">IFERROR(__xludf.DUMMYFUNCTION("""COMPUTED_VALUE"""),65.7)</f>
        <v>65.7</v>
      </c>
      <c r="K319" s="1">
        <f ca="1">IFERROR(__xludf.DUMMYFUNCTION("""COMPUTED_VALUE"""),298)</f>
        <v>298</v>
      </c>
      <c r="L319" s="1">
        <f ca="1">IFERROR(__xludf.DUMMYFUNCTION("""COMPUTED_VALUE"""),-0.015)</f>
        <v>-1.4999999999999999E-2</v>
      </c>
      <c r="M319" s="1">
        <f ca="1">IFERROR(__xludf.DUMMYFUNCTION("""COMPUTED_VALUE"""),219)</f>
        <v>219</v>
      </c>
      <c r="N319" s="1">
        <f ca="1">IFERROR(__xludf.DUMMYFUNCTION("""COMPUTED_VALUE"""),-3.01)</f>
        <v>-3.01</v>
      </c>
      <c r="O319" s="1">
        <f ca="1">IFERROR(__xludf.DUMMYFUNCTION("""COMPUTED_VALUE"""),232)</f>
        <v>232</v>
      </c>
      <c r="P319" s="1">
        <f ca="1">IFERROR(__xludf.DUMMYFUNCTION("""COMPUTED_VALUE"""),104)</f>
        <v>104</v>
      </c>
      <c r="Q319" s="1">
        <f ca="1">IFERROR(__xludf.DUMMYFUNCTION("""COMPUTED_VALUE"""),191)</f>
        <v>191</v>
      </c>
      <c r="R319" s="1">
        <f ca="1">IFERROR(__xludf.DUMMYFUNCTION("""COMPUTED_VALUE"""),107)</f>
        <v>107</v>
      </c>
      <c r="S319" s="1">
        <f ca="1">IFERROR(__xludf.DUMMYFUNCTION("""COMPUTED_VALUE"""),257)</f>
        <v>257</v>
      </c>
      <c r="T319" s="1" t="str">
        <f ca="1">IFERROR(__xludf.DUMMYFUNCTION("""COMPUTED_VALUE"""),"+0.49")</f>
        <v>+0.49</v>
      </c>
      <c r="U319" s="1">
        <f ca="1">IFERROR(__xludf.DUMMYFUNCTION("""COMPUTED_VALUE"""),148)</f>
        <v>148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IFERROR(__xludf.DUMMYFUNCTION("""COMPUTED_VALUE"""),"Chattanooga")</f>
        <v>Chattanooga</v>
      </c>
      <c r="C320" s="1" t="str">
        <f ca="1">IFERROR(__xludf.DUMMYFUNCTION("""COMPUTED_VALUE"""),"SC")</f>
        <v>SC</v>
      </c>
      <c r="D320" s="2">
        <f ca="1">IFERROR(__xludf.DUMMYFUNCTION("""COMPUTED_VALUE"""),44857)</f>
        <v>44857</v>
      </c>
      <c r="E320" s="1">
        <f ca="1">IFERROR(__xludf.DUMMYFUNCTION("""COMPUTED_VALUE"""),-12.53)</f>
        <v>-12.53</v>
      </c>
      <c r="F320" s="1">
        <f ca="1">IFERROR(__xludf.DUMMYFUNCTION("""COMPUTED_VALUE"""),99.2)</f>
        <v>99.2</v>
      </c>
      <c r="G320" s="1">
        <f ca="1">IFERROR(__xludf.DUMMYFUNCTION("""COMPUTED_VALUE"""),271)</f>
        <v>271</v>
      </c>
      <c r="H320" s="1">
        <f ca="1">IFERROR(__xludf.DUMMYFUNCTION("""COMPUTED_VALUE"""),111.8)</f>
        <v>111.8</v>
      </c>
      <c r="I320" s="1">
        <f ca="1">IFERROR(__xludf.DUMMYFUNCTION("""COMPUTED_VALUE"""),304)</f>
        <v>304</v>
      </c>
      <c r="J320" s="1">
        <f ca="1">IFERROR(__xludf.DUMMYFUNCTION("""COMPUTED_VALUE"""),65.5)</f>
        <v>65.5</v>
      </c>
      <c r="K320" s="1">
        <f ca="1">IFERROR(__xludf.DUMMYFUNCTION("""COMPUTED_VALUE"""),308)</f>
        <v>308</v>
      </c>
      <c r="L320" s="1">
        <f ca="1">IFERROR(__xludf.DUMMYFUNCTION("""COMPUTED_VALUE"""),-0.024)</f>
        <v>-2.4E-2</v>
      </c>
      <c r="M320" s="1">
        <f ca="1">IFERROR(__xludf.DUMMYFUNCTION("""COMPUTED_VALUE"""),243)</f>
        <v>243</v>
      </c>
      <c r="N320" s="1">
        <f ca="1">IFERROR(__xludf.DUMMYFUNCTION("""COMPUTED_VALUE"""),-3.39)</f>
        <v>-3.39</v>
      </c>
      <c r="O320" s="1">
        <f ca="1">IFERROR(__xludf.DUMMYFUNCTION("""COMPUTED_VALUE"""),240)</f>
        <v>240</v>
      </c>
      <c r="P320" s="1">
        <f ca="1">IFERROR(__xludf.DUMMYFUNCTION("""COMPUTED_VALUE"""),103.4)</f>
        <v>103.4</v>
      </c>
      <c r="Q320" s="1">
        <f ca="1">IFERROR(__xludf.DUMMYFUNCTION("""COMPUTED_VALUE"""),227)</f>
        <v>227</v>
      </c>
      <c r="R320" s="1">
        <f ca="1">IFERROR(__xludf.DUMMYFUNCTION("""COMPUTED_VALUE"""),106.8)</f>
        <v>106.8</v>
      </c>
      <c r="S320" s="1">
        <f ca="1">IFERROR(__xludf.DUMMYFUNCTION("""COMPUTED_VALUE"""),246)</f>
        <v>246</v>
      </c>
      <c r="T320" s="1">
        <f ca="1">IFERROR(__xludf.DUMMYFUNCTION("""COMPUTED_VALUE"""),-2.1)</f>
        <v>-2.1</v>
      </c>
      <c r="U320" s="1">
        <f ca="1">IFERROR(__xludf.DUMMYFUNCTION("""COMPUTED_VALUE"""),219)</f>
        <v>219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IFERROR(__xludf.DUMMYFUNCTION("""COMPUTED_VALUE"""),"Sacred Heart")</f>
        <v>Sacred Heart</v>
      </c>
      <c r="C321" s="1" t="str">
        <f ca="1">IFERROR(__xludf.DUMMYFUNCTION("""COMPUTED_VALUE"""),"NEC")</f>
        <v>NEC</v>
      </c>
      <c r="D321" s="2">
        <f ca="1">IFERROR(__xludf.DUMMYFUNCTION("""COMPUTED_VALUE"""),44855)</f>
        <v>44855</v>
      </c>
      <c r="E321" s="1">
        <f ca="1">IFERROR(__xludf.DUMMYFUNCTION("""COMPUTED_VALUE"""),-12.57)</f>
        <v>-12.57</v>
      </c>
      <c r="F321" s="1">
        <f ca="1">IFERROR(__xludf.DUMMYFUNCTION("""COMPUTED_VALUE"""),96)</f>
        <v>96</v>
      </c>
      <c r="G321" s="1">
        <f ca="1">IFERROR(__xludf.DUMMYFUNCTION("""COMPUTED_VALUE"""),320)</f>
        <v>320</v>
      </c>
      <c r="H321" s="1">
        <f ca="1">IFERROR(__xludf.DUMMYFUNCTION("""COMPUTED_VALUE"""),108.6)</f>
        <v>108.6</v>
      </c>
      <c r="I321" s="1">
        <f ca="1">IFERROR(__xludf.DUMMYFUNCTION("""COMPUTED_VALUE"""),250)</f>
        <v>250</v>
      </c>
      <c r="J321" s="1">
        <f ca="1">IFERROR(__xludf.DUMMYFUNCTION("""COMPUTED_VALUE"""),68.4)</f>
        <v>68.400000000000006</v>
      </c>
      <c r="K321" s="1">
        <f ca="1">IFERROR(__xludf.DUMMYFUNCTION("""COMPUTED_VALUE"""),172)</f>
        <v>172</v>
      </c>
      <c r="L321" s="1">
        <f ca="1">IFERROR(__xludf.DUMMYFUNCTION("""COMPUTED_VALUE"""),-0.076)</f>
        <v>-7.5999999999999998E-2</v>
      </c>
      <c r="M321" s="1">
        <f ca="1">IFERROR(__xludf.DUMMYFUNCTION("""COMPUTED_VALUE"""),333)</f>
        <v>333</v>
      </c>
      <c r="N321" s="1">
        <f ca="1">IFERROR(__xludf.DUMMYFUNCTION("""COMPUTED_VALUE"""),-8.04)</f>
        <v>-8.0399999999999991</v>
      </c>
      <c r="O321" s="1">
        <f ca="1">IFERROR(__xludf.DUMMYFUNCTION("""COMPUTED_VALUE"""),331)</f>
        <v>331</v>
      </c>
      <c r="P321" s="1">
        <f ca="1">IFERROR(__xludf.DUMMYFUNCTION("""COMPUTED_VALUE"""),100.9)</f>
        <v>100.9</v>
      </c>
      <c r="Q321" s="1">
        <f ca="1">IFERROR(__xludf.DUMMYFUNCTION("""COMPUTED_VALUE"""),321)</f>
        <v>321</v>
      </c>
      <c r="R321" s="1">
        <f ca="1">IFERROR(__xludf.DUMMYFUNCTION("""COMPUTED_VALUE"""),109)</f>
        <v>109</v>
      </c>
      <c r="S321" s="1">
        <f ca="1">IFERROR(__xludf.DUMMYFUNCTION("""COMPUTED_VALUE"""),334)</f>
        <v>334</v>
      </c>
      <c r="T321" s="1">
        <f ca="1">IFERROR(__xludf.DUMMYFUNCTION("""COMPUTED_VALUE"""),-3.94)</f>
        <v>-3.94</v>
      </c>
      <c r="U321" s="1">
        <f ca="1">IFERROR(__xludf.DUMMYFUNCTION("""COMPUTED_VALUE"""),287)</f>
        <v>287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IFERROR(__xludf.DUMMYFUNCTION("""COMPUTED_VALUE"""),"North Carolina A&amp;T")</f>
        <v>North Carolina A&amp;T</v>
      </c>
      <c r="C322" s="1" t="str">
        <f ca="1">IFERROR(__xludf.DUMMYFUNCTION("""COMPUTED_VALUE"""),"MEAC")</f>
        <v>MEAC</v>
      </c>
      <c r="D322" s="1" t="str">
        <f ca="1">IFERROR(__xludf.DUMMYFUNCTION("""COMPUTED_VALUE"""),"20-15")</f>
        <v>20-15</v>
      </c>
      <c r="E322" s="1">
        <f ca="1">IFERROR(__xludf.DUMMYFUNCTION("""COMPUTED_VALUE"""),-12.68)</f>
        <v>-12.68</v>
      </c>
      <c r="F322" s="1">
        <f ca="1">IFERROR(__xludf.DUMMYFUNCTION("""COMPUTED_VALUE"""),98.1)</f>
        <v>98.1</v>
      </c>
      <c r="G322" s="1">
        <f ca="1">IFERROR(__xludf.DUMMYFUNCTION("""COMPUTED_VALUE"""),299)</f>
        <v>299</v>
      </c>
      <c r="H322" s="1">
        <f ca="1">IFERROR(__xludf.DUMMYFUNCTION("""COMPUTED_VALUE"""),110.8)</f>
        <v>110.8</v>
      </c>
      <c r="I322" s="1">
        <f ca="1">IFERROR(__xludf.DUMMYFUNCTION("""COMPUTED_VALUE"""),293)</f>
        <v>293</v>
      </c>
      <c r="J322" s="1">
        <f ca="1">IFERROR(__xludf.DUMMYFUNCTION("""COMPUTED_VALUE"""),69.3)</f>
        <v>69.3</v>
      </c>
      <c r="K322" s="1">
        <f ca="1">IFERROR(__xludf.DUMMYFUNCTION("""COMPUTED_VALUE"""),113)</f>
        <v>113</v>
      </c>
      <c r="L322" s="1" t="str">
        <f ca="1">IFERROR(__xludf.DUMMYFUNCTION("""COMPUTED_VALUE"""),"+.098")</f>
        <v>+.098</v>
      </c>
      <c r="M322" s="1">
        <f ca="1">IFERROR(__xludf.DUMMYFUNCTION("""COMPUTED_VALUE"""),12)</f>
        <v>12</v>
      </c>
      <c r="N322" s="1">
        <f ca="1">IFERROR(__xludf.DUMMYFUNCTION("""COMPUTED_VALUE"""),-11.8)</f>
        <v>-11.8</v>
      </c>
      <c r="O322" s="1">
        <f ca="1">IFERROR(__xludf.DUMMYFUNCTION("""COMPUTED_VALUE"""),348)</f>
        <v>348</v>
      </c>
      <c r="P322" s="1">
        <f ca="1">IFERROR(__xludf.DUMMYFUNCTION("""COMPUTED_VALUE"""),98.7)</f>
        <v>98.7</v>
      </c>
      <c r="Q322" s="1">
        <f ca="1">IFERROR(__xludf.DUMMYFUNCTION("""COMPUTED_VALUE"""),347)</f>
        <v>347</v>
      </c>
      <c r="R322" s="1">
        <f ca="1">IFERROR(__xludf.DUMMYFUNCTION("""COMPUTED_VALUE"""),110.5)</f>
        <v>110.5</v>
      </c>
      <c r="S322" s="1">
        <f ca="1">IFERROR(__xludf.DUMMYFUNCTION("""COMPUTED_VALUE"""),346)</f>
        <v>346</v>
      </c>
      <c r="T322" s="1">
        <f ca="1">IFERROR(__xludf.DUMMYFUNCTION("""COMPUTED_VALUE"""),-1.27)</f>
        <v>-1.27</v>
      </c>
      <c r="U322" s="1">
        <f ca="1">IFERROR(__xludf.DUMMYFUNCTION("""COMPUTED_VALUE"""),189)</f>
        <v>189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IFERROR(__xludf.DUMMYFUNCTION("""COMPUTED_VALUE"""),"East Carolina")</f>
        <v>East Carolina</v>
      </c>
      <c r="C323" s="1" t="str">
        <f ca="1">IFERROR(__xludf.DUMMYFUNCTION("""COMPUTED_VALUE"""),"Amer")</f>
        <v>Amer</v>
      </c>
      <c r="D323" s="2">
        <f ca="1">IFERROR(__xludf.DUMMYFUNCTION("""COMPUTED_VALUE"""),44854)</f>
        <v>44854</v>
      </c>
      <c r="E323" s="1">
        <f ca="1">IFERROR(__xludf.DUMMYFUNCTION("""COMPUTED_VALUE"""),-12.78)</f>
        <v>-12.78</v>
      </c>
      <c r="F323" s="1">
        <f ca="1">IFERROR(__xludf.DUMMYFUNCTION("""COMPUTED_VALUE"""),96.7)</f>
        <v>96.7</v>
      </c>
      <c r="G323" s="1">
        <f ca="1">IFERROR(__xludf.DUMMYFUNCTION("""COMPUTED_VALUE"""),312)</f>
        <v>312</v>
      </c>
      <c r="H323" s="1">
        <f ca="1">IFERROR(__xludf.DUMMYFUNCTION("""COMPUTED_VALUE"""),109.5)</f>
        <v>109.5</v>
      </c>
      <c r="I323" s="1">
        <f ca="1">IFERROR(__xludf.DUMMYFUNCTION("""COMPUTED_VALUE"""),263)</f>
        <v>263</v>
      </c>
      <c r="J323" s="1">
        <f ca="1">IFERROR(__xludf.DUMMYFUNCTION("""COMPUTED_VALUE"""),68.7)</f>
        <v>68.7</v>
      </c>
      <c r="K323" s="1">
        <f ca="1">IFERROR(__xludf.DUMMYFUNCTION("""COMPUTED_VALUE"""),148)</f>
        <v>148</v>
      </c>
      <c r="L323" s="1" t="str">
        <f ca="1">IFERROR(__xludf.DUMMYFUNCTION("""COMPUTED_VALUE"""),"+.026")</f>
        <v>+.026</v>
      </c>
      <c r="M323" s="1">
        <f ca="1">IFERROR(__xludf.DUMMYFUNCTION("""COMPUTED_VALUE"""),111)</f>
        <v>111</v>
      </c>
      <c r="N323" s="1">
        <f ca="1">IFERROR(__xludf.DUMMYFUNCTION("""COMPUTED_VALUE"""),-2.46)</f>
        <v>-2.46</v>
      </c>
      <c r="O323" s="1">
        <f ca="1">IFERROR(__xludf.DUMMYFUNCTION("""COMPUTED_VALUE"""),203)</f>
        <v>203</v>
      </c>
      <c r="P323" s="1">
        <f ca="1">IFERROR(__xludf.DUMMYFUNCTION("""COMPUTED_VALUE"""),102.9)</f>
        <v>102.9</v>
      </c>
      <c r="Q323" s="1">
        <f ca="1">IFERROR(__xludf.DUMMYFUNCTION("""COMPUTED_VALUE"""),257)</f>
        <v>257</v>
      </c>
      <c r="R323" s="1">
        <f ca="1">IFERROR(__xludf.DUMMYFUNCTION("""COMPUTED_VALUE"""),105.3)</f>
        <v>105.3</v>
      </c>
      <c r="S323" s="1">
        <f ca="1">IFERROR(__xludf.DUMMYFUNCTION("""COMPUTED_VALUE"""),155)</f>
        <v>155</v>
      </c>
      <c r="T323" s="1">
        <f ca="1">IFERROR(__xludf.DUMMYFUNCTION("""COMPUTED_VALUE"""),-16.35)</f>
        <v>-16.350000000000001</v>
      </c>
      <c r="U323" s="1">
        <f ca="1">IFERROR(__xludf.DUMMYFUNCTION("""COMPUTED_VALUE"""),349)</f>
        <v>349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IFERROR(__xludf.DUMMYFUNCTION("""COMPUTED_VALUE"""),"Charlotte")</f>
        <v>Charlotte</v>
      </c>
      <c r="C324" s="1" t="str">
        <f ca="1">IFERROR(__xludf.DUMMYFUNCTION("""COMPUTED_VALUE"""),"CUSA")</f>
        <v>CUSA</v>
      </c>
      <c r="D324" s="2">
        <f ca="1">IFERROR(__xludf.DUMMYFUNCTION("""COMPUTED_VALUE"""),44735)</f>
        <v>44735</v>
      </c>
      <c r="E324" s="1">
        <f ca="1">IFERROR(__xludf.DUMMYFUNCTION("""COMPUTED_VALUE"""),-12.81)</f>
        <v>-12.81</v>
      </c>
      <c r="F324" s="1">
        <f ca="1">IFERROR(__xludf.DUMMYFUNCTION("""COMPUTED_VALUE"""),99.3)</f>
        <v>99.3</v>
      </c>
      <c r="G324" s="1">
        <f ca="1">IFERROR(__xludf.DUMMYFUNCTION("""COMPUTED_VALUE"""),267)</f>
        <v>267</v>
      </c>
      <c r="H324" s="1">
        <f ca="1">IFERROR(__xludf.DUMMYFUNCTION("""COMPUTED_VALUE"""),112.1)</f>
        <v>112.1</v>
      </c>
      <c r="I324" s="1">
        <f ca="1">IFERROR(__xludf.DUMMYFUNCTION("""COMPUTED_VALUE"""),312)</f>
        <v>312</v>
      </c>
      <c r="J324" s="1">
        <f ca="1">IFERROR(__xludf.DUMMYFUNCTION("""COMPUTED_VALUE"""),71.2)</f>
        <v>71.2</v>
      </c>
      <c r="K324" s="1">
        <f ca="1">IFERROR(__xludf.DUMMYFUNCTION("""COMPUTED_VALUE"""),48)</f>
        <v>48</v>
      </c>
      <c r="L324" s="1">
        <f ca="1">IFERROR(__xludf.DUMMYFUNCTION("""COMPUTED_VALUE"""),-0.024)</f>
        <v>-2.4E-2</v>
      </c>
      <c r="M324" s="1">
        <f ca="1">IFERROR(__xludf.DUMMYFUNCTION("""COMPUTED_VALUE"""),245)</f>
        <v>245</v>
      </c>
      <c r="N324" s="1" t="str">
        <f ca="1">IFERROR(__xludf.DUMMYFUNCTION("""COMPUTED_VALUE"""),"+0.17")</f>
        <v>+0.17</v>
      </c>
      <c r="O324" s="1">
        <f ca="1">IFERROR(__xludf.DUMMYFUNCTION("""COMPUTED_VALUE"""),135)</f>
        <v>135</v>
      </c>
      <c r="P324" s="1">
        <f ca="1">IFERROR(__xludf.DUMMYFUNCTION("""COMPUTED_VALUE"""),104.6)</f>
        <v>104.6</v>
      </c>
      <c r="Q324" s="1">
        <f ca="1">IFERROR(__xludf.DUMMYFUNCTION("""COMPUTED_VALUE"""),168)</f>
        <v>168</v>
      </c>
      <c r="R324" s="1">
        <f ca="1">IFERROR(__xludf.DUMMYFUNCTION("""COMPUTED_VALUE"""),104.4)</f>
        <v>104.4</v>
      </c>
      <c r="S324" s="1">
        <f ca="1">IFERROR(__xludf.DUMMYFUNCTION("""COMPUTED_VALUE"""),118)</f>
        <v>118</v>
      </c>
      <c r="T324" s="1">
        <f ca="1">IFERROR(__xludf.DUMMYFUNCTION("""COMPUTED_VALUE"""),-3.21)</f>
        <v>-3.21</v>
      </c>
      <c r="U324" s="1">
        <f ca="1">IFERROR(__xludf.DUMMYFUNCTION("""COMPUTED_VALUE"""),262)</f>
        <v>262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IFERROR(__xludf.DUMMYFUNCTION("""COMPUTED_VALUE"""),"Kennesaw St.")</f>
        <v>Kennesaw St.</v>
      </c>
      <c r="C325" s="1" t="str">
        <f ca="1">IFERROR(__xludf.DUMMYFUNCTION("""COMPUTED_VALUE"""),"ASun")</f>
        <v>ASun</v>
      </c>
      <c r="D325" s="2">
        <f ca="1">IFERROR(__xludf.DUMMYFUNCTION("""COMPUTED_VALUE"""),44854)</f>
        <v>44854</v>
      </c>
      <c r="E325" s="1">
        <f ca="1">IFERROR(__xludf.DUMMYFUNCTION("""COMPUTED_VALUE"""),-12.82)</f>
        <v>-12.82</v>
      </c>
      <c r="F325" s="1">
        <f ca="1">IFERROR(__xludf.DUMMYFUNCTION("""COMPUTED_VALUE"""),98.9)</f>
        <v>98.9</v>
      </c>
      <c r="G325" s="1">
        <f ca="1">IFERROR(__xludf.DUMMYFUNCTION("""COMPUTED_VALUE"""),279)</f>
        <v>279</v>
      </c>
      <c r="H325" s="1">
        <f ca="1">IFERROR(__xludf.DUMMYFUNCTION("""COMPUTED_VALUE"""),111.8)</f>
        <v>111.8</v>
      </c>
      <c r="I325" s="1">
        <f ca="1">IFERROR(__xludf.DUMMYFUNCTION("""COMPUTED_VALUE"""),305)</f>
        <v>305</v>
      </c>
      <c r="J325" s="1">
        <f ca="1">IFERROR(__xludf.DUMMYFUNCTION("""COMPUTED_VALUE"""),68.5)</f>
        <v>68.5</v>
      </c>
      <c r="K325" s="1">
        <f ca="1">IFERROR(__xludf.DUMMYFUNCTION("""COMPUTED_VALUE"""),163)</f>
        <v>163</v>
      </c>
      <c r="L325" s="1">
        <f ca="1">IFERROR(__xludf.DUMMYFUNCTION("""COMPUTED_VALUE"""),-0.023)</f>
        <v>-2.3E-2</v>
      </c>
      <c r="M325" s="1">
        <f ca="1">IFERROR(__xludf.DUMMYFUNCTION("""COMPUTED_VALUE"""),240)</f>
        <v>240</v>
      </c>
      <c r="N325" s="1">
        <f ca="1">IFERROR(__xludf.DUMMYFUNCTION("""COMPUTED_VALUE"""),-4.51)</f>
        <v>-4.51</v>
      </c>
      <c r="O325" s="1">
        <f ca="1">IFERROR(__xludf.DUMMYFUNCTION("""COMPUTED_VALUE"""),276)</f>
        <v>276</v>
      </c>
      <c r="P325" s="1">
        <f ca="1">IFERROR(__xludf.DUMMYFUNCTION("""COMPUTED_VALUE"""),103.7)</f>
        <v>103.7</v>
      </c>
      <c r="Q325" s="1">
        <f ca="1">IFERROR(__xludf.DUMMYFUNCTION("""COMPUTED_VALUE"""),206)</f>
        <v>206</v>
      </c>
      <c r="R325" s="1">
        <f ca="1">IFERROR(__xludf.DUMMYFUNCTION("""COMPUTED_VALUE"""),108.2)</f>
        <v>108.2</v>
      </c>
      <c r="S325" s="1">
        <f ca="1">IFERROR(__xludf.DUMMYFUNCTION("""COMPUTED_VALUE"""),314)</f>
        <v>314</v>
      </c>
      <c r="T325" s="1" t="str">
        <f ca="1">IFERROR(__xludf.DUMMYFUNCTION("""COMPUTED_VALUE"""),"+2.54")</f>
        <v>+2.54</v>
      </c>
      <c r="U325" s="1">
        <f ca="1">IFERROR(__xludf.DUMMYFUNCTION("""COMPUTED_VALUE"""),85)</f>
        <v>85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IFERROR(__xludf.DUMMYFUNCTION("""COMPUTED_VALUE"""),"Central Connecticut")</f>
        <v>Central Connecticut</v>
      </c>
      <c r="C326" s="1" t="str">
        <f ca="1">IFERROR(__xludf.DUMMYFUNCTION("""COMPUTED_VALUE"""),"NEC")</f>
        <v>NEC</v>
      </c>
      <c r="D326" s="1" t="str">
        <f ca="1">IFERROR(__xludf.DUMMYFUNCTION("""COMPUTED_VALUE"""),"14-18")</f>
        <v>14-18</v>
      </c>
      <c r="E326" s="1">
        <f ca="1">IFERROR(__xludf.DUMMYFUNCTION("""COMPUTED_VALUE"""),-12.85)</f>
        <v>-12.85</v>
      </c>
      <c r="F326" s="1">
        <f ca="1">IFERROR(__xludf.DUMMYFUNCTION("""COMPUTED_VALUE"""),98)</f>
        <v>98</v>
      </c>
      <c r="G326" s="1">
        <f ca="1">IFERROR(__xludf.DUMMYFUNCTION("""COMPUTED_VALUE"""),300)</f>
        <v>300</v>
      </c>
      <c r="H326" s="1">
        <f ca="1">IFERROR(__xludf.DUMMYFUNCTION("""COMPUTED_VALUE"""),110.8)</f>
        <v>110.8</v>
      </c>
      <c r="I326" s="1">
        <f ca="1">IFERROR(__xludf.DUMMYFUNCTION("""COMPUTED_VALUE"""),296)</f>
        <v>296</v>
      </c>
      <c r="J326" s="1">
        <f ca="1">IFERROR(__xludf.DUMMYFUNCTION("""COMPUTED_VALUE"""),64.5)</f>
        <v>64.5</v>
      </c>
      <c r="K326" s="1">
        <f ca="1">IFERROR(__xludf.DUMMYFUNCTION("""COMPUTED_VALUE"""),329)</f>
        <v>329</v>
      </c>
      <c r="L326" s="1" t="str">
        <f ca="1">IFERROR(__xludf.DUMMYFUNCTION("""COMPUTED_VALUE"""),"+.066")</f>
        <v>+.066</v>
      </c>
      <c r="M326" s="1">
        <f ca="1">IFERROR(__xludf.DUMMYFUNCTION("""COMPUTED_VALUE"""),38)</f>
        <v>38</v>
      </c>
      <c r="N326" s="1">
        <f ca="1">IFERROR(__xludf.DUMMYFUNCTION("""COMPUTED_VALUE"""),-7.33)</f>
        <v>-7.33</v>
      </c>
      <c r="O326" s="1">
        <f ca="1">IFERROR(__xludf.DUMMYFUNCTION("""COMPUTED_VALUE"""),325)</f>
        <v>325</v>
      </c>
      <c r="P326" s="1">
        <f ca="1">IFERROR(__xludf.DUMMYFUNCTION("""COMPUTED_VALUE"""),100.9)</f>
        <v>100.9</v>
      </c>
      <c r="Q326" s="1">
        <f ca="1">IFERROR(__xludf.DUMMYFUNCTION("""COMPUTED_VALUE"""),323)</f>
        <v>323</v>
      </c>
      <c r="R326" s="1">
        <f ca="1">IFERROR(__xludf.DUMMYFUNCTION("""COMPUTED_VALUE"""),108.2)</f>
        <v>108.2</v>
      </c>
      <c r="S326" s="1">
        <f ca="1">IFERROR(__xludf.DUMMYFUNCTION("""COMPUTED_VALUE"""),313)</f>
        <v>313</v>
      </c>
      <c r="T326" s="1">
        <f ca="1">IFERROR(__xludf.DUMMYFUNCTION("""COMPUTED_VALUE"""),-3.69)</f>
        <v>-3.69</v>
      </c>
      <c r="U326" s="1">
        <f ca="1">IFERROR(__xludf.DUMMYFUNCTION("""COMPUTED_VALUE"""),281)</f>
        <v>281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IFERROR(__xludf.DUMMYFUNCTION("""COMPUTED_VALUE"""),"Texas A&amp;M Corpus Chris")</f>
        <v>Texas A&amp;M Corpus Chris</v>
      </c>
      <c r="C327" s="1" t="str">
        <f ca="1">IFERROR(__xludf.DUMMYFUNCTION("""COMPUTED_VALUE"""),"Slnd")</f>
        <v>Slnd</v>
      </c>
      <c r="D327" s="2">
        <f ca="1">IFERROR(__xludf.DUMMYFUNCTION("""COMPUTED_VALUE"""),44883)</f>
        <v>44883</v>
      </c>
      <c r="E327" s="1">
        <f ca="1">IFERROR(__xludf.DUMMYFUNCTION("""COMPUTED_VALUE"""),-12.88)</f>
        <v>-12.88</v>
      </c>
      <c r="F327" s="1">
        <f ca="1">IFERROR(__xludf.DUMMYFUNCTION("""COMPUTED_VALUE"""),94.5)</f>
        <v>94.5</v>
      </c>
      <c r="G327" s="1">
        <f ca="1">IFERROR(__xludf.DUMMYFUNCTION("""COMPUTED_VALUE"""),332)</f>
        <v>332</v>
      </c>
      <c r="H327" s="1">
        <f ca="1">IFERROR(__xludf.DUMMYFUNCTION("""COMPUTED_VALUE"""),107.4)</f>
        <v>107.4</v>
      </c>
      <c r="I327" s="1">
        <f ca="1">IFERROR(__xludf.DUMMYFUNCTION("""COMPUTED_VALUE"""),222)</f>
        <v>222</v>
      </c>
      <c r="J327" s="1">
        <f ca="1">IFERROR(__xludf.DUMMYFUNCTION("""COMPUTED_VALUE"""),68.2)</f>
        <v>68.2</v>
      </c>
      <c r="K327" s="1">
        <f ca="1">IFERROR(__xludf.DUMMYFUNCTION("""COMPUTED_VALUE"""),179)</f>
        <v>179</v>
      </c>
      <c r="L327" s="1">
        <f ca="1">IFERROR(__xludf.DUMMYFUNCTION("""COMPUTED_VALUE"""),-0.015)</f>
        <v>-1.4999999999999999E-2</v>
      </c>
      <c r="M327" s="1">
        <f ca="1">IFERROR(__xludf.DUMMYFUNCTION("""COMPUTED_VALUE"""),217)</f>
        <v>217</v>
      </c>
      <c r="N327" s="1">
        <f ca="1">IFERROR(__xludf.DUMMYFUNCTION("""COMPUTED_VALUE"""),-6.14)</f>
        <v>-6.14</v>
      </c>
      <c r="O327" s="1">
        <f ca="1">IFERROR(__xludf.DUMMYFUNCTION("""COMPUTED_VALUE"""),300)</f>
        <v>300</v>
      </c>
      <c r="P327" s="1">
        <f ca="1">IFERROR(__xludf.DUMMYFUNCTION("""COMPUTED_VALUE"""),100.9)</f>
        <v>100.9</v>
      </c>
      <c r="Q327" s="1">
        <f ca="1">IFERROR(__xludf.DUMMYFUNCTION("""COMPUTED_VALUE"""),322)</f>
        <v>322</v>
      </c>
      <c r="R327" s="1">
        <f ca="1">IFERROR(__xludf.DUMMYFUNCTION("""COMPUTED_VALUE"""),107.1)</f>
        <v>107.1</v>
      </c>
      <c r="S327" s="1">
        <f ca="1">IFERROR(__xludf.DUMMYFUNCTION("""COMPUTED_VALUE"""),260)</f>
        <v>260</v>
      </c>
      <c r="T327" s="1" t="str">
        <f ca="1">IFERROR(__xludf.DUMMYFUNCTION("""COMPUTED_VALUE"""),"+4.54")</f>
        <v>+4.54</v>
      </c>
      <c r="U327" s="1">
        <f ca="1">IFERROR(__xludf.DUMMYFUNCTION("""COMPUTED_VALUE"""),48)</f>
        <v>48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IFERROR(__xludf.DUMMYFUNCTION("""COMPUTED_VALUE"""),"Norfolk St.")</f>
        <v>Norfolk St.</v>
      </c>
      <c r="C328" s="1" t="str">
        <f ca="1">IFERROR(__xludf.DUMMYFUNCTION("""COMPUTED_VALUE"""),"MEAC")</f>
        <v>MEAC</v>
      </c>
      <c r="D328" s="1" t="str">
        <f ca="1">IFERROR(__xludf.DUMMYFUNCTION("""COMPUTED_VALUE"""),"14-19")</f>
        <v>14-19</v>
      </c>
      <c r="E328" s="1">
        <f ca="1">IFERROR(__xludf.DUMMYFUNCTION("""COMPUTED_VALUE"""),-13.14)</f>
        <v>-13.14</v>
      </c>
      <c r="F328" s="1">
        <f ca="1">IFERROR(__xludf.DUMMYFUNCTION("""COMPUTED_VALUE"""),95.4)</f>
        <v>95.4</v>
      </c>
      <c r="G328" s="1">
        <f ca="1">IFERROR(__xludf.DUMMYFUNCTION("""COMPUTED_VALUE"""),328)</f>
        <v>328</v>
      </c>
      <c r="H328" s="1">
        <f ca="1">IFERROR(__xludf.DUMMYFUNCTION("""COMPUTED_VALUE"""),108.6)</f>
        <v>108.6</v>
      </c>
      <c r="I328" s="1">
        <f ca="1">IFERROR(__xludf.DUMMYFUNCTION("""COMPUTED_VALUE"""),249)</f>
        <v>249</v>
      </c>
      <c r="J328" s="1">
        <f ca="1">IFERROR(__xludf.DUMMYFUNCTION("""COMPUTED_VALUE"""),69)</f>
        <v>69</v>
      </c>
      <c r="K328" s="1">
        <f ca="1">IFERROR(__xludf.DUMMYFUNCTION("""COMPUTED_VALUE"""),127)</f>
        <v>127</v>
      </c>
      <c r="L328" s="1" t="str">
        <f ca="1">IFERROR(__xludf.DUMMYFUNCTION("""COMPUTED_VALUE"""),"+.002")</f>
        <v>+.002</v>
      </c>
      <c r="M328" s="1">
        <f ca="1">IFERROR(__xludf.DUMMYFUNCTION("""COMPUTED_VALUE"""),172)</f>
        <v>172</v>
      </c>
      <c r="N328" s="1">
        <f ca="1">IFERROR(__xludf.DUMMYFUNCTION("""COMPUTED_VALUE"""),-11)</f>
        <v>-11</v>
      </c>
      <c r="O328" s="1">
        <f ca="1">IFERROR(__xludf.DUMMYFUNCTION("""COMPUTED_VALUE"""),345)</f>
        <v>345</v>
      </c>
      <c r="P328" s="1">
        <f ca="1">IFERROR(__xludf.DUMMYFUNCTION("""COMPUTED_VALUE"""),98.9)</f>
        <v>98.9</v>
      </c>
      <c r="Q328" s="1">
        <f ca="1">IFERROR(__xludf.DUMMYFUNCTION("""COMPUTED_VALUE"""),344)</f>
        <v>344</v>
      </c>
      <c r="R328" s="1">
        <f ca="1">IFERROR(__xludf.DUMMYFUNCTION("""COMPUTED_VALUE"""),109.9)</f>
        <v>109.9</v>
      </c>
      <c r="S328" s="1">
        <f ca="1">IFERROR(__xludf.DUMMYFUNCTION("""COMPUTED_VALUE"""),345)</f>
        <v>345</v>
      </c>
      <c r="T328" s="1" t="str">
        <f ca="1">IFERROR(__xludf.DUMMYFUNCTION("""COMPUTED_VALUE"""),"+0.76")</f>
        <v>+0.76</v>
      </c>
      <c r="U328" s="1">
        <f ca="1">IFERROR(__xludf.DUMMYFUNCTION("""COMPUTED_VALUE"""),143)</f>
        <v>143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IFERROR(__xludf.DUMMYFUNCTION("""COMPUTED_VALUE"""),"St. Francis NY")</f>
        <v>St. Francis NY</v>
      </c>
      <c r="C329" s="1" t="str">
        <f ca="1">IFERROR(__xludf.DUMMYFUNCTION("""COMPUTED_VALUE"""),"NEC")</f>
        <v>NEC</v>
      </c>
      <c r="D329" s="1" t="str">
        <f ca="1">IFERROR(__xludf.DUMMYFUNCTION("""COMPUTED_VALUE"""),"13-18")</f>
        <v>13-18</v>
      </c>
      <c r="E329" s="1">
        <f ca="1">IFERROR(__xludf.DUMMYFUNCTION("""COMPUTED_VALUE"""),-13.17)</f>
        <v>-13.17</v>
      </c>
      <c r="F329" s="1">
        <f ca="1">IFERROR(__xludf.DUMMYFUNCTION("""COMPUTED_VALUE"""),98.7)</f>
        <v>98.7</v>
      </c>
      <c r="G329" s="1">
        <f ca="1">IFERROR(__xludf.DUMMYFUNCTION("""COMPUTED_VALUE"""),285)</f>
        <v>285</v>
      </c>
      <c r="H329" s="1">
        <f ca="1">IFERROR(__xludf.DUMMYFUNCTION("""COMPUTED_VALUE"""),111.8)</f>
        <v>111.8</v>
      </c>
      <c r="I329" s="1">
        <f ca="1">IFERROR(__xludf.DUMMYFUNCTION("""COMPUTED_VALUE"""),308)</f>
        <v>308</v>
      </c>
      <c r="J329" s="1">
        <f ca="1">IFERROR(__xludf.DUMMYFUNCTION("""COMPUTED_VALUE"""),69.2)</f>
        <v>69.2</v>
      </c>
      <c r="K329" s="1">
        <f ca="1">IFERROR(__xludf.DUMMYFUNCTION("""COMPUTED_VALUE"""),114)</f>
        <v>114</v>
      </c>
      <c r="L329" s="1" t="str">
        <f ca="1">IFERROR(__xludf.DUMMYFUNCTION("""COMPUTED_VALUE"""),"+.022")</f>
        <v>+.022</v>
      </c>
      <c r="M329" s="1">
        <f ca="1">IFERROR(__xludf.DUMMYFUNCTION("""COMPUTED_VALUE"""),116)</f>
        <v>116</v>
      </c>
      <c r="N329" s="1">
        <f ca="1">IFERROR(__xludf.DUMMYFUNCTION("""COMPUTED_VALUE"""),-7.33)</f>
        <v>-7.33</v>
      </c>
      <c r="O329" s="1">
        <f ca="1">IFERROR(__xludf.DUMMYFUNCTION("""COMPUTED_VALUE"""),324)</f>
        <v>324</v>
      </c>
      <c r="P329" s="1">
        <f ca="1">IFERROR(__xludf.DUMMYFUNCTION("""COMPUTED_VALUE"""),101.1)</f>
        <v>101.1</v>
      </c>
      <c r="Q329" s="1">
        <f ca="1">IFERROR(__xludf.DUMMYFUNCTION("""COMPUTED_VALUE"""),316)</f>
        <v>316</v>
      </c>
      <c r="R329" s="1">
        <f ca="1">IFERROR(__xludf.DUMMYFUNCTION("""COMPUTED_VALUE"""),108.4)</f>
        <v>108.4</v>
      </c>
      <c r="S329" s="1">
        <f ca="1">IFERROR(__xludf.DUMMYFUNCTION("""COMPUTED_VALUE"""),321)</f>
        <v>321</v>
      </c>
      <c r="T329" s="1">
        <f ca="1">IFERROR(__xludf.DUMMYFUNCTION("""COMPUTED_VALUE"""),-2.35)</f>
        <v>-2.35</v>
      </c>
      <c r="U329" s="1">
        <f ca="1">IFERROR(__xludf.DUMMYFUNCTION("""COMPUTED_VALUE"""),227)</f>
        <v>227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IFERROR(__xludf.DUMMYFUNCTION("""COMPUTED_VALUE"""),"Stetson")</f>
        <v>Stetson</v>
      </c>
      <c r="C330" s="1" t="str">
        <f ca="1">IFERROR(__xludf.DUMMYFUNCTION("""COMPUTED_VALUE"""),"ASun")</f>
        <v>ASun</v>
      </c>
      <c r="D330" s="2">
        <f ca="1">IFERROR(__xludf.DUMMYFUNCTION("""COMPUTED_VALUE"""),44915)</f>
        <v>44915</v>
      </c>
      <c r="E330" s="1">
        <f ca="1">IFERROR(__xludf.DUMMYFUNCTION("""COMPUTED_VALUE"""),-13.27)</f>
        <v>-13.27</v>
      </c>
      <c r="F330" s="1">
        <f ca="1">IFERROR(__xludf.DUMMYFUNCTION("""COMPUTED_VALUE"""),98.5)</f>
        <v>98.5</v>
      </c>
      <c r="G330" s="1">
        <f ca="1">IFERROR(__xludf.DUMMYFUNCTION("""COMPUTED_VALUE"""),289)</f>
        <v>289</v>
      </c>
      <c r="H330" s="1">
        <f ca="1">IFERROR(__xludf.DUMMYFUNCTION("""COMPUTED_VALUE"""),111.8)</f>
        <v>111.8</v>
      </c>
      <c r="I330" s="1">
        <f ca="1">IFERROR(__xludf.DUMMYFUNCTION("""COMPUTED_VALUE"""),306)</f>
        <v>306</v>
      </c>
      <c r="J330" s="1">
        <f ca="1">IFERROR(__xludf.DUMMYFUNCTION("""COMPUTED_VALUE"""),69.8)</f>
        <v>69.8</v>
      </c>
      <c r="K330" s="1">
        <f ca="1">IFERROR(__xludf.DUMMYFUNCTION("""COMPUTED_VALUE"""),86)</f>
        <v>86</v>
      </c>
      <c r="L330" s="1">
        <f ca="1">IFERROR(__xludf.DUMMYFUNCTION("""COMPUTED_VALUE"""),-0.041)</f>
        <v>-4.1000000000000002E-2</v>
      </c>
      <c r="M330" s="1">
        <f ca="1">IFERROR(__xludf.DUMMYFUNCTION("""COMPUTED_VALUE"""),280)</f>
        <v>280</v>
      </c>
      <c r="N330" s="1">
        <f ca="1">IFERROR(__xludf.DUMMYFUNCTION("""COMPUTED_VALUE"""),-6.49)</f>
        <v>-6.49</v>
      </c>
      <c r="O330" s="1">
        <f ca="1">IFERROR(__xludf.DUMMYFUNCTION("""COMPUTED_VALUE"""),307)</f>
        <v>307</v>
      </c>
      <c r="P330" s="1">
        <f ca="1">IFERROR(__xludf.DUMMYFUNCTION("""COMPUTED_VALUE"""),102.1)</f>
        <v>102.1</v>
      </c>
      <c r="Q330" s="1">
        <f ca="1">IFERROR(__xludf.DUMMYFUNCTION("""COMPUTED_VALUE"""),289)</f>
        <v>289</v>
      </c>
      <c r="R330" s="1">
        <f ca="1">IFERROR(__xludf.DUMMYFUNCTION("""COMPUTED_VALUE"""),108.6)</f>
        <v>108.6</v>
      </c>
      <c r="S330" s="1">
        <f ca="1">IFERROR(__xludf.DUMMYFUNCTION("""COMPUTED_VALUE"""),326)</f>
        <v>326</v>
      </c>
      <c r="T330" s="1">
        <f ca="1">IFERROR(__xludf.DUMMYFUNCTION("""COMPUTED_VALUE"""),-4.23)</f>
        <v>-4.2300000000000004</v>
      </c>
      <c r="U330" s="1">
        <f ca="1">IFERROR(__xludf.DUMMYFUNCTION("""COMPUTED_VALUE"""),295)</f>
        <v>295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IFERROR(__xludf.DUMMYFUNCTION("""COMPUTED_VALUE"""),"The Citadel")</f>
        <v>The Citadel</v>
      </c>
      <c r="C331" s="1" t="str">
        <f ca="1">IFERROR(__xludf.DUMMYFUNCTION("""COMPUTED_VALUE"""),"SC")</f>
        <v>SC</v>
      </c>
      <c r="D331" s="2">
        <f ca="1">IFERROR(__xludf.DUMMYFUNCTION("""COMPUTED_VALUE"""),44886)</f>
        <v>44886</v>
      </c>
      <c r="E331" s="1">
        <f ca="1">IFERROR(__xludf.DUMMYFUNCTION("""COMPUTED_VALUE"""),-13.33)</f>
        <v>-13.33</v>
      </c>
      <c r="F331" s="1">
        <f ca="1">IFERROR(__xludf.DUMMYFUNCTION("""COMPUTED_VALUE"""),101.6)</f>
        <v>101.6</v>
      </c>
      <c r="G331" s="1">
        <f ca="1">IFERROR(__xludf.DUMMYFUNCTION("""COMPUTED_VALUE"""),238)</f>
        <v>238</v>
      </c>
      <c r="H331" s="1">
        <f ca="1">IFERROR(__xludf.DUMMYFUNCTION("""COMPUTED_VALUE"""),114.9)</f>
        <v>114.9</v>
      </c>
      <c r="I331" s="1">
        <f ca="1">IFERROR(__xludf.DUMMYFUNCTION("""COMPUTED_VALUE"""),332)</f>
        <v>332</v>
      </c>
      <c r="J331" s="1">
        <f ca="1">IFERROR(__xludf.DUMMYFUNCTION("""COMPUTED_VALUE"""),77.2)</f>
        <v>77.2</v>
      </c>
      <c r="K331" s="1">
        <f ca="1">IFERROR(__xludf.DUMMYFUNCTION("""COMPUTED_VALUE"""),2)</f>
        <v>2</v>
      </c>
      <c r="L331" s="1" t="str">
        <f ca="1">IFERROR(__xludf.DUMMYFUNCTION("""COMPUTED_VALUE"""),"+.062")</f>
        <v>+.062</v>
      </c>
      <c r="M331" s="1">
        <f ca="1">IFERROR(__xludf.DUMMYFUNCTION("""COMPUTED_VALUE"""),48)</f>
        <v>48</v>
      </c>
      <c r="N331" s="1">
        <f ca="1">IFERROR(__xludf.DUMMYFUNCTION("""COMPUTED_VALUE"""),-2.58)</f>
        <v>-2.58</v>
      </c>
      <c r="O331" s="1">
        <f ca="1">IFERROR(__xludf.DUMMYFUNCTION("""COMPUTED_VALUE"""),211)</f>
        <v>211</v>
      </c>
      <c r="P331" s="1">
        <f ca="1">IFERROR(__xludf.DUMMYFUNCTION("""COMPUTED_VALUE"""),103.5)</f>
        <v>103.5</v>
      </c>
      <c r="Q331" s="1">
        <f ca="1">IFERROR(__xludf.DUMMYFUNCTION("""COMPUTED_VALUE"""),216)</f>
        <v>216</v>
      </c>
      <c r="R331" s="1">
        <f ca="1">IFERROR(__xludf.DUMMYFUNCTION("""COMPUTED_VALUE"""),106.1)</f>
        <v>106.1</v>
      </c>
      <c r="S331" s="1">
        <f ca="1">IFERROR(__xludf.DUMMYFUNCTION("""COMPUTED_VALUE"""),198)</f>
        <v>198</v>
      </c>
      <c r="T331" s="1" t="str">
        <f ca="1">IFERROR(__xludf.DUMMYFUNCTION("""COMPUTED_VALUE"""),"+0.98")</f>
        <v>+0.98</v>
      </c>
      <c r="U331" s="1">
        <f ca="1">IFERROR(__xludf.DUMMYFUNCTION("""COMPUTED_VALUE"""),136)</f>
        <v>136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IFERROR(__xludf.DUMMYFUNCTION("""COMPUTED_VALUE"""),"North Carolina Central16")</f>
        <v>North Carolina Central16</v>
      </c>
      <c r="C332" s="1" t="str">
        <f ca="1">IFERROR(__xludf.DUMMYFUNCTION("""COMPUTED_VALUE"""),"MEAC")</f>
        <v>MEAC</v>
      </c>
      <c r="D332" s="1" t="str">
        <f ca="1">IFERROR(__xludf.DUMMYFUNCTION("""COMPUTED_VALUE"""),"19-16")</f>
        <v>19-16</v>
      </c>
      <c r="E332" s="1">
        <f ca="1">IFERROR(__xludf.DUMMYFUNCTION("""COMPUTED_VALUE"""),-13.41)</f>
        <v>-13.41</v>
      </c>
      <c r="F332" s="1">
        <f ca="1">IFERROR(__xludf.DUMMYFUNCTION("""COMPUTED_VALUE"""),96.6)</f>
        <v>96.6</v>
      </c>
      <c r="G332" s="1">
        <f ca="1">IFERROR(__xludf.DUMMYFUNCTION("""COMPUTED_VALUE"""),314)</f>
        <v>314</v>
      </c>
      <c r="H332" s="1">
        <f ca="1">IFERROR(__xludf.DUMMYFUNCTION("""COMPUTED_VALUE"""),110)</f>
        <v>110</v>
      </c>
      <c r="I332" s="1">
        <f ca="1">IFERROR(__xludf.DUMMYFUNCTION("""COMPUTED_VALUE"""),276)</f>
        <v>276</v>
      </c>
      <c r="J332" s="1">
        <f ca="1">IFERROR(__xludf.DUMMYFUNCTION("""COMPUTED_VALUE"""),65)</f>
        <v>65</v>
      </c>
      <c r="K332" s="1">
        <f ca="1">IFERROR(__xludf.DUMMYFUNCTION("""COMPUTED_VALUE"""),321)</f>
        <v>321</v>
      </c>
      <c r="L332" s="1" t="str">
        <f ca="1">IFERROR(__xludf.DUMMYFUNCTION("""COMPUTED_VALUE"""),"+.019")</f>
        <v>+.019</v>
      </c>
      <c r="M332" s="1">
        <f ca="1">IFERROR(__xludf.DUMMYFUNCTION("""COMPUTED_VALUE"""),126)</f>
        <v>126</v>
      </c>
      <c r="N332" s="1">
        <f ca="1">IFERROR(__xludf.DUMMYFUNCTION("""COMPUTED_VALUE"""),-12.78)</f>
        <v>-12.78</v>
      </c>
      <c r="O332" s="1">
        <f ca="1">IFERROR(__xludf.DUMMYFUNCTION("""COMPUTED_VALUE"""),350)</f>
        <v>350</v>
      </c>
      <c r="P332" s="1">
        <f ca="1">IFERROR(__xludf.DUMMYFUNCTION("""COMPUTED_VALUE"""),98.4)</f>
        <v>98.4</v>
      </c>
      <c r="Q332" s="1">
        <f ca="1">IFERROR(__xludf.DUMMYFUNCTION("""COMPUTED_VALUE"""),349)</f>
        <v>349</v>
      </c>
      <c r="R332" s="1">
        <f ca="1">IFERROR(__xludf.DUMMYFUNCTION("""COMPUTED_VALUE"""),111.2)</f>
        <v>111.2</v>
      </c>
      <c r="S332" s="1">
        <f ca="1">IFERROR(__xludf.DUMMYFUNCTION("""COMPUTED_VALUE"""),351)</f>
        <v>351</v>
      </c>
      <c r="T332" s="1">
        <f ca="1">IFERROR(__xludf.DUMMYFUNCTION("""COMPUTED_VALUE"""),-1.47)</f>
        <v>-1.47</v>
      </c>
      <c r="U332" s="1">
        <f ca="1">IFERROR(__xludf.DUMMYFUNCTION("""COMPUTED_VALUE"""),196)</f>
        <v>196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IFERROR(__xludf.DUMMYFUNCTION("""COMPUTED_VALUE"""),"Savannah St.")</f>
        <v>Savannah St.</v>
      </c>
      <c r="C333" s="1" t="str">
        <f ca="1">IFERROR(__xludf.DUMMYFUNCTION("""COMPUTED_VALUE"""),"MEAC")</f>
        <v>MEAC</v>
      </c>
      <c r="D333" s="1" t="str">
        <f ca="1">IFERROR(__xludf.DUMMYFUNCTION("""COMPUTED_VALUE"""),"15-17")</f>
        <v>15-17</v>
      </c>
      <c r="E333" s="1">
        <f ca="1">IFERROR(__xludf.DUMMYFUNCTION("""COMPUTED_VALUE"""),-13.55)</f>
        <v>-13.55</v>
      </c>
      <c r="F333" s="1">
        <f ca="1">IFERROR(__xludf.DUMMYFUNCTION("""COMPUTED_VALUE"""),100.9)</f>
        <v>100.9</v>
      </c>
      <c r="G333" s="1">
        <f ca="1">IFERROR(__xludf.DUMMYFUNCTION("""COMPUTED_VALUE"""),244)</f>
        <v>244</v>
      </c>
      <c r="H333" s="1">
        <f ca="1">IFERROR(__xludf.DUMMYFUNCTION("""COMPUTED_VALUE"""),114.5)</f>
        <v>114.5</v>
      </c>
      <c r="I333" s="1">
        <f ca="1">IFERROR(__xludf.DUMMYFUNCTION("""COMPUTED_VALUE"""),326)</f>
        <v>326</v>
      </c>
      <c r="J333" s="1">
        <f ca="1">IFERROR(__xludf.DUMMYFUNCTION("""COMPUTED_VALUE"""),82.3)</f>
        <v>82.3</v>
      </c>
      <c r="K333" s="1">
        <f ca="1">IFERROR(__xludf.DUMMYFUNCTION("""COMPUTED_VALUE"""),1)</f>
        <v>1</v>
      </c>
      <c r="L333" s="1" t="str">
        <f ca="1">IFERROR(__xludf.DUMMYFUNCTION("""COMPUTED_VALUE"""),"+.108")</f>
        <v>+.108</v>
      </c>
      <c r="M333" s="1">
        <f ca="1">IFERROR(__xludf.DUMMYFUNCTION("""COMPUTED_VALUE"""),8)</f>
        <v>8</v>
      </c>
      <c r="N333" s="1">
        <f ca="1">IFERROR(__xludf.DUMMYFUNCTION("""COMPUTED_VALUE"""),-6.81)</f>
        <v>-6.81</v>
      </c>
      <c r="O333" s="1">
        <f ca="1">IFERROR(__xludf.DUMMYFUNCTION("""COMPUTED_VALUE"""),311)</f>
        <v>311</v>
      </c>
      <c r="P333" s="1">
        <f ca="1">IFERROR(__xludf.DUMMYFUNCTION("""COMPUTED_VALUE"""),101.2)</f>
        <v>101.2</v>
      </c>
      <c r="Q333" s="1">
        <f ca="1">IFERROR(__xludf.DUMMYFUNCTION("""COMPUTED_VALUE"""),313)</f>
        <v>313</v>
      </c>
      <c r="R333" s="1">
        <f ca="1">IFERROR(__xludf.DUMMYFUNCTION("""COMPUTED_VALUE"""),108)</f>
        <v>108</v>
      </c>
      <c r="S333" s="1">
        <f ca="1">IFERROR(__xludf.DUMMYFUNCTION("""COMPUTED_VALUE"""),308)</f>
        <v>308</v>
      </c>
      <c r="T333" s="1" t="str">
        <f ca="1">IFERROR(__xludf.DUMMYFUNCTION("""COMPUTED_VALUE"""),"+15.20")</f>
        <v>+15.20</v>
      </c>
      <c r="U333" s="1">
        <f ca="1">IFERROR(__xludf.DUMMYFUNCTION("""COMPUTED_VALUE"""),2)</f>
        <v>2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IFERROR(__xludf.DUMMYFUNCTION("""COMPUTED_VALUE"""),"SIU Edwardsville")</f>
        <v>SIU Edwardsville</v>
      </c>
      <c r="C334" s="1" t="str">
        <f ca="1">IFERROR(__xludf.DUMMYFUNCTION("""COMPUTED_VALUE"""),"OVC")</f>
        <v>OVC</v>
      </c>
      <c r="D334" s="2">
        <f ca="1">IFERROR(__xludf.DUMMYFUNCTION("""COMPUTED_VALUE"""),44825)</f>
        <v>44825</v>
      </c>
      <c r="E334" s="1">
        <f ca="1">IFERROR(__xludf.DUMMYFUNCTION("""COMPUTED_VALUE"""),-13.61)</f>
        <v>-13.61</v>
      </c>
      <c r="F334" s="1">
        <f ca="1">IFERROR(__xludf.DUMMYFUNCTION("""COMPUTED_VALUE"""),99.4)</f>
        <v>99.4</v>
      </c>
      <c r="G334" s="1">
        <f ca="1">IFERROR(__xludf.DUMMYFUNCTION("""COMPUTED_VALUE"""),264)</f>
        <v>264</v>
      </c>
      <c r="H334" s="1">
        <f ca="1">IFERROR(__xludf.DUMMYFUNCTION("""COMPUTED_VALUE"""),113)</f>
        <v>113</v>
      </c>
      <c r="I334" s="1">
        <f ca="1">IFERROR(__xludf.DUMMYFUNCTION("""COMPUTED_VALUE"""),318)</f>
        <v>318</v>
      </c>
      <c r="J334" s="1">
        <f ca="1">IFERROR(__xludf.DUMMYFUNCTION("""COMPUTED_VALUE"""),69.2)</f>
        <v>69.2</v>
      </c>
      <c r="K334" s="1">
        <f ca="1">IFERROR(__xludf.DUMMYFUNCTION("""COMPUTED_VALUE"""),118)</f>
        <v>118</v>
      </c>
      <c r="L334" s="1" t="str">
        <f ca="1">IFERROR(__xludf.DUMMYFUNCTION("""COMPUTED_VALUE"""),"+.069")</f>
        <v>+.069</v>
      </c>
      <c r="M334" s="1">
        <f ca="1">IFERROR(__xludf.DUMMYFUNCTION("""COMPUTED_VALUE"""),33)</f>
        <v>33</v>
      </c>
      <c r="N334" s="1">
        <f ca="1">IFERROR(__xludf.DUMMYFUNCTION("""COMPUTED_VALUE"""),-2.94)</f>
        <v>-2.94</v>
      </c>
      <c r="O334" s="1">
        <f ca="1">IFERROR(__xludf.DUMMYFUNCTION("""COMPUTED_VALUE"""),226)</f>
        <v>226</v>
      </c>
      <c r="P334" s="1">
        <f ca="1">IFERROR(__xludf.DUMMYFUNCTION("""COMPUTED_VALUE"""),103.4)</f>
        <v>103.4</v>
      </c>
      <c r="Q334" s="1">
        <f ca="1">IFERROR(__xludf.DUMMYFUNCTION("""COMPUTED_VALUE"""),225)</f>
        <v>225</v>
      </c>
      <c r="R334" s="1">
        <f ca="1">IFERROR(__xludf.DUMMYFUNCTION("""COMPUTED_VALUE"""),106.4)</f>
        <v>106.4</v>
      </c>
      <c r="S334" s="1">
        <f ca="1">IFERROR(__xludf.DUMMYFUNCTION("""COMPUTED_VALUE"""),219)</f>
        <v>219</v>
      </c>
      <c r="T334" s="1">
        <f ca="1">IFERROR(__xludf.DUMMYFUNCTION("""COMPUTED_VALUE"""),-1.32)</f>
        <v>-1.32</v>
      </c>
      <c r="U334" s="1">
        <f ca="1">IFERROR(__xludf.DUMMYFUNCTION("""COMPUTED_VALUE"""),191)</f>
        <v>191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IFERROR(__xludf.DUMMYFUNCTION("""COMPUTED_VALUE"""),"Detroit")</f>
        <v>Detroit</v>
      </c>
      <c r="C335" s="1" t="str">
        <f ca="1">IFERROR(__xludf.DUMMYFUNCTION("""COMPUTED_VALUE"""),"Horz")</f>
        <v>Horz</v>
      </c>
      <c r="D335" s="2">
        <f ca="1">IFERROR(__xludf.DUMMYFUNCTION("""COMPUTED_VALUE"""),44797)</f>
        <v>44797</v>
      </c>
      <c r="E335" s="1">
        <f ca="1">IFERROR(__xludf.DUMMYFUNCTION("""COMPUTED_VALUE"""),-14.2)</f>
        <v>-14.2</v>
      </c>
      <c r="F335" s="1">
        <f ca="1">IFERROR(__xludf.DUMMYFUNCTION("""COMPUTED_VALUE"""),102.6)</f>
        <v>102.6</v>
      </c>
      <c r="G335" s="1">
        <f ca="1">IFERROR(__xludf.DUMMYFUNCTION("""COMPUTED_VALUE"""),215)</f>
        <v>215</v>
      </c>
      <c r="H335" s="1">
        <f ca="1">IFERROR(__xludf.DUMMYFUNCTION("""COMPUTED_VALUE"""),116.8)</f>
        <v>116.8</v>
      </c>
      <c r="I335" s="1">
        <f ca="1">IFERROR(__xludf.DUMMYFUNCTION("""COMPUTED_VALUE"""),342)</f>
        <v>342</v>
      </c>
      <c r="J335" s="1">
        <f ca="1">IFERROR(__xludf.DUMMYFUNCTION("""COMPUTED_VALUE"""),72.4)</f>
        <v>72.400000000000006</v>
      </c>
      <c r="K335" s="1">
        <f ca="1">IFERROR(__xludf.DUMMYFUNCTION("""COMPUTED_VALUE"""),21)</f>
        <v>21</v>
      </c>
      <c r="L335" s="1">
        <f ca="1">IFERROR(__xludf.DUMMYFUNCTION("""COMPUTED_VALUE"""),-0.011)</f>
        <v>-1.0999999999999999E-2</v>
      </c>
      <c r="M335" s="1">
        <f ca="1">IFERROR(__xludf.DUMMYFUNCTION("""COMPUTED_VALUE"""),208)</f>
        <v>208</v>
      </c>
      <c r="N335" s="1">
        <f ca="1">IFERROR(__xludf.DUMMYFUNCTION("""COMPUTED_VALUE"""),-2.07)</f>
        <v>-2.0699999999999998</v>
      </c>
      <c r="O335" s="1">
        <f ca="1">IFERROR(__xludf.DUMMYFUNCTION("""COMPUTED_VALUE"""),191)</f>
        <v>191</v>
      </c>
      <c r="P335" s="1">
        <f ca="1">IFERROR(__xludf.DUMMYFUNCTION("""COMPUTED_VALUE"""),103.6)</f>
        <v>103.6</v>
      </c>
      <c r="Q335" s="1">
        <f ca="1">IFERROR(__xludf.DUMMYFUNCTION("""COMPUTED_VALUE"""),213)</f>
        <v>213</v>
      </c>
      <c r="R335" s="1">
        <f ca="1">IFERROR(__xludf.DUMMYFUNCTION("""COMPUTED_VALUE"""),105.7)</f>
        <v>105.7</v>
      </c>
      <c r="S335" s="1">
        <f ca="1">IFERROR(__xludf.DUMMYFUNCTION("""COMPUTED_VALUE"""),173)</f>
        <v>173</v>
      </c>
      <c r="T335" s="1" t="str">
        <f ca="1">IFERROR(__xludf.DUMMYFUNCTION("""COMPUTED_VALUE"""),"+4.64")</f>
        <v>+4.64</v>
      </c>
      <c r="U335" s="1">
        <f ca="1">IFERROR(__xludf.DUMMYFUNCTION("""COMPUTED_VALUE"""),45)</f>
        <v>45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IFERROR(__xludf.DUMMYFUNCTION("""COMPUTED_VALUE"""),"Jacksonville")</f>
        <v>Jacksonville</v>
      </c>
      <c r="C336" s="1" t="str">
        <f ca="1">IFERROR(__xludf.DUMMYFUNCTION("""COMPUTED_VALUE"""),"ASun")</f>
        <v>ASun</v>
      </c>
      <c r="D336" s="1" t="str">
        <f ca="1">IFERROR(__xludf.DUMMYFUNCTION("""COMPUTED_VALUE"""),"15-18")</f>
        <v>15-18</v>
      </c>
      <c r="E336" s="1">
        <f ca="1">IFERROR(__xludf.DUMMYFUNCTION("""COMPUTED_VALUE"""),-14.27)</f>
        <v>-14.27</v>
      </c>
      <c r="F336" s="1">
        <f ca="1">IFERROR(__xludf.DUMMYFUNCTION("""COMPUTED_VALUE"""),94.2)</f>
        <v>94.2</v>
      </c>
      <c r="G336" s="1">
        <f ca="1">IFERROR(__xludf.DUMMYFUNCTION("""COMPUTED_VALUE"""),337)</f>
        <v>337</v>
      </c>
      <c r="H336" s="1">
        <f ca="1">IFERROR(__xludf.DUMMYFUNCTION("""COMPUTED_VALUE"""),108.4)</f>
        <v>108.4</v>
      </c>
      <c r="I336" s="1">
        <f ca="1">IFERROR(__xludf.DUMMYFUNCTION("""COMPUTED_VALUE"""),241)</f>
        <v>241</v>
      </c>
      <c r="J336" s="1">
        <f ca="1">IFERROR(__xludf.DUMMYFUNCTION("""COMPUTED_VALUE"""),68.6)</f>
        <v>68.599999999999994</v>
      </c>
      <c r="K336" s="1">
        <f ca="1">IFERROR(__xludf.DUMMYFUNCTION("""COMPUTED_VALUE"""),157)</f>
        <v>157</v>
      </c>
      <c r="L336" s="1" t="str">
        <f ca="1">IFERROR(__xludf.DUMMYFUNCTION("""COMPUTED_VALUE"""),"+.060")</f>
        <v>+.060</v>
      </c>
      <c r="M336" s="1">
        <f ca="1">IFERROR(__xludf.DUMMYFUNCTION("""COMPUTED_VALUE"""),53)</f>
        <v>53</v>
      </c>
      <c r="N336" s="1">
        <f ca="1">IFERROR(__xludf.DUMMYFUNCTION("""COMPUTED_VALUE"""),-6.82)</f>
        <v>-6.82</v>
      </c>
      <c r="O336" s="1">
        <f ca="1">IFERROR(__xludf.DUMMYFUNCTION("""COMPUTED_VALUE"""),313)</f>
        <v>313</v>
      </c>
      <c r="P336" s="1">
        <f ca="1">IFERROR(__xludf.DUMMYFUNCTION("""COMPUTED_VALUE"""),102.3)</f>
        <v>102.3</v>
      </c>
      <c r="Q336" s="1">
        <f ca="1">IFERROR(__xludf.DUMMYFUNCTION("""COMPUTED_VALUE"""),283)</f>
        <v>283</v>
      </c>
      <c r="R336" s="1">
        <f ca="1">IFERROR(__xludf.DUMMYFUNCTION("""COMPUTED_VALUE"""),109.1)</f>
        <v>109.1</v>
      </c>
      <c r="S336" s="1">
        <f ca="1">IFERROR(__xludf.DUMMYFUNCTION("""COMPUTED_VALUE"""),339)</f>
        <v>339</v>
      </c>
      <c r="T336" s="1">
        <f ca="1">IFERROR(__xludf.DUMMYFUNCTION("""COMPUTED_VALUE"""),-3.11)</f>
        <v>-3.11</v>
      </c>
      <c r="U336" s="1">
        <f ca="1">IFERROR(__xludf.DUMMYFUNCTION("""COMPUTED_VALUE"""),256)</f>
        <v>256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IFERROR(__xludf.DUMMYFUNCTION("""COMPUTED_VALUE"""),"Marist")</f>
        <v>Marist</v>
      </c>
      <c r="C339" s="1" t="str">
        <f ca="1">IFERROR(__xludf.DUMMYFUNCTION("""COMPUTED_VALUE"""),"MAAC")</f>
        <v>MAAC</v>
      </c>
      <c r="D339" s="2">
        <f ca="1">IFERROR(__xludf.DUMMYFUNCTION("""COMPUTED_VALUE"""),44737)</f>
        <v>44737</v>
      </c>
      <c r="E339" s="1">
        <f ca="1">IFERROR(__xludf.DUMMYFUNCTION("""COMPUTED_VALUE"""),-14.47)</f>
        <v>-14.47</v>
      </c>
      <c r="F339" s="1">
        <f ca="1">IFERROR(__xludf.DUMMYFUNCTION("""COMPUTED_VALUE"""),98.5)</f>
        <v>98.5</v>
      </c>
      <c r="G339" s="1">
        <f ca="1">IFERROR(__xludf.DUMMYFUNCTION("""COMPUTED_VALUE"""),291)</f>
        <v>291</v>
      </c>
      <c r="H339" s="1">
        <f ca="1">IFERROR(__xludf.DUMMYFUNCTION("""COMPUTED_VALUE"""),112.9)</f>
        <v>112.9</v>
      </c>
      <c r="I339" s="1">
        <f ca="1">IFERROR(__xludf.DUMMYFUNCTION("""COMPUTED_VALUE"""),317)</f>
        <v>317</v>
      </c>
      <c r="J339" s="1">
        <f ca="1">IFERROR(__xludf.DUMMYFUNCTION("""COMPUTED_VALUE"""),69.6)</f>
        <v>69.599999999999994</v>
      </c>
      <c r="K339" s="1">
        <f ca="1">IFERROR(__xludf.DUMMYFUNCTION("""COMPUTED_VALUE"""),96)</f>
        <v>96</v>
      </c>
      <c r="L339" s="1">
        <f ca="1">IFERROR(__xludf.DUMMYFUNCTION("""COMPUTED_VALUE"""),-0.048)</f>
        <v>-4.8000000000000001E-2</v>
      </c>
      <c r="M339" s="1">
        <f ca="1">IFERROR(__xludf.DUMMYFUNCTION("""COMPUTED_VALUE"""),294)</f>
        <v>294</v>
      </c>
      <c r="N339" s="1">
        <f ca="1">IFERROR(__xludf.DUMMYFUNCTION("""COMPUTED_VALUE"""),-4.24)</f>
        <v>-4.24</v>
      </c>
      <c r="O339" s="1">
        <f ca="1">IFERROR(__xludf.DUMMYFUNCTION("""COMPUTED_VALUE"""),264)</f>
        <v>264</v>
      </c>
      <c r="P339" s="1">
        <f ca="1">IFERROR(__xludf.DUMMYFUNCTION("""COMPUTED_VALUE"""),103.4)</f>
        <v>103.4</v>
      </c>
      <c r="Q339" s="1">
        <f ca="1">IFERROR(__xludf.DUMMYFUNCTION("""COMPUTED_VALUE"""),228)</f>
        <v>228</v>
      </c>
      <c r="R339" s="1">
        <f ca="1">IFERROR(__xludf.DUMMYFUNCTION("""COMPUTED_VALUE"""),107.6)</f>
        <v>107.6</v>
      </c>
      <c r="S339" s="1">
        <f ca="1">IFERROR(__xludf.DUMMYFUNCTION("""COMPUTED_VALUE"""),285)</f>
        <v>285</v>
      </c>
      <c r="T339" s="1">
        <f ca="1">IFERROR(__xludf.DUMMYFUNCTION("""COMPUTED_VALUE"""),-3.4)</f>
        <v>-3.4</v>
      </c>
      <c r="U339" s="1">
        <f ca="1">IFERROR(__xludf.DUMMYFUNCTION("""COMPUTED_VALUE"""),268)</f>
        <v>268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IFERROR(__xludf.DUMMYFUNCTION("""COMPUTED_VALUE"""),"Youngstown St.")</f>
        <v>Youngstown St.</v>
      </c>
      <c r="C340" s="1" t="str">
        <f ca="1">IFERROR(__xludf.DUMMYFUNCTION("""COMPUTED_VALUE"""),"Horz")</f>
        <v>Horz</v>
      </c>
      <c r="D340" s="2">
        <f ca="1">IFERROR(__xludf.DUMMYFUNCTION("""COMPUTED_VALUE"""),44797)</f>
        <v>44797</v>
      </c>
      <c r="E340" s="1">
        <f ca="1">IFERROR(__xludf.DUMMYFUNCTION("""COMPUTED_VALUE"""),-14.56)</f>
        <v>-14.56</v>
      </c>
      <c r="F340" s="1">
        <f ca="1">IFERROR(__xludf.DUMMYFUNCTION("""COMPUTED_VALUE"""),101.4)</f>
        <v>101.4</v>
      </c>
      <c r="G340" s="1">
        <f ca="1">IFERROR(__xludf.DUMMYFUNCTION("""COMPUTED_VALUE"""),242)</f>
        <v>242</v>
      </c>
      <c r="H340" s="1">
        <f ca="1">IFERROR(__xludf.DUMMYFUNCTION("""COMPUTED_VALUE"""),115.9)</f>
        <v>115.9</v>
      </c>
      <c r="I340" s="1">
        <f ca="1">IFERROR(__xludf.DUMMYFUNCTION("""COMPUTED_VALUE"""),338)</f>
        <v>338</v>
      </c>
      <c r="J340" s="1">
        <f ca="1">IFERROR(__xludf.DUMMYFUNCTION("""COMPUTED_VALUE"""),71.1)</f>
        <v>71.099999999999994</v>
      </c>
      <c r="K340" s="1">
        <f ca="1">IFERROR(__xludf.DUMMYFUNCTION("""COMPUTED_VALUE"""),50)</f>
        <v>50</v>
      </c>
      <c r="L340" s="1">
        <f ca="1">IFERROR(__xludf.DUMMYFUNCTION("""COMPUTED_VALUE"""),-0.01)</f>
        <v>-0.01</v>
      </c>
      <c r="M340" s="1">
        <f ca="1">IFERROR(__xludf.DUMMYFUNCTION("""COMPUTED_VALUE"""),205)</f>
        <v>205</v>
      </c>
      <c r="N340" s="1">
        <f ca="1">IFERROR(__xludf.DUMMYFUNCTION("""COMPUTED_VALUE"""),-1.7)</f>
        <v>-1.7</v>
      </c>
      <c r="O340" s="1">
        <f ca="1">IFERROR(__xludf.DUMMYFUNCTION("""COMPUTED_VALUE"""),179)</f>
        <v>179</v>
      </c>
      <c r="P340" s="1">
        <f ca="1">IFERROR(__xludf.DUMMYFUNCTION("""COMPUTED_VALUE"""),103.2)</f>
        <v>103.2</v>
      </c>
      <c r="Q340" s="1">
        <f ca="1">IFERROR(__xludf.DUMMYFUNCTION("""COMPUTED_VALUE"""),233)</f>
        <v>233</v>
      </c>
      <c r="R340" s="1">
        <f ca="1">IFERROR(__xludf.DUMMYFUNCTION("""COMPUTED_VALUE"""),104.9)</f>
        <v>104.9</v>
      </c>
      <c r="S340" s="1">
        <f ca="1">IFERROR(__xludf.DUMMYFUNCTION("""COMPUTED_VALUE"""),136)</f>
        <v>136</v>
      </c>
      <c r="T340" s="1" t="str">
        <f ca="1">IFERROR(__xludf.DUMMYFUNCTION("""COMPUTED_VALUE"""),"+5.26")</f>
        <v>+5.26</v>
      </c>
      <c r="U340" s="1">
        <f ca="1">IFERROR(__xludf.DUMMYFUNCTION("""COMPUTED_VALUE"""),35)</f>
        <v>35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IFERROR(__xludf.DUMMYFUNCTION("""COMPUTED_VALUE"""),"Loyola MD")</f>
        <v>Loyola MD</v>
      </c>
      <c r="C341" s="1" t="str">
        <f ca="1">IFERROR(__xludf.DUMMYFUNCTION("""COMPUTED_VALUE"""),"Pat")</f>
        <v>Pat</v>
      </c>
      <c r="D341" s="2">
        <f ca="1">IFERROR(__xludf.DUMMYFUNCTION("""COMPUTED_VALUE"""),44826)</f>
        <v>44826</v>
      </c>
      <c r="E341" s="1">
        <f ca="1">IFERROR(__xludf.DUMMYFUNCTION("""COMPUTED_VALUE"""),-14.58)</f>
        <v>-14.58</v>
      </c>
      <c r="F341" s="1">
        <f ca="1">IFERROR(__xludf.DUMMYFUNCTION("""COMPUTED_VALUE"""),96.2)</f>
        <v>96.2</v>
      </c>
      <c r="G341" s="1">
        <f ca="1">IFERROR(__xludf.DUMMYFUNCTION("""COMPUTED_VALUE"""),318)</f>
        <v>318</v>
      </c>
      <c r="H341" s="1">
        <f ca="1">IFERROR(__xludf.DUMMYFUNCTION("""COMPUTED_VALUE"""),110.8)</f>
        <v>110.8</v>
      </c>
      <c r="I341" s="1">
        <f ca="1">IFERROR(__xludf.DUMMYFUNCTION("""COMPUTED_VALUE"""),295)</f>
        <v>295</v>
      </c>
      <c r="J341" s="1">
        <f ca="1">IFERROR(__xludf.DUMMYFUNCTION("""COMPUTED_VALUE"""),68.4)</f>
        <v>68.400000000000006</v>
      </c>
      <c r="K341" s="1">
        <f ca="1">IFERROR(__xludf.DUMMYFUNCTION("""COMPUTED_VALUE"""),168)</f>
        <v>168</v>
      </c>
      <c r="L341" s="1" t="str">
        <f ca="1">IFERROR(__xludf.DUMMYFUNCTION("""COMPUTED_VALUE"""),"+.020")</f>
        <v>+.020</v>
      </c>
      <c r="M341" s="1">
        <f ca="1">IFERROR(__xludf.DUMMYFUNCTION("""COMPUTED_VALUE"""),122)</f>
        <v>122</v>
      </c>
      <c r="N341" s="1">
        <f ca="1">IFERROR(__xludf.DUMMYFUNCTION("""COMPUTED_VALUE"""),-5.37)</f>
        <v>-5.37</v>
      </c>
      <c r="O341" s="1">
        <f ca="1">IFERROR(__xludf.DUMMYFUNCTION("""COMPUTED_VALUE"""),288)</f>
        <v>288</v>
      </c>
      <c r="P341" s="1">
        <f ca="1">IFERROR(__xludf.DUMMYFUNCTION("""COMPUTED_VALUE"""),102.6)</f>
        <v>102.6</v>
      </c>
      <c r="Q341" s="1">
        <f ca="1">IFERROR(__xludf.DUMMYFUNCTION("""COMPUTED_VALUE"""),271)</f>
        <v>271</v>
      </c>
      <c r="R341" s="1">
        <f ca="1">IFERROR(__xludf.DUMMYFUNCTION("""COMPUTED_VALUE"""),108)</f>
        <v>108</v>
      </c>
      <c r="S341" s="1">
        <f ca="1">IFERROR(__xludf.DUMMYFUNCTION("""COMPUTED_VALUE"""),306)</f>
        <v>306</v>
      </c>
      <c r="T341" s="1">
        <f ca="1">IFERROR(__xludf.DUMMYFUNCTION("""COMPUTED_VALUE"""),-1.61)</f>
        <v>-1.61</v>
      </c>
      <c r="U341" s="1">
        <f ca="1">IFERROR(__xludf.DUMMYFUNCTION("""COMPUTED_VALUE"""),201)</f>
        <v>201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IFERROR(__xludf.DUMMYFUNCTION("""COMPUTED_VALUE"""),"Morgan St.")</f>
        <v>Morgan St.</v>
      </c>
      <c r="C342" s="1" t="str">
        <f ca="1">IFERROR(__xludf.DUMMYFUNCTION("""COMPUTED_VALUE"""),"MEAC")</f>
        <v>MEAC</v>
      </c>
      <c r="D342" s="1" t="str">
        <f ca="1">IFERROR(__xludf.DUMMYFUNCTION("""COMPUTED_VALUE"""),"13-19")</f>
        <v>13-19</v>
      </c>
      <c r="E342" s="1">
        <f ca="1">IFERROR(__xludf.DUMMYFUNCTION("""COMPUTED_VALUE"""),-14.82)</f>
        <v>-14.82</v>
      </c>
      <c r="F342" s="1">
        <f ca="1">IFERROR(__xludf.DUMMYFUNCTION("""COMPUTED_VALUE"""),96.3)</f>
        <v>96.3</v>
      </c>
      <c r="G342" s="1">
        <f ca="1">IFERROR(__xludf.DUMMYFUNCTION("""COMPUTED_VALUE"""),317)</f>
        <v>317</v>
      </c>
      <c r="H342" s="1">
        <f ca="1">IFERROR(__xludf.DUMMYFUNCTION("""COMPUTED_VALUE"""),111.1)</f>
        <v>111.1</v>
      </c>
      <c r="I342" s="1">
        <f ca="1">IFERROR(__xludf.DUMMYFUNCTION("""COMPUTED_VALUE"""),298)</f>
        <v>298</v>
      </c>
      <c r="J342" s="1">
        <f ca="1">IFERROR(__xludf.DUMMYFUNCTION("""COMPUTED_VALUE"""),68.9)</f>
        <v>68.900000000000006</v>
      </c>
      <c r="K342" s="1">
        <f ca="1">IFERROR(__xludf.DUMMYFUNCTION("""COMPUTED_VALUE"""),133)</f>
        <v>133</v>
      </c>
      <c r="L342" s="1">
        <f ca="1">IFERROR(__xludf.DUMMYFUNCTION("""COMPUTED_VALUE"""),-0.06)</f>
        <v>-0.06</v>
      </c>
      <c r="M342" s="1">
        <f ca="1">IFERROR(__xludf.DUMMYFUNCTION("""COMPUTED_VALUE"""),314)</f>
        <v>314</v>
      </c>
      <c r="N342" s="1">
        <f ca="1">IFERROR(__xludf.DUMMYFUNCTION("""COMPUTED_VALUE"""),-11.95)</f>
        <v>-11.95</v>
      </c>
      <c r="O342" s="1">
        <f ca="1">IFERROR(__xludf.DUMMYFUNCTION("""COMPUTED_VALUE"""),349)</f>
        <v>349</v>
      </c>
      <c r="P342" s="1">
        <f ca="1">IFERROR(__xludf.DUMMYFUNCTION("""COMPUTED_VALUE"""),98.6)</f>
        <v>98.6</v>
      </c>
      <c r="Q342" s="1">
        <f ca="1">IFERROR(__xludf.DUMMYFUNCTION("""COMPUTED_VALUE"""),348)</f>
        <v>348</v>
      </c>
      <c r="R342" s="1">
        <f ca="1">IFERROR(__xludf.DUMMYFUNCTION("""COMPUTED_VALUE"""),110.5)</f>
        <v>110.5</v>
      </c>
      <c r="S342" s="1">
        <f ca="1">IFERROR(__xludf.DUMMYFUNCTION("""COMPUTED_VALUE"""),347)</f>
        <v>347</v>
      </c>
      <c r="T342" s="1" t="str">
        <f ca="1">IFERROR(__xludf.DUMMYFUNCTION("""COMPUTED_VALUE"""),"+0.36")</f>
        <v>+0.36</v>
      </c>
      <c r="U342" s="1">
        <f ca="1">IFERROR(__xludf.DUMMYFUNCTION("""COMPUTED_VALUE"""),149)</f>
        <v>149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IFERROR(__xludf.DUMMYFUNCTION("""COMPUTED_VALUE"""),"Cal Poly")</f>
        <v>Cal Poly</v>
      </c>
      <c r="C343" s="1" t="str">
        <f ca="1">IFERROR(__xludf.DUMMYFUNCTION("""COMPUTED_VALUE"""),"BW")</f>
        <v>BW</v>
      </c>
      <c r="D343" s="2">
        <f ca="1">IFERROR(__xludf.DUMMYFUNCTION("""COMPUTED_VALUE"""),44826)</f>
        <v>44826</v>
      </c>
      <c r="E343" s="1">
        <f ca="1">IFERROR(__xludf.DUMMYFUNCTION("""COMPUTED_VALUE"""),-14.98)</f>
        <v>-14.98</v>
      </c>
      <c r="F343" s="1">
        <f ca="1">IFERROR(__xludf.DUMMYFUNCTION("""COMPUTED_VALUE"""),98.2)</f>
        <v>98.2</v>
      </c>
      <c r="G343" s="1">
        <f ca="1">IFERROR(__xludf.DUMMYFUNCTION("""COMPUTED_VALUE"""),294)</f>
        <v>294</v>
      </c>
      <c r="H343" s="1">
        <f ca="1">IFERROR(__xludf.DUMMYFUNCTION("""COMPUTED_VALUE"""),113.2)</f>
        <v>113.2</v>
      </c>
      <c r="I343" s="1">
        <f ca="1">IFERROR(__xludf.DUMMYFUNCTION("""COMPUTED_VALUE"""),320)</f>
        <v>320</v>
      </c>
      <c r="J343" s="1">
        <f ca="1">IFERROR(__xludf.DUMMYFUNCTION("""COMPUTED_VALUE"""),66.2)</f>
        <v>66.2</v>
      </c>
      <c r="K343" s="1">
        <f ca="1">IFERROR(__xludf.DUMMYFUNCTION("""COMPUTED_VALUE"""),270)</f>
        <v>270</v>
      </c>
      <c r="L343" s="1" t="str">
        <f ca="1">IFERROR(__xludf.DUMMYFUNCTION("""COMPUTED_VALUE"""),"+.051")</f>
        <v>+.051</v>
      </c>
      <c r="M343" s="1">
        <f ca="1">IFERROR(__xludf.DUMMYFUNCTION("""COMPUTED_VALUE"""),63)</f>
        <v>63</v>
      </c>
      <c r="N343" s="1">
        <f ca="1">IFERROR(__xludf.DUMMYFUNCTION("""COMPUTED_VALUE"""),-1.41)</f>
        <v>-1.41</v>
      </c>
      <c r="O343" s="1">
        <f ca="1">IFERROR(__xludf.DUMMYFUNCTION("""COMPUTED_VALUE"""),175)</f>
        <v>175</v>
      </c>
      <c r="P343" s="1">
        <f ca="1">IFERROR(__xludf.DUMMYFUNCTION("""COMPUTED_VALUE"""),103.8)</f>
        <v>103.8</v>
      </c>
      <c r="Q343" s="1">
        <f ca="1">IFERROR(__xludf.DUMMYFUNCTION("""COMPUTED_VALUE"""),201)</f>
        <v>201</v>
      </c>
      <c r="R343" s="1">
        <f ca="1">IFERROR(__xludf.DUMMYFUNCTION("""COMPUTED_VALUE"""),105.2)</f>
        <v>105.2</v>
      </c>
      <c r="S343" s="1">
        <f ca="1">IFERROR(__xludf.DUMMYFUNCTION("""COMPUTED_VALUE"""),148)</f>
        <v>148</v>
      </c>
      <c r="T343" s="1" t="str">
        <f ca="1">IFERROR(__xludf.DUMMYFUNCTION("""COMPUTED_VALUE"""),"+0.51")</f>
        <v>+0.51</v>
      </c>
      <c r="U343" s="1">
        <f ca="1">IFERROR(__xludf.DUMMYFUNCTION("""COMPUTED_VALUE"""),146)</f>
        <v>146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IFERROR(__xludf.DUMMYFUNCTION("""COMPUTED_VALUE"""),"Southern")</f>
        <v>Southern</v>
      </c>
      <c r="C344" s="1" t="str">
        <f ca="1">IFERROR(__xludf.DUMMYFUNCTION("""COMPUTED_VALUE"""),"SWAC")</f>
        <v>SWAC</v>
      </c>
      <c r="D344" s="1" t="str">
        <f ca="1">IFERROR(__xludf.DUMMYFUNCTION("""COMPUTED_VALUE"""),"15-18")</f>
        <v>15-18</v>
      </c>
      <c r="E344" s="1">
        <f ca="1">IFERROR(__xludf.DUMMYFUNCTION("""COMPUTED_VALUE"""),-15.51)</f>
        <v>-15.51</v>
      </c>
      <c r="F344" s="1">
        <f ca="1">IFERROR(__xludf.DUMMYFUNCTION("""COMPUTED_VALUE"""),94.3)</f>
        <v>94.3</v>
      </c>
      <c r="G344" s="1">
        <f ca="1">IFERROR(__xludf.DUMMYFUNCTION("""COMPUTED_VALUE"""),335)</f>
        <v>335</v>
      </c>
      <c r="H344" s="1">
        <f ca="1">IFERROR(__xludf.DUMMYFUNCTION("""COMPUTED_VALUE"""),109.8)</f>
        <v>109.8</v>
      </c>
      <c r="I344" s="1">
        <f ca="1">IFERROR(__xludf.DUMMYFUNCTION("""COMPUTED_VALUE"""),269)</f>
        <v>269</v>
      </c>
      <c r="J344" s="1">
        <f ca="1">IFERROR(__xludf.DUMMYFUNCTION("""COMPUTED_VALUE"""),68)</f>
        <v>68</v>
      </c>
      <c r="K344" s="1">
        <f ca="1">IFERROR(__xludf.DUMMYFUNCTION("""COMPUTED_VALUE"""),187)</f>
        <v>187</v>
      </c>
      <c r="L344" s="1" t="str">
        <f ca="1">IFERROR(__xludf.DUMMYFUNCTION("""COMPUTED_VALUE"""),"+.051")</f>
        <v>+.051</v>
      </c>
      <c r="M344" s="1">
        <f ca="1">IFERROR(__xludf.DUMMYFUNCTION("""COMPUTED_VALUE"""),62)</f>
        <v>62</v>
      </c>
      <c r="N344" s="1">
        <f ca="1">IFERROR(__xludf.DUMMYFUNCTION("""COMPUTED_VALUE"""),-11.24)</f>
        <v>-11.24</v>
      </c>
      <c r="O344" s="1">
        <f ca="1">IFERROR(__xludf.DUMMYFUNCTION("""COMPUTED_VALUE"""),347)</f>
        <v>347</v>
      </c>
      <c r="P344" s="1">
        <f ca="1">IFERROR(__xludf.DUMMYFUNCTION("""COMPUTED_VALUE"""),98.1)</f>
        <v>98.1</v>
      </c>
      <c r="Q344" s="1">
        <f ca="1">IFERROR(__xludf.DUMMYFUNCTION("""COMPUTED_VALUE"""),350)</f>
        <v>350</v>
      </c>
      <c r="R344" s="1">
        <f ca="1">IFERROR(__xludf.DUMMYFUNCTION("""COMPUTED_VALUE"""),109.3)</f>
        <v>109.3</v>
      </c>
      <c r="S344" s="1">
        <f ca="1">IFERROR(__xludf.DUMMYFUNCTION("""COMPUTED_VALUE"""),340)</f>
        <v>340</v>
      </c>
      <c r="T344" s="1" t="str">
        <f ca="1">IFERROR(__xludf.DUMMYFUNCTION("""COMPUTED_VALUE"""),"+6.62")</f>
        <v>+6.62</v>
      </c>
      <c r="U344" s="1">
        <f ca="1">IFERROR(__xludf.DUMMYFUNCTION("""COMPUTED_VALUE"""),21)</f>
        <v>21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IFERROR(__xludf.DUMMYFUNCTION("""COMPUTED_VALUE"""),"Northern Arizona")</f>
        <v>Northern Arizona</v>
      </c>
      <c r="C345" s="1" t="str">
        <f ca="1">IFERROR(__xludf.DUMMYFUNCTION("""COMPUTED_VALUE"""),"BSky")</f>
        <v>BSky</v>
      </c>
      <c r="D345" s="2">
        <f ca="1">IFERROR(__xludf.DUMMYFUNCTION("""COMPUTED_VALUE"""),44708)</f>
        <v>44708</v>
      </c>
      <c r="E345" s="1">
        <f ca="1">IFERROR(__xludf.DUMMYFUNCTION("""COMPUTED_VALUE"""),-16.02)</f>
        <v>-16.02</v>
      </c>
      <c r="F345" s="1">
        <f ca="1">IFERROR(__xludf.DUMMYFUNCTION("""COMPUTED_VALUE"""),93.5)</f>
        <v>93.5</v>
      </c>
      <c r="G345" s="1">
        <f ca="1">IFERROR(__xludf.DUMMYFUNCTION("""COMPUTED_VALUE"""),340)</f>
        <v>340</v>
      </c>
      <c r="H345" s="1">
        <f ca="1">IFERROR(__xludf.DUMMYFUNCTION("""COMPUTED_VALUE"""),109.5)</f>
        <v>109.5</v>
      </c>
      <c r="I345" s="1">
        <f ca="1">IFERROR(__xludf.DUMMYFUNCTION("""COMPUTED_VALUE"""),266)</f>
        <v>266</v>
      </c>
      <c r="J345" s="1">
        <f ca="1">IFERROR(__xludf.DUMMYFUNCTION("""COMPUTED_VALUE"""),68.6)</f>
        <v>68.599999999999994</v>
      </c>
      <c r="K345" s="1">
        <f ca="1">IFERROR(__xludf.DUMMYFUNCTION("""COMPUTED_VALUE"""),158)</f>
        <v>158</v>
      </c>
      <c r="L345" s="1">
        <f ca="1">IFERROR(__xludf.DUMMYFUNCTION("""COMPUTED_VALUE"""),-0.03)</f>
        <v>-0.03</v>
      </c>
      <c r="M345" s="1">
        <f ca="1">IFERROR(__xludf.DUMMYFUNCTION("""COMPUTED_VALUE"""),264)</f>
        <v>264</v>
      </c>
      <c r="N345" s="1" t="str">
        <f ca="1">IFERROR(__xludf.DUMMYFUNCTION("""COMPUTED_VALUE"""),"+0.26")</f>
        <v>+0.26</v>
      </c>
      <c r="O345" s="1">
        <f ca="1">IFERROR(__xludf.DUMMYFUNCTION("""COMPUTED_VALUE"""),133)</f>
        <v>133</v>
      </c>
      <c r="P345" s="1">
        <f ca="1">IFERROR(__xludf.DUMMYFUNCTION("""COMPUTED_VALUE"""),105.3)</f>
        <v>105.3</v>
      </c>
      <c r="Q345" s="1">
        <f ca="1">IFERROR(__xludf.DUMMYFUNCTION("""COMPUTED_VALUE"""),140)</f>
        <v>140</v>
      </c>
      <c r="R345" s="1">
        <f ca="1">IFERROR(__xludf.DUMMYFUNCTION("""COMPUTED_VALUE"""),105)</f>
        <v>105</v>
      </c>
      <c r="S345" s="1">
        <f ca="1">IFERROR(__xludf.DUMMYFUNCTION("""COMPUTED_VALUE"""),141)</f>
        <v>141</v>
      </c>
      <c r="T345" s="1" t="str">
        <f ca="1">IFERROR(__xludf.DUMMYFUNCTION("""COMPUTED_VALUE"""),"+3.45")</f>
        <v>+3.45</v>
      </c>
      <c r="U345" s="1">
        <f ca="1">IFERROR(__xludf.DUMMYFUNCTION("""COMPUTED_VALUE"""),73)</f>
        <v>73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IFERROR(__xludf.DUMMYFUNCTION("""COMPUTED_VALUE"""),"American")</f>
        <v>American</v>
      </c>
      <c r="C346" s="1" t="str">
        <f ca="1">IFERROR(__xludf.DUMMYFUNCTION("""COMPUTED_VALUE"""),"Pat")</f>
        <v>Pat</v>
      </c>
      <c r="D346" s="2">
        <f ca="1">IFERROR(__xludf.DUMMYFUNCTION("""COMPUTED_VALUE"""),44736)</f>
        <v>44736</v>
      </c>
      <c r="E346" s="1">
        <f ca="1">IFERROR(__xludf.DUMMYFUNCTION("""COMPUTED_VALUE"""),-16.14)</f>
        <v>-16.14</v>
      </c>
      <c r="F346" s="1">
        <f ca="1">IFERROR(__xludf.DUMMYFUNCTION("""COMPUTED_VALUE"""),95.6)</f>
        <v>95.6</v>
      </c>
      <c r="G346" s="1">
        <f ca="1">IFERROR(__xludf.DUMMYFUNCTION("""COMPUTED_VALUE"""),324)</f>
        <v>324</v>
      </c>
      <c r="H346" s="1">
        <f ca="1">IFERROR(__xludf.DUMMYFUNCTION("""COMPUTED_VALUE"""),111.8)</f>
        <v>111.8</v>
      </c>
      <c r="I346" s="1">
        <f ca="1">IFERROR(__xludf.DUMMYFUNCTION("""COMPUTED_VALUE"""),307)</f>
        <v>307</v>
      </c>
      <c r="J346" s="1">
        <f ca="1">IFERROR(__xludf.DUMMYFUNCTION("""COMPUTED_VALUE"""),66.5)</f>
        <v>66.5</v>
      </c>
      <c r="K346" s="1">
        <f ca="1">IFERROR(__xludf.DUMMYFUNCTION("""COMPUTED_VALUE"""),256)</f>
        <v>256</v>
      </c>
      <c r="L346" s="1">
        <f ca="1">IFERROR(__xludf.DUMMYFUNCTION("""COMPUTED_VALUE"""),-0.061)</f>
        <v>-6.0999999999999999E-2</v>
      </c>
      <c r="M346" s="1">
        <f ca="1">IFERROR(__xludf.DUMMYFUNCTION("""COMPUTED_VALUE"""),315)</f>
        <v>315</v>
      </c>
      <c r="N346" s="1">
        <f ca="1">IFERROR(__xludf.DUMMYFUNCTION("""COMPUTED_VALUE"""),-6.16)</f>
        <v>-6.16</v>
      </c>
      <c r="O346" s="1">
        <f ca="1">IFERROR(__xludf.DUMMYFUNCTION("""COMPUTED_VALUE"""),301)</f>
        <v>301</v>
      </c>
      <c r="P346" s="1">
        <f ca="1">IFERROR(__xludf.DUMMYFUNCTION("""COMPUTED_VALUE"""),102.1)</f>
        <v>102.1</v>
      </c>
      <c r="Q346" s="1">
        <f ca="1">IFERROR(__xludf.DUMMYFUNCTION("""COMPUTED_VALUE"""),287)</f>
        <v>287</v>
      </c>
      <c r="R346" s="1">
        <f ca="1">IFERROR(__xludf.DUMMYFUNCTION("""COMPUTED_VALUE"""),108.3)</f>
        <v>108.3</v>
      </c>
      <c r="S346" s="1">
        <f ca="1">IFERROR(__xludf.DUMMYFUNCTION("""COMPUTED_VALUE"""),317)</f>
        <v>317</v>
      </c>
      <c r="T346" s="1">
        <f ca="1">IFERROR(__xludf.DUMMYFUNCTION("""COMPUTED_VALUE"""),-3.16)</f>
        <v>-3.16</v>
      </c>
      <c r="U346" s="1">
        <f ca="1">IFERROR(__xludf.DUMMYFUNCTION("""COMPUTED_VALUE"""),257)</f>
        <v>257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IFERROR(__xludf.DUMMYFUNCTION("""COMPUTED_VALUE"""),"Arkansas Pine Bluff")</f>
        <v>Arkansas Pine Bluff</v>
      </c>
      <c r="C347" s="1" t="str">
        <f ca="1">IFERROR(__xludf.DUMMYFUNCTION("""COMPUTED_VALUE"""),"SWAC")</f>
        <v>SWAC</v>
      </c>
      <c r="D347" s="1" t="str">
        <f ca="1">IFERROR(__xludf.DUMMYFUNCTION("""COMPUTED_VALUE"""),"14-21")</f>
        <v>14-21</v>
      </c>
      <c r="E347" s="1">
        <f ca="1">IFERROR(__xludf.DUMMYFUNCTION("""COMPUTED_VALUE"""),-16.45)</f>
        <v>-16.45</v>
      </c>
      <c r="F347" s="1">
        <f ca="1">IFERROR(__xludf.DUMMYFUNCTION("""COMPUTED_VALUE"""),93.6)</f>
        <v>93.6</v>
      </c>
      <c r="G347" s="1">
        <f ca="1">IFERROR(__xludf.DUMMYFUNCTION("""COMPUTED_VALUE"""),339)</f>
        <v>339</v>
      </c>
      <c r="H347" s="1">
        <f ca="1">IFERROR(__xludf.DUMMYFUNCTION("""COMPUTED_VALUE"""),110)</f>
        <v>110</v>
      </c>
      <c r="I347" s="1">
        <f ca="1">IFERROR(__xludf.DUMMYFUNCTION("""COMPUTED_VALUE"""),275)</f>
        <v>275</v>
      </c>
      <c r="J347" s="1">
        <f ca="1">IFERROR(__xludf.DUMMYFUNCTION("""COMPUTED_VALUE"""),67.5)</f>
        <v>67.5</v>
      </c>
      <c r="K347" s="1">
        <f ca="1">IFERROR(__xludf.DUMMYFUNCTION("""COMPUTED_VALUE"""),211)</f>
        <v>211</v>
      </c>
      <c r="L347" s="1" t="str">
        <f ca="1">IFERROR(__xludf.DUMMYFUNCTION("""COMPUTED_VALUE"""),"+.044")</f>
        <v>+.044</v>
      </c>
      <c r="M347" s="1">
        <f ca="1">IFERROR(__xludf.DUMMYFUNCTION("""COMPUTED_VALUE"""),68)</f>
        <v>68</v>
      </c>
      <c r="N347" s="1">
        <f ca="1">IFERROR(__xludf.DUMMYFUNCTION("""COMPUTED_VALUE"""),-9.64)</f>
        <v>-9.64</v>
      </c>
      <c r="O347" s="1">
        <f ca="1">IFERROR(__xludf.DUMMYFUNCTION("""COMPUTED_VALUE"""),342)</f>
        <v>342</v>
      </c>
      <c r="P347" s="1">
        <f ca="1">IFERROR(__xludf.DUMMYFUNCTION("""COMPUTED_VALUE"""),98.9)</f>
        <v>98.9</v>
      </c>
      <c r="Q347" s="1">
        <f ca="1">IFERROR(__xludf.DUMMYFUNCTION("""COMPUTED_VALUE"""),345)</f>
        <v>345</v>
      </c>
      <c r="R347" s="1">
        <f ca="1">IFERROR(__xludf.DUMMYFUNCTION("""COMPUTED_VALUE"""),108.5)</f>
        <v>108.5</v>
      </c>
      <c r="S347" s="1">
        <f ca="1">IFERROR(__xludf.DUMMYFUNCTION("""COMPUTED_VALUE"""),324)</f>
        <v>324</v>
      </c>
      <c r="T347" s="1" t="str">
        <f ca="1">IFERROR(__xludf.DUMMYFUNCTION("""COMPUTED_VALUE"""),"+3.38")</f>
        <v>+3.38</v>
      </c>
      <c r="U347" s="1">
        <f ca="1">IFERROR(__xludf.DUMMYFUNCTION("""COMPUTED_VALUE"""),74)</f>
        <v>74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IFERROR(__xludf.DUMMYFUNCTION("""COMPUTED_VALUE"""),"Cal St. Northridge")</f>
        <v>Cal St. Northridge</v>
      </c>
      <c r="C348" s="1" t="str">
        <f ca="1">IFERROR(__xludf.DUMMYFUNCTION("""COMPUTED_VALUE"""),"BW")</f>
        <v>BW</v>
      </c>
      <c r="D348" s="2">
        <f ca="1">IFERROR(__xludf.DUMMYFUNCTION("""COMPUTED_VALUE"""),44736)</f>
        <v>44736</v>
      </c>
      <c r="E348" s="1">
        <f ca="1">IFERROR(__xludf.DUMMYFUNCTION("""COMPUTED_VALUE"""),-16.46)</f>
        <v>-16.46</v>
      </c>
      <c r="F348" s="1">
        <f ca="1">IFERROR(__xludf.DUMMYFUNCTION("""COMPUTED_VALUE"""),96.7)</f>
        <v>96.7</v>
      </c>
      <c r="G348" s="1">
        <f ca="1">IFERROR(__xludf.DUMMYFUNCTION("""COMPUTED_VALUE"""),313)</f>
        <v>313</v>
      </c>
      <c r="H348" s="1">
        <f ca="1">IFERROR(__xludf.DUMMYFUNCTION("""COMPUTED_VALUE"""),113.2)</f>
        <v>113.2</v>
      </c>
      <c r="I348" s="1">
        <f ca="1">IFERROR(__xludf.DUMMYFUNCTION("""COMPUTED_VALUE"""),319)</f>
        <v>319</v>
      </c>
      <c r="J348" s="1">
        <f ca="1">IFERROR(__xludf.DUMMYFUNCTION("""COMPUTED_VALUE"""),65.8)</f>
        <v>65.8</v>
      </c>
      <c r="K348" s="1">
        <f ca="1">IFERROR(__xludf.DUMMYFUNCTION("""COMPUTED_VALUE"""),290)</f>
        <v>290</v>
      </c>
      <c r="L348" s="1">
        <f ca="1">IFERROR(__xludf.DUMMYFUNCTION("""COMPUTED_VALUE"""),-0.047)</f>
        <v>-4.7E-2</v>
      </c>
      <c r="M348" s="1">
        <f ca="1">IFERROR(__xludf.DUMMYFUNCTION("""COMPUTED_VALUE"""),289)</f>
        <v>289</v>
      </c>
      <c r="N348" s="1">
        <f ca="1">IFERROR(__xludf.DUMMYFUNCTION("""COMPUTED_VALUE"""),-3.23)</f>
        <v>-3.23</v>
      </c>
      <c r="O348" s="1">
        <f ca="1">IFERROR(__xludf.DUMMYFUNCTION("""COMPUTED_VALUE"""),238)</f>
        <v>238</v>
      </c>
      <c r="P348" s="1">
        <f ca="1">IFERROR(__xludf.DUMMYFUNCTION("""COMPUTED_VALUE"""),102.8)</f>
        <v>102.8</v>
      </c>
      <c r="Q348" s="1">
        <f ca="1">IFERROR(__xludf.DUMMYFUNCTION("""COMPUTED_VALUE"""),262)</f>
        <v>262</v>
      </c>
      <c r="R348" s="1">
        <f ca="1">IFERROR(__xludf.DUMMYFUNCTION("""COMPUTED_VALUE"""),106)</f>
        <v>106</v>
      </c>
      <c r="S348" s="1">
        <f ca="1">IFERROR(__xludf.DUMMYFUNCTION("""COMPUTED_VALUE"""),194)</f>
        <v>194</v>
      </c>
      <c r="T348" s="1">
        <f ca="1">IFERROR(__xludf.DUMMYFUNCTION("""COMPUTED_VALUE"""),-3.5)</f>
        <v>-3.5</v>
      </c>
      <c r="U348" s="1">
        <f ca="1">IFERROR(__xludf.DUMMYFUNCTION("""COMPUTED_VALUE"""),275)</f>
        <v>275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IFERROR(__xludf.DUMMYFUNCTION("""COMPUTED_VALUE"""),"VMI")</f>
        <v>VMI</v>
      </c>
      <c r="C349" s="1" t="str">
        <f ca="1">IFERROR(__xludf.DUMMYFUNCTION("""COMPUTED_VALUE"""),"SC")</f>
        <v>SC</v>
      </c>
      <c r="D349" s="2">
        <f ca="1">IFERROR(__xludf.DUMMYFUNCTION("""COMPUTED_VALUE"""),44825)</f>
        <v>44825</v>
      </c>
      <c r="E349" s="1">
        <f ca="1">IFERROR(__xludf.DUMMYFUNCTION("""COMPUTED_VALUE"""),-17.43)</f>
        <v>-17.43</v>
      </c>
      <c r="F349" s="1">
        <f ca="1">IFERROR(__xludf.DUMMYFUNCTION("""COMPUTED_VALUE"""),89.9)</f>
        <v>89.9</v>
      </c>
      <c r="G349" s="1">
        <f ca="1">IFERROR(__xludf.DUMMYFUNCTION("""COMPUTED_VALUE"""),346)</f>
        <v>346</v>
      </c>
      <c r="H349" s="1">
        <f ca="1">IFERROR(__xludf.DUMMYFUNCTION("""COMPUTED_VALUE"""),107.4)</f>
        <v>107.4</v>
      </c>
      <c r="I349" s="1">
        <f ca="1">IFERROR(__xludf.DUMMYFUNCTION("""COMPUTED_VALUE"""),220)</f>
        <v>220</v>
      </c>
      <c r="J349" s="1">
        <f ca="1">IFERROR(__xludf.DUMMYFUNCTION("""COMPUTED_VALUE"""),68.8)</f>
        <v>68.8</v>
      </c>
      <c r="K349" s="1">
        <f ca="1">IFERROR(__xludf.DUMMYFUNCTION("""COMPUTED_VALUE"""),139)</f>
        <v>139</v>
      </c>
      <c r="L349" s="1" t="str">
        <f ca="1">IFERROR(__xludf.DUMMYFUNCTION("""COMPUTED_VALUE"""),"+.024")</f>
        <v>+.024</v>
      </c>
      <c r="M349" s="1">
        <f ca="1">IFERROR(__xludf.DUMMYFUNCTION("""COMPUTED_VALUE"""),114)</f>
        <v>114</v>
      </c>
      <c r="N349" s="1">
        <f ca="1">IFERROR(__xludf.DUMMYFUNCTION("""COMPUTED_VALUE"""),-3.79)</f>
        <v>-3.79</v>
      </c>
      <c r="O349" s="1">
        <f ca="1">IFERROR(__xludf.DUMMYFUNCTION("""COMPUTED_VALUE"""),249)</f>
        <v>249</v>
      </c>
      <c r="P349" s="1">
        <f ca="1">IFERROR(__xludf.DUMMYFUNCTION("""COMPUTED_VALUE"""),104.1)</f>
        <v>104.1</v>
      </c>
      <c r="Q349" s="1">
        <f ca="1">IFERROR(__xludf.DUMMYFUNCTION("""COMPUTED_VALUE"""),189)</f>
        <v>189</v>
      </c>
      <c r="R349" s="1">
        <f ca="1">IFERROR(__xludf.DUMMYFUNCTION("""COMPUTED_VALUE"""),107.9)</f>
        <v>107.9</v>
      </c>
      <c r="S349" s="1">
        <f ca="1">IFERROR(__xludf.DUMMYFUNCTION("""COMPUTED_VALUE"""),298)</f>
        <v>298</v>
      </c>
      <c r="T349" s="1">
        <f ca="1">IFERROR(__xludf.DUMMYFUNCTION("""COMPUTED_VALUE"""),-2.5)</f>
        <v>-2.5</v>
      </c>
      <c r="U349" s="1">
        <f ca="1">IFERROR(__xludf.DUMMYFUNCTION("""COMPUTED_VALUE"""),233)</f>
        <v>233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IFERROR(__xludf.DUMMYFUNCTION("""COMPUTED_VALUE"""),"Maine")</f>
        <v>Maine</v>
      </c>
      <c r="C350" s="1" t="str">
        <f ca="1">IFERROR(__xludf.DUMMYFUNCTION("""COMPUTED_VALUE"""),"AE")</f>
        <v>AE</v>
      </c>
      <c r="D350" s="2">
        <f ca="1">IFERROR(__xludf.DUMMYFUNCTION("""COMPUTED_VALUE"""),44738)</f>
        <v>44738</v>
      </c>
      <c r="E350" s="1">
        <f ca="1">IFERROR(__xludf.DUMMYFUNCTION("""COMPUTED_VALUE"""),-17.46)</f>
        <v>-17.46</v>
      </c>
      <c r="F350" s="1">
        <f ca="1">IFERROR(__xludf.DUMMYFUNCTION("""COMPUTED_VALUE"""),90.9)</f>
        <v>90.9</v>
      </c>
      <c r="G350" s="1">
        <f ca="1">IFERROR(__xludf.DUMMYFUNCTION("""COMPUTED_VALUE"""),342)</f>
        <v>342</v>
      </c>
      <c r="H350" s="1">
        <f ca="1">IFERROR(__xludf.DUMMYFUNCTION("""COMPUTED_VALUE"""),108.4)</f>
        <v>108.4</v>
      </c>
      <c r="I350" s="1">
        <f ca="1">IFERROR(__xludf.DUMMYFUNCTION("""COMPUTED_VALUE"""),239)</f>
        <v>239</v>
      </c>
      <c r="J350" s="1">
        <f ca="1">IFERROR(__xludf.DUMMYFUNCTION("""COMPUTED_VALUE"""),71.3)</f>
        <v>71.3</v>
      </c>
      <c r="K350" s="1">
        <f ca="1">IFERROR(__xludf.DUMMYFUNCTION("""COMPUTED_VALUE"""),41)</f>
        <v>41</v>
      </c>
      <c r="L350" s="1">
        <f ca="1">IFERROR(__xludf.DUMMYFUNCTION("""COMPUTED_VALUE"""),-0.002)</f>
        <v>-2E-3</v>
      </c>
      <c r="M350" s="1">
        <f ca="1">IFERROR(__xludf.DUMMYFUNCTION("""COMPUTED_VALUE"""),181)</f>
        <v>181</v>
      </c>
      <c r="N350" s="1">
        <f ca="1">IFERROR(__xludf.DUMMYFUNCTION("""COMPUTED_VALUE"""),-2.82)</f>
        <v>-2.82</v>
      </c>
      <c r="O350" s="1">
        <f ca="1">IFERROR(__xludf.DUMMYFUNCTION("""COMPUTED_VALUE"""),220)</f>
        <v>220</v>
      </c>
      <c r="P350" s="1">
        <f ca="1">IFERROR(__xludf.DUMMYFUNCTION("""COMPUTED_VALUE"""),103.5)</f>
        <v>103.5</v>
      </c>
      <c r="Q350" s="1">
        <f ca="1">IFERROR(__xludf.DUMMYFUNCTION("""COMPUTED_VALUE"""),223)</f>
        <v>223</v>
      </c>
      <c r="R350" s="1">
        <f ca="1">IFERROR(__xludf.DUMMYFUNCTION("""COMPUTED_VALUE"""),106.3)</f>
        <v>106.3</v>
      </c>
      <c r="S350" s="1">
        <f ca="1">IFERROR(__xludf.DUMMYFUNCTION("""COMPUTED_VALUE"""),210)</f>
        <v>210</v>
      </c>
      <c r="T350" s="1">
        <f ca="1">IFERROR(__xludf.DUMMYFUNCTION("""COMPUTED_VALUE"""),-1.56)</f>
        <v>-1.56</v>
      </c>
      <c r="U350" s="1">
        <f ca="1">IFERROR(__xludf.DUMMYFUNCTION("""COMPUTED_VALUE"""),200)</f>
        <v>200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IFERROR(__xludf.DUMMYFUNCTION("""COMPUTED_VALUE"""),"Houston Baptist")</f>
        <v>Houston Baptist</v>
      </c>
      <c r="C351" s="1" t="str">
        <f ca="1">IFERROR(__xludf.DUMMYFUNCTION("""COMPUTED_VALUE"""),"Slnd")</f>
        <v>Slnd</v>
      </c>
      <c r="D351" s="2">
        <f ca="1">IFERROR(__xludf.DUMMYFUNCTION("""COMPUTED_VALUE"""),44737)</f>
        <v>44737</v>
      </c>
      <c r="E351" s="1">
        <f ca="1">IFERROR(__xludf.DUMMYFUNCTION("""COMPUTED_VALUE"""),-17.64)</f>
        <v>-17.64</v>
      </c>
      <c r="F351" s="1">
        <f ca="1">IFERROR(__xludf.DUMMYFUNCTION("""COMPUTED_VALUE"""),98.9)</f>
        <v>98.9</v>
      </c>
      <c r="G351" s="1">
        <f ca="1">IFERROR(__xludf.DUMMYFUNCTION("""COMPUTED_VALUE"""),280)</f>
        <v>280</v>
      </c>
      <c r="H351" s="1">
        <f ca="1">IFERROR(__xludf.DUMMYFUNCTION("""COMPUTED_VALUE"""),116.5)</f>
        <v>116.5</v>
      </c>
      <c r="I351" s="1">
        <f ca="1">IFERROR(__xludf.DUMMYFUNCTION("""COMPUTED_VALUE"""),339)</f>
        <v>339</v>
      </c>
      <c r="J351" s="1">
        <f ca="1">IFERROR(__xludf.DUMMYFUNCTION("""COMPUTED_VALUE"""),73.5)</f>
        <v>73.5</v>
      </c>
      <c r="K351" s="1">
        <f ca="1">IFERROR(__xludf.DUMMYFUNCTION("""COMPUTED_VALUE"""),14)</f>
        <v>14</v>
      </c>
      <c r="L351" s="1">
        <f ca="1">IFERROR(__xludf.DUMMYFUNCTION("""COMPUTED_VALUE"""),-0.092)</f>
        <v>-9.1999999999999998E-2</v>
      </c>
      <c r="M351" s="1">
        <f ca="1">IFERROR(__xludf.DUMMYFUNCTION("""COMPUTED_VALUE"""),342)</f>
        <v>342</v>
      </c>
      <c r="N351" s="1">
        <f ca="1">IFERROR(__xludf.DUMMYFUNCTION("""COMPUTED_VALUE"""),-3.59)</f>
        <v>-3.59</v>
      </c>
      <c r="O351" s="1">
        <f ca="1">IFERROR(__xludf.DUMMYFUNCTION("""COMPUTED_VALUE"""),244)</f>
        <v>244</v>
      </c>
      <c r="P351" s="1">
        <f ca="1">IFERROR(__xludf.DUMMYFUNCTION("""COMPUTED_VALUE"""),102.5)</f>
        <v>102.5</v>
      </c>
      <c r="Q351" s="1">
        <f ca="1">IFERROR(__xludf.DUMMYFUNCTION("""COMPUTED_VALUE"""),275)</f>
        <v>275</v>
      </c>
      <c r="R351" s="1">
        <f ca="1">IFERROR(__xludf.DUMMYFUNCTION("""COMPUTED_VALUE"""),106.1)</f>
        <v>106.1</v>
      </c>
      <c r="S351" s="1">
        <f ca="1">IFERROR(__xludf.DUMMYFUNCTION("""COMPUTED_VALUE"""),200)</f>
        <v>200</v>
      </c>
      <c r="T351" s="1" t="str">
        <f ca="1">IFERROR(__xludf.DUMMYFUNCTION("""COMPUTED_VALUE"""),"+9.29")</f>
        <v>+9.29</v>
      </c>
      <c r="U351" s="1">
        <f ca="1">IFERROR(__xludf.DUMMYFUNCTION("""COMPUTED_VALUE"""),7)</f>
        <v>7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IFERROR(__xludf.DUMMYFUNCTION("""COMPUTED_VALUE"""),"Presbyterian")</f>
        <v>Presbyterian</v>
      </c>
      <c r="C352" s="1" t="str">
        <f ca="1">IFERROR(__xludf.DUMMYFUNCTION("""COMPUTED_VALUE"""),"BSth")</f>
        <v>BSth</v>
      </c>
      <c r="D352" s="2">
        <f ca="1">IFERROR(__xludf.DUMMYFUNCTION("""COMPUTED_VALUE"""),44886)</f>
        <v>44886</v>
      </c>
      <c r="E352" s="1">
        <f ca="1">IFERROR(__xludf.DUMMYFUNCTION("""COMPUTED_VALUE"""),-17.66)</f>
        <v>-17.66</v>
      </c>
      <c r="F352" s="1">
        <f ca="1">IFERROR(__xludf.DUMMYFUNCTION("""COMPUTED_VALUE"""),97.8)</f>
        <v>97.8</v>
      </c>
      <c r="G352" s="1">
        <f ca="1">IFERROR(__xludf.DUMMYFUNCTION("""COMPUTED_VALUE"""),303)</f>
        <v>303</v>
      </c>
      <c r="H352" s="1">
        <f ca="1">IFERROR(__xludf.DUMMYFUNCTION("""COMPUTED_VALUE"""),115.5)</f>
        <v>115.5</v>
      </c>
      <c r="I352" s="1">
        <f ca="1">IFERROR(__xludf.DUMMYFUNCTION("""COMPUTED_VALUE"""),336)</f>
        <v>336</v>
      </c>
      <c r="J352" s="1">
        <f ca="1">IFERROR(__xludf.DUMMYFUNCTION("""COMPUTED_VALUE"""),63.4)</f>
        <v>63.4</v>
      </c>
      <c r="K352" s="1">
        <f ca="1">IFERROR(__xludf.DUMMYFUNCTION("""COMPUTED_VALUE"""),342)</f>
        <v>342</v>
      </c>
      <c r="L352" s="1" t="str">
        <f ca="1">IFERROR(__xludf.DUMMYFUNCTION("""COMPUTED_VALUE"""),"+.062")</f>
        <v>+.062</v>
      </c>
      <c r="M352" s="1">
        <f ca="1">IFERROR(__xludf.DUMMYFUNCTION("""COMPUTED_VALUE"""),51)</f>
        <v>51</v>
      </c>
      <c r="N352" s="1">
        <f ca="1">IFERROR(__xludf.DUMMYFUNCTION("""COMPUTED_VALUE"""),-5.21)</f>
        <v>-5.21</v>
      </c>
      <c r="O352" s="1">
        <f ca="1">IFERROR(__xludf.DUMMYFUNCTION("""COMPUTED_VALUE"""),286)</f>
        <v>286</v>
      </c>
      <c r="P352" s="1">
        <f ca="1">IFERROR(__xludf.DUMMYFUNCTION("""COMPUTED_VALUE"""),101.7)</f>
        <v>101.7</v>
      </c>
      <c r="Q352" s="1">
        <f ca="1">IFERROR(__xludf.DUMMYFUNCTION("""COMPUTED_VALUE"""),300)</f>
        <v>300</v>
      </c>
      <c r="R352" s="1">
        <f ca="1">IFERROR(__xludf.DUMMYFUNCTION("""COMPUTED_VALUE"""),106.9)</f>
        <v>106.9</v>
      </c>
      <c r="S352" s="1">
        <f ca="1">IFERROR(__xludf.DUMMYFUNCTION("""COMPUTED_VALUE"""),251)</f>
        <v>251</v>
      </c>
      <c r="T352" s="1">
        <f ca="1">IFERROR(__xludf.DUMMYFUNCTION("""COMPUTED_VALUE"""),-3.37)</f>
        <v>-3.37</v>
      </c>
      <c r="U352" s="1">
        <f ca="1">IFERROR(__xludf.DUMMYFUNCTION("""COMPUTED_VALUE"""),266)</f>
        <v>266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IFERROR(__xludf.DUMMYFUNCTION("""COMPUTED_VALUE"""),"Howard")</f>
        <v>Howard</v>
      </c>
      <c r="C353" s="1" t="str">
        <f ca="1">IFERROR(__xludf.DUMMYFUNCTION("""COMPUTED_VALUE"""),"MEAC")</f>
        <v>MEAC</v>
      </c>
      <c r="D353" s="2">
        <f ca="1">IFERROR(__xludf.DUMMYFUNCTION("""COMPUTED_VALUE"""),44857)</f>
        <v>44857</v>
      </c>
      <c r="E353" s="1">
        <f ca="1">IFERROR(__xludf.DUMMYFUNCTION("""COMPUTED_VALUE"""),-19.04)</f>
        <v>-19.04</v>
      </c>
      <c r="F353" s="1">
        <f ca="1">IFERROR(__xludf.DUMMYFUNCTION("""COMPUTED_VALUE"""),99.4)</f>
        <v>99.4</v>
      </c>
      <c r="G353" s="1">
        <f ca="1">IFERROR(__xludf.DUMMYFUNCTION("""COMPUTED_VALUE"""),263)</f>
        <v>263</v>
      </c>
      <c r="H353" s="1">
        <f ca="1">IFERROR(__xludf.DUMMYFUNCTION("""COMPUTED_VALUE"""),118.5)</f>
        <v>118.5</v>
      </c>
      <c r="I353" s="1">
        <f ca="1">IFERROR(__xludf.DUMMYFUNCTION("""COMPUTED_VALUE"""),346)</f>
        <v>346</v>
      </c>
      <c r="J353" s="1">
        <f ca="1">IFERROR(__xludf.DUMMYFUNCTION("""COMPUTED_VALUE"""),69.9)</f>
        <v>69.900000000000006</v>
      </c>
      <c r="K353" s="1">
        <f ca="1">IFERROR(__xludf.DUMMYFUNCTION("""COMPUTED_VALUE"""),84)</f>
        <v>84</v>
      </c>
      <c r="L353" s="1">
        <f ca="1">IFERROR(__xludf.DUMMYFUNCTION("""COMPUTED_VALUE"""),-0.039)</f>
        <v>-3.9E-2</v>
      </c>
      <c r="M353" s="1">
        <f ca="1">IFERROR(__xludf.DUMMYFUNCTION("""COMPUTED_VALUE"""),275)</f>
        <v>275</v>
      </c>
      <c r="N353" s="1">
        <f ca="1">IFERROR(__xludf.DUMMYFUNCTION("""COMPUTED_VALUE"""),-9.5)</f>
        <v>-9.5</v>
      </c>
      <c r="O353" s="1">
        <f ca="1">IFERROR(__xludf.DUMMYFUNCTION("""COMPUTED_VALUE"""),341)</f>
        <v>341</v>
      </c>
      <c r="P353" s="1">
        <f ca="1">IFERROR(__xludf.DUMMYFUNCTION("""COMPUTED_VALUE"""),99.6)</f>
        <v>99.6</v>
      </c>
      <c r="Q353" s="1">
        <f ca="1">IFERROR(__xludf.DUMMYFUNCTION("""COMPUTED_VALUE"""),340)</f>
        <v>340</v>
      </c>
      <c r="R353" s="1">
        <f ca="1">IFERROR(__xludf.DUMMYFUNCTION("""COMPUTED_VALUE"""),109.1)</f>
        <v>109.1</v>
      </c>
      <c r="S353" s="1">
        <f ca="1">IFERROR(__xludf.DUMMYFUNCTION("""COMPUTED_VALUE"""),338)</f>
        <v>338</v>
      </c>
      <c r="T353" s="1" t="str">
        <f ca="1">IFERROR(__xludf.DUMMYFUNCTION("""COMPUTED_VALUE"""),"+2.28")</f>
        <v>+2.28</v>
      </c>
      <c r="U353" s="1">
        <f ca="1">IFERROR(__xludf.DUMMYFUNCTION("""COMPUTED_VALUE"""),91)</f>
        <v>91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IFERROR(__xludf.DUMMYFUNCTION("""COMPUTED_VALUE"""),"Alcorn St.")</f>
        <v>Alcorn St.</v>
      </c>
      <c r="C354" s="1" t="str">
        <f ca="1">IFERROR(__xludf.DUMMYFUNCTION("""COMPUTED_VALUE"""),"SWAC")</f>
        <v>SWAC</v>
      </c>
      <c r="D354" s="2">
        <f ca="1">IFERROR(__xludf.DUMMYFUNCTION("""COMPUTED_VALUE"""),44886)</f>
        <v>44886</v>
      </c>
      <c r="E354" s="1">
        <f ca="1">IFERROR(__xludf.DUMMYFUNCTION("""COMPUTED_VALUE"""),-19.43)</f>
        <v>-19.43</v>
      </c>
      <c r="F354" s="1">
        <f ca="1">IFERROR(__xludf.DUMMYFUNCTION("""COMPUTED_VALUE"""),95)</f>
        <v>95</v>
      </c>
      <c r="G354" s="1">
        <f ca="1">IFERROR(__xludf.DUMMYFUNCTION("""COMPUTED_VALUE"""),330)</f>
        <v>330</v>
      </c>
      <c r="H354" s="1">
        <f ca="1">IFERROR(__xludf.DUMMYFUNCTION("""COMPUTED_VALUE"""),114.4)</f>
        <v>114.4</v>
      </c>
      <c r="I354" s="1">
        <f ca="1">IFERROR(__xludf.DUMMYFUNCTION("""COMPUTED_VALUE"""),325)</f>
        <v>325</v>
      </c>
      <c r="J354" s="1">
        <f ca="1">IFERROR(__xludf.DUMMYFUNCTION("""COMPUTED_VALUE"""),68)</f>
        <v>68</v>
      </c>
      <c r="K354" s="1">
        <f ca="1">IFERROR(__xludf.DUMMYFUNCTION("""COMPUTED_VALUE"""),186)</f>
        <v>186</v>
      </c>
      <c r="L354" s="1">
        <f ca="1">IFERROR(__xludf.DUMMYFUNCTION("""COMPUTED_VALUE"""),-0.055)</f>
        <v>-5.5E-2</v>
      </c>
      <c r="M354" s="1">
        <f ca="1">IFERROR(__xludf.DUMMYFUNCTION("""COMPUTED_VALUE"""),303)</f>
        <v>303</v>
      </c>
      <c r="N354" s="1">
        <f ca="1">IFERROR(__xludf.DUMMYFUNCTION("""COMPUTED_VALUE"""),-9.05)</f>
        <v>-9.0500000000000007</v>
      </c>
      <c r="O354" s="1">
        <f ca="1">IFERROR(__xludf.DUMMYFUNCTION("""COMPUTED_VALUE"""),338)</f>
        <v>338</v>
      </c>
      <c r="P354" s="1">
        <f ca="1">IFERROR(__xludf.DUMMYFUNCTION("""COMPUTED_VALUE"""),99.6)</f>
        <v>99.6</v>
      </c>
      <c r="Q354" s="1">
        <f ca="1">IFERROR(__xludf.DUMMYFUNCTION("""COMPUTED_VALUE"""),339)</f>
        <v>339</v>
      </c>
      <c r="R354" s="1">
        <f ca="1">IFERROR(__xludf.DUMMYFUNCTION("""COMPUTED_VALUE"""),108.7)</f>
        <v>108.7</v>
      </c>
      <c r="S354" s="1">
        <f ca="1">IFERROR(__xludf.DUMMYFUNCTION("""COMPUTED_VALUE"""),328)</f>
        <v>328</v>
      </c>
      <c r="T354" s="1" t="str">
        <f ca="1">IFERROR(__xludf.DUMMYFUNCTION("""COMPUTED_VALUE"""),"+9.81")</f>
        <v>+9.81</v>
      </c>
      <c r="U354" s="1">
        <f ca="1">IFERROR(__xludf.DUMMYFUNCTION("""COMPUTED_VALUE"""),6)</f>
        <v>6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IFERROR(__xludf.DUMMYFUNCTION("""COMPUTED_VALUE"""),"Jackson St.")</f>
        <v>Jackson St.</v>
      </c>
      <c r="C355" s="1" t="str">
        <f ca="1">IFERROR(__xludf.DUMMYFUNCTION("""COMPUTED_VALUE"""),"SWAC")</f>
        <v>SWAC</v>
      </c>
      <c r="D355" s="2">
        <f ca="1">IFERROR(__xludf.DUMMYFUNCTION("""COMPUTED_VALUE"""),44915)</f>
        <v>44915</v>
      </c>
      <c r="E355" s="1">
        <f ca="1">IFERROR(__xludf.DUMMYFUNCTION("""COMPUTED_VALUE"""),-19.6)</f>
        <v>-19.600000000000001</v>
      </c>
      <c r="F355" s="1">
        <f ca="1">IFERROR(__xludf.DUMMYFUNCTION("""COMPUTED_VALUE"""),89.4)</f>
        <v>89.4</v>
      </c>
      <c r="G355" s="1">
        <f ca="1">IFERROR(__xludf.DUMMYFUNCTION("""COMPUTED_VALUE"""),348)</f>
        <v>348</v>
      </c>
      <c r="H355" s="1">
        <f ca="1">IFERROR(__xludf.DUMMYFUNCTION("""COMPUTED_VALUE"""),109)</f>
        <v>109</v>
      </c>
      <c r="I355" s="1">
        <f ca="1">IFERROR(__xludf.DUMMYFUNCTION("""COMPUTED_VALUE"""),260)</f>
        <v>260</v>
      </c>
      <c r="J355" s="1">
        <f ca="1">IFERROR(__xludf.DUMMYFUNCTION("""COMPUTED_VALUE"""),64.1)</f>
        <v>64.099999999999994</v>
      </c>
      <c r="K355" s="1">
        <f ca="1">IFERROR(__xludf.DUMMYFUNCTION("""COMPUTED_VALUE"""),338)</f>
        <v>338</v>
      </c>
      <c r="L355" s="1" t="str">
        <f ca="1">IFERROR(__xludf.DUMMYFUNCTION("""COMPUTED_VALUE"""),"+.062")</f>
        <v>+.062</v>
      </c>
      <c r="M355" s="1">
        <f ca="1">IFERROR(__xludf.DUMMYFUNCTION("""COMPUTED_VALUE"""),46)</f>
        <v>46</v>
      </c>
      <c r="N355" s="1">
        <f ca="1">IFERROR(__xludf.DUMMYFUNCTION("""COMPUTED_VALUE"""),-10.01)</f>
        <v>-10.01</v>
      </c>
      <c r="O355" s="1">
        <f ca="1">IFERROR(__xludf.DUMMYFUNCTION("""COMPUTED_VALUE"""),344)</f>
        <v>344</v>
      </c>
      <c r="P355" s="1">
        <f ca="1">IFERROR(__xludf.DUMMYFUNCTION("""COMPUTED_VALUE"""),99.7)</f>
        <v>99.7</v>
      </c>
      <c r="Q355" s="1">
        <f ca="1">IFERROR(__xludf.DUMMYFUNCTION("""COMPUTED_VALUE"""),338)</f>
        <v>338</v>
      </c>
      <c r="R355" s="1">
        <f ca="1">IFERROR(__xludf.DUMMYFUNCTION("""COMPUTED_VALUE"""),109.7)</f>
        <v>109.7</v>
      </c>
      <c r="S355" s="1">
        <f ca="1">IFERROR(__xludf.DUMMYFUNCTION("""COMPUTED_VALUE"""),344)</f>
        <v>344</v>
      </c>
      <c r="T355" s="1" t="str">
        <f ca="1">IFERROR(__xludf.DUMMYFUNCTION("""COMPUTED_VALUE"""),"+4.32")</f>
        <v>+4.32</v>
      </c>
      <c r="U355" s="1">
        <f ca="1">IFERROR(__xludf.DUMMYFUNCTION("""COMPUTED_VALUE"""),51)</f>
        <v>51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IFERROR(__xludf.DUMMYFUNCTION("""COMPUTED_VALUE"""),"USC Upstate")</f>
        <v>USC Upstate</v>
      </c>
      <c r="C356" s="1" t="str">
        <f ca="1">IFERROR(__xludf.DUMMYFUNCTION("""COMPUTED_VALUE"""),"ASun")</f>
        <v>ASun</v>
      </c>
      <c r="D356" s="2">
        <f ca="1">IFERROR(__xludf.DUMMYFUNCTION("""COMPUTED_VALUE"""),44767)</f>
        <v>44767</v>
      </c>
      <c r="E356" s="1">
        <f ca="1">IFERROR(__xludf.DUMMYFUNCTION("""COMPUTED_VALUE"""),-19.77)</f>
        <v>-19.77</v>
      </c>
      <c r="F356" s="1">
        <f ca="1">IFERROR(__xludf.DUMMYFUNCTION("""COMPUTED_VALUE"""),105.2)</f>
        <v>105.2</v>
      </c>
      <c r="G356" s="1">
        <f ca="1">IFERROR(__xludf.DUMMYFUNCTION("""COMPUTED_VALUE"""),167)</f>
        <v>167</v>
      </c>
      <c r="H356" s="1">
        <f ca="1">IFERROR(__xludf.DUMMYFUNCTION("""COMPUTED_VALUE"""),125)</f>
        <v>125</v>
      </c>
      <c r="I356" s="1">
        <f ca="1">IFERROR(__xludf.DUMMYFUNCTION("""COMPUTED_VALUE"""),351)</f>
        <v>351</v>
      </c>
      <c r="J356" s="1">
        <f ca="1">IFERROR(__xludf.DUMMYFUNCTION("""COMPUTED_VALUE"""),69)</f>
        <v>69</v>
      </c>
      <c r="K356" s="1">
        <f ca="1">IFERROR(__xludf.DUMMYFUNCTION("""COMPUTED_VALUE"""),124)</f>
        <v>124</v>
      </c>
      <c r="L356" s="1">
        <f ca="1">IFERROR(__xludf.DUMMYFUNCTION("""COMPUTED_VALUE"""),-0.051)</f>
        <v>-5.0999999999999997E-2</v>
      </c>
      <c r="M356" s="1">
        <f ca="1">IFERROR(__xludf.DUMMYFUNCTION("""COMPUTED_VALUE"""),297)</f>
        <v>297</v>
      </c>
      <c r="N356" s="1">
        <f ca="1">IFERROR(__xludf.DUMMYFUNCTION("""COMPUTED_VALUE"""),-3.44)</f>
        <v>-3.44</v>
      </c>
      <c r="O356" s="1">
        <f ca="1">IFERROR(__xludf.DUMMYFUNCTION("""COMPUTED_VALUE"""),241)</f>
        <v>241</v>
      </c>
      <c r="P356" s="1">
        <f ca="1">IFERROR(__xludf.DUMMYFUNCTION("""COMPUTED_VALUE"""),103)</f>
        <v>103</v>
      </c>
      <c r="Q356" s="1">
        <f ca="1">IFERROR(__xludf.DUMMYFUNCTION("""COMPUTED_VALUE"""),247)</f>
        <v>247</v>
      </c>
      <c r="R356" s="1">
        <f ca="1">IFERROR(__xludf.DUMMYFUNCTION("""COMPUTED_VALUE"""),106.4)</f>
        <v>106.4</v>
      </c>
      <c r="S356" s="1">
        <f ca="1">IFERROR(__xludf.DUMMYFUNCTION("""COMPUTED_VALUE"""),223)</f>
        <v>223</v>
      </c>
      <c r="T356" s="1" t="str">
        <f ca="1">IFERROR(__xludf.DUMMYFUNCTION("""COMPUTED_VALUE"""),"+1.76")</f>
        <v>+1.76</v>
      </c>
      <c r="U356" s="1">
        <f ca="1">IFERROR(__xludf.DUMMYFUNCTION("""COMPUTED_VALUE"""),110)</f>
        <v>110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IFERROR(__xludf.DUMMYFUNCTION("""COMPUTED_VALUE"""),"Alabama St.")</f>
        <v>Alabama St.</v>
      </c>
      <c r="C357" s="1" t="str">
        <f ca="1">IFERROR(__xludf.DUMMYFUNCTION("""COMPUTED_VALUE"""),"SWAC")</f>
        <v>SWAC</v>
      </c>
      <c r="D357" s="2">
        <f ca="1">IFERROR(__xludf.DUMMYFUNCTION("""COMPUTED_VALUE"""),44796)</f>
        <v>44796</v>
      </c>
      <c r="E357" s="1">
        <f ca="1">IFERROR(__xludf.DUMMYFUNCTION("""COMPUTED_VALUE"""),-19.86)</f>
        <v>-19.86</v>
      </c>
      <c r="F357" s="1">
        <f ca="1">IFERROR(__xludf.DUMMYFUNCTION("""COMPUTED_VALUE"""),95.8)</f>
        <v>95.8</v>
      </c>
      <c r="G357" s="1">
        <f ca="1">IFERROR(__xludf.DUMMYFUNCTION("""COMPUTED_VALUE"""),322)</f>
        <v>322</v>
      </c>
      <c r="H357" s="1">
        <f ca="1">IFERROR(__xludf.DUMMYFUNCTION("""COMPUTED_VALUE"""),115.7)</f>
        <v>115.7</v>
      </c>
      <c r="I357" s="1">
        <f ca="1">IFERROR(__xludf.DUMMYFUNCTION("""COMPUTED_VALUE"""),337)</f>
        <v>337</v>
      </c>
      <c r="J357" s="1">
        <f ca="1">IFERROR(__xludf.DUMMYFUNCTION("""COMPUTED_VALUE"""),68.8)</f>
        <v>68.8</v>
      </c>
      <c r="K357" s="1">
        <f ca="1">IFERROR(__xludf.DUMMYFUNCTION("""COMPUTED_VALUE"""),145)</f>
        <v>145</v>
      </c>
      <c r="L357" s="1">
        <f ca="1">IFERROR(__xludf.DUMMYFUNCTION("""COMPUTED_VALUE"""),-0.018)</f>
        <v>-1.7999999999999999E-2</v>
      </c>
      <c r="M357" s="1">
        <f ca="1">IFERROR(__xludf.DUMMYFUNCTION("""COMPUTED_VALUE"""),228)</f>
        <v>228</v>
      </c>
      <c r="N357" s="1">
        <f ca="1">IFERROR(__xludf.DUMMYFUNCTION("""COMPUTED_VALUE"""),-9.14)</f>
        <v>-9.14</v>
      </c>
      <c r="O357" s="1">
        <f ca="1">IFERROR(__xludf.DUMMYFUNCTION("""COMPUTED_VALUE"""),339)</f>
        <v>339</v>
      </c>
      <c r="P357" s="1">
        <f ca="1">IFERROR(__xludf.DUMMYFUNCTION("""COMPUTED_VALUE"""),99.2)</f>
        <v>99.2</v>
      </c>
      <c r="Q357" s="1">
        <f ca="1">IFERROR(__xludf.DUMMYFUNCTION("""COMPUTED_VALUE"""),343)</f>
        <v>343</v>
      </c>
      <c r="R357" s="1">
        <f ca="1">IFERROR(__xludf.DUMMYFUNCTION("""COMPUTED_VALUE"""),108.4)</f>
        <v>108.4</v>
      </c>
      <c r="S357" s="1">
        <f ca="1">IFERROR(__xludf.DUMMYFUNCTION("""COMPUTED_VALUE"""),319)</f>
        <v>319</v>
      </c>
      <c r="T357" s="1" t="str">
        <f ca="1">IFERROR(__xludf.DUMMYFUNCTION("""COMPUTED_VALUE"""),"+4.68")</f>
        <v>+4.68</v>
      </c>
      <c r="U357" s="1">
        <f ca="1">IFERROR(__xludf.DUMMYFUNCTION("""COMPUTED_VALUE"""),42)</f>
        <v>42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IFERROR(__xludf.DUMMYFUNCTION("""COMPUTED_VALUE"""),"Longwood")</f>
        <v>Longwood</v>
      </c>
      <c r="C358" s="1" t="str">
        <f ca="1">IFERROR(__xludf.DUMMYFUNCTION("""COMPUTED_VALUE"""),"BSth")</f>
        <v>BSth</v>
      </c>
      <c r="D358" s="2">
        <f ca="1">IFERROR(__xludf.DUMMYFUNCTION("""COMPUTED_VALUE"""),44768)</f>
        <v>44768</v>
      </c>
      <c r="E358" s="1">
        <f ca="1">IFERROR(__xludf.DUMMYFUNCTION("""COMPUTED_VALUE"""),-20.41)</f>
        <v>-20.41</v>
      </c>
      <c r="F358" s="1">
        <f ca="1">IFERROR(__xludf.DUMMYFUNCTION("""COMPUTED_VALUE"""),89.6)</f>
        <v>89.6</v>
      </c>
      <c r="G358" s="1">
        <f ca="1">IFERROR(__xludf.DUMMYFUNCTION("""COMPUTED_VALUE"""),347)</f>
        <v>347</v>
      </c>
      <c r="H358" s="1">
        <f ca="1">IFERROR(__xludf.DUMMYFUNCTION("""COMPUTED_VALUE"""),110)</f>
        <v>110</v>
      </c>
      <c r="I358" s="1">
        <f ca="1">IFERROR(__xludf.DUMMYFUNCTION("""COMPUTED_VALUE"""),279)</f>
        <v>279</v>
      </c>
      <c r="J358" s="1">
        <f ca="1">IFERROR(__xludf.DUMMYFUNCTION("""COMPUTED_VALUE"""),69.1)</f>
        <v>69.099999999999994</v>
      </c>
      <c r="K358" s="1">
        <f ca="1">IFERROR(__xludf.DUMMYFUNCTION("""COMPUTED_VALUE"""),121)</f>
        <v>121</v>
      </c>
      <c r="L358" s="1">
        <f ca="1">IFERROR(__xludf.DUMMYFUNCTION("""COMPUTED_VALUE"""),-0.039)</f>
        <v>-3.9E-2</v>
      </c>
      <c r="M358" s="1">
        <f ca="1">IFERROR(__xludf.DUMMYFUNCTION("""COMPUTED_VALUE"""),276)</f>
        <v>276</v>
      </c>
      <c r="N358" s="1">
        <f ca="1">IFERROR(__xludf.DUMMYFUNCTION("""COMPUTED_VALUE"""),-3.96)</f>
        <v>-3.96</v>
      </c>
      <c r="O358" s="1">
        <f ca="1">IFERROR(__xludf.DUMMYFUNCTION("""COMPUTED_VALUE"""),252)</f>
        <v>252</v>
      </c>
      <c r="P358" s="1">
        <f ca="1">IFERROR(__xludf.DUMMYFUNCTION("""COMPUTED_VALUE"""),102.8)</f>
        <v>102.8</v>
      </c>
      <c r="Q358" s="1">
        <f ca="1">IFERROR(__xludf.DUMMYFUNCTION("""COMPUTED_VALUE"""),261)</f>
        <v>261</v>
      </c>
      <c r="R358" s="1">
        <f ca="1">IFERROR(__xludf.DUMMYFUNCTION("""COMPUTED_VALUE"""),106.7)</f>
        <v>106.7</v>
      </c>
      <c r="S358" s="1">
        <f ca="1">IFERROR(__xludf.DUMMYFUNCTION("""COMPUTED_VALUE"""),243)</f>
        <v>243</v>
      </c>
      <c r="T358" s="1">
        <f ca="1">IFERROR(__xludf.DUMMYFUNCTION("""COMPUTED_VALUE"""),-0.88)</f>
        <v>-0.88</v>
      </c>
      <c r="U358" s="1">
        <f ca="1">IFERROR(__xludf.DUMMYFUNCTION("""COMPUTED_VALUE"""),182)</f>
        <v>182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IFERROR(__xludf.DUMMYFUNCTION("""COMPUTED_VALUE"""),"Florida A&amp;M")</f>
        <v>Florida A&amp;M</v>
      </c>
      <c r="C359" s="1" t="str">
        <f ca="1">IFERROR(__xludf.DUMMYFUNCTION("""COMPUTED_VALUE"""),"MEAC")</f>
        <v>MEAC</v>
      </c>
      <c r="D359" s="2">
        <f ca="1">IFERROR(__xludf.DUMMYFUNCTION("""COMPUTED_VALUE"""),44829)</f>
        <v>44829</v>
      </c>
      <c r="E359" s="1">
        <f ca="1">IFERROR(__xludf.DUMMYFUNCTION("""COMPUTED_VALUE"""),-21.21)</f>
        <v>-21.21</v>
      </c>
      <c r="F359" s="1">
        <f ca="1">IFERROR(__xludf.DUMMYFUNCTION("""COMPUTED_VALUE"""),95.6)</f>
        <v>95.6</v>
      </c>
      <c r="G359" s="1">
        <f ca="1">IFERROR(__xludf.DUMMYFUNCTION("""COMPUTED_VALUE"""),325)</f>
        <v>325</v>
      </c>
      <c r="H359" s="1">
        <f ca="1">IFERROR(__xludf.DUMMYFUNCTION("""COMPUTED_VALUE"""),116.8)</f>
        <v>116.8</v>
      </c>
      <c r="I359" s="1">
        <f ca="1">IFERROR(__xludf.DUMMYFUNCTION("""COMPUTED_VALUE"""),341)</f>
        <v>341</v>
      </c>
      <c r="J359" s="1">
        <f ca="1">IFERROR(__xludf.DUMMYFUNCTION("""COMPUTED_VALUE"""),67.1)</f>
        <v>67.099999999999994</v>
      </c>
      <c r="K359" s="1">
        <f ca="1">IFERROR(__xludf.DUMMYFUNCTION("""COMPUTED_VALUE"""),230)</f>
        <v>230</v>
      </c>
      <c r="L359" s="1" t="str">
        <f ca="1">IFERROR(__xludf.DUMMYFUNCTION("""COMPUTED_VALUE"""),"+.040")</f>
        <v>+.040</v>
      </c>
      <c r="M359" s="1">
        <f ca="1">IFERROR(__xludf.DUMMYFUNCTION("""COMPUTED_VALUE"""),78)</f>
        <v>78</v>
      </c>
      <c r="N359" s="1">
        <f ca="1">IFERROR(__xludf.DUMMYFUNCTION("""COMPUTED_VALUE"""),-7.55)</f>
        <v>-7.55</v>
      </c>
      <c r="O359" s="1">
        <f ca="1">IFERROR(__xludf.DUMMYFUNCTION("""COMPUTED_VALUE"""),328)</f>
        <v>328</v>
      </c>
      <c r="P359" s="1">
        <f ca="1">IFERROR(__xludf.DUMMYFUNCTION("""COMPUTED_VALUE"""),101)</f>
        <v>101</v>
      </c>
      <c r="Q359" s="1">
        <f ca="1">IFERROR(__xludf.DUMMYFUNCTION("""COMPUTED_VALUE"""),317)</f>
        <v>317</v>
      </c>
      <c r="R359" s="1">
        <f ca="1">IFERROR(__xludf.DUMMYFUNCTION("""COMPUTED_VALUE"""),108.6)</f>
        <v>108.6</v>
      </c>
      <c r="S359" s="1">
        <f ca="1">IFERROR(__xludf.DUMMYFUNCTION("""COMPUTED_VALUE"""),327)</f>
        <v>327</v>
      </c>
      <c r="T359" s="1" t="str">
        <f ca="1">IFERROR(__xludf.DUMMYFUNCTION("""COMPUTED_VALUE"""),"+6.38")</f>
        <v>+6.38</v>
      </c>
      <c r="U359" s="1">
        <f ca="1">IFERROR(__xludf.DUMMYFUNCTION("""COMPUTED_VALUE"""),25)</f>
        <v>25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IFERROR(__xludf.DUMMYFUNCTION("""COMPUTED_VALUE"""),"Incarnate Word")</f>
        <v>Incarnate Word</v>
      </c>
      <c r="C360" s="1" t="str">
        <f ca="1">IFERROR(__xludf.DUMMYFUNCTION("""COMPUTED_VALUE"""),"Slnd")</f>
        <v>Slnd</v>
      </c>
      <c r="D360" s="2">
        <f ca="1">IFERROR(__xludf.DUMMYFUNCTION("""COMPUTED_VALUE"""),44763)</f>
        <v>44763</v>
      </c>
      <c r="E360" s="1">
        <f ca="1">IFERROR(__xludf.DUMMYFUNCTION("""COMPUTED_VALUE"""),-21.6)</f>
        <v>-21.6</v>
      </c>
      <c r="F360" s="1">
        <f ca="1">IFERROR(__xludf.DUMMYFUNCTION("""COMPUTED_VALUE"""),93.5)</f>
        <v>93.5</v>
      </c>
      <c r="G360" s="1">
        <f ca="1">IFERROR(__xludf.DUMMYFUNCTION("""COMPUTED_VALUE"""),341)</f>
        <v>341</v>
      </c>
      <c r="H360" s="1">
        <f ca="1">IFERROR(__xludf.DUMMYFUNCTION("""COMPUTED_VALUE"""),115.1)</f>
        <v>115.1</v>
      </c>
      <c r="I360" s="1">
        <f ca="1">IFERROR(__xludf.DUMMYFUNCTION("""COMPUTED_VALUE"""),334)</f>
        <v>334</v>
      </c>
      <c r="J360" s="1">
        <f ca="1">IFERROR(__xludf.DUMMYFUNCTION("""COMPUTED_VALUE"""),69.7)</f>
        <v>69.7</v>
      </c>
      <c r="K360" s="1">
        <f ca="1">IFERROR(__xludf.DUMMYFUNCTION("""COMPUTED_VALUE"""),95)</f>
        <v>95</v>
      </c>
      <c r="L360" s="1">
        <f ca="1">IFERROR(__xludf.DUMMYFUNCTION("""COMPUTED_VALUE"""),-0.006)</f>
        <v>-6.0000000000000001E-3</v>
      </c>
      <c r="M360" s="1">
        <f ca="1">IFERROR(__xludf.DUMMYFUNCTION("""COMPUTED_VALUE"""),193)</f>
        <v>193</v>
      </c>
      <c r="N360" s="1">
        <f ca="1">IFERROR(__xludf.DUMMYFUNCTION("""COMPUTED_VALUE"""),-5.52)</f>
        <v>-5.52</v>
      </c>
      <c r="O360" s="1">
        <f ca="1">IFERROR(__xludf.DUMMYFUNCTION("""COMPUTED_VALUE"""),292)</f>
        <v>292</v>
      </c>
      <c r="P360" s="1">
        <f ca="1">IFERROR(__xludf.DUMMYFUNCTION("""COMPUTED_VALUE"""),101.2)</f>
        <v>101.2</v>
      </c>
      <c r="Q360" s="1">
        <f ca="1">IFERROR(__xludf.DUMMYFUNCTION("""COMPUTED_VALUE"""),310)</f>
        <v>310</v>
      </c>
      <c r="R360" s="1">
        <f ca="1">IFERROR(__xludf.DUMMYFUNCTION("""COMPUTED_VALUE"""),106.7)</f>
        <v>106.7</v>
      </c>
      <c r="S360" s="1">
        <f ca="1">IFERROR(__xludf.DUMMYFUNCTION("""COMPUTED_VALUE"""),244)</f>
        <v>244</v>
      </c>
      <c r="T360" s="1" t="str">
        <f ca="1">IFERROR(__xludf.DUMMYFUNCTION("""COMPUTED_VALUE"""),"+8.16")</f>
        <v>+8.16</v>
      </c>
      <c r="U360" s="1">
        <f ca="1">IFERROR(__xludf.DUMMYFUNCTION("""COMPUTED_VALUE"""),12)</f>
        <v>12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IFERROR(__xludf.DUMMYFUNCTION("""COMPUTED_VALUE"""),"South Carolina St.")</f>
        <v>South Carolina St.</v>
      </c>
      <c r="C361" s="1" t="str">
        <f ca="1">IFERROR(__xludf.DUMMYFUNCTION("""COMPUTED_VALUE"""),"MEAC")</f>
        <v>MEAC</v>
      </c>
      <c r="D361" s="2">
        <f ca="1">IFERROR(__xludf.DUMMYFUNCTION("""COMPUTED_VALUE"""),44856)</f>
        <v>44856</v>
      </c>
      <c r="E361" s="1">
        <f ca="1">IFERROR(__xludf.DUMMYFUNCTION("""COMPUTED_VALUE"""),-21.86)</f>
        <v>-21.86</v>
      </c>
      <c r="F361" s="1">
        <f ca="1">IFERROR(__xludf.DUMMYFUNCTION("""COMPUTED_VALUE"""),96.9)</f>
        <v>96.9</v>
      </c>
      <c r="G361" s="1">
        <f ca="1">IFERROR(__xludf.DUMMYFUNCTION("""COMPUTED_VALUE"""),310)</f>
        <v>310</v>
      </c>
      <c r="H361" s="1">
        <f ca="1">IFERROR(__xludf.DUMMYFUNCTION("""COMPUTED_VALUE"""),118.7)</f>
        <v>118.7</v>
      </c>
      <c r="I361" s="1">
        <f ca="1">IFERROR(__xludf.DUMMYFUNCTION("""COMPUTED_VALUE"""),347)</f>
        <v>347</v>
      </c>
      <c r="J361" s="1">
        <f ca="1">IFERROR(__xludf.DUMMYFUNCTION("""COMPUTED_VALUE"""),70.5)</f>
        <v>70.5</v>
      </c>
      <c r="K361" s="1">
        <f ca="1">IFERROR(__xludf.DUMMYFUNCTION("""COMPUTED_VALUE"""),64)</f>
        <v>64</v>
      </c>
      <c r="L361" s="1" t="str">
        <f ca="1">IFERROR(__xludf.DUMMYFUNCTION("""COMPUTED_VALUE"""),"+.030")</f>
        <v>+.030</v>
      </c>
      <c r="M361" s="1">
        <f ca="1">IFERROR(__xludf.DUMMYFUNCTION("""COMPUTED_VALUE"""),102)</f>
        <v>102</v>
      </c>
      <c r="N361" s="1">
        <f ca="1">IFERROR(__xludf.DUMMYFUNCTION("""COMPUTED_VALUE"""),-8.97)</f>
        <v>-8.9700000000000006</v>
      </c>
      <c r="O361" s="1">
        <f ca="1">IFERROR(__xludf.DUMMYFUNCTION("""COMPUTED_VALUE"""),337)</f>
        <v>337</v>
      </c>
      <c r="P361" s="1">
        <f ca="1">IFERROR(__xludf.DUMMYFUNCTION("""COMPUTED_VALUE"""),100.1)</f>
        <v>100.1</v>
      </c>
      <c r="Q361" s="1">
        <f ca="1">IFERROR(__xludf.DUMMYFUNCTION("""COMPUTED_VALUE"""),335)</f>
        <v>335</v>
      </c>
      <c r="R361" s="1">
        <f ca="1">IFERROR(__xludf.DUMMYFUNCTION("""COMPUTED_VALUE"""),109.1)</f>
        <v>109.1</v>
      </c>
      <c r="S361" s="1">
        <f ca="1">IFERROR(__xludf.DUMMYFUNCTION("""COMPUTED_VALUE"""),336)</f>
        <v>336</v>
      </c>
      <c r="T361" s="1" t="str">
        <f ca="1">IFERROR(__xludf.DUMMYFUNCTION("""COMPUTED_VALUE"""),"+4.47")</f>
        <v>+4.47</v>
      </c>
      <c r="U361" s="1">
        <f ca="1">IFERROR(__xludf.DUMMYFUNCTION("""COMPUTED_VALUE"""),49)</f>
        <v>49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IFERROR(__xludf.DUMMYFUNCTION("""COMPUTED_VALUE"""),"Bryant")</f>
        <v>Bryant</v>
      </c>
      <c r="C362" s="1" t="str">
        <f ca="1">IFERROR(__xludf.DUMMYFUNCTION("""COMPUTED_VALUE"""),"NEC")</f>
        <v>NEC</v>
      </c>
      <c r="D362" s="2">
        <f ca="1">IFERROR(__xludf.DUMMYFUNCTION("""COMPUTED_VALUE"""),44648)</f>
        <v>44648</v>
      </c>
      <c r="E362" s="1">
        <f ca="1">IFERROR(__xludf.DUMMYFUNCTION("""COMPUTED_VALUE"""),-22.06)</f>
        <v>-22.06</v>
      </c>
      <c r="F362" s="1">
        <f ca="1">IFERROR(__xludf.DUMMYFUNCTION("""COMPUTED_VALUE"""),98.7)</f>
        <v>98.7</v>
      </c>
      <c r="G362" s="1">
        <f ca="1">IFERROR(__xludf.DUMMYFUNCTION("""COMPUTED_VALUE"""),283)</f>
        <v>283</v>
      </c>
      <c r="H362" s="1">
        <f ca="1">IFERROR(__xludf.DUMMYFUNCTION("""COMPUTED_VALUE"""),120.7)</f>
        <v>120.7</v>
      </c>
      <c r="I362" s="1">
        <f ca="1">IFERROR(__xludf.DUMMYFUNCTION("""COMPUTED_VALUE"""),350)</f>
        <v>350</v>
      </c>
      <c r="J362" s="1">
        <f ca="1">IFERROR(__xludf.DUMMYFUNCTION("""COMPUTED_VALUE"""),70.1)</f>
        <v>70.099999999999994</v>
      </c>
      <c r="K362" s="1">
        <f ca="1">IFERROR(__xludf.DUMMYFUNCTION("""COMPUTED_VALUE"""),74)</f>
        <v>74</v>
      </c>
      <c r="L362" s="1">
        <f ca="1">IFERROR(__xludf.DUMMYFUNCTION("""COMPUTED_VALUE"""),-0.013)</f>
        <v>-1.2999999999999999E-2</v>
      </c>
      <c r="M362" s="1">
        <f ca="1">IFERROR(__xludf.DUMMYFUNCTION("""COMPUTED_VALUE"""),210)</f>
        <v>210</v>
      </c>
      <c r="N362" s="1">
        <f ca="1">IFERROR(__xludf.DUMMYFUNCTION("""COMPUTED_VALUE"""),-5.3)</f>
        <v>-5.3</v>
      </c>
      <c r="O362" s="1">
        <f ca="1">IFERROR(__xludf.DUMMYFUNCTION("""COMPUTED_VALUE"""),287)</f>
        <v>287</v>
      </c>
      <c r="P362" s="1">
        <f ca="1">IFERROR(__xludf.DUMMYFUNCTION("""COMPUTED_VALUE"""),101.9)</f>
        <v>101.9</v>
      </c>
      <c r="Q362" s="1">
        <f ca="1">IFERROR(__xludf.DUMMYFUNCTION("""COMPUTED_VALUE"""),293)</f>
        <v>293</v>
      </c>
      <c r="R362" s="1">
        <f ca="1">IFERROR(__xludf.DUMMYFUNCTION("""COMPUTED_VALUE"""),107.2)</f>
        <v>107.2</v>
      </c>
      <c r="S362" s="1">
        <f ca="1">IFERROR(__xludf.DUMMYFUNCTION("""COMPUTED_VALUE"""),268)</f>
        <v>268</v>
      </c>
      <c r="T362" s="1" t="str">
        <f ca="1">IFERROR(__xludf.DUMMYFUNCTION("""COMPUTED_VALUE"""),"+1.28")</f>
        <v>+1.28</v>
      </c>
      <c r="U362" s="1">
        <f ca="1">IFERROR(__xludf.DUMMYFUNCTION("""COMPUTED_VALUE"""),124)</f>
        <v>124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IFERROR(__xludf.DUMMYFUNCTION("""COMPUTED_VALUE"""),"Northwestern St.")</f>
        <v>Northwestern St.</v>
      </c>
      <c r="C363" s="1" t="str">
        <f ca="1">IFERROR(__xludf.DUMMYFUNCTION("""COMPUTED_VALUE"""),"Slnd")</f>
        <v>Slnd</v>
      </c>
      <c r="D363" s="2">
        <f ca="1">IFERROR(__xludf.DUMMYFUNCTION("""COMPUTED_VALUE"""),44676)</f>
        <v>44676</v>
      </c>
      <c r="E363" s="1">
        <f ca="1">IFERROR(__xludf.DUMMYFUNCTION("""COMPUTED_VALUE"""),-22.41)</f>
        <v>-22.41</v>
      </c>
      <c r="F363" s="1">
        <f ca="1">IFERROR(__xludf.DUMMYFUNCTION("""COMPUTED_VALUE"""),88.3)</f>
        <v>88.3</v>
      </c>
      <c r="G363" s="1">
        <f ca="1">IFERROR(__xludf.DUMMYFUNCTION("""COMPUTED_VALUE"""),349)</f>
        <v>349</v>
      </c>
      <c r="H363" s="1">
        <f ca="1">IFERROR(__xludf.DUMMYFUNCTION("""COMPUTED_VALUE"""),110.7)</f>
        <v>110.7</v>
      </c>
      <c r="I363" s="1">
        <f ca="1">IFERROR(__xludf.DUMMYFUNCTION("""COMPUTED_VALUE"""),291)</f>
        <v>291</v>
      </c>
      <c r="J363" s="1">
        <f ca="1">IFERROR(__xludf.DUMMYFUNCTION("""COMPUTED_VALUE"""),68.9)</f>
        <v>68.900000000000006</v>
      </c>
      <c r="K363" s="1">
        <f ca="1">IFERROR(__xludf.DUMMYFUNCTION("""COMPUTED_VALUE"""),137)</f>
        <v>137</v>
      </c>
      <c r="L363" s="1">
        <f ca="1">IFERROR(__xludf.DUMMYFUNCTION("""COMPUTED_VALUE"""),-0.08)</f>
        <v>-0.08</v>
      </c>
      <c r="M363" s="1">
        <f ca="1">IFERROR(__xludf.DUMMYFUNCTION("""COMPUTED_VALUE"""),337)</f>
        <v>337</v>
      </c>
      <c r="N363" s="1">
        <f ca="1">IFERROR(__xludf.DUMMYFUNCTION("""COMPUTED_VALUE"""),-3.59)</f>
        <v>-3.59</v>
      </c>
      <c r="O363" s="1">
        <f ca="1">IFERROR(__xludf.DUMMYFUNCTION("""COMPUTED_VALUE"""),245)</f>
        <v>245</v>
      </c>
      <c r="P363" s="1">
        <f ca="1">IFERROR(__xludf.DUMMYFUNCTION("""COMPUTED_VALUE"""),102.6)</f>
        <v>102.6</v>
      </c>
      <c r="Q363" s="1">
        <f ca="1">IFERROR(__xludf.DUMMYFUNCTION("""COMPUTED_VALUE"""),270)</f>
        <v>270</v>
      </c>
      <c r="R363" s="1">
        <f ca="1">IFERROR(__xludf.DUMMYFUNCTION("""COMPUTED_VALUE"""),106.2)</f>
        <v>106.2</v>
      </c>
      <c r="S363" s="1">
        <f ca="1">IFERROR(__xludf.DUMMYFUNCTION("""COMPUTED_VALUE"""),203)</f>
        <v>203</v>
      </c>
      <c r="T363" s="1" t="str">
        <f ca="1">IFERROR(__xludf.DUMMYFUNCTION("""COMPUTED_VALUE"""),"+7.92")</f>
        <v>+7.92</v>
      </c>
      <c r="U363" s="1">
        <f ca="1">IFERROR(__xludf.DUMMYFUNCTION("""COMPUTED_VALUE"""),13)</f>
        <v>13</v>
      </c>
    </row>
    <row r="364" spans="1:21" ht="13" x14ac:dyDescent="0.15">
      <c r="A364" s="1">
        <f ca="1">IFERROR(__xludf.DUMMYFUNCTION("""COMPUTED_VALUE"""),346)</f>
        <v>346</v>
      </c>
      <c r="B364" s="1" t="str">
        <f ca="1">IFERROR(__xludf.DUMMYFUNCTION("""COMPUTED_VALUE"""),"Chicago St.")</f>
        <v>Chicago St.</v>
      </c>
      <c r="C364" s="1" t="str">
        <f ca="1">IFERROR(__xludf.DUMMYFUNCTION("""COMPUTED_VALUE"""),"WAC")</f>
        <v>WAC</v>
      </c>
      <c r="D364" s="2">
        <f ca="1">IFERROR(__xludf.DUMMYFUNCTION("""COMPUTED_VALUE"""),44649)</f>
        <v>44649</v>
      </c>
      <c r="E364" s="1">
        <f ca="1">IFERROR(__xludf.DUMMYFUNCTION("""COMPUTED_VALUE"""),-22.59)</f>
        <v>-22.59</v>
      </c>
      <c r="F364" s="1">
        <f ca="1">IFERROR(__xludf.DUMMYFUNCTION("""COMPUTED_VALUE"""),96.5)</f>
        <v>96.5</v>
      </c>
      <c r="G364" s="1">
        <f ca="1">IFERROR(__xludf.DUMMYFUNCTION("""COMPUTED_VALUE"""),315)</f>
        <v>315</v>
      </c>
      <c r="H364" s="1">
        <f ca="1">IFERROR(__xludf.DUMMYFUNCTION("""COMPUTED_VALUE"""),119.1)</f>
        <v>119.1</v>
      </c>
      <c r="I364" s="1">
        <f ca="1">IFERROR(__xludf.DUMMYFUNCTION("""COMPUTED_VALUE"""),348)</f>
        <v>348</v>
      </c>
      <c r="J364" s="1">
        <f ca="1">IFERROR(__xludf.DUMMYFUNCTION("""COMPUTED_VALUE"""),72.1)</f>
        <v>72.099999999999994</v>
      </c>
      <c r="K364" s="1">
        <f ca="1">IFERROR(__xludf.DUMMYFUNCTION("""COMPUTED_VALUE"""),26)</f>
        <v>26</v>
      </c>
      <c r="L364" s="1">
        <f ca="1">IFERROR(__xludf.DUMMYFUNCTION("""COMPUTED_VALUE"""),-0.063)</f>
        <v>-6.3E-2</v>
      </c>
      <c r="M364" s="1">
        <f ca="1">IFERROR(__xludf.DUMMYFUNCTION("""COMPUTED_VALUE"""),317)</f>
        <v>317</v>
      </c>
      <c r="N364" s="1" t="str">
        <f ca="1">IFERROR(__xludf.DUMMYFUNCTION("""COMPUTED_VALUE"""),"+2.85")</f>
        <v>+2.85</v>
      </c>
      <c r="O364" s="1">
        <f ca="1">IFERROR(__xludf.DUMMYFUNCTION("""COMPUTED_VALUE"""),93)</f>
        <v>93</v>
      </c>
      <c r="P364" s="1">
        <f ca="1">IFERROR(__xludf.DUMMYFUNCTION("""COMPUTED_VALUE"""),106.1)</f>
        <v>106.1</v>
      </c>
      <c r="Q364" s="1">
        <f ca="1">IFERROR(__xludf.DUMMYFUNCTION("""COMPUTED_VALUE"""),107)</f>
        <v>107</v>
      </c>
      <c r="R364" s="1">
        <f ca="1">IFERROR(__xludf.DUMMYFUNCTION("""COMPUTED_VALUE"""),103.3)</f>
        <v>103.3</v>
      </c>
      <c r="S364" s="1">
        <f ca="1">IFERROR(__xludf.DUMMYFUNCTION("""COMPUTED_VALUE"""),87)</f>
        <v>87</v>
      </c>
      <c r="T364" s="1" t="str">
        <f ca="1">IFERROR(__xludf.DUMMYFUNCTION("""COMPUTED_VALUE"""),"+6.32")</f>
        <v>+6.32</v>
      </c>
      <c r="U364" s="1">
        <f ca="1">IFERROR(__xludf.DUMMYFUNCTION("""COMPUTED_VALUE"""),26)</f>
        <v>26</v>
      </c>
    </row>
    <row r="365" spans="1:21" ht="13" x14ac:dyDescent="0.15">
      <c r="A365" s="1">
        <f ca="1">IFERROR(__xludf.DUMMYFUNCTION("""COMPUTED_VALUE"""),347)</f>
        <v>347</v>
      </c>
      <c r="B365" s="1" t="str">
        <f ca="1">IFERROR(__xludf.DUMMYFUNCTION("""COMPUTED_VALUE"""),"Coppin St.")</f>
        <v>Coppin St.</v>
      </c>
      <c r="C365" s="1" t="str">
        <f ca="1">IFERROR(__xludf.DUMMYFUNCTION("""COMPUTED_VALUE"""),"MEAC")</f>
        <v>MEAC</v>
      </c>
      <c r="D365" s="2">
        <f ca="1">IFERROR(__xludf.DUMMYFUNCTION("""COMPUTED_VALUE"""),44708)</f>
        <v>44708</v>
      </c>
      <c r="E365" s="1">
        <f ca="1">IFERROR(__xludf.DUMMYFUNCTION("""COMPUTED_VALUE"""),-23.97)</f>
        <v>-23.97</v>
      </c>
      <c r="F365" s="1">
        <f ca="1">IFERROR(__xludf.DUMMYFUNCTION("""COMPUTED_VALUE"""),86.5)</f>
        <v>86.5</v>
      </c>
      <c r="G365" s="1">
        <f ca="1">IFERROR(__xludf.DUMMYFUNCTION("""COMPUTED_VALUE"""),351)</f>
        <v>351</v>
      </c>
      <c r="H365" s="1">
        <f ca="1">IFERROR(__xludf.DUMMYFUNCTION("""COMPUTED_VALUE"""),110.5)</f>
        <v>110.5</v>
      </c>
      <c r="I365" s="1">
        <f ca="1">IFERROR(__xludf.DUMMYFUNCTION("""COMPUTED_VALUE"""),284)</f>
        <v>284</v>
      </c>
      <c r="J365" s="1">
        <f ca="1">IFERROR(__xludf.DUMMYFUNCTION("""COMPUTED_VALUE"""),67.1)</f>
        <v>67.099999999999994</v>
      </c>
      <c r="K365" s="1">
        <f ca="1">IFERROR(__xludf.DUMMYFUNCTION("""COMPUTED_VALUE"""),232)</f>
        <v>232</v>
      </c>
      <c r="L365" s="1">
        <f ca="1">IFERROR(__xludf.DUMMYFUNCTION("""COMPUTED_VALUE"""),-0.026)</f>
        <v>-2.5999999999999999E-2</v>
      </c>
      <c r="M365" s="1">
        <f ca="1">IFERROR(__xludf.DUMMYFUNCTION("""COMPUTED_VALUE"""),253)</f>
        <v>253</v>
      </c>
      <c r="N365" s="1">
        <f ca="1">IFERROR(__xludf.DUMMYFUNCTION("""COMPUTED_VALUE"""),-7.19)</f>
        <v>-7.19</v>
      </c>
      <c r="O365" s="1">
        <f ca="1">IFERROR(__xludf.DUMMYFUNCTION("""COMPUTED_VALUE"""),321)</f>
        <v>321</v>
      </c>
      <c r="P365" s="1">
        <f ca="1">IFERROR(__xludf.DUMMYFUNCTION("""COMPUTED_VALUE"""),100.8)</f>
        <v>100.8</v>
      </c>
      <c r="Q365" s="1">
        <f ca="1">IFERROR(__xludf.DUMMYFUNCTION("""COMPUTED_VALUE"""),325)</f>
        <v>325</v>
      </c>
      <c r="R365" s="1">
        <f ca="1">IFERROR(__xludf.DUMMYFUNCTION("""COMPUTED_VALUE"""),108)</f>
        <v>108</v>
      </c>
      <c r="S365" s="1">
        <f ca="1">IFERROR(__xludf.DUMMYFUNCTION("""COMPUTED_VALUE"""),307)</f>
        <v>307</v>
      </c>
      <c r="T365" s="1" t="str">
        <f ca="1">IFERROR(__xludf.DUMMYFUNCTION("""COMPUTED_VALUE"""),"+5.62")</f>
        <v>+5.62</v>
      </c>
      <c r="U365" s="1">
        <f ca="1">IFERROR(__xludf.DUMMYFUNCTION("""COMPUTED_VALUE"""),32)</f>
        <v>32</v>
      </c>
    </row>
    <row r="366" spans="1:21" ht="13" x14ac:dyDescent="0.15">
      <c r="A366" s="1">
        <f ca="1">IFERROR(__xludf.DUMMYFUNCTION("""COMPUTED_VALUE"""),348)</f>
        <v>348</v>
      </c>
      <c r="B366" s="1" t="str">
        <f ca="1">IFERROR(__xludf.DUMMYFUNCTION("""COMPUTED_VALUE"""),"Mississippi Valley St.")</f>
        <v>Mississippi Valley St.</v>
      </c>
      <c r="C366" s="1" t="str">
        <f ca="1">IFERROR(__xludf.DUMMYFUNCTION("""COMPUTED_VALUE"""),"SWAC")</f>
        <v>SWAC</v>
      </c>
      <c r="D366" s="2">
        <f ca="1">IFERROR(__xludf.DUMMYFUNCTION("""COMPUTED_VALUE"""),44679)</f>
        <v>44679</v>
      </c>
      <c r="E366" s="1">
        <f ca="1">IFERROR(__xludf.DUMMYFUNCTION("""COMPUTED_VALUE"""),-24.21)</f>
        <v>-24.21</v>
      </c>
      <c r="F366" s="1">
        <f ca="1">IFERROR(__xludf.DUMMYFUNCTION("""COMPUTED_VALUE"""),90.3)</f>
        <v>90.3</v>
      </c>
      <c r="G366" s="1">
        <f ca="1">IFERROR(__xludf.DUMMYFUNCTION("""COMPUTED_VALUE"""),345)</f>
        <v>345</v>
      </c>
      <c r="H366" s="1">
        <f ca="1">IFERROR(__xludf.DUMMYFUNCTION("""COMPUTED_VALUE"""),114.5)</f>
        <v>114.5</v>
      </c>
      <c r="I366" s="1">
        <f ca="1">IFERROR(__xludf.DUMMYFUNCTION("""COMPUTED_VALUE"""),327)</f>
        <v>327</v>
      </c>
      <c r="J366" s="1">
        <f ca="1">IFERROR(__xludf.DUMMYFUNCTION("""COMPUTED_VALUE"""),69.4)</f>
        <v>69.400000000000006</v>
      </c>
      <c r="K366" s="1">
        <f ca="1">IFERROR(__xludf.DUMMYFUNCTION("""COMPUTED_VALUE"""),106)</f>
        <v>106</v>
      </c>
      <c r="L366" s="1">
        <f ca="1">IFERROR(__xludf.DUMMYFUNCTION("""COMPUTED_VALUE"""),-0.032)</f>
        <v>-3.2000000000000001E-2</v>
      </c>
      <c r="M366" s="1">
        <f ca="1">IFERROR(__xludf.DUMMYFUNCTION("""COMPUTED_VALUE"""),267)</f>
        <v>267</v>
      </c>
      <c r="N366" s="1">
        <f ca="1">IFERROR(__xludf.DUMMYFUNCTION("""COMPUTED_VALUE"""),-7.46)</f>
        <v>-7.46</v>
      </c>
      <c r="O366" s="1">
        <f ca="1">IFERROR(__xludf.DUMMYFUNCTION("""COMPUTED_VALUE"""),327)</f>
        <v>327</v>
      </c>
      <c r="P366" s="1">
        <f ca="1">IFERROR(__xludf.DUMMYFUNCTION("""COMPUTED_VALUE"""),100.3)</f>
        <v>100.3</v>
      </c>
      <c r="Q366" s="1">
        <f ca="1">IFERROR(__xludf.DUMMYFUNCTION("""COMPUTED_VALUE"""),332)</f>
        <v>332</v>
      </c>
      <c r="R366" s="1">
        <f ca="1">IFERROR(__xludf.DUMMYFUNCTION("""COMPUTED_VALUE"""),107.8)</f>
        <v>107.8</v>
      </c>
      <c r="S366" s="1">
        <f ca="1">IFERROR(__xludf.DUMMYFUNCTION("""COMPUTED_VALUE"""),295)</f>
        <v>295</v>
      </c>
      <c r="T366" s="1" t="str">
        <f ca="1">IFERROR(__xludf.DUMMYFUNCTION("""COMPUTED_VALUE"""),"+7.23")</f>
        <v>+7.23</v>
      </c>
      <c r="U366" s="1">
        <f ca="1">IFERROR(__xludf.DUMMYFUNCTION("""COMPUTED_VALUE"""),19)</f>
        <v>19</v>
      </c>
    </row>
    <row r="367" spans="1:21" ht="13" x14ac:dyDescent="0.15">
      <c r="A367" s="1">
        <f ca="1">IFERROR(__xludf.DUMMYFUNCTION("""COMPUTED_VALUE"""),349)</f>
        <v>349</v>
      </c>
      <c r="B367" s="1" t="str">
        <f ca="1">IFERROR(__xludf.DUMMYFUNCTION("""COMPUTED_VALUE"""),"Maryland Eastern Shore")</f>
        <v>Maryland Eastern Shore</v>
      </c>
      <c r="C367" s="1" t="str">
        <f ca="1">IFERROR(__xludf.DUMMYFUNCTION("""COMPUTED_VALUE"""),"MEAC")</f>
        <v>MEAC</v>
      </c>
      <c r="D367" s="2">
        <f ca="1">IFERROR(__xludf.DUMMYFUNCTION("""COMPUTED_VALUE"""),44767)</f>
        <v>44767</v>
      </c>
      <c r="E367" s="1">
        <f ca="1">IFERROR(__xludf.DUMMYFUNCTION("""COMPUTED_VALUE"""),-27.06)</f>
        <v>-27.06</v>
      </c>
      <c r="F367" s="1">
        <f ca="1">IFERROR(__xludf.DUMMYFUNCTION("""COMPUTED_VALUE"""),90.8)</f>
        <v>90.8</v>
      </c>
      <c r="G367" s="1">
        <f ca="1">IFERROR(__xludf.DUMMYFUNCTION("""COMPUTED_VALUE"""),343)</f>
        <v>343</v>
      </c>
      <c r="H367" s="1">
        <f ca="1">IFERROR(__xludf.DUMMYFUNCTION("""COMPUTED_VALUE"""),117.8)</f>
        <v>117.8</v>
      </c>
      <c r="I367" s="1">
        <f ca="1">IFERROR(__xludf.DUMMYFUNCTION("""COMPUTED_VALUE"""),343)</f>
        <v>343</v>
      </c>
      <c r="J367" s="1">
        <f ca="1">IFERROR(__xludf.DUMMYFUNCTION("""COMPUTED_VALUE"""),65.9)</f>
        <v>65.900000000000006</v>
      </c>
      <c r="K367" s="1">
        <f ca="1">IFERROR(__xludf.DUMMYFUNCTION("""COMPUTED_VALUE"""),286)</f>
        <v>286</v>
      </c>
      <c r="L367" s="1">
        <f ca="1">IFERROR(__xludf.DUMMYFUNCTION("""COMPUTED_VALUE"""),-0.018)</f>
        <v>-1.7999999999999999E-2</v>
      </c>
      <c r="M367" s="1">
        <f ca="1">IFERROR(__xludf.DUMMYFUNCTION("""COMPUTED_VALUE"""),227)</f>
        <v>227</v>
      </c>
      <c r="N367" s="1">
        <f ca="1">IFERROR(__xludf.DUMMYFUNCTION("""COMPUTED_VALUE"""),-7.58)</f>
        <v>-7.58</v>
      </c>
      <c r="O367" s="1">
        <f ca="1">IFERROR(__xludf.DUMMYFUNCTION("""COMPUTED_VALUE"""),329)</f>
        <v>329</v>
      </c>
      <c r="P367" s="1">
        <f ca="1">IFERROR(__xludf.DUMMYFUNCTION("""COMPUTED_VALUE"""),101)</f>
        <v>101</v>
      </c>
      <c r="Q367" s="1">
        <f ca="1">IFERROR(__xludf.DUMMYFUNCTION("""COMPUTED_VALUE"""),320)</f>
        <v>320</v>
      </c>
      <c r="R367" s="1">
        <f ca="1">IFERROR(__xludf.DUMMYFUNCTION("""COMPUTED_VALUE"""),108.5)</f>
        <v>108.5</v>
      </c>
      <c r="S367" s="1">
        <f ca="1">IFERROR(__xludf.DUMMYFUNCTION("""COMPUTED_VALUE"""),325)</f>
        <v>325</v>
      </c>
      <c r="T367" s="1" t="str">
        <f ca="1">IFERROR(__xludf.DUMMYFUNCTION("""COMPUTED_VALUE"""),"+7.48")</f>
        <v>+7.48</v>
      </c>
      <c r="U367" s="1">
        <f ca="1">IFERROR(__xludf.DUMMYFUNCTION("""COMPUTED_VALUE"""),18)</f>
        <v>18</v>
      </c>
    </row>
    <row r="368" spans="1:21" ht="13" x14ac:dyDescent="0.15">
      <c r="A368" s="1">
        <f ca="1">IFERROR(__xludf.DUMMYFUNCTION("""COMPUTED_VALUE"""),350)</f>
        <v>350</v>
      </c>
      <c r="B368" s="1" t="str">
        <f ca="1">IFERROR(__xludf.DUMMYFUNCTION("""COMPUTED_VALUE"""),"Delaware St.")</f>
        <v>Delaware St.</v>
      </c>
      <c r="C368" s="1" t="str">
        <f ca="1">IFERROR(__xludf.DUMMYFUNCTION("""COMPUTED_VALUE"""),"MEAC")</f>
        <v>MEAC</v>
      </c>
      <c r="D368" s="2">
        <f ca="1">IFERROR(__xludf.DUMMYFUNCTION("""COMPUTED_VALUE"""),44679)</f>
        <v>44679</v>
      </c>
      <c r="E368" s="1">
        <f ca="1">IFERROR(__xludf.DUMMYFUNCTION("""COMPUTED_VALUE"""),-27.94)</f>
        <v>-27.94</v>
      </c>
      <c r="F368" s="1">
        <f ca="1">IFERROR(__xludf.DUMMYFUNCTION("""COMPUTED_VALUE"""),90.3)</f>
        <v>90.3</v>
      </c>
      <c r="G368" s="1">
        <f ca="1">IFERROR(__xludf.DUMMYFUNCTION("""COMPUTED_VALUE"""),344)</f>
        <v>344</v>
      </c>
      <c r="H368" s="1">
        <f ca="1">IFERROR(__xludf.DUMMYFUNCTION("""COMPUTED_VALUE"""),118.3)</f>
        <v>118.3</v>
      </c>
      <c r="I368" s="1">
        <f ca="1">IFERROR(__xludf.DUMMYFUNCTION("""COMPUTED_VALUE"""),344)</f>
        <v>344</v>
      </c>
      <c r="J368" s="1">
        <f ca="1">IFERROR(__xludf.DUMMYFUNCTION("""COMPUTED_VALUE"""),64.9)</f>
        <v>64.900000000000006</v>
      </c>
      <c r="K368" s="1">
        <f ca="1">IFERROR(__xludf.DUMMYFUNCTION("""COMPUTED_VALUE"""),322)</f>
        <v>322</v>
      </c>
      <c r="L368" s="1">
        <f ca="1">IFERROR(__xludf.DUMMYFUNCTION("""COMPUTED_VALUE"""),-0.094)</f>
        <v>-9.4E-2</v>
      </c>
      <c r="M368" s="1">
        <f ca="1">IFERROR(__xludf.DUMMYFUNCTION("""COMPUTED_VALUE"""),344)</f>
        <v>344</v>
      </c>
      <c r="N368" s="1">
        <f ca="1">IFERROR(__xludf.DUMMYFUNCTION("""COMPUTED_VALUE"""),-9.2)</f>
        <v>-9.1999999999999993</v>
      </c>
      <c r="O368" s="1">
        <f ca="1">IFERROR(__xludf.DUMMYFUNCTION("""COMPUTED_VALUE"""),340)</f>
        <v>340</v>
      </c>
      <c r="P368" s="1">
        <f ca="1">IFERROR(__xludf.DUMMYFUNCTION("""COMPUTED_VALUE"""),99.6)</f>
        <v>99.6</v>
      </c>
      <c r="Q368" s="1">
        <f ca="1">IFERROR(__xludf.DUMMYFUNCTION("""COMPUTED_VALUE"""),341)</f>
        <v>341</v>
      </c>
      <c r="R368" s="1">
        <f ca="1">IFERROR(__xludf.DUMMYFUNCTION("""COMPUTED_VALUE"""),108.8)</f>
        <v>108.8</v>
      </c>
      <c r="S368" s="1">
        <f ca="1">IFERROR(__xludf.DUMMYFUNCTION("""COMPUTED_VALUE"""),331)</f>
        <v>331</v>
      </c>
      <c r="T368" s="1" t="str">
        <f ca="1">IFERROR(__xludf.DUMMYFUNCTION("""COMPUTED_VALUE"""),"+1.72")</f>
        <v>+1.72</v>
      </c>
      <c r="U368" s="1">
        <f ca="1">IFERROR(__xludf.DUMMYFUNCTION("""COMPUTED_VALUE"""),111)</f>
        <v>111</v>
      </c>
    </row>
    <row r="369" spans="1:21" ht="13" x14ac:dyDescent="0.15">
      <c r="A369" s="1">
        <f ca="1">IFERROR(__xludf.DUMMYFUNCTION("""COMPUTED_VALUE"""),351)</f>
        <v>351</v>
      </c>
      <c r="B369" s="1" t="str">
        <f ca="1">IFERROR(__xludf.DUMMYFUNCTION("""COMPUTED_VALUE"""),"Alabama A&amp;M")</f>
        <v>Alabama A&amp;M</v>
      </c>
      <c r="C369" s="1" t="str">
        <f ca="1">IFERROR(__xludf.DUMMYFUNCTION("""COMPUTED_VALUE"""),"SWAC")</f>
        <v>SWAC</v>
      </c>
      <c r="D369" s="2">
        <f ca="1">IFERROR(__xludf.DUMMYFUNCTION("""COMPUTED_VALUE"""),44648)</f>
        <v>44648</v>
      </c>
      <c r="E369" s="1">
        <f ca="1">IFERROR(__xludf.DUMMYFUNCTION("""COMPUTED_VALUE"""),-28.31)</f>
        <v>-28.31</v>
      </c>
      <c r="F369" s="1">
        <f ca="1">IFERROR(__xludf.DUMMYFUNCTION("""COMPUTED_VALUE"""),86.6)</f>
        <v>86.6</v>
      </c>
      <c r="G369" s="1">
        <f ca="1">IFERROR(__xludf.DUMMYFUNCTION("""COMPUTED_VALUE"""),350)</f>
        <v>350</v>
      </c>
      <c r="H369" s="1">
        <f ca="1">IFERROR(__xludf.DUMMYFUNCTION("""COMPUTED_VALUE"""),114.9)</f>
        <v>114.9</v>
      </c>
      <c r="I369" s="1">
        <f ca="1">IFERROR(__xludf.DUMMYFUNCTION("""COMPUTED_VALUE"""),331)</f>
        <v>331</v>
      </c>
      <c r="J369" s="1">
        <f ca="1">IFERROR(__xludf.DUMMYFUNCTION("""COMPUTED_VALUE"""),65.8)</f>
        <v>65.8</v>
      </c>
      <c r="K369" s="1">
        <f ca="1">IFERROR(__xludf.DUMMYFUNCTION("""COMPUTED_VALUE"""),293)</f>
        <v>293</v>
      </c>
      <c r="L369" s="1">
        <f ca="1">IFERROR(__xludf.DUMMYFUNCTION("""COMPUTED_VALUE"""),-0.04)</f>
        <v>-0.04</v>
      </c>
      <c r="M369" s="1">
        <f ca="1">IFERROR(__xludf.DUMMYFUNCTION("""COMPUTED_VALUE"""),279)</f>
        <v>279</v>
      </c>
      <c r="N369" s="1">
        <f ca="1">IFERROR(__xludf.DUMMYFUNCTION("""COMPUTED_VALUE"""),-8.1)</f>
        <v>-8.1</v>
      </c>
      <c r="O369" s="1">
        <f ca="1">IFERROR(__xludf.DUMMYFUNCTION("""COMPUTED_VALUE"""),332)</f>
        <v>332</v>
      </c>
      <c r="P369" s="1">
        <f ca="1">IFERROR(__xludf.DUMMYFUNCTION("""COMPUTED_VALUE"""),100.2)</f>
        <v>100.2</v>
      </c>
      <c r="Q369" s="1">
        <f ca="1">IFERROR(__xludf.DUMMYFUNCTION("""COMPUTED_VALUE"""),333)</f>
        <v>333</v>
      </c>
      <c r="R369" s="1">
        <f ca="1">IFERROR(__xludf.DUMMYFUNCTION("""COMPUTED_VALUE"""),108.3)</f>
        <v>108.3</v>
      </c>
      <c r="S369" s="1">
        <f ca="1">IFERROR(__xludf.DUMMYFUNCTION("""COMPUTED_VALUE"""),318)</f>
        <v>318</v>
      </c>
      <c r="T369" s="1" t="str">
        <f ca="1">IFERROR(__xludf.DUMMYFUNCTION("""COMPUTED_VALUE"""),"+4.85")</f>
        <v>+4.85</v>
      </c>
      <c r="U369" s="1">
        <f ca="1">IFERROR(__xludf.DUMMYFUNCTION("""COMPUTED_VALUE"""),41)</f>
        <v>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U371"/>
  <sheetViews>
    <sheetView topLeftCell="A77" workbookViewId="0">
      <selection activeCell="C88" sqref="C88"/>
    </sheetView>
  </sheetViews>
  <sheetFormatPr baseColWidth="10" defaultColWidth="12.6640625" defaultRowHeight="15.75" customHeight="1" x14ac:dyDescent="0.15"/>
  <sheetData>
    <row r="1" spans="1:21" ht="13" x14ac:dyDescent="0.15">
      <c r="A1" s="3" t="str">
        <f ca="1">IFERROR(__xludf.DUMMYFUNCTION("IMPORThtML(""https://kenpom.com/index.php?y=2019"",""table"",1)"),"")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2</v>
      </c>
      <c r="H2" s="1" t="str">
        <f ca="1">IFERROR(__xludf.DUMMYFUNCTION("""COMPUTED_VALUE"""),"AdjD")</f>
        <v>AdjD</v>
      </c>
      <c r="I2" s="1" t="s">
        <v>3</v>
      </c>
      <c r="J2" s="1" t="str">
        <f ca="1">IFERROR(__xludf.DUMMYFUNCTION("""COMPUTED_VALUE"""),"AdjT")</f>
        <v>AdjT</v>
      </c>
      <c r="K2" s="1" t="s">
        <v>4</v>
      </c>
      <c r="L2" s="1" t="str">
        <f ca="1">IFERROR(__xludf.DUMMYFUNCTION("""COMPUTED_VALUE"""),"Luck")</f>
        <v>Luck</v>
      </c>
      <c r="M2" s="1" t="s">
        <v>5</v>
      </c>
      <c r="N2" s="1" t="s">
        <v>0</v>
      </c>
      <c r="O2" s="1" t="s">
        <v>6</v>
      </c>
      <c r="P2" s="1" t="str">
        <f ca="1">IFERROR(__xludf.DUMMYFUNCTION("""COMPUTED_VALUE"""),"OppO")</f>
        <v>OppO</v>
      </c>
      <c r="Q2" s="1" t="s">
        <v>7</v>
      </c>
      <c r="R2" s="1" t="str">
        <f ca="1">IFERROR(__xludf.DUMMYFUNCTION("""COMPUTED_VALUE"""),"OppD")</f>
        <v>OppD</v>
      </c>
      <c r="S2" s="1" t="s">
        <v>8</v>
      </c>
      <c r="T2" s="1" t="s">
        <v>1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IFERROR(__xludf.DUMMYFUNCTION("""COMPUTED_VALUE"""),"Virginia1")</f>
        <v>Virginia1</v>
      </c>
      <c r="C3" s="1" t="str">
        <f ca="1">IFERROR(__xludf.DUMMYFUNCTION("""COMPUTED_VALUE"""),"ACC")</f>
        <v>ACC</v>
      </c>
      <c r="D3" s="1" t="str">
        <f ca="1">IFERROR(__xludf.DUMMYFUNCTION("""COMPUTED_VALUE"""),"35-3")</f>
        <v>35-3</v>
      </c>
      <c r="E3" s="1" t="str">
        <f ca="1">IFERROR(__xludf.DUMMYFUNCTION("""COMPUTED_VALUE"""),"+34.22")</f>
        <v>+34.22</v>
      </c>
      <c r="F3" s="1">
        <f ca="1">IFERROR(__xludf.DUMMYFUNCTION("""COMPUTED_VALUE"""),123.4)</f>
        <v>123.4</v>
      </c>
      <c r="G3" s="1">
        <f ca="1">IFERROR(__xludf.DUMMYFUNCTION("""COMPUTED_VALUE"""),2)</f>
        <v>2</v>
      </c>
      <c r="H3" s="1">
        <f ca="1">IFERROR(__xludf.DUMMYFUNCTION("""COMPUTED_VALUE"""),89.2)</f>
        <v>89.2</v>
      </c>
      <c r="I3" s="1">
        <f ca="1">IFERROR(__xludf.DUMMYFUNCTION("""COMPUTED_VALUE"""),5)</f>
        <v>5</v>
      </c>
      <c r="J3" s="1">
        <f ca="1">IFERROR(__xludf.DUMMYFUNCTION("""COMPUTED_VALUE"""),59.4)</f>
        <v>59.4</v>
      </c>
      <c r="K3" s="1">
        <f ca="1">IFERROR(__xludf.DUMMYFUNCTION("""COMPUTED_VALUE"""),353)</f>
        <v>353</v>
      </c>
      <c r="L3" s="1" t="str">
        <f ca="1">IFERROR(__xludf.DUMMYFUNCTION("""COMPUTED_VALUE"""),"+.050")</f>
        <v>+.050</v>
      </c>
      <c r="M3" s="1">
        <f ca="1">IFERROR(__xludf.DUMMYFUNCTION("""COMPUTED_VALUE"""),62)</f>
        <v>62</v>
      </c>
      <c r="N3" s="1" t="str">
        <f ca="1">IFERROR(__xludf.DUMMYFUNCTION("""COMPUTED_VALUE"""),"+11.18")</f>
        <v>+11.18</v>
      </c>
      <c r="O3" s="1">
        <f ca="1">IFERROR(__xludf.DUMMYFUNCTION("""COMPUTED_VALUE"""),22)</f>
        <v>22</v>
      </c>
      <c r="P3" s="1">
        <f ca="1">IFERROR(__xludf.DUMMYFUNCTION("""COMPUTED_VALUE"""),109.2)</f>
        <v>109.2</v>
      </c>
      <c r="Q3" s="1">
        <f ca="1">IFERROR(__xludf.DUMMYFUNCTION("""COMPUTED_VALUE"""),34)</f>
        <v>34</v>
      </c>
      <c r="R3" s="1">
        <f ca="1">IFERROR(__xludf.DUMMYFUNCTION("""COMPUTED_VALUE"""),98.1)</f>
        <v>98.1</v>
      </c>
      <c r="S3" s="1">
        <f ca="1">IFERROR(__xludf.DUMMYFUNCTION("""COMPUTED_VALUE"""),14)</f>
        <v>14</v>
      </c>
      <c r="T3" s="1">
        <f ca="1">IFERROR(__xludf.DUMMYFUNCTION("""COMPUTED_VALUE"""),-3.24)</f>
        <v>-3.24</v>
      </c>
      <c r="U3" s="1">
        <f ca="1">IFERROR(__xludf.DUMMYFUNCTION("""COMPUTED_VALUE"""),255)</f>
        <v>255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IFERROR(__xludf.DUMMYFUNCTION("""COMPUTED_VALUE"""),"Gonzaga1")</f>
        <v>Gonzaga1</v>
      </c>
      <c r="C4" s="1" t="str">
        <f ca="1">IFERROR(__xludf.DUMMYFUNCTION("""COMPUTED_VALUE"""),"WCC")</f>
        <v>WCC</v>
      </c>
      <c r="D4" s="1" t="str">
        <f ca="1">IFERROR(__xludf.DUMMYFUNCTION("""COMPUTED_VALUE"""),"33-4")</f>
        <v>33-4</v>
      </c>
      <c r="E4" s="1" t="str">
        <f ca="1">IFERROR(__xludf.DUMMYFUNCTION("""COMPUTED_VALUE"""),"+32.85")</f>
        <v>+32.85</v>
      </c>
      <c r="F4" s="1">
        <f ca="1">IFERROR(__xludf.DUMMYFUNCTION("""COMPUTED_VALUE"""),124.5)</f>
        <v>124.5</v>
      </c>
      <c r="G4" s="1">
        <f ca="1">IFERROR(__xludf.DUMMYFUNCTION("""COMPUTED_VALUE"""),1)</f>
        <v>1</v>
      </c>
      <c r="H4" s="1">
        <f ca="1">IFERROR(__xludf.DUMMYFUNCTION("""COMPUTED_VALUE"""),91.6)</f>
        <v>91.6</v>
      </c>
      <c r="I4" s="1">
        <f ca="1">IFERROR(__xludf.DUMMYFUNCTION("""COMPUTED_VALUE"""),12)</f>
        <v>12</v>
      </c>
      <c r="J4" s="1">
        <f ca="1">IFERROR(__xludf.DUMMYFUNCTION("""COMPUTED_VALUE"""),70.2)</f>
        <v>70.2</v>
      </c>
      <c r="K4" s="1">
        <f ca="1">IFERROR(__xludf.DUMMYFUNCTION("""COMPUTED_VALUE"""),62)</f>
        <v>62</v>
      </c>
      <c r="L4" s="1">
        <f ca="1">IFERROR(__xludf.DUMMYFUNCTION("""COMPUTED_VALUE"""),-0.001)</f>
        <v>-1E-3</v>
      </c>
      <c r="M4" s="1">
        <f ca="1">IFERROR(__xludf.DUMMYFUNCTION("""COMPUTED_VALUE"""),180)</f>
        <v>180</v>
      </c>
      <c r="N4" s="1" t="str">
        <f ca="1">IFERROR(__xludf.DUMMYFUNCTION("""COMPUTED_VALUE"""),"+4.46")</f>
        <v>+4.46</v>
      </c>
      <c r="O4" s="1">
        <f ca="1">IFERROR(__xludf.DUMMYFUNCTION("""COMPUTED_VALUE"""),75)</f>
        <v>75</v>
      </c>
      <c r="P4" s="1">
        <f ca="1">IFERROR(__xludf.DUMMYFUNCTION("""COMPUTED_VALUE"""),106.9)</f>
        <v>106.9</v>
      </c>
      <c r="Q4" s="1">
        <f ca="1">IFERROR(__xludf.DUMMYFUNCTION("""COMPUTED_VALUE"""),69)</f>
        <v>69</v>
      </c>
      <c r="R4" s="1">
        <f ca="1">IFERROR(__xludf.DUMMYFUNCTION("""COMPUTED_VALUE"""),102.5)</f>
        <v>102.5</v>
      </c>
      <c r="S4" s="1">
        <f ca="1">IFERROR(__xludf.DUMMYFUNCTION("""COMPUTED_VALUE"""),87)</f>
        <v>87</v>
      </c>
      <c r="T4" s="1" t="str">
        <f ca="1">IFERROR(__xludf.DUMMYFUNCTION("""COMPUTED_VALUE"""),"+1.87")</f>
        <v>+1.87</v>
      </c>
      <c r="U4" s="1">
        <f ca="1">IFERROR(__xludf.DUMMYFUNCTION("""COMPUTED_VALUE"""),105)</f>
        <v>105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IFERROR(__xludf.DUMMYFUNCTION("""COMPUTED_VALUE"""),"Michigan St.2")</f>
        <v>Michigan St.2</v>
      </c>
      <c r="C5" s="1" t="str">
        <f ca="1">IFERROR(__xludf.DUMMYFUNCTION("""COMPUTED_VALUE"""),"B10")</f>
        <v>B10</v>
      </c>
      <c r="D5" s="1" t="str">
        <f ca="1">IFERROR(__xludf.DUMMYFUNCTION("""COMPUTED_VALUE"""),"32-7")</f>
        <v>32-7</v>
      </c>
      <c r="E5" s="1" t="str">
        <f ca="1">IFERROR(__xludf.DUMMYFUNCTION("""COMPUTED_VALUE"""),"+30.81")</f>
        <v>+30.81</v>
      </c>
      <c r="F5" s="1">
        <f ca="1">IFERROR(__xludf.DUMMYFUNCTION("""COMPUTED_VALUE"""),121)</f>
        <v>121</v>
      </c>
      <c r="G5" s="1">
        <f ca="1">IFERROR(__xludf.DUMMYFUNCTION("""COMPUTED_VALUE"""),5)</f>
        <v>5</v>
      </c>
      <c r="H5" s="1">
        <f ca="1">IFERROR(__xludf.DUMMYFUNCTION("""COMPUTED_VALUE"""),90.2)</f>
        <v>90.2</v>
      </c>
      <c r="I5" s="1">
        <f ca="1">IFERROR(__xludf.DUMMYFUNCTION("""COMPUTED_VALUE"""),9)</f>
        <v>9</v>
      </c>
      <c r="J5" s="1">
        <f ca="1">IFERROR(__xludf.DUMMYFUNCTION("""COMPUTED_VALUE"""),66.9)</f>
        <v>66.900000000000006</v>
      </c>
      <c r="K5" s="1">
        <f ca="1">IFERROR(__xludf.DUMMYFUNCTION("""COMPUTED_VALUE"""),211)</f>
        <v>211</v>
      </c>
      <c r="L5" s="1" t="str">
        <f ca="1">IFERROR(__xludf.DUMMYFUNCTION("""COMPUTED_VALUE"""),"+.001")</f>
        <v>+.001</v>
      </c>
      <c r="M5" s="1">
        <f ca="1">IFERROR(__xludf.DUMMYFUNCTION("""COMPUTED_VALUE"""),177)</f>
        <v>177</v>
      </c>
      <c r="N5" s="1" t="str">
        <f ca="1">IFERROR(__xludf.DUMMYFUNCTION("""COMPUTED_VALUE"""),"+13.67")</f>
        <v>+13.67</v>
      </c>
      <c r="O5" s="1">
        <f ca="1">IFERROR(__xludf.DUMMYFUNCTION("""COMPUTED_VALUE"""),2)</f>
        <v>2</v>
      </c>
      <c r="P5" s="1">
        <f ca="1">IFERROR(__xludf.DUMMYFUNCTION("""COMPUTED_VALUE"""),110.6)</f>
        <v>110.6</v>
      </c>
      <c r="Q5" s="1">
        <f ca="1">IFERROR(__xludf.DUMMYFUNCTION("""COMPUTED_VALUE"""),7)</f>
        <v>7</v>
      </c>
      <c r="R5" s="1">
        <f ca="1">IFERROR(__xludf.DUMMYFUNCTION("""COMPUTED_VALUE"""),96.9)</f>
        <v>96.9</v>
      </c>
      <c r="S5" s="1">
        <f ca="1">IFERROR(__xludf.DUMMYFUNCTION("""COMPUTED_VALUE"""),1)</f>
        <v>1</v>
      </c>
      <c r="T5" s="1" t="str">
        <f ca="1">IFERROR(__xludf.DUMMYFUNCTION("""COMPUTED_VALUE"""),"+3.24")</f>
        <v>+3.24</v>
      </c>
      <c r="U5" s="1">
        <f ca="1">IFERROR(__xludf.DUMMYFUNCTION("""COMPUTED_VALUE"""),82)</f>
        <v>82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IFERROR(__xludf.DUMMYFUNCTION("""COMPUTED_VALUE"""),"Duke1")</f>
        <v>Duke1</v>
      </c>
      <c r="C6" s="1" t="str">
        <f ca="1">IFERROR(__xludf.DUMMYFUNCTION("""COMPUTED_VALUE"""),"ACC")</f>
        <v>ACC</v>
      </c>
      <c r="D6" s="1" t="str">
        <f ca="1">IFERROR(__xludf.DUMMYFUNCTION("""COMPUTED_VALUE"""),"32-6")</f>
        <v>32-6</v>
      </c>
      <c r="E6" s="1" t="str">
        <f ca="1">IFERROR(__xludf.DUMMYFUNCTION("""COMPUTED_VALUE"""),"+30.62")</f>
        <v>+30.62</v>
      </c>
      <c r="F6" s="1">
        <f ca="1">IFERROR(__xludf.DUMMYFUNCTION("""COMPUTED_VALUE"""),120)</f>
        <v>120</v>
      </c>
      <c r="G6" s="1">
        <f ca="1">IFERROR(__xludf.DUMMYFUNCTION("""COMPUTED_VALUE"""),7)</f>
        <v>7</v>
      </c>
      <c r="H6" s="1">
        <f ca="1">IFERROR(__xludf.DUMMYFUNCTION("""COMPUTED_VALUE"""),89.3)</f>
        <v>89.3</v>
      </c>
      <c r="I6" s="1">
        <f ca="1">IFERROR(__xludf.DUMMYFUNCTION("""COMPUTED_VALUE"""),6)</f>
        <v>6</v>
      </c>
      <c r="J6" s="1">
        <f ca="1">IFERROR(__xludf.DUMMYFUNCTION("""COMPUTED_VALUE"""),72.1)</f>
        <v>72.099999999999994</v>
      </c>
      <c r="K6" s="1">
        <f ca="1">IFERROR(__xludf.DUMMYFUNCTION("""COMPUTED_VALUE"""),20)</f>
        <v>20</v>
      </c>
      <c r="L6" s="1" t="str">
        <f ca="1">IFERROR(__xludf.DUMMYFUNCTION("""COMPUTED_VALUE"""),"+.018")</f>
        <v>+.018</v>
      </c>
      <c r="M6" s="1">
        <f ca="1">IFERROR(__xludf.DUMMYFUNCTION("""COMPUTED_VALUE"""),134)</f>
        <v>134</v>
      </c>
      <c r="N6" s="1" t="str">
        <f ca="1">IFERROR(__xludf.DUMMYFUNCTION("""COMPUTED_VALUE"""),"+12.85")</f>
        <v>+12.85</v>
      </c>
      <c r="O6" s="1">
        <f ca="1">IFERROR(__xludf.DUMMYFUNCTION("""COMPUTED_VALUE"""),7)</f>
        <v>7</v>
      </c>
      <c r="P6" s="1">
        <f ca="1">IFERROR(__xludf.DUMMYFUNCTION("""COMPUTED_VALUE"""),110.7)</f>
        <v>110.7</v>
      </c>
      <c r="Q6" s="1">
        <f ca="1">IFERROR(__xludf.DUMMYFUNCTION("""COMPUTED_VALUE"""),4)</f>
        <v>4</v>
      </c>
      <c r="R6" s="1">
        <f ca="1">IFERROR(__xludf.DUMMYFUNCTION("""COMPUTED_VALUE"""),97.8)</f>
        <v>97.8</v>
      </c>
      <c r="S6" s="1">
        <f ca="1">IFERROR(__xludf.DUMMYFUNCTION("""COMPUTED_VALUE"""),11)</f>
        <v>11</v>
      </c>
      <c r="T6" s="1" t="str">
        <f ca="1">IFERROR(__xludf.DUMMYFUNCTION("""COMPUTED_VALUE"""),"+5.08")</f>
        <v>+5.08</v>
      </c>
      <c r="U6" s="1">
        <f ca="1">IFERROR(__xludf.DUMMYFUNCTION("""COMPUTED_VALUE"""),40)</f>
        <v>40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IFERROR(__xludf.DUMMYFUNCTION("""COMPUTED_VALUE"""),"Texas Tech3")</f>
        <v>Texas Tech3</v>
      </c>
      <c r="C7" s="1" t="str">
        <f ca="1">IFERROR(__xludf.DUMMYFUNCTION("""COMPUTED_VALUE"""),"B12")</f>
        <v>B12</v>
      </c>
      <c r="D7" s="1" t="str">
        <f ca="1">IFERROR(__xludf.DUMMYFUNCTION("""COMPUTED_VALUE"""),"31-7")</f>
        <v>31-7</v>
      </c>
      <c r="E7" s="1" t="str">
        <f ca="1">IFERROR(__xludf.DUMMYFUNCTION("""COMPUTED_VALUE"""),"+30.03")</f>
        <v>+30.03</v>
      </c>
      <c r="F7" s="1">
        <f ca="1">IFERROR(__xludf.DUMMYFUNCTION("""COMPUTED_VALUE"""),114.1)</f>
        <v>114.1</v>
      </c>
      <c r="G7" s="1">
        <f ca="1">IFERROR(__xludf.DUMMYFUNCTION("""COMPUTED_VALUE"""),25)</f>
        <v>25</v>
      </c>
      <c r="H7" s="1">
        <f ca="1">IFERROR(__xludf.DUMMYFUNCTION("""COMPUTED_VALUE"""),84.1)</f>
        <v>84.1</v>
      </c>
      <c r="I7" s="1">
        <f ca="1">IFERROR(__xludf.DUMMYFUNCTION("""COMPUTED_VALUE"""),1)</f>
        <v>1</v>
      </c>
      <c r="J7" s="1">
        <f ca="1">IFERROR(__xludf.DUMMYFUNCTION("""COMPUTED_VALUE"""),66.6)</f>
        <v>66.599999999999994</v>
      </c>
      <c r="K7" s="1">
        <f ca="1">IFERROR(__xludf.DUMMYFUNCTION("""COMPUTED_VALUE"""),231)</f>
        <v>231</v>
      </c>
      <c r="L7" s="1" t="str">
        <f ca="1">IFERROR(__xludf.DUMMYFUNCTION("""COMPUTED_VALUE"""),"+.004")</f>
        <v>+.004</v>
      </c>
      <c r="M7" s="1">
        <f ca="1">IFERROR(__xludf.DUMMYFUNCTION("""COMPUTED_VALUE"""),171)</f>
        <v>171</v>
      </c>
      <c r="N7" s="1" t="str">
        <f ca="1">IFERROR(__xludf.DUMMYFUNCTION("""COMPUTED_VALUE"""),"+11.18")</f>
        <v>+11.18</v>
      </c>
      <c r="O7" s="1">
        <f ca="1">IFERROR(__xludf.DUMMYFUNCTION("""COMPUTED_VALUE"""),21)</f>
        <v>21</v>
      </c>
      <c r="P7" s="1">
        <f ca="1">IFERROR(__xludf.DUMMYFUNCTION("""COMPUTED_VALUE"""),109.8)</f>
        <v>109.8</v>
      </c>
      <c r="Q7" s="1">
        <f ca="1">IFERROR(__xludf.DUMMYFUNCTION("""COMPUTED_VALUE"""),19)</f>
        <v>19</v>
      </c>
      <c r="R7" s="1">
        <f ca="1">IFERROR(__xludf.DUMMYFUNCTION("""COMPUTED_VALUE"""),98.7)</f>
        <v>98.7</v>
      </c>
      <c r="S7" s="1">
        <f ca="1">IFERROR(__xludf.DUMMYFUNCTION("""COMPUTED_VALUE"""),22)</f>
        <v>22</v>
      </c>
      <c r="T7" s="1">
        <f ca="1">IFERROR(__xludf.DUMMYFUNCTION("""COMPUTED_VALUE"""),-5.39)</f>
        <v>-5.39</v>
      </c>
      <c r="U7" s="1">
        <f ca="1">IFERROR(__xludf.DUMMYFUNCTION("""COMPUTED_VALUE"""),307)</f>
        <v>307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IFERROR(__xludf.DUMMYFUNCTION("""COMPUTED_VALUE"""),"Michigan2")</f>
        <v>Michigan2</v>
      </c>
      <c r="C8" s="1" t="str">
        <f ca="1">IFERROR(__xludf.DUMMYFUNCTION("""COMPUTED_VALUE"""),"B10")</f>
        <v>B10</v>
      </c>
      <c r="D8" s="1" t="str">
        <f ca="1">IFERROR(__xludf.DUMMYFUNCTION("""COMPUTED_VALUE"""),"30-7")</f>
        <v>30-7</v>
      </c>
      <c r="E8" s="1" t="str">
        <f ca="1">IFERROR(__xludf.DUMMYFUNCTION("""COMPUTED_VALUE"""),"+28.32")</f>
        <v>+28.32</v>
      </c>
      <c r="F8" s="1">
        <f ca="1">IFERROR(__xludf.DUMMYFUNCTION("""COMPUTED_VALUE"""),114.5)</f>
        <v>114.5</v>
      </c>
      <c r="G8" s="1">
        <f ca="1">IFERROR(__xludf.DUMMYFUNCTION("""COMPUTED_VALUE"""),24)</f>
        <v>24</v>
      </c>
      <c r="H8" s="1">
        <f ca="1">IFERROR(__xludf.DUMMYFUNCTION("""COMPUTED_VALUE"""),86.2)</f>
        <v>86.2</v>
      </c>
      <c r="I8" s="1">
        <f ca="1">IFERROR(__xludf.DUMMYFUNCTION("""COMPUTED_VALUE"""),2)</f>
        <v>2</v>
      </c>
      <c r="J8" s="1">
        <f ca="1">IFERROR(__xludf.DUMMYFUNCTION("""COMPUTED_VALUE"""),64.8)</f>
        <v>64.8</v>
      </c>
      <c r="K8" s="1">
        <f ca="1">IFERROR(__xludf.DUMMYFUNCTION("""COMPUTED_VALUE"""),317)</f>
        <v>317</v>
      </c>
      <c r="L8" s="1">
        <f ca="1">IFERROR(__xludf.DUMMYFUNCTION("""COMPUTED_VALUE"""),-0.001)</f>
        <v>-1E-3</v>
      </c>
      <c r="M8" s="1">
        <f ca="1">IFERROR(__xludf.DUMMYFUNCTION("""COMPUTED_VALUE"""),181)</f>
        <v>181</v>
      </c>
      <c r="N8" s="1" t="str">
        <f ca="1">IFERROR(__xludf.DUMMYFUNCTION("""COMPUTED_VALUE"""),"+11.27")</f>
        <v>+11.27</v>
      </c>
      <c r="O8" s="1">
        <f ca="1">IFERROR(__xludf.DUMMYFUNCTION("""COMPUTED_VALUE"""),20)</f>
        <v>20</v>
      </c>
      <c r="P8" s="1">
        <f ca="1">IFERROR(__xludf.DUMMYFUNCTION("""COMPUTED_VALUE"""),109.2)</f>
        <v>109.2</v>
      </c>
      <c r="Q8" s="1">
        <f ca="1">IFERROR(__xludf.DUMMYFUNCTION("""COMPUTED_VALUE"""),35)</f>
        <v>35</v>
      </c>
      <c r="R8" s="1">
        <f ca="1">IFERROR(__xludf.DUMMYFUNCTION("""COMPUTED_VALUE"""),98)</f>
        <v>98</v>
      </c>
      <c r="S8" s="1">
        <f ca="1">IFERROR(__xludf.DUMMYFUNCTION("""COMPUTED_VALUE"""),12)</f>
        <v>12</v>
      </c>
      <c r="T8" s="1">
        <f ca="1">IFERROR(__xludf.DUMMYFUNCTION("""COMPUTED_VALUE"""),-5.42)</f>
        <v>-5.42</v>
      </c>
      <c r="U8" s="1">
        <f ca="1">IFERROR(__xludf.DUMMYFUNCTION("""COMPUTED_VALUE"""),309)</f>
        <v>309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IFERROR(__xludf.DUMMYFUNCTION("""COMPUTED_VALUE"""),"North Carolina1")</f>
        <v>North Carolina1</v>
      </c>
      <c r="C9" s="1" t="str">
        <f ca="1">IFERROR(__xludf.DUMMYFUNCTION("""COMPUTED_VALUE"""),"ACC")</f>
        <v>ACC</v>
      </c>
      <c r="D9" s="1" t="str">
        <f ca="1">IFERROR(__xludf.DUMMYFUNCTION("""COMPUTED_VALUE"""),"29-7")</f>
        <v>29-7</v>
      </c>
      <c r="E9" s="1" t="str">
        <f ca="1">IFERROR(__xludf.DUMMYFUNCTION("""COMPUTED_VALUE"""),"+27.69")</f>
        <v>+27.69</v>
      </c>
      <c r="F9" s="1">
        <f ca="1">IFERROR(__xludf.DUMMYFUNCTION("""COMPUTED_VALUE"""),119.7)</f>
        <v>119.7</v>
      </c>
      <c r="G9" s="1">
        <f ca="1">IFERROR(__xludf.DUMMYFUNCTION("""COMPUTED_VALUE"""),8)</f>
        <v>8</v>
      </c>
      <c r="H9" s="1">
        <f ca="1">IFERROR(__xludf.DUMMYFUNCTION("""COMPUTED_VALUE"""),92)</f>
        <v>92</v>
      </c>
      <c r="I9" s="1">
        <f ca="1">IFERROR(__xludf.DUMMYFUNCTION("""COMPUTED_VALUE"""),15)</f>
        <v>15</v>
      </c>
      <c r="J9" s="1">
        <f ca="1">IFERROR(__xludf.DUMMYFUNCTION("""COMPUTED_VALUE"""),74.3)</f>
        <v>74.3</v>
      </c>
      <c r="K9" s="1">
        <f ca="1">IFERROR(__xludf.DUMMYFUNCTION("""COMPUTED_VALUE"""),6)</f>
        <v>6</v>
      </c>
      <c r="L9" s="1" t="str">
        <f ca="1">IFERROR(__xludf.DUMMYFUNCTION("""COMPUTED_VALUE"""),"+.024")</f>
        <v>+.024</v>
      </c>
      <c r="M9" s="1">
        <f ca="1">IFERROR(__xludf.DUMMYFUNCTION("""COMPUTED_VALUE"""),116)</f>
        <v>116</v>
      </c>
      <c r="N9" s="1" t="str">
        <f ca="1">IFERROR(__xludf.DUMMYFUNCTION("""COMPUTED_VALUE"""),"+12.60")</f>
        <v>+12.60</v>
      </c>
      <c r="O9" s="1">
        <f ca="1">IFERROR(__xludf.DUMMYFUNCTION("""COMPUTED_VALUE"""),8)</f>
        <v>8</v>
      </c>
      <c r="P9" s="1">
        <f ca="1">IFERROR(__xludf.DUMMYFUNCTION("""COMPUTED_VALUE"""),110.7)</f>
        <v>110.7</v>
      </c>
      <c r="Q9" s="1">
        <f ca="1">IFERROR(__xludf.DUMMYFUNCTION("""COMPUTED_VALUE"""),2)</f>
        <v>2</v>
      </c>
      <c r="R9" s="1">
        <f ca="1">IFERROR(__xludf.DUMMYFUNCTION("""COMPUTED_VALUE"""),98.1)</f>
        <v>98.1</v>
      </c>
      <c r="S9" s="1">
        <f ca="1">IFERROR(__xludf.DUMMYFUNCTION("""COMPUTED_VALUE"""),15)</f>
        <v>15</v>
      </c>
      <c r="T9" s="1" t="str">
        <f ca="1">IFERROR(__xludf.DUMMYFUNCTION("""COMPUTED_VALUE"""),"+5.69")</f>
        <v>+5.69</v>
      </c>
      <c r="U9" s="1">
        <f ca="1">IFERROR(__xludf.DUMMYFUNCTION("""COMPUTED_VALUE"""),28)</f>
        <v>28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IFERROR(__xludf.DUMMYFUNCTION("""COMPUTED_VALUE"""),"Kentucky2")</f>
        <v>Kentucky2</v>
      </c>
      <c r="C10" s="1" t="str">
        <f ca="1">IFERROR(__xludf.DUMMYFUNCTION("""COMPUTED_VALUE"""),"SEC")</f>
        <v>SEC</v>
      </c>
      <c r="D10" s="1" t="str">
        <f ca="1">IFERROR(__xludf.DUMMYFUNCTION("""COMPUTED_VALUE"""),"30-7")</f>
        <v>30-7</v>
      </c>
      <c r="E10" s="1" t="str">
        <f ca="1">IFERROR(__xludf.DUMMYFUNCTION("""COMPUTED_VALUE"""),"+27.57")</f>
        <v>+27.57</v>
      </c>
      <c r="F10" s="1">
        <f ca="1">IFERROR(__xludf.DUMMYFUNCTION("""COMPUTED_VALUE"""),117.6)</f>
        <v>117.6</v>
      </c>
      <c r="G10" s="1">
        <f ca="1">IFERROR(__xludf.DUMMYFUNCTION("""COMPUTED_VALUE"""),14)</f>
        <v>14</v>
      </c>
      <c r="H10" s="1">
        <f ca="1">IFERROR(__xludf.DUMMYFUNCTION("""COMPUTED_VALUE"""),90.1)</f>
        <v>90.1</v>
      </c>
      <c r="I10" s="1">
        <f ca="1">IFERROR(__xludf.DUMMYFUNCTION("""COMPUTED_VALUE"""),8)</f>
        <v>8</v>
      </c>
      <c r="J10" s="1">
        <f ca="1">IFERROR(__xludf.DUMMYFUNCTION("""COMPUTED_VALUE"""),65.6)</f>
        <v>65.599999999999994</v>
      </c>
      <c r="K10" s="1">
        <f ca="1">IFERROR(__xludf.DUMMYFUNCTION("""COMPUTED_VALUE"""),284)</f>
        <v>284</v>
      </c>
      <c r="L10" s="1" t="str">
        <f ca="1">IFERROR(__xludf.DUMMYFUNCTION("""COMPUTED_VALUE"""),"+.033")</f>
        <v>+.033</v>
      </c>
      <c r="M10" s="1">
        <f ca="1">IFERROR(__xludf.DUMMYFUNCTION("""COMPUTED_VALUE"""),98)</f>
        <v>98</v>
      </c>
      <c r="N10" s="1" t="str">
        <f ca="1">IFERROR(__xludf.DUMMYFUNCTION("""COMPUTED_VALUE"""),"+11.32")</f>
        <v>+11.32</v>
      </c>
      <c r="O10" s="1">
        <f ca="1">IFERROR(__xludf.DUMMYFUNCTION("""COMPUTED_VALUE"""),19)</f>
        <v>19</v>
      </c>
      <c r="P10" s="1">
        <f ca="1">IFERROR(__xludf.DUMMYFUNCTION("""COMPUTED_VALUE"""),110.7)</f>
        <v>110.7</v>
      </c>
      <c r="Q10" s="1">
        <f ca="1">IFERROR(__xludf.DUMMYFUNCTION("""COMPUTED_VALUE"""),5)</f>
        <v>5</v>
      </c>
      <c r="R10" s="1">
        <f ca="1">IFERROR(__xludf.DUMMYFUNCTION("""COMPUTED_VALUE"""),99.4)</f>
        <v>99.4</v>
      </c>
      <c r="S10" s="1">
        <f ca="1">IFERROR(__xludf.DUMMYFUNCTION("""COMPUTED_VALUE"""),34)</f>
        <v>34</v>
      </c>
      <c r="T10" s="1" t="str">
        <f ca="1">IFERROR(__xludf.DUMMYFUNCTION("""COMPUTED_VALUE"""),"+1.75")</f>
        <v>+1.75</v>
      </c>
      <c r="U10" s="1">
        <f ca="1">IFERROR(__xludf.DUMMYFUNCTION("""COMPUTED_VALUE"""),107)</f>
        <v>107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IFERROR(__xludf.DUMMYFUNCTION("""COMPUTED_VALUE"""),"Purdue3")</f>
        <v>Purdue3</v>
      </c>
      <c r="C11" s="1" t="str">
        <f ca="1">IFERROR(__xludf.DUMMYFUNCTION("""COMPUTED_VALUE"""),"B10")</f>
        <v>B10</v>
      </c>
      <c r="D11" s="1" t="str">
        <f ca="1">IFERROR(__xludf.DUMMYFUNCTION("""COMPUTED_VALUE"""),"26-10")</f>
        <v>26-10</v>
      </c>
      <c r="E11" s="1" t="str">
        <f ca="1">IFERROR(__xludf.DUMMYFUNCTION("""COMPUTED_VALUE"""),"+26.81")</f>
        <v>+26.81</v>
      </c>
      <c r="F11" s="1">
        <f ca="1">IFERROR(__xludf.DUMMYFUNCTION("""COMPUTED_VALUE"""),122.5)</f>
        <v>122.5</v>
      </c>
      <c r="G11" s="1">
        <f ca="1">IFERROR(__xludf.DUMMYFUNCTION("""COMPUTED_VALUE"""),4)</f>
        <v>4</v>
      </c>
      <c r="H11" s="1">
        <f ca="1">IFERROR(__xludf.DUMMYFUNCTION("""COMPUTED_VALUE"""),95.6)</f>
        <v>95.6</v>
      </c>
      <c r="I11" s="1">
        <f ca="1">IFERROR(__xludf.DUMMYFUNCTION("""COMPUTED_VALUE"""),34)</f>
        <v>34</v>
      </c>
      <c r="J11" s="1">
        <f ca="1">IFERROR(__xludf.DUMMYFUNCTION("""COMPUTED_VALUE"""),65.9)</f>
        <v>65.900000000000006</v>
      </c>
      <c r="K11" s="1">
        <f ca="1">IFERROR(__xludf.DUMMYFUNCTION("""COMPUTED_VALUE"""),268)</f>
        <v>268</v>
      </c>
      <c r="L11" s="1">
        <f ca="1">IFERROR(__xludf.DUMMYFUNCTION("""COMPUTED_VALUE"""),-0.015)</f>
        <v>-1.4999999999999999E-2</v>
      </c>
      <c r="M11" s="1">
        <f ca="1">IFERROR(__xludf.DUMMYFUNCTION("""COMPUTED_VALUE"""),224)</f>
        <v>224</v>
      </c>
      <c r="N11" s="1" t="str">
        <f ca="1">IFERROR(__xludf.DUMMYFUNCTION("""COMPUTED_VALUE"""),"+13.16")</f>
        <v>+13.16</v>
      </c>
      <c r="O11" s="1">
        <f ca="1">IFERROR(__xludf.DUMMYFUNCTION("""COMPUTED_VALUE"""),4)</f>
        <v>4</v>
      </c>
      <c r="P11" s="1">
        <f ca="1">IFERROR(__xludf.DUMMYFUNCTION("""COMPUTED_VALUE"""),110.3)</f>
        <v>110.3</v>
      </c>
      <c r="Q11" s="1">
        <f ca="1">IFERROR(__xludf.DUMMYFUNCTION("""COMPUTED_VALUE"""),13)</f>
        <v>13</v>
      </c>
      <c r="R11" s="1">
        <f ca="1">IFERROR(__xludf.DUMMYFUNCTION("""COMPUTED_VALUE"""),97.1)</f>
        <v>97.1</v>
      </c>
      <c r="S11" s="1">
        <f ca="1">IFERROR(__xludf.DUMMYFUNCTION("""COMPUTED_VALUE"""),3)</f>
        <v>3</v>
      </c>
      <c r="T11" s="1" t="str">
        <f ca="1">IFERROR(__xludf.DUMMYFUNCTION("""COMPUTED_VALUE"""),"+4.09")</f>
        <v>+4.09</v>
      </c>
      <c r="U11" s="1">
        <f ca="1">IFERROR(__xludf.DUMMYFUNCTION("""COMPUTED_VALUE"""),55)</f>
        <v>55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IFERROR(__xludf.DUMMYFUNCTION("""COMPUTED_VALUE"""),"Tennessee2")</f>
        <v>Tennessee2</v>
      </c>
      <c r="C12" s="1" t="str">
        <f ca="1">IFERROR(__xludf.DUMMYFUNCTION("""COMPUTED_VALUE"""),"SEC")</f>
        <v>SEC</v>
      </c>
      <c r="D12" s="1" t="str">
        <f ca="1">IFERROR(__xludf.DUMMYFUNCTION("""COMPUTED_VALUE"""),"31-6")</f>
        <v>31-6</v>
      </c>
      <c r="E12" s="1" t="str">
        <f ca="1">IFERROR(__xludf.DUMMYFUNCTION("""COMPUTED_VALUE"""),"+26.24")</f>
        <v>+26.24</v>
      </c>
      <c r="F12" s="1">
        <f ca="1">IFERROR(__xludf.DUMMYFUNCTION("""COMPUTED_VALUE"""),122.7)</f>
        <v>122.7</v>
      </c>
      <c r="G12" s="1">
        <f ca="1">IFERROR(__xludf.DUMMYFUNCTION("""COMPUTED_VALUE"""),3)</f>
        <v>3</v>
      </c>
      <c r="H12" s="1">
        <f ca="1">IFERROR(__xludf.DUMMYFUNCTION("""COMPUTED_VALUE"""),96.5)</f>
        <v>96.5</v>
      </c>
      <c r="I12" s="1">
        <f ca="1">IFERROR(__xludf.DUMMYFUNCTION("""COMPUTED_VALUE"""),42)</f>
        <v>42</v>
      </c>
      <c r="J12" s="1">
        <f ca="1">IFERROR(__xludf.DUMMYFUNCTION("""COMPUTED_VALUE"""),67.8)</f>
        <v>67.8</v>
      </c>
      <c r="K12" s="1">
        <f ca="1">IFERROR(__xludf.DUMMYFUNCTION("""COMPUTED_VALUE"""),164)</f>
        <v>164</v>
      </c>
      <c r="L12" s="1" t="str">
        <f ca="1">IFERROR(__xludf.DUMMYFUNCTION("""COMPUTED_VALUE"""),"+.034")</f>
        <v>+.034</v>
      </c>
      <c r="M12" s="1">
        <f ca="1">IFERROR(__xludf.DUMMYFUNCTION("""COMPUTED_VALUE"""),96)</f>
        <v>96</v>
      </c>
      <c r="N12" s="1" t="str">
        <f ca="1">IFERROR(__xludf.DUMMYFUNCTION("""COMPUTED_VALUE"""),"+10.69")</f>
        <v>+10.69</v>
      </c>
      <c r="O12" s="1">
        <f ca="1">IFERROR(__xludf.DUMMYFUNCTION("""COMPUTED_VALUE"""),25)</f>
        <v>25</v>
      </c>
      <c r="P12" s="1">
        <f ca="1">IFERROR(__xludf.DUMMYFUNCTION("""COMPUTED_VALUE"""),109.7)</f>
        <v>109.7</v>
      </c>
      <c r="Q12" s="1">
        <f ca="1">IFERROR(__xludf.DUMMYFUNCTION("""COMPUTED_VALUE"""),23)</f>
        <v>23</v>
      </c>
      <c r="R12" s="1">
        <f ca="1">IFERROR(__xludf.DUMMYFUNCTION("""COMPUTED_VALUE"""),99)</f>
        <v>99</v>
      </c>
      <c r="S12" s="1">
        <f ca="1">IFERROR(__xludf.DUMMYFUNCTION("""COMPUTED_VALUE"""),28)</f>
        <v>28</v>
      </c>
      <c r="T12" s="1" t="str">
        <f ca="1">IFERROR(__xludf.DUMMYFUNCTION("""COMPUTED_VALUE"""),"+0.92")</f>
        <v>+0.92</v>
      </c>
      <c r="U12" s="1">
        <f ca="1">IFERROR(__xludf.DUMMYFUNCTION("""COMPUTED_VALUE"""),129)</f>
        <v>129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IFERROR(__xludf.DUMMYFUNCTION("""COMPUTED_VALUE"""),"Auburn5")</f>
        <v>Auburn5</v>
      </c>
      <c r="C13" s="1" t="str">
        <f ca="1">IFERROR(__xludf.DUMMYFUNCTION("""COMPUTED_VALUE"""),"SEC")</f>
        <v>SEC</v>
      </c>
      <c r="D13" s="1" t="str">
        <f ca="1">IFERROR(__xludf.DUMMYFUNCTION("""COMPUTED_VALUE"""),"30-10")</f>
        <v>30-10</v>
      </c>
      <c r="E13" s="1" t="str">
        <f ca="1">IFERROR(__xludf.DUMMYFUNCTION("""COMPUTED_VALUE"""),"+25.00")</f>
        <v>+25.00</v>
      </c>
      <c r="F13" s="1">
        <f ca="1">IFERROR(__xludf.DUMMYFUNCTION("""COMPUTED_VALUE"""),120.9)</f>
        <v>120.9</v>
      </c>
      <c r="G13" s="1">
        <f ca="1">IFERROR(__xludf.DUMMYFUNCTION("""COMPUTED_VALUE"""),6)</f>
        <v>6</v>
      </c>
      <c r="H13" s="1">
        <f ca="1">IFERROR(__xludf.DUMMYFUNCTION("""COMPUTED_VALUE"""),95.9)</f>
        <v>95.9</v>
      </c>
      <c r="I13" s="1">
        <f ca="1">IFERROR(__xludf.DUMMYFUNCTION("""COMPUTED_VALUE"""),36)</f>
        <v>36</v>
      </c>
      <c r="J13" s="1">
        <f ca="1">IFERROR(__xludf.DUMMYFUNCTION("""COMPUTED_VALUE"""),67.9)</f>
        <v>67.900000000000006</v>
      </c>
      <c r="K13" s="1">
        <f ca="1">IFERROR(__xludf.DUMMYFUNCTION("""COMPUTED_VALUE"""),155)</f>
        <v>155</v>
      </c>
      <c r="L13" s="1" t="str">
        <f ca="1">IFERROR(__xludf.DUMMYFUNCTION("""COMPUTED_VALUE"""),"+.008")</f>
        <v>+.008</v>
      </c>
      <c r="M13" s="1">
        <f ca="1">IFERROR(__xludf.DUMMYFUNCTION("""COMPUTED_VALUE"""),162)</f>
        <v>162</v>
      </c>
      <c r="N13" s="1" t="str">
        <f ca="1">IFERROR(__xludf.DUMMYFUNCTION("""COMPUTED_VALUE"""),"+12.23")</f>
        <v>+12.23</v>
      </c>
      <c r="O13" s="1">
        <f ca="1">IFERROR(__xludf.DUMMYFUNCTION("""COMPUTED_VALUE"""),11)</f>
        <v>11</v>
      </c>
      <c r="P13" s="1">
        <f ca="1">IFERROR(__xludf.DUMMYFUNCTION("""COMPUTED_VALUE"""),110.7)</f>
        <v>110.7</v>
      </c>
      <c r="Q13" s="1">
        <f ca="1">IFERROR(__xludf.DUMMYFUNCTION("""COMPUTED_VALUE"""),3)</f>
        <v>3</v>
      </c>
      <c r="R13" s="1">
        <f ca="1">IFERROR(__xludf.DUMMYFUNCTION("""COMPUTED_VALUE"""),98.5)</f>
        <v>98.5</v>
      </c>
      <c r="S13" s="1">
        <f ca="1">IFERROR(__xludf.DUMMYFUNCTION("""COMPUTED_VALUE"""),20)</f>
        <v>20</v>
      </c>
      <c r="T13" s="1" t="str">
        <f ca="1">IFERROR(__xludf.DUMMYFUNCTION("""COMPUTED_VALUE"""),"+2.63")</f>
        <v>+2.63</v>
      </c>
      <c r="U13" s="1">
        <f ca="1">IFERROR(__xludf.DUMMYFUNCTION("""COMPUTED_VALUE"""),96)</f>
        <v>96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IFERROR(__xludf.DUMMYFUNCTION("""COMPUTED_VALUE"""),"Houston3")</f>
        <v>Houston3</v>
      </c>
      <c r="C14" s="1" t="str">
        <f ca="1">IFERROR(__xludf.DUMMYFUNCTION("""COMPUTED_VALUE"""),"Amer")</f>
        <v>Amer</v>
      </c>
      <c r="D14" s="1" t="str">
        <f ca="1">IFERROR(__xludf.DUMMYFUNCTION("""COMPUTED_VALUE"""),"33-4")</f>
        <v>33-4</v>
      </c>
      <c r="E14" s="1" t="str">
        <f ca="1">IFERROR(__xludf.DUMMYFUNCTION("""COMPUTED_VALUE"""),"+24.13")</f>
        <v>+24.13</v>
      </c>
      <c r="F14" s="1">
        <f ca="1">IFERROR(__xludf.DUMMYFUNCTION("""COMPUTED_VALUE"""),115.3)</f>
        <v>115.3</v>
      </c>
      <c r="G14" s="1">
        <f ca="1">IFERROR(__xludf.DUMMYFUNCTION("""COMPUTED_VALUE"""),19)</f>
        <v>19</v>
      </c>
      <c r="H14" s="1">
        <f ca="1">IFERROR(__xludf.DUMMYFUNCTION("""COMPUTED_VALUE"""),91.2)</f>
        <v>91.2</v>
      </c>
      <c r="I14" s="1">
        <f ca="1">IFERROR(__xludf.DUMMYFUNCTION("""COMPUTED_VALUE"""),11)</f>
        <v>11</v>
      </c>
      <c r="J14" s="1">
        <f ca="1">IFERROR(__xludf.DUMMYFUNCTION("""COMPUTED_VALUE"""),66.1)</f>
        <v>66.099999999999994</v>
      </c>
      <c r="K14" s="1">
        <f ca="1">IFERROR(__xludf.DUMMYFUNCTION("""COMPUTED_VALUE"""),260)</f>
        <v>260</v>
      </c>
      <c r="L14" s="1" t="str">
        <f ca="1">IFERROR(__xludf.DUMMYFUNCTION("""COMPUTED_VALUE"""),"+.039")</f>
        <v>+.039</v>
      </c>
      <c r="M14" s="1">
        <f ca="1">IFERROR(__xludf.DUMMYFUNCTION("""COMPUTED_VALUE"""),86)</f>
        <v>86</v>
      </c>
      <c r="N14" s="1" t="str">
        <f ca="1">IFERROR(__xludf.DUMMYFUNCTION("""COMPUTED_VALUE"""),"+4.45")</f>
        <v>+4.45</v>
      </c>
      <c r="O14" s="1">
        <f ca="1">IFERROR(__xludf.DUMMYFUNCTION("""COMPUTED_VALUE"""),76)</f>
        <v>76</v>
      </c>
      <c r="P14" s="1">
        <f ca="1">IFERROR(__xludf.DUMMYFUNCTION("""COMPUTED_VALUE"""),105.7)</f>
        <v>105.7</v>
      </c>
      <c r="Q14" s="1">
        <f ca="1">IFERROR(__xludf.DUMMYFUNCTION("""COMPUTED_VALUE"""),92)</f>
        <v>92</v>
      </c>
      <c r="R14" s="1">
        <f ca="1">IFERROR(__xludf.DUMMYFUNCTION("""COMPUTED_VALUE"""),101.3)</f>
        <v>101.3</v>
      </c>
      <c r="S14" s="1">
        <f ca="1">IFERROR(__xludf.DUMMYFUNCTION("""COMPUTED_VALUE"""),62)</f>
        <v>62</v>
      </c>
      <c r="T14" s="1">
        <f ca="1">IFERROR(__xludf.DUMMYFUNCTION("""COMPUTED_VALUE"""),-4.16)</f>
        <v>-4.16</v>
      </c>
      <c r="U14" s="1">
        <f ca="1">IFERROR(__xludf.DUMMYFUNCTION("""COMPUTED_VALUE"""),283)</f>
        <v>283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IFERROR(__xludf.DUMMYFUNCTION("""COMPUTED_VALUE"""),"Virginia Tech4")</f>
        <v>Virginia Tech4</v>
      </c>
      <c r="C15" s="1" t="str">
        <f ca="1">IFERROR(__xludf.DUMMYFUNCTION("""COMPUTED_VALUE"""),"ACC")</f>
        <v>ACC</v>
      </c>
      <c r="D15" s="1" t="str">
        <f ca="1">IFERROR(__xludf.DUMMYFUNCTION("""COMPUTED_VALUE"""),"26-9")</f>
        <v>26-9</v>
      </c>
      <c r="E15" s="1" t="str">
        <f ca="1">IFERROR(__xludf.DUMMYFUNCTION("""COMPUTED_VALUE"""),"+24.07")</f>
        <v>+24.07</v>
      </c>
      <c r="F15" s="1">
        <f ca="1">IFERROR(__xludf.DUMMYFUNCTION("""COMPUTED_VALUE"""),118.1)</f>
        <v>118.1</v>
      </c>
      <c r="G15" s="1">
        <f ca="1">IFERROR(__xludf.DUMMYFUNCTION("""COMPUTED_VALUE"""),11)</f>
        <v>11</v>
      </c>
      <c r="H15" s="1">
        <f ca="1">IFERROR(__xludf.DUMMYFUNCTION("""COMPUTED_VALUE"""),94)</f>
        <v>94</v>
      </c>
      <c r="I15" s="1">
        <f ca="1">IFERROR(__xludf.DUMMYFUNCTION("""COMPUTED_VALUE"""),20)</f>
        <v>20</v>
      </c>
      <c r="J15" s="1">
        <f ca="1">IFERROR(__xludf.DUMMYFUNCTION("""COMPUTED_VALUE"""),63.7)</f>
        <v>63.7</v>
      </c>
      <c r="K15" s="1">
        <f ca="1">IFERROR(__xludf.DUMMYFUNCTION("""COMPUTED_VALUE"""),334)</f>
        <v>334</v>
      </c>
      <c r="L15" s="1">
        <f ca="1">IFERROR(__xludf.DUMMYFUNCTION("""COMPUTED_VALUE"""),-0.005)</f>
        <v>-5.0000000000000001E-3</v>
      </c>
      <c r="M15" s="1">
        <f ca="1">IFERROR(__xludf.DUMMYFUNCTION("""COMPUTED_VALUE"""),195)</f>
        <v>195</v>
      </c>
      <c r="N15" s="1" t="str">
        <f ca="1">IFERROR(__xludf.DUMMYFUNCTION("""COMPUTED_VALUE"""),"+8.47")</f>
        <v>+8.47</v>
      </c>
      <c r="O15" s="1">
        <f ca="1">IFERROR(__xludf.DUMMYFUNCTION("""COMPUTED_VALUE"""),47)</f>
        <v>47</v>
      </c>
      <c r="P15" s="1">
        <f ca="1">IFERROR(__xludf.DUMMYFUNCTION("""COMPUTED_VALUE"""),108.3)</f>
        <v>108.3</v>
      </c>
      <c r="Q15" s="1">
        <f ca="1">IFERROR(__xludf.DUMMYFUNCTION("""COMPUTED_VALUE"""),49)</f>
        <v>49</v>
      </c>
      <c r="R15" s="1">
        <f ca="1">IFERROR(__xludf.DUMMYFUNCTION("""COMPUTED_VALUE"""),99.9)</f>
        <v>99.9</v>
      </c>
      <c r="S15" s="1">
        <f ca="1">IFERROR(__xludf.DUMMYFUNCTION("""COMPUTED_VALUE"""),42)</f>
        <v>42</v>
      </c>
      <c r="T15" s="1">
        <f ca="1">IFERROR(__xludf.DUMMYFUNCTION("""COMPUTED_VALUE"""),-6.26)</f>
        <v>-6.26</v>
      </c>
      <c r="U15" s="1">
        <f ca="1">IFERROR(__xludf.DUMMYFUNCTION("""COMPUTED_VALUE"""),325)</f>
        <v>325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IFERROR(__xludf.DUMMYFUNCTION("""COMPUTED_VALUE"""),"Florida St.4")</f>
        <v>Florida St.4</v>
      </c>
      <c r="C16" s="1" t="str">
        <f ca="1">IFERROR(__xludf.DUMMYFUNCTION("""COMPUTED_VALUE"""),"ACC")</f>
        <v>ACC</v>
      </c>
      <c r="D16" s="1" t="str">
        <f ca="1">IFERROR(__xludf.DUMMYFUNCTION("""COMPUTED_VALUE"""),"29-8")</f>
        <v>29-8</v>
      </c>
      <c r="E16" s="1" t="str">
        <f ca="1">IFERROR(__xludf.DUMMYFUNCTION("""COMPUTED_VALUE"""),"+22.39")</f>
        <v>+22.39</v>
      </c>
      <c r="F16" s="1">
        <f ca="1">IFERROR(__xludf.DUMMYFUNCTION("""COMPUTED_VALUE"""),112.8)</f>
        <v>112.8</v>
      </c>
      <c r="G16" s="1">
        <f ca="1">IFERROR(__xludf.DUMMYFUNCTION("""COMPUTED_VALUE"""),36)</f>
        <v>36</v>
      </c>
      <c r="H16" s="1">
        <f ca="1">IFERROR(__xludf.DUMMYFUNCTION("""COMPUTED_VALUE"""),90.4)</f>
        <v>90.4</v>
      </c>
      <c r="I16" s="1">
        <f ca="1">IFERROR(__xludf.DUMMYFUNCTION("""COMPUTED_VALUE"""),10)</f>
        <v>10</v>
      </c>
      <c r="J16" s="1">
        <f ca="1">IFERROR(__xludf.DUMMYFUNCTION("""COMPUTED_VALUE"""),68.6)</f>
        <v>68.599999999999994</v>
      </c>
      <c r="K16" s="1">
        <f ca="1">IFERROR(__xludf.DUMMYFUNCTION("""COMPUTED_VALUE"""),121)</f>
        <v>121</v>
      </c>
      <c r="L16" s="1" t="str">
        <f ca="1">IFERROR(__xludf.DUMMYFUNCTION("""COMPUTED_VALUE"""),"+.046")</f>
        <v>+.046</v>
      </c>
      <c r="M16" s="1">
        <f ca="1">IFERROR(__xludf.DUMMYFUNCTION("""COMPUTED_VALUE"""),70)</f>
        <v>70</v>
      </c>
      <c r="N16" s="1" t="str">
        <f ca="1">IFERROR(__xludf.DUMMYFUNCTION("""COMPUTED_VALUE"""),"+10.46")</f>
        <v>+10.46</v>
      </c>
      <c r="O16" s="1">
        <f ca="1">IFERROR(__xludf.DUMMYFUNCTION("""COMPUTED_VALUE"""),30)</f>
        <v>30</v>
      </c>
      <c r="P16" s="1">
        <f ca="1">IFERROR(__xludf.DUMMYFUNCTION("""COMPUTED_VALUE"""),109.8)</f>
        <v>109.8</v>
      </c>
      <c r="Q16" s="1">
        <f ca="1">IFERROR(__xludf.DUMMYFUNCTION("""COMPUTED_VALUE"""),20)</f>
        <v>20</v>
      </c>
      <c r="R16" s="1">
        <f ca="1">IFERROR(__xludf.DUMMYFUNCTION("""COMPUTED_VALUE"""),99.3)</f>
        <v>99.3</v>
      </c>
      <c r="S16" s="1">
        <f ca="1">IFERROR(__xludf.DUMMYFUNCTION("""COMPUTED_VALUE"""),33)</f>
        <v>33</v>
      </c>
      <c r="T16" s="1" t="str">
        <f ca="1">IFERROR(__xludf.DUMMYFUNCTION("""COMPUTED_VALUE"""),"+0.93")</f>
        <v>+0.93</v>
      </c>
      <c r="U16" s="1">
        <f ca="1">IFERROR(__xludf.DUMMYFUNCTION("""COMPUTED_VALUE"""),128)</f>
        <v>128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IFERROR(__xludf.DUMMYFUNCTION("""COMPUTED_VALUE"""),"Iowa St.6")</f>
        <v>Iowa St.6</v>
      </c>
      <c r="C17" s="1" t="str">
        <f ca="1">IFERROR(__xludf.DUMMYFUNCTION("""COMPUTED_VALUE"""),"B12")</f>
        <v>B12</v>
      </c>
      <c r="D17" s="1" t="str">
        <f ca="1">IFERROR(__xludf.DUMMYFUNCTION("""COMPUTED_VALUE"""),"23-12")</f>
        <v>23-12</v>
      </c>
      <c r="E17" s="1" t="str">
        <f ca="1">IFERROR(__xludf.DUMMYFUNCTION("""COMPUTED_VALUE"""),"+22.09")</f>
        <v>+22.09</v>
      </c>
      <c r="F17" s="1">
        <f ca="1">IFERROR(__xludf.DUMMYFUNCTION("""COMPUTED_VALUE"""),118.9)</f>
        <v>118.9</v>
      </c>
      <c r="G17" s="1">
        <f ca="1">IFERROR(__xludf.DUMMYFUNCTION("""COMPUTED_VALUE"""),9)</f>
        <v>9</v>
      </c>
      <c r="H17" s="1">
        <f ca="1">IFERROR(__xludf.DUMMYFUNCTION("""COMPUTED_VALUE"""),96.8)</f>
        <v>96.8</v>
      </c>
      <c r="I17" s="1">
        <f ca="1">IFERROR(__xludf.DUMMYFUNCTION("""COMPUTED_VALUE"""),47)</f>
        <v>47</v>
      </c>
      <c r="J17" s="1">
        <f ca="1">IFERROR(__xludf.DUMMYFUNCTION("""COMPUTED_VALUE"""),67.7)</f>
        <v>67.7</v>
      </c>
      <c r="K17" s="1">
        <f ca="1">IFERROR(__xludf.DUMMYFUNCTION("""COMPUTED_VALUE"""),171)</f>
        <v>171</v>
      </c>
      <c r="L17" s="1">
        <f ca="1">IFERROR(__xludf.DUMMYFUNCTION("""COMPUTED_VALUE"""),-0.063)</f>
        <v>-6.3E-2</v>
      </c>
      <c r="M17" s="1">
        <f ca="1">IFERROR(__xludf.DUMMYFUNCTION("""COMPUTED_VALUE"""),316)</f>
        <v>316</v>
      </c>
      <c r="N17" s="1" t="str">
        <f ca="1">IFERROR(__xludf.DUMMYFUNCTION("""COMPUTED_VALUE"""),"+10.78")</f>
        <v>+10.78</v>
      </c>
      <c r="O17" s="1">
        <f ca="1">IFERROR(__xludf.DUMMYFUNCTION("""COMPUTED_VALUE"""),23)</f>
        <v>23</v>
      </c>
      <c r="P17" s="1">
        <f ca="1">IFERROR(__xludf.DUMMYFUNCTION("""COMPUTED_VALUE"""),109.3)</f>
        <v>109.3</v>
      </c>
      <c r="Q17" s="1">
        <f ca="1">IFERROR(__xludf.DUMMYFUNCTION("""COMPUTED_VALUE"""),29)</f>
        <v>29</v>
      </c>
      <c r="R17" s="1">
        <f ca="1">IFERROR(__xludf.DUMMYFUNCTION("""COMPUTED_VALUE"""),98.5)</f>
        <v>98.5</v>
      </c>
      <c r="S17" s="1">
        <f ca="1">IFERROR(__xludf.DUMMYFUNCTION("""COMPUTED_VALUE"""),21)</f>
        <v>21</v>
      </c>
      <c r="T17" s="1">
        <f ca="1">IFERROR(__xludf.DUMMYFUNCTION("""COMPUTED_VALUE"""),-1.56)</f>
        <v>-1.56</v>
      </c>
      <c r="U17" s="1">
        <f ca="1">IFERROR(__xludf.DUMMYFUNCTION("""COMPUTED_VALUE"""),206)</f>
        <v>206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IFERROR(__xludf.DUMMYFUNCTION("""COMPUTED_VALUE"""),"Wisconsin5")</f>
        <v>Wisconsin5</v>
      </c>
      <c r="C18" s="1" t="str">
        <f ca="1">IFERROR(__xludf.DUMMYFUNCTION("""COMPUTED_VALUE"""),"B10")</f>
        <v>B10</v>
      </c>
      <c r="D18" s="1" t="str">
        <f ca="1">IFERROR(__xludf.DUMMYFUNCTION("""COMPUTED_VALUE"""),"23-11")</f>
        <v>23-11</v>
      </c>
      <c r="E18" s="1" t="str">
        <f ca="1">IFERROR(__xludf.DUMMYFUNCTION("""COMPUTED_VALUE"""),"+21.94")</f>
        <v>+21.94</v>
      </c>
      <c r="F18" s="1">
        <f ca="1">IFERROR(__xludf.DUMMYFUNCTION("""COMPUTED_VALUE"""),110.4)</f>
        <v>110.4</v>
      </c>
      <c r="G18" s="1">
        <f ca="1">IFERROR(__xludf.DUMMYFUNCTION("""COMPUTED_VALUE"""),62)</f>
        <v>62</v>
      </c>
      <c r="H18" s="1">
        <f ca="1">IFERROR(__xludf.DUMMYFUNCTION("""COMPUTED_VALUE"""),88.5)</f>
        <v>88.5</v>
      </c>
      <c r="I18" s="1">
        <f ca="1">IFERROR(__xludf.DUMMYFUNCTION("""COMPUTED_VALUE"""),4)</f>
        <v>4</v>
      </c>
      <c r="J18" s="1">
        <f ca="1">IFERROR(__xludf.DUMMYFUNCTION("""COMPUTED_VALUE"""),63.9)</f>
        <v>63.9</v>
      </c>
      <c r="K18" s="1">
        <f ca="1">IFERROR(__xludf.DUMMYFUNCTION("""COMPUTED_VALUE"""),331)</f>
        <v>331</v>
      </c>
      <c r="L18" s="1">
        <f ca="1">IFERROR(__xludf.DUMMYFUNCTION("""COMPUTED_VALUE"""),-0.018)</f>
        <v>-1.7999999999999999E-2</v>
      </c>
      <c r="M18" s="1">
        <f ca="1">IFERROR(__xludf.DUMMYFUNCTION("""COMPUTED_VALUE"""),228)</f>
        <v>228</v>
      </c>
      <c r="N18" s="1" t="str">
        <f ca="1">IFERROR(__xludf.DUMMYFUNCTION("""COMPUTED_VALUE"""),"+12.97")</f>
        <v>+12.97</v>
      </c>
      <c r="O18" s="1">
        <f ca="1">IFERROR(__xludf.DUMMYFUNCTION("""COMPUTED_VALUE"""),6)</f>
        <v>6</v>
      </c>
      <c r="P18" s="1">
        <f ca="1">IFERROR(__xludf.DUMMYFUNCTION("""COMPUTED_VALUE"""),110.3)</f>
        <v>110.3</v>
      </c>
      <c r="Q18" s="1">
        <f ca="1">IFERROR(__xludf.DUMMYFUNCTION("""COMPUTED_VALUE"""),14)</f>
        <v>14</v>
      </c>
      <c r="R18" s="1">
        <f ca="1">IFERROR(__xludf.DUMMYFUNCTION("""COMPUTED_VALUE"""),97.3)</f>
        <v>97.3</v>
      </c>
      <c r="S18" s="1">
        <f ca="1">IFERROR(__xludf.DUMMYFUNCTION("""COMPUTED_VALUE"""),6)</f>
        <v>6</v>
      </c>
      <c r="T18" s="1" t="str">
        <f ca="1">IFERROR(__xludf.DUMMYFUNCTION("""COMPUTED_VALUE"""),"+3.14")</f>
        <v>+3.14</v>
      </c>
      <c r="U18" s="1">
        <f ca="1">IFERROR(__xludf.DUMMYFUNCTION("""COMPUTED_VALUE"""),87)</f>
        <v>87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IFERROR(__xludf.DUMMYFUNCTION("""COMPUTED_VALUE"""),"Kansas4")</f>
        <v>Kansas4</v>
      </c>
      <c r="C19" s="1" t="str">
        <f ca="1">IFERROR(__xludf.DUMMYFUNCTION("""COMPUTED_VALUE"""),"B12")</f>
        <v>B12</v>
      </c>
      <c r="D19" s="1" t="str">
        <f ca="1">IFERROR(__xludf.DUMMYFUNCTION("""COMPUTED_VALUE"""),"26-10")</f>
        <v>26-10</v>
      </c>
      <c r="E19" s="1" t="str">
        <f ca="1">IFERROR(__xludf.DUMMYFUNCTION("""COMPUTED_VALUE"""),"+21.57")</f>
        <v>+21.57</v>
      </c>
      <c r="F19" s="1">
        <f ca="1">IFERROR(__xludf.DUMMYFUNCTION("""COMPUTED_VALUE"""),113.9)</f>
        <v>113.9</v>
      </c>
      <c r="G19" s="1">
        <f ca="1">IFERROR(__xludf.DUMMYFUNCTION("""COMPUTED_VALUE"""),27)</f>
        <v>27</v>
      </c>
      <c r="H19" s="1">
        <f ca="1">IFERROR(__xludf.DUMMYFUNCTION("""COMPUTED_VALUE"""),92.3)</f>
        <v>92.3</v>
      </c>
      <c r="I19" s="1">
        <f ca="1">IFERROR(__xludf.DUMMYFUNCTION("""COMPUTED_VALUE"""),17)</f>
        <v>17</v>
      </c>
      <c r="J19" s="1">
        <f ca="1">IFERROR(__xludf.DUMMYFUNCTION("""COMPUTED_VALUE"""),70.1)</f>
        <v>70.099999999999994</v>
      </c>
      <c r="K19" s="1">
        <f ca="1">IFERROR(__xludf.DUMMYFUNCTION("""COMPUTED_VALUE"""),66)</f>
        <v>66</v>
      </c>
      <c r="L19" s="1" t="str">
        <f ca="1">IFERROR(__xludf.DUMMYFUNCTION("""COMPUTED_VALUE"""),"+.076")</f>
        <v>+.076</v>
      </c>
      <c r="M19" s="1">
        <f ca="1">IFERROR(__xludf.DUMMYFUNCTION("""COMPUTED_VALUE"""),26)</f>
        <v>26</v>
      </c>
      <c r="N19" s="1" t="str">
        <f ca="1">IFERROR(__xludf.DUMMYFUNCTION("""COMPUTED_VALUE"""),"+14.13")</f>
        <v>+14.13</v>
      </c>
      <c r="O19" s="1">
        <f ca="1">IFERROR(__xludf.DUMMYFUNCTION("""COMPUTED_VALUE"""),1)</f>
        <v>1</v>
      </c>
      <c r="P19" s="1">
        <f ca="1">IFERROR(__xludf.DUMMYFUNCTION("""COMPUTED_VALUE"""),111.8)</f>
        <v>111.8</v>
      </c>
      <c r="Q19" s="1">
        <f ca="1">IFERROR(__xludf.DUMMYFUNCTION("""COMPUTED_VALUE"""),1)</f>
        <v>1</v>
      </c>
      <c r="R19" s="1">
        <f ca="1">IFERROR(__xludf.DUMMYFUNCTION("""COMPUTED_VALUE"""),97.7)</f>
        <v>97.7</v>
      </c>
      <c r="S19" s="1">
        <f ca="1">IFERROR(__xludf.DUMMYFUNCTION("""COMPUTED_VALUE"""),8)</f>
        <v>8</v>
      </c>
      <c r="T19" s="1" t="str">
        <f ca="1">IFERROR(__xludf.DUMMYFUNCTION("""COMPUTED_VALUE"""),"+10.36")</f>
        <v>+10.36</v>
      </c>
      <c r="U19" s="1">
        <f ca="1">IFERROR(__xludf.DUMMYFUNCTION("""COMPUTED_VALUE"""),4)</f>
        <v>4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IFERROR(__xludf.DUMMYFUNCTION("""COMPUTED_VALUE"""),"Wofford7")</f>
        <v>Wofford7</v>
      </c>
      <c r="C20" s="1" t="str">
        <f ca="1">IFERROR(__xludf.DUMMYFUNCTION("""COMPUTED_VALUE"""),"SC")</f>
        <v>SC</v>
      </c>
      <c r="D20" s="1" t="str">
        <f ca="1">IFERROR(__xludf.DUMMYFUNCTION("""COMPUTED_VALUE"""),"30-5")</f>
        <v>30-5</v>
      </c>
      <c r="E20" s="1" t="str">
        <f ca="1">IFERROR(__xludf.DUMMYFUNCTION("""COMPUTED_VALUE"""),"+20.69")</f>
        <v>+20.69</v>
      </c>
      <c r="F20" s="1">
        <f ca="1">IFERROR(__xludf.DUMMYFUNCTION("""COMPUTED_VALUE"""),118.1)</f>
        <v>118.1</v>
      </c>
      <c r="G20" s="1">
        <f ca="1">IFERROR(__xludf.DUMMYFUNCTION("""COMPUTED_VALUE"""),10)</f>
        <v>10</v>
      </c>
      <c r="H20" s="1">
        <f ca="1">IFERROR(__xludf.DUMMYFUNCTION("""COMPUTED_VALUE"""),97.4)</f>
        <v>97.4</v>
      </c>
      <c r="I20" s="1">
        <f ca="1">IFERROR(__xludf.DUMMYFUNCTION("""COMPUTED_VALUE"""),56)</f>
        <v>56</v>
      </c>
      <c r="J20" s="1">
        <f ca="1">IFERROR(__xludf.DUMMYFUNCTION("""COMPUTED_VALUE"""),65.7)</f>
        <v>65.7</v>
      </c>
      <c r="K20" s="1">
        <f ca="1">IFERROR(__xludf.DUMMYFUNCTION("""COMPUTED_VALUE"""),278)</f>
        <v>278</v>
      </c>
      <c r="L20" s="1" t="str">
        <f ca="1">IFERROR(__xludf.DUMMYFUNCTION("""COMPUTED_VALUE"""),"+.046")</f>
        <v>+.046</v>
      </c>
      <c r="M20" s="1">
        <f ca="1">IFERROR(__xludf.DUMMYFUNCTION("""COMPUTED_VALUE"""),68)</f>
        <v>68</v>
      </c>
      <c r="N20" s="1" t="str">
        <f ca="1">IFERROR(__xludf.DUMMYFUNCTION("""COMPUTED_VALUE"""),"+1.82")</f>
        <v>+1.82</v>
      </c>
      <c r="O20" s="1">
        <f ca="1">IFERROR(__xludf.DUMMYFUNCTION("""COMPUTED_VALUE"""),97)</f>
        <v>97</v>
      </c>
      <c r="P20" s="1">
        <f ca="1">IFERROR(__xludf.DUMMYFUNCTION("""COMPUTED_VALUE"""),106)</f>
        <v>106</v>
      </c>
      <c r="Q20" s="1">
        <f ca="1">IFERROR(__xludf.DUMMYFUNCTION("""COMPUTED_VALUE"""),83)</f>
        <v>83</v>
      </c>
      <c r="R20" s="1">
        <f ca="1">IFERROR(__xludf.DUMMYFUNCTION("""COMPUTED_VALUE"""),104.2)</f>
        <v>104.2</v>
      </c>
      <c r="S20" s="1">
        <f ca="1">IFERROR(__xludf.DUMMYFUNCTION("""COMPUTED_VALUE"""),144)</f>
        <v>144</v>
      </c>
      <c r="T20" s="1" t="str">
        <f ca="1">IFERROR(__xludf.DUMMYFUNCTION("""COMPUTED_VALUE"""),"+8.37")</f>
        <v>+8.37</v>
      </c>
      <c r="U20" s="1">
        <f ca="1">IFERROR(__xludf.DUMMYFUNCTION("""COMPUTED_VALUE"""),6)</f>
        <v>6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IFERROR(__xludf.DUMMYFUNCTION("""COMPUTED_VALUE"""),"LSU3")</f>
        <v>LSU3</v>
      </c>
      <c r="C21" s="1" t="str">
        <f ca="1">IFERROR(__xludf.DUMMYFUNCTION("""COMPUTED_VALUE"""),"SEC")</f>
        <v>SEC</v>
      </c>
      <c r="D21" s="1" t="str">
        <f ca="1">IFERROR(__xludf.DUMMYFUNCTION("""COMPUTED_VALUE"""),"28-7")</f>
        <v>28-7</v>
      </c>
      <c r="E21" s="1" t="str">
        <f ca="1">IFERROR(__xludf.DUMMYFUNCTION("""COMPUTED_VALUE"""),"+20.22")</f>
        <v>+20.22</v>
      </c>
      <c r="F21" s="1">
        <f ca="1">IFERROR(__xludf.DUMMYFUNCTION("""COMPUTED_VALUE"""),117.7)</f>
        <v>117.7</v>
      </c>
      <c r="G21" s="1">
        <f ca="1">IFERROR(__xludf.DUMMYFUNCTION("""COMPUTED_VALUE"""),12)</f>
        <v>12</v>
      </c>
      <c r="H21" s="1">
        <f ca="1">IFERROR(__xludf.DUMMYFUNCTION("""COMPUTED_VALUE"""),97.5)</f>
        <v>97.5</v>
      </c>
      <c r="I21" s="1">
        <f ca="1">IFERROR(__xludf.DUMMYFUNCTION("""COMPUTED_VALUE"""),59)</f>
        <v>59</v>
      </c>
      <c r="J21" s="1">
        <f ca="1">IFERROR(__xludf.DUMMYFUNCTION("""COMPUTED_VALUE"""),70)</f>
        <v>70</v>
      </c>
      <c r="K21" s="1">
        <f ca="1">IFERROR(__xludf.DUMMYFUNCTION("""COMPUTED_VALUE"""),67)</f>
        <v>67</v>
      </c>
      <c r="L21" s="1" t="str">
        <f ca="1">IFERROR(__xludf.DUMMYFUNCTION("""COMPUTED_VALUE"""),"+.063")</f>
        <v>+.063</v>
      </c>
      <c r="M21" s="1">
        <f ca="1">IFERROR(__xludf.DUMMYFUNCTION("""COMPUTED_VALUE"""),36)</f>
        <v>36</v>
      </c>
      <c r="N21" s="1" t="str">
        <f ca="1">IFERROR(__xludf.DUMMYFUNCTION("""COMPUTED_VALUE"""),"+10.02")</f>
        <v>+10.02</v>
      </c>
      <c r="O21" s="1">
        <f ca="1">IFERROR(__xludf.DUMMYFUNCTION("""COMPUTED_VALUE"""),35)</f>
        <v>35</v>
      </c>
      <c r="P21" s="1">
        <f ca="1">IFERROR(__xludf.DUMMYFUNCTION("""COMPUTED_VALUE"""),109.3)</f>
        <v>109.3</v>
      </c>
      <c r="Q21" s="1">
        <f ca="1">IFERROR(__xludf.DUMMYFUNCTION("""COMPUTED_VALUE"""),30)</f>
        <v>30</v>
      </c>
      <c r="R21" s="1">
        <f ca="1">IFERROR(__xludf.DUMMYFUNCTION("""COMPUTED_VALUE"""),99.3)</f>
        <v>99.3</v>
      </c>
      <c r="S21" s="1">
        <f ca="1">IFERROR(__xludf.DUMMYFUNCTION("""COMPUTED_VALUE"""),32)</f>
        <v>32</v>
      </c>
      <c r="T21" s="1" t="str">
        <f ca="1">IFERROR(__xludf.DUMMYFUNCTION("""COMPUTED_VALUE"""),"+2.77")</f>
        <v>+2.77</v>
      </c>
      <c r="U21" s="1">
        <f ca="1">IFERROR(__xludf.DUMMYFUNCTION("""COMPUTED_VALUE"""),92)</f>
        <v>92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IFERROR(__xludf.DUMMYFUNCTION("""COMPUTED_VALUE"""),"Kansas St.4")</f>
        <v>Kansas St.4</v>
      </c>
      <c r="C22" s="1" t="str">
        <f ca="1">IFERROR(__xludf.DUMMYFUNCTION("""COMPUTED_VALUE"""),"B12")</f>
        <v>B12</v>
      </c>
      <c r="D22" s="1" t="str">
        <f ca="1">IFERROR(__xludf.DUMMYFUNCTION("""COMPUTED_VALUE"""),"25-9")</f>
        <v>25-9</v>
      </c>
      <c r="E22" s="1" t="str">
        <f ca="1">IFERROR(__xludf.DUMMYFUNCTION("""COMPUTED_VALUE"""),"+20.06")</f>
        <v>+20.06</v>
      </c>
      <c r="F22" s="1">
        <f ca="1">IFERROR(__xludf.DUMMYFUNCTION("""COMPUTED_VALUE"""),108.4)</f>
        <v>108.4</v>
      </c>
      <c r="G22" s="1">
        <f ca="1">IFERROR(__xludf.DUMMYFUNCTION("""COMPUTED_VALUE"""),98)</f>
        <v>98</v>
      </c>
      <c r="H22" s="1">
        <f ca="1">IFERROR(__xludf.DUMMYFUNCTION("""COMPUTED_VALUE"""),88.4)</f>
        <v>88.4</v>
      </c>
      <c r="I22" s="1">
        <f ca="1">IFERROR(__xludf.DUMMYFUNCTION("""COMPUTED_VALUE"""),3)</f>
        <v>3</v>
      </c>
      <c r="J22" s="1">
        <f ca="1">IFERROR(__xludf.DUMMYFUNCTION("""COMPUTED_VALUE"""),63.4)</f>
        <v>63.4</v>
      </c>
      <c r="K22" s="1">
        <f ca="1">IFERROR(__xludf.DUMMYFUNCTION("""COMPUTED_VALUE"""),339)</f>
        <v>339</v>
      </c>
      <c r="L22" s="1" t="str">
        <f ca="1">IFERROR(__xludf.DUMMYFUNCTION("""COMPUTED_VALUE"""),"+.049")</f>
        <v>+.049</v>
      </c>
      <c r="M22" s="1">
        <f ca="1">IFERROR(__xludf.DUMMYFUNCTION("""COMPUTED_VALUE"""),65)</f>
        <v>65</v>
      </c>
      <c r="N22" s="1" t="str">
        <f ca="1">IFERROR(__xludf.DUMMYFUNCTION("""COMPUTED_VALUE"""),"+10.22")</f>
        <v>+10.22</v>
      </c>
      <c r="O22" s="1">
        <f ca="1">IFERROR(__xludf.DUMMYFUNCTION("""COMPUTED_VALUE"""),32)</f>
        <v>32</v>
      </c>
      <c r="P22" s="1">
        <f ca="1">IFERROR(__xludf.DUMMYFUNCTION("""COMPUTED_VALUE"""),109.3)</f>
        <v>109.3</v>
      </c>
      <c r="Q22" s="1">
        <f ca="1">IFERROR(__xludf.DUMMYFUNCTION("""COMPUTED_VALUE"""),31)</f>
        <v>31</v>
      </c>
      <c r="R22" s="1">
        <f ca="1">IFERROR(__xludf.DUMMYFUNCTION("""COMPUTED_VALUE"""),99.1)</f>
        <v>99.1</v>
      </c>
      <c r="S22" s="1">
        <f ca="1">IFERROR(__xludf.DUMMYFUNCTION("""COMPUTED_VALUE"""),29)</f>
        <v>29</v>
      </c>
      <c r="T22" s="1">
        <f ca="1">IFERROR(__xludf.DUMMYFUNCTION("""COMPUTED_VALUE"""),-0.96)</f>
        <v>-0.96</v>
      </c>
      <c r="U22" s="1">
        <f ca="1">IFERROR(__xludf.DUMMYFUNCTION("""COMPUTED_VALUE"""),186)</f>
        <v>186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IFERROR(__xludf.DUMMYFUNCTION("""COMPUTED_VALUE"""),"Mississippi St.5")</f>
        <v>Mississippi St.5</v>
      </c>
      <c r="C23" s="1" t="str">
        <f ca="1">IFERROR(__xludf.DUMMYFUNCTION("""COMPUTED_VALUE"""),"SEC")</f>
        <v>SEC</v>
      </c>
      <c r="D23" s="1" t="str">
        <f ca="1">IFERROR(__xludf.DUMMYFUNCTION("""COMPUTED_VALUE"""),"23-11")</f>
        <v>23-11</v>
      </c>
      <c r="E23" s="1" t="str">
        <f ca="1">IFERROR(__xludf.DUMMYFUNCTION("""COMPUTED_VALUE"""),"+20.04")</f>
        <v>+20.04</v>
      </c>
      <c r="F23" s="1">
        <f ca="1">IFERROR(__xludf.DUMMYFUNCTION("""COMPUTED_VALUE"""),117.7)</f>
        <v>117.7</v>
      </c>
      <c r="G23" s="1">
        <f ca="1">IFERROR(__xludf.DUMMYFUNCTION("""COMPUTED_VALUE"""),13)</f>
        <v>13</v>
      </c>
      <c r="H23" s="1">
        <f ca="1">IFERROR(__xludf.DUMMYFUNCTION("""COMPUTED_VALUE"""),97.6)</f>
        <v>97.6</v>
      </c>
      <c r="I23" s="1">
        <f ca="1">IFERROR(__xludf.DUMMYFUNCTION("""COMPUTED_VALUE"""),61)</f>
        <v>61</v>
      </c>
      <c r="J23" s="1">
        <f ca="1">IFERROR(__xludf.DUMMYFUNCTION("""COMPUTED_VALUE"""),67.8)</f>
        <v>67.8</v>
      </c>
      <c r="K23" s="1">
        <f ca="1">IFERROR(__xludf.DUMMYFUNCTION("""COMPUTED_VALUE"""),161)</f>
        <v>161</v>
      </c>
      <c r="L23" s="1">
        <f ca="1">IFERROR(__xludf.DUMMYFUNCTION("""COMPUTED_VALUE"""),-0.038)</f>
        <v>-3.7999999999999999E-2</v>
      </c>
      <c r="M23" s="1">
        <f ca="1">IFERROR(__xludf.DUMMYFUNCTION("""COMPUTED_VALUE"""),270)</f>
        <v>270</v>
      </c>
      <c r="N23" s="1" t="str">
        <f ca="1">IFERROR(__xludf.DUMMYFUNCTION("""COMPUTED_VALUE"""),"+10.09")</f>
        <v>+10.09</v>
      </c>
      <c r="O23" s="1">
        <f ca="1">IFERROR(__xludf.DUMMYFUNCTION("""COMPUTED_VALUE"""),34)</f>
        <v>34</v>
      </c>
      <c r="P23" s="1">
        <f ca="1">IFERROR(__xludf.DUMMYFUNCTION("""COMPUTED_VALUE"""),110.1)</f>
        <v>110.1</v>
      </c>
      <c r="Q23" s="1">
        <f ca="1">IFERROR(__xludf.DUMMYFUNCTION("""COMPUTED_VALUE"""),17)</f>
        <v>17</v>
      </c>
      <c r="R23" s="1">
        <f ca="1">IFERROR(__xludf.DUMMYFUNCTION("""COMPUTED_VALUE"""),100)</f>
        <v>100</v>
      </c>
      <c r="S23" s="1">
        <f ca="1">IFERROR(__xludf.DUMMYFUNCTION("""COMPUTED_VALUE"""),44)</f>
        <v>44</v>
      </c>
      <c r="T23" s="1" t="str">
        <f ca="1">IFERROR(__xludf.DUMMYFUNCTION("""COMPUTED_VALUE"""),"+2.22")</f>
        <v>+2.22</v>
      </c>
      <c r="U23" s="1">
        <f ca="1">IFERROR(__xludf.DUMMYFUNCTION("""COMPUTED_VALUE"""),100)</f>
        <v>100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IFERROR(__xludf.DUMMYFUNCTION("""COMPUTED_VALUE"""),"Buffalo6")</f>
        <v>Buffalo6</v>
      </c>
      <c r="C24" s="1" t="str">
        <f ca="1">IFERROR(__xludf.DUMMYFUNCTION("""COMPUTED_VALUE"""),"MAC")</f>
        <v>MAC</v>
      </c>
      <c r="D24" s="1" t="str">
        <f ca="1">IFERROR(__xludf.DUMMYFUNCTION("""COMPUTED_VALUE"""),"32-4")</f>
        <v>32-4</v>
      </c>
      <c r="E24" s="1" t="str">
        <f ca="1">IFERROR(__xludf.DUMMYFUNCTION("""COMPUTED_VALUE"""),"+19.85")</f>
        <v>+19.85</v>
      </c>
      <c r="F24" s="1">
        <f ca="1">IFERROR(__xludf.DUMMYFUNCTION("""COMPUTED_VALUE"""),115.2)</f>
        <v>115.2</v>
      </c>
      <c r="G24" s="1">
        <f ca="1">IFERROR(__xludf.DUMMYFUNCTION("""COMPUTED_VALUE"""),21)</f>
        <v>21</v>
      </c>
      <c r="H24" s="1">
        <f ca="1">IFERROR(__xludf.DUMMYFUNCTION("""COMPUTED_VALUE"""),95.4)</f>
        <v>95.4</v>
      </c>
      <c r="I24" s="1">
        <f ca="1">IFERROR(__xludf.DUMMYFUNCTION("""COMPUTED_VALUE"""),31)</f>
        <v>31</v>
      </c>
      <c r="J24" s="1">
        <f ca="1">IFERROR(__xludf.DUMMYFUNCTION("""COMPUTED_VALUE"""),73.6)</f>
        <v>73.599999999999994</v>
      </c>
      <c r="K24" s="1">
        <f ca="1">IFERROR(__xludf.DUMMYFUNCTION("""COMPUTED_VALUE"""),11)</f>
        <v>11</v>
      </c>
      <c r="L24" s="1" t="str">
        <f ca="1">IFERROR(__xludf.DUMMYFUNCTION("""COMPUTED_VALUE"""),"+.056")</f>
        <v>+.056</v>
      </c>
      <c r="M24" s="1">
        <f ca="1">IFERROR(__xludf.DUMMYFUNCTION("""COMPUTED_VALUE"""),50)</f>
        <v>50</v>
      </c>
      <c r="N24" s="1" t="str">
        <f ca="1">IFERROR(__xludf.DUMMYFUNCTION("""COMPUTED_VALUE"""),"+3.14")</f>
        <v>+3.14</v>
      </c>
      <c r="O24" s="1">
        <f ca="1">IFERROR(__xludf.DUMMYFUNCTION("""COMPUTED_VALUE"""),89)</f>
        <v>89</v>
      </c>
      <c r="P24" s="1">
        <f ca="1">IFERROR(__xludf.DUMMYFUNCTION("""COMPUTED_VALUE"""),105.5)</f>
        <v>105.5</v>
      </c>
      <c r="Q24" s="1">
        <f ca="1">IFERROR(__xludf.DUMMYFUNCTION("""COMPUTED_VALUE"""),100)</f>
        <v>100</v>
      </c>
      <c r="R24" s="1">
        <f ca="1">IFERROR(__xludf.DUMMYFUNCTION("""COMPUTED_VALUE"""),102.4)</f>
        <v>102.4</v>
      </c>
      <c r="S24" s="1">
        <f ca="1">IFERROR(__xludf.DUMMYFUNCTION("""COMPUTED_VALUE"""),82)</f>
        <v>82</v>
      </c>
      <c r="T24" s="1" t="str">
        <f ca="1">IFERROR(__xludf.DUMMYFUNCTION("""COMPUTED_VALUE"""),"+1.15")</f>
        <v>+1.15</v>
      </c>
      <c r="U24" s="1">
        <f ca="1">IFERROR(__xludf.DUMMYFUNCTION("""COMPUTED_VALUE"""),121)</f>
        <v>121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IFERROR(__xludf.DUMMYFUNCTION("""COMPUTED_VALUE"""),"Louisville7")</f>
        <v>Louisville7</v>
      </c>
      <c r="C25" s="1" t="str">
        <f ca="1">IFERROR(__xludf.DUMMYFUNCTION("""COMPUTED_VALUE"""),"ACC")</f>
        <v>ACC</v>
      </c>
      <c r="D25" s="1" t="str">
        <f ca="1">IFERROR(__xludf.DUMMYFUNCTION("""COMPUTED_VALUE"""),"20-14")</f>
        <v>20-14</v>
      </c>
      <c r="E25" s="1" t="str">
        <f ca="1">IFERROR(__xludf.DUMMYFUNCTION("""COMPUTED_VALUE"""),"+19.35")</f>
        <v>+19.35</v>
      </c>
      <c r="F25" s="1">
        <f ca="1">IFERROR(__xludf.DUMMYFUNCTION("""COMPUTED_VALUE"""),113.7)</f>
        <v>113.7</v>
      </c>
      <c r="G25" s="1">
        <f ca="1">IFERROR(__xludf.DUMMYFUNCTION("""COMPUTED_VALUE"""),28)</f>
        <v>28</v>
      </c>
      <c r="H25" s="1">
        <f ca="1">IFERROR(__xludf.DUMMYFUNCTION("""COMPUTED_VALUE"""),94.4)</f>
        <v>94.4</v>
      </c>
      <c r="I25" s="1">
        <f ca="1">IFERROR(__xludf.DUMMYFUNCTION("""COMPUTED_VALUE"""),24)</f>
        <v>24</v>
      </c>
      <c r="J25" s="1">
        <f ca="1">IFERROR(__xludf.DUMMYFUNCTION("""COMPUTED_VALUE"""),67.2)</f>
        <v>67.2</v>
      </c>
      <c r="K25" s="1">
        <f ca="1">IFERROR(__xludf.DUMMYFUNCTION("""COMPUTED_VALUE"""),199)</f>
        <v>199</v>
      </c>
      <c r="L25" s="1">
        <f ca="1">IFERROR(__xludf.DUMMYFUNCTION("""COMPUTED_VALUE"""),-0.06)</f>
        <v>-0.06</v>
      </c>
      <c r="M25" s="1">
        <f ca="1">IFERROR(__xludf.DUMMYFUNCTION("""COMPUTED_VALUE"""),309)</f>
        <v>309</v>
      </c>
      <c r="N25" s="1" t="str">
        <f ca="1">IFERROR(__xludf.DUMMYFUNCTION("""COMPUTED_VALUE"""),"+11.95")</f>
        <v>+11.95</v>
      </c>
      <c r="O25" s="1">
        <f ca="1">IFERROR(__xludf.DUMMYFUNCTION("""COMPUTED_VALUE"""),16)</f>
        <v>16</v>
      </c>
      <c r="P25" s="1">
        <f ca="1">IFERROR(__xludf.DUMMYFUNCTION("""COMPUTED_VALUE"""),110.4)</f>
        <v>110.4</v>
      </c>
      <c r="Q25" s="1">
        <f ca="1">IFERROR(__xludf.DUMMYFUNCTION("""COMPUTED_VALUE"""),10)</f>
        <v>10</v>
      </c>
      <c r="R25" s="1">
        <f ca="1">IFERROR(__xludf.DUMMYFUNCTION("""COMPUTED_VALUE"""),98.4)</f>
        <v>98.4</v>
      </c>
      <c r="S25" s="1">
        <f ca="1">IFERROR(__xludf.DUMMYFUNCTION("""COMPUTED_VALUE"""),19)</f>
        <v>19</v>
      </c>
      <c r="T25" s="1" t="str">
        <f ca="1">IFERROR(__xludf.DUMMYFUNCTION("""COMPUTED_VALUE"""),"+5.36")</f>
        <v>+5.36</v>
      </c>
      <c r="U25" s="1">
        <f ca="1">IFERROR(__xludf.DUMMYFUNCTION("""COMPUTED_VALUE"""),32)</f>
        <v>32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IFERROR(__xludf.DUMMYFUNCTION("""COMPUTED_VALUE"""),"Maryland6")</f>
        <v>Maryland6</v>
      </c>
      <c r="C26" s="1" t="str">
        <f ca="1">IFERROR(__xludf.DUMMYFUNCTION("""COMPUTED_VALUE"""),"B10")</f>
        <v>B10</v>
      </c>
      <c r="D26" s="1" t="str">
        <f ca="1">IFERROR(__xludf.DUMMYFUNCTION("""COMPUTED_VALUE"""),"23-11")</f>
        <v>23-11</v>
      </c>
      <c r="E26" s="1" t="str">
        <f ca="1">IFERROR(__xludf.DUMMYFUNCTION("""COMPUTED_VALUE"""),"+19.29")</f>
        <v>+19.29</v>
      </c>
      <c r="F26" s="1">
        <f ca="1">IFERROR(__xludf.DUMMYFUNCTION("""COMPUTED_VALUE"""),113.4)</f>
        <v>113.4</v>
      </c>
      <c r="G26" s="1">
        <f ca="1">IFERROR(__xludf.DUMMYFUNCTION("""COMPUTED_VALUE"""),31)</f>
        <v>31</v>
      </c>
      <c r="H26" s="1">
        <f ca="1">IFERROR(__xludf.DUMMYFUNCTION("""COMPUTED_VALUE"""),94.1)</f>
        <v>94.1</v>
      </c>
      <c r="I26" s="1">
        <f ca="1">IFERROR(__xludf.DUMMYFUNCTION("""COMPUTED_VALUE"""),21)</f>
        <v>21</v>
      </c>
      <c r="J26" s="1">
        <f ca="1">IFERROR(__xludf.DUMMYFUNCTION("""COMPUTED_VALUE"""),66)</f>
        <v>66</v>
      </c>
      <c r="K26" s="1">
        <f ca="1">IFERROR(__xludf.DUMMYFUNCTION("""COMPUTED_VALUE"""),264)</f>
        <v>264</v>
      </c>
      <c r="L26" s="1">
        <f ca="1">IFERROR(__xludf.DUMMYFUNCTION("""COMPUTED_VALUE"""),-0.004)</f>
        <v>-4.0000000000000001E-3</v>
      </c>
      <c r="M26" s="1">
        <f ca="1">IFERROR(__xludf.DUMMYFUNCTION("""COMPUTED_VALUE"""),189)</f>
        <v>189</v>
      </c>
      <c r="N26" s="1" t="str">
        <f ca="1">IFERROR(__xludf.DUMMYFUNCTION("""COMPUTED_VALUE"""),"+10.75")</f>
        <v>+10.75</v>
      </c>
      <c r="O26" s="1">
        <f ca="1">IFERROR(__xludf.DUMMYFUNCTION("""COMPUTED_VALUE"""),24)</f>
        <v>24</v>
      </c>
      <c r="P26" s="1">
        <f ca="1">IFERROR(__xludf.DUMMYFUNCTION("""COMPUTED_VALUE"""),109.8)</f>
        <v>109.8</v>
      </c>
      <c r="Q26" s="1">
        <f ca="1">IFERROR(__xludf.DUMMYFUNCTION("""COMPUTED_VALUE"""),18)</f>
        <v>18</v>
      </c>
      <c r="R26" s="1">
        <f ca="1">IFERROR(__xludf.DUMMYFUNCTION("""COMPUTED_VALUE"""),99.1)</f>
        <v>99.1</v>
      </c>
      <c r="S26" s="1">
        <f ca="1">IFERROR(__xludf.DUMMYFUNCTION("""COMPUTED_VALUE"""),30)</f>
        <v>30</v>
      </c>
      <c r="T26" s="1">
        <f ca="1">IFERROR(__xludf.DUMMYFUNCTION("""COMPUTED_VALUE"""),-4.92)</f>
        <v>-4.92</v>
      </c>
      <c r="U26" s="1">
        <f ca="1">IFERROR(__xludf.DUMMYFUNCTION("""COMPUTED_VALUE"""),299)</f>
        <v>299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IFERROR(__xludf.DUMMYFUNCTION("""COMPUTED_VALUE"""),"Texas2")</f>
        <v>Texas2</v>
      </c>
      <c r="C27" s="1" t="str">
        <f ca="1">IFERROR(__xludf.DUMMYFUNCTION("""COMPUTED_VALUE"""),"B12")</f>
        <v>B12</v>
      </c>
      <c r="D27" s="1" t="str">
        <f ca="1">IFERROR(__xludf.DUMMYFUNCTION("""COMPUTED_VALUE"""),"21-16")</f>
        <v>21-16</v>
      </c>
      <c r="E27" s="1" t="str">
        <f ca="1">IFERROR(__xludf.DUMMYFUNCTION("""COMPUTED_VALUE"""),"+19.11")</f>
        <v>+19.11</v>
      </c>
      <c r="F27" s="1">
        <f ca="1">IFERROR(__xludf.DUMMYFUNCTION("""COMPUTED_VALUE"""),113.5)</f>
        <v>113.5</v>
      </c>
      <c r="G27" s="1">
        <f ca="1">IFERROR(__xludf.DUMMYFUNCTION("""COMPUTED_VALUE"""),29)</f>
        <v>29</v>
      </c>
      <c r="H27" s="1">
        <f ca="1">IFERROR(__xludf.DUMMYFUNCTION("""COMPUTED_VALUE"""),94.4)</f>
        <v>94.4</v>
      </c>
      <c r="I27" s="1">
        <f ca="1">IFERROR(__xludf.DUMMYFUNCTION("""COMPUTED_VALUE"""),26)</f>
        <v>26</v>
      </c>
      <c r="J27" s="1">
        <f ca="1">IFERROR(__xludf.DUMMYFUNCTION("""COMPUTED_VALUE"""),64.7)</f>
        <v>64.7</v>
      </c>
      <c r="K27" s="1">
        <f ca="1">IFERROR(__xludf.DUMMYFUNCTION("""COMPUTED_VALUE"""),320)</f>
        <v>320</v>
      </c>
      <c r="L27" s="1">
        <f ca="1">IFERROR(__xludf.DUMMYFUNCTION("""COMPUTED_VALUE"""),-0.08)</f>
        <v>-0.08</v>
      </c>
      <c r="M27" s="1">
        <f ca="1">IFERROR(__xludf.DUMMYFUNCTION("""COMPUTED_VALUE"""),332)</f>
        <v>332</v>
      </c>
      <c r="N27" s="1" t="str">
        <f ca="1">IFERROR(__xludf.DUMMYFUNCTION("""COMPUTED_VALUE"""),"+11.96")</f>
        <v>+11.96</v>
      </c>
      <c r="O27" s="1">
        <f ca="1">IFERROR(__xludf.DUMMYFUNCTION("""COMPUTED_VALUE"""),15)</f>
        <v>15</v>
      </c>
      <c r="P27" s="1">
        <f ca="1">IFERROR(__xludf.DUMMYFUNCTION("""COMPUTED_VALUE"""),110.3)</f>
        <v>110.3</v>
      </c>
      <c r="Q27" s="1">
        <f ca="1">IFERROR(__xludf.DUMMYFUNCTION("""COMPUTED_VALUE"""),12)</f>
        <v>12</v>
      </c>
      <c r="R27" s="1">
        <f ca="1">IFERROR(__xludf.DUMMYFUNCTION("""COMPUTED_VALUE"""),98.3)</f>
        <v>98.3</v>
      </c>
      <c r="S27" s="1">
        <f ca="1">IFERROR(__xludf.DUMMYFUNCTION("""COMPUTED_VALUE"""),17)</f>
        <v>17</v>
      </c>
      <c r="T27" s="1" t="str">
        <f ca="1">IFERROR(__xludf.DUMMYFUNCTION("""COMPUTED_VALUE"""),"+4.98")</f>
        <v>+4.98</v>
      </c>
      <c r="U27" s="1">
        <f ca="1">IFERROR(__xludf.DUMMYFUNCTION("""COMPUTED_VALUE"""),41)</f>
        <v>41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IFERROR(__xludf.DUMMYFUNCTION("""COMPUTED_VALUE"""),"Florida10")</f>
        <v>Florida10</v>
      </c>
      <c r="C28" s="1" t="str">
        <f ca="1">IFERROR(__xludf.DUMMYFUNCTION("""COMPUTED_VALUE"""),"SEC")</f>
        <v>SEC</v>
      </c>
      <c r="D28" s="1" t="str">
        <f ca="1">IFERROR(__xludf.DUMMYFUNCTION("""COMPUTED_VALUE"""),"20-16")</f>
        <v>20-16</v>
      </c>
      <c r="E28" s="1" t="str">
        <f ca="1">IFERROR(__xludf.DUMMYFUNCTION("""COMPUTED_VALUE"""),"+18.30")</f>
        <v>+18.30</v>
      </c>
      <c r="F28" s="1">
        <f ca="1">IFERROR(__xludf.DUMMYFUNCTION("""COMPUTED_VALUE"""),110.5)</f>
        <v>110.5</v>
      </c>
      <c r="G28" s="1">
        <f ca="1">IFERROR(__xludf.DUMMYFUNCTION("""COMPUTED_VALUE"""),61)</f>
        <v>61</v>
      </c>
      <c r="H28" s="1">
        <f ca="1">IFERROR(__xludf.DUMMYFUNCTION("""COMPUTED_VALUE"""),92.2)</f>
        <v>92.2</v>
      </c>
      <c r="I28" s="1">
        <f ca="1">IFERROR(__xludf.DUMMYFUNCTION("""COMPUTED_VALUE"""),16)</f>
        <v>16</v>
      </c>
      <c r="J28" s="1">
        <f ca="1">IFERROR(__xludf.DUMMYFUNCTION("""COMPUTED_VALUE"""),62.9)</f>
        <v>62.9</v>
      </c>
      <c r="K28" s="1">
        <f ca="1">IFERROR(__xludf.DUMMYFUNCTION("""COMPUTED_VALUE"""),344)</f>
        <v>344</v>
      </c>
      <c r="L28" s="1">
        <f ca="1">IFERROR(__xludf.DUMMYFUNCTION("""COMPUTED_VALUE"""),-0.063)</f>
        <v>-6.3E-2</v>
      </c>
      <c r="M28" s="1">
        <f ca="1">IFERROR(__xludf.DUMMYFUNCTION("""COMPUTED_VALUE"""),315)</f>
        <v>315</v>
      </c>
      <c r="N28" s="1" t="str">
        <f ca="1">IFERROR(__xludf.DUMMYFUNCTION("""COMPUTED_VALUE"""),"+12.00")</f>
        <v>+12.00</v>
      </c>
      <c r="O28" s="1">
        <f ca="1">IFERROR(__xludf.DUMMYFUNCTION("""COMPUTED_VALUE"""),14)</f>
        <v>14</v>
      </c>
      <c r="P28" s="1">
        <f ca="1">IFERROR(__xludf.DUMMYFUNCTION("""COMPUTED_VALUE"""),110.7)</f>
        <v>110.7</v>
      </c>
      <c r="Q28" s="1">
        <f ca="1">IFERROR(__xludf.DUMMYFUNCTION("""COMPUTED_VALUE"""),6)</f>
        <v>6</v>
      </c>
      <c r="R28" s="1">
        <f ca="1">IFERROR(__xludf.DUMMYFUNCTION("""COMPUTED_VALUE"""),98.7)</f>
        <v>98.7</v>
      </c>
      <c r="S28" s="1">
        <f ca="1">IFERROR(__xludf.DUMMYFUNCTION("""COMPUTED_VALUE"""),23)</f>
        <v>23</v>
      </c>
      <c r="T28" s="1" t="str">
        <f ca="1">IFERROR(__xludf.DUMMYFUNCTION("""COMPUTED_VALUE"""),"+5.12")</f>
        <v>+5.12</v>
      </c>
      <c r="U28" s="1">
        <f ca="1">IFERROR(__xludf.DUMMYFUNCTION("""COMPUTED_VALUE"""),39)</f>
        <v>39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IFERROR(__xludf.DUMMYFUNCTION("""COMPUTED_VALUE"""),"Nevada7")</f>
        <v>Nevada7</v>
      </c>
      <c r="C29" s="1" t="str">
        <f ca="1">IFERROR(__xludf.DUMMYFUNCTION("""COMPUTED_VALUE"""),"MWC")</f>
        <v>MWC</v>
      </c>
      <c r="D29" s="1" t="str">
        <f ca="1">IFERROR(__xludf.DUMMYFUNCTION("""COMPUTED_VALUE"""),"29-5")</f>
        <v>29-5</v>
      </c>
      <c r="E29" s="1" t="str">
        <f ca="1">IFERROR(__xludf.DUMMYFUNCTION("""COMPUTED_VALUE"""),"+18.18")</f>
        <v>+18.18</v>
      </c>
      <c r="F29" s="1">
        <f ca="1">IFERROR(__xludf.DUMMYFUNCTION("""COMPUTED_VALUE"""),114)</f>
        <v>114</v>
      </c>
      <c r="G29" s="1">
        <f ca="1">IFERROR(__xludf.DUMMYFUNCTION("""COMPUTED_VALUE"""),26)</f>
        <v>26</v>
      </c>
      <c r="H29" s="1">
        <f ca="1">IFERROR(__xludf.DUMMYFUNCTION("""COMPUTED_VALUE"""),95.9)</f>
        <v>95.9</v>
      </c>
      <c r="I29" s="1">
        <f ca="1">IFERROR(__xludf.DUMMYFUNCTION("""COMPUTED_VALUE"""),35)</f>
        <v>35</v>
      </c>
      <c r="J29" s="1">
        <f ca="1">IFERROR(__xludf.DUMMYFUNCTION("""COMPUTED_VALUE"""),69.3)</f>
        <v>69.3</v>
      </c>
      <c r="K29" s="1">
        <f ca="1">IFERROR(__xludf.DUMMYFUNCTION("""COMPUTED_VALUE"""),91)</f>
        <v>91</v>
      </c>
      <c r="L29" s="1" t="str">
        <f ca="1">IFERROR(__xludf.DUMMYFUNCTION("""COMPUTED_VALUE"""),"+.033")</f>
        <v>+.033</v>
      </c>
      <c r="M29" s="1">
        <f ca="1">IFERROR(__xludf.DUMMYFUNCTION("""COMPUTED_VALUE"""),99)</f>
        <v>99</v>
      </c>
      <c r="N29" s="1" t="str">
        <f ca="1">IFERROR(__xludf.DUMMYFUNCTION("""COMPUTED_VALUE"""),"+1.42")</f>
        <v>+1.42</v>
      </c>
      <c r="O29" s="1">
        <f ca="1">IFERROR(__xludf.DUMMYFUNCTION("""COMPUTED_VALUE"""),103)</f>
        <v>103</v>
      </c>
      <c r="P29" s="1">
        <f ca="1">IFERROR(__xludf.DUMMYFUNCTION("""COMPUTED_VALUE"""),105.4)</f>
        <v>105.4</v>
      </c>
      <c r="Q29" s="1">
        <f ca="1">IFERROR(__xludf.DUMMYFUNCTION("""COMPUTED_VALUE"""),111)</f>
        <v>111</v>
      </c>
      <c r="R29" s="1">
        <f ca="1">IFERROR(__xludf.DUMMYFUNCTION("""COMPUTED_VALUE"""),103.9)</f>
        <v>103.9</v>
      </c>
      <c r="S29" s="1">
        <f ca="1">IFERROR(__xludf.DUMMYFUNCTION("""COMPUTED_VALUE"""),130)</f>
        <v>130</v>
      </c>
      <c r="T29" s="1" t="str">
        <f ca="1">IFERROR(__xludf.DUMMYFUNCTION("""COMPUTED_VALUE"""),"+1.79")</f>
        <v>+1.79</v>
      </c>
      <c r="U29" s="1">
        <f ca="1">IFERROR(__xludf.DUMMYFUNCTION("""COMPUTED_VALUE"""),106)</f>
        <v>106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IFERROR(__xludf.DUMMYFUNCTION("""COMPUTED_VALUE"""),"Oregon12")</f>
        <v>Oregon12</v>
      </c>
      <c r="C30" s="1" t="str">
        <f ca="1">IFERROR(__xludf.DUMMYFUNCTION("""COMPUTED_VALUE"""),"P12")</f>
        <v>P12</v>
      </c>
      <c r="D30" s="1" t="str">
        <f ca="1">IFERROR(__xludf.DUMMYFUNCTION("""COMPUTED_VALUE"""),"25-13")</f>
        <v>25-13</v>
      </c>
      <c r="E30" s="1" t="str">
        <f ca="1">IFERROR(__xludf.DUMMYFUNCTION("""COMPUTED_VALUE"""),"+17.86")</f>
        <v>+17.86</v>
      </c>
      <c r="F30" s="1">
        <f ca="1">IFERROR(__xludf.DUMMYFUNCTION("""COMPUTED_VALUE"""),109.5)</f>
        <v>109.5</v>
      </c>
      <c r="G30" s="1">
        <f ca="1">IFERROR(__xludf.DUMMYFUNCTION("""COMPUTED_VALUE"""),74)</f>
        <v>74</v>
      </c>
      <c r="H30" s="1">
        <f ca="1">IFERROR(__xludf.DUMMYFUNCTION("""COMPUTED_VALUE"""),91.7)</f>
        <v>91.7</v>
      </c>
      <c r="I30" s="1">
        <f ca="1">IFERROR(__xludf.DUMMYFUNCTION("""COMPUTED_VALUE"""),13)</f>
        <v>13</v>
      </c>
      <c r="J30" s="1">
        <f ca="1">IFERROR(__xludf.DUMMYFUNCTION("""COMPUTED_VALUE"""),64.2)</f>
        <v>64.2</v>
      </c>
      <c r="K30" s="1">
        <f ca="1">IFERROR(__xludf.DUMMYFUNCTION("""COMPUTED_VALUE"""),328)</f>
        <v>328</v>
      </c>
      <c r="L30" s="1">
        <f ca="1">IFERROR(__xludf.DUMMYFUNCTION("""COMPUTED_VALUE"""),-0.048)</f>
        <v>-4.8000000000000001E-2</v>
      </c>
      <c r="M30" s="1">
        <f ca="1">IFERROR(__xludf.DUMMYFUNCTION("""COMPUTED_VALUE"""),292)</f>
        <v>292</v>
      </c>
      <c r="N30" s="1" t="str">
        <f ca="1">IFERROR(__xludf.DUMMYFUNCTION("""COMPUTED_VALUE"""),"+5.47")</f>
        <v>+5.47</v>
      </c>
      <c r="O30" s="1">
        <f ca="1">IFERROR(__xludf.DUMMYFUNCTION("""COMPUTED_VALUE"""),66)</f>
        <v>66</v>
      </c>
      <c r="P30" s="1">
        <f ca="1">IFERROR(__xludf.DUMMYFUNCTION("""COMPUTED_VALUE"""),107.7)</f>
        <v>107.7</v>
      </c>
      <c r="Q30" s="1">
        <f ca="1">IFERROR(__xludf.DUMMYFUNCTION("""COMPUTED_VALUE"""),59)</f>
        <v>59</v>
      </c>
      <c r="R30" s="1">
        <f ca="1">IFERROR(__xludf.DUMMYFUNCTION("""COMPUTED_VALUE"""),102.3)</f>
        <v>102.3</v>
      </c>
      <c r="S30" s="1">
        <f ca="1">IFERROR(__xludf.DUMMYFUNCTION("""COMPUTED_VALUE"""),78)</f>
        <v>78</v>
      </c>
      <c r="T30" s="1" t="str">
        <f ca="1">IFERROR(__xludf.DUMMYFUNCTION("""COMPUTED_VALUE"""),"+0.43")</f>
        <v>+0.43</v>
      </c>
      <c r="U30" s="1">
        <f ca="1">IFERROR(__xludf.DUMMYFUNCTION("""COMPUTED_VALUE"""),145)</f>
        <v>145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IFERROR(__xludf.DUMMYFUNCTION("""COMPUTED_VALUE"""),"Cincinnati7")</f>
        <v>Cincinnati7</v>
      </c>
      <c r="C31" s="1" t="str">
        <f ca="1">IFERROR(__xludf.DUMMYFUNCTION("""COMPUTED_VALUE"""),"Amer")</f>
        <v>Amer</v>
      </c>
      <c r="D31" s="1" t="str">
        <f ca="1">IFERROR(__xludf.DUMMYFUNCTION("""COMPUTED_VALUE"""),"28-7")</f>
        <v>28-7</v>
      </c>
      <c r="E31" s="1" t="str">
        <f ca="1">IFERROR(__xludf.DUMMYFUNCTION("""COMPUTED_VALUE"""),"+17.50")</f>
        <v>+17.50</v>
      </c>
      <c r="F31" s="1">
        <f ca="1">IFERROR(__xludf.DUMMYFUNCTION("""COMPUTED_VALUE"""),112.3)</f>
        <v>112.3</v>
      </c>
      <c r="G31" s="1">
        <f ca="1">IFERROR(__xludf.DUMMYFUNCTION("""COMPUTED_VALUE"""),42)</f>
        <v>42</v>
      </c>
      <c r="H31" s="1">
        <f ca="1">IFERROR(__xludf.DUMMYFUNCTION("""COMPUTED_VALUE"""),94.8)</f>
        <v>94.8</v>
      </c>
      <c r="I31" s="1">
        <f ca="1">IFERROR(__xludf.DUMMYFUNCTION("""COMPUTED_VALUE"""),28)</f>
        <v>28</v>
      </c>
      <c r="J31" s="1">
        <f ca="1">IFERROR(__xludf.DUMMYFUNCTION("""COMPUTED_VALUE"""),63.4)</f>
        <v>63.4</v>
      </c>
      <c r="K31" s="1">
        <f ca="1">IFERROR(__xludf.DUMMYFUNCTION("""COMPUTED_VALUE"""),338)</f>
        <v>338</v>
      </c>
      <c r="L31" s="1" t="str">
        <f ca="1">IFERROR(__xludf.DUMMYFUNCTION("""COMPUTED_VALUE"""),"+.050")</f>
        <v>+.050</v>
      </c>
      <c r="M31" s="1">
        <f ca="1">IFERROR(__xludf.DUMMYFUNCTION("""COMPUTED_VALUE"""),64)</f>
        <v>64</v>
      </c>
      <c r="N31" s="1" t="str">
        <f ca="1">IFERROR(__xludf.DUMMYFUNCTION("""COMPUTED_VALUE"""),"+5.12")</f>
        <v>+5.12</v>
      </c>
      <c r="O31" s="1">
        <f ca="1">IFERROR(__xludf.DUMMYFUNCTION("""COMPUTED_VALUE"""),67)</f>
        <v>67</v>
      </c>
      <c r="P31" s="1">
        <f ca="1">IFERROR(__xludf.DUMMYFUNCTION("""COMPUTED_VALUE"""),107.1)</f>
        <v>107.1</v>
      </c>
      <c r="Q31" s="1">
        <f ca="1">IFERROR(__xludf.DUMMYFUNCTION("""COMPUTED_VALUE"""),66)</f>
        <v>66</v>
      </c>
      <c r="R31" s="1">
        <f ca="1">IFERROR(__xludf.DUMMYFUNCTION("""COMPUTED_VALUE"""),102)</f>
        <v>102</v>
      </c>
      <c r="S31" s="1">
        <f ca="1">IFERROR(__xludf.DUMMYFUNCTION("""COMPUTED_VALUE"""),73)</f>
        <v>73</v>
      </c>
      <c r="T31" s="1">
        <f ca="1">IFERROR(__xludf.DUMMYFUNCTION("""COMPUTED_VALUE"""),-2.85)</f>
        <v>-2.85</v>
      </c>
      <c r="U31" s="1">
        <f ca="1">IFERROR(__xludf.DUMMYFUNCTION("""COMPUTED_VALUE"""),243)</f>
        <v>243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IFERROR(__xludf.DUMMYFUNCTION("""COMPUTED_VALUE"""),"Villanova6")</f>
        <v>Villanova6</v>
      </c>
      <c r="C32" s="1" t="str">
        <f ca="1">IFERROR(__xludf.DUMMYFUNCTION("""COMPUTED_VALUE"""),"BE")</f>
        <v>BE</v>
      </c>
      <c r="D32" s="1" t="str">
        <f ca="1">IFERROR(__xludf.DUMMYFUNCTION("""COMPUTED_VALUE"""),"26-10")</f>
        <v>26-10</v>
      </c>
      <c r="E32" s="1" t="str">
        <f ca="1">IFERROR(__xludf.DUMMYFUNCTION("""COMPUTED_VALUE"""),"+17.33")</f>
        <v>+17.33</v>
      </c>
      <c r="F32" s="1">
        <f ca="1">IFERROR(__xludf.DUMMYFUNCTION("""COMPUTED_VALUE"""),116.5)</f>
        <v>116.5</v>
      </c>
      <c r="G32" s="1">
        <f ca="1">IFERROR(__xludf.DUMMYFUNCTION("""COMPUTED_VALUE"""),16)</f>
        <v>16</v>
      </c>
      <c r="H32" s="1">
        <f ca="1">IFERROR(__xludf.DUMMYFUNCTION("""COMPUTED_VALUE"""),99.2)</f>
        <v>99.2</v>
      </c>
      <c r="I32" s="1">
        <f ca="1">IFERROR(__xludf.DUMMYFUNCTION("""COMPUTED_VALUE"""),81)</f>
        <v>81</v>
      </c>
      <c r="J32" s="1">
        <f ca="1">IFERROR(__xludf.DUMMYFUNCTION("""COMPUTED_VALUE"""),63.6)</f>
        <v>63.6</v>
      </c>
      <c r="K32" s="1">
        <f ca="1">IFERROR(__xludf.DUMMYFUNCTION("""COMPUTED_VALUE"""),335)</f>
        <v>335</v>
      </c>
      <c r="L32" s="1" t="str">
        <f ca="1">IFERROR(__xludf.DUMMYFUNCTION("""COMPUTED_VALUE"""),"+.044")</f>
        <v>+.044</v>
      </c>
      <c r="M32" s="1">
        <f ca="1">IFERROR(__xludf.DUMMYFUNCTION("""COMPUTED_VALUE"""),73)</f>
        <v>73</v>
      </c>
      <c r="N32" s="1" t="str">
        <f ca="1">IFERROR(__xludf.DUMMYFUNCTION("""COMPUTED_VALUE"""),"+8.00")</f>
        <v>+8.00</v>
      </c>
      <c r="O32" s="1">
        <f ca="1">IFERROR(__xludf.DUMMYFUNCTION("""COMPUTED_VALUE"""),51)</f>
        <v>51</v>
      </c>
      <c r="P32" s="1">
        <f ca="1">IFERROR(__xludf.DUMMYFUNCTION("""COMPUTED_VALUE"""),108.8)</f>
        <v>108.8</v>
      </c>
      <c r="Q32" s="1">
        <f ca="1">IFERROR(__xludf.DUMMYFUNCTION("""COMPUTED_VALUE"""),44)</f>
        <v>44</v>
      </c>
      <c r="R32" s="1">
        <f ca="1">IFERROR(__xludf.DUMMYFUNCTION("""COMPUTED_VALUE"""),100.8)</f>
        <v>100.8</v>
      </c>
      <c r="S32" s="1">
        <f ca="1">IFERROR(__xludf.DUMMYFUNCTION("""COMPUTED_VALUE"""),55)</f>
        <v>55</v>
      </c>
      <c r="T32" s="1" t="str">
        <f ca="1">IFERROR(__xludf.DUMMYFUNCTION("""COMPUTED_VALUE"""),"+3.32")</f>
        <v>+3.32</v>
      </c>
      <c r="U32" s="1">
        <f ca="1">IFERROR(__xludf.DUMMYFUNCTION("""COMPUTED_VALUE"""),78)</f>
        <v>78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IFERROR(__xludf.DUMMYFUNCTION("""COMPUTED_VALUE"""),"Saint Mary's11")</f>
        <v>Saint Mary's11</v>
      </c>
      <c r="C33" s="1" t="str">
        <f ca="1">IFERROR(__xludf.DUMMYFUNCTION("""COMPUTED_VALUE"""),"WCC")</f>
        <v>WCC</v>
      </c>
      <c r="D33" s="1" t="str">
        <f ca="1">IFERROR(__xludf.DUMMYFUNCTION("""COMPUTED_VALUE"""),"22-12")</f>
        <v>22-12</v>
      </c>
      <c r="E33" s="1" t="str">
        <f ca="1">IFERROR(__xludf.DUMMYFUNCTION("""COMPUTED_VALUE"""),"+17.31")</f>
        <v>+17.31</v>
      </c>
      <c r="F33" s="1">
        <f ca="1">IFERROR(__xludf.DUMMYFUNCTION("""COMPUTED_VALUE"""),114.7)</f>
        <v>114.7</v>
      </c>
      <c r="G33" s="1">
        <f ca="1">IFERROR(__xludf.DUMMYFUNCTION("""COMPUTED_VALUE"""),23)</f>
        <v>23</v>
      </c>
      <c r="H33" s="1">
        <f ca="1">IFERROR(__xludf.DUMMYFUNCTION("""COMPUTED_VALUE"""),97.4)</f>
        <v>97.4</v>
      </c>
      <c r="I33" s="1">
        <f ca="1">IFERROR(__xludf.DUMMYFUNCTION("""COMPUTED_VALUE"""),55)</f>
        <v>55</v>
      </c>
      <c r="J33" s="1">
        <f ca="1">IFERROR(__xludf.DUMMYFUNCTION("""COMPUTED_VALUE"""),62.7)</f>
        <v>62.7</v>
      </c>
      <c r="K33" s="1">
        <f ca="1">IFERROR(__xludf.DUMMYFUNCTION("""COMPUTED_VALUE"""),348)</f>
        <v>348</v>
      </c>
      <c r="L33" s="1">
        <f ca="1">IFERROR(__xludf.DUMMYFUNCTION("""COMPUTED_VALUE"""),-0.045)</f>
        <v>-4.4999999999999998E-2</v>
      </c>
      <c r="M33" s="1">
        <f ca="1">IFERROR(__xludf.DUMMYFUNCTION("""COMPUTED_VALUE"""),285)</f>
        <v>285</v>
      </c>
      <c r="N33" s="1" t="str">
        <f ca="1">IFERROR(__xludf.DUMMYFUNCTION("""COMPUTED_VALUE"""),"+3.66")</f>
        <v>+3.66</v>
      </c>
      <c r="O33" s="1">
        <f ca="1">IFERROR(__xludf.DUMMYFUNCTION("""COMPUTED_VALUE"""),82)</f>
        <v>82</v>
      </c>
      <c r="P33" s="1">
        <f ca="1">IFERROR(__xludf.DUMMYFUNCTION("""COMPUTED_VALUE"""),106.6)</f>
        <v>106.6</v>
      </c>
      <c r="Q33" s="1">
        <f ca="1">IFERROR(__xludf.DUMMYFUNCTION("""COMPUTED_VALUE"""),76)</f>
        <v>76</v>
      </c>
      <c r="R33" s="1">
        <f ca="1">IFERROR(__xludf.DUMMYFUNCTION("""COMPUTED_VALUE"""),103)</f>
        <v>103</v>
      </c>
      <c r="S33" s="1">
        <f ca="1">IFERROR(__xludf.DUMMYFUNCTION("""COMPUTED_VALUE"""),100)</f>
        <v>100</v>
      </c>
      <c r="T33" s="1">
        <f ca="1">IFERROR(__xludf.DUMMYFUNCTION("""COMPUTED_VALUE"""),-0.9)</f>
        <v>-0.9</v>
      </c>
      <c r="U33" s="1">
        <f ca="1">IFERROR(__xludf.DUMMYFUNCTION("""COMPUTED_VALUE"""),183)</f>
        <v>183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IFERROR(__xludf.DUMMYFUNCTION("""COMPUTED_VALUE"""),"Oklahoma9")</f>
        <v>Oklahoma9</v>
      </c>
      <c r="C34" s="1" t="str">
        <f ca="1">IFERROR(__xludf.DUMMYFUNCTION("""COMPUTED_VALUE"""),"B12")</f>
        <v>B12</v>
      </c>
      <c r="D34" s="1" t="str">
        <f ca="1">IFERROR(__xludf.DUMMYFUNCTION("""COMPUTED_VALUE"""),"20-14")</f>
        <v>20-14</v>
      </c>
      <c r="E34" s="1" t="str">
        <f ca="1">IFERROR(__xludf.DUMMYFUNCTION("""COMPUTED_VALUE"""),"+16.94")</f>
        <v>+16.94</v>
      </c>
      <c r="F34" s="1">
        <f ca="1">IFERROR(__xludf.DUMMYFUNCTION("""COMPUTED_VALUE"""),111.1)</f>
        <v>111.1</v>
      </c>
      <c r="G34" s="1">
        <f ca="1">IFERROR(__xludf.DUMMYFUNCTION("""COMPUTED_VALUE"""),57)</f>
        <v>57</v>
      </c>
      <c r="H34" s="1">
        <f ca="1">IFERROR(__xludf.DUMMYFUNCTION("""COMPUTED_VALUE"""),94.1)</f>
        <v>94.1</v>
      </c>
      <c r="I34" s="1">
        <f ca="1">IFERROR(__xludf.DUMMYFUNCTION("""COMPUTED_VALUE"""),23)</f>
        <v>23</v>
      </c>
      <c r="J34" s="1">
        <f ca="1">IFERROR(__xludf.DUMMYFUNCTION("""COMPUTED_VALUE"""),68.6)</f>
        <v>68.599999999999994</v>
      </c>
      <c r="K34" s="1">
        <f ca="1">IFERROR(__xludf.DUMMYFUNCTION("""COMPUTED_VALUE"""),123)</f>
        <v>123</v>
      </c>
      <c r="L34" s="1" t="str">
        <f ca="1">IFERROR(__xludf.DUMMYFUNCTION("""COMPUTED_VALUE"""),"+.023")</f>
        <v>+.023</v>
      </c>
      <c r="M34" s="1">
        <f ca="1">IFERROR(__xludf.DUMMYFUNCTION("""COMPUTED_VALUE"""),119)</f>
        <v>119</v>
      </c>
      <c r="N34" s="1" t="str">
        <f ca="1">IFERROR(__xludf.DUMMYFUNCTION("""COMPUTED_VALUE"""),"+13.27")</f>
        <v>+13.27</v>
      </c>
      <c r="O34" s="1">
        <f ca="1">IFERROR(__xludf.DUMMYFUNCTION("""COMPUTED_VALUE"""),3)</f>
        <v>3</v>
      </c>
      <c r="P34" s="1">
        <f ca="1">IFERROR(__xludf.DUMMYFUNCTION("""COMPUTED_VALUE"""),110.3)</f>
        <v>110.3</v>
      </c>
      <c r="Q34" s="1">
        <f ca="1">IFERROR(__xludf.DUMMYFUNCTION("""COMPUTED_VALUE"""),11)</f>
        <v>11</v>
      </c>
      <c r="R34" s="1">
        <f ca="1">IFERROR(__xludf.DUMMYFUNCTION("""COMPUTED_VALUE"""),97.1)</f>
        <v>97.1</v>
      </c>
      <c r="S34" s="1">
        <f ca="1">IFERROR(__xludf.DUMMYFUNCTION("""COMPUTED_VALUE"""),2)</f>
        <v>2</v>
      </c>
      <c r="T34" s="1" t="str">
        <f ca="1">IFERROR(__xludf.DUMMYFUNCTION("""COMPUTED_VALUE"""),"+7.44")</f>
        <v>+7.44</v>
      </c>
      <c r="U34" s="1">
        <f ca="1">IFERROR(__xludf.DUMMYFUNCTION("""COMPUTED_VALUE"""),12)</f>
        <v>12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IFERROR(__xludf.DUMMYFUNCTION("""COMPUTED_VALUE"""),"Marquette5")</f>
        <v>Marquette5</v>
      </c>
      <c r="C35" s="1" t="str">
        <f ca="1">IFERROR(__xludf.DUMMYFUNCTION("""COMPUTED_VALUE"""),"BE")</f>
        <v>BE</v>
      </c>
      <c r="D35" s="1" t="str">
        <f ca="1">IFERROR(__xludf.DUMMYFUNCTION("""COMPUTED_VALUE"""),"24-10")</f>
        <v>24-10</v>
      </c>
      <c r="E35" s="1" t="str">
        <f ca="1">IFERROR(__xludf.DUMMYFUNCTION("""COMPUTED_VALUE"""),"+16.52")</f>
        <v>+16.52</v>
      </c>
      <c r="F35" s="1">
        <f ca="1">IFERROR(__xludf.DUMMYFUNCTION("""COMPUTED_VALUE"""),113.2)</f>
        <v>113.2</v>
      </c>
      <c r="G35" s="1">
        <f ca="1">IFERROR(__xludf.DUMMYFUNCTION("""COMPUTED_VALUE"""),32)</f>
        <v>32</v>
      </c>
      <c r="H35" s="1">
        <f ca="1">IFERROR(__xludf.DUMMYFUNCTION("""COMPUTED_VALUE"""),96.7)</f>
        <v>96.7</v>
      </c>
      <c r="I35" s="1">
        <f ca="1">IFERROR(__xludf.DUMMYFUNCTION("""COMPUTED_VALUE"""),45)</f>
        <v>45</v>
      </c>
      <c r="J35" s="1">
        <f ca="1">IFERROR(__xludf.DUMMYFUNCTION("""COMPUTED_VALUE"""),68.8)</f>
        <v>68.8</v>
      </c>
      <c r="K35" s="1">
        <f ca="1">IFERROR(__xludf.DUMMYFUNCTION("""COMPUTED_VALUE"""),116)</f>
        <v>116</v>
      </c>
      <c r="L35" s="1" t="str">
        <f ca="1">IFERROR(__xludf.DUMMYFUNCTION("""COMPUTED_VALUE"""),"+.010")</f>
        <v>+.010</v>
      </c>
      <c r="M35" s="1">
        <f ca="1">IFERROR(__xludf.DUMMYFUNCTION("""COMPUTED_VALUE"""),154)</f>
        <v>154</v>
      </c>
      <c r="N35" s="1" t="str">
        <f ca="1">IFERROR(__xludf.DUMMYFUNCTION("""COMPUTED_VALUE"""),"+6.77")</f>
        <v>+6.77</v>
      </c>
      <c r="O35" s="1">
        <f ca="1">IFERROR(__xludf.DUMMYFUNCTION("""COMPUTED_VALUE"""),57)</f>
        <v>57</v>
      </c>
      <c r="P35" s="1">
        <f ca="1">IFERROR(__xludf.DUMMYFUNCTION("""COMPUTED_VALUE"""),107.4)</f>
        <v>107.4</v>
      </c>
      <c r="Q35" s="1">
        <f ca="1">IFERROR(__xludf.DUMMYFUNCTION("""COMPUTED_VALUE"""),63)</f>
        <v>63</v>
      </c>
      <c r="R35" s="1">
        <f ca="1">IFERROR(__xludf.DUMMYFUNCTION("""COMPUTED_VALUE"""),100.7)</f>
        <v>100.7</v>
      </c>
      <c r="S35" s="1">
        <f ca="1">IFERROR(__xludf.DUMMYFUNCTION("""COMPUTED_VALUE"""),51)</f>
        <v>51</v>
      </c>
      <c r="T35" s="1" t="str">
        <f ca="1">IFERROR(__xludf.DUMMYFUNCTION("""COMPUTED_VALUE"""),"+0.29")</f>
        <v>+0.29</v>
      </c>
      <c r="U35" s="1">
        <f ca="1">IFERROR(__xludf.DUMMYFUNCTION("""COMPUTED_VALUE"""),151)</f>
        <v>151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IFERROR(__xludf.DUMMYFUNCTION("""COMPUTED_VALUE"""),"UCF9")</f>
        <v>UCF9</v>
      </c>
      <c r="C36" s="1" t="str">
        <f ca="1">IFERROR(__xludf.DUMMYFUNCTION("""COMPUTED_VALUE"""),"Amer")</f>
        <v>Amer</v>
      </c>
      <c r="D36" s="1" t="str">
        <f ca="1">IFERROR(__xludf.DUMMYFUNCTION("""COMPUTED_VALUE"""),"24-9")</f>
        <v>24-9</v>
      </c>
      <c r="E36" s="1" t="str">
        <f ca="1">IFERROR(__xludf.DUMMYFUNCTION("""COMPUTED_VALUE"""),"+16.51")</f>
        <v>+16.51</v>
      </c>
      <c r="F36" s="1">
        <f ca="1">IFERROR(__xludf.DUMMYFUNCTION("""COMPUTED_VALUE"""),112.1)</f>
        <v>112.1</v>
      </c>
      <c r="G36" s="1">
        <f ca="1">IFERROR(__xludf.DUMMYFUNCTION("""COMPUTED_VALUE"""),44)</f>
        <v>44</v>
      </c>
      <c r="H36" s="1">
        <f ca="1">IFERROR(__xludf.DUMMYFUNCTION("""COMPUTED_VALUE"""),95.6)</f>
        <v>95.6</v>
      </c>
      <c r="I36" s="1">
        <f ca="1">IFERROR(__xludf.DUMMYFUNCTION("""COMPUTED_VALUE"""),33)</f>
        <v>33</v>
      </c>
      <c r="J36" s="1">
        <f ca="1">IFERROR(__xludf.DUMMYFUNCTION("""COMPUTED_VALUE"""),65)</f>
        <v>65</v>
      </c>
      <c r="K36" s="1">
        <f ca="1">IFERROR(__xludf.DUMMYFUNCTION("""COMPUTED_VALUE"""),309)</f>
        <v>309</v>
      </c>
      <c r="L36" s="1" t="str">
        <f ca="1">IFERROR(__xludf.DUMMYFUNCTION("""COMPUTED_VALUE"""),"+.011")</f>
        <v>+.011</v>
      </c>
      <c r="M36" s="1">
        <f ca="1">IFERROR(__xludf.DUMMYFUNCTION("""COMPUTED_VALUE"""),152)</f>
        <v>152</v>
      </c>
      <c r="N36" s="1" t="str">
        <f ca="1">IFERROR(__xludf.DUMMYFUNCTION("""COMPUTED_VALUE"""),"+4.99")</f>
        <v>+4.99</v>
      </c>
      <c r="O36" s="1">
        <f ca="1">IFERROR(__xludf.DUMMYFUNCTION("""COMPUTED_VALUE"""),69)</f>
        <v>69</v>
      </c>
      <c r="P36" s="1">
        <f ca="1">IFERROR(__xludf.DUMMYFUNCTION("""COMPUTED_VALUE"""),105.9)</f>
        <v>105.9</v>
      </c>
      <c r="Q36" s="1">
        <f ca="1">IFERROR(__xludf.DUMMYFUNCTION("""COMPUTED_VALUE"""),90)</f>
        <v>90</v>
      </c>
      <c r="R36" s="1">
        <f ca="1">IFERROR(__xludf.DUMMYFUNCTION("""COMPUTED_VALUE"""),100.9)</f>
        <v>100.9</v>
      </c>
      <c r="S36" s="1">
        <f ca="1">IFERROR(__xludf.DUMMYFUNCTION("""COMPUTED_VALUE"""),57)</f>
        <v>57</v>
      </c>
      <c r="T36" s="1">
        <f ca="1">IFERROR(__xludf.DUMMYFUNCTION("""COMPUTED_VALUE"""),-3.71)</f>
        <v>-3.71</v>
      </c>
      <c r="U36" s="1">
        <f ca="1">IFERROR(__xludf.DUMMYFUNCTION("""COMPUTED_VALUE"""),264)</f>
        <v>264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IFERROR(__xludf.DUMMYFUNCTION("""COMPUTED_VALUE"""),"Baylor9")</f>
        <v>Baylor9</v>
      </c>
      <c r="C37" s="1" t="str">
        <f ca="1">IFERROR(__xludf.DUMMYFUNCTION("""COMPUTED_VALUE"""),"B12")</f>
        <v>B12</v>
      </c>
      <c r="D37" s="1" t="str">
        <f ca="1">IFERROR(__xludf.DUMMYFUNCTION("""COMPUTED_VALUE"""),"20-14")</f>
        <v>20-14</v>
      </c>
      <c r="E37" s="1" t="str">
        <f ca="1">IFERROR(__xludf.DUMMYFUNCTION("""COMPUTED_VALUE"""),"+16.48")</f>
        <v>+16.48</v>
      </c>
      <c r="F37" s="1">
        <f ca="1">IFERROR(__xludf.DUMMYFUNCTION("""COMPUTED_VALUE"""),115.3)</f>
        <v>115.3</v>
      </c>
      <c r="G37" s="1">
        <f ca="1">IFERROR(__xludf.DUMMYFUNCTION("""COMPUTED_VALUE"""),20)</f>
        <v>20</v>
      </c>
      <c r="H37" s="1">
        <f ca="1">IFERROR(__xludf.DUMMYFUNCTION("""COMPUTED_VALUE"""),98.8)</f>
        <v>98.8</v>
      </c>
      <c r="I37" s="1">
        <f ca="1">IFERROR(__xludf.DUMMYFUNCTION("""COMPUTED_VALUE"""),75)</f>
        <v>75</v>
      </c>
      <c r="J37" s="1">
        <f ca="1">IFERROR(__xludf.DUMMYFUNCTION("""COMPUTED_VALUE"""),65.2)</f>
        <v>65.2</v>
      </c>
      <c r="K37" s="1">
        <f ca="1">IFERROR(__xludf.DUMMYFUNCTION("""COMPUTED_VALUE"""),297)</f>
        <v>297</v>
      </c>
      <c r="L37" s="1">
        <f ca="1">IFERROR(__xludf.DUMMYFUNCTION("""COMPUTED_VALUE"""),-0.029)</f>
        <v>-2.9000000000000001E-2</v>
      </c>
      <c r="M37" s="1">
        <f ca="1">IFERROR(__xludf.DUMMYFUNCTION("""COMPUTED_VALUE"""),255)</f>
        <v>255</v>
      </c>
      <c r="N37" s="1" t="str">
        <f ca="1">IFERROR(__xludf.DUMMYFUNCTION("""COMPUTED_VALUE"""),"+10.49")</f>
        <v>+10.49</v>
      </c>
      <c r="O37" s="1">
        <f ca="1">IFERROR(__xludf.DUMMYFUNCTION("""COMPUTED_VALUE"""),28)</f>
        <v>28</v>
      </c>
      <c r="P37" s="1">
        <f ca="1">IFERROR(__xludf.DUMMYFUNCTION("""COMPUTED_VALUE"""),108.8)</f>
        <v>108.8</v>
      </c>
      <c r="Q37" s="1">
        <f ca="1">IFERROR(__xludf.DUMMYFUNCTION("""COMPUTED_VALUE"""),43)</f>
        <v>43</v>
      </c>
      <c r="R37" s="1">
        <f ca="1">IFERROR(__xludf.DUMMYFUNCTION("""COMPUTED_VALUE"""),98.3)</f>
        <v>98.3</v>
      </c>
      <c r="S37" s="1">
        <f ca="1">IFERROR(__xludf.DUMMYFUNCTION("""COMPUTED_VALUE"""),18)</f>
        <v>18</v>
      </c>
      <c r="T37" s="1">
        <f ca="1">IFERROR(__xludf.DUMMYFUNCTION("""COMPUTED_VALUE"""),-4.04)</f>
        <v>-4.04</v>
      </c>
      <c r="U37" s="1">
        <f ca="1">IFERROR(__xludf.DUMMYFUNCTION("""COMPUTED_VALUE"""),276)</f>
        <v>276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IFERROR(__xludf.DUMMYFUNCTION("""COMPUTED_VALUE"""),"Clemson2")</f>
        <v>Clemson2</v>
      </c>
      <c r="C38" s="1" t="str">
        <f ca="1">IFERROR(__xludf.DUMMYFUNCTION("""COMPUTED_VALUE"""),"ACC")</f>
        <v>ACC</v>
      </c>
      <c r="D38" s="1" t="str">
        <f ca="1">IFERROR(__xludf.DUMMYFUNCTION("""COMPUTED_VALUE"""),"20-14")</f>
        <v>20-14</v>
      </c>
      <c r="E38" s="1" t="str">
        <f ca="1">IFERROR(__xludf.DUMMYFUNCTION("""COMPUTED_VALUE"""),"+16.14")</f>
        <v>+16.14</v>
      </c>
      <c r="F38" s="1">
        <f ca="1">IFERROR(__xludf.DUMMYFUNCTION("""COMPUTED_VALUE"""),108)</f>
        <v>108</v>
      </c>
      <c r="G38" s="1">
        <f ca="1">IFERROR(__xludf.DUMMYFUNCTION("""COMPUTED_VALUE"""),106)</f>
        <v>106</v>
      </c>
      <c r="H38" s="1">
        <f ca="1">IFERROR(__xludf.DUMMYFUNCTION("""COMPUTED_VALUE"""),91.8)</f>
        <v>91.8</v>
      </c>
      <c r="I38" s="1">
        <f ca="1">IFERROR(__xludf.DUMMYFUNCTION("""COMPUTED_VALUE"""),14)</f>
        <v>14</v>
      </c>
      <c r="J38" s="1">
        <f ca="1">IFERROR(__xludf.DUMMYFUNCTION("""COMPUTED_VALUE"""),66.2)</f>
        <v>66.2</v>
      </c>
      <c r="K38" s="1">
        <f ca="1">IFERROR(__xludf.DUMMYFUNCTION("""COMPUTED_VALUE"""),252)</f>
        <v>252</v>
      </c>
      <c r="L38" s="1">
        <f ca="1">IFERROR(__xludf.DUMMYFUNCTION("""COMPUTED_VALUE"""),-0.066)</f>
        <v>-6.6000000000000003E-2</v>
      </c>
      <c r="M38" s="1">
        <f ca="1">IFERROR(__xludf.DUMMYFUNCTION("""COMPUTED_VALUE"""),320)</f>
        <v>320</v>
      </c>
      <c r="N38" s="1" t="str">
        <f ca="1">IFERROR(__xludf.DUMMYFUNCTION("""COMPUTED_VALUE"""),"+8.49")</f>
        <v>+8.49</v>
      </c>
      <c r="O38" s="1">
        <f ca="1">IFERROR(__xludf.DUMMYFUNCTION("""COMPUTED_VALUE"""),45)</f>
        <v>45</v>
      </c>
      <c r="P38" s="1">
        <f ca="1">IFERROR(__xludf.DUMMYFUNCTION("""COMPUTED_VALUE"""),108.2)</f>
        <v>108.2</v>
      </c>
      <c r="Q38" s="1">
        <f ca="1">IFERROR(__xludf.DUMMYFUNCTION("""COMPUTED_VALUE"""),53)</f>
        <v>53</v>
      </c>
      <c r="R38" s="1">
        <f ca="1">IFERROR(__xludf.DUMMYFUNCTION("""COMPUTED_VALUE"""),99.7)</f>
        <v>99.7</v>
      </c>
      <c r="S38" s="1">
        <f ca="1">IFERROR(__xludf.DUMMYFUNCTION("""COMPUTED_VALUE"""),40)</f>
        <v>40</v>
      </c>
      <c r="T38" s="1" t="str">
        <f ca="1">IFERROR(__xludf.DUMMYFUNCTION("""COMPUTED_VALUE"""),"+0.82")</f>
        <v>+0.82</v>
      </c>
      <c r="U38" s="1">
        <f ca="1">IFERROR(__xludf.DUMMYFUNCTION("""COMPUTED_VALUE"""),134)</f>
        <v>134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IFERROR(__xludf.DUMMYFUNCTION("""COMPUTED_VALUE"""),"Iowa10")</f>
        <v>Iowa10</v>
      </c>
      <c r="C39" s="1" t="str">
        <f ca="1">IFERROR(__xludf.DUMMYFUNCTION("""COMPUTED_VALUE"""),"B10")</f>
        <v>B10</v>
      </c>
      <c r="D39" s="1" t="str">
        <f ca="1">IFERROR(__xludf.DUMMYFUNCTION("""COMPUTED_VALUE"""),"23-12")</f>
        <v>23-12</v>
      </c>
      <c r="E39" s="1" t="str">
        <f ca="1">IFERROR(__xludf.DUMMYFUNCTION("""COMPUTED_VALUE"""),"+16.02")</f>
        <v>+16.02</v>
      </c>
      <c r="F39" s="1">
        <f ca="1">IFERROR(__xludf.DUMMYFUNCTION("""COMPUTED_VALUE"""),117.4)</f>
        <v>117.4</v>
      </c>
      <c r="G39" s="1">
        <f ca="1">IFERROR(__xludf.DUMMYFUNCTION("""COMPUTED_VALUE"""),15)</f>
        <v>15</v>
      </c>
      <c r="H39" s="1">
        <f ca="1">IFERROR(__xludf.DUMMYFUNCTION("""COMPUTED_VALUE"""),101.3)</f>
        <v>101.3</v>
      </c>
      <c r="I39" s="1">
        <f ca="1">IFERROR(__xludf.DUMMYFUNCTION("""COMPUTED_VALUE"""),111)</f>
        <v>111</v>
      </c>
      <c r="J39" s="1">
        <f ca="1">IFERROR(__xludf.DUMMYFUNCTION("""COMPUTED_VALUE"""),69.5)</f>
        <v>69.5</v>
      </c>
      <c r="K39" s="1">
        <f ca="1">IFERROR(__xludf.DUMMYFUNCTION("""COMPUTED_VALUE"""),84)</f>
        <v>84</v>
      </c>
      <c r="L39" s="1" t="str">
        <f ca="1">IFERROR(__xludf.DUMMYFUNCTION("""COMPUTED_VALUE"""),"+.050")</f>
        <v>+.050</v>
      </c>
      <c r="M39" s="1">
        <f ca="1">IFERROR(__xludf.DUMMYFUNCTION("""COMPUTED_VALUE"""),63)</f>
        <v>63</v>
      </c>
      <c r="N39" s="1" t="str">
        <f ca="1">IFERROR(__xludf.DUMMYFUNCTION("""COMPUTED_VALUE"""),"+10.64")</f>
        <v>+10.64</v>
      </c>
      <c r="O39" s="1">
        <f ca="1">IFERROR(__xludf.DUMMYFUNCTION("""COMPUTED_VALUE"""),26)</f>
        <v>26</v>
      </c>
      <c r="P39" s="1">
        <f ca="1">IFERROR(__xludf.DUMMYFUNCTION("""COMPUTED_VALUE"""),108.9)</f>
        <v>108.9</v>
      </c>
      <c r="Q39" s="1">
        <f ca="1">IFERROR(__xludf.DUMMYFUNCTION("""COMPUTED_VALUE"""),42)</f>
        <v>42</v>
      </c>
      <c r="R39" s="1">
        <f ca="1">IFERROR(__xludf.DUMMYFUNCTION("""COMPUTED_VALUE"""),98.3)</f>
        <v>98.3</v>
      </c>
      <c r="S39" s="1">
        <f ca="1">IFERROR(__xludf.DUMMYFUNCTION("""COMPUTED_VALUE"""),16)</f>
        <v>16</v>
      </c>
      <c r="T39" s="1">
        <f ca="1">IFERROR(__xludf.DUMMYFUNCTION("""COMPUTED_VALUE"""),-6.49)</f>
        <v>-6.49</v>
      </c>
      <c r="U39" s="1">
        <f ca="1">IFERROR(__xludf.DUMMYFUNCTION("""COMPUTED_VALUE"""),329)</f>
        <v>329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IFERROR(__xludf.DUMMYFUNCTION("""COMPUTED_VALUE"""),"Utah St.8")</f>
        <v>Utah St.8</v>
      </c>
      <c r="C40" s="1" t="str">
        <f ca="1">IFERROR(__xludf.DUMMYFUNCTION("""COMPUTED_VALUE"""),"MWC")</f>
        <v>MWC</v>
      </c>
      <c r="D40" s="1" t="str">
        <f ca="1">IFERROR(__xludf.DUMMYFUNCTION("""COMPUTED_VALUE"""),"28-7")</f>
        <v>28-7</v>
      </c>
      <c r="E40" s="1" t="str">
        <f ca="1">IFERROR(__xludf.DUMMYFUNCTION("""COMPUTED_VALUE"""),"+15.41")</f>
        <v>+15.41</v>
      </c>
      <c r="F40" s="1">
        <f ca="1">IFERROR(__xludf.DUMMYFUNCTION("""COMPUTED_VALUE"""),112.6)</f>
        <v>112.6</v>
      </c>
      <c r="G40" s="1">
        <f ca="1">IFERROR(__xludf.DUMMYFUNCTION("""COMPUTED_VALUE"""),39)</f>
        <v>39</v>
      </c>
      <c r="H40" s="1">
        <f ca="1">IFERROR(__xludf.DUMMYFUNCTION("""COMPUTED_VALUE"""),97.2)</f>
        <v>97.2</v>
      </c>
      <c r="I40" s="1">
        <f ca="1">IFERROR(__xludf.DUMMYFUNCTION("""COMPUTED_VALUE"""),52)</f>
        <v>52</v>
      </c>
      <c r="J40" s="1">
        <f ca="1">IFERROR(__xludf.DUMMYFUNCTION("""COMPUTED_VALUE"""),68.1)</f>
        <v>68.099999999999994</v>
      </c>
      <c r="K40" s="1">
        <f ca="1">IFERROR(__xludf.DUMMYFUNCTION("""COMPUTED_VALUE"""),145)</f>
        <v>145</v>
      </c>
      <c r="L40" s="1" t="str">
        <f ca="1">IFERROR(__xludf.DUMMYFUNCTION("""COMPUTED_VALUE"""),"+.012")</f>
        <v>+.012</v>
      </c>
      <c r="M40" s="1">
        <f ca="1">IFERROR(__xludf.DUMMYFUNCTION("""COMPUTED_VALUE"""),149)</f>
        <v>149</v>
      </c>
      <c r="N40" s="1" t="str">
        <f ca="1">IFERROR(__xludf.DUMMYFUNCTION("""COMPUTED_VALUE"""),"+0.02")</f>
        <v>+0.02</v>
      </c>
      <c r="O40" s="1">
        <f ca="1">IFERROR(__xludf.DUMMYFUNCTION("""COMPUTED_VALUE"""),139)</f>
        <v>139</v>
      </c>
      <c r="P40" s="1">
        <f ca="1">IFERROR(__xludf.DUMMYFUNCTION("""COMPUTED_VALUE"""),104.5)</f>
        <v>104.5</v>
      </c>
      <c r="Q40" s="1">
        <f ca="1">IFERROR(__xludf.DUMMYFUNCTION("""COMPUTED_VALUE"""),147)</f>
        <v>147</v>
      </c>
      <c r="R40" s="1">
        <f ca="1">IFERROR(__xludf.DUMMYFUNCTION("""COMPUTED_VALUE"""),104.4)</f>
        <v>104.4</v>
      </c>
      <c r="S40" s="1">
        <f ca="1">IFERROR(__xludf.DUMMYFUNCTION("""COMPUTED_VALUE"""),158)</f>
        <v>158</v>
      </c>
      <c r="T40" s="1" t="str">
        <f ca="1">IFERROR(__xludf.DUMMYFUNCTION("""COMPUTED_VALUE"""),"+0.81")</f>
        <v>+0.81</v>
      </c>
      <c r="U40" s="1">
        <f ca="1">IFERROR(__xludf.DUMMYFUNCTION("""COMPUTED_VALUE"""),135)</f>
        <v>135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IFERROR(__xludf.DUMMYFUNCTION("""COMPUTED_VALUE"""),"Syracuse8")</f>
        <v>Syracuse8</v>
      </c>
      <c r="C41" s="1" t="str">
        <f ca="1">IFERROR(__xludf.DUMMYFUNCTION("""COMPUTED_VALUE"""),"ACC")</f>
        <v>ACC</v>
      </c>
      <c r="D41" s="1" t="str">
        <f ca="1">IFERROR(__xludf.DUMMYFUNCTION("""COMPUTED_VALUE"""),"20-14")</f>
        <v>20-14</v>
      </c>
      <c r="E41" s="1" t="str">
        <f ca="1">IFERROR(__xludf.DUMMYFUNCTION("""COMPUTED_VALUE"""),"+15.13")</f>
        <v>+15.13</v>
      </c>
      <c r="F41" s="1">
        <f ca="1">IFERROR(__xludf.DUMMYFUNCTION("""COMPUTED_VALUE"""),110.5)</f>
        <v>110.5</v>
      </c>
      <c r="G41" s="1">
        <f ca="1">IFERROR(__xludf.DUMMYFUNCTION("""COMPUTED_VALUE"""),59)</f>
        <v>59</v>
      </c>
      <c r="H41" s="1">
        <f ca="1">IFERROR(__xludf.DUMMYFUNCTION("""COMPUTED_VALUE"""),95.3)</f>
        <v>95.3</v>
      </c>
      <c r="I41" s="1">
        <f ca="1">IFERROR(__xludf.DUMMYFUNCTION("""COMPUTED_VALUE"""),30)</f>
        <v>30</v>
      </c>
      <c r="J41" s="1">
        <f ca="1">IFERROR(__xludf.DUMMYFUNCTION("""COMPUTED_VALUE"""),66.1)</f>
        <v>66.099999999999994</v>
      </c>
      <c r="K41" s="1">
        <f ca="1">IFERROR(__xludf.DUMMYFUNCTION("""COMPUTED_VALUE"""),257)</f>
        <v>257</v>
      </c>
      <c r="L41" s="1">
        <f ca="1">IFERROR(__xludf.DUMMYFUNCTION("""COMPUTED_VALUE"""),-0.004)</f>
        <v>-4.0000000000000001E-3</v>
      </c>
      <c r="M41" s="1">
        <f ca="1">IFERROR(__xludf.DUMMYFUNCTION("""COMPUTED_VALUE"""),188)</f>
        <v>188</v>
      </c>
      <c r="N41" s="1" t="str">
        <f ca="1">IFERROR(__xludf.DUMMYFUNCTION("""COMPUTED_VALUE"""),"+9.40")</f>
        <v>+9.40</v>
      </c>
      <c r="O41" s="1">
        <f ca="1">IFERROR(__xludf.DUMMYFUNCTION("""COMPUTED_VALUE"""),38)</f>
        <v>38</v>
      </c>
      <c r="P41" s="1">
        <f ca="1">IFERROR(__xludf.DUMMYFUNCTION("""COMPUTED_VALUE"""),108.6)</f>
        <v>108.6</v>
      </c>
      <c r="Q41" s="1">
        <f ca="1">IFERROR(__xludf.DUMMYFUNCTION("""COMPUTED_VALUE"""),46)</f>
        <v>46</v>
      </c>
      <c r="R41" s="1">
        <f ca="1">IFERROR(__xludf.DUMMYFUNCTION("""COMPUTED_VALUE"""),99.2)</f>
        <v>99.2</v>
      </c>
      <c r="S41" s="1">
        <f ca="1">IFERROR(__xludf.DUMMYFUNCTION("""COMPUTED_VALUE"""),31)</f>
        <v>31</v>
      </c>
      <c r="T41" s="1" t="str">
        <f ca="1">IFERROR(__xludf.DUMMYFUNCTION("""COMPUTED_VALUE"""),"+0.17")</f>
        <v>+0.17</v>
      </c>
      <c r="U41" s="1">
        <f ca="1">IFERROR(__xludf.DUMMYFUNCTION("""COMPUTED_VALUE"""),156)</f>
        <v>156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IFERROR(__xludf.DUMMYFUNCTION("""COMPUTED_VALUE"""),"TCU1")</f>
        <v>TCU1</v>
      </c>
      <c r="C42" s="1" t="str">
        <f ca="1">IFERROR(__xludf.DUMMYFUNCTION("""COMPUTED_VALUE"""),"B12")</f>
        <v>B12</v>
      </c>
      <c r="D42" s="1" t="str">
        <f ca="1">IFERROR(__xludf.DUMMYFUNCTION("""COMPUTED_VALUE"""),"23-14")</f>
        <v>23-14</v>
      </c>
      <c r="E42" s="1" t="str">
        <f ca="1">IFERROR(__xludf.DUMMYFUNCTION("""COMPUTED_VALUE"""),"+15.04")</f>
        <v>+15.04</v>
      </c>
      <c r="F42" s="1">
        <f ca="1">IFERROR(__xludf.DUMMYFUNCTION("""COMPUTED_VALUE"""),110.3)</f>
        <v>110.3</v>
      </c>
      <c r="G42" s="1">
        <f ca="1">IFERROR(__xludf.DUMMYFUNCTION("""COMPUTED_VALUE"""),64)</f>
        <v>64</v>
      </c>
      <c r="H42" s="1">
        <f ca="1">IFERROR(__xludf.DUMMYFUNCTION("""COMPUTED_VALUE"""),95.2)</f>
        <v>95.2</v>
      </c>
      <c r="I42" s="1">
        <f ca="1">IFERROR(__xludf.DUMMYFUNCTION("""COMPUTED_VALUE"""),29)</f>
        <v>29</v>
      </c>
      <c r="J42" s="1">
        <f ca="1">IFERROR(__xludf.DUMMYFUNCTION("""COMPUTED_VALUE"""),68.9)</f>
        <v>68.900000000000006</v>
      </c>
      <c r="K42" s="1">
        <f ca="1">IFERROR(__xludf.DUMMYFUNCTION("""COMPUTED_VALUE"""),107)</f>
        <v>107</v>
      </c>
      <c r="L42" s="1" t="str">
        <f ca="1">IFERROR(__xludf.DUMMYFUNCTION("""COMPUTED_VALUE"""),"+.020")</f>
        <v>+.020</v>
      </c>
      <c r="M42" s="1">
        <f ca="1">IFERROR(__xludf.DUMMYFUNCTION("""COMPUTED_VALUE"""),129)</f>
        <v>129</v>
      </c>
      <c r="N42" s="1" t="str">
        <f ca="1">IFERROR(__xludf.DUMMYFUNCTION("""COMPUTED_VALUE"""),"+9.66")</f>
        <v>+9.66</v>
      </c>
      <c r="O42" s="1">
        <f ca="1">IFERROR(__xludf.DUMMYFUNCTION("""COMPUTED_VALUE"""),36)</f>
        <v>36</v>
      </c>
      <c r="P42" s="1">
        <f ca="1">IFERROR(__xludf.DUMMYFUNCTION("""COMPUTED_VALUE"""),109.1)</f>
        <v>109.1</v>
      </c>
      <c r="Q42" s="1">
        <f ca="1">IFERROR(__xludf.DUMMYFUNCTION("""COMPUTED_VALUE"""),37)</f>
        <v>37</v>
      </c>
      <c r="R42" s="1">
        <f ca="1">IFERROR(__xludf.DUMMYFUNCTION("""COMPUTED_VALUE"""),99.5)</f>
        <v>99.5</v>
      </c>
      <c r="S42" s="1">
        <f ca="1">IFERROR(__xludf.DUMMYFUNCTION("""COMPUTED_VALUE"""),36)</f>
        <v>36</v>
      </c>
      <c r="T42" s="1">
        <f ca="1">IFERROR(__xludf.DUMMYFUNCTION("""COMPUTED_VALUE"""),-0.99)</f>
        <v>-0.99</v>
      </c>
      <c r="U42" s="1">
        <f ca="1">IFERROR(__xludf.DUMMYFUNCTION("""COMPUTED_VALUE"""),187)</f>
        <v>187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IFERROR(__xludf.DUMMYFUNCTION("""COMPUTED_VALUE"""),"N.C. State2")</f>
        <v>N.C. State2</v>
      </c>
      <c r="C45" s="1" t="str">
        <f ca="1">IFERROR(__xludf.DUMMYFUNCTION("""COMPUTED_VALUE"""),"ACC")</f>
        <v>ACC</v>
      </c>
      <c r="D45" s="1" t="str">
        <f ca="1">IFERROR(__xludf.DUMMYFUNCTION("""COMPUTED_VALUE"""),"24-12")</f>
        <v>24-12</v>
      </c>
      <c r="E45" s="1" t="str">
        <f ca="1">IFERROR(__xludf.DUMMYFUNCTION("""COMPUTED_VALUE"""),"+14.98")</f>
        <v>+14.98</v>
      </c>
      <c r="F45" s="1">
        <f ca="1">IFERROR(__xludf.DUMMYFUNCTION("""COMPUTED_VALUE"""),113.1)</f>
        <v>113.1</v>
      </c>
      <c r="G45" s="1">
        <f ca="1">IFERROR(__xludf.DUMMYFUNCTION("""COMPUTED_VALUE"""),34)</f>
        <v>34</v>
      </c>
      <c r="H45" s="1">
        <f ca="1">IFERROR(__xludf.DUMMYFUNCTION("""COMPUTED_VALUE"""),98.1)</f>
        <v>98.1</v>
      </c>
      <c r="I45" s="1">
        <f ca="1">IFERROR(__xludf.DUMMYFUNCTION("""COMPUTED_VALUE"""),62)</f>
        <v>62</v>
      </c>
      <c r="J45" s="1">
        <f ca="1">IFERROR(__xludf.DUMMYFUNCTION("""COMPUTED_VALUE"""),71)</f>
        <v>71</v>
      </c>
      <c r="K45" s="1">
        <f ca="1">IFERROR(__xludf.DUMMYFUNCTION("""COMPUTED_VALUE"""),39)</f>
        <v>39</v>
      </c>
      <c r="L45" s="1">
        <f ca="1">IFERROR(__xludf.DUMMYFUNCTION("""COMPUTED_VALUE"""),-0.004)</f>
        <v>-4.0000000000000001E-3</v>
      </c>
      <c r="M45" s="1">
        <f ca="1">IFERROR(__xludf.DUMMYFUNCTION("""COMPUTED_VALUE"""),190)</f>
        <v>190</v>
      </c>
      <c r="N45" s="1" t="str">
        <f ca="1">IFERROR(__xludf.DUMMYFUNCTION("""COMPUTED_VALUE"""),"+5.84")</f>
        <v>+5.84</v>
      </c>
      <c r="O45" s="1">
        <f ca="1">IFERROR(__xludf.DUMMYFUNCTION("""COMPUTED_VALUE"""),62)</f>
        <v>62</v>
      </c>
      <c r="P45" s="1">
        <f ca="1">IFERROR(__xludf.DUMMYFUNCTION("""COMPUTED_VALUE"""),106.8)</f>
        <v>106.8</v>
      </c>
      <c r="Q45" s="1">
        <f ca="1">IFERROR(__xludf.DUMMYFUNCTION("""COMPUTED_VALUE"""),72)</f>
        <v>72</v>
      </c>
      <c r="R45" s="1">
        <f ca="1">IFERROR(__xludf.DUMMYFUNCTION("""COMPUTED_VALUE"""),101)</f>
        <v>101</v>
      </c>
      <c r="S45" s="1">
        <f ca="1">IFERROR(__xludf.DUMMYFUNCTION("""COMPUTED_VALUE"""),60)</f>
        <v>60</v>
      </c>
      <c r="T45" s="1">
        <f ca="1">IFERROR(__xludf.DUMMYFUNCTION("""COMPUTED_VALUE"""),-12.35)</f>
        <v>-12.35</v>
      </c>
      <c r="U45" s="1">
        <f ca="1">IFERROR(__xludf.DUMMYFUNCTION("""COMPUTED_VALUE"""),353)</f>
        <v>353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IFERROR(__xludf.DUMMYFUNCTION("""COMPUTED_VALUE"""),"VCU8")</f>
        <v>VCU8</v>
      </c>
      <c r="C46" s="1" t="str">
        <f ca="1">IFERROR(__xludf.DUMMYFUNCTION("""COMPUTED_VALUE"""),"A10")</f>
        <v>A10</v>
      </c>
      <c r="D46" s="1" t="str">
        <f ca="1">IFERROR(__xludf.DUMMYFUNCTION("""COMPUTED_VALUE"""),"25-8")</f>
        <v>25-8</v>
      </c>
      <c r="E46" s="1" t="str">
        <f ca="1">IFERROR(__xludf.DUMMYFUNCTION("""COMPUTED_VALUE"""),"+14.89")</f>
        <v>+14.89</v>
      </c>
      <c r="F46" s="1">
        <f ca="1">IFERROR(__xludf.DUMMYFUNCTION("""COMPUTED_VALUE"""),104.3)</f>
        <v>104.3</v>
      </c>
      <c r="G46" s="1">
        <f ca="1">IFERROR(__xludf.DUMMYFUNCTION("""COMPUTED_VALUE"""),177)</f>
        <v>177</v>
      </c>
      <c r="H46" s="1">
        <f ca="1">IFERROR(__xludf.DUMMYFUNCTION("""COMPUTED_VALUE"""),89.5)</f>
        <v>89.5</v>
      </c>
      <c r="I46" s="1">
        <f ca="1">IFERROR(__xludf.DUMMYFUNCTION("""COMPUTED_VALUE"""),7)</f>
        <v>7</v>
      </c>
      <c r="J46" s="1">
        <f ca="1">IFERROR(__xludf.DUMMYFUNCTION("""COMPUTED_VALUE"""),68.4)</f>
        <v>68.400000000000006</v>
      </c>
      <c r="K46" s="1">
        <f ca="1">IFERROR(__xludf.DUMMYFUNCTION("""COMPUTED_VALUE"""),136)</f>
        <v>136</v>
      </c>
      <c r="L46" s="1" t="str">
        <f ca="1">IFERROR(__xludf.DUMMYFUNCTION("""COMPUTED_VALUE"""),"+.007")</f>
        <v>+.007</v>
      </c>
      <c r="M46" s="1">
        <f ca="1">IFERROR(__xludf.DUMMYFUNCTION("""COMPUTED_VALUE"""),164)</f>
        <v>164</v>
      </c>
      <c r="N46" s="1" t="str">
        <f ca="1">IFERROR(__xludf.DUMMYFUNCTION("""COMPUTED_VALUE"""),"+1.37")</f>
        <v>+1.37</v>
      </c>
      <c r="O46" s="1">
        <f ca="1">IFERROR(__xludf.DUMMYFUNCTION("""COMPUTED_VALUE"""),105)</f>
        <v>105</v>
      </c>
      <c r="P46" s="1">
        <f ca="1">IFERROR(__xludf.DUMMYFUNCTION("""COMPUTED_VALUE"""),105.2)</f>
        <v>105.2</v>
      </c>
      <c r="Q46" s="1">
        <f ca="1">IFERROR(__xludf.DUMMYFUNCTION("""COMPUTED_VALUE"""),120)</f>
        <v>120</v>
      </c>
      <c r="R46" s="1">
        <f ca="1">IFERROR(__xludf.DUMMYFUNCTION("""COMPUTED_VALUE"""),103.8)</f>
        <v>103.8</v>
      </c>
      <c r="S46" s="1">
        <f ca="1">IFERROR(__xludf.DUMMYFUNCTION("""COMPUTED_VALUE"""),123)</f>
        <v>123</v>
      </c>
      <c r="T46" s="1" t="str">
        <f ca="1">IFERROR(__xludf.DUMMYFUNCTION("""COMPUTED_VALUE"""),"+3.60")</f>
        <v>+3.60</v>
      </c>
      <c r="U46" s="1">
        <f ca="1">IFERROR(__xludf.DUMMYFUNCTION("""COMPUTED_VALUE"""),67)</f>
        <v>67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IFERROR(__xludf.DUMMYFUNCTION("""COMPUTED_VALUE"""),"Penn St.")</f>
        <v>Penn St.</v>
      </c>
      <c r="C47" s="1" t="str">
        <f ca="1">IFERROR(__xludf.DUMMYFUNCTION("""COMPUTED_VALUE"""),"B10")</f>
        <v>B10</v>
      </c>
      <c r="D47" s="1" t="str">
        <f ca="1">IFERROR(__xludf.DUMMYFUNCTION("""COMPUTED_VALUE"""),"14-18")</f>
        <v>14-18</v>
      </c>
      <c r="E47" s="1" t="str">
        <f ca="1">IFERROR(__xludf.DUMMYFUNCTION("""COMPUTED_VALUE"""),"+14.89")</f>
        <v>+14.89</v>
      </c>
      <c r="F47" s="1">
        <f ca="1">IFERROR(__xludf.DUMMYFUNCTION("""COMPUTED_VALUE"""),109.4)</f>
        <v>109.4</v>
      </c>
      <c r="G47" s="1">
        <f ca="1">IFERROR(__xludf.DUMMYFUNCTION("""COMPUTED_VALUE"""),77)</f>
        <v>77</v>
      </c>
      <c r="H47" s="1">
        <f ca="1">IFERROR(__xludf.DUMMYFUNCTION("""COMPUTED_VALUE"""),94.5)</f>
        <v>94.5</v>
      </c>
      <c r="I47" s="1">
        <f ca="1">IFERROR(__xludf.DUMMYFUNCTION("""COMPUTED_VALUE"""),27)</f>
        <v>27</v>
      </c>
      <c r="J47" s="1">
        <f ca="1">IFERROR(__xludf.DUMMYFUNCTION("""COMPUTED_VALUE"""),67.6)</f>
        <v>67.599999999999994</v>
      </c>
      <c r="K47" s="1">
        <f ca="1">IFERROR(__xludf.DUMMYFUNCTION("""COMPUTED_VALUE"""),172)</f>
        <v>172</v>
      </c>
      <c r="L47" s="1">
        <f ca="1">IFERROR(__xludf.DUMMYFUNCTION("""COMPUTED_VALUE"""),-0.102)</f>
        <v>-0.10199999999999999</v>
      </c>
      <c r="M47" s="1">
        <f ca="1">IFERROR(__xludf.DUMMYFUNCTION("""COMPUTED_VALUE"""),343)</f>
        <v>343</v>
      </c>
      <c r="N47" s="1" t="str">
        <f ca="1">IFERROR(__xludf.DUMMYFUNCTION("""COMPUTED_VALUE"""),"+12.43")</f>
        <v>+12.43</v>
      </c>
      <c r="O47" s="1">
        <f ca="1">IFERROR(__xludf.DUMMYFUNCTION("""COMPUTED_VALUE"""),10)</f>
        <v>10</v>
      </c>
      <c r="P47" s="1">
        <f ca="1">IFERROR(__xludf.DUMMYFUNCTION("""COMPUTED_VALUE"""),110.2)</f>
        <v>110.2</v>
      </c>
      <c r="Q47" s="1">
        <f ca="1">IFERROR(__xludf.DUMMYFUNCTION("""COMPUTED_VALUE"""),16)</f>
        <v>16</v>
      </c>
      <c r="R47" s="1">
        <f ca="1">IFERROR(__xludf.DUMMYFUNCTION("""COMPUTED_VALUE"""),97.7)</f>
        <v>97.7</v>
      </c>
      <c r="S47" s="1">
        <f ca="1">IFERROR(__xludf.DUMMYFUNCTION("""COMPUTED_VALUE"""),9)</f>
        <v>9</v>
      </c>
      <c r="T47" s="1" t="str">
        <f ca="1">IFERROR(__xludf.DUMMYFUNCTION("""COMPUTED_VALUE"""),"+4.05")</f>
        <v>+4.05</v>
      </c>
      <c r="U47" s="1">
        <f ca="1">IFERROR(__xludf.DUMMYFUNCTION("""COMPUTED_VALUE"""),57)</f>
        <v>57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IFERROR(__xludf.DUMMYFUNCTION("""COMPUTED_VALUE"""),"Ohio St.11")</f>
        <v>Ohio St.11</v>
      </c>
      <c r="C48" s="1" t="str">
        <f ca="1">IFERROR(__xludf.DUMMYFUNCTION("""COMPUTED_VALUE"""),"B10")</f>
        <v>B10</v>
      </c>
      <c r="D48" s="1" t="str">
        <f ca="1">IFERROR(__xludf.DUMMYFUNCTION("""COMPUTED_VALUE"""),"20-15")</f>
        <v>20-15</v>
      </c>
      <c r="E48" s="1" t="str">
        <f ca="1">IFERROR(__xludf.DUMMYFUNCTION("""COMPUTED_VALUE"""),"+14.66")</f>
        <v>+14.66</v>
      </c>
      <c r="F48" s="1">
        <f ca="1">IFERROR(__xludf.DUMMYFUNCTION("""COMPUTED_VALUE"""),109.1)</f>
        <v>109.1</v>
      </c>
      <c r="G48" s="1">
        <f ca="1">IFERROR(__xludf.DUMMYFUNCTION("""COMPUTED_VALUE"""),84)</f>
        <v>84</v>
      </c>
      <c r="H48" s="1">
        <f ca="1">IFERROR(__xludf.DUMMYFUNCTION("""COMPUTED_VALUE"""),94.4)</f>
        <v>94.4</v>
      </c>
      <c r="I48" s="1">
        <f ca="1">IFERROR(__xludf.DUMMYFUNCTION("""COMPUTED_VALUE"""),25)</f>
        <v>25</v>
      </c>
      <c r="J48" s="1">
        <f ca="1">IFERROR(__xludf.DUMMYFUNCTION("""COMPUTED_VALUE"""),65.8)</f>
        <v>65.8</v>
      </c>
      <c r="K48" s="1">
        <f ca="1">IFERROR(__xludf.DUMMYFUNCTION("""COMPUTED_VALUE"""),274)</f>
        <v>274</v>
      </c>
      <c r="L48" s="1" t="str">
        <f ca="1">IFERROR(__xludf.DUMMYFUNCTION("""COMPUTED_VALUE"""),"+.013")</f>
        <v>+.013</v>
      </c>
      <c r="M48" s="1">
        <f ca="1">IFERROR(__xludf.DUMMYFUNCTION("""COMPUTED_VALUE"""),147)</f>
        <v>147</v>
      </c>
      <c r="N48" s="1" t="str">
        <f ca="1">IFERROR(__xludf.DUMMYFUNCTION("""COMPUTED_VALUE"""),"+11.68")</f>
        <v>+11.68</v>
      </c>
      <c r="O48" s="1">
        <f ca="1">IFERROR(__xludf.DUMMYFUNCTION("""COMPUTED_VALUE"""),17)</f>
        <v>17</v>
      </c>
      <c r="P48" s="1">
        <f ca="1">IFERROR(__xludf.DUMMYFUNCTION("""COMPUTED_VALUE"""),110.4)</f>
        <v>110.4</v>
      </c>
      <c r="Q48" s="1">
        <f ca="1">IFERROR(__xludf.DUMMYFUNCTION("""COMPUTED_VALUE"""),8)</f>
        <v>8</v>
      </c>
      <c r="R48" s="1">
        <f ca="1">IFERROR(__xludf.DUMMYFUNCTION("""COMPUTED_VALUE"""),98.8)</f>
        <v>98.8</v>
      </c>
      <c r="S48" s="1">
        <f ca="1">IFERROR(__xludf.DUMMYFUNCTION("""COMPUTED_VALUE"""),24)</f>
        <v>24</v>
      </c>
      <c r="T48" s="1">
        <f ca="1">IFERROR(__xludf.DUMMYFUNCTION("""COMPUTED_VALUE"""),-2.95)</f>
        <v>-2.95</v>
      </c>
      <c r="U48" s="1">
        <f ca="1">IFERROR(__xludf.DUMMYFUNCTION("""COMPUTED_VALUE"""),246)</f>
        <v>246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IFERROR(__xludf.DUMMYFUNCTION("""COMPUTED_VALUE"""),"Lipscomb5")</f>
        <v>Lipscomb5</v>
      </c>
      <c r="C49" s="1" t="str">
        <f ca="1">IFERROR(__xludf.DUMMYFUNCTION("""COMPUTED_VALUE"""),"ASun")</f>
        <v>ASun</v>
      </c>
      <c r="D49" s="1" t="str">
        <f ca="1">IFERROR(__xludf.DUMMYFUNCTION("""COMPUTED_VALUE"""),"29-8")</f>
        <v>29-8</v>
      </c>
      <c r="E49" s="1" t="str">
        <f ca="1">IFERROR(__xludf.DUMMYFUNCTION("""COMPUTED_VALUE"""),"+14.55")</f>
        <v>+14.55</v>
      </c>
      <c r="F49" s="1">
        <f ca="1">IFERROR(__xludf.DUMMYFUNCTION("""COMPUTED_VALUE"""),111.7)</f>
        <v>111.7</v>
      </c>
      <c r="G49" s="1">
        <f ca="1">IFERROR(__xludf.DUMMYFUNCTION("""COMPUTED_VALUE"""),50)</f>
        <v>50</v>
      </c>
      <c r="H49" s="1">
        <f ca="1">IFERROR(__xludf.DUMMYFUNCTION("""COMPUTED_VALUE"""),97.2)</f>
        <v>97.2</v>
      </c>
      <c r="I49" s="1">
        <f ca="1">IFERROR(__xludf.DUMMYFUNCTION("""COMPUTED_VALUE"""),49)</f>
        <v>49</v>
      </c>
      <c r="J49" s="1">
        <f ca="1">IFERROR(__xludf.DUMMYFUNCTION("""COMPUTED_VALUE"""),73.3)</f>
        <v>73.3</v>
      </c>
      <c r="K49" s="1">
        <f ca="1">IFERROR(__xludf.DUMMYFUNCTION("""COMPUTED_VALUE"""),12)</f>
        <v>12</v>
      </c>
      <c r="L49" s="1">
        <f ca="1">IFERROR(__xludf.DUMMYFUNCTION("""COMPUTED_VALUE"""),-0.013)</f>
        <v>-1.2999999999999999E-2</v>
      </c>
      <c r="M49" s="1">
        <f ca="1">IFERROR(__xludf.DUMMYFUNCTION("""COMPUTED_VALUE"""),220)</f>
        <v>220</v>
      </c>
      <c r="N49" s="1" t="str">
        <f ca="1">IFERROR(__xludf.DUMMYFUNCTION("""COMPUTED_VALUE"""),"+0.08")</f>
        <v>+0.08</v>
      </c>
      <c r="O49" s="1">
        <f ca="1">IFERROR(__xludf.DUMMYFUNCTION("""COMPUTED_VALUE"""),136)</f>
        <v>136</v>
      </c>
      <c r="P49" s="1">
        <f ca="1">IFERROR(__xludf.DUMMYFUNCTION("""COMPUTED_VALUE"""),103.9)</f>
        <v>103.9</v>
      </c>
      <c r="Q49" s="1">
        <f ca="1">IFERROR(__xludf.DUMMYFUNCTION("""COMPUTED_VALUE"""),178)</f>
        <v>178</v>
      </c>
      <c r="R49" s="1">
        <f ca="1">IFERROR(__xludf.DUMMYFUNCTION("""COMPUTED_VALUE"""),103.8)</f>
        <v>103.8</v>
      </c>
      <c r="S49" s="1">
        <f ca="1">IFERROR(__xludf.DUMMYFUNCTION("""COMPUTED_VALUE"""),122)</f>
        <v>122</v>
      </c>
      <c r="T49" s="1" t="str">
        <f ca="1">IFERROR(__xludf.DUMMYFUNCTION("""COMPUTED_VALUE"""),"+6.56")</f>
        <v>+6.56</v>
      </c>
      <c r="U49" s="1">
        <f ca="1">IFERROR(__xludf.DUMMYFUNCTION("""COMPUTED_VALUE"""),19)</f>
        <v>19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IFERROR(__xludf.DUMMYFUNCTION("""COMPUTED_VALUE"""),"Minnesota10")</f>
        <v>Minnesota10</v>
      </c>
      <c r="C50" s="1" t="str">
        <f ca="1">IFERROR(__xludf.DUMMYFUNCTION("""COMPUTED_VALUE"""),"B10")</f>
        <v>B10</v>
      </c>
      <c r="D50" s="1" t="str">
        <f ca="1">IFERROR(__xludf.DUMMYFUNCTION("""COMPUTED_VALUE"""),"22-14")</f>
        <v>22-14</v>
      </c>
      <c r="E50" s="1" t="str">
        <f ca="1">IFERROR(__xludf.DUMMYFUNCTION("""COMPUTED_VALUE"""),"+14.35")</f>
        <v>+14.35</v>
      </c>
      <c r="F50" s="1">
        <f ca="1">IFERROR(__xludf.DUMMYFUNCTION("""COMPUTED_VALUE"""),111.4)</f>
        <v>111.4</v>
      </c>
      <c r="G50" s="1">
        <f ca="1">IFERROR(__xludf.DUMMYFUNCTION("""COMPUTED_VALUE"""),52)</f>
        <v>52</v>
      </c>
      <c r="H50" s="1">
        <f ca="1">IFERROR(__xludf.DUMMYFUNCTION("""COMPUTED_VALUE"""),97)</f>
        <v>97</v>
      </c>
      <c r="I50" s="1">
        <f ca="1">IFERROR(__xludf.DUMMYFUNCTION("""COMPUTED_VALUE"""),48)</f>
        <v>48</v>
      </c>
      <c r="J50" s="1">
        <f ca="1">IFERROR(__xludf.DUMMYFUNCTION("""COMPUTED_VALUE"""),67.4)</f>
        <v>67.400000000000006</v>
      </c>
      <c r="K50" s="1">
        <f ca="1">IFERROR(__xludf.DUMMYFUNCTION("""COMPUTED_VALUE"""),186)</f>
        <v>186</v>
      </c>
      <c r="L50" s="1" t="str">
        <f ca="1">IFERROR(__xludf.DUMMYFUNCTION("""COMPUTED_VALUE"""),"+.086")</f>
        <v>+.086</v>
      </c>
      <c r="M50" s="1">
        <f ca="1">IFERROR(__xludf.DUMMYFUNCTION("""COMPUTED_VALUE"""),15)</f>
        <v>15</v>
      </c>
      <c r="N50" s="1" t="str">
        <f ca="1">IFERROR(__xludf.DUMMYFUNCTION("""COMPUTED_VALUE"""),"+12.18")</f>
        <v>+12.18</v>
      </c>
      <c r="O50" s="1">
        <f ca="1">IFERROR(__xludf.DUMMYFUNCTION("""COMPUTED_VALUE"""),12)</f>
        <v>12</v>
      </c>
      <c r="P50" s="1">
        <f ca="1">IFERROR(__xludf.DUMMYFUNCTION("""COMPUTED_VALUE"""),110.2)</f>
        <v>110.2</v>
      </c>
      <c r="Q50" s="1">
        <f ca="1">IFERROR(__xludf.DUMMYFUNCTION("""COMPUTED_VALUE"""),15)</f>
        <v>15</v>
      </c>
      <c r="R50" s="1">
        <f ca="1">IFERROR(__xludf.DUMMYFUNCTION("""COMPUTED_VALUE"""),98)</f>
        <v>98</v>
      </c>
      <c r="S50" s="1">
        <f ca="1">IFERROR(__xludf.DUMMYFUNCTION("""COMPUTED_VALUE"""),13)</f>
        <v>13</v>
      </c>
      <c r="T50" s="1">
        <f ca="1">IFERROR(__xludf.DUMMYFUNCTION("""COMPUTED_VALUE"""),-2.91)</f>
        <v>-2.91</v>
      </c>
      <c r="U50" s="1">
        <f ca="1">IFERROR(__xludf.DUMMYFUNCTION("""COMPUTED_VALUE"""),244)</f>
        <v>244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IFERROR(__xludf.DUMMYFUNCTION("""COMPUTED_VALUE"""),"Nebraska4")</f>
        <v>Nebraska4</v>
      </c>
      <c r="C51" s="1" t="str">
        <f ca="1">IFERROR(__xludf.DUMMYFUNCTION("""COMPUTED_VALUE"""),"B10")</f>
        <v>B10</v>
      </c>
      <c r="D51" s="1" t="str">
        <f ca="1">IFERROR(__xludf.DUMMYFUNCTION("""COMPUTED_VALUE"""),"19-17")</f>
        <v>19-17</v>
      </c>
      <c r="E51" s="1" t="str">
        <f ca="1">IFERROR(__xludf.DUMMYFUNCTION("""COMPUTED_VALUE"""),"+14.35")</f>
        <v>+14.35</v>
      </c>
      <c r="F51" s="1">
        <f ca="1">IFERROR(__xludf.DUMMYFUNCTION("""COMPUTED_VALUE"""),113.5)</f>
        <v>113.5</v>
      </c>
      <c r="G51" s="1">
        <f ca="1">IFERROR(__xludf.DUMMYFUNCTION("""COMPUTED_VALUE"""),30)</f>
        <v>30</v>
      </c>
      <c r="H51" s="1">
        <f ca="1">IFERROR(__xludf.DUMMYFUNCTION("""COMPUTED_VALUE"""),99.1)</f>
        <v>99.1</v>
      </c>
      <c r="I51" s="1">
        <f ca="1">IFERROR(__xludf.DUMMYFUNCTION("""COMPUTED_VALUE"""),79)</f>
        <v>79</v>
      </c>
      <c r="J51" s="1">
        <f ca="1">IFERROR(__xludf.DUMMYFUNCTION("""COMPUTED_VALUE"""),66.4)</f>
        <v>66.400000000000006</v>
      </c>
      <c r="K51" s="1">
        <f ca="1">IFERROR(__xludf.DUMMYFUNCTION("""COMPUTED_VALUE"""),238)</f>
        <v>238</v>
      </c>
      <c r="L51" s="1">
        <f ca="1">IFERROR(__xludf.DUMMYFUNCTION("""COMPUTED_VALUE"""),-0.046)</f>
        <v>-4.5999999999999999E-2</v>
      </c>
      <c r="M51" s="1">
        <f ca="1">IFERROR(__xludf.DUMMYFUNCTION("""COMPUTED_VALUE"""),288)</f>
        <v>288</v>
      </c>
      <c r="N51" s="1" t="str">
        <f ca="1">IFERROR(__xludf.DUMMYFUNCTION("""COMPUTED_VALUE"""),"+12.55")</f>
        <v>+12.55</v>
      </c>
      <c r="O51" s="1">
        <f ca="1">IFERROR(__xludf.DUMMYFUNCTION("""COMPUTED_VALUE"""),9)</f>
        <v>9</v>
      </c>
      <c r="P51" s="1">
        <f ca="1">IFERROR(__xludf.DUMMYFUNCTION("""COMPUTED_VALUE"""),109.7)</f>
        <v>109.7</v>
      </c>
      <c r="Q51" s="1">
        <f ca="1">IFERROR(__xludf.DUMMYFUNCTION("""COMPUTED_VALUE"""),22)</f>
        <v>22</v>
      </c>
      <c r="R51" s="1">
        <f ca="1">IFERROR(__xludf.DUMMYFUNCTION("""COMPUTED_VALUE"""),97.2)</f>
        <v>97.2</v>
      </c>
      <c r="S51" s="1">
        <f ca="1">IFERROR(__xludf.DUMMYFUNCTION("""COMPUTED_VALUE"""),4)</f>
        <v>4</v>
      </c>
      <c r="T51" s="1">
        <f ca="1">IFERROR(__xludf.DUMMYFUNCTION("""COMPUTED_VALUE"""),-0.17)</f>
        <v>-0.17</v>
      </c>
      <c r="U51" s="1">
        <f ca="1">IFERROR(__xludf.DUMMYFUNCTION("""COMPUTED_VALUE"""),168)</f>
        <v>168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IFERROR(__xludf.DUMMYFUNCTION("""COMPUTED_VALUE"""),"Washington9")</f>
        <v>Washington9</v>
      </c>
      <c r="C52" s="1" t="str">
        <f ca="1">IFERROR(__xludf.DUMMYFUNCTION("""COMPUTED_VALUE"""),"P12")</f>
        <v>P12</v>
      </c>
      <c r="D52" s="1" t="str">
        <f ca="1">IFERROR(__xludf.DUMMYFUNCTION("""COMPUTED_VALUE"""),"27-9")</f>
        <v>27-9</v>
      </c>
      <c r="E52" s="1" t="str">
        <f ca="1">IFERROR(__xludf.DUMMYFUNCTION("""COMPUTED_VALUE"""),"+14.28")</f>
        <v>+14.28</v>
      </c>
      <c r="F52" s="1">
        <f ca="1">IFERROR(__xludf.DUMMYFUNCTION("""COMPUTED_VALUE"""),107.7)</f>
        <v>107.7</v>
      </c>
      <c r="G52" s="1">
        <f ca="1">IFERROR(__xludf.DUMMYFUNCTION("""COMPUTED_VALUE"""),110)</f>
        <v>110</v>
      </c>
      <c r="H52" s="1">
        <f ca="1">IFERROR(__xludf.DUMMYFUNCTION("""COMPUTED_VALUE"""),93.5)</f>
        <v>93.5</v>
      </c>
      <c r="I52" s="1">
        <f ca="1">IFERROR(__xludf.DUMMYFUNCTION("""COMPUTED_VALUE"""),18)</f>
        <v>18</v>
      </c>
      <c r="J52" s="1">
        <f ca="1">IFERROR(__xludf.DUMMYFUNCTION("""COMPUTED_VALUE"""),66)</f>
        <v>66</v>
      </c>
      <c r="K52" s="1">
        <f ca="1">IFERROR(__xludf.DUMMYFUNCTION("""COMPUTED_VALUE"""),262)</f>
        <v>262</v>
      </c>
      <c r="L52" s="1" t="str">
        <f ca="1">IFERROR(__xludf.DUMMYFUNCTION("""COMPUTED_VALUE"""),"+.088")</f>
        <v>+.088</v>
      </c>
      <c r="M52" s="1">
        <f ca="1">IFERROR(__xludf.DUMMYFUNCTION("""COMPUTED_VALUE"""),13)</f>
        <v>13</v>
      </c>
      <c r="N52" s="1" t="str">
        <f ca="1">IFERROR(__xludf.DUMMYFUNCTION("""COMPUTED_VALUE"""),"+6.06")</f>
        <v>+6.06</v>
      </c>
      <c r="O52" s="1">
        <f ca="1">IFERROR(__xludf.DUMMYFUNCTION("""COMPUTED_VALUE"""),61)</f>
        <v>61</v>
      </c>
      <c r="P52" s="1">
        <f ca="1">IFERROR(__xludf.DUMMYFUNCTION("""COMPUTED_VALUE"""),107.6)</f>
        <v>107.6</v>
      </c>
      <c r="Q52" s="1">
        <f ca="1">IFERROR(__xludf.DUMMYFUNCTION("""COMPUTED_VALUE"""),62)</f>
        <v>62</v>
      </c>
      <c r="R52" s="1">
        <f ca="1">IFERROR(__xludf.DUMMYFUNCTION("""COMPUTED_VALUE"""),101.5)</f>
        <v>101.5</v>
      </c>
      <c r="S52" s="1">
        <f ca="1">IFERROR(__xludf.DUMMYFUNCTION("""COMPUTED_VALUE"""),64)</f>
        <v>64</v>
      </c>
      <c r="T52" s="1" t="str">
        <f ca="1">IFERROR(__xludf.DUMMYFUNCTION("""COMPUTED_VALUE"""),"+2.73")</f>
        <v>+2.73</v>
      </c>
      <c r="U52" s="1">
        <f ca="1">IFERROR(__xludf.DUMMYFUNCTION("""COMPUTED_VALUE"""),93)</f>
        <v>93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IFERROR(__xludf.DUMMYFUNCTION("""COMPUTED_VALUE"""),"Belmont11")</f>
        <v>Belmont11</v>
      </c>
      <c r="C53" s="1" t="str">
        <f ca="1">IFERROR(__xludf.DUMMYFUNCTION("""COMPUTED_VALUE"""),"OVC")</f>
        <v>OVC</v>
      </c>
      <c r="D53" s="1" t="str">
        <f ca="1">IFERROR(__xludf.DUMMYFUNCTION("""COMPUTED_VALUE"""),"27-6")</f>
        <v>27-6</v>
      </c>
      <c r="E53" s="1" t="str">
        <f ca="1">IFERROR(__xludf.DUMMYFUNCTION("""COMPUTED_VALUE"""),"+14.09")</f>
        <v>+14.09</v>
      </c>
      <c r="F53" s="1">
        <f ca="1">IFERROR(__xludf.DUMMYFUNCTION("""COMPUTED_VALUE"""),115.6)</f>
        <v>115.6</v>
      </c>
      <c r="G53" s="1">
        <f ca="1">IFERROR(__xludf.DUMMYFUNCTION("""COMPUTED_VALUE"""),18)</f>
        <v>18</v>
      </c>
      <c r="H53" s="1">
        <f ca="1">IFERROR(__xludf.DUMMYFUNCTION("""COMPUTED_VALUE"""),101.5)</f>
        <v>101.5</v>
      </c>
      <c r="I53" s="1">
        <f ca="1">IFERROR(__xludf.DUMMYFUNCTION("""COMPUTED_VALUE"""),117)</f>
        <v>117</v>
      </c>
      <c r="J53" s="1">
        <f ca="1">IFERROR(__xludf.DUMMYFUNCTION("""COMPUTED_VALUE"""),71.3)</f>
        <v>71.3</v>
      </c>
      <c r="K53" s="1">
        <f ca="1">IFERROR(__xludf.DUMMYFUNCTION("""COMPUTED_VALUE"""),34)</f>
        <v>34</v>
      </c>
      <c r="L53" s="1" t="str">
        <f ca="1">IFERROR(__xludf.DUMMYFUNCTION("""COMPUTED_VALUE"""),"+.025")</f>
        <v>+.025</v>
      </c>
      <c r="M53" s="1">
        <f ca="1">IFERROR(__xludf.DUMMYFUNCTION("""COMPUTED_VALUE"""),113)</f>
        <v>113</v>
      </c>
      <c r="N53" s="1">
        <f ca="1">IFERROR(__xludf.DUMMYFUNCTION("""COMPUTED_VALUE"""),-1.98)</f>
        <v>-1.98</v>
      </c>
      <c r="O53" s="1">
        <f ca="1">IFERROR(__xludf.DUMMYFUNCTION("""COMPUTED_VALUE"""),194)</f>
        <v>194</v>
      </c>
      <c r="P53" s="1">
        <f ca="1">IFERROR(__xludf.DUMMYFUNCTION("""COMPUTED_VALUE"""),103.6)</f>
        <v>103.6</v>
      </c>
      <c r="Q53" s="1">
        <f ca="1">IFERROR(__xludf.DUMMYFUNCTION("""COMPUTED_VALUE"""),183)</f>
        <v>183</v>
      </c>
      <c r="R53" s="1">
        <f ca="1">IFERROR(__xludf.DUMMYFUNCTION("""COMPUTED_VALUE"""),105.6)</f>
        <v>105.6</v>
      </c>
      <c r="S53" s="1">
        <f ca="1">IFERROR(__xludf.DUMMYFUNCTION("""COMPUTED_VALUE"""),198)</f>
        <v>198</v>
      </c>
      <c r="T53" s="1" t="str">
        <f ca="1">IFERROR(__xludf.DUMMYFUNCTION("""COMPUTED_VALUE"""),"+3.78")</f>
        <v>+3.78</v>
      </c>
      <c r="U53" s="1">
        <f ca="1">IFERROR(__xludf.DUMMYFUNCTION("""COMPUTED_VALUE"""),63)</f>
        <v>63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IFERROR(__xludf.DUMMYFUNCTION("""COMPUTED_VALUE"""),"Mississippi8")</f>
        <v>Mississippi8</v>
      </c>
      <c r="C54" s="1" t="str">
        <f ca="1">IFERROR(__xludf.DUMMYFUNCTION("""COMPUTED_VALUE"""),"SEC")</f>
        <v>SEC</v>
      </c>
      <c r="D54" s="1" t="str">
        <f ca="1">IFERROR(__xludf.DUMMYFUNCTION("""COMPUTED_VALUE"""),"20-13")</f>
        <v>20-13</v>
      </c>
      <c r="E54" s="1" t="str">
        <f ca="1">IFERROR(__xludf.DUMMYFUNCTION("""COMPUTED_VALUE"""),"+13.98")</f>
        <v>+13.98</v>
      </c>
      <c r="F54" s="1">
        <f ca="1">IFERROR(__xludf.DUMMYFUNCTION("""COMPUTED_VALUE"""),113.2)</f>
        <v>113.2</v>
      </c>
      <c r="G54" s="1">
        <f ca="1">IFERROR(__xludf.DUMMYFUNCTION("""COMPUTED_VALUE"""),33)</f>
        <v>33</v>
      </c>
      <c r="H54" s="1">
        <f ca="1">IFERROR(__xludf.DUMMYFUNCTION("""COMPUTED_VALUE"""),99.2)</f>
        <v>99.2</v>
      </c>
      <c r="I54" s="1">
        <f ca="1">IFERROR(__xludf.DUMMYFUNCTION("""COMPUTED_VALUE"""),80)</f>
        <v>80</v>
      </c>
      <c r="J54" s="1">
        <f ca="1">IFERROR(__xludf.DUMMYFUNCTION("""COMPUTED_VALUE"""),68.5)</f>
        <v>68.5</v>
      </c>
      <c r="K54" s="1">
        <f ca="1">IFERROR(__xludf.DUMMYFUNCTION("""COMPUTED_VALUE"""),131)</f>
        <v>131</v>
      </c>
      <c r="L54" s="1">
        <f ca="1">IFERROR(__xludf.DUMMYFUNCTION("""COMPUTED_VALUE"""),-0.007)</f>
        <v>-7.0000000000000001E-3</v>
      </c>
      <c r="M54" s="1">
        <f ca="1">IFERROR(__xludf.DUMMYFUNCTION("""COMPUTED_VALUE"""),203)</f>
        <v>203</v>
      </c>
      <c r="N54" s="1" t="str">
        <f ca="1">IFERROR(__xludf.DUMMYFUNCTION("""COMPUTED_VALUE"""),"+8.69")</f>
        <v>+8.69</v>
      </c>
      <c r="O54" s="1">
        <f ca="1">IFERROR(__xludf.DUMMYFUNCTION("""COMPUTED_VALUE"""),43)</f>
        <v>43</v>
      </c>
      <c r="P54" s="1">
        <f ca="1">IFERROR(__xludf.DUMMYFUNCTION("""COMPUTED_VALUE"""),109.1)</f>
        <v>109.1</v>
      </c>
      <c r="Q54" s="1">
        <f ca="1">IFERROR(__xludf.DUMMYFUNCTION("""COMPUTED_VALUE"""),38)</f>
        <v>38</v>
      </c>
      <c r="R54" s="1">
        <f ca="1">IFERROR(__xludf.DUMMYFUNCTION("""COMPUTED_VALUE"""),100.4)</f>
        <v>100.4</v>
      </c>
      <c r="S54" s="1">
        <f ca="1">IFERROR(__xludf.DUMMYFUNCTION("""COMPUTED_VALUE"""),49)</f>
        <v>49</v>
      </c>
      <c r="T54" s="1">
        <f ca="1">IFERROR(__xludf.DUMMYFUNCTION("""COMPUTED_VALUE"""),-1.11)</f>
        <v>-1.1100000000000001</v>
      </c>
      <c r="U54" s="1">
        <f ca="1">IFERROR(__xludf.DUMMYFUNCTION("""COMPUTED_VALUE"""),191)</f>
        <v>191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IFERROR(__xludf.DUMMYFUNCTION("""COMPUTED_VALUE"""),"Murray St.12")</f>
        <v>Murray St.12</v>
      </c>
      <c r="C55" s="1" t="str">
        <f ca="1">IFERROR(__xludf.DUMMYFUNCTION("""COMPUTED_VALUE"""),"OVC")</f>
        <v>OVC</v>
      </c>
      <c r="D55" s="1" t="str">
        <f ca="1">IFERROR(__xludf.DUMMYFUNCTION("""COMPUTED_VALUE"""),"28-5")</f>
        <v>28-5</v>
      </c>
      <c r="E55" s="1" t="str">
        <f ca="1">IFERROR(__xludf.DUMMYFUNCTION("""COMPUTED_VALUE"""),"+13.83")</f>
        <v>+13.83</v>
      </c>
      <c r="F55" s="1">
        <f ca="1">IFERROR(__xludf.DUMMYFUNCTION("""COMPUTED_VALUE"""),112.5)</f>
        <v>112.5</v>
      </c>
      <c r="G55" s="1">
        <f ca="1">IFERROR(__xludf.DUMMYFUNCTION("""COMPUTED_VALUE"""),41)</f>
        <v>41</v>
      </c>
      <c r="H55" s="1">
        <f ca="1">IFERROR(__xludf.DUMMYFUNCTION("""COMPUTED_VALUE"""),98.6)</f>
        <v>98.6</v>
      </c>
      <c r="I55" s="1">
        <f ca="1">IFERROR(__xludf.DUMMYFUNCTION("""COMPUTED_VALUE"""),73)</f>
        <v>73</v>
      </c>
      <c r="J55" s="1">
        <f ca="1">IFERROR(__xludf.DUMMYFUNCTION("""COMPUTED_VALUE"""),69.4)</f>
        <v>69.400000000000006</v>
      </c>
      <c r="K55" s="1">
        <f ca="1">IFERROR(__xludf.DUMMYFUNCTION("""COMPUTED_VALUE"""),89)</f>
        <v>89</v>
      </c>
      <c r="L55" s="1" t="str">
        <f ca="1">IFERROR(__xludf.DUMMYFUNCTION("""COMPUTED_VALUE"""),"+.054")</f>
        <v>+.054</v>
      </c>
      <c r="M55" s="1">
        <f ca="1">IFERROR(__xludf.DUMMYFUNCTION("""COMPUTED_VALUE"""),54)</f>
        <v>54</v>
      </c>
      <c r="N55" s="1">
        <f ca="1">IFERROR(__xludf.DUMMYFUNCTION("""COMPUTED_VALUE"""),-3.32)</f>
        <v>-3.32</v>
      </c>
      <c r="O55" s="1">
        <f ca="1">IFERROR(__xludf.DUMMYFUNCTION("""COMPUTED_VALUE"""),233)</f>
        <v>233</v>
      </c>
      <c r="P55" s="1">
        <f ca="1">IFERROR(__xludf.DUMMYFUNCTION("""COMPUTED_VALUE"""),103.1)</f>
        <v>103.1</v>
      </c>
      <c r="Q55" s="1">
        <f ca="1">IFERROR(__xludf.DUMMYFUNCTION("""COMPUTED_VALUE"""),222)</f>
        <v>222</v>
      </c>
      <c r="R55" s="1">
        <f ca="1">IFERROR(__xludf.DUMMYFUNCTION("""COMPUTED_VALUE"""),106.4)</f>
        <v>106.4</v>
      </c>
      <c r="S55" s="1">
        <f ca="1">IFERROR(__xludf.DUMMYFUNCTION("""COMPUTED_VALUE"""),228)</f>
        <v>228</v>
      </c>
      <c r="T55" s="1">
        <f ca="1">IFERROR(__xludf.DUMMYFUNCTION("""COMPUTED_VALUE"""),-1.13)</f>
        <v>-1.1299999999999999</v>
      </c>
      <c r="U55" s="1">
        <f ca="1">IFERROR(__xludf.DUMMYFUNCTION("""COMPUTED_VALUE"""),192)</f>
        <v>192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IFERROR(__xludf.DUMMYFUNCTION("""COMPUTED_VALUE"""),"Indiana1")</f>
        <v>Indiana1</v>
      </c>
      <c r="C56" s="1" t="str">
        <f ca="1">IFERROR(__xludf.DUMMYFUNCTION("""COMPUTED_VALUE"""),"B10")</f>
        <v>B10</v>
      </c>
      <c r="D56" s="1" t="str">
        <f ca="1">IFERROR(__xludf.DUMMYFUNCTION("""COMPUTED_VALUE"""),"19-16")</f>
        <v>19-16</v>
      </c>
      <c r="E56" s="1" t="str">
        <f ca="1">IFERROR(__xludf.DUMMYFUNCTION("""COMPUTED_VALUE"""),"+13.73")</f>
        <v>+13.73</v>
      </c>
      <c r="F56" s="1">
        <f ca="1">IFERROR(__xludf.DUMMYFUNCTION("""COMPUTED_VALUE"""),109.1)</f>
        <v>109.1</v>
      </c>
      <c r="G56" s="1">
        <f ca="1">IFERROR(__xludf.DUMMYFUNCTION("""COMPUTED_VALUE"""),82)</f>
        <v>82</v>
      </c>
      <c r="H56" s="1">
        <f ca="1">IFERROR(__xludf.DUMMYFUNCTION("""COMPUTED_VALUE"""),95.4)</f>
        <v>95.4</v>
      </c>
      <c r="I56" s="1">
        <f ca="1">IFERROR(__xludf.DUMMYFUNCTION("""COMPUTED_VALUE"""),32)</f>
        <v>32</v>
      </c>
      <c r="J56" s="1">
        <f ca="1">IFERROR(__xludf.DUMMYFUNCTION("""COMPUTED_VALUE"""),66.9)</f>
        <v>66.900000000000006</v>
      </c>
      <c r="K56" s="1">
        <f ca="1">IFERROR(__xludf.DUMMYFUNCTION("""COMPUTED_VALUE"""),215)</f>
        <v>215</v>
      </c>
      <c r="L56" s="1">
        <f ca="1">IFERROR(__xludf.DUMMYFUNCTION("""COMPUTED_VALUE"""),-0.034)</f>
        <v>-3.4000000000000002E-2</v>
      </c>
      <c r="M56" s="1">
        <f ca="1">IFERROR(__xludf.DUMMYFUNCTION("""COMPUTED_VALUE"""),262)</f>
        <v>262</v>
      </c>
      <c r="N56" s="1" t="str">
        <f ca="1">IFERROR(__xludf.DUMMYFUNCTION("""COMPUTED_VALUE"""),"+10.62")</f>
        <v>+10.62</v>
      </c>
      <c r="O56" s="1">
        <f ca="1">IFERROR(__xludf.DUMMYFUNCTION("""COMPUTED_VALUE"""),27)</f>
        <v>27</v>
      </c>
      <c r="P56" s="1">
        <f ca="1">IFERROR(__xludf.DUMMYFUNCTION("""COMPUTED_VALUE"""),109.4)</f>
        <v>109.4</v>
      </c>
      <c r="Q56" s="1">
        <f ca="1">IFERROR(__xludf.DUMMYFUNCTION("""COMPUTED_VALUE"""),28)</f>
        <v>28</v>
      </c>
      <c r="R56" s="1">
        <f ca="1">IFERROR(__xludf.DUMMYFUNCTION("""COMPUTED_VALUE"""),98.8)</f>
        <v>98.8</v>
      </c>
      <c r="S56" s="1">
        <f ca="1">IFERROR(__xludf.DUMMYFUNCTION("""COMPUTED_VALUE"""),25)</f>
        <v>25</v>
      </c>
      <c r="T56" s="1">
        <f ca="1">IFERROR(__xludf.DUMMYFUNCTION("""COMPUTED_VALUE"""),-1.57)</f>
        <v>-1.57</v>
      </c>
      <c r="U56" s="1">
        <f ca="1">IFERROR(__xludf.DUMMYFUNCTION("""COMPUTED_VALUE"""),207)</f>
        <v>207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IFERROR(__xludf.DUMMYFUNCTION("""COMPUTED_VALUE"""),"New Mexico St.12")</f>
        <v>New Mexico St.12</v>
      </c>
      <c r="C57" s="1" t="str">
        <f ca="1">IFERROR(__xludf.DUMMYFUNCTION("""COMPUTED_VALUE"""),"WAC")</f>
        <v>WAC</v>
      </c>
      <c r="D57" s="1" t="str">
        <f ca="1">IFERROR(__xludf.DUMMYFUNCTION("""COMPUTED_VALUE"""),"30-5")</f>
        <v>30-5</v>
      </c>
      <c r="E57" s="1" t="str">
        <f ca="1">IFERROR(__xludf.DUMMYFUNCTION("""COMPUTED_VALUE"""),"+13.62")</f>
        <v>+13.62</v>
      </c>
      <c r="F57" s="1">
        <f ca="1">IFERROR(__xludf.DUMMYFUNCTION("""COMPUTED_VALUE"""),113)</f>
        <v>113</v>
      </c>
      <c r="G57" s="1">
        <f ca="1">IFERROR(__xludf.DUMMYFUNCTION("""COMPUTED_VALUE"""),35)</f>
        <v>35</v>
      </c>
      <c r="H57" s="1">
        <f ca="1">IFERROR(__xludf.DUMMYFUNCTION("""COMPUTED_VALUE"""),99.3)</f>
        <v>99.3</v>
      </c>
      <c r="I57" s="1">
        <f ca="1">IFERROR(__xludf.DUMMYFUNCTION("""COMPUTED_VALUE"""),84)</f>
        <v>84</v>
      </c>
      <c r="J57" s="1">
        <f ca="1">IFERROR(__xludf.DUMMYFUNCTION("""COMPUTED_VALUE"""),65.9)</f>
        <v>65.900000000000006</v>
      </c>
      <c r="K57" s="1">
        <f ca="1">IFERROR(__xludf.DUMMYFUNCTION("""COMPUTED_VALUE"""),269)</f>
        <v>269</v>
      </c>
      <c r="L57" s="1" t="str">
        <f ca="1">IFERROR(__xludf.DUMMYFUNCTION("""COMPUTED_VALUE"""),"+.042")</f>
        <v>+.042</v>
      </c>
      <c r="M57" s="1">
        <f ca="1">IFERROR(__xludf.DUMMYFUNCTION("""COMPUTED_VALUE"""),79)</f>
        <v>79</v>
      </c>
      <c r="N57" s="1">
        <f ca="1">IFERROR(__xludf.DUMMYFUNCTION("""COMPUTED_VALUE"""),-3.44)</f>
        <v>-3.44</v>
      </c>
      <c r="O57" s="1">
        <f ca="1">IFERROR(__xludf.DUMMYFUNCTION("""COMPUTED_VALUE"""),236)</f>
        <v>236</v>
      </c>
      <c r="P57" s="1">
        <f ca="1">IFERROR(__xludf.DUMMYFUNCTION("""COMPUTED_VALUE"""),102.8)</f>
        <v>102.8</v>
      </c>
      <c r="Q57" s="1">
        <f ca="1">IFERROR(__xludf.DUMMYFUNCTION("""COMPUTED_VALUE"""),235)</f>
        <v>235</v>
      </c>
      <c r="R57" s="1">
        <f ca="1">IFERROR(__xludf.DUMMYFUNCTION("""COMPUTED_VALUE"""),106.2)</f>
        <v>106.2</v>
      </c>
      <c r="S57" s="1">
        <f ca="1">IFERROR(__xludf.DUMMYFUNCTION("""COMPUTED_VALUE"""),222)</f>
        <v>222</v>
      </c>
      <c r="T57" s="1">
        <f ca="1">IFERROR(__xludf.DUMMYFUNCTION("""COMPUTED_VALUE"""),-3.22)</f>
        <v>-3.22</v>
      </c>
      <c r="U57" s="1">
        <f ca="1">IFERROR(__xludf.DUMMYFUNCTION("""COMPUTED_VALUE"""),254)</f>
        <v>254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IFERROR(__xludf.DUMMYFUNCTION("""COMPUTED_VALUE"""),"Arkansas5")</f>
        <v>Arkansas5</v>
      </c>
      <c r="C58" s="1" t="str">
        <f ca="1">IFERROR(__xludf.DUMMYFUNCTION("""COMPUTED_VALUE"""),"SEC")</f>
        <v>SEC</v>
      </c>
      <c r="D58" s="1" t="str">
        <f ca="1">IFERROR(__xludf.DUMMYFUNCTION("""COMPUTED_VALUE"""),"18-16")</f>
        <v>18-16</v>
      </c>
      <c r="E58" s="1" t="str">
        <f ca="1">IFERROR(__xludf.DUMMYFUNCTION("""COMPUTED_VALUE"""),"+12.92")</f>
        <v>+12.92</v>
      </c>
      <c r="F58" s="1">
        <f ca="1">IFERROR(__xludf.DUMMYFUNCTION("""COMPUTED_VALUE"""),110.1)</f>
        <v>110.1</v>
      </c>
      <c r="G58" s="1">
        <f ca="1">IFERROR(__xludf.DUMMYFUNCTION("""COMPUTED_VALUE"""),66)</f>
        <v>66</v>
      </c>
      <c r="H58" s="1">
        <f ca="1">IFERROR(__xludf.DUMMYFUNCTION("""COMPUTED_VALUE"""),97.2)</f>
        <v>97.2</v>
      </c>
      <c r="I58" s="1">
        <f ca="1">IFERROR(__xludf.DUMMYFUNCTION("""COMPUTED_VALUE"""),53)</f>
        <v>53</v>
      </c>
      <c r="J58" s="1">
        <f ca="1">IFERROR(__xludf.DUMMYFUNCTION("""COMPUTED_VALUE"""),70.4)</f>
        <v>70.400000000000006</v>
      </c>
      <c r="K58" s="1">
        <f ca="1">IFERROR(__xludf.DUMMYFUNCTION("""COMPUTED_VALUE"""),57)</f>
        <v>57</v>
      </c>
      <c r="L58" s="1">
        <f ca="1">IFERROR(__xludf.DUMMYFUNCTION("""COMPUTED_VALUE"""),-0.048)</f>
        <v>-4.8000000000000001E-2</v>
      </c>
      <c r="M58" s="1">
        <f ca="1">IFERROR(__xludf.DUMMYFUNCTION("""COMPUTED_VALUE"""),291)</f>
        <v>291</v>
      </c>
      <c r="N58" s="1" t="str">
        <f ca="1">IFERROR(__xludf.DUMMYFUNCTION("""COMPUTED_VALUE"""),"+8.48")</f>
        <v>+8.48</v>
      </c>
      <c r="O58" s="1">
        <f ca="1">IFERROR(__xludf.DUMMYFUNCTION("""COMPUTED_VALUE"""),46)</f>
        <v>46</v>
      </c>
      <c r="P58" s="1">
        <f ca="1">IFERROR(__xludf.DUMMYFUNCTION("""COMPUTED_VALUE"""),108.2)</f>
        <v>108.2</v>
      </c>
      <c r="Q58" s="1">
        <f ca="1">IFERROR(__xludf.DUMMYFUNCTION("""COMPUTED_VALUE"""),52)</f>
        <v>52</v>
      </c>
      <c r="R58" s="1">
        <f ca="1">IFERROR(__xludf.DUMMYFUNCTION("""COMPUTED_VALUE"""),99.7)</f>
        <v>99.7</v>
      </c>
      <c r="S58" s="1">
        <f ca="1">IFERROR(__xludf.DUMMYFUNCTION("""COMPUTED_VALUE"""),41)</f>
        <v>41</v>
      </c>
      <c r="T58" s="1" t="str">
        <f ca="1">IFERROR(__xludf.DUMMYFUNCTION("""COMPUTED_VALUE"""),"+0.09")</f>
        <v>+0.09</v>
      </c>
      <c r="U58" s="1">
        <f ca="1">IFERROR(__xludf.DUMMYFUNCTION("""COMPUTED_VALUE"""),159)</f>
        <v>159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IFERROR(__xludf.DUMMYFUNCTION("""COMPUTED_VALUE"""),"Creighton2")</f>
        <v>Creighton2</v>
      </c>
      <c r="C59" s="1" t="str">
        <f ca="1">IFERROR(__xludf.DUMMYFUNCTION("""COMPUTED_VALUE"""),"BE")</f>
        <v>BE</v>
      </c>
      <c r="D59" s="1" t="str">
        <f ca="1">IFERROR(__xludf.DUMMYFUNCTION("""COMPUTED_VALUE"""),"20-15")</f>
        <v>20-15</v>
      </c>
      <c r="E59" s="1" t="str">
        <f ca="1">IFERROR(__xludf.DUMMYFUNCTION("""COMPUTED_VALUE"""),"+12.67")</f>
        <v>+12.67</v>
      </c>
      <c r="F59" s="1">
        <f ca="1">IFERROR(__xludf.DUMMYFUNCTION("""COMPUTED_VALUE"""),112)</f>
        <v>112</v>
      </c>
      <c r="G59" s="1">
        <f ca="1">IFERROR(__xludf.DUMMYFUNCTION("""COMPUTED_VALUE"""),47)</f>
        <v>47</v>
      </c>
      <c r="H59" s="1">
        <f ca="1">IFERROR(__xludf.DUMMYFUNCTION("""COMPUTED_VALUE"""),99.3)</f>
        <v>99.3</v>
      </c>
      <c r="I59" s="1">
        <f ca="1">IFERROR(__xludf.DUMMYFUNCTION("""COMPUTED_VALUE"""),83)</f>
        <v>83</v>
      </c>
      <c r="J59" s="1">
        <f ca="1">IFERROR(__xludf.DUMMYFUNCTION("""COMPUTED_VALUE"""),68.7)</f>
        <v>68.7</v>
      </c>
      <c r="K59" s="1">
        <f ca="1">IFERROR(__xludf.DUMMYFUNCTION("""COMPUTED_VALUE"""),118)</f>
        <v>118</v>
      </c>
      <c r="L59" s="1">
        <f ca="1">IFERROR(__xludf.DUMMYFUNCTION("""COMPUTED_VALUE"""),-0.034)</f>
        <v>-3.4000000000000002E-2</v>
      </c>
      <c r="M59" s="1">
        <f ca="1">IFERROR(__xludf.DUMMYFUNCTION("""COMPUTED_VALUE"""),261)</f>
        <v>261</v>
      </c>
      <c r="N59" s="1" t="str">
        <f ca="1">IFERROR(__xludf.DUMMYFUNCTION("""COMPUTED_VALUE"""),"+8.07")</f>
        <v>+8.07</v>
      </c>
      <c r="O59" s="1">
        <f ca="1">IFERROR(__xludf.DUMMYFUNCTION("""COMPUTED_VALUE"""),48)</f>
        <v>48</v>
      </c>
      <c r="P59" s="1">
        <f ca="1">IFERROR(__xludf.DUMMYFUNCTION("""COMPUTED_VALUE"""),109)</f>
        <v>109</v>
      </c>
      <c r="Q59" s="1">
        <f ca="1">IFERROR(__xludf.DUMMYFUNCTION("""COMPUTED_VALUE"""),41)</f>
        <v>41</v>
      </c>
      <c r="R59" s="1">
        <f ca="1">IFERROR(__xludf.DUMMYFUNCTION("""COMPUTED_VALUE"""),100.9)</f>
        <v>100.9</v>
      </c>
      <c r="S59" s="1">
        <f ca="1">IFERROR(__xludf.DUMMYFUNCTION("""COMPUTED_VALUE"""),58)</f>
        <v>58</v>
      </c>
      <c r="T59" s="1" t="str">
        <f ca="1">IFERROR(__xludf.DUMMYFUNCTION("""COMPUTED_VALUE"""),"+5.14")</f>
        <v>+5.14</v>
      </c>
      <c r="U59" s="1">
        <f ca="1">IFERROR(__xludf.DUMMYFUNCTION("""COMPUTED_VALUE"""),38)</f>
        <v>38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IFERROR(__xludf.DUMMYFUNCTION("""COMPUTED_VALUE"""),"Memphis3")</f>
        <v>Memphis3</v>
      </c>
      <c r="C60" s="1" t="str">
        <f ca="1">IFERROR(__xludf.DUMMYFUNCTION("""COMPUTED_VALUE"""),"Amer")</f>
        <v>Amer</v>
      </c>
      <c r="D60" s="1" t="str">
        <f ca="1">IFERROR(__xludf.DUMMYFUNCTION("""COMPUTED_VALUE"""),"22-14")</f>
        <v>22-14</v>
      </c>
      <c r="E60" s="1" t="str">
        <f ca="1">IFERROR(__xludf.DUMMYFUNCTION("""COMPUTED_VALUE"""),"+11.78")</f>
        <v>+11.78</v>
      </c>
      <c r="F60" s="1">
        <f ca="1">IFERROR(__xludf.DUMMYFUNCTION("""COMPUTED_VALUE"""),109.2)</f>
        <v>109.2</v>
      </c>
      <c r="G60" s="1">
        <f ca="1">IFERROR(__xludf.DUMMYFUNCTION("""COMPUTED_VALUE"""),81)</f>
        <v>81</v>
      </c>
      <c r="H60" s="1">
        <f ca="1">IFERROR(__xludf.DUMMYFUNCTION("""COMPUTED_VALUE"""),97.4)</f>
        <v>97.4</v>
      </c>
      <c r="I60" s="1">
        <f ca="1">IFERROR(__xludf.DUMMYFUNCTION("""COMPUTED_VALUE"""),54)</f>
        <v>54</v>
      </c>
      <c r="J60" s="1">
        <f ca="1">IFERROR(__xludf.DUMMYFUNCTION("""COMPUTED_VALUE"""),74.2)</f>
        <v>74.2</v>
      </c>
      <c r="K60" s="1">
        <f ca="1">IFERROR(__xludf.DUMMYFUNCTION("""COMPUTED_VALUE"""),7)</f>
        <v>7</v>
      </c>
      <c r="L60" s="1">
        <f ca="1">IFERROR(__xludf.DUMMYFUNCTION("""COMPUTED_VALUE"""),-0.032)</f>
        <v>-3.2000000000000001E-2</v>
      </c>
      <c r="M60" s="1">
        <f ca="1">IFERROR(__xludf.DUMMYFUNCTION("""COMPUTED_VALUE"""),258)</f>
        <v>258</v>
      </c>
      <c r="N60" s="1" t="str">
        <f ca="1">IFERROR(__xludf.DUMMYFUNCTION("""COMPUTED_VALUE"""),"+4.41")</f>
        <v>+4.41</v>
      </c>
      <c r="O60" s="1">
        <f ca="1">IFERROR(__xludf.DUMMYFUNCTION("""COMPUTED_VALUE"""),77)</f>
        <v>77</v>
      </c>
      <c r="P60" s="1">
        <f ca="1">IFERROR(__xludf.DUMMYFUNCTION("""COMPUTED_VALUE"""),106)</f>
        <v>106</v>
      </c>
      <c r="Q60" s="1">
        <f ca="1">IFERROR(__xludf.DUMMYFUNCTION("""COMPUTED_VALUE"""),86)</f>
        <v>86</v>
      </c>
      <c r="R60" s="1">
        <f ca="1">IFERROR(__xludf.DUMMYFUNCTION("""COMPUTED_VALUE"""),101.6)</f>
        <v>101.6</v>
      </c>
      <c r="S60" s="1">
        <f ca="1">IFERROR(__xludf.DUMMYFUNCTION("""COMPUTED_VALUE"""),65)</f>
        <v>65</v>
      </c>
      <c r="T60" s="1" t="str">
        <f ca="1">IFERROR(__xludf.DUMMYFUNCTION("""COMPUTED_VALUE"""),"+0.01")</f>
        <v>+0.01</v>
      </c>
      <c r="U60" s="1">
        <f ca="1">IFERROR(__xludf.DUMMYFUNCTION("""COMPUTED_VALUE"""),162)</f>
        <v>162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IFERROR(__xludf.DUMMYFUNCTION("""COMPUTED_VALUE"""),"Arizona St.11")</f>
        <v>Arizona St.11</v>
      </c>
      <c r="C61" s="1" t="str">
        <f ca="1">IFERROR(__xludf.DUMMYFUNCTION("""COMPUTED_VALUE"""),"P12")</f>
        <v>P12</v>
      </c>
      <c r="D61" s="1" t="str">
        <f ca="1">IFERROR(__xludf.DUMMYFUNCTION("""COMPUTED_VALUE"""),"23-11")</f>
        <v>23-11</v>
      </c>
      <c r="E61" s="1" t="str">
        <f ca="1">IFERROR(__xludf.DUMMYFUNCTION("""COMPUTED_VALUE"""),"+11.55")</f>
        <v>+11.55</v>
      </c>
      <c r="F61" s="1">
        <f ca="1">IFERROR(__xludf.DUMMYFUNCTION("""COMPUTED_VALUE"""),109.7)</f>
        <v>109.7</v>
      </c>
      <c r="G61" s="1">
        <f ca="1">IFERROR(__xludf.DUMMYFUNCTION("""COMPUTED_VALUE"""),73)</f>
        <v>73</v>
      </c>
      <c r="H61" s="1">
        <f ca="1">IFERROR(__xludf.DUMMYFUNCTION("""COMPUTED_VALUE"""),98.2)</f>
        <v>98.2</v>
      </c>
      <c r="I61" s="1">
        <f ca="1">IFERROR(__xludf.DUMMYFUNCTION("""COMPUTED_VALUE"""),64)</f>
        <v>64</v>
      </c>
      <c r="J61" s="1">
        <f ca="1">IFERROR(__xludf.DUMMYFUNCTION("""COMPUTED_VALUE"""),70.8)</f>
        <v>70.8</v>
      </c>
      <c r="K61" s="1">
        <f ca="1">IFERROR(__xludf.DUMMYFUNCTION("""COMPUTED_VALUE"""),47)</f>
        <v>47</v>
      </c>
      <c r="L61" s="1" t="str">
        <f ca="1">IFERROR(__xludf.DUMMYFUNCTION("""COMPUTED_VALUE"""),"+.051")</f>
        <v>+.051</v>
      </c>
      <c r="M61" s="1">
        <f ca="1">IFERROR(__xludf.DUMMYFUNCTION("""COMPUTED_VALUE"""),59)</f>
        <v>59</v>
      </c>
      <c r="N61" s="1" t="str">
        <f ca="1">IFERROR(__xludf.DUMMYFUNCTION("""COMPUTED_VALUE"""),"+5.56")</f>
        <v>+5.56</v>
      </c>
      <c r="O61" s="1">
        <f ca="1">IFERROR(__xludf.DUMMYFUNCTION("""COMPUTED_VALUE"""),65)</f>
        <v>65</v>
      </c>
      <c r="P61" s="1">
        <f ca="1">IFERROR(__xludf.DUMMYFUNCTION("""COMPUTED_VALUE"""),107.3)</f>
        <v>107.3</v>
      </c>
      <c r="Q61" s="1">
        <f ca="1">IFERROR(__xludf.DUMMYFUNCTION("""COMPUTED_VALUE"""),64)</f>
        <v>64</v>
      </c>
      <c r="R61" s="1">
        <f ca="1">IFERROR(__xludf.DUMMYFUNCTION("""COMPUTED_VALUE"""),101.7)</f>
        <v>101.7</v>
      </c>
      <c r="S61" s="1">
        <f ca="1">IFERROR(__xludf.DUMMYFUNCTION("""COMPUTED_VALUE"""),66)</f>
        <v>66</v>
      </c>
      <c r="T61" s="1" t="str">
        <f ca="1">IFERROR(__xludf.DUMMYFUNCTION("""COMPUTED_VALUE"""),"+1.55")</f>
        <v>+1.55</v>
      </c>
      <c r="U61" s="1">
        <f ca="1">IFERROR(__xludf.DUMMYFUNCTION("""COMPUTED_VALUE"""),112)</f>
        <v>112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IFERROR(__xludf.DUMMYFUNCTION("""COMPUTED_VALUE"""),"Liberty12")</f>
        <v>Liberty12</v>
      </c>
      <c r="C62" s="1" t="str">
        <f ca="1">IFERROR(__xludf.DUMMYFUNCTION("""COMPUTED_VALUE"""),"ASun")</f>
        <v>ASun</v>
      </c>
      <c r="D62" s="1" t="str">
        <f ca="1">IFERROR(__xludf.DUMMYFUNCTION("""COMPUTED_VALUE"""),"29-7")</f>
        <v>29-7</v>
      </c>
      <c r="E62" s="1" t="str">
        <f ca="1">IFERROR(__xludf.DUMMYFUNCTION("""COMPUTED_VALUE"""),"+11.54")</f>
        <v>+11.54</v>
      </c>
      <c r="F62" s="1">
        <f ca="1">IFERROR(__xludf.DUMMYFUNCTION("""COMPUTED_VALUE"""),111.1)</f>
        <v>111.1</v>
      </c>
      <c r="G62" s="1">
        <f ca="1">IFERROR(__xludf.DUMMYFUNCTION("""COMPUTED_VALUE"""),54)</f>
        <v>54</v>
      </c>
      <c r="H62" s="1">
        <f ca="1">IFERROR(__xludf.DUMMYFUNCTION("""COMPUTED_VALUE"""),99.6)</f>
        <v>99.6</v>
      </c>
      <c r="I62" s="1">
        <f ca="1">IFERROR(__xludf.DUMMYFUNCTION("""COMPUTED_VALUE"""),87)</f>
        <v>87</v>
      </c>
      <c r="J62" s="1">
        <f ca="1">IFERROR(__xludf.DUMMYFUNCTION("""COMPUTED_VALUE"""),62.3)</f>
        <v>62.3</v>
      </c>
      <c r="K62" s="1">
        <f ca="1">IFERROR(__xludf.DUMMYFUNCTION("""COMPUTED_VALUE"""),349)</f>
        <v>349</v>
      </c>
      <c r="L62" s="1" t="str">
        <f ca="1">IFERROR(__xludf.DUMMYFUNCTION("""COMPUTED_VALUE"""),"+.009")</f>
        <v>+.009</v>
      </c>
      <c r="M62" s="1">
        <f ca="1">IFERROR(__xludf.DUMMYFUNCTION("""COMPUTED_VALUE"""),158)</f>
        <v>158</v>
      </c>
      <c r="N62" s="1">
        <f ca="1">IFERROR(__xludf.DUMMYFUNCTION("""COMPUTED_VALUE"""),-3.27)</f>
        <v>-3.27</v>
      </c>
      <c r="O62" s="1">
        <f ca="1">IFERROR(__xludf.DUMMYFUNCTION("""COMPUTED_VALUE"""),230)</f>
        <v>230</v>
      </c>
      <c r="P62" s="1">
        <f ca="1">IFERROR(__xludf.DUMMYFUNCTION("""COMPUTED_VALUE"""),102.5)</f>
        <v>102.5</v>
      </c>
      <c r="Q62" s="1">
        <f ca="1">IFERROR(__xludf.DUMMYFUNCTION("""COMPUTED_VALUE"""),245)</f>
        <v>245</v>
      </c>
      <c r="R62" s="1">
        <f ca="1">IFERROR(__xludf.DUMMYFUNCTION("""COMPUTED_VALUE"""),105.8)</f>
        <v>105.8</v>
      </c>
      <c r="S62" s="1">
        <f ca="1">IFERROR(__xludf.DUMMYFUNCTION("""COMPUTED_VALUE"""),203)</f>
        <v>203</v>
      </c>
      <c r="T62" s="1">
        <f ca="1">IFERROR(__xludf.DUMMYFUNCTION("""COMPUTED_VALUE"""),-3.2)</f>
        <v>-3.2</v>
      </c>
      <c r="U62" s="1">
        <f ca="1">IFERROR(__xludf.DUMMYFUNCTION("""COMPUTED_VALUE"""),252)</f>
        <v>252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IFERROR(__xludf.DUMMYFUNCTION("""COMPUTED_VALUE"""),"Furman3")</f>
        <v>Furman3</v>
      </c>
      <c r="C63" s="1" t="str">
        <f ca="1">IFERROR(__xludf.DUMMYFUNCTION("""COMPUTED_VALUE"""),"SC")</f>
        <v>SC</v>
      </c>
      <c r="D63" s="1" t="str">
        <f ca="1">IFERROR(__xludf.DUMMYFUNCTION("""COMPUTED_VALUE"""),"25-8")</f>
        <v>25-8</v>
      </c>
      <c r="E63" s="1" t="str">
        <f ca="1">IFERROR(__xludf.DUMMYFUNCTION("""COMPUTED_VALUE"""),"+11.52")</f>
        <v>+11.52</v>
      </c>
      <c r="F63" s="1">
        <f ca="1">IFERROR(__xludf.DUMMYFUNCTION("""COMPUTED_VALUE"""),108.9)</f>
        <v>108.9</v>
      </c>
      <c r="G63" s="1">
        <f ca="1">IFERROR(__xludf.DUMMYFUNCTION("""COMPUTED_VALUE"""),89)</f>
        <v>89</v>
      </c>
      <c r="H63" s="1">
        <f ca="1">IFERROR(__xludf.DUMMYFUNCTION("""COMPUTED_VALUE"""),97.4)</f>
        <v>97.4</v>
      </c>
      <c r="I63" s="1">
        <f ca="1">IFERROR(__xludf.DUMMYFUNCTION("""COMPUTED_VALUE"""),57)</f>
        <v>57</v>
      </c>
      <c r="J63" s="1">
        <f ca="1">IFERROR(__xludf.DUMMYFUNCTION("""COMPUTED_VALUE"""),66.6)</f>
        <v>66.599999999999994</v>
      </c>
      <c r="K63" s="1">
        <f ca="1">IFERROR(__xludf.DUMMYFUNCTION("""COMPUTED_VALUE"""),230)</f>
        <v>230</v>
      </c>
      <c r="L63" s="1" t="str">
        <f ca="1">IFERROR(__xludf.DUMMYFUNCTION("""COMPUTED_VALUE"""),"+.016")</f>
        <v>+.016</v>
      </c>
      <c r="M63" s="1">
        <f ca="1">IFERROR(__xludf.DUMMYFUNCTION("""COMPUTED_VALUE"""),142)</f>
        <v>142</v>
      </c>
      <c r="N63" s="1">
        <f ca="1">IFERROR(__xludf.DUMMYFUNCTION("""COMPUTED_VALUE"""),-1.18)</f>
        <v>-1.18</v>
      </c>
      <c r="O63" s="1">
        <f ca="1">IFERROR(__xludf.DUMMYFUNCTION("""COMPUTED_VALUE"""),169)</f>
        <v>169</v>
      </c>
      <c r="P63" s="1">
        <f ca="1">IFERROR(__xludf.DUMMYFUNCTION("""COMPUTED_VALUE"""),105.2)</f>
        <v>105.2</v>
      </c>
      <c r="Q63" s="1">
        <f ca="1">IFERROR(__xludf.DUMMYFUNCTION("""COMPUTED_VALUE"""),122)</f>
        <v>122</v>
      </c>
      <c r="R63" s="1">
        <f ca="1">IFERROR(__xludf.DUMMYFUNCTION("""COMPUTED_VALUE"""),106.4)</f>
        <v>106.4</v>
      </c>
      <c r="S63" s="1">
        <f ca="1">IFERROR(__xludf.DUMMYFUNCTION("""COMPUTED_VALUE"""),227)</f>
        <v>227</v>
      </c>
      <c r="T63" s="1">
        <f ca="1">IFERROR(__xludf.DUMMYFUNCTION("""COMPUTED_VALUE"""),-2.58)</f>
        <v>-2.58</v>
      </c>
      <c r="U63" s="1">
        <f ca="1">IFERROR(__xludf.DUMMYFUNCTION("""COMPUTED_VALUE"""),236)</f>
        <v>236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IFERROR(__xludf.DUMMYFUNCTION("""COMPUTED_VALUE"""),"Seton Hall10")</f>
        <v>Seton Hall10</v>
      </c>
      <c r="C64" s="1" t="str">
        <f ca="1">IFERROR(__xludf.DUMMYFUNCTION("""COMPUTED_VALUE"""),"BE")</f>
        <v>BE</v>
      </c>
      <c r="D64" s="1" t="str">
        <f ca="1">IFERROR(__xludf.DUMMYFUNCTION("""COMPUTED_VALUE"""),"20-14")</f>
        <v>20-14</v>
      </c>
      <c r="E64" s="1" t="str">
        <f ca="1">IFERROR(__xludf.DUMMYFUNCTION("""COMPUTED_VALUE"""),"+11.50")</f>
        <v>+11.50</v>
      </c>
      <c r="F64" s="1">
        <f ca="1">IFERROR(__xludf.DUMMYFUNCTION("""COMPUTED_VALUE"""),109)</f>
        <v>109</v>
      </c>
      <c r="G64" s="1">
        <f ca="1">IFERROR(__xludf.DUMMYFUNCTION("""COMPUTED_VALUE"""),87)</f>
        <v>87</v>
      </c>
      <c r="H64" s="1">
        <f ca="1">IFERROR(__xludf.DUMMYFUNCTION("""COMPUTED_VALUE"""),97.5)</f>
        <v>97.5</v>
      </c>
      <c r="I64" s="1">
        <f ca="1">IFERROR(__xludf.DUMMYFUNCTION("""COMPUTED_VALUE"""),60)</f>
        <v>60</v>
      </c>
      <c r="J64" s="1">
        <f ca="1">IFERROR(__xludf.DUMMYFUNCTION("""COMPUTED_VALUE"""),69.1)</f>
        <v>69.099999999999994</v>
      </c>
      <c r="K64" s="1">
        <f ca="1">IFERROR(__xludf.DUMMYFUNCTION("""COMPUTED_VALUE"""),100)</f>
        <v>100</v>
      </c>
      <c r="L64" s="1" t="str">
        <f ca="1">IFERROR(__xludf.DUMMYFUNCTION("""COMPUTED_VALUE"""),"+.023")</f>
        <v>+.023</v>
      </c>
      <c r="M64" s="1">
        <f ca="1">IFERROR(__xludf.DUMMYFUNCTION("""COMPUTED_VALUE"""),120)</f>
        <v>120</v>
      </c>
      <c r="N64" s="1" t="str">
        <f ca="1">IFERROR(__xludf.DUMMYFUNCTION("""COMPUTED_VALUE"""),"+8.54")</f>
        <v>+8.54</v>
      </c>
      <c r="O64" s="1">
        <f ca="1">IFERROR(__xludf.DUMMYFUNCTION("""COMPUTED_VALUE"""),44)</f>
        <v>44</v>
      </c>
      <c r="P64" s="1">
        <f ca="1">IFERROR(__xludf.DUMMYFUNCTION("""COMPUTED_VALUE"""),109.2)</f>
        <v>109.2</v>
      </c>
      <c r="Q64" s="1">
        <f ca="1">IFERROR(__xludf.DUMMYFUNCTION("""COMPUTED_VALUE"""),36)</f>
        <v>36</v>
      </c>
      <c r="R64" s="1">
        <f ca="1">IFERROR(__xludf.DUMMYFUNCTION("""COMPUTED_VALUE"""),100.7)</f>
        <v>100.7</v>
      </c>
      <c r="S64" s="1">
        <f ca="1">IFERROR(__xludf.DUMMYFUNCTION("""COMPUTED_VALUE"""),52)</f>
        <v>52</v>
      </c>
      <c r="T64" s="1" t="str">
        <f ca="1">IFERROR(__xludf.DUMMYFUNCTION("""COMPUTED_VALUE"""),"+3.58")</f>
        <v>+3.58</v>
      </c>
      <c r="U64" s="1">
        <f ca="1">IFERROR(__xludf.DUMMYFUNCTION("""COMPUTED_VALUE"""),68)</f>
        <v>68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IFERROR(__xludf.DUMMYFUNCTION("""COMPUTED_VALUE"""),"Toledo6")</f>
        <v>Toledo6</v>
      </c>
      <c r="C65" s="1" t="str">
        <f ca="1">IFERROR(__xludf.DUMMYFUNCTION("""COMPUTED_VALUE"""),"MAC")</f>
        <v>MAC</v>
      </c>
      <c r="D65" s="1" t="str">
        <f ca="1">IFERROR(__xludf.DUMMYFUNCTION("""COMPUTED_VALUE"""),"25-8")</f>
        <v>25-8</v>
      </c>
      <c r="E65" s="1" t="str">
        <f ca="1">IFERROR(__xludf.DUMMYFUNCTION("""COMPUTED_VALUE"""),"+11.29")</f>
        <v>+11.29</v>
      </c>
      <c r="F65" s="1">
        <f ca="1">IFERROR(__xludf.DUMMYFUNCTION("""COMPUTED_VALUE"""),109.8)</f>
        <v>109.8</v>
      </c>
      <c r="G65" s="1">
        <f ca="1">IFERROR(__xludf.DUMMYFUNCTION("""COMPUTED_VALUE"""),70)</f>
        <v>70</v>
      </c>
      <c r="H65" s="1">
        <f ca="1">IFERROR(__xludf.DUMMYFUNCTION("""COMPUTED_VALUE"""),98.5)</f>
        <v>98.5</v>
      </c>
      <c r="I65" s="1">
        <f ca="1">IFERROR(__xludf.DUMMYFUNCTION("""COMPUTED_VALUE"""),69)</f>
        <v>69</v>
      </c>
      <c r="J65" s="1">
        <f ca="1">IFERROR(__xludf.DUMMYFUNCTION("""COMPUTED_VALUE"""),67.8)</f>
        <v>67.8</v>
      </c>
      <c r="K65" s="1">
        <f ca="1">IFERROR(__xludf.DUMMYFUNCTION("""COMPUTED_VALUE"""),165)</f>
        <v>165</v>
      </c>
      <c r="L65" s="1" t="str">
        <f ca="1">IFERROR(__xludf.DUMMYFUNCTION("""COMPUTED_VALUE"""),"+.044")</f>
        <v>+.044</v>
      </c>
      <c r="M65" s="1">
        <f ca="1">IFERROR(__xludf.DUMMYFUNCTION("""COMPUTED_VALUE"""),76)</f>
        <v>76</v>
      </c>
      <c r="N65" s="1" t="str">
        <f ca="1">IFERROR(__xludf.DUMMYFUNCTION("""COMPUTED_VALUE"""),"+0.70")</f>
        <v>+0.70</v>
      </c>
      <c r="O65" s="1">
        <f ca="1">IFERROR(__xludf.DUMMYFUNCTION("""COMPUTED_VALUE"""),122)</f>
        <v>122</v>
      </c>
      <c r="P65" s="1">
        <f ca="1">IFERROR(__xludf.DUMMYFUNCTION("""COMPUTED_VALUE"""),104.9)</f>
        <v>104.9</v>
      </c>
      <c r="Q65" s="1">
        <f ca="1">IFERROR(__xludf.DUMMYFUNCTION("""COMPUTED_VALUE"""),130)</f>
        <v>130</v>
      </c>
      <c r="R65" s="1">
        <f ca="1">IFERROR(__xludf.DUMMYFUNCTION("""COMPUTED_VALUE"""),104.2)</f>
        <v>104.2</v>
      </c>
      <c r="S65" s="1">
        <f ca="1">IFERROR(__xludf.DUMMYFUNCTION("""COMPUTED_VALUE"""),141)</f>
        <v>141</v>
      </c>
      <c r="T65" s="1">
        <f ca="1">IFERROR(__xludf.DUMMYFUNCTION("""COMPUTED_VALUE"""),-4.05)</f>
        <v>-4.05</v>
      </c>
      <c r="U65" s="1">
        <f ca="1">IFERROR(__xludf.DUMMYFUNCTION("""COMPUTED_VALUE"""),277)</f>
        <v>277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IFERROR(__xludf.DUMMYFUNCTION("""COMPUTED_VALUE"""),"Dayton5")</f>
        <v>Dayton5</v>
      </c>
      <c r="C66" s="1" t="str">
        <f ca="1">IFERROR(__xludf.DUMMYFUNCTION("""COMPUTED_VALUE"""),"A10")</f>
        <v>A10</v>
      </c>
      <c r="D66" s="1" t="str">
        <f ca="1">IFERROR(__xludf.DUMMYFUNCTION("""COMPUTED_VALUE"""),"21-12")</f>
        <v>21-12</v>
      </c>
      <c r="E66" s="1" t="str">
        <f ca="1">IFERROR(__xludf.DUMMYFUNCTION("""COMPUTED_VALUE"""),"+11.27")</f>
        <v>+11.27</v>
      </c>
      <c r="F66" s="1">
        <f ca="1">IFERROR(__xludf.DUMMYFUNCTION("""COMPUTED_VALUE"""),112.1)</f>
        <v>112.1</v>
      </c>
      <c r="G66" s="1">
        <f ca="1">IFERROR(__xludf.DUMMYFUNCTION("""COMPUTED_VALUE"""),43)</f>
        <v>43</v>
      </c>
      <c r="H66" s="1">
        <f ca="1">IFERROR(__xludf.DUMMYFUNCTION("""COMPUTED_VALUE"""),100.8)</f>
        <v>100.8</v>
      </c>
      <c r="I66" s="1">
        <f ca="1">IFERROR(__xludf.DUMMYFUNCTION("""COMPUTED_VALUE"""),103)</f>
        <v>103</v>
      </c>
      <c r="J66" s="1">
        <f ca="1">IFERROR(__xludf.DUMMYFUNCTION("""COMPUTED_VALUE"""),64.7)</f>
        <v>64.7</v>
      </c>
      <c r="K66" s="1">
        <f ca="1">IFERROR(__xludf.DUMMYFUNCTION("""COMPUTED_VALUE"""),322)</f>
        <v>322</v>
      </c>
      <c r="L66" s="1">
        <f ca="1">IFERROR(__xludf.DUMMYFUNCTION("""COMPUTED_VALUE"""),-0.047)</f>
        <v>-4.7E-2</v>
      </c>
      <c r="M66" s="1">
        <f ca="1">IFERROR(__xludf.DUMMYFUNCTION("""COMPUTED_VALUE"""),289)</f>
        <v>289</v>
      </c>
      <c r="N66" s="1" t="str">
        <f ca="1">IFERROR(__xludf.DUMMYFUNCTION("""COMPUTED_VALUE"""),"+1.24")</f>
        <v>+1.24</v>
      </c>
      <c r="O66" s="1">
        <f ca="1">IFERROR(__xludf.DUMMYFUNCTION("""COMPUTED_VALUE"""),108)</f>
        <v>108</v>
      </c>
      <c r="P66" s="1">
        <f ca="1">IFERROR(__xludf.DUMMYFUNCTION("""COMPUTED_VALUE"""),104.4)</f>
        <v>104.4</v>
      </c>
      <c r="Q66" s="1">
        <f ca="1">IFERROR(__xludf.DUMMYFUNCTION("""COMPUTED_VALUE"""),153)</f>
        <v>153</v>
      </c>
      <c r="R66" s="1">
        <f ca="1">IFERROR(__xludf.DUMMYFUNCTION("""COMPUTED_VALUE"""),103.1)</f>
        <v>103.1</v>
      </c>
      <c r="S66" s="1">
        <f ca="1">IFERROR(__xludf.DUMMYFUNCTION("""COMPUTED_VALUE"""),103)</f>
        <v>103</v>
      </c>
      <c r="T66" s="1" t="str">
        <f ca="1">IFERROR(__xludf.DUMMYFUNCTION("""COMPUTED_VALUE"""),"+1.49")</f>
        <v>+1.49</v>
      </c>
      <c r="U66" s="1">
        <f ca="1">IFERROR(__xludf.DUMMYFUNCTION("""COMPUTED_VALUE"""),114)</f>
        <v>114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IFERROR(__xludf.DUMMYFUNCTION("""COMPUTED_VALUE"""),"Colorado4")</f>
        <v>Colorado4</v>
      </c>
      <c r="C67" s="1" t="str">
        <f ca="1">IFERROR(__xludf.DUMMYFUNCTION("""COMPUTED_VALUE"""),"P12")</f>
        <v>P12</v>
      </c>
      <c r="D67" s="1" t="str">
        <f ca="1">IFERROR(__xludf.DUMMYFUNCTION("""COMPUTED_VALUE"""),"23-13")</f>
        <v>23-13</v>
      </c>
      <c r="E67" s="1" t="str">
        <f ca="1">IFERROR(__xludf.DUMMYFUNCTION("""COMPUTED_VALUE"""),"+10.75")</f>
        <v>+10.75</v>
      </c>
      <c r="F67" s="1">
        <f ca="1">IFERROR(__xludf.DUMMYFUNCTION("""COMPUTED_VALUE"""),106.8)</f>
        <v>106.8</v>
      </c>
      <c r="G67" s="1">
        <f ca="1">IFERROR(__xludf.DUMMYFUNCTION("""COMPUTED_VALUE"""),131)</f>
        <v>131</v>
      </c>
      <c r="H67" s="1">
        <f ca="1">IFERROR(__xludf.DUMMYFUNCTION("""COMPUTED_VALUE"""),96.1)</f>
        <v>96.1</v>
      </c>
      <c r="I67" s="1">
        <f ca="1">IFERROR(__xludf.DUMMYFUNCTION("""COMPUTED_VALUE"""),39)</f>
        <v>39</v>
      </c>
      <c r="J67" s="1">
        <f ca="1">IFERROR(__xludf.DUMMYFUNCTION("""COMPUTED_VALUE"""),68.1)</f>
        <v>68.099999999999994</v>
      </c>
      <c r="K67" s="1">
        <f ca="1">IFERROR(__xludf.DUMMYFUNCTION("""COMPUTED_VALUE"""),147)</f>
        <v>147</v>
      </c>
      <c r="L67" s="1">
        <f ca="1">IFERROR(__xludf.DUMMYFUNCTION("""COMPUTED_VALUE"""),-0.028)</f>
        <v>-2.8000000000000001E-2</v>
      </c>
      <c r="M67" s="1">
        <f ca="1">IFERROR(__xludf.DUMMYFUNCTION("""COMPUTED_VALUE"""),254)</f>
        <v>254</v>
      </c>
      <c r="N67" s="1" t="str">
        <f ca="1">IFERROR(__xludf.DUMMYFUNCTION("""COMPUTED_VALUE"""),"+2.29")</f>
        <v>+2.29</v>
      </c>
      <c r="O67" s="1">
        <f ca="1">IFERROR(__xludf.DUMMYFUNCTION("""COMPUTED_VALUE"""),95)</f>
        <v>95</v>
      </c>
      <c r="P67" s="1">
        <f ca="1">IFERROR(__xludf.DUMMYFUNCTION("""COMPUTED_VALUE"""),106)</f>
        <v>106</v>
      </c>
      <c r="Q67" s="1">
        <f ca="1">IFERROR(__xludf.DUMMYFUNCTION("""COMPUTED_VALUE"""),87)</f>
        <v>87</v>
      </c>
      <c r="R67" s="1">
        <f ca="1">IFERROR(__xludf.DUMMYFUNCTION("""COMPUTED_VALUE"""),103.7)</f>
        <v>103.7</v>
      </c>
      <c r="S67" s="1">
        <f ca="1">IFERROR(__xludf.DUMMYFUNCTION("""COMPUTED_VALUE"""),116)</f>
        <v>116</v>
      </c>
      <c r="T67" s="1">
        <f ca="1">IFERROR(__xludf.DUMMYFUNCTION("""COMPUTED_VALUE"""),-4.96)</f>
        <v>-4.96</v>
      </c>
      <c r="U67" s="1">
        <f ca="1">IFERROR(__xludf.DUMMYFUNCTION("""COMPUTED_VALUE"""),300)</f>
        <v>300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IFERROR(__xludf.DUMMYFUNCTION("""COMPUTED_VALUE"""),"Alabama1")</f>
        <v>Alabama1</v>
      </c>
      <c r="C68" s="1" t="str">
        <f ca="1">IFERROR(__xludf.DUMMYFUNCTION("""COMPUTED_VALUE"""),"SEC")</f>
        <v>SEC</v>
      </c>
      <c r="D68" s="1" t="str">
        <f ca="1">IFERROR(__xludf.DUMMYFUNCTION("""COMPUTED_VALUE"""),"18-16")</f>
        <v>18-16</v>
      </c>
      <c r="E68" s="1" t="str">
        <f ca="1">IFERROR(__xludf.DUMMYFUNCTION("""COMPUTED_VALUE"""),"+10.68")</f>
        <v>+10.68</v>
      </c>
      <c r="F68" s="1">
        <f ca="1">IFERROR(__xludf.DUMMYFUNCTION("""COMPUTED_VALUE"""),108.2)</f>
        <v>108.2</v>
      </c>
      <c r="G68" s="1">
        <f ca="1">IFERROR(__xludf.DUMMYFUNCTION("""COMPUTED_VALUE"""),103)</f>
        <v>103</v>
      </c>
      <c r="H68" s="1">
        <f ca="1">IFERROR(__xludf.DUMMYFUNCTION("""COMPUTED_VALUE"""),97.5)</f>
        <v>97.5</v>
      </c>
      <c r="I68" s="1">
        <f ca="1">IFERROR(__xludf.DUMMYFUNCTION("""COMPUTED_VALUE"""),58)</f>
        <v>58</v>
      </c>
      <c r="J68" s="1">
        <f ca="1">IFERROR(__xludf.DUMMYFUNCTION("""COMPUTED_VALUE"""),68.7)</f>
        <v>68.7</v>
      </c>
      <c r="K68" s="1">
        <f ca="1">IFERROR(__xludf.DUMMYFUNCTION("""COMPUTED_VALUE"""),117)</f>
        <v>117</v>
      </c>
      <c r="L68" s="1" t="str">
        <f ca="1">IFERROR(__xludf.DUMMYFUNCTION("""COMPUTED_VALUE"""),"+.024")</f>
        <v>+.024</v>
      </c>
      <c r="M68" s="1">
        <f ca="1">IFERROR(__xludf.DUMMYFUNCTION("""COMPUTED_VALUE"""),114)</f>
        <v>114</v>
      </c>
      <c r="N68" s="1" t="str">
        <f ca="1">IFERROR(__xludf.DUMMYFUNCTION("""COMPUTED_VALUE"""),"+10.10")</f>
        <v>+10.10</v>
      </c>
      <c r="O68" s="1">
        <f ca="1">IFERROR(__xludf.DUMMYFUNCTION("""COMPUTED_VALUE"""),33)</f>
        <v>33</v>
      </c>
      <c r="P68" s="1">
        <f ca="1">IFERROR(__xludf.DUMMYFUNCTION("""COMPUTED_VALUE"""),109.7)</f>
        <v>109.7</v>
      </c>
      <c r="Q68" s="1">
        <f ca="1">IFERROR(__xludf.DUMMYFUNCTION("""COMPUTED_VALUE"""),24)</f>
        <v>24</v>
      </c>
      <c r="R68" s="1">
        <f ca="1">IFERROR(__xludf.DUMMYFUNCTION("""COMPUTED_VALUE"""),99.6)</f>
        <v>99.6</v>
      </c>
      <c r="S68" s="1">
        <f ca="1">IFERROR(__xludf.DUMMYFUNCTION("""COMPUTED_VALUE"""),37)</f>
        <v>37</v>
      </c>
      <c r="T68" s="1" t="str">
        <f ca="1">IFERROR(__xludf.DUMMYFUNCTION("""COMPUTED_VALUE"""),"+3.89")</f>
        <v>+3.89</v>
      </c>
      <c r="U68" s="1">
        <f ca="1">IFERROR(__xludf.DUMMYFUNCTION("""COMPUTED_VALUE"""),62)</f>
        <v>62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IFERROR(__xludf.DUMMYFUNCTION("""COMPUTED_VALUE"""),"Xavier3")</f>
        <v>Xavier3</v>
      </c>
      <c r="C69" s="1" t="str">
        <f ca="1">IFERROR(__xludf.DUMMYFUNCTION("""COMPUTED_VALUE"""),"BE")</f>
        <v>BE</v>
      </c>
      <c r="D69" s="1" t="str">
        <f ca="1">IFERROR(__xludf.DUMMYFUNCTION("""COMPUTED_VALUE"""),"19-16")</f>
        <v>19-16</v>
      </c>
      <c r="E69" s="1" t="str">
        <f ca="1">IFERROR(__xludf.DUMMYFUNCTION("""COMPUTED_VALUE"""),"+10.60")</f>
        <v>+10.60</v>
      </c>
      <c r="F69" s="1">
        <f ca="1">IFERROR(__xludf.DUMMYFUNCTION("""COMPUTED_VALUE"""),111.1)</f>
        <v>111.1</v>
      </c>
      <c r="G69" s="1">
        <f ca="1">IFERROR(__xludf.DUMMYFUNCTION("""COMPUTED_VALUE"""),56)</f>
        <v>56</v>
      </c>
      <c r="H69" s="1">
        <f ca="1">IFERROR(__xludf.DUMMYFUNCTION("""COMPUTED_VALUE"""),100.5)</f>
        <v>100.5</v>
      </c>
      <c r="I69" s="1">
        <f ca="1">IFERROR(__xludf.DUMMYFUNCTION("""COMPUTED_VALUE"""),102)</f>
        <v>102</v>
      </c>
      <c r="J69" s="1">
        <f ca="1">IFERROR(__xludf.DUMMYFUNCTION("""COMPUTED_VALUE"""),65.2)</f>
        <v>65.2</v>
      </c>
      <c r="K69" s="1">
        <f ca="1">IFERROR(__xludf.DUMMYFUNCTION("""COMPUTED_VALUE"""),302)</f>
        <v>302</v>
      </c>
      <c r="L69" s="1">
        <f ca="1">IFERROR(__xludf.DUMMYFUNCTION("""COMPUTED_VALUE"""),-0.004)</f>
        <v>-4.0000000000000001E-3</v>
      </c>
      <c r="M69" s="1">
        <f ca="1">IFERROR(__xludf.DUMMYFUNCTION("""COMPUTED_VALUE"""),192)</f>
        <v>192</v>
      </c>
      <c r="N69" s="1" t="str">
        <f ca="1">IFERROR(__xludf.DUMMYFUNCTION("""COMPUTED_VALUE"""),"+7.48")</f>
        <v>+7.48</v>
      </c>
      <c r="O69" s="1">
        <f ca="1">IFERROR(__xludf.DUMMYFUNCTION("""COMPUTED_VALUE"""),55)</f>
        <v>55</v>
      </c>
      <c r="P69" s="1">
        <f ca="1">IFERROR(__xludf.DUMMYFUNCTION("""COMPUTED_VALUE"""),108.7)</f>
        <v>108.7</v>
      </c>
      <c r="Q69" s="1">
        <f ca="1">IFERROR(__xludf.DUMMYFUNCTION("""COMPUTED_VALUE"""),45)</f>
        <v>45</v>
      </c>
      <c r="R69" s="1">
        <f ca="1">IFERROR(__xludf.DUMMYFUNCTION("""COMPUTED_VALUE"""),101.2)</f>
        <v>101.2</v>
      </c>
      <c r="S69" s="1">
        <f ca="1">IFERROR(__xludf.DUMMYFUNCTION("""COMPUTED_VALUE"""),61)</f>
        <v>61</v>
      </c>
      <c r="T69" s="1" t="str">
        <f ca="1">IFERROR(__xludf.DUMMYFUNCTION("""COMPUTED_VALUE"""),"+1.04")</f>
        <v>+1.04</v>
      </c>
      <c r="U69" s="1">
        <f ca="1">IFERROR(__xludf.DUMMYFUNCTION("""COMPUTED_VALUE"""),124)</f>
        <v>124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IFERROR(__xludf.DUMMYFUNCTION("""COMPUTED_VALUE"""),"Wichita St.6")</f>
        <v>Wichita St.6</v>
      </c>
      <c r="C70" s="1" t="str">
        <f ca="1">IFERROR(__xludf.DUMMYFUNCTION("""COMPUTED_VALUE"""),"Amer")</f>
        <v>Amer</v>
      </c>
      <c r="D70" s="1" t="str">
        <f ca="1">IFERROR(__xludf.DUMMYFUNCTION("""COMPUTED_VALUE"""),"22-15")</f>
        <v>22-15</v>
      </c>
      <c r="E70" s="1" t="str">
        <f ca="1">IFERROR(__xludf.DUMMYFUNCTION("""COMPUTED_VALUE"""),"+10.10")</f>
        <v>+10.10</v>
      </c>
      <c r="F70" s="1">
        <f ca="1">IFERROR(__xludf.DUMMYFUNCTION("""COMPUTED_VALUE"""),106.6)</f>
        <v>106.6</v>
      </c>
      <c r="G70" s="1">
        <f ca="1">IFERROR(__xludf.DUMMYFUNCTION("""COMPUTED_VALUE"""),135)</f>
        <v>135</v>
      </c>
      <c r="H70" s="1">
        <f ca="1">IFERROR(__xludf.DUMMYFUNCTION("""COMPUTED_VALUE"""),96.5)</f>
        <v>96.5</v>
      </c>
      <c r="I70" s="1">
        <f ca="1">IFERROR(__xludf.DUMMYFUNCTION("""COMPUTED_VALUE"""),44)</f>
        <v>44</v>
      </c>
      <c r="J70" s="1">
        <f ca="1">IFERROR(__xludf.DUMMYFUNCTION("""COMPUTED_VALUE"""),68.3)</f>
        <v>68.3</v>
      </c>
      <c r="K70" s="1">
        <f ca="1">IFERROR(__xludf.DUMMYFUNCTION("""COMPUTED_VALUE"""),142)</f>
        <v>142</v>
      </c>
      <c r="L70" s="1" t="str">
        <f ca="1">IFERROR(__xludf.DUMMYFUNCTION("""COMPUTED_VALUE"""),"+.036")</f>
        <v>+.036</v>
      </c>
      <c r="M70" s="1">
        <f ca="1">IFERROR(__xludf.DUMMYFUNCTION("""COMPUTED_VALUE"""),90)</f>
        <v>90</v>
      </c>
      <c r="N70" s="1" t="str">
        <f ca="1">IFERROR(__xludf.DUMMYFUNCTION("""COMPUTED_VALUE"""),"+6.24")</f>
        <v>+6.24</v>
      </c>
      <c r="O70" s="1">
        <f ca="1">IFERROR(__xludf.DUMMYFUNCTION("""COMPUTED_VALUE"""),59)</f>
        <v>59</v>
      </c>
      <c r="P70" s="1">
        <f ca="1">IFERROR(__xludf.DUMMYFUNCTION("""COMPUTED_VALUE"""),107)</f>
        <v>107</v>
      </c>
      <c r="Q70" s="1">
        <f ca="1">IFERROR(__xludf.DUMMYFUNCTION("""COMPUTED_VALUE"""),68)</f>
        <v>68</v>
      </c>
      <c r="R70" s="1">
        <f ca="1">IFERROR(__xludf.DUMMYFUNCTION("""COMPUTED_VALUE"""),100.7)</f>
        <v>100.7</v>
      </c>
      <c r="S70" s="1">
        <f ca="1">IFERROR(__xludf.DUMMYFUNCTION("""COMPUTED_VALUE"""),54)</f>
        <v>54</v>
      </c>
      <c r="T70" s="1" t="str">
        <f ca="1">IFERROR(__xludf.DUMMYFUNCTION("""COMPUTED_VALUE"""),"+3.07")</f>
        <v>+3.07</v>
      </c>
      <c r="U70" s="1">
        <f ca="1">IFERROR(__xludf.DUMMYFUNCTION("""COMPUTED_VALUE"""),90)</f>
        <v>90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IFERROR(__xludf.DUMMYFUNCTION("""COMPUTED_VALUE"""),"San Francisco")</f>
        <v>San Francisco</v>
      </c>
      <c r="C71" s="1" t="str">
        <f ca="1">IFERROR(__xludf.DUMMYFUNCTION("""COMPUTED_VALUE"""),"WCC")</f>
        <v>WCC</v>
      </c>
      <c r="D71" s="1" t="str">
        <f ca="1">IFERROR(__xludf.DUMMYFUNCTION("""COMPUTED_VALUE"""),"21-10")</f>
        <v>21-10</v>
      </c>
      <c r="E71" s="1" t="str">
        <f ca="1">IFERROR(__xludf.DUMMYFUNCTION("""COMPUTED_VALUE"""),"+9.93")</f>
        <v>+9.93</v>
      </c>
      <c r="F71" s="1">
        <f ca="1">IFERROR(__xludf.DUMMYFUNCTION("""COMPUTED_VALUE"""),112)</f>
        <v>112</v>
      </c>
      <c r="G71" s="1">
        <f ca="1">IFERROR(__xludf.DUMMYFUNCTION("""COMPUTED_VALUE"""),45)</f>
        <v>45</v>
      </c>
      <c r="H71" s="1">
        <f ca="1">IFERROR(__xludf.DUMMYFUNCTION("""COMPUTED_VALUE"""),102.1)</f>
        <v>102.1</v>
      </c>
      <c r="I71" s="1">
        <f ca="1">IFERROR(__xludf.DUMMYFUNCTION("""COMPUTED_VALUE"""),125)</f>
        <v>125</v>
      </c>
      <c r="J71" s="1">
        <f ca="1">IFERROR(__xludf.DUMMYFUNCTION("""COMPUTED_VALUE"""),66.6)</f>
        <v>66.599999999999994</v>
      </c>
      <c r="K71" s="1">
        <f ca="1">IFERROR(__xludf.DUMMYFUNCTION("""COMPUTED_VALUE"""),232)</f>
        <v>232</v>
      </c>
      <c r="L71" s="1">
        <f ca="1">IFERROR(__xludf.DUMMYFUNCTION("""COMPUTED_VALUE"""),-0.022)</f>
        <v>-2.1999999999999999E-2</v>
      </c>
      <c r="M71" s="1">
        <f ca="1">IFERROR(__xludf.DUMMYFUNCTION("""COMPUTED_VALUE"""),240)</f>
        <v>240</v>
      </c>
      <c r="N71" s="1">
        <f ca="1">IFERROR(__xludf.DUMMYFUNCTION("""COMPUTED_VALUE"""),-0.52)</f>
        <v>-0.52</v>
      </c>
      <c r="O71" s="1">
        <f ca="1">IFERROR(__xludf.DUMMYFUNCTION("""COMPUTED_VALUE"""),152)</f>
        <v>152</v>
      </c>
      <c r="P71" s="1">
        <f ca="1">IFERROR(__xludf.DUMMYFUNCTION("""COMPUTED_VALUE"""),104.1)</f>
        <v>104.1</v>
      </c>
      <c r="Q71" s="1">
        <f ca="1">IFERROR(__xludf.DUMMYFUNCTION("""COMPUTED_VALUE"""),163)</f>
        <v>163</v>
      </c>
      <c r="R71" s="1">
        <f ca="1">IFERROR(__xludf.DUMMYFUNCTION("""COMPUTED_VALUE"""),104.6)</f>
        <v>104.6</v>
      </c>
      <c r="S71" s="1">
        <f ca="1">IFERROR(__xludf.DUMMYFUNCTION("""COMPUTED_VALUE"""),163)</f>
        <v>163</v>
      </c>
      <c r="T71" s="1">
        <f ca="1">IFERROR(__xludf.DUMMYFUNCTION("""COMPUTED_VALUE"""),-6.75)</f>
        <v>-6.75</v>
      </c>
      <c r="U71" s="1">
        <f ca="1">IFERROR(__xludf.DUMMYFUNCTION("""COMPUTED_VALUE"""),331)</f>
        <v>331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IFERROR(__xludf.DUMMYFUNCTION("""COMPUTED_VALUE"""),"Missouri")</f>
        <v>Missouri</v>
      </c>
      <c r="C72" s="1" t="str">
        <f ca="1">IFERROR(__xludf.DUMMYFUNCTION("""COMPUTED_VALUE"""),"SEC")</f>
        <v>SEC</v>
      </c>
      <c r="D72" s="1" t="str">
        <f ca="1">IFERROR(__xludf.DUMMYFUNCTION("""COMPUTED_VALUE"""),"15-17")</f>
        <v>15-17</v>
      </c>
      <c r="E72" s="1" t="str">
        <f ca="1">IFERROR(__xludf.DUMMYFUNCTION("""COMPUTED_VALUE"""),"+9.78")</f>
        <v>+9.78</v>
      </c>
      <c r="F72" s="1">
        <f ca="1">IFERROR(__xludf.DUMMYFUNCTION("""COMPUTED_VALUE"""),107)</f>
        <v>107</v>
      </c>
      <c r="G72" s="1">
        <f ca="1">IFERROR(__xludf.DUMMYFUNCTION("""COMPUTED_VALUE"""),127)</f>
        <v>127</v>
      </c>
      <c r="H72" s="1">
        <f ca="1">IFERROR(__xludf.DUMMYFUNCTION("""COMPUTED_VALUE"""),97.2)</f>
        <v>97.2</v>
      </c>
      <c r="I72" s="1">
        <f ca="1">IFERROR(__xludf.DUMMYFUNCTION("""COMPUTED_VALUE"""),51)</f>
        <v>51</v>
      </c>
      <c r="J72" s="1">
        <f ca="1">IFERROR(__xludf.DUMMYFUNCTION("""COMPUTED_VALUE"""),64.8)</f>
        <v>64.8</v>
      </c>
      <c r="K72" s="1">
        <f ca="1">IFERROR(__xludf.DUMMYFUNCTION("""COMPUTED_VALUE"""),318)</f>
        <v>318</v>
      </c>
      <c r="L72" s="1">
        <f ca="1">IFERROR(__xludf.DUMMYFUNCTION("""COMPUTED_VALUE"""),-0.017)</f>
        <v>-1.7000000000000001E-2</v>
      </c>
      <c r="M72" s="1">
        <f ca="1">IFERROR(__xludf.DUMMYFUNCTION("""COMPUTED_VALUE"""),227)</f>
        <v>227</v>
      </c>
      <c r="N72" s="1" t="str">
        <f ca="1">IFERROR(__xludf.DUMMYFUNCTION("""COMPUTED_VALUE"""),"+9.53")</f>
        <v>+9.53</v>
      </c>
      <c r="O72" s="1">
        <f ca="1">IFERROR(__xludf.DUMMYFUNCTION("""COMPUTED_VALUE"""),37)</f>
        <v>37</v>
      </c>
      <c r="P72" s="1">
        <f ca="1">IFERROR(__xludf.DUMMYFUNCTION("""COMPUTED_VALUE"""),109.8)</f>
        <v>109.8</v>
      </c>
      <c r="Q72" s="1">
        <f ca="1">IFERROR(__xludf.DUMMYFUNCTION("""COMPUTED_VALUE"""),21)</f>
        <v>21</v>
      </c>
      <c r="R72" s="1">
        <f ca="1">IFERROR(__xludf.DUMMYFUNCTION("""COMPUTED_VALUE"""),100.2)</f>
        <v>100.2</v>
      </c>
      <c r="S72" s="1">
        <f ca="1">IFERROR(__xludf.DUMMYFUNCTION("""COMPUTED_VALUE"""),47)</f>
        <v>47</v>
      </c>
      <c r="T72" s="1" t="str">
        <f ca="1">IFERROR(__xludf.DUMMYFUNCTION("""COMPUTED_VALUE"""),"+0.39")</f>
        <v>+0.39</v>
      </c>
      <c r="U72" s="1">
        <f ca="1">IFERROR(__xludf.DUMMYFUNCTION("""COMPUTED_VALUE"""),146)</f>
        <v>146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IFERROR(__xludf.DUMMYFUNCTION("""COMPUTED_VALUE"""),"Temple11")</f>
        <v>Temple11</v>
      </c>
      <c r="C73" s="1" t="str">
        <f ca="1">IFERROR(__xludf.DUMMYFUNCTION("""COMPUTED_VALUE"""),"Amer")</f>
        <v>Amer</v>
      </c>
      <c r="D73" s="1" t="str">
        <f ca="1">IFERROR(__xludf.DUMMYFUNCTION("""COMPUTED_VALUE"""),"23-10")</f>
        <v>23-10</v>
      </c>
      <c r="E73" s="1" t="str">
        <f ca="1">IFERROR(__xludf.DUMMYFUNCTION("""COMPUTED_VALUE"""),"+9.72")</f>
        <v>+9.72</v>
      </c>
      <c r="F73" s="1">
        <f ca="1">IFERROR(__xludf.DUMMYFUNCTION("""COMPUTED_VALUE"""),109.2)</f>
        <v>109.2</v>
      </c>
      <c r="G73" s="1">
        <f ca="1">IFERROR(__xludf.DUMMYFUNCTION("""COMPUTED_VALUE"""),80)</f>
        <v>80</v>
      </c>
      <c r="H73" s="1">
        <f ca="1">IFERROR(__xludf.DUMMYFUNCTION("""COMPUTED_VALUE"""),99.5)</f>
        <v>99.5</v>
      </c>
      <c r="I73" s="1">
        <f ca="1">IFERROR(__xludf.DUMMYFUNCTION("""COMPUTED_VALUE"""),85)</f>
        <v>85</v>
      </c>
      <c r="J73" s="1">
        <f ca="1">IFERROR(__xludf.DUMMYFUNCTION("""COMPUTED_VALUE"""),68.9)</f>
        <v>68.900000000000006</v>
      </c>
      <c r="K73" s="1">
        <f ca="1">IFERROR(__xludf.DUMMYFUNCTION("""COMPUTED_VALUE"""),110)</f>
        <v>110</v>
      </c>
      <c r="L73" s="1" t="str">
        <f ca="1">IFERROR(__xludf.DUMMYFUNCTION("""COMPUTED_VALUE"""),"+.064")</f>
        <v>+.064</v>
      </c>
      <c r="M73" s="1">
        <f ca="1">IFERROR(__xludf.DUMMYFUNCTION("""COMPUTED_VALUE"""),35)</f>
        <v>35</v>
      </c>
      <c r="N73" s="1" t="str">
        <f ca="1">IFERROR(__xludf.DUMMYFUNCTION("""COMPUTED_VALUE"""),"+4.55")</f>
        <v>+4.55</v>
      </c>
      <c r="O73" s="1">
        <f ca="1">IFERROR(__xludf.DUMMYFUNCTION("""COMPUTED_VALUE"""),74)</f>
        <v>74</v>
      </c>
      <c r="P73" s="1">
        <f ca="1">IFERROR(__xludf.DUMMYFUNCTION("""COMPUTED_VALUE"""),106.3)</f>
        <v>106.3</v>
      </c>
      <c r="Q73" s="1">
        <f ca="1">IFERROR(__xludf.DUMMYFUNCTION("""COMPUTED_VALUE"""),77)</f>
        <v>77</v>
      </c>
      <c r="R73" s="1">
        <f ca="1">IFERROR(__xludf.DUMMYFUNCTION("""COMPUTED_VALUE"""),101.8)</f>
        <v>101.8</v>
      </c>
      <c r="S73" s="1">
        <f ca="1">IFERROR(__xludf.DUMMYFUNCTION("""COMPUTED_VALUE"""),68)</f>
        <v>68</v>
      </c>
      <c r="T73" s="1">
        <f ca="1">IFERROR(__xludf.DUMMYFUNCTION("""COMPUTED_VALUE"""),-1.07)</f>
        <v>-1.07</v>
      </c>
      <c r="U73" s="1">
        <f ca="1">IFERROR(__xludf.DUMMYFUNCTION("""COMPUTED_VALUE"""),188)</f>
        <v>188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IFERROR(__xludf.DUMMYFUNCTION("""COMPUTED_VALUE"""),"South Carolina")</f>
        <v>South Carolina</v>
      </c>
      <c r="C74" s="1" t="str">
        <f ca="1">IFERROR(__xludf.DUMMYFUNCTION("""COMPUTED_VALUE"""),"SEC")</f>
        <v>SEC</v>
      </c>
      <c r="D74" s="1" t="str">
        <f ca="1">IFERROR(__xludf.DUMMYFUNCTION("""COMPUTED_VALUE"""),"16-16")</f>
        <v>16-16</v>
      </c>
      <c r="E74" s="1" t="str">
        <f ca="1">IFERROR(__xludf.DUMMYFUNCTION("""COMPUTED_VALUE"""),"+9.55")</f>
        <v>+9.55</v>
      </c>
      <c r="F74" s="1">
        <f ca="1">IFERROR(__xludf.DUMMYFUNCTION("""COMPUTED_VALUE"""),108.1)</f>
        <v>108.1</v>
      </c>
      <c r="G74" s="1">
        <f ca="1">IFERROR(__xludf.DUMMYFUNCTION("""COMPUTED_VALUE"""),104)</f>
        <v>104</v>
      </c>
      <c r="H74" s="1">
        <f ca="1">IFERROR(__xludf.DUMMYFUNCTION("""COMPUTED_VALUE"""),98.6)</f>
        <v>98.6</v>
      </c>
      <c r="I74" s="1">
        <f ca="1">IFERROR(__xludf.DUMMYFUNCTION("""COMPUTED_VALUE"""),71)</f>
        <v>71</v>
      </c>
      <c r="J74" s="1">
        <f ca="1">IFERROR(__xludf.DUMMYFUNCTION("""COMPUTED_VALUE"""),70.2)</f>
        <v>70.2</v>
      </c>
      <c r="K74" s="1">
        <f ca="1">IFERROR(__xludf.DUMMYFUNCTION("""COMPUTED_VALUE"""),61)</f>
        <v>61</v>
      </c>
      <c r="L74" s="1" t="str">
        <f ca="1">IFERROR(__xludf.DUMMYFUNCTION("""COMPUTED_VALUE"""),"+.022")</f>
        <v>+.022</v>
      </c>
      <c r="M74" s="1">
        <f ca="1">IFERROR(__xludf.DUMMYFUNCTION("""COMPUTED_VALUE"""),125)</f>
        <v>125</v>
      </c>
      <c r="N74" s="1" t="str">
        <f ca="1">IFERROR(__xludf.DUMMYFUNCTION("""COMPUTED_VALUE"""),"+10.48")</f>
        <v>+10.48</v>
      </c>
      <c r="O74" s="1">
        <f ca="1">IFERROR(__xludf.DUMMYFUNCTION("""COMPUTED_VALUE"""),29)</f>
        <v>29</v>
      </c>
      <c r="P74" s="1">
        <f ca="1">IFERROR(__xludf.DUMMYFUNCTION("""COMPUTED_VALUE"""),109.5)</f>
        <v>109.5</v>
      </c>
      <c r="Q74" s="1">
        <f ca="1">IFERROR(__xludf.DUMMYFUNCTION("""COMPUTED_VALUE"""),26)</f>
        <v>26</v>
      </c>
      <c r="R74" s="1">
        <f ca="1">IFERROR(__xludf.DUMMYFUNCTION("""COMPUTED_VALUE"""),99)</f>
        <v>99</v>
      </c>
      <c r="S74" s="1">
        <f ca="1">IFERROR(__xludf.DUMMYFUNCTION("""COMPUTED_VALUE"""),27)</f>
        <v>27</v>
      </c>
      <c r="T74" s="1" t="str">
        <f ca="1">IFERROR(__xludf.DUMMYFUNCTION("""COMPUTED_VALUE"""),"+2.26")</f>
        <v>+2.26</v>
      </c>
      <c r="U74" s="1">
        <f ca="1">IFERROR(__xludf.DUMMYFUNCTION("""COMPUTED_VALUE"""),99)</f>
        <v>99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IFERROR(__xludf.DUMMYFUNCTION("""COMPUTED_VALUE"""),"Fresno St.")</f>
        <v>Fresno St.</v>
      </c>
      <c r="C75" s="1" t="str">
        <f ca="1">IFERROR(__xludf.DUMMYFUNCTION("""COMPUTED_VALUE"""),"MWC")</f>
        <v>MWC</v>
      </c>
      <c r="D75" s="1" t="str">
        <f ca="1">IFERROR(__xludf.DUMMYFUNCTION("""COMPUTED_VALUE"""),"23-9")</f>
        <v>23-9</v>
      </c>
      <c r="E75" s="1" t="str">
        <f ca="1">IFERROR(__xludf.DUMMYFUNCTION("""COMPUTED_VALUE"""),"+9.36")</f>
        <v>+9.36</v>
      </c>
      <c r="F75" s="1">
        <f ca="1">IFERROR(__xludf.DUMMYFUNCTION("""COMPUTED_VALUE"""),108.4)</f>
        <v>108.4</v>
      </c>
      <c r="G75" s="1">
        <f ca="1">IFERROR(__xludf.DUMMYFUNCTION("""COMPUTED_VALUE"""),100)</f>
        <v>100</v>
      </c>
      <c r="H75" s="1">
        <f ca="1">IFERROR(__xludf.DUMMYFUNCTION("""COMPUTED_VALUE"""),99)</f>
        <v>99</v>
      </c>
      <c r="I75" s="1">
        <f ca="1">IFERROR(__xludf.DUMMYFUNCTION("""COMPUTED_VALUE"""),77)</f>
        <v>77</v>
      </c>
      <c r="J75" s="1">
        <f ca="1">IFERROR(__xludf.DUMMYFUNCTION("""COMPUTED_VALUE"""),67.9)</f>
        <v>67.900000000000006</v>
      </c>
      <c r="K75" s="1">
        <f ca="1">IFERROR(__xludf.DUMMYFUNCTION("""COMPUTED_VALUE"""),157)</f>
        <v>157</v>
      </c>
      <c r="L75" s="1">
        <f ca="1">IFERROR(__xludf.DUMMYFUNCTION("""COMPUTED_VALUE"""),-0.011)</f>
        <v>-1.0999999999999999E-2</v>
      </c>
      <c r="M75" s="1">
        <f ca="1">IFERROR(__xludf.DUMMYFUNCTION("""COMPUTED_VALUE"""),216)</f>
        <v>216</v>
      </c>
      <c r="N75" s="1">
        <f ca="1">IFERROR(__xludf.DUMMYFUNCTION("""COMPUTED_VALUE"""),-2.03)</f>
        <v>-2.0299999999999998</v>
      </c>
      <c r="O75" s="1">
        <f ca="1">IFERROR(__xludf.DUMMYFUNCTION("""COMPUTED_VALUE"""),198)</f>
        <v>198</v>
      </c>
      <c r="P75" s="1">
        <f ca="1">IFERROR(__xludf.DUMMYFUNCTION("""COMPUTED_VALUE"""),103.6)</f>
        <v>103.6</v>
      </c>
      <c r="Q75" s="1">
        <f ca="1">IFERROR(__xludf.DUMMYFUNCTION("""COMPUTED_VALUE"""),195)</f>
        <v>195</v>
      </c>
      <c r="R75" s="1">
        <f ca="1">IFERROR(__xludf.DUMMYFUNCTION("""COMPUTED_VALUE"""),105.6)</f>
        <v>105.6</v>
      </c>
      <c r="S75" s="1">
        <f ca="1">IFERROR(__xludf.DUMMYFUNCTION("""COMPUTED_VALUE"""),197)</f>
        <v>197</v>
      </c>
      <c r="T75" s="1">
        <f ca="1">IFERROR(__xludf.DUMMYFUNCTION("""COMPUTED_VALUE"""),-5.21)</f>
        <v>-5.21</v>
      </c>
      <c r="U75" s="1">
        <f ca="1">IFERROR(__xludf.DUMMYFUNCTION("""COMPUTED_VALUE"""),304)</f>
        <v>304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IFERROR(__xludf.DUMMYFUNCTION("""COMPUTED_VALUE"""),"Butler5")</f>
        <v>Butler5</v>
      </c>
      <c r="C76" s="1" t="str">
        <f ca="1">IFERROR(__xludf.DUMMYFUNCTION("""COMPUTED_VALUE"""),"BE")</f>
        <v>BE</v>
      </c>
      <c r="D76" s="1" t="str">
        <f ca="1">IFERROR(__xludf.DUMMYFUNCTION("""COMPUTED_VALUE"""),"16-17")</f>
        <v>16-17</v>
      </c>
      <c r="E76" s="1" t="str">
        <f ca="1">IFERROR(__xludf.DUMMYFUNCTION("""COMPUTED_VALUE"""),"+9.24")</f>
        <v>+9.24</v>
      </c>
      <c r="F76" s="1">
        <f ca="1">IFERROR(__xludf.DUMMYFUNCTION("""COMPUTED_VALUE"""),111.3)</f>
        <v>111.3</v>
      </c>
      <c r="G76" s="1">
        <f ca="1">IFERROR(__xludf.DUMMYFUNCTION("""COMPUTED_VALUE"""),53)</f>
        <v>53</v>
      </c>
      <c r="H76" s="1">
        <f ca="1">IFERROR(__xludf.DUMMYFUNCTION("""COMPUTED_VALUE"""),102.1)</f>
        <v>102.1</v>
      </c>
      <c r="I76" s="1">
        <f ca="1">IFERROR(__xludf.DUMMYFUNCTION("""COMPUTED_VALUE"""),123)</f>
        <v>123</v>
      </c>
      <c r="J76" s="1">
        <f ca="1">IFERROR(__xludf.DUMMYFUNCTION("""COMPUTED_VALUE"""),66)</f>
        <v>66</v>
      </c>
      <c r="K76" s="1">
        <f ca="1">IFERROR(__xludf.DUMMYFUNCTION("""COMPUTED_VALUE"""),263)</f>
        <v>263</v>
      </c>
      <c r="L76" s="1">
        <f ca="1">IFERROR(__xludf.DUMMYFUNCTION("""COMPUTED_VALUE"""),-0.043)</f>
        <v>-4.2999999999999997E-2</v>
      </c>
      <c r="M76" s="1">
        <f ca="1">IFERROR(__xludf.DUMMYFUNCTION("""COMPUTED_VALUE"""),280)</f>
        <v>280</v>
      </c>
      <c r="N76" s="1" t="str">
        <f ca="1">IFERROR(__xludf.DUMMYFUNCTION("""COMPUTED_VALUE"""),"+7.74")</f>
        <v>+7.74</v>
      </c>
      <c r="O76" s="1">
        <f ca="1">IFERROR(__xludf.DUMMYFUNCTION("""COMPUTED_VALUE"""),53)</f>
        <v>53</v>
      </c>
      <c r="P76" s="1">
        <f ca="1">IFERROR(__xludf.DUMMYFUNCTION("""COMPUTED_VALUE"""),108.6)</f>
        <v>108.6</v>
      </c>
      <c r="Q76" s="1">
        <f ca="1">IFERROR(__xludf.DUMMYFUNCTION("""COMPUTED_VALUE"""),47)</f>
        <v>47</v>
      </c>
      <c r="R76" s="1">
        <f ca="1">IFERROR(__xludf.DUMMYFUNCTION("""COMPUTED_VALUE"""),100.8)</f>
        <v>100.8</v>
      </c>
      <c r="S76" s="1">
        <f ca="1">IFERROR(__xludf.DUMMYFUNCTION("""COMPUTED_VALUE"""),56)</f>
        <v>56</v>
      </c>
      <c r="T76" s="1" t="str">
        <f ca="1">IFERROR(__xludf.DUMMYFUNCTION("""COMPUTED_VALUE"""),"+3.30")</f>
        <v>+3.30</v>
      </c>
      <c r="U76" s="1">
        <f ca="1">IFERROR(__xludf.DUMMYFUNCTION("""COMPUTED_VALUE"""),80)</f>
        <v>80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IFERROR(__xludf.DUMMYFUNCTION("""COMPUTED_VALUE"""),"UC Irvine13")</f>
        <v>UC Irvine13</v>
      </c>
      <c r="C77" s="1" t="str">
        <f ca="1">IFERROR(__xludf.DUMMYFUNCTION("""COMPUTED_VALUE"""),"BW")</f>
        <v>BW</v>
      </c>
      <c r="D77" s="1" t="str">
        <f ca="1">IFERROR(__xludf.DUMMYFUNCTION("""COMPUTED_VALUE"""),"31-6")</f>
        <v>31-6</v>
      </c>
      <c r="E77" s="1" t="str">
        <f ca="1">IFERROR(__xludf.DUMMYFUNCTION("""COMPUTED_VALUE"""),"+9.16")</f>
        <v>+9.16</v>
      </c>
      <c r="F77" s="1">
        <f ca="1">IFERROR(__xludf.DUMMYFUNCTION("""COMPUTED_VALUE"""),107.4)</f>
        <v>107.4</v>
      </c>
      <c r="G77" s="1">
        <f ca="1">IFERROR(__xludf.DUMMYFUNCTION("""COMPUTED_VALUE"""),118)</f>
        <v>118</v>
      </c>
      <c r="H77" s="1">
        <f ca="1">IFERROR(__xludf.DUMMYFUNCTION("""COMPUTED_VALUE"""),98.2)</f>
        <v>98.2</v>
      </c>
      <c r="I77" s="1">
        <f ca="1">IFERROR(__xludf.DUMMYFUNCTION("""COMPUTED_VALUE"""),65)</f>
        <v>65</v>
      </c>
      <c r="J77" s="1">
        <f ca="1">IFERROR(__xludf.DUMMYFUNCTION("""COMPUTED_VALUE"""),65.3)</f>
        <v>65.3</v>
      </c>
      <c r="K77" s="1">
        <f ca="1">IFERROR(__xludf.DUMMYFUNCTION("""COMPUTED_VALUE"""),293)</f>
        <v>293</v>
      </c>
      <c r="L77" s="1" t="str">
        <f ca="1">IFERROR(__xludf.DUMMYFUNCTION("""COMPUTED_VALUE"""),"+.110")</f>
        <v>+.110</v>
      </c>
      <c r="M77" s="1">
        <f ca="1">IFERROR(__xludf.DUMMYFUNCTION("""COMPUTED_VALUE"""),8)</f>
        <v>8</v>
      </c>
      <c r="N77" s="1">
        <f ca="1">IFERROR(__xludf.DUMMYFUNCTION("""COMPUTED_VALUE"""),-3.28)</f>
        <v>-3.28</v>
      </c>
      <c r="O77" s="1">
        <f ca="1">IFERROR(__xludf.DUMMYFUNCTION("""COMPUTED_VALUE"""),231)</f>
        <v>231</v>
      </c>
      <c r="P77" s="1">
        <f ca="1">IFERROR(__xludf.DUMMYFUNCTION("""COMPUTED_VALUE"""),102.5)</f>
        <v>102.5</v>
      </c>
      <c r="Q77" s="1">
        <f ca="1">IFERROR(__xludf.DUMMYFUNCTION("""COMPUTED_VALUE"""),243)</f>
        <v>243</v>
      </c>
      <c r="R77" s="1">
        <f ca="1">IFERROR(__xludf.DUMMYFUNCTION("""COMPUTED_VALUE"""),105.8)</f>
        <v>105.8</v>
      </c>
      <c r="S77" s="1">
        <f ca="1">IFERROR(__xludf.DUMMYFUNCTION("""COMPUTED_VALUE"""),204)</f>
        <v>204</v>
      </c>
      <c r="T77" s="1" t="str">
        <f ca="1">IFERROR(__xludf.DUMMYFUNCTION("""COMPUTED_VALUE"""),"+1.25")</f>
        <v>+1.25</v>
      </c>
      <c r="U77" s="1">
        <f ca="1">IFERROR(__xludf.DUMMYFUNCTION("""COMPUTED_VALUE"""),117)</f>
        <v>117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IFERROR(__xludf.DUMMYFUNCTION("""COMPUTED_VALUE"""),"Northwestern")</f>
        <v>Northwestern</v>
      </c>
      <c r="C78" s="1" t="str">
        <f ca="1">IFERROR(__xludf.DUMMYFUNCTION("""COMPUTED_VALUE"""),"B10")</f>
        <v>B10</v>
      </c>
      <c r="D78" s="1" t="str">
        <f ca="1">IFERROR(__xludf.DUMMYFUNCTION("""COMPUTED_VALUE"""),"13-19")</f>
        <v>13-19</v>
      </c>
      <c r="E78" s="1" t="str">
        <f ca="1">IFERROR(__xludf.DUMMYFUNCTION("""COMPUTED_VALUE"""),"+9.06")</f>
        <v>+9.06</v>
      </c>
      <c r="F78" s="1">
        <f ca="1">IFERROR(__xludf.DUMMYFUNCTION("""COMPUTED_VALUE"""),102.9)</f>
        <v>102.9</v>
      </c>
      <c r="G78" s="1">
        <f ca="1">IFERROR(__xludf.DUMMYFUNCTION("""COMPUTED_VALUE"""),204)</f>
        <v>204</v>
      </c>
      <c r="H78" s="1">
        <f ca="1">IFERROR(__xludf.DUMMYFUNCTION("""COMPUTED_VALUE"""),93.8)</f>
        <v>93.8</v>
      </c>
      <c r="I78" s="1">
        <f ca="1">IFERROR(__xludf.DUMMYFUNCTION("""COMPUTED_VALUE"""),19)</f>
        <v>19</v>
      </c>
      <c r="J78" s="1">
        <f ca="1">IFERROR(__xludf.DUMMYFUNCTION("""COMPUTED_VALUE"""),66)</f>
        <v>66</v>
      </c>
      <c r="K78" s="1">
        <f ca="1">IFERROR(__xludf.DUMMYFUNCTION("""COMPUTED_VALUE"""),265)</f>
        <v>265</v>
      </c>
      <c r="L78" s="1">
        <f ca="1">IFERROR(__xludf.DUMMYFUNCTION("""COMPUTED_VALUE"""),-0.111)</f>
        <v>-0.111</v>
      </c>
      <c r="M78" s="1">
        <f ca="1">IFERROR(__xludf.DUMMYFUNCTION("""COMPUTED_VALUE"""),348)</f>
        <v>348</v>
      </c>
      <c r="N78" s="1" t="str">
        <f ca="1">IFERROR(__xludf.DUMMYFUNCTION("""COMPUTED_VALUE"""),"+8.94")</f>
        <v>+8.94</v>
      </c>
      <c r="O78" s="1">
        <f ca="1">IFERROR(__xludf.DUMMYFUNCTION("""COMPUTED_VALUE"""),41)</f>
        <v>41</v>
      </c>
      <c r="P78" s="1">
        <f ca="1">IFERROR(__xludf.DUMMYFUNCTION("""COMPUTED_VALUE"""),108.3)</f>
        <v>108.3</v>
      </c>
      <c r="Q78" s="1">
        <f ca="1">IFERROR(__xludf.DUMMYFUNCTION("""COMPUTED_VALUE"""),50)</f>
        <v>50</v>
      </c>
      <c r="R78" s="1">
        <f ca="1">IFERROR(__xludf.DUMMYFUNCTION("""COMPUTED_VALUE"""),99.4)</f>
        <v>99.4</v>
      </c>
      <c r="S78" s="1">
        <f ca="1">IFERROR(__xludf.DUMMYFUNCTION("""COMPUTED_VALUE"""),35)</f>
        <v>35</v>
      </c>
      <c r="T78" s="1">
        <f ca="1">IFERROR(__xludf.DUMMYFUNCTION("""COMPUTED_VALUE"""),-6.1)</f>
        <v>-6.1</v>
      </c>
      <c r="U78" s="1">
        <f ca="1">IFERROR(__xludf.DUMMYFUNCTION("""COMPUTED_VALUE"""),323)</f>
        <v>323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IFERROR(__xludf.DUMMYFUNCTION("""COMPUTED_VALUE"""),"Miami FL")</f>
        <v>Miami FL</v>
      </c>
      <c r="C79" s="1" t="str">
        <f ca="1">IFERROR(__xludf.DUMMYFUNCTION("""COMPUTED_VALUE"""),"ACC")</f>
        <v>ACC</v>
      </c>
      <c r="D79" s="1" t="str">
        <f ca="1">IFERROR(__xludf.DUMMYFUNCTION("""COMPUTED_VALUE"""),"14-18")</f>
        <v>14-18</v>
      </c>
      <c r="E79" s="1" t="str">
        <f ca="1">IFERROR(__xludf.DUMMYFUNCTION("""COMPUTED_VALUE"""),"+9.03")</f>
        <v>+9.03</v>
      </c>
      <c r="F79" s="1">
        <f ca="1">IFERROR(__xludf.DUMMYFUNCTION("""COMPUTED_VALUE"""),109.9)</f>
        <v>109.9</v>
      </c>
      <c r="G79" s="1">
        <f ca="1">IFERROR(__xludf.DUMMYFUNCTION("""COMPUTED_VALUE"""),68)</f>
        <v>68</v>
      </c>
      <c r="H79" s="1">
        <f ca="1">IFERROR(__xludf.DUMMYFUNCTION("""COMPUTED_VALUE"""),100.8)</f>
        <v>100.8</v>
      </c>
      <c r="I79" s="1">
        <f ca="1">IFERROR(__xludf.DUMMYFUNCTION("""COMPUTED_VALUE"""),104)</f>
        <v>104</v>
      </c>
      <c r="J79" s="1">
        <f ca="1">IFERROR(__xludf.DUMMYFUNCTION("""COMPUTED_VALUE"""),67)</f>
        <v>67</v>
      </c>
      <c r="K79" s="1">
        <f ca="1">IFERROR(__xludf.DUMMYFUNCTION("""COMPUTED_VALUE"""),208)</f>
        <v>208</v>
      </c>
      <c r="L79" s="1">
        <f ca="1">IFERROR(__xludf.DUMMYFUNCTION("""COMPUTED_VALUE"""),-0.072)</f>
        <v>-7.1999999999999995E-2</v>
      </c>
      <c r="M79" s="1">
        <f ca="1">IFERROR(__xludf.DUMMYFUNCTION("""COMPUTED_VALUE"""),327)</f>
        <v>327</v>
      </c>
      <c r="N79" s="1" t="str">
        <f ca="1">IFERROR(__xludf.DUMMYFUNCTION("""COMPUTED_VALUE"""),"+8.03")</f>
        <v>+8.03</v>
      </c>
      <c r="O79" s="1">
        <f ca="1">IFERROR(__xludf.DUMMYFUNCTION("""COMPUTED_VALUE"""),50)</f>
        <v>50</v>
      </c>
      <c r="P79" s="1">
        <f ca="1">IFERROR(__xludf.DUMMYFUNCTION("""COMPUTED_VALUE"""),108.1)</f>
        <v>108.1</v>
      </c>
      <c r="Q79" s="1">
        <f ca="1">IFERROR(__xludf.DUMMYFUNCTION("""COMPUTED_VALUE"""),54)</f>
        <v>54</v>
      </c>
      <c r="R79" s="1">
        <f ca="1">IFERROR(__xludf.DUMMYFUNCTION("""COMPUTED_VALUE"""),100.1)</f>
        <v>100.1</v>
      </c>
      <c r="S79" s="1">
        <f ca="1">IFERROR(__xludf.DUMMYFUNCTION("""COMPUTED_VALUE"""),45)</f>
        <v>45</v>
      </c>
      <c r="T79" s="1">
        <f ca="1">IFERROR(__xludf.DUMMYFUNCTION("""COMPUTED_VALUE"""),-3.5)</f>
        <v>-3.5</v>
      </c>
      <c r="U79" s="1">
        <f ca="1">IFERROR(__xludf.DUMMYFUNCTION("""COMPUTED_VALUE"""),261)</f>
        <v>261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IFERROR(__xludf.DUMMYFUNCTION("""COMPUTED_VALUE"""),"Vermont13")</f>
        <v>Vermont13</v>
      </c>
      <c r="C80" s="1" t="str">
        <f ca="1">IFERROR(__xludf.DUMMYFUNCTION("""COMPUTED_VALUE"""),"AE")</f>
        <v>AE</v>
      </c>
      <c r="D80" s="1" t="str">
        <f ca="1">IFERROR(__xludf.DUMMYFUNCTION("""COMPUTED_VALUE"""),"27-7")</f>
        <v>27-7</v>
      </c>
      <c r="E80" s="1" t="str">
        <f ca="1">IFERROR(__xludf.DUMMYFUNCTION("""COMPUTED_VALUE"""),"+8.86")</f>
        <v>+8.86</v>
      </c>
      <c r="F80" s="1">
        <f ca="1">IFERROR(__xludf.DUMMYFUNCTION("""COMPUTED_VALUE"""),108.5)</f>
        <v>108.5</v>
      </c>
      <c r="G80" s="1">
        <f ca="1">IFERROR(__xludf.DUMMYFUNCTION("""COMPUTED_VALUE"""),97)</f>
        <v>97</v>
      </c>
      <c r="H80" s="1">
        <f ca="1">IFERROR(__xludf.DUMMYFUNCTION("""COMPUTED_VALUE"""),99.6)</f>
        <v>99.6</v>
      </c>
      <c r="I80" s="1">
        <f ca="1">IFERROR(__xludf.DUMMYFUNCTION("""COMPUTED_VALUE"""),88)</f>
        <v>88</v>
      </c>
      <c r="J80" s="1">
        <f ca="1">IFERROR(__xludf.DUMMYFUNCTION("""COMPUTED_VALUE"""),65.5)</f>
        <v>65.5</v>
      </c>
      <c r="K80" s="1">
        <f ca="1">IFERROR(__xludf.DUMMYFUNCTION("""COMPUTED_VALUE"""),285)</f>
        <v>285</v>
      </c>
      <c r="L80" s="1" t="str">
        <f ca="1">IFERROR(__xludf.DUMMYFUNCTION("""COMPUTED_VALUE"""),"+.043")</f>
        <v>+.043</v>
      </c>
      <c r="M80" s="1">
        <f ca="1">IFERROR(__xludf.DUMMYFUNCTION("""COMPUTED_VALUE"""),77)</f>
        <v>77</v>
      </c>
      <c r="N80" s="1">
        <f ca="1">IFERROR(__xludf.DUMMYFUNCTION("""COMPUTED_VALUE"""),-5.55)</f>
        <v>-5.55</v>
      </c>
      <c r="O80" s="1">
        <f ca="1">IFERROR(__xludf.DUMMYFUNCTION("""COMPUTED_VALUE"""),281)</f>
        <v>281</v>
      </c>
      <c r="P80" s="1">
        <f ca="1">IFERROR(__xludf.DUMMYFUNCTION("""COMPUTED_VALUE"""),100.7)</f>
        <v>100.7</v>
      </c>
      <c r="Q80" s="1">
        <f ca="1">IFERROR(__xludf.DUMMYFUNCTION("""COMPUTED_VALUE"""),311)</f>
        <v>311</v>
      </c>
      <c r="R80" s="1">
        <f ca="1">IFERROR(__xludf.DUMMYFUNCTION("""COMPUTED_VALUE"""),106.2)</f>
        <v>106.2</v>
      </c>
      <c r="S80" s="1">
        <f ca="1">IFERROR(__xludf.DUMMYFUNCTION("""COMPUTED_VALUE"""),221)</f>
        <v>221</v>
      </c>
      <c r="T80" s="1" t="str">
        <f ca="1">IFERROR(__xludf.DUMMYFUNCTION("""COMPUTED_VALUE"""),"+3.20")</f>
        <v>+3.20</v>
      </c>
      <c r="U80" s="1">
        <f ca="1">IFERROR(__xludf.DUMMYFUNCTION("""COMPUTED_VALUE"""),85)</f>
        <v>85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IFERROR(__xludf.DUMMYFUNCTION("""COMPUTED_VALUE"""),"Yale14")</f>
        <v>Yale14</v>
      </c>
      <c r="C81" s="1" t="str">
        <f ca="1">IFERROR(__xludf.DUMMYFUNCTION("""COMPUTED_VALUE"""),"Ivy")</f>
        <v>Ivy</v>
      </c>
      <c r="D81" s="1" t="str">
        <f ca="1">IFERROR(__xludf.DUMMYFUNCTION("""COMPUTED_VALUE"""),"22-8")</f>
        <v>22-8</v>
      </c>
      <c r="E81" s="1" t="str">
        <f ca="1">IFERROR(__xludf.DUMMYFUNCTION("""COMPUTED_VALUE"""),"+8.79")</f>
        <v>+8.79</v>
      </c>
      <c r="F81" s="1">
        <f ca="1">IFERROR(__xludf.DUMMYFUNCTION("""COMPUTED_VALUE"""),111.6)</f>
        <v>111.6</v>
      </c>
      <c r="G81" s="1">
        <f ca="1">IFERROR(__xludf.DUMMYFUNCTION("""COMPUTED_VALUE"""),51)</f>
        <v>51</v>
      </c>
      <c r="H81" s="1">
        <f ca="1">IFERROR(__xludf.DUMMYFUNCTION("""COMPUTED_VALUE"""),102.8)</f>
        <v>102.8</v>
      </c>
      <c r="I81" s="1">
        <f ca="1">IFERROR(__xludf.DUMMYFUNCTION("""COMPUTED_VALUE"""),141)</f>
        <v>141</v>
      </c>
      <c r="J81" s="1">
        <f ca="1">IFERROR(__xludf.DUMMYFUNCTION("""COMPUTED_VALUE"""),71)</f>
        <v>71</v>
      </c>
      <c r="K81" s="1">
        <f ca="1">IFERROR(__xludf.DUMMYFUNCTION("""COMPUTED_VALUE"""),41)</f>
        <v>41</v>
      </c>
      <c r="L81" s="1" t="str">
        <f ca="1">IFERROR(__xludf.DUMMYFUNCTION("""COMPUTED_VALUE"""),"+.041")</f>
        <v>+.041</v>
      </c>
      <c r="M81" s="1">
        <f ca="1">IFERROR(__xludf.DUMMYFUNCTION("""COMPUTED_VALUE"""),80)</f>
        <v>80</v>
      </c>
      <c r="N81" s="1">
        <f ca="1">IFERROR(__xludf.DUMMYFUNCTION("""COMPUTED_VALUE"""),-1.1)</f>
        <v>-1.1000000000000001</v>
      </c>
      <c r="O81" s="1">
        <f ca="1">IFERROR(__xludf.DUMMYFUNCTION("""COMPUTED_VALUE"""),167)</f>
        <v>167</v>
      </c>
      <c r="P81" s="1">
        <f ca="1">IFERROR(__xludf.DUMMYFUNCTION("""COMPUTED_VALUE"""),103)</f>
        <v>103</v>
      </c>
      <c r="Q81" s="1">
        <f ca="1">IFERROR(__xludf.DUMMYFUNCTION("""COMPUTED_VALUE"""),224)</f>
        <v>224</v>
      </c>
      <c r="R81" s="1">
        <f ca="1">IFERROR(__xludf.DUMMYFUNCTION("""COMPUTED_VALUE"""),104.2)</f>
        <v>104.2</v>
      </c>
      <c r="S81" s="1">
        <f ca="1">IFERROR(__xludf.DUMMYFUNCTION("""COMPUTED_VALUE"""),140)</f>
        <v>140</v>
      </c>
      <c r="T81" s="1">
        <f ca="1">IFERROR(__xludf.DUMMYFUNCTION("""COMPUTED_VALUE"""),-2.09)</f>
        <v>-2.09</v>
      </c>
      <c r="U81" s="1">
        <f ca="1">IFERROR(__xludf.DUMMYFUNCTION("""COMPUTED_VALUE"""),222)</f>
        <v>222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IFERROR(__xludf.DUMMYFUNCTION("""COMPUTED_VALUE"""),"Rutgers")</f>
        <v>Rutgers</v>
      </c>
      <c r="C82" s="1" t="str">
        <f ca="1">IFERROR(__xludf.DUMMYFUNCTION("""COMPUTED_VALUE"""),"B10")</f>
        <v>B10</v>
      </c>
      <c r="D82" s="1" t="str">
        <f ca="1">IFERROR(__xludf.DUMMYFUNCTION("""COMPUTED_VALUE"""),"14-17")</f>
        <v>14-17</v>
      </c>
      <c r="E82" s="1" t="str">
        <f ca="1">IFERROR(__xludf.DUMMYFUNCTION("""COMPUTED_VALUE"""),"+8.76")</f>
        <v>+8.76</v>
      </c>
      <c r="F82" s="1">
        <f ca="1">IFERROR(__xludf.DUMMYFUNCTION("""COMPUTED_VALUE"""),105.6)</f>
        <v>105.6</v>
      </c>
      <c r="G82" s="1">
        <f ca="1">IFERROR(__xludf.DUMMYFUNCTION("""COMPUTED_VALUE"""),152)</f>
        <v>152</v>
      </c>
      <c r="H82" s="1">
        <f ca="1">IFERROR(__xludf.DUMMYFUNCTION("""COMPUTED_VALUE"""),96.8)</f>
        <v>96.8</v>
      </c>
      <c r="I82" s="1">
        <f ca="1">IFERROR(__xludf.DUMMYFUNCTION("""COMPUTED_VALUE"""),46)</f>
        <v>46</v>
      </c>
      <c r="J82" s="1">
        <f ca="1">IFERROR(__xludf.DUMMYFUNCTION("""COMPUTED_VALUE"""),67.7)</f>
        <v>67.7</v>
      </c>
      <c r="K82" s="1">
        <f ca="1">IFERROR(__xludf.DUMMYFUNCTION("""COMPUTED_VALUE"""),170)</f>
        <v>170</v>
      </c>
      <c r="L82" s="1">
        <f ca="1">IFERROR(__xludf.DUMMYFUNCTION("""COMPUTED_VALUE"""),-0.02)</f>
        <v>-0.02</v>
      </c>
      <c r="M82" s="1">
        <f ca="1">IFERROR(__xludf.DUMMYFUNCTION("""COMPUTED_VALUE"""),234)</f>
        <v>234</v>
      </c>
      <c r="N82" s="1" t="str">
        <f ca="1">IFERROR(__xludf.DUMMYFUNCTION("""COMPUTED_VALUE"""),"+10.22")</f>
        <v>+10.22</v>
      </c>
      <c r="O82" s="1">
        <f ca="1">IFERROR(__xludf.DUMMYFUNCTION("""COMPUTED_VALUE"""),31)</f>
        <v>31</v>
      </c>
      <c r="P82" s="1">
        <f ca="1">IFERROR(__xludf.DUMMYFUNCTION("""COMPUTED_VALUE"""),109.2)</f>
        <v>109.2</v>
      </c>
      <c r="Q82" s="1">
        <f ca="1">IFERROR(__xludf.DUMMYFUNCTION("""COMPUTED_VALUE"""),33)</f>
        <v>33</v>
      </c>
      <c r="R82" s="1">
        <f ca="1">IFERROR(__xludf.DUMMYFUNCTION("""COMPUTED_VALUE"""),99)</f>
        <v>99</v>
      </c>
      <c r="S82" s="1">
        <f ca="1">IFERROR(__xludf.DUMMYFUNCTION("""COMPUTED_VALUE"""),26)</f>
        <v>26</v>
      </c>
      <c r="T82" s="1">
        <f ca="1">IFERROR(__xludf.DUMMYFUNCTION("""COMPUTED_VALUE"""),-5.1)</f>
        <v>-5.0999999999999996</v>
      </c>
      <c r="U82" s="1">
        <f ca="1">IFERROR(__xludf.DUMMYFUNCTION("""COMPUTED_VALUE"""),303)</f>
        <v>303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IFERROR(__xludf.DUMMYFUNCTION("""COMPUTED_VALUE"""),"Providence4")</f>
        <v>Providence4</v>
      </c>
      <c r="C83" s="1" t="str">
        <f ca="1">IFERROR(__xludf.DUMMYFUNCTION("""COMPUTED_VALUE"""),"BE")</f>
        <v>BE</v>
      </c>
      <c r="D83" s="1" t="str">
        <f ca="1">IFERROR(__xludf.DUMMYFUNCTION("""COMPUTED_VALUE"""),"18-16")</f>
        <v>18-16</v>
      </c>
      <c r="E83" s="1" t="str">
        <f ca="1">IFERROR(__xludf.DUMMYFUNCTION("""COMPUTED_VALUE"""),"+8.65")</f>
        <v>+8.65</v>
      </c>
      <c r="F83" s="1">
        <f ca="1">IFERROR(__xludf.DUMMYFUNCTION("""COMPUTED_VALUE"""),105)</f>
        <v>105</v>
      </c>
      <c r="G83" s="1">
        <f ca="1">IFERROR(__xludf.DUMMYFUNCTION("""COMPUTED_VALUE"""),164)</f>
        <v>164</v>
      </c>
      <c r="H83" s="1">
        <f ca="1">IFERROR(__xludf.DUMMYFUNCTION("""COMPUTED_VALUE"""),96.3)</f>
        <v>96.3</v>
      </c>
      <c r="I83" s="1">
        <f ca="1">IFERROR(__xludf.DUMMYFUNCTION("""COMPUTED_VALUE"""),41)</f>
        <v>41</v>
      </c>
      <c r="J83" s="1">
        <f ca="1">IFERROR(__xludf.DUMMYFUNCTION("""COMPUTED_VALUE"""),67.9)</f>
        <v>67.900000000000006</v>
      </c>
      <c r="K83" s="1">
        <f ca="1">IFERROR(__xludf.DUMMYFUNCTION("""COMPUTED_VALUE"""),158)</f>
        <v>158</v>
      </c>
      <c r="L83" s="1">
        <f ca="1">IFERROR(__xludf.DUMMYFUNCTION("""COMPUTED_VALUE"""),-0.018)</f>
        <v>-1.7999999999999999E-2</v>
      </c>
      <c r="M83" s="1">
        <f ca="1">IFERROR(__xludf.DUMMYFUNCTION("""COMPUTED_VALUE"""),231)</f>
        <v>231</v>
      </c>
      <c r="N83" s="1" t="str">
        <f ca="1">IFERROR(__xludf.DUMMYFUNCTION("""COMPUTED_VALUE"""),"+6.14")</f>
        <v>+6.14</v>
      </c>
      <c r="O83" s="1">
        <f ca="1">IFERROR(__xludf.DUMMYFUNCTION("""COMPUTED_VALUE"""),60)</f>
        <v>60</v>
      </c>
      <c r="P83" s="1">
        <f ca="1">IFERROR(__xludf.DUMMYFUNCTION("""COMPUTED_VALUE"""),108.5)</f>
        <v>108.5</v>
      </c>
      <c r="Q83" s="1">
        <f ca="1">IFERROR(__xludf.DUMMYFUNCTION("""COMPUTED_VALUE"""),48)</f>
        <v>48</v>
      </c>
      <c r="R83" s="1">
        <f ca="1">IFERROR(__xludf.DUMMYFUNCTION("""COMPUTED_VALUE"""),102.4)</f>
        <v>102.4</v>
      </c>
      <c r="S83" s="1">
        <f ca="1">IFERROR(__xludf.DUMMYFUNCTION("""COMPUTED_VALUE"""),84)</f>
        <v>84</v>
      </c>
      <c r="T83" s="1">
        <f ca="1">IFERROR(__xludf.DUMMYFUNCTION("""COMPUTED_VALUE"""),-2.58)</f>
        <v>-2.58</v>
      </c>
      <c r="U83" s="1">
        <f ca="1">IFERROR(__xludf.DUMMYFUNCTION("""COMPUTED_VALUE"""),237)</f>
        <v>237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IFERROR(__xludf.DUMMYFUNCTION("""COMPUTED_VALUE"""),"East Tennessee St.")</f>
        <v>East Tennessee St.</v>
      </c>
      <c r="C84" s="1" t="str">
        <f ca="1">IFERROR(__xludf.DUMMYFUNCTION("""COMPUTED_VALUE"""),"SC")</f>
        <v>SC</v>
      </c>
      <c r="D84" s="1" t="str">
        <f ca="1">IFERROR(__xludf.DUMMYFUNCTION("""COMPUTED_VALUE"""),"24-10")</f>
        <v>24-10</v>
      </c>
      <c r="E84" s="1" t="str">
        <f ca="1">IFERROR(__xludf.DUMMYFUNCTION("""COMPUTED_VALUE"""),"+8.48")</f>
        <v>+8.48</v>
      </c>
      <c r="F84" s="1">
        <f ca="1">IFERROR(__xludf.DUMMYFUNCTION("""COMPUTED_VALUE"""),109.9)</f>
        <v>109.9</v>
      </c>
      <c r="G84" s="1">
        <f ca="1">IFERROR(__xludf.DUMMYFUNCTION("""COMPUTED_VALUE"""),67)</f>
        <v>67</v>
      </c>
      <c r="H84" s="1">
        <f ca="1">IFERROR(__xludf.DUMMYFUNCTION("""COMPUTED_VALUE"""),101.4)</f>
        <v>101.4</v>
      </c>
      <c r="I84" s="1">
        <f ca="1">IFERROR(__xludf.DUMMYFUNCTION("""COMPUTED_VALUE"""),115)</f>
        <v>115</v>
      </c>
      <c r="J84" s="1">
        <f ca="1">IFERROR(__xludf.DUMMYFUNCTION("""COMPUTED_VALUE"""),67.2)</f>
        <v>67.2</v>
      </c>
      <c r="K84" s="1">
        <f ca="1">IFERROR(__xludf.DUMMYFUNCTION("""COMPUTED_VALUE"""),201)</f>
        <v>201</v>
      </c>
      <c r="L84" s="1" t="str">
        <f ca="1">IFERROR(__xludf.DUMMYFUNCTION("""COMPUTED_VALUE"""),"+.011")</f>
        <v>+.011</v>
      </c>
      <c r="M84" s="1">
        <f ca="1">IFERROR(__xludf.DUMMYFUNCTION("""COMPUTED_VALUE"""),153)</f>
        <v>153</v>
      </c>
      <c r="N84" s="1">
        <f ca="1">IFERROR(__xludf.DUMMYFUNCTION("""COMPUTED_VALUE"""),-1.29)</f>
        <v>-1.29</v>
      </c>
      <c r="O84" s="1">
        <f ca="1">IFERROR(__xludf.DUMMYFUNCTION("""COMPUTED_VALUE"""),172)</f>
        <v>172</v>
      </c>
      <c r="P84" s="1">
        <f ca="1">IFERROR(__xludf.DUMMYFUNCTION("""COMPUTED_VALUE"""),105.4)</f>
        <v>105.4</v>
      </c>
      <c r="Q84" s="1">
        <f ca="1">IFERROR(__xludf.DUMMYFUNCTION("""COMPUTED_VALUE"""),110)</f>
        <v>110</v>
      </c>
      <c r="R84" s="1">
        <f ca="1">IFERROR(__xludf.DUMMYFUNCTION("""COMPUTED_VALUE"""),106.6)</f>
        <v>106.6</v>
      </c>
      <c r="S84" s="1">
        <f ca="1">IFERROR(__xludf.DUMMYFUNCTION("""COMPUTED_VALUE"""),241)</f>
        <v>241</v>
      </c>
      <c r="T84" s="1">
        <f ca="1">IFERROR(__xludf.DUMMYFUNCTION("""COMPUTED_VALUE"""),-2.21)</f>
        <v>-2.21</v>
      </c>
      <c r="U84" s="1">
        <f ca="1">IFERROR(__xludf.DUMMYFUNCTION("""COMPUTED_VALUE"""),229)</f>
        <v>229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IFERROR(__xludf.DUMMYFUNCTION("""COMPUTED_VALUE"""),"Oregon St.")</f>
        <v>Oregon St.</v>
      </c>
      <c r="C87" s="1" t="str">
        <f ca="1">IFERROR(__xludf.DUMMYFUNCTION("""COMPUTED_VALUE"""),"P12")</f>
        <v>P12</v>
      </c>
      <c r="D87" s="1" t="str">
        <f ca="1">IFERROR(__xludf.DUMMYFUNCTION("""COMPUTED_VALUE"""),"18-13")</f>
        <v>18-13</v>
      </c>
      <c r="E87" s="1" t="str">
        <f ca="1">IFERROR(__xludf.DUMMYFUNCTION("""COMPUTED_VALUE"""),"+8.33")</f>
        <v>+8.33</v>
      </c>
      <c r="F87" s="1">
        <f ca="1">IFERROR(__xludf.DUMMYFUNCTION("""COMPUTED_VALUE"""),111.7)</f>
        <v>111.7</v>
      </c>
      <c r="G87" s="1">
        <f ca="1">IFERROR(__xludf.DUMMYFUNCTION("""COMPUTED_VALUE"""),48)</f>
        <v>48</v>
      </c>
      <c r="H87" s="1">
        <f ca="1">IFERROR(__xludf.DUMMYFUNCTION("""COMPUTED_VALUE"""),103.4)</f>
        <v>103.4</v>
      </c>
      <c r="I87" s="1">
        <f ca="1">IFERROR(__xludf.DUMMYFUNCTION("""COMPUTED_VALUE"""),150)</f>
        <v>150</v>
      </c>
      <c r="J87" s="1">
        <f ca="1">IFERROR(__xludf.DUMMYFUNCTION("""COMPUTED_VALUE"""),65.7)</f>
        <v>65.7</v>
      </c>
      <c r="K87" s="1">
        <f ca="1">IFERROR(__xludf.DUMMYFUNCTION("""COMPUTED_VALUE"""),280)</f>
        <v>280</v>
      </c>
      <c r="L87" s="1">
        <f ca="1">IFERROR(__xludf.DUMMYFUNCTION("""COMPUTED_VALUE"""),-0.04)</f>
        <v>-0.04</v>
      </c>
      <c r="M87" s="1">
        <f ca="1">IFERROR(__xludf.DUMMYFUNCTION("""COMPUTED_VALUE"""),272)</f>
        <v>272</v>
      </c>
      <c r="N87" s="1" t="str">
        <f ca="1">IFERROR(__xludf.DUMMYFUNCTION("""COMPUTED_VALUE"""),"+3.33")</f>
        <v>+3.33</v>
      </c>
      <c r="O87" s="1">
        <f ca="1">IFERROR(__xludf.DUMMYFUNCTION("""COMPUTED_VALUE"""),87)</f>
        <v>87</v>
      </c>
      <c r="P87" s="1">
        <f ca="1">IFERROR(__xludf.DUMMYFUNCTION("""COMPUTED_VALUE"""),105.5)</f>
        <v>105.5</v>
      </c>
      <c r="Q87" s="1">
        <f ca="1">IFERROR(__xludf.DUMMYFUNCTION("""COMPUTED_VALUE"""),101)</f>
        <v>101</v>
      </c>
      <c r="R87" s="1">
        <f ca="1">IFERROR(__xludf.DUMMYFUNCTION("""COMPUTED_VALUE"""),102.1)</f>
        <v>102.1</v>
      </c>
      <c r="S87" s="1">
        <f ca="1">IFERROR(__xludf.DUMMYFUNCTION("""COMPUTED_VALUE"""),74)</f>
        <v>74</v>
      </c>
      <c r="T87" s="1">
        <f ca="1">IFERROR(__xludf.DUMMYFUNCTION("""COMPUTED_VALUE"""),-3.48)</f>
        <v>-3.48</v>
      </c>
      <c r="U87" s="1">
        <f ca="1">IFERROR(__xludf.DUMMYFUNCTION("""COMPUTED_VALUE"""),260)</f>
        <v>260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IFERROR(__xludf.DUMMYFUNCTION("""COMPUTED_VALUE"""),"USC")</f>
        <v>USC</v>
      </c>
      <c r="C88" s="1" t="str">
        <f ca="1">IFERROR(__xludf.DUMMYFUNCTION("""COMPUTED_VALUE"""),"P12")</f>
        <v>P12</v>
      </c>
      <c r="D88" s="1" t="str">
        <f ca="1">IFERROR(__xludf.DUMMYFUNCTION("""COMPUTED_VALUE"""),"16-17")</f>
        <v>16-17</v>
      </c>
      <c r="E88" s="1" t="str">
        <f ca="1">IFERROR(__xludf.DUMMYFUNCTION("""COMPUTED_VALUE"""),"+8.25")</f>
        <v>+8.25</v>
      </c>
      <c r="F88" s="1">
        <f ca="1">IFERROR(__xludf.DUMMYFUNCTION("""COMPUTED_VALUE"""),109.8)</f>
        <v>109.8</v>
      </c>
      <c r="G88" s="1">
        <f ca="1">IFERROR(__xludf.DUMMYFUNCTION("""COMPUTED_VALUE"""),72)</f>
        <v>72</v>
      </c>
      <c r="H88" s="1">
        <f ca="1">IFERROR(__xludf.DUMMYFUNCTION("""COMPUTED_VALUE"""),101.5)</f>
        <v>101.5</v>
      </c>
      <c r="I88" s="1">
        <f ca="1">IFERROR(__xludf.DUMMYFUNCTION("""COMPUTED_VALUE"""),118)</f>
        <v>118</v>
      </c>
      <c r="J88" s="1">
        <f ca="1">IFERROR(__xludf.DUMMYFUNCTION("""COMPUTED_VALUE"""),69.6)</f>
        <v>69.599999999999994</v>
      </c>
      <c r="K88" s="1">
        <f ca="1">IFERROR(__xludf.DUMMYFUNCTION("""COMPUTED_VALUE"""),83)</f>
        <v>83</v>
      </c>
      <c r="L88" s="1">
        <f ca="1">IFERROR(__xludf.DUMMYFUNCTION("""COMPUTED_VALUE"""),-0.096)</f>
        <v>-9.6000000000000002E-2</v>
      </c>
      <c r="M88" s="1">
        <f ca="1">IFERROR(__xludf.DUMMYFUNCTION("""COMPUTED_VALUE"""),342)</f>
        <v>342</v>
      </c>
      <c r="N88" s="1" t="str">
        <f ca="1">IFERROR(__xludf.DUMMYFUNCTION("""COMPUTED_VALUE"""),"+3.68")</f>
        <v>+3.68</v>
      </c>
      <c r="O88" s="1">
        <f ca="1">IFERROR(__xludf.DUMMYFUNCTION("""COMPUTED_VALUE"""),81)</f>
        <v>81</v>
      </c>
      <c r="P88" s="1">
        <f ca="1">IFERROR(__xludf.DUMMYFUNCTION("""COMPUTED_VALUE"""),105.6)</f>
        <v>105.6</v>
      </c>
      <c r="Q88" s="1">
        <f ca="1">IFERROR(__xludf.DUMMYFUNCTION("""COMPUTED_VALUE"""),97)</f>
        <v>97</v>
      </c>
      <c r="R88" s="1">
        <f ca="1">IFERROR(__xludf.DUMMYFUNCTION("""COMPUTED_VALUE"""),101.9)</f>
        <v>101.9</v>
      </c>
      <c r="S88" s="1">
        <f ca="1">IFERROR(__xludf.DUMMYFUNCTION("""COMPUTED_VALUE"""),70)</f>
        <v>70</v>
      </c>
      <c r="T88" s="1">
        <f ca="1">IFERROR(__xludf.DUMMYFUNCTION("""COMPUTED_VALUE"""),-2.26)</f>
        <v>-2.2599999999999998</v>
      </c>
      <c r="U88" s="1">
        <f ca="1">IFERROR(__xludf.DUMMYFUNCTION("""COMPUTED_VALUE"""),231)</f>
        <v>231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IFERROR(__xludf.DUMMYFUNCTION("""COMPUTED_VALUE"""),"Oklahoma St.")</f>
        <v>Oklahoma St.</v>
      </c>
      <c r="C89" s="1" t="str">
        <f ca="1">IFERROR(__xludf.DUMMYFUNCTION("""COMPUTED_VALUE"""),"B12")</f>
        <v>B12</v>
      </c>
      <c r="D89" s="2">
        <f ca="1">IFERROR(__xludf.DUMMYFUNCTION("""COMPUTED_VALUE"""),44915)</f>
        <v>44915</v>
      </c>
      <c r="E89" s="1" t="str">
        <f ca="1">IFERROR(__xludf.DUMMYFUNCTION("""COMPUTED_VALUE"""),"+8.16")</f>
        <v>+8.16</v>
      </c>
      <c r="F89" s="1">
        <f ca="1">IFERROR(__xludf.DUMMYFUNCTION("""COMPUTED_VALUE"""),109.5)</f>
        <v>109.5</v>
      </c>
      <c r="G89" s="1">
        <f ca="1">IFERROR(__xludf.DUMMYFUNCTION("""COMPUTED_VALUE"""),75)</f>
        <v>75</v>
      </c>
      <c r="H89" s="1">
        <f ca="1">IFERROR(__xludf.DUMMYFUNCTION("""COMPUTED_VALUE"""),101.3)</f>
        <v>101.3</v>
      </c>
      <c r="I89" s="1">
        <f ca="1">IFERROR(__xludf.DUMMYFUNCTION("""COMPUTED_VALUE"""),110)</f>
        <v>110</v>
      </c>
      <c r="J89" s="1">
        <f ca="1">IFERROR(__xludf.DUMMYFUNCTION("""COMPUTED_VALUE"""),66.1)</f>
        <v>66.099999999999994</v>
      </c>
      <c r="K89" s="1">
        <f ca="1">IFERROR(__xludf.DUMMYFUNCTION("""COMPUTED_VALUE"""),261)</f>
        <v>261</v>
      </c>
      <c r="L89" s="1">
        <f ca="1">IFERROR(__xludf.DUMMYFUNCTION("""COMPUTED_VALUE"""),-0.01)</f>
        <v>-0.01</v>
      </c>
      <c r="M89" s="1">
        <f ca="1">IFERROR(__xludf.DUMMYFUNCTION("""COMPUTED_VALUE"""),211)</f>
        <v>211</v>
      </c>
      <c r="N89" s="1" t="str">
        <f ca="1">IFERROR(__xludf.DUMMYFUNCTION("""COMPUTED_VALUE"""),"+13.12")</f>
        <v>+13.12</v>
      </c>
      <c r="O89" s="1">
        <f ca="1">IFERROR(__xludf.DUMMYFUNCTION("""COMPUTED_VALUE"""),5)</f>
        <v>5</v>
      </c>
      <c r="P89" s="1">
        <f ca="1">IFERROR(__xludf.DUMMYFUNCTION("""COMPUTED_VALUE"""),110.4)</f>
        <v>110.4</v>
      </c>
      <c r="Q89" s="1">
        <f ca="1">IFERROR(__xludf.DUMMYFUNCTION("""COMPUTED_VALUE"""),9)</f>
        <v>9</v>
      </c>
      <c r="R89" s="1">
        <f ca="1">IFERROR(__xludf.DUMMYFUNCTION("""COMPUTED_VALUE"""),97.3)</f>
        <v>97.3</v>
      </c>
      <c r="S89" s="1">
        <f ca="1">IFERROR(__xludf.DUMMYFUNCTION("""COMPUTED_VALUE"""),5)</f>
        <v>5</v>
      </c>
      <c r="T89" s="1" t="str">
        <f ca="1">IFERROR(__xludf.DUMMYFUNCTION("""COMPUTED_VALUE"""),"+5.41")</f>
        <v>+5.41</v>
      </c>
      <c r="U89" s="1">
        <f ca="1">IFERROR(__xludf.DUMMYFUNCTION("""COMPUTED_VALUE"""),31)</f>
        <v>31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IFERROR(__xludf.DUMMYFUNCTION("""COMPUTED_VALUE"""),"Illinois")</f>
        <v>Illinois</v>
      </c>
      <c r="C90" s="1" t="str">
        <f ca="1">IFERROR(__xludf.DUMMYFUNCTION("""COMPUTED_VALUE"""),"B10")</f>
        <v>B10</v>
      </c>
      <c r="D90" s="2">
        <f ca="1">IFERROR(__xludf.DUMMYFUNCTION("""COMPUTED_VALUE"""),44916)</f>
        <v>44916</v>
      </c>
      <c r="E90" s="1" t="str">
        <f ca="1">IFERROR(__xludf.DUMMYFUNCTION("""COMPUTED_VALUE"""),"+7.97")</f>
        <v>+7.97</v>
      </c>
      <c r="F90" s="1">
        <f ca="1">IFERROR(__xludf.DUMMYFUNCTION("""COMPUTED_VALUE"""),109.1)</f>
        <v>109.1</v>
      </c>
      <c r="G90" s="1">
        <f ca="1">IFERROR(__xludf.DUMMYFUNCTION("""COMPUTED_VALUE"""),83)</f>
        <v>83</v>
      </c>
      <c r="H90" s="1">
        <f ca="1">IFERROR(__xludf.DUMMYFUNCTION("""COMPUTED_VALUE"""),101.1)</f>
        <v>101.1</v>
      </c>
      <c r="I90" s="1">
        <f ca="1">IFERROR(__xludf.DUMMYFUNCTION("""COMPUTED_VALUE"""),108)</f>
        <v>108</v>
      </c>
      <c r="J90" s="1">
        <f ca="1">IFERROR(__xludf.DUMMYFUNCTION("""COMPUTED_VALUE"""),70.6)</f>
        <v>70.599999999999994</v>
      </c>
      <c r="K90" s="1">
        <f ca="1">IFERROR(__xludf.DUMMYFUNCTION("""COMPUTED_VALUE"""),52)</f>
        <v>52</v>
      </c>
      <c r="L90" s="1">
        <f ca="1">IFERROR(__xludf.DUMMYFUNCTION("""COMPUTED_VALUE"""),-0.052)</f>
        <v>-5.1999999999999998E-2</v>
      </c>
      <c r="M90" s="1">
        <f ca="1">IFERROR(__xludf.DUMMYFUNCTION("""COMPUTED_VALUE"""),297)</f>
        <v>297</v>
      </c>
      <c r="N90" s="1" t="str">
        <f ca="1">IFERROR(__xludf.DUMMYFUNCTION("""COMPUTED_VALUE"""),"+12.16")</f>
        <v>+12.16</v>
      </c>
      <c r="O90" s="1">
        <f ca="1">IFERROR(__xludf.DUMMYFUNCTION("""COMPUTED_VALUE"""),13)</f>
        <v>13</v>
      </c>
      <c r="P90" s="1">
        <f ca="1">IFERROR(__xludf.DUMMYFUNCTION("""COMPUTED_VALUE"""),109.6)</f>
        <v>109.6</v>
      </c>
      <c r="Q90" s="1">
        <f ca="1">IFERROR(__xludf.DUMMYFUNCTION("""COMPUTED_VALUE"""),25)</f>
        <v>25</v>
      </c>
      <c r="R90" s="1">
        <f ca="1">IFERROR(__xludf.DUMMYFUNCTION("""COMPUTED_VALUE"""),97.5)</f>
        <v>97.5</v>
      </c>
      <c r="S90" s="1">
        <f ca="1">IFERROR(__xludf.DUMMYFUNCTION("""COMPUTED_VALUE"""),7)</f>
        <v>7</v>
      </c>
      <c r="T90" s="1" t="str">
        <f ca="1">IFERROR(__xludf.DUMMYFUNCTION("""COMPUTED_VALUE"""),"+3.39")</f>
        <v>+3.39</v>
      </c>
      <c r="U90" s="1">
        <f ca="1">IFERROR(__xludf.DUMMYFUNCTION("""COMPUTED_VALUE"""),76)</f>
        <v>76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IFERROR(__xludf.DUMMYFUNCTION("""COMPUTED_VALUE"""),"Davidson4")</f>
        <v>Davidson4</v>
      </c>
      <c r="C91" s="1" t="str">
        <f ca="1">IFERROR(__xludf.DUMMYFUNCTION("""COMPUTED_VALUE"""),"A10")</f>
        <v>A10</v>
      </c>
      <c r="D91" s="1" t="str">
        <f ca="1">IFERROR(__xludf.DUMMYFUNCTION("""COMPUTED_VALUE"""),"24-10")</f>
        <v>24-10</v>
      </c>
      <c r="E91" s="1" t="str">
        <f ca="1">IFERROR(__xludf.DUMMYFUNCTION("""COMPUTED_VALUE"""),"+7.78")</f>
        <v>+7.78</v>
      </c>
      <c r="F91" s="1">
        <f ca="1">IFERROR(__xludf.DUMMYFUNCTION("""COMPUTED_VALUE"""),108.2)</f>
        <v>108.2</v>
      </c>
      <c r="G91" s="1">
        <f ca="1">IFERROR(__xludf.DUMMYFUNCTION("""COMPUTED_VALUE"""),102)</f>
        <v>102</v>
      </c>
      <c r="H91" s="1">
        <f ca="1">IFERROR(__xludf.DUMMYFUNCTION("""COMPUTED_VALUE"""),100.4)</f>
        <v>100.4</v>
      </c>
      <c r="I91" s="1">
        <f ca="1">IFERROR(__xludf.DUMMYFUNCTION("""COMPUTED_VALUE"""),98)</f>
        <v>98</v>
      </c>
      <c r="J91" s="1">
        <f ca="1">IFERROR(__xludf.DUMMYFUNCTION("""COMPUTED_VALUE"""),64.7)</f>
        <v>64.7</v>
      </c>
      <c r="K91" s="1">
        <f ca="1">IFERROR(__xludf.DUMMYFUNCTION("""COMPUTED_VALUE"""),319)</f>
        <v>319</v>
      </c>
      <c r="L91" s="1" t="str">
        <f ca="1">IFERROR(__xludf.DUMMYFUNCTION("""COMPUTED_VALUE"""),"+.054")</f>
        <v>+.054</v>
      </c>
      <c r="M91" s="1">
        <f ca="1">IFERROR(__xludf.DUMMYFUNCTION("""COMPUTED_VALUE"""),55)</f>
        <v>55</v>
      </c>
      <c r="N91" s="1" t="str">
        <f ca="1">IFERROR(__xludf.DUMMYFUNCTION("""COMPUTED_VALUE"""),"+0.66")</f>
        <v>+0.66</v>
      </c>
      <c r="O91" s="1">
        <f ca="1">IFERROR(__xludf.DUMMYFUNCTION("""COMPUTED_VALUE"""),123)</f>
        <v>123</v>
      </c>
      <c r="P91" s="1">
        <f ca="1">IFERROR(__xludf.DUMMYFUNCTION("""COMPUTED_VALUE"""),104.6)</f>
        <v>104.6</v>
      </c>
      <c r="Q91" s="1">
        <f ca="1">IFERROR(__xludf.DUMMYFUNCTION("""COMPUTED_VALUE"""),142)</f>
        <v>142</v>
      </c>
      <c r="R91" s="1">
        <f ca="1">IFERROR(__xludf.DUMMYFUNCTION("""COMPUTED_VALUE"""),103.9)</f>
        <v>103.9</v>
      </c>
      <c r="S91" s="1">
        <f ca="1">IFERROR(__xludf.DUMMYFUNCTION("""COMPUTED_VALUE"""),128)</f>
        <v>128</v>
      </c>
      <c r="T91" s="1" t="str">
        <f ca="1">IFERROR(__xludf.DUMMYFUNCTION("""COMPUTED_VALUE"""),"+2.06")</f>
        <v>+2.06</v>
      </c>
      <c r="U91" s="1">
        <f ca="1">IFERROR(__xludf.DUMMYFUNCTION("""COMPUTED_VALUE"""),101)</f>
        <v>101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IFERROR(__xludf.DUMMYFUNCTION("""COMPUTED_VALUE"""),"BYU")</f>
        <v>BYU</v>
      </c>
      <c r="C92" s="1" t="str">
        <f ca="1">IFERROR(__xludf.DUMMYFUNCTION("""COMPUTED_VALUE"""),"WCC")</f>
        <v>WCC</v>
      </c>
      <c r="D92" s="1" t="str">
        <f ca="1">IFERROR(__xludf.DUMMYFUNCTION("""COMPUTED_VALUE"""),"19-13")</f>
        <v>19-13</v>
      </c>
      <c r="E92" s="1" t="str">
        <f ca="1">IFERROR(__xludf.DUMMYFUNCTION("""COMPUTED_VALUE"""),"+7.72")</f>
        <v>+7.72</v>
      </c>
      <c r="F92" s="1">
        <f ca="1">IFERROR(__xludf.DUMMYFUNCTION("""COMPUTED_VALUE"""),112)</f>
        <v>112</v>
      </c>
      <c r="G92" s="1">
        <f ca="1">IFERROR(__xludf.DUMMYFUNCTION("""COMPUTED_VALUE"""),46)</f>
        <v>46</v>
      </c>
      <c r="H92" s="1">
        <f ca="1">IFERROR(__xludf.DUMMYFUNCTION("""COMPUTED_VALUE"""),104.3)</f>
        <v>104.3</v>
      </c>
      <c r="I92" s="1">
        <f ca="1">IFERROR(__xludf.DUMMYFUNCTION("""COMPUTED_VALUE"""),162)</f>
        <v>162</v>
      </c>
      <c r="J92" s="1">
        <f ca="1">IFERROR(__xludf.DUMMYFUNCTION("""COMPUTED_VALUE"""),70.9)</f>
        <v>70.900000000000006</v>
      </c>
      <c r="K92" s="1">
        <f ca="1">IFERROR(__xludf.DUMMYFUNCTION("""COMPUTED_VALUE"""),44)</f>
        <v>44</v>
      </c>
      <c r="L92" s="1" t="str">
        <f ca="1">IFERROR(__xludf.DUMMYFUNCTION("""COMPUTED_VALUE"""),"+.027")</f>
        <v>+.027</v>
      </c>
      <c r="M92" s="1">
        <f ca="1">IFERROR(__xludf.DUMMYFUNCTION("""COMPUTED_VALUE"""),106)</f>
        <v>106</v>
      </c>
      <c r="N92" s="1" t="str">
        <f ca="1">IFERROR(__xludf.DUMMYFUNCTION("""COMPUTED_VALUE"""),"+2.93")</f>
        <v>+2.93</v>
      </c>
      <c r="O92" s="1">
        <f ca="1">IFERROR(__xludf.DUMMYFUNCTION("""COMPUTED_VALUE"""),91)</f>
        <v>91</v>
      </c>
      <c r="P92" s="1">
        <f ca="1">IFERROR(__xludf.DUMMYFUNCTION("""COMPUTED_VALUE"""),106)</f>
        <v>106</v>
      </c>
      <c r="Q92" s="1">
        <f ca="1">IFERROR(__xludf.DUMMYFUNCTION("""COMPUTED_VALUE"""),85)</f>
        <v>85</v>
      </c>
      <c r="R92" s="1">
        <f ca="1">IFERROR(__xludf.DUMMYFUNCTION("""COMPUTED_VALUE"""),103.1)</f>
        <v>103.1</v>
      </c>
      <c r="S92" s="1">
        <f ca="1">IFERROR(__xludf.DUMMYFUNCTION("""COMPUTED_VALUE"""),102)</f>
        <v>102</v>
      </c>
      <c r="T92" s="1">
        <f ca="1">IFERROR(__xludf.DUMMYFUNCTION("""COMPUTED_VALUE"""),-0.12)</f>
        <v>-0.12</v>
      </c>
      <c r="U92" s="1">
        <f ca="1">IFERROR(__xludf.DUMMYFUNCTION("""COMPUTED_VALUE"""),166)</f>
        <v>166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IFERROR(__xludf.DUMMYFUNCTION("""COMPUTED_VALUE"""),"UNC Greensboro1")</f>
        <v>UNC Greensboro1</v>
      </c>
      <c r="C93" s="1" t="str">
        <f ca="1">IFERROR(__xludf.DUMMYFUNCTION("""COMPUTED_VALUE"""),"SC")</f>
        <v>SC</v>
      </c>
      <c r="D93" s="1" t="str">
        <f ca="1">IFERROR(__xludf.DUMMYFUNCTION("""COMPUTED_VALUE"""),"29-7")</f>
        <v>29-7</v>
      </c>
      <c r="E93" s="1" t="str">
        <f ca="1">IFERROR(__xludf.DUMMYFUNCTION("""COMPUTED_VALUE"""),"+7.63")</f>
        <v>+7.63</v>
      </c>
      <c r="F93" s="1">
        <f ca="1">IFERROR(__xludf.DUMMYFUNCTION("""COMPUTED_VALUE"""),106.4)</f>
        <v>106.4</v>
      </c>
      <c r="G93" s="1">
        <f ca="1">IFERROR(__xludf.DUMMYFUNCTION("""COMPUTED_VALUE"""),141)</f>
        <v>141</v>
      </c>
      <c r="H93" s="1">
        <f ca="1">IFERROR(__xludf.DUMMYFUNCTION("""COMPUTED_VALUE"""),98.8)</f>
        <v>98.8</v>
      </c>
      <c r="I93" s="1">
        <f ca="1">IFERROR(__xludf.DUMMYFUNCTION("""COMPUTED_VALUE"""),74)</f>
        <v>74</v>
      </c>
      <c r="J93" s="1">
        <f ca="1">IFERROR(__xludf.DUMMYFUNCTION("""COMPUTED_VALUE"""),67.8)</f>
        <v>67.8</v>
      </c>
      <c r="K93" s="1">
        <f ca="1">IFERROR(__xludf.DUMMYFUNCTION("""COMPUTED_VALUE"""),159)</f>
        <v>159</v>
      </c>
      <c r="L93" s="1" t="str">
        <f ca="1">IFERROR(__xludf.DUMMYFUNCTION("""COMPUTED_VALUE"""),"+.167")</f>
        <v>+.167</v>
      </c>
      <c r="M93" s="1">
        <f ca="1">IFERROR(__xludf.DUMMYFUNCTION("""COMPUTED_VALUE"""),1)</f>
        <v>1</v>
      </c>
      <c r="N93" s="1">
        <f ca="1">IFERROR(__xludf.DUMMYFUNCTION("""COMPUTED_VALUE"""),-0.37)</f>
        <v>-0.37</v>
      </c>
      <c r="O93" s="1">
        <f ca="1">IFERROR(__xludf.DUMMYFUNCTION("""COMPUTED_VALUE"""),149)</f>
        <v>149</v>
      </c>
      <c r="P93" s="1">
        <f ca="1">IFERROR(__xludf.DUMMYFUNCTION("""COMPUTED_VALUE"""),105.7)</f>
        <v>105.7</v>
      </c>
      <c r="Q93" s="1">
        <f ca="1">IFERROR(__xludf.DUMMYFUNCTION("""COMPUTED_VALUE"""),95)</f>
        <v>95</v>
      </c>
      <c r="R93" s="1">
        <f ca="1">IFERROR(__xludf.DUMMYFUNCTION("""COMPUTED_VALUE"""),106)</f>
        <v>106</v>
      </c>
      <c r="S93" s="1">
        <f ca="1">IFERROR(__xludf.DUMMYFUNCTION("""COMPUTED_VALUE"""),214)</f>
        <v>214</v>
      </c>
      <c r="T93" s="1">
        <f ca="1">IFERROR(__xludf.DUMMYFUNCTION("""COMPUTED_VALUE"""),-3.22)</f>
        <v>-3.22</v>
      </c>
      <c r="U93" s="1">
        <f ca="1">IFERROR(__xludf.DUMMYFUNCTION("""COMPUTED_VALUE"""),253)</f>
        <v>253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IFERROR(__xludf.DUMMYFUNCTION("""COMPUTED_VALUE"""),"St. John's11")</f>
        <v>St. John's11</v>
      </c>
      <c r="C94" s="1" t="str">
        <f ca="1">IFERROR(__xludf.DUMMYFUNCTION("""COMPUTED_VALUE"""),"BE")</f>
        <v>BE</v>
      </c>
      <c r="D94" s="1" t="str">
        <f ca="1">IFERROR(__xludf.DUMMYFUNCTION("""COMPUTED_VALUE"""),"21-13")</f>
        <v>21-13</v>
      </c>
      <c r="E94" s="1" t="str">
        <f ca="1">IFERROR(__xludf.DUMMYFUNCTION("""COMPUTED_VALUE"""),"+7.61")</f>
        <v>+7.61</v>
      </c>
      <c r="F94" s="1">
        <f ca="1">IFERROR(__xludf.DUMMYFUNCTION("""COMPUTED_VALUE"""),108.6)</f>
        <v>108.6</v>
      </c>
      <c r="G94" s="1">
        <f ca="1">IFERROR(__xludf.DUMMYFUNCTION("""COMPUTED_VALUE"""),92)</f>
        <v>92</v>
      </c>
      <c r="H94" s="1">
        <f ca="1">IFERROR(__xludf.DUMMYFUNCTION("""COMPUTED_VALUE"""),101)</f>
        <v>101</v>
      </c>
      <c r="I94" s="1">
        <f ca="1">IFERROR(__xludf.DUMMYFUNCTION("""COMPUTED_VALUE"""),106)</f>
        <v>106</v>
      </c>
      <c r="J94" s="1">
        <f ca="1">IFERROR(__xludf.DUMMYFUNCTION("""COMPUTED_VALUE"""),70.8)</f>
        <v>70.8</v>
      </c>
      <c r="K94" s="1">
        <f ca="1">IFERROR(__xludf.DUMMYFUNCTION("""COMPUTED_VALUE"""),46)</f>
        <v>46</v>
      </c>
      <c r="L94" s="1" t="str">
        <f ca="1">IFERROR(__xludf.DUMMYFUNCTION("""COMPUTED_VALUE"""),"+.060")</f>
        <v>+.060</v>
      </c>
      <c r="M94" s="1">
        <f ca="1">IFERROR(__xludf.DUMMYFUNCTION("""COMPUTED_VALUE"""),44)</f>
        <v>44</v>
      </c>
      <c r="N94" s="1" t="str">
        <f ca="1">IFERROR(__xludf.DUMMYFUNCTION("""COMPUTED_VALUE"""),"+5.00")</f>
        <v>+5.00</v>
      </c>
      <c r="O94" s="1">
        <f ca="1">IFERROR(__xludf.DUMMYFUNCTION("""COMPUTED_VALUE"""),68)</f>
        <v>68</v>
      </c>
      <c r="P94" s="1">
        <f ca="1">IFERROR(__xludf.DUMMYFUNCTION("""COMPUTED_VALUE"""),106.9)</f>
        <v>106.9</v>
      </c>
      <c r="Q94" s="1">
        <f ca="1">IFERROR(__xludf.DUMMYFUNCTION("""COMPUTED_VALUE"""),70)</f>
        <v>70</v>
      </c>
      <c r="R94" s="1">
        <f ca="1">IFERROR(__xludf.DUMMYFUNCTION("""COMPUTED_VALUE"""),101.9)</f>
        <v>101.9</v>
      </c>
      <c r="S94" s="1">
        <f ca="1">IFERROR(__xludf.DUMMYFUNCTION("""COMPUTED_VALUE"""),71)</f>
        <v>71</v>
      </c>
      <c r="T94" s="1">
        <f ca="1">IFERROR(__xludf.DUMMYFUNCTION("""COMPUTED_VALUE"""),-6.49)</f>
        <v>-6.49</v>
      </c>
      <c r="U94" s="1">
        <f ca="1">IFERROR(__xludf.DUMMYFUNCTION("""COMPUTED_VALUE"""),330)</f>
        <v>330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IFERROR(__xludf.DUMMYFUNCTION("""COMPUTED_VALUE"""),"Northeastern13")</f>
        <v>Northeastern13</v>
      </c>
      <c r="C95" s="1" t="str">
        <f ca="1">IFERROR(__xludf.DUMMYFUNCTION("""COMPUTED_VALUE"""),"CAA")</f>
        <v>CAA</v>
      </c>
      <c r="D95" s="1" t="str">
        <f ca="1">IFERROR(__xludf.DUMMYFUNCTION("""COMPUTED_VALUE"""),"23-11")</f>
        <v>23-11</v>
      </c>
      <c r="E95" s="1" t="str">
        <f ca="1">IFERROR(__xludf.DUMMYFUNCTION("""COMPUTED_VALUE"""),"+7.59")</f>
        <v>+7.59</v>
      </c>
      <c r="F95" s="1">
        <f ca="1">IFERROR(__xludf.DUMMYFUNCTION("""COMPUTED_VALUE"""),111)</f>
        <v>111</v>
      </c>
      <c r="G95" s="1">
        <f ca="1">IFERROR(__xludf.DUMMYFUNCTION("""COMPUTED_VALUE"""),58)</f>
        <v>58</v>
      </c>
      <c r="H95" s="1">
        <f ca="1">IFERROR(__xludf.DUMMYFUNCTION("""COMPUTED_VALUE"""),103.4)</f>
        <v>103.4</v>
      </c>
      <c r="I95" s="1">
        <f ca="1">IFERROR(__xludf.DUMMYFUNCTION("""COMPUTED_VALUE"""),151)</f>
        <v>151</v>
      </c>
      <c r="J95" s="1">
        <f ca="1">IFERROR(__xludf.DUMMYFUNCTION("""COMPUTED_VALUE"""),66.2)</f>
        <v>66.2</v>
      </c>
      <c r="K95" s="1">
        <f ca="1">IFERROR(__xludf.DUMMYFUNCTION("""COMPUTED_VALUE"""),253)</f>
        <v>253</v>
      </c>
      <c r="L95" s="1" t="str">
        <f ca="1">IFERROR(__xludf.DUMMYFUNCTION("""COMPUTED_VALUE"""),"+.050")</f>
        <v>+.050</v>
      </c>
      <c r="M95" s="1">
        <f ca="1">IFERROR(__xludf.DUMMYFUNCTION("""COMPUTED_VALUE"""),61)</f>
        <v>61</v>
      </c>
      <c r="N95" s="1">
        <f ca="1">IFERROR(__xludf.DUMMYFUNCTION("""COMPUTED_VALUE"""),-0.63)</f>
        <v>-0.63</v>
      </c>
      <c r="O95" s="1">
        <f ca="1">IFERROR(__xludf.DUMMYFUNCTION("""COMPUTED_VALUE"""),157)</f>
        <v>157</v>
      </c>
      <c r="P95" s="1">
        <f ca="1">IFERROR(__xludf.DUMMYFUNCTION("""COMPUTED_VALUE"""),106.3)</f>
        <v>106.3</v>
      </c>
      <c r="Q95" s="1">
        <f ca="1">IFERROR(__xludf.DUMMYFUNCTION("""COMPUTED_VALUE"""),78)</f>
        <v>78</v>
      </c>
      <c r="R95" s="1">
        <f ca="1">IFERROR(__xludf.DUMMYFUNCTION("""COMPUTED_VALUE"""),106.9)</f>
        <v>106.9</v>
      </c>
      <c r="S95" s="1">
        <f ca="1">IFERROR(__xludf.DUMMYFUNCTION("""COMPUTED_VALUE"""),259)</f>
        <v>259</v>
      </c>
      <c r="T95" s="1" t="str">
        <f ca="1">IFERROR(__xludf.DUMMYFUNCTION("""COMPUTED_VALUE"""),"+6.45")</f>
        <v>+6.45</v>
      </c>
      <c r="U95" s="1">
        <f ca="1">IFERROR(__xludf.DUMMYFUNCTION("""COMPUTED_VALUE"""),23)</f>
        <v>23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IFERROR(__xludf.DUMMYFUNCTION("""COMPUTED_VALUE"""),"San Diego6")</f>
        <v>San Diego6</v>
      </c>
      <c r="C96" s="1" t="str">
        <f ca="1">IFERROR(__xludf.DUMMYFUNCTION("""COMPUTED_VALUE"""),"WCC")</f>
        <v>WCC</v>
      </c>
      <c r="D96" s="1" t="str">
        <f ca="1">IFERROR(__xludf.DUMMYFUNCTION("""COMPUTED_VALUE"""),"21-15")</f>
        <v>21-15</v>
      </c>
      <c r="E96" s="1" t="str">
        <f ca="1">IFERROR(__xludf.DUMMYFUNCTION("""COMPUTED_VALUE"""),"+7.58")</f>
        <v>+7.58</v>
      </c>
      <c r="F96" s="1">
        <f ca="1">IFERROR(__xludf.DUMMYFUNCTION("""COMPUTED_VALUE"""),105.9)</f>
        <v>105.9</v>
      </c>
      <c r="G96" s="1">
        <f ca="1">IFERROR(__xludf.DUMMYFUNCTION("""COMPUTED_VALUE"""),147)</f>
        <v>147</v>
      </c>
      <c r="H96" s="1">
        <f ca="1">IFERROR(__xludf.DUMMYFUNCTION("""COMPUTED_VALUE"""),98.3)</f>
        <v>98.3</v>
      </c>
      <c r="I96" s="1">
        <f ca="1">IFERROR(__xludf.DUMMYFUNCTION("""COMPUTED_VALUE"""),67)</f>
        <v>67</v>
      </c>
      <c r="J96" s="1">
        <f ca="1">IFERROR(__xludf.DUMMYFUNCTION("""COMPUTED_VALUE"""),66.9)</f>
        <v>66.900000000000006</v>
      </c>
      <c r="K96" s="1">
        <f ca="1">IFERROR(__xludf.DUMMYFUNCTION("""COMPUTED_VALUE"""),213)</f>
        <v>213</v>
      </c>
      <c r="L96" s="1">
        <f ca="1">IFERROR(__xludf.DUMMYFUNCTION("""COMPUTED_VALUE"""),-0.006)</f>
        <v>-6.0000000000000001E-3</v>
      </c>
      <c r="M96" s="1">
        <f ca="1">IFERROR(__xludf.DUMMYFUNCTION("""COMPUTED_VALUE"""),199)</f>
        <v>199</v>
      </c>
      <c r="N96" s="1" t="str">
        <f ca="1">IFERROR(__xludf.DUMMYFUNCTION("""COMPUTED_VALUE"""),"+3.27")</f>
        <v>+3.27</v>
      </c>
      <c r="O96" s="1">
        <f ca="1">IFERROR(__xludf.DUMMYFUNCTION("""COMPUTED_VALUE"""),88)</f>
        <v>88</v>
      </c>
      <c r="P96" s="1">
        <f ca="1">IFERROR(__xludf.DUMMYFUNCTION("""COMPUTED_VALUE"""),106.1)</f>
        <v>106.1</v>
      </c>
      <c r="Q96" s="1">
        <f ca="1">IFERROR(__xludf.DUMMYFUNCTION("""COMPUTED_VALUE"""),82)</f>
        <v>82</v>
      </c>
      <c r="R96" s="1">
        <f ca="1">IFERROR(__xludf.DUMMYFUNCTION("""COMPUTED_VALUE"""),102.8)</f>
        <v>102.8</v>
      </c>
      <c r="S96" s="1">
        <f ca="1">IFERROR(__xludf.DUMMYFUNCTION("""COMPUTED_VALUE"""),96)</f>
        <v>96</v>
      </c>
      <c r="T96" s="1">
        <f ca="1">IFERROR(__xludf.DUMMYFUNCTION("""COMPUTED_VALUE"""),-0.09)</f>
        <v>-0.09</v>
      </c>
      <c r="U96" s="1">
        <f ca="1">IFERROR(__xludf.DUMMYFUNCTION("""COMPUTED_VALUE"""),165)</f>
        <v>165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IFERROR(__xludf.DUMMYFUNCTION("""COMPUTED_VALUE"""),"Texas A&amp;M")</f>
        <v>Texas A&amp;M</v>
      </c>
      <c r="C97" s="1" t="str">
        <f ca="1">IFERROR(__xludf.DUMMYFUNCTION("""COMPUTED_VALUE"""),"SEC")</f>
        <v>SEC</v>
      </c>
      <c r="D97" s="1" t="str">
        <f ca="1">IFERROR(__xludf.DUMMYFUNCTION("""COMPUTED_VALUE"""),"14-18")</f>
        <v>14-18</v>
      </c>
      <c r="E97" s="1" t="str">
        <f ca="1">IFERROR(__xludf.DUMMYFUNCTION("""COMPUTED_VALUE"""),"+7.49")</f>
        <v>+7.49</v>
      </c>
      <c r="F97" s="1">
        <f ca="1">IFERROR(__xludf.DUMMYFUNCTION("""COMPUTED_VALUE"""),107.2)</f>
        <v>107.2</v>
      </c>
      <c r="G97" s="1">
        <f ca="1">IFERROR(__xludf.DUMMYFUNCTION("""COMPUTED_VALUE"""),120)</f>
        <v>120</v>
      </c>
      <c r="H97" s="1">
        <f ca="1">IFERROR(__xludf.DUMMYFUNCTION("""COMPUTED_VALUE"""),99.7)</f>
        <v>99.7</v>
      </c>
      <c r="I97" s="1">
        <f ca="1">IFERROR(__xludf.DUMMYFUNCTION("""COMPUTED_VALUE"""),89)</f>
        <v>89</v>
      </c>
      <c r="J97" s="1">
        <f ca="1">IFERROR(__xludf.DUMMYFUNCTION("""COMPUTED_VALUE"""),67.4)</f>
        <v>67.400000000000006</v>
      </c>
      <c r="K97" s="1">
        <f ca="1">IFERROR(__xludf.DUMMYFUNCTION("""COMPUTED_VALUE"""),187)</f>
        <v>187</v>
      </c>
      <c r="L97" s="1">
        <f ca="1">IFERROR(__xludf.DUMMYFUNCTION("""COMPUTED_VALUE"""),-0.021)</f>
        <v>-2.1000000000000001E-2</v>
      </c>
      <c r="M97" s="1">
        <f ca="1">IFERROR(__xludf.DUMMYFUNCTION("""COMPUTED_VALUE"""),238)</f>
        <v>238</v>
      </c>
      <c r="N97" s="1" t="str">
        <f ca="1">IFERROR(__xludf.DUMMYFUNCTION("""COMPUTED_VALUE"""),"+9.37")</f>
        <v>+9.37</v>
      </c>
      <c r="O97" s="1">
        <f ca="1">IFERROR(__xludf.DUMMYFUNCTION("""COMPUTED_VALUE"""),39)</f>
        <v>39</v>
      </c>
      <c r="P97" s="1">
        <f ca="1">IFERROR(__xludf.DUMMYFUNCTION("""COMPUTED_VALUE"""),109)</f>
        <v>109</v>
      </c>
      <c r="Q97" s="1">
        <f ca="1">IFERROR(__xludf.DUMMYFUNCTION("""COMPUTED_VALUE"""),40)</f>
        <v>40</v>
      </c>
      <c r="R97" s="1">
        <f ca="1">IFERROR(__xludf.DUMMYFUNCTION("""COMPUTED_VALUE"""),99.7)</f>
        <v>99.7</v>
      </c>
      <c r="S97" s="1">
        <f ca="1">IFERROR(__xludf.DUMMYFUNCTION("""COMPUTED_VALUE"""),39)</f>
        <v>39</v>
      </c>
      <c r="T97" s="1">
        <f ca="1">IFERROR(__xludf.DUMMYFUNCTION("""COMPUTED_VALUE"""),-0.19)</f>
        <v>-0.19</v>
      </c>
      <c r="U97" s="1">
        <f ca="1">IFERROR(__xludf.DUMMYFUNCTION("""COMPUTED_VALUE"""),170)</f>
        <v>170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IFERROR(__xludf.DUMMYFUNCTION("""COMPUTED_VALUE"""),"South Dakota St.7")</f>
        <v>South Dakota St.7</v>
      </c>
      <c r="C98" s="1" t="str">
        <f ca="1">IFERROR(__xludf.DUMMYFUNCTION("""COMPUTED_VALUE"""),"Sum")</f>
        <v>Sum</v>
      </c>
      <c r="D98" s="1" t="str">
        <f ca="1">IFERROR(__xludf.DUMMYFUNCTION("""COMPUTED_VALUE"""),"24-9")</f>
        <v>24-9</v>
      </c>
      <c r="E98" s="1" t="str">
        <f ca="1">IFERROR(__xludf.DUMMYFUNCTION("""COMPUTED_VALUE"""),"+7.46")</f>
        <v>+7.46</v>
      </c>
      <c r="F98" s="1">
        <f ca="1">IFERROR(__xludf.DUMMYFUNCTION("""COMPUTED_VALUE"""),112.7)</f>
        <v>112.7</v>
      </c>
      <c r="G98" s="1">
        <f ca="1">IFERROR(__xludf.DUMMYFUNCTION("""COMPUTED_VALUE"""),37)</f>
        <v>37</v>
      </c>
      <c r="H98" s="1">
        <f ca="1">IFERROR(__xludf.DUMMYFUNCTION("""COMPUTED_VALUE"""),105.3)</f>
        <v>105.3</v>
      </c>
      <c r="I98" s="1">
        <f ca="1">IFERROR(__xludf.DUMMYFUNCTION("""COMPUTED_VALUE"""),183)</f>
        <v>183</v>
      </c>
      <c r="J98" s="1">
        <f ca="1">IFERROR(__xludf.DUMMYFUNCTION("""COMPUTED_VALUE"""),71)</f>
        <v>71</v>
      </c>
      <c r="K98" s="1">
        <f ca="1">IFERROR(__xludf.DUMMYFUNCTION("""COMPUTED_VALUE"""),40)</f>
        <v>40</v>
      </c>
      <c r="L98" s="1">
        <f ca="1">IFERROR(__xludf.DUMMYFUNCTION("""COMPUTED_VALUE"""),-0.034)</f>
        <v>-3.4000000000000002E-2</v>
      </c>
      <c r="M98" s="1">
        <f ca="1">IFERROR(__xludf.DUMMYFUNCTION("""COMPUTED_VALUE"""),263)</f>
        <v>263</v>
      </c>
      <c r="N98" s="1">
        <f ca="1">IFERROR(__xludf.DUMMYFUNCTION("""COMPUTED_VALUE"""),-5.84)</f>
        <v>-5.84</v>
      </c>
      <c r="O98" s="1">
        <f ca="1">IFERROR(__xludf.DUMMYFUNCTION("""COMPUTED_VALUE"""),287)</f>
        <v>287</v>
      </c>
      <c r="P98" s="1">
        <f ca="1">IFERROR(__xludf.DUMMYFUNCTION("""COMPUTED_VALUE"""),102.5)</f>
        <v>102.5</v>
      </c>
      <c r="Q98" s="1">
        <f ca="1">IFERROR(__xludf.DUMMYFUNCTION("""COMPUTED_VALUE"""),252)</f>
        <v>252</v>
      </c>
      <c r="R98" s="1">
        <f ca="1">IFERROR(__xludf.DUMMYFUNCTION("""COMPUTED_VALUE"""),108.3)</f>
        <v>108.3</v>
      </c>
      <c r="S98" s="1">
        <f ca="1">IFERROR(__xludf.DUMMYFUNCTION("""COMPUTED_VALUE"""),324)</f>
        <v>324</v>
      </c>
      <c r="T98" s="1">
        <f ca="1">IFERROR(__xludf.DUMMYFUNCTION("""COMPUTED_VALUE"""),-4.58)</f>
        <v>-4.58</v>
      </c>
      <c r="U98" s="1">
        <f ca="1">IFERROR(__xludf.DUMMYFUNCTION("""COMPUTED_VALUE"""),294)</f>
        <v>294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IFERROR(__xludf.DUMMYFUNCTION("""COMPUTED_VALUE"""),"Hofstra7")</f>
        <v>Hofstra7</v>
      </c>
      <c r="C99" s="1" t="str">
        <f ca="1">IFERROR(__xludf.DUMMYFUNCTION("""COMPUTED_VALUE"""),"CAA")</f>
        <v>CAA</v>
      </c>
      <c r="D99" s="1" t="str">
        <f ca="1">IFERROR(__xludf.DUMMYFUNCTION("""COMPUTED_VALUE"""),"27-8")</f>
        <v>27-8</v>
      </c>
      <c r="E99" s="1" t="str">
        <f ca="1">IFERROR(__xludf.DUMMYFUNCTION("""COMPUTED_VALUE"""),"+7.37")</f>
        <v>+7.37</v>
      </c>
      <c r="F99" s="1">
        <f ca="1">IFERROR(__xludf.DUMMYFUNCTION("""COMPUTED_VALUE"""),116.4)</f>
        <v>116.4</v>
      </c>
      <c r="G99" s="1">
        <f ca="1">IFERROR(__xludf.DUMMYFUNCTION("""COMPUTED_VALUE"""),17)</f>
        <v>17</v>
      </c>
      <c r="H99" s="1">
        <f ca="1">IFERROR(__xludf.DUMMYFUNCTION("""COMPUTED_VALUE"""),109)</f>
        <v>109</v>
      </c>
      <c r="I99" s="1">
        <f ca="1">IFERROR(__xludf.DUMMYFUNCTION("""COMPUTED_VALUE"""),262)</f>
        <v>262</v>
      </c>
      <c r="J99" s="1">
        <f ca="1">IFERROR(__xludf.DUMMYFUNCTION("""COMPUTED_VALUE"""),67.5)</f>
        <v>67.5</v>
      </c>
      <c r="K99" s="1">
        <f ca="1">IFERROR(__xludf.DUMMYFUNCTION("""COMPUTED_VALUE"""),181)</f>
        <v>181</v>
      </c>
      <c r="L99" s="1" t="str">
        <f ca="1">IFERROR(__xludf.DUMMYFUNCTION("""COMPUTED_VALUE"""),"+.017")</f>
        <v>+.017</v>
      </c>
      <c r="M99" s="1">
        <f ca="1">IFERROR(__xludf.DUMMYFUNCTION("""COMPUTED_VALUE"""),139)</f>
        <v>139</v>
      </c>
      <c r="N99" s="1">
        <f ca="1">IFERROR(__xludf.DUMMYFUNCTION("""COMPUTED_VALUE"""),-5.59)</f>
        <v>-5.59</v>
      </c>
      <c r="O99" s="1">
        <f ca="1">IFERROR(__xludf.DUMMYFUNCTION("""COMPUTED_VALUE"""),285)</f>
        <v>285</v>
      </c>
      <c r="P99" s="1">
        <f ca="1">IFERROR(__xludf.DUMMYFUNCTION("""COMPUTED_VALUE"""),102.4)</f>
        <v>102.4</v>
      </c>
      <c r="Q99" s="1">
        <f ca="1">IFERROR(__xludf.DUMMYFUNCTION("""COMPUTED_VALUE"""),255)</f>
        <v>255</v>
      </c>
      <c r="R99" s="1">
        <f ca="1">IFERROR(__xludf.DUMMYFUNCTION("""COMPUTED_VALUE"""),108)</f>
        <v>108</v>
      </c>
      <c r="S99" s="1">
        <f ca="1">IFERROR(__xludf.DUMMYFUNCTION("""COMPUTED_VALUE"""),314)</f>
        <v>314</v>
      </c>
      <c r="T99" s="1">
        <f ca="1">IFERROR(__xludf.DUMMYFUNCTION("""COMPUTED_VALUE"""),-6.41)</f>
        <v>-6.41</v>
      </c>
      <c r="U99" s="1">
        <f ca="1">IFERROR(__xludf.DUMMYFUNCTION("""COMPUTED_VALUE"""),327)</f>
        <v>327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IFERROR(__xludf.DUMMYFUNCTION("""COMPUTED_VALUE"""),"Arizona")</f>
        <v>Arizona</v>
      </c>
      <c r="C100" s="1" t="str">
        <f ca="1">IFERROR(__xludf.DUMMYFUNCTION("""COMPUTED_VALUE"""),"P12")</f>
        <v>P12</v>
      </c>
      <c r="D100" s="1" t="str">
        <f ca="1">IFERROR(__xludf.DUMMYFUNCTION("""COMPUTED_VALUE"""),"17-15")</f>
        <v>17-15</v>
      </c>
      <c r="E100" s="1" t="str">
        <f ca="1">IFERROR(__xludf.DUMMYFUNCTION("""COMPUTED_VALUE"""),"+7.35")</f>
        <v>+7.35</v>
      </c>
      <c r="F100" s="1">
        <f ca="1">IFERROR(__xludf.DUMMYFUNCTION("""COMPUTED_VALUE"""),105.5)</f>
        <v>105.5</v>
      </c>
      <c r="G100" s="1">
        <f ca="1">IFERROR(__xludf.DUMMYFUNCTION("""COMPUTED_VALUE"""),153)</f>
        <v>153</v>
      </c>
      <c r="H100" s="1">
        <f ca="1">IFERROR(__xludf.DUMMYFUNCTION("""COMPUTED_VALUE"""),98.2)</f>
        <v>98.2</v>
      </c>
      <c r="I100" s="1">
        <f ca="1">IFERROR(__xludf.DUMMYFUNCTION("""COMPUTED_VALUE"""),63)</f>
        <v>63</v>
      </c>
      <c r="J100" s="1">
        <f ca="1">IFERROR(__xludf.DUMMYFUNCTION("""COMPUTED_VALUE"""),66.7)</f>
        <v>66.7</v>
      </c>
      <c r="K100" s="1">
        <f ca="1">IFERROR(__xludf.DUMMYFUNCTION("""COMPUTED_VALUE"""),227)</f>
        <v>227</v>
      </c>
      <c r="L100" s="1">
        <f ca="1">IFERROR(__xludf.DUMMYFUNCTION("""COMPUTED_VALUE"""),-0.013)</f>
        <v>-1.2999999999999999E-2</v>
      </c>
      <c r="M100" s="1">
        <f ca="1">IFERROR(__xludf.DUMMYFUNCTION("""COMPUTED_VALUE"""),222)</f>
        <v>222</v>
      </c>
      <c r="N100" s="1" t="str">
        <f ca="1">IFERROR(__xludf.DUMMYFUNCTION("""COMPUTED_VALUE"""),"+5.62")</f>
        <v>+5.62</v>
      </c>
      <c r="O100" s="1">
        <f ca="1">IFERROR(__xludf.DUMMYFUNCTION("""COMPUTED_VALUE"""),63)</f>
        <v>63</v>
      </c>
      <c r="P100" s="1">
        <f ca="1">IFERROR(__xludf.DUMMYFUNCTION("""COMPUTED_VALUE"""),107.8)</f>
        <v>107.8</v>
      </c>
      <c r="Q100" s="1">
        <f ca="1">IFERROR(__xludf.DUMMYFUNCTION("""COMPUTED_VALUE"""),56)</f>
        <v>56</v>
      </c>
      <c r="R100" s="1">
        <f ca="1">IFERROR(__xludf.DUMMYFUNCTION("""COMPUTED_VALUE"""),102.2)</f>
        <v>102.2</v>
      </c>
      <c r="S100" s="1">
        <f ca="1">IFERROR(__xludf.DUMMYFUNCTION("""COMPUTED_VALUE"""),77)</f>
        <v>77</v>
      </c>
      <c r="T100" s="1" t="str">
        <f ca="1">IFERROR(__xludf.DUMMYFUNCTION("""COMPUTED_VALUE"""),"+3.27")</f>
        <v>+3.27</v>
      </c>
      <c r="U100" s="1">
        <f ca="1">IFERROR(__xludf.DUMMYFUNCTION("""COMPUTED_VALUE"""),81)</f>
        <v>81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IFERROR(__xludf.DUMMYFUNCTION("""COMPUTED_VALUE"""),"West Virginia")</f>
        <v>West Virginia</v>
      </c>
      <c r="C101" s="1" t="str">
        <f ca="1">IFERROR(__xludf.DUMMYFUNCTION("""COMPUTED_VALUE"""),"B12")</f>
        <v>B12</v>
      </c>
      <c r="D101" s="1" t="str">
        <f ca="1">IFERROR(__xludf.DUMMYFUNCTION("""COMPUTED_VALUE"""),"15-21")</f>
        <v>15-21</v>
      </c>
      <c r="E101" s="1" t="str">
        <f ca="1">IFERROR(__xludf.DUMMYFUNCTION("""COMPUTED_VALUE"""),"+7.15")</f>
        <v>+7.15</v>
      </c>
      <c r="F101" s="1">
        <f ca="1">IFERROR(__xludf.DUMMYFUNCTION("""COMPUTED_VALUE"""),109.8)</f>
        <v>109.8</v>
      </c>
      <c r="G101" s="1">
        <f ca="1">IFERROR(__xludf.DUMMYFUNCTION("""COMPUTED_VALUE"""),71)</f>
        <v>71</v>
      </c>
      <c r="H101" s="1">
        <f ca="1">IFERROR(__xludf.DUMMYFUNCTION("""COMPUTED_VALUE"""),102.7)</f>
        <v>102.7</v>
      </c>
      <c r="I101" s="1">
        <f ca="1">IFERROR(__xludf.DUMMYFUNCTION("""COMPUTED_VALUE"""),135)</f>
        <v>135</v>
      </c>
      <c r="J101" s="1">
        <f ca="1">IFERROR(__xludf.DUMMYFUNCTION("""COMPUTED_VALUE"""),70.6)</f>
        <v>70.599999999999994</v>
      </c>
      <c r="K101" s="1">
        <f ca="1">IFERROR(__xludf.DUMMYFUNCTION("""COMPUTED_VALUE"""),49)</f>
        <v>49</v>
      </c>
      <c r="L101" s="1" t="str">
        <f ca="1">IFERROR(__xludf.DUMMYFUNCTION("""COMPUTED_VALUE"""),"+.018")</f>
        <v>+.018</v>
      </c>
      <c r="M101" s="1">
        <f ca="1">IFERROR(__xludf.DUMMYFUNCTION("""COMPUTED_VALUE"""),137)</f>
        <v>137</v>
      </c>
      <c r="N101" s="1" t="str">
        <f ca="1">IFERROR(__xludf.DUMMYFUNCTION("""COMPUTED_VALUE"""),"+11.60")</f>
        <v>+11.60</v>
      </c>
      <c r="O101" s="1">
        <f ca="1">IFERROR(__xludf.DUMMYFUNCTION("""COMPUTED_VALUE"""),18)</f>
        <v>18</v>
      </c>
      <c r="P101" s="1">
        <f ca="1">IFERROR(__xludf.DUMMYFUNCTION("""COMPUTED_VALUE"""),109.4)</f>
        <v>109.4</v>
      </c>
      <c r="Q101" s="1">
        <f ca="1">IFERROR(__xludf.DUMMYFUNCTION("""COMPUTED_VALUE"""),27)</f>
        <v>27</v>
      </c>
      <c r="R101" s="1">
        <f ca="1">IFERROR(__xludf.DUMMYFUNCTION("""COMPUTED_VALUE"""),97.8)</f>
        <v>97.8</v>
      </c>
      <c r="S101" s="1">
        <f ca="1">IFERROR(__xludf.DUMMYFUNCTION("""COMPUTED_VALUE"""),10)</f>
        <v>10</v>
      </c>
      <c r="T101" s="1" t="str">
        <f ca="1">IFERROR(__xludf.DUMMYFUNCTION("""COMPUTED_VALUE"""),"+0.18")</f>
        <v>+0.18</v>
      </c>
      <c r="U101" s="1">
        <f ca="1">IFERROR(__xludf.DUMMYFUNCTION("""COMPUTED_VALUE"""),155)</f>
        <v>155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IFERROR(__xludf.DUMMYFUNCTION("""COMPUTED_VALUE"""),"Northern Kentucky14")</f>
        <v>Northern Kentucky14</v>
      </c>
      <c r="C102" s="1" t="str">
        <f ca="1">IFERROR(__xludf.DUMMYFUNCTION("""COMPUTED_VALUE"""),"Horz")</f>
        <v>Horz</v>
      </c>
      <c r="D102" s="1" t="str">
        <f ca="1">IFERROR(__xludf.DUMMYFUNCTION("""COMPUTED_VALUE"""),"26-9")</f>
        <v>26-9</v>
      </c>
      <c r="E102" s="1" t="str">
        <f ca="1">IFERROR(__xludf.DUMMYFUNCTION("""COMPUTED_VALUE"""),"+7.14")</f>
        <v>+7.14</v>
      </c>
      <c r="F102" s="1">
        <f ca="1">IFERROR(__xludf.DUMMYFUNCTION("""COMPUTED_VALUE"""),109.4)</f>
        <v>109.4</v>
      </c>
      <c r="G102" s="1">
        <f ca="1">IFERROR(__xludf.DUMMYFUNCTION("""COMPUTED_VALUE"""),76)</f>
        <v>76</v>
      </c>
      <c r="H102" s="1">
        <f ca="1">IFERROR(__xludf.DUMMYFUNCTION("""COMPUTED_VALUE"""),102.3)</f>
        <v>102.3</v>
      </c>
      <c r="I102" s="1">
        <f ca="1">IFERROR(__xludf.DUMMYFUNCTION("""COMPUTED_VALUE"""),130)</f>
        <v>130</v>
      </c>
      <c r="J102" s="1">
        <f ca="1">IFERROR(__xludf.DUMMYFUNCTION("""COMPUTED_VALUE"""),68.2)</f>
        <v>68.2</v>
      </c>
      <c r="K102" s="1">
        <f ca="1">IFERROR(__xludf.DUMMYFUNCTION("""COMPUTED_VALUE"""),143)</f>
        <v>143</v>
      </c>
      <c r="L102" s="1">
        <f ca="1">IFERROR(__xludf.DUMMYFUNCTION("""COMPUTED_VALUE"""),-0.001)</f>
        <v>-1E-3</v>
      </c>
      <c r="M102" s="1">
        <f ca="1">IFERROR(__xludf.DUMMYFUNCTION("""COMPUTED_VALUE"""),182)</f>
        <v>182</v>
      </c>
      <c r="N102" s="1">
        <f ca="1">IFERROR(__xludf.DUMMYFUNCTION("""COMPUTED_VALUE"""),-3.37)</f>
        <v>-3.37</v>
      </c>
      <c r="O102" s="1">
        <f ca="1">IFERROR(__xludf.DUMMYFUNCTION("""COMPUTED_VALUE"""),234)</f>
        <v>234</v>
      </c>
      <c r="P102" s="1">
        <f ca="1">IFERROR(__xludf.DUMMYFUNCTION("""COMPUTED_VALUE"""),103.6)</f>
        <v>103.6</v>
      </c>
      <c r="Q102" s="1">
        <f ca="1">IFERROR(__xludf.DUMMYFUNCTION("""COMPUTED_VALUE"""),186)</f>
        <v>186</v>
      </c>
      <c r="R102" s="1">
        <f ca="1">IFERROR(__xludf.DUMMYFUNCTION("""COMPUTED_VALUE"""),107)</f>
        <v>107</v>
      </c>
      <c r="S102" s="1">
        <f ca="1">IFERROR(__xludf.DUMMYFUNCTION("""COMPUTED_VALUE"""),262)</f>
        <v>262</v>
      </c>
      <c r="T102" s="1">
        <f ca="1">IFERROR(__xludf.DUMMYFUNCTION("""COMPUTED_VALUE"""),-2.57)</f>
        <v>-2.57</v>
      </c>
      <c r="U102" s="1">
        <f ca="1">IFERROR(__xludf.DUMMYFUNCTION("""COMPUTED_VALUE"""),235)</f>
        <v>235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IFERROR(__xludf.DUMMYFUNCTION("""COMPUTED_VALUE"""),"Notre Dame")</f>
        <v>Notre Dame</v>
      </c>
      <c r="C103" s="1" t="str">
        <f ca="1">IFERROR(__xludf.DUMMYFUNCTION("""COMPUTED_VALUE"""),"ACC")</f>
        <v>ACC</v>
      </c>
      <c r="D103" s="1" t="str">
        <f ca="1">IFERROR(__xludf.DUMMYFUNCTION("""COMPUTED_VALUE"""),"14-19")</f>
        <v>14-19</v>
      </c>
      <c r="E103" s="1" t="str">
        <f ca="1">IFERROR(__xludf.DUMMYFUNCTION("""COMPUTED_VALUE"""),"+6.95")</f>
        <v>+6.95</v>
      </c>
      <c r="F103" s="1">
        <f ca="1">IFERROR(__xludf.DUMMYFUNCTION("""COMPUTED_VALUE"""),108)</f>
        <v>108</v>
      </c>
      <c r="G103" s="1">
        <f ca="1">IFERROR(__xludf.DUMMYFUNCTION("""COMPUTED_VALUE"""),105)</f>
        <v>105</v>
      </c>
      <c r="H103" s="1">
        <f ca="1">IFERROR(__xludf.DUMMYFUNCTION("""COMPUTED_VALUE"""),101.1)</f>
        <v>101.1</v>
      </c>
      <c r="I103" s="1">
        <f ca="1">IFERROR(__xludf.DUMMYFUNCTION("""COMPUTED_VALUE"""),107)</f>
        <v>107</v>
      </c>
      <c r="J103" s="1">
        <f ca="1">IFERROR(__xludf.DUMMYFUNCTION("""COMPUTED_VALUE"""),65.2)</f>
        <v>65.2</v>
      </c>
      <c r="K103" s="1">
        <f ca="1">IFERROR(__xludf.DUMMYFUNCTION("""COMPUTED_VALUE"""),298)</f>
        <v>298</v>
      </c>
      <c r="L103" s="1">
        <f ca="1">IFERROR(__xludf.DUMMYFUNCTION("""COMPUTED_VALUE"""),-0.055)</f>
        <v>-5.5E-2</v>
      </c>
      <c r="M103" s="1">
        <f ca="1">IFERROR(__xludf.DUMMYFUNCTION("""COMPUTED_VALUE"""),302)</f>
        <v>302</v>
      </c>
      <c r="N103" s="1" t="str">
        <f ca="1">IFERROR(__xludf.DUMMYFUNCTION("""COMPUTED_VALUE"""),"+7.73")</f>
        <v>+7.73</v>
      </c>
      <c r="O103" s="1">
        <f ca="1">IFERROR(__xludf.DUMMYFUNCTION("""COMPUTED_VALUE"""),54)</f>
        <v>54</v>
      </c>
      <c r="P103" s="1">
        <f ca="1">IFERROR(__xludf.DUMMYFUNCTION("""COMPUTED_VALUE"""),108)</f>
        <v>108</v>
      </c>
      <c r="Q103" s="1">
        <f ca="1">IFERROR(__xludf.DUMMYFUNCTION("""COMPUTED_VALUE"""),55)</f>
        <v>55</v>
      </c>
      <c r="R103" s="1">
        <f ca="1">IFERROR(__xludf.DUMMYFUNCTION("""COMPUTED_VALUE"""),100.3)</f>
        <v>100.3</v>
      </c>
      <c r="S103" s="1">
        <f ca="1">IFERROR(__xludf.DUMMYFUNCTION("""COMPUTED_VALUE"""),48)</f>
        <v>48</v>
      </c>
      <c r="T103" s="1">
        <f ca="1">IFERROR(__xludf.DUMMYFUNCTION("""COMPUTED_VALUE"""),-5.59)</f>
        <v>-5.59</v>
      </c>
      <c r="U103" s="1">
        <f ca="1">IFERROR(__xludf.DUMMYFUNCTION("""COMPUTED_VALUE"""),315)</f>
        <v>315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IFERROR(__xludf.DUMMYFUNCTION("""COMPUTED_VALUE"""),"Connecticut")</f>
        <v>Connecticut</v>
      </c>
      <c r="C104" s="1" t="str">
        <f ca="1">IFERROR(__xludf.DUMMYFUNCTION("""COMPUTED_VALUE"""),"Amer")</f>
        <v>Amer</v>
      </c>
      <c r="D104" s="1" t="str">
        <f ca="1">IFERROR(__xludf.DUMMYFUNCTION("""COMPUTED_VALUE"""),"16-17")</f>
        <v>16-17</v>
      </c>
      <c r="E104" s="1" t="str">
        <f ca="1">IFERROR(__xludf.DUMMYFUNCTION("""COMPUTED_VALUE"""),"+6.78")</f>
        <v>+6.78</v>
      </c>
      <c r="F104" s="1">
        <f ca="1">IFERROR(__xludf.DUMMYFUNCTION("""COMPUTED_VALUE"""),109)</f>
        <v>109</v>
      </c>
      <c r="G104" s="1">
        <f ca="1">IFERROR(__xludf.DUMMYFUNCTION("""COMPUTED_VALUE"""),85)</f>
        <v>85</v>
      </c>
      <c r="H104" s="1">
        <f ca="1">IFERROR(__xludf.DUMMYFUNCTION("""COMPUTED_VALUE"""),102.2)</f>
        <v>102.2</v>
      </c>
      <c r="I104" s="1">
        <f ca="1">IFERROR(__xludf.DUMMYFUNCTION("""COMPUTED_VALUE"""),129)</f>
        <v>129</v>
      </c>
      <c r="J104" s="1">
        <f ca="1">IFERROR(__xludf.DUMMYFUNCTION("""COMPUTED_VALUE"""),68.6)</f>
        <v>68.599999999999994</v>
      </c>
      <c r="K104" s="1">
        <f ca="1">IFERROR(__xludf.DUMMYFUNCTION("""COMPUTED_VALUE"""),122)</f>
        <v>122</v>
      </c>
      <c r="L104" s="1">
        <f ca="1">IFERROR(__xludf.DUMMYFUNCTION("""COMPUTED_VALUE"""),-0.07)</f>
        <v>-7.0000000000000007E-2</v>
      </c>
      <c r="M104" s="1">
        <f ca="1">IFERROR(__xludf.DUMMYFUNCTION("""COMPUTED_VALUE"""),323)</f>
        <v>323</v>
      </c>
      <c r="N104" s="1" t="str">
        <f ca="1">IFERROR(__xludf.DUMMYFUNCTION("""COMPUTED_VALUE"""),"+3.79")</f>
        <v>+3.79</v>
      </c>
      <c r="O104" s="1">
        <f ca="1">IFERROR(__xludf.DUMMYFUNCTION("""COMPUTED_VALUE"""),79)</f>
        <v>79</v>
      </c>
      <c r="P104" s="1">
        <f ca="1">IFERROR(__xludf.DUMMYFUNCTION("""COMPUTED_VALUE"""),105.6)</f>
        <v>105.6</v>
      </c>
      <c r="Q104" s="1">
        <f ca="1">IFERROR(__xludf.DUMMYFUNCTION("""COMPUTED_VALUE"""),98)</f>
        <v>98</v>
      </c>
      <c r="R104" s="1">
        <f ca="1">IFERROR(__xludf.DUMMYFUNCTION("""COMPUTED_VALUE"""),101.8)</f>
        <v>101.8</v>
      </c>
      <c r="S104" s="1">
        <f ca="1">IFERROR(__xludf.DUMMYFUNCTION("""COMPUTED_VALUE"""),67)</f>
        <v>67</v>
      </c>
      <c r="T104" s="1">
        <f ca="1">IFERROR(__xludf.DUMMYFUNCTION("""COMPUTED_VALUE"""),-5.7)</f>
        <v>-5.7</v>
      </c>
      <c r="U104" s="1">
        <f ca="1">IFERROR(__xludf.DUMMYFUNCTION("""COMPUTED_VALUE"""),318)</f>
        <v>318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IFERROR(__xludf.DUMMYFUNCTION("""COMPUTED_VALUE"""),"South Florida")</f>
        <v>South Florida</v>
      </c>
      <c r="C105" s="1" t="str">
        <f ca="1">IFERROR(__xludf.DUMMYFUNCTION("""COMPUTED_VALUE"""),"Amer")</f>
        <v>Amer</v>
      </c>
      <c r="D105" s="1" t="str">
        <f ca="1">IFERROR(__xludf.DUMMYFUNCTION("""COMPUTED_VALUE"""),"24-14")</f>
        <v>24-14</v>
      </c>
      <c r="E105" s="1" t="str">
        <f ca="1">IFERROR(__xludf.DUMMYFUNCTION("""COMPUTED_VALUE"""),"+6.63")</f>
        <v>+6.63</v>
      </c>
      <c r="F105" s="1">
        <f ca="1">IFERROR(__xludf.DUMMYFUNCTION("""COMPUTED_VALUE"""),102.6)</f>
        <v>102.6</v>
      </c>
      <c r="G105" s="1">
        <f ca="1">IFERROR(__xludf.DUMMYFUNCTION("""COMPUTED_VALUE"""),208)</f>
        <v>208</v>
      </c>
      <c r="H105" s="1">
        <f ca="1">IFERROR(__xludf.DUMMYFUNCTION("""COMPUTED_VALUE"""),95.9)</f>
        <v>95.9</v>
      </c>
      <c r="I105" s="1">
        <f ca="1">IFERROR(__xludf.DUMMYFUNCTION("""COMPUTED_VALUE"""),37)</f>
        <v>37</v>
      </c>
      <c r="J105" s="1">
        <f ca="1">IFERROR(__xludf.DUMMYFUNCTION("""COMPUTED_VALUE"""),67.5)</f>
        <v>67.5</v>
      </c>
      <c r="K105" s="1">
        <f ca="1">IFERROR(__xludf.DUMMYFUNCTION("""COMPUTED_VALUE"""),184)</f>
        <v>184</v>
      </c>
      <c r="L105" s="1">
        <f ca="1">IFERROR(__xludf.DUMMYFUNCTION("""COMPUTED_VALUE"""),-0.024)</f>
        <v>-2.4E-2</v>
      </c>
      <c r="M105" s="1">
        <f ca="1">IFERROR(__xludf.DUMMYFUNCTION("""COMPUTED_VALUE"""),244)</f>
        <v>244</v>
      </c>
      <c r="N105" s="1" t="str">
        <f ca="1">IFERROR(__xludf.DUMMYFUNCTION("""COMPUTED_VALUE"""),"+0.44")</f>
        <v>+0.44</v>
      </c>
      <c r="O105" s="1">
        <f ca="1">IFERROR(__xludf.DUMMYFUNCTION("""COMPUTED_VALUE"""),128)</f>
        <v>128</v>
      </c>
      <c r="P105" s="1">
        <f ca="1">IFERROR(__xludf.DUMMYFUNCTION("""COMPUTED_VALUE"""),104.9)</f>
        <v>104.9</v>
      </c>
      <c r="Q105" s="1">
        <f ca="1">IFERROR(__xludf.DUMMYFUNCTION("""COMPUTED_VALUE"""),133)</f>
        <v>133</v>
      </c>
      <c r="R105" s="1">
        <f ca="1">IFERROR(__xludf.DUMMYFUNCTION("""COMPUTED_VALUE"""),104.4)</f>
        <v>104.4</v>
      </c>
      <c r="S105" s="1">
        <f ca="1">IFERROR(__xludf.DUMMYFUNCTION("""COMPUTED_VALUE"""),155)</f>
        <v>155</v>
      </c>
      <c r="T105" s="1">
        <f ca="1">IFERROR(__xludf.DUMMYFUNCTION("""COMPUTED_VALUE"""),-7.43)</f>
        <v>-7.43</v>
      </c>
      <c r="U105" s="1">
        <f ca="1">IFERROR(__xludf.DUMMYFUNCTION("""COMPUTED_VALUE"""),335)</f>
        <v>335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IFERROR(__xludf.DUMMYFUNCTION("""COMPUTED_VALUE"""),"Georgetown3")</f>
        <v>Georgetown3</v>
      </c>
      <c r="C106" s="1" t="str">
        <f ca="1">IFERROR(__xludf.DUMMYFUNCTION("""COMPUTED_VALUE"""),"BE")</f>
        <v>BE</v>
      </c>
      <c r="D106" s="1" t="str">
        <f ca="1">IFERROR(__xludf.DUMMYFUNCTION("""COMPUTED_VALUE"""),"19-14")</f>
        <v>19-14</v>
      </c>
      <c r="E106" s="1" t="str">
        <f ca="1">IFERROR(__xludf.DUMMYFUNCTION("""COMPUTED_VALUE"""),"+6.45")</f>
        <v>+6.45</v>
      </c>
      <c r="F106" s="1">
        <f ca="1">IFERROR(__xludf.DUMMYFUNCTION("""COMPUTED_VALUE"""),108.9)</f>
        <v>108.9</v>
      </c>
      <c r="G106" s="1">
        <f ca="1">IFERROR(__xludf.DUMMYFUNCTION("""COMPUTED_VALUE"""),90)</f>
        <v>90</v>
      </c>
      <c r="H106" s="1">
        <f ca="1">IFERROR(__xludf.DUMMYFUNCTION("""COMPUTED_VALUE"""),102.5)</f>
        <v>102.5</v>
      </c>
      <c r="I106" s="1">
        <f ca="1">IFERROR(__xludf.DUMMYFUNCTION("""COMPUTED_VALUE"""),133)</f>
        <v>133</v>
      </c>
      <c r="J106" s="1">
        <f ca="1">IFERROR(__xludf.DUMMYFUNCTION("""COMPUTED_VALUE"""),71.9)</f>
        <v>71.900000000000006</v>
      </c>
      <c r="K106" s="1">
        <f ca="1">IFERROR(__xludf.DUMMYFUNCTION("""COMPUTED_VALUE"""),25)</f>
        <v>25</v>
      </c>
      <c r="L106" s="1" t="str">
        <f ca="1">IFERROR(__xludf.DUMMYFUNCTION("""COMPUTED_VALUE"""),"+.040")</f>
        <v>+.040</v>
      </c>
      <c r="M106" s="1">
        <f ca="1">IFERROR(__xludf.DUMMYFUNCTION("""COMPUTED_VALUE"""),83)</f>
        <v>83</v>
      </c>
      <c r="N106" s="1" t="str">
        <f ca="1">IFERROR(__xludf.DUMMYFUNCTION("""COMPUTED_VALUE"""),"+4.98")</f>
        <v>+4.98</v>
      </c>
      <c r="O106" s="1">
        <f ca="1">IFERROR(__xludf.DUMMYFUNCTION("""COMPUTED_VALUE"""),70)</f>
        <v>70</v>
      </c>
      <c r="P106" s="1">
        <f ca="1">IFERROR(__xludf.DUMMYFUNCTION("""COMPUTED_VALUE"""),107.7)</f>
        <v>107.7</v>
      </c>
      <c r="Q106" s="1">
        <f ca="1">IFERROR(__xludf.DUMMYFUNCTION("""COMPUTED_VALUE"""),61)</f>
        <v>61</v>
      </c>
      <c r="R106" s="1">
        <f ca="1">IFERROR(__xludf.DUMMYFUNCTION("""COMPUTED_VALUE"""),102.7)</f>
        <v>102.7</v>
      </c>
      <c r="S106" s="1">
        <f ca="1">IFERROR(__xludf.DUMMYFUNCTION("""COMPUTED_VALUE"""),90)</f>
        <v>90</v>
      </c>
      <c r="T106" s="1">
        <f ca="1">IFERROR(__xludf.DUMMYFUNCTION("""COMPUTED_VALUE"""),-4.53)</f>
        <v>-4.53</v>
      </c>
      <c r="U106" s="1">
        <f ca="1">IFERROR(__xludf.DUMMYFUNCTION("""COMPUTED_VALUE"""),292)</f>
        <v>292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IFERROR(__xludf.DUMMYFUNCTION("""COMPUTED_VALUE"""),"Pittsburgh")</f>
        <v>Pittsburgh</v>
      </c>
      <c r="C107" s="1" t="str">
        <f ca="1">IFERROR(__xludf.DUMMYFUNCTION("""COMPUTED_VALUE"""),"ACC")</f>
        <v>ACC</v>
      </c>
      <c r="D107" s="1" t="str">
        <f ca="1">IFERROR(__xludf.DUMMYFUNCTION("""COMPUTED_VALUE"""),"14-19")</f>
        <v>14-19</v>
      </c>
      <c r="E107" s="1" t="str">
        <f ca="1">IFERROR(__xludf.DUMMYFUNCTION("""COMPUTED_VALUE"""),"+6.35")</f>
        <v>+6.35</v>
      </c>
      <c r="F107" s="1">
        <f ca="1">IFERROR(__xludf.DUMMYFUNCTION("""COMPUTED_VALUE"""),104.9)</f>
        <v>104.9</v>
      </c>
      <c r="G107" s="1">
        <f ca="1">IFERROR(__xludf.DUMMYFUNCTION("""COMPUTED_VALUE"""),168)</f>
        <v>168</v>
      </c>
      <c r="H107" s="1">
        <f ca="1">IFERROR(__xludf.DUMMYFUNCTION("""COMPUTED_VALUE"""),98.5)</f>
        <v>98.5</v>
      </c>
      <c r="I107" s="1">
        <f ca="1">IFERROR(__xludf.DUMMYFUNCTION("""COMPUTED_VALUE"""),70)</f>
        <v>70</v>
      </c>
      <c r="J107" s="1">
        <f ca="1">IFERROR(__xludf.DUMMYFUNCTION("""COMPUTED_VALUE"""),67)</f>
        <v>67</v>
      </c>
      <c r="K107" s="1">
        <f ca="1">IFERROR(__xludf.DUMMYFUNCTION("""COMPUTED_VALUE"""),206)</f>
        <v>206</v>
      </c>
      <c r="L107" s="1">
        <f ca="1">IFERROR(__xludf.DUMMYFUNCTION("""COMPUTED_VALUE"""),-0.094)</f>
        <v>-9.4E-2</v>
      </c>
      <c r="M107" s="1">
        <f ca="1">IFERROR(__xludf.DUMMYFUNCTION("""COMPUTED_VALUE"""),340)</f>
        <v>340</v>
      </c>
      <c r="N107" s="1" t="str">
        <f ca="1">IFERROR(__xludf.DUMMYFUNCTION("""COMPUTED_VALUE"""),"+6.77")</f>
        <v>+6.77</v>
      </c>
      <c r="O107" s="1">
        <f ca="1">IFERROR(__xludf.DUMMYFUNCTION("""COMPUTED_VALUE"""),56)</f>
        <v>56</v>
      </c>
      <c r="P107" s="1">
        <f ca="1">IFERROR(__xludf.DUMMYFUNCTION("""COMPUTED_VALUE"""),107.7)</f>
        <v>107.7</v>
      </c>
      <c r="Q107" s="1">
        <f ca="1">IFERROR(__xludf.DUMMYFUNCTION("""COMPUTED_VALUE"""),58)</f>
        <v>58</v>
      </c>
      <c r="R107" s="1">
        <f ca="1">IFERROR(__xludf.DUMMYFUNCTION("""COMPUTED_VALUE"""),101)</f>
        <v>101</v>
      </c>
      <c r="S107" s="1">
        <f ca="1">IFERROR(__xludf.DUMMYFUNCTION("""COMPUTED_VALUE"""),59)</f>
        <v>59</v>
      </c>
      <c r="T107" s="1">
        <f ca="1">IFERROR(__xludf.DUMMYFUNCTION("""COMPUTED_VALUE"""),-9.1)</f>
        <v>-9.1</v>
      </c>
      <c r="U107" s="1">
        <f ca="1">IFERROR(__xludf.DUMMYFUNCTION("""COMPUTED_VALUE"""),344)</f>
        <v>344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IFERROR(__xludf.DUMMYFUNCTION("""COMPUTED_VALUE"""),"UCLA")</f>
        <v>UCLA</v>
      </c>
      <c r="C108" s="1" t="str">
        <f ca="1">IFERROR(__xludf.DUMMYFUNCTION("""COMPUTED_VALUE"""),"P12")</f>
        <v>P12</v>
      </c>
      <c r="D108" s="1" t="str">
        <f ca="1">IFERROR(__xludf.DUMMYFUNCTION("""COMPUTED_VALUE"""),"17-16")</f>
        <v>17-16</v>
      </c>
      <c r="E108" s="1" t="str">
        <f ca="1">IFERROR(__xludf.DUMMYFUNCTION("""COMPUTED_VALUE"""),"+6.34")</f>
        <v>+6.34</v>
      </c>
      <c r="F108" s="1">
        <f ca="1">IFERROR(__xludf.DUMMYFUNCTION("""COMPUTED_VALUE"""),109)</f>
        <v>109</v>
      </c>
      <c r="G108" s="1">
        <f ca="1">IFERROR(__xludf.DUMMYFUNCTION("""COMPUTED_VALUE"""),88)</f>
        <v>88</v>
      </c>
      <c r="H108" s="1">
        <f ca="1">IFERROR(__xludf.DUMMYFUNCTION("""COMPUTED_VALUE"""),102.7)</f>
        <v>102.7</v>
      </c>
      <c r="I108" s="1">
        <f ca="1">IFERROR(__xludf.DUMMYFUNCTION("""COMPUTED_VALUE"""),137)</f>
        <v>137</v>
      </c>
      <c r="J108" s="1">
        <f ca="1">IFERROR(__xludf.DUMMYFUNCTION("""COMPUTED_VALUE"""),72.5)</f>
        <v>72.5</v>
      </c>
      <c r="K108" s="1">
        <f ca="1">IFERROR(__xludf.DUMMYFUNCTION("""COMPUTED_VALUE"""),17)</f>
        <v>17</v>
      </c>
      <c r="L108" s="1" t="str">
        <f ca="1">IFERROR(__xludf.DUMMYFUNCTION("""COMPUTED_VALUE"""),"+.007")</f>
        <v>+.007</v>
      </c>
      <c r="M108" s="1">
        <f ca="1">IFERROR(__xludf.DUMMYFUNCTION("""COMPUTED_VALUE"""),163)</f>
        <v>163</v>
      </c>
      <c r="N108" s="1" t="str">
        <f ca="1">IFERROR(__xludf.DUMMYFUNCTION("""COMPUTED_VALUE"""),"+5.61")</f>
        <v>+5.61</v>
      </c>
      <c r="O108" s="1">
        <f ca="1">IFERROR(__xludf.DUMMYFUNCTION("""COMPUTED_VALUE"""),64)</f>
        <v>64</v>
      </c>
      <c r="P108" s="1">
        <f ca="1">IFERROR(__xludf.DUMMYFUNCTION("""COMPUTED_VALUE"""),107.8)</f>
        <v>107.8</v>
      </c>
      <c r="Q108" s="1">
        <f ca="1">IFERROR(__xludf.DUMMYFUNCTION("""COMPUTED_VALUE"""),57)</f>
        <v>57</v>
      </c>
      <c r="R108" s="1">
        <f ca="1">IFERROR(__xludf.DUMMYFUNCTION("""COMPUTED_VALUE"""),102.2)</f>
        <v>102.2</v>
      </c>
      <c r="S108" s="1">
        <f ca="1">IFERROR(__xludf.DUMMYFUNCTION("""COMPUTED_VALUE"""),75)</f>
        <v>75</v>
      </c>
      <c r="T108" s="1" t="str">
        <f ca="1">IFERROR(__xludf.DUMMYFUNCTION("""COMPUTED_VALUE"""),"+3.60")</f>
        <v>+3.60</v>
      </c>
      <c r="U108" s="1">
        <f ca="1">IFERROR(__xludf.DUMMYFUNCTION("""COMPUTED_VALUE"""),66)</f>
        <v>66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IFERROR(__xludf.DUMMYFUNCTION("""COMPUTED_VALUE"""),"Georgia Southern")</f>
        <v>Georgia Southern</v>
      </c>
      <c r="C109" s="1" t="str">
        <f ca="1">IFERROR(__xludf.DUMMYFUNCTION("""COMPUTED_VALUE"""),"SB")</f>
        <v>SB</v>
      </c>
      <c r="D109" s="1" t="str">
        <f ca="1">IFERROR(__xludf.DUMMYFUNCTION("""COMPUTED_VALUE"""),"21-12")</f>
        <v>21-12</v>
      </c>
      <c r="E109" s="1" t="str">
        <f ca="1">IFERROR(__xludf.DUMMYFUNCTION("""COMPUTED_VALUE"""),"+6.33")</f>
        <v>+6.33</v>
      </c>
      <c r="F109" s="1">
        <f ca="1">IFERROR(__xludf.DUMMYFUNCTION("""COMPUTED_VALUE"""),108.5)</f>
        <v>108.5</v>
      </c>
      <c r="G109" s="1">
        <f ca="1">IFERROR(__xludf.DUMMYFUNCTION("""COMPUTED_VALUE"""),94)</f>
        <v>94</v>
      </c>
      <c r="H109" s="1">
        <f ca="1">IFERROR(__xludf.DUMMYFUNCTION("""COMPUTED_VALUE"""),102.2)</f>
        <v>102.2</v>
      </c>
      <c r="I109" s="1">
        <f ca="1">IFERROR(__xludf.DUMMYFUNCTION("""COMPUTED_VALUE"""),128)</f>
        <v>128</v>
      </c>
      <c r="J109" s="1">
        <f ca="1">IFERROR(__xludf.DUMMYFUNCTION("""COMPUTED_VALUE"""),73.2)</f>
        <v>73.2</v>
      </c>
      <c r="K109" s="1">
        <f ca="1">IFERROR(__xludf.DUMMYFUNCTION("""COMPUTED_VALUE"""),14)</f>
        <v>14</v>
      </c>
      <c r="L109" s="1">
        <f ca="1">IFERROR(__xludf.DUMMYFUNCTION("""COMPUTED_VALUE"""),-0.009)</f>
        <v>-8.9999999999999993E-3</v>
      </c>
      <c r="M109" s="1">
        <f ca="1">IFERROR(__xludf.DUMMYFUNCTION("""COMPUTED_VALUE"""),209)</f>
        <v>209</v>
      </c>
      <c r="N109" s="1" t="str">
        <f ca="1">IFERROR(__xludf.DUMMYFUNCTION("""COMPUTED_VALUE"""),"+0.77")</f>
        <v>+0.77</v>
      </c>
      <c r="O109" s="1">
        <f ca="1">IFERROR(__xludf.DUMMYFUNCTION("""COMPUTED_VALUE"""),120)</f>
        <v>120</v>
      </c>
      <c r="P109" s="1">
        <f ca="1">IFERROR(__xludf.DUMMYFUNCTION("""COMPUTED_VALUE"""),105.5)</f>
        <v>105.5</v>
      </c>
      <c r="Q109" s="1">
        <f ca="1">IFERROR(__xludf.DUMMYFUNCTION("""COMPUTED_VALUE"""),102)</f>
        <v>102</v>
      </c>
      <c r="R109" s="1">
        <f ca="1">IFERROR(__xludf.DUMMYFUNCTION("""COMPUTED_VALUE"""),104.7)</f>
        <v>104.7</v>
      </c>
      <c r="S109" s="1">
        <f ca="1">IFERROR(__xludf.DUMMYFUNCTION("""COMPUTED_VALUE"""),166)</f>
        <v>166</v>
      </c>
      <c r="T109" s="1" t="str">
        <f ca="1">IFERROR(__xludf.DUMMYFUNCTION("""COMPUTED_VALUE"""),"+4.60")</f>
        <v>+4.60</v>
      </c>
      <c r="U109" s="1">
        <f ca="1">IFERROR(__xludf.DUMMYFUNCTION("""COMPUTED_VALUE"""),49)</f>
        <v>49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IFERROR(__xludf.DUMMYFUNCTION("""COMPUTED_VALUE"""),"Utah Valley")</f>
        <v>Utah Valley</v>
      </c>
      <c r="C110" s="1" t="str">
        <f ca="1">IFERROR(__xludf.DUMMYFUNCTION("""COMPUTED_VALUE"""),"WAC")</f>
        <v>WAC</v>
      </c>
      <c r="D110" s="1" t="str">
        <f ca="1">IFERROR(__xludf.DUMMYFUNCTION("""COMPUTED_VALUE"""),"25-10")</f>
        <v>25-10</v>
      </c>
      <c r="E110" s="1" t="str">
        <f ca="1">IFERROR(__xludf.DUMMYFUNCTION("""COMPUTED_VALUE"""),"+6.22")</f>
        <v>+6.22</v>
      </c>
      <c r="F110" s="1">
        <f ca="1">IFERROR(__xludf.DUMMYFUNCTION("""COMPUTED_VALUE"""),108.5)</f>
        <v>108.5</v>
      </c>
      <c r="G110" s="1">
        <f ca="1">IFERROR(__xludf.DUMMYFUNCTION("""COMPUTED_VALUE"""),96)</f>
        <v>96</v>
      </c>
      <c r="H110" s="1">
        <f ca="1">IFERROR(__xludf.DUMMYFUNCTION("""COMPUTED_VALUE"""),102.3)</f>
        <v>102.3</v>
      </c>
      <c r="I110" s="1">
        <f ca="1">IFERROR(__xludf.DUMMYFUNCTION("""COMPUTED_VALUE"""),131)</f>
        <v>131</v>
      </c>
      <c r="J110" s="1">
        <f ca="1">IFERROR(__xludf.DUMMYFUNCTION("""COMPUTED_VALUE"""),68.8)</f>
        <v>68.8</v>
      </c>
      <c r="K110" s="1">
        <f ca="1">IFERROR(__xludf.DUMMYFUNCTION("""COMPUTED_VALUE"""),115)</f>
        <v>115</v>
      </c>
      <c r="L110" s="1" t="str">
        <f ca="1">IFERROR(__xludf.DUMMYFUNCTION("""COMPUTED_VALUE"""),"+.037")</f>
        <v>+.037</v>
      </c>
      <c r="M110" s="1">
        <f ca="1">IFERROR(__xludf.DUMMYFUNCTION("""COMPUTED_VALUE"""),88)</f>
        <v>88</v>
      </c>
      <c r="N110" s="1">
        <f ca="1">IFERROR(__xludf.DUMMYFUNCTION("""COMPUTED_VALUE"""),-2.03)</f>
        <v>-2.0299999999999998</v>
      </c>
      <c r="O110" s="1">
        <f ca="1">IFERROR(__xludf.DUMMYFUNCTION("""COMPUTED_VALUE"""),197)</f>
        <v>197</v>
      </c>
      <c r="P110" s="1">
        <f ca="1">IFERROR(__xludf.DUMMYFUNCTION("""COMPUTED_VALUE"""),103.9)</f>
        <v>103.9</v>
      </c>
      <c r="Q110" s="1">
        <f ca="1">IFERROR(__xludf.DUMMYFUNCTION("""COMPUTED_VALUE"""),174)</f>
        <v>174</v>
      </c>
      <c r="R110" s="1">
        <f ca="1">IFERROR(__xludf.DUMMYFUNCTION("""COMPUTED_VALUE"""),105.9)</f>
        <v>105.9</v>
      </c>
      <c r="S110" s="1">
        <f ca="1">IFERROR(__xludf.DUMMYFUNCTION("""COMPUTED_VALUE"""),211)</f>
        <v>211</v>
      </c>
      <c r="T110" s="1">
        <f ca="1">IFERROR(__xludf.DUMMYFUNCTION("""COMPUTED_VALUE"""),-0.24)</f>
        <v>-0.24</v>
      </c>
      <c r="U110" s="1">
        <f ca="1">IFERROR(__xludf.DUMMYFUNCTION("""COMPUTED_VALUE"""),172)</f>
        <v>172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IFERROR(__xludf.DUMMYFUNCTION("""COMPUTED_VALUE"""),"Bowling Green")</f>
        <v>Bowling Green</v>
      </c>
      <c r="C111" s="1" t="str">
        <f ca="1">IFERROR(__xludf.DUMMYFUNCTION("""COMPUTED_VALUE"""),"MAC")</f>
        <v>MAC</v>
      </c>
      <c r="D111" s="1" t="str">
        <f ca="1">IFERROR(__xludf.DUMMYFUNCTION("""COMPUTED_VALUE"""),"22-12")</f>
        <v>22-12</v>
      </c>
      <c r="E111" s="1" t="str">
        <f ca="1">IFERROR(__xludf.DUMMYFUNCTION("""COMPUTED_VALUE"""),"+6.04")</f>
        <v>+6.04</v>
      </c>
      <c r="F111" s="1">
        <f ca="1">IFERROR(__xludf.DUMMYFUNCTION("""COMPUTED_VALUE"""),108.4)</f>
        <v>108.4</v>
      </c>
      <c r="G111" s="1">
        <f ca="1">IFERROR(__xludf.DUMMYFUNCTION("""COMPUTED_VALUE"""),99)</f>
        <v>99</v>
      </c>
      <c r="H111" s="1">
        <f ca="1">IFERROR(__xludf.DUMMYFUNCTION("""COMPUTED_VALUE"""),102.3)</f>
        <v>102.3</v>
      </c>
      <c r="I111" s="1">
        <f ca="1">IFERROR(__xludf.DUMMYFUNCTION("""COMPUTED_VALUE"""),132)</f>
        <v>132</v>
      </c>
      <c r="J111" s="1">
        <f ca="1">IFERROR(__xludf.DUMMYFUNCTION("""COMPUTED_VALUE"""),70.5)</f>
        <v>70.5</v>
      </c>
      <c r="K111" s="1">
        <f ca="1">IFERROR(__xludf.DUMMYFUNCTION("""COMPUTED_VALUE"""),54)</f>
        <v>54</v>
      </c>
      <c r="L111" s="1" t="str">
        <f ca="1">IFERROR(__xludf.DUMMYFUNCTION("""COMPUTED_VALUE"""),"+.035")</f>
        <v>+.035</v>
      </c>
      <c r="M111" s="1">
        <f ca="1">IFERROR(__xludf.DUMMYFUNCTION("""COMPUTED_VALUE"""),94)</f>
        <v>94</v>
      </c>
      <c r="N111" s="1" t="str">
        <f ca="1">IFERROR(__xludf.DUMMYFUNCTION("""COMPUTED_VALUE"""),"+1.13")</f>
        <v>+1.13</v>
      </c>
      <c r="O111" s="1">
        <f ca="1">IFERROR(__xludf.DUMMYFUNCTION("""COMPUTED_VALUE"""),113)</f>
        <v>113</v>
      </c>
      <c r="P111" s="1">
        <f ca="1">IFERROR(__xludf.DUMMYFUNCTION("""COMPUTED_VALUE"""),105.3)</f>
        <v>105.3</v>
      </c>
      <c r="Q111" s="1">
        <f ca="1">IFERROR(__xludf.DUMMYFUNCTION("""COMPUTED_VALUE"""),115)</f>
        <v>115</v>
      </c>
      <c r="R111" s="1">
        <f ca="1">IFERROR(__xludf.DUMMYFUNCTION("""COMPUTED_VALUE"""),104.2)</f>
        <v>104.2</v>
      </c>
      <c r="S111" s="1">
        <f ca="1">IFERROR(__xludf.DUMMYFUNCTION("""COMPUTED_VALUE"""),143)</f>
        <v>143</v>
      </c>
      <c r="T111" s="1">
        <f ca="1">IFERROR(__xludf.DUMMYFUNCTION("""COMPUTED_VALUE"""),-4.56)</f>
        <v>-4.5599999999999996</v>
      </c>
      <c r="U111" s="1">
        <f ca="1">IFERROR(__xludf.DUMMYFUNCTION("""COMPUTED_VALUE"""),293)</f>
        <v>293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IFERROR(__xludf.DUMMYFUNCTION("""COMPUTED_VALUE"""),"Saint Louis13")</f>
        <v>Saint Louis13</v>
      </c>
      <c r="C112" s="1" t="str">
        <f ca="1">IFERROR(__xludf.DUMMYFUNCTION("""COMPUTED_VALUE"""),"A10")</f>
        <v>A10</v>
      </c>
      <c r="D112" s="1" t="str">
        <f ca="1">IFERROR(__xludf.DUMMYFUNCTION("""COMPUTED_VALUE"""),"23-13")</f>
        <v>23-13</v>
      </c>
      <c r="E112" s="1" t="str">
        <f ca="1">IFERROR(__xludf.DUMMYFUNCTION("""COMPUTED_VALUE"""),"+6.02")</f>
        <v>+6.02</v>
      </c>
      <c r="F112" s="1">
        <f ca="1">IFERROR(__xludf.DUMMYFUNCTION("""COMPUTED_VALUE"""),102.2)</f>
        <v>102.2</v>
      </c>
      <c r="G112" s="1">
        <f ca="1">IFERROR(__xludf.DUMMYFUNCTION("""COMPUTED_VALUE"""),214)</f>
        <v>214</v>
      </c>
      <c r="H112" s="1">
        <f ca="1">IFERROR(__xludf.DUMMYFUNCTION("""COMPUTED_VALUE"""),96.2)</f>
        <v>96.2</v>
      </c>
      <c r="I112" s="1">
        <f ca="1">IFERROR(__xludf.DUMMYFUNCTION("""COMPUTED_VALUE"""),40)</f>
        <v>40</v>
      </c>
      <c r="J112" s="1">
        <f ca="1">IFERROR(__xludf.DUMMYFUNCTION("""COMPUTED_VALUE"""),66.4)</f>
        <v>66.400000000000006</v>
      </c>
      <c r="K112" s="1">
        <f ca="1">IFERROR(__xludf.DUMMYFUNCTION("""COMPUTED_VALUE"""),239)</f>
        <v>239</v>
      </c>
      <c r="L112" s="1" t="str">
        <f ca="1">IFERROR(__xludf.DUMMYFUNCTION("""COMPUTED_VALUE"""),"+.044")</f>
        <v>+.044</v>
      </c>
      <c r="M112" s="1">
        <f ca="1">IFERROR(__xludf.DUMMYFUNCTION("""COMPUTED_VALUE"""),74)</f>
        <v>74</v>
      </c>
      <c r="N112" s="1" t="str">
        <f ca="1">IFERROR(__xludf.DUMMYFUNCTION("""COMPUTED_VALUE"""),"+0.49")</f>
        <v>+0.49</v>
      </c>
      <c r="O112" s="1">
        <f ca="1">IFERROR(__xludf.DUMMYFUNCTION("""COMPUTED_VALUE"""),126)</f>
        <v>126</v>
      </c>
      <c r="P112" s="1">
        <f ca="1">IFERROR(__xludf.DUMMYFUNCTION("""COMPUTED_VALUE"""),104.4)</f>
        <v>104.4</v>
      </c>
      <c r="Q112" s="1">
        <f ca="1">IFERROR(__xludf.DUMMYFUNCTION("""COMPUTED_VALUE"""),150)</f>
        <v>150</v>
      </c>
      <c r="R112" s="1">
        <f ca="1">IFERROR(__xludf.DUMMYFUNCTION("""COMPUTED_VALUE"""),103.9)</f>
        <v>103.9</v>
      </c>
      <c r="S112" s="1">
        <f ca="1">IFERROR(__xludf.DUMMYFUNCTION("""COMPUTED_VALUE"""),129)</f>
        <v>129</v>
      </c>
      <c r="T112" s="1">
        <f ca="1">IFERROR(__xludf.DUMMYFUNCTION("""COMPUTED_VALUE"""),-1.44)</f>
        <v>-1.44</v>
      </c>
      <c r="U112" s="1">
        <f ca="1">IFERROR(__xludf.DUMMYFUNCTION("""COMPUTED_VALUE"""),200)</f>
        <v>200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IFERROR(__xludf.DUMMYFUNCTION("""COMPUTED_VALUE"""),"SMU")</f>
        <v>SMU</v>
      </c>
      <c r="C113" s="1" t="str">
        <f ca="1">IFERROR(__xludf.DUMMYFUNCTION("""COMPUTED_VALUE"""),"Amer")</f>
        <v>Amer</v>
      </c>
      <c r="D113" s="1" t="str">
        <f ca="1">IFERROR(__xludf.DUMMYFUNCTION("""COMPUTED_VALUE"""),"15-17")</f>
        <v>15-17</v>
      </c>
      <c r="E113" s="1" t="str">
        <f ca="1">IFERROR(__xludf.DUMMYFUNCTION("""COMPUTED_VALUE"""),"+5.98")</f>
        <v>+5.98</v>
      </c>
      <c r="F113" s="1">
        <f ca="1">IFERROR(__xludf.DUMMYFUNCTION("""COMPUTED_VALUE"""),112.7)</f>
        <v>112.7</v>
      </c>
      <c r="G113" s="1">
        <f ca="1">IFERROR(__xludf.DUMMYFUNCTION("""COMPUTED_VALUE"""),38)</f>
        <v>38</v>
      </c>
      <c r="H113" s="1">
        <f ca="1">IFERROR(__xludf.DUMMYFUNCTION("""COMPUTED_VALUE"""),106.7)</f>
        <v>106.7</v>
      </c>
      <c r="I113" s="1">
        <f ca="1">IFERROR(__xludf.DUMMYFUNCTION("""COMPUTED_VALUE"""),221)</f>
        <v>221</v>
      </c>
      <c r="J113" s="1">
        <f ca="1">IFERROR(__xludf.DUMMYFUNCTION("""COMPUTED_VALUE"""),65)</f>
        <v>65</v>
      </c>
      <c r="K113" s="1">
        <f ca="1">IFERROR(__xludf.DUMMYFUNCTION("""COMPUTED_VALUE"""),310)</f>
        <v>310</v>
      </c>
      <c r="L113" s="1">
        <f ca="1">IFERROR(__xludf.DUMMYFUNCTION("""COMPUTED_VALUE"""),-0.07)</f>
        <v>-7.0000000000000007E-2</v>
      </c>
      <c r="M113" s="1">
        <f ca="1">IFERROR(__xludf.DUMMYFUNCTION("""COMPUTED_VALUE"""),322)</f>
        <v>322</v>
      </c>
      <c r="N113" s="1" t="str">
        <f ca="1">IFERROR(__xludf.DUMMYFUNCTION("""COMPUTED_VALUE"""),"+3.48")</f>
        <v>+3.48</v>
      </c>
      <c r="O113" s="1">
        <f ca="1">IFERROR(__xludf.DUMMYFUNCTION("""COMPUTED_VALUE"""),83)</f>
        <v>83</v>
      </c>
      <c r="P113" s="1">
        <f ca="1">IFERROR(__xludf.DUMMYFUNCTION("""COMPUTED_VALUE"""),105.3)</f>
        <v>105.3</v>
      </c>
      <c r="Q113" s="1">
        <f ca="1">IFERROR(__xludf.DUMMYFUNCTION("""COMPUTED_VALUE"""),116)</f>
        <v>116</v>
      </c>
      <c r="R113" s="1">
        <f ca="1">IFERROR(__xludf.DUMMYFUNCTION("""COMPUTED_VALUE"""),101.8)</f>
        <v>101.8</v>
      </c>
      <c r="S113" s="1">
        <f ca="1">IFERROR(__xludf.DUMMYFUNCTION("""COMPUTED_VALUE"""),69)</f>
        <v>69</v>
      </c>
      <c r="T113" s="1">
        <f ca="1">IFERROR(__xludf.DUMMYFUNCTION("""COMPUTED_VALUE"""),-5.79)</f>
        <v>-5.79</v>
      </c>
      <c r="U113" s="1">
        <f ca="1">IFERROR(__xludf.DUMMYFUNCTION("""COMPUTED_VALUE"""),319)</f>
        <v>319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IFERROR(__xludf.DUMMYFUNCTION("""COMPUTED_VALUE"""),"Akron")</f>
        <v>Akron</v>
      </c>
      <c r="C114" s="1" t="str">
        <f ca="1">IFERROR(__xludf.DUMMYFUNCTION("""COMPUTED_VALUE"""),"MAC")</f>
        <v>MAC</v>
      </c>
      <c r="D114" s="1" t="str">
        <f ca="1">IFERROR(__xludf.DUMMYFUNCTION("""COMPUTED_VALUE"""),"17-16")</f>
        <v>17-16</v>
      </c>
      <c r="E114" s="1" t="str">
        <f ca="1">IFERROR(__xludf.DUMMYFUNCTION("""COMPUTED_VALUE"""),"+5.87")</f>
        <v>+5.87</v>
      </c>
      <c r="F114" s="1">
        <f ca="1">IFERROR(__xludf.DUMMYFUNCTION("""COMPUTED_VALUE"""),100)</f>
        <v>100</v>
      </c>
      <c r="G114" s="1">
        <f ca="1">IFERROR(__xludf.DUMMYFUNCTION("""COMPUTED_VALUE"""),259)</f>
        <v>259</v>
      </c>
      <c r="H114" s="1">
        <f ca="1">IFERROR(__xludf.DUMMYFUNCTION("""COMPUTED_VALUE"""),94.1)</f>
        <v>94.1</v>
      </c>
      <c r="I114" s="1">
        <f ca="1">IFERROR(__xludf.DUMMYFUNCTION("""COMPUTED_VALUE"""),22)</f>
        <v>22</v>
      </c>
      <c r="J114" s="1">
        <f ca="1">IFERROR(__xludf.DUMMYFUNCTION("""COMPUTED_VALUE"""),66.2)</f>
        <v>66.2</v>
      </c>
      <c r="K114" s="1">
        <f ca="1">IFERROR(__xludf.DUMMYFUNCTION("""COMPUTED_VALUE"""),254)</f>
        <v>254</v>
      </c>
      <c r="L114" s="1">
        <f ca="1">IFERROR(__xludf.DUMMYFUNCTION("""COMPUTED_VALUE"""),-0.105)</f>
        <v>-0.105</v>
      </c>
      <c r="M114" s="1">
        <f ca="1">IFERROR(__xludf.DUMMYFUNCTION("""COMPUTED_VALUE"""),344)</f>
        <v>344</v>
      </c>
      <c r="N114" s="1" t="str">
        <f ca="1">IFERROR(__xludf.DUMMYFUNCTION("""COMPUTED_VALUE"""),"+1.16")</f>
        <v>+1.16</v>
      </c>
      <c r="O114" s="1">
        <f ca="1">IFERROR(__xludf.DUMMYFUNCTION("""COMPUTED_VALUE"""),110)</f>
        <v>110</v>
      </c>
      <c r="P114" s="1">
        <f ca="1">IFERROR(__xludf.DUMMYFUNCTION("""COMPUTED_VALUE"""),105.4)</f>
        <v>105.4</v>
      </c>
      <c r="Q114" s="1">
        <f ca="1">IFERROR(__xludf.DUMMYFUNCTION("""COMPUTED_VALUE"""),104)</f>
        <v>104</v>
      </c>
      <c r="R114" s="1">
        <f ca="1">IFERROR(__xludf.DUMMYFUNCTION("""COMPUTED_VALUE"""),104.3)</f>
        <v>104.3</v>
      </c>
      <c r="S114" s="1">
        <f ca="1">IFERROR(__xludf.DUMMYFUNCTION("""COMPUTED_VALUE"""),149)</f>
        <v>149</v>
      </c>
      <c r="T114" s="1">
        <f ca="1">IFERROR(__xludf.DUMMYFUNCTION("""COMPUTED_VALUE"""),-5.43)</f>
        <v>-5.43</v>
      </c>
      <c r="U114" s="1">
        <f ca="1">IFERROR(__xludf.DUMMYFUNCTION("""COMPUTED_VALUE"""),310)</f>
        <v>310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IFERROR(__xludf.DUMMYFUNCTION("""COMPUTED_VALUE"""),"Utah")</f>
        <v>Utah</v>
      </c>
      <c r="C115" s="1" t="str">
        <f ca="1">IFERROR(__xludf.DUMMYFUNCTION("""COMPUTED_VALUE"""),"P12")</f>
        <v>P12</v>
      </c>
      <c r="D115" s="1" t="str">
        <f ca="1">IFERROR(__xludf.DUMMYFUNCTION("""COMPUTED_VALUE"""),"17-14")</f>
        <v>17-14</v>
      </c>
      <c r="E115" s="1" t="str">
        <f ca="1">IFERROR(__xludf.DUMMYFUNCTION("""COMPUTED_VALUE"""),"+5.85")</f>
        <v>+5.85</v>
      </c>
      <c r="F115" s="1">
        <f ca="1">IFERROR(__xludf.DUMMYFUNCTION("""COMPUTED_VALUE"""),114.8)</f>
        <v>114.8</v>
      </c>
      <c r="G115" s="1">
        <f ca="1">IFERROR(__xludf.DUMMYFUNCTION("""COMPUTED_VALUE"""),22)</f>
        <v>22</v>
      </c>
      <c r="H115" s="1">
        <f ca="1">IFERROR(__xludf.DUMMYFUNCTION("""COMPUTED_VALUE"""),108.9)</f>
        <v>108.9</v>
      </c>
      <c r="I115" s="1">
        <f ca="1">IFERROR(__xludf.DUMMYFUNCTION("""COMPUTED_VALUE"""),257)</f>
        <v>257</v>
      </c>
      <c r="J115" s="1">
        <f ca="1">IFERROR(__xludf.DUMMYFUNCTION("""COMPUTED_VALUE"""),66.4)</f>
        <v>66.400000000000006</v>
      </c>
      <c r="K115" s="1">
        <f ca="1">IFERROR(__xludf.DUMMYFUNCTION("""COMPUTED_VALUE"""),240)</f>
        <v>240</v>
      </c>
      <c r="L115" s="1" t="str">
        <f ca="1">IFERROR(__xludf.DUMMYFUNCTION("""COMPUTED_VALUE"""),"+.031")</f>
        <v>+.031</v>
      </c>
      <c r="M115" s="1">
        <f ca="1">IFERROR(__xludf.DUMMYFUNCTION("""COMPUTED_VALUE"""),102)</f>
        <v>102</v>
      </c>
      <c r="N115" s="1" t="str">
        <f ca="1">IFERROR(__xludf.DUMMYFUNCTION("""COMPUTED_VALUE"""),"+4.80")</f>
        <v>+4.80</v>
      </c>
      <c r="O115" s="1">
        <f ca="1">IFERROR(__xludf.DUMMYFUNCTION("""COMPUTED_VALUE"""),72)</f>
        <v>72</v>
      </c>
      <c r="P115" s="1">
        <f ca="1">IFERROR(__xludf.DUMMYFUNCTION("""COMPUTED_VALUE"""),106.1)</f>
        <v>106.1</v>
      </c>
      <c r="Q115" s="1">
        <f ca="1">IFERROR(__xludf.DUMMYFUNCTION("""COMPUTED_VALUE"""),81)</f>
        <v>81</v>
      </c>
      <c r="R115" s="1">
        <f ca="1">IFERROR(__xludf.DUMMYFUNCTION("""COMPUTED_VALUE"""),101.3)</f>
        <v>101.3</v>
      </c>
      <c r="S115" s="1">
        <f ca="1">IFERROR(__xludf.DUMMYFUNCTION("""COMPUTED_VALUE"""),63)</f>
        <v>63</v>
      </c>
      <c r="T115" s="1">
        <f ca="1">IFERROR(__xludf.DUMMYFUNCTION("""COMPUTED_VALUE"""),-0.8)</f>
        <v>-0.8</v>
      </c>
      <c r="U115" s="1">
        <f ca="1">IFERROR(__xludf.DUMMYFUNCTION("""COMPUTED_VALUE"""),181)</f>
        <v>181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IFERROR(__xludf.DUMMYFUNCTION("""COMPUTED_VALUE"""),"Jacksonville St.")</f>
        <v>Jacksonville St.</v>
      </c>
      <c r="C116" s="1" t="str">
        <f ca="1">IFERROR(__xludf.DUMMYFUNCTION("""COMPUTED_VALUE"""),"OVC")</f>
        <v>OVC</v>
      </c>
      <c r="D116" s="1" t="str">
        <f ca="1">IFERROR(__xludf.DUMMYFUNCTION("""COMPUTED_VALUE"""),"24-9")</f>
        <v>24-9</v>
      </c>
      <c r="E116" s="1" t="str">
        <f ca="1">IFERROR(__xludf.DUMMYFUNCTION("""COMPUTED_VALUE"""),"+5.81")</f>
        <v>+5.81</v>
      </c>
      <c r="F116" s="1">
        <f ca="1">IFERROR(__xludf.DUMMYFUNCTION("""COMPUTED_VALUE"""),105.4)</f>
        <v>105.4</v>
      </c>
      <c r="G116" s="1">
        <f ca="1">IFERROR(__xludf.DUMMYFUNCTION("""COMPUTED_VALUE"""),157)</f>
        <v>157</v>
      </c>
      <c r="H116" s="1">
        <f ca="1">IFERROR(__xludf.DUMMYFUNCTION("""COMPUTED_VALUE"""),99.6)</f>
        <v>99.6</v>
      </c>
      <c r="I116" s="1">
        <f ca="1">IFERROR(__xludf.DUMMYFUNCTION("""COMPUTED_VALUE"""),86)</f>
        <v>86</v>
      </c>
      <c r="J116" s="1">
        <f ca="1">IFERROR(__xludf.DUMMYFUNCTION("""COMPUTED_VALUE"""),67.6)</f>
        <v>67.599999999999994</v>
      </c>
      <c r="K116" s="1">
        <f ca="1">IFERROR(__xludf.DUMMYFUNCTION("""COMPUTED_VALUE"""),173)</f>
        <v>173</v>
      </c>
      <c r="L116" s="1" t="str">
        <f ca="1">IFERROR(__xludf.DUMMYFUNCTION("""COMPUTED_VALUE"""),"+.003")</f>
        <v>+.003</v>
      </c>
      <c r="M116" s="1">
        <f ca="1">IFERROR(__xludf.DUMMYFUNCTION("""COMPUTED_VALUE"""),174)</f>
        <v>174</v>
      </c>
      <c r="N116" s="1">
        <f ca="1">IFERROR(__xludf.DUMMYFUNCTION("""COMPUTED_VALUE"""),-4.25)</f>
        <v>-4.25</v>
      </c>
      <c r="O116" s="1">
        <f ca="1">IFERROR(__xludf.DUMMYFUNCTION("""COMPUTED_VALUE"""),259)</f>
        <v>259</v>
      </c>
      <c r="P116" s="1">
        <f ca="1">IFERROR(__xludf.DUMMYFUNCTION("""COMPUTED_VALUE"""),102.2)</f>
        <v>102.2</v>
      </c>
      <c r="Q116" s="1">
        <f ca="1">IFERROR(__xludf.DUMMYFUNCTION("""COMPUTED_VALUE"""),266)</f>
        <v>266</v>
      </c>
      <c r="R116" s="1">
        <f ca="1">IFERROR(__xludf.DUMMYFUNCTION("""COMPUTED_VALUE"""),106.5)</f>
        <v>106.5</v>
      </c>
      <c r="S116" s="1">
        <f ca="1">IFERROR(__xludf.DUMMYFUNCTION("""COMPUTED_VALUE"""),234)</f>
        <v>234</v>
      </c>
      <c r="T116" s="1" t="str">
        <f ca="1">IFERROR(__xludf.DUMMYFUNCTION("""COMPUTED_VALUE"""),"+0.10")</f>
        <v>+0.10</v>
      </c>
      <c r="U116" s="1">
        <f ca="1">IFERROR(__xludf.DUMMYFUNCTION("""COMPUTED_VALUE"""),158)</f>
        <v>158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IFERROR(__xludf.DUMMYFUNCTION("""COMPUTED_VALUE"""),"Grand Canyon")</f>
        <v>Grand Canyon</v>
      </c>
      <c r="C117" s="1" t="str">
        <f ca="1">IFERROR(__xludf.DUMMYFUNCTION("""COMPUTED_VALUE"""),"WAC")</f>
        <v>WAC</v>
      </c>
      <c r="D117" s="1" t="str">
        <f ca="1">IFERROR(__xludf.DUMMYFUNCTION("""COMPUTED_VALUE"""),"20-14")</f>
        <v>20-14</v>
      </c>
      <c r="E117" s="1" t="str">
        <f ca="1">IFERROR(__xludf.DUMMYFUNCTION("""COMPUTED_VALUE"""),"+5.49")</f>
        <v>+5.49</v>
      </c>
      <c r="F117" s="1">
        <f ca="1">IFERROR(__xludf.DUMMYFUNCTION("""COMPUTED_VALUE"""),107.6)</f>
        <v>107.6</v>
      </c>
      <c r="G117" s="1">
        <f ca="1">IFERROR(__xludf.DUMMYFUNCTION("""COMPUTED_VALUE"""),113)</f>
        <v>113</v>
      </c>
      <c r="H117" s="1">
        <f ca="1">IFERROR(__xludf.DUMMYFUNCTION("""COMPUTED_VALUE"""),102.1)</f>
        <v>102.1</v>
      </c>
      <c r="I117" s="1">
        <f ca="1">IFERROR(__xludf.DUMMYFUNCTION("""COMPUTED_VALUE"""),124)</f>
        <v>124</v>
      </c>
      <c r="J117" s="1">
        <f ca="1">IFERROR(__xludf.DUMMYFUNCTION("""COMPUTED_VALUE"""),67.8)</f>
        <v>67.8</v>
      </c>
      <c r="K117" s="1">
        <f ca="1">IFERROR(__xludf.DUMMYFUNCTION("""COMPUTED_VALUE"""),162)</f>
        <v>162</v>
      </c>
      <c r="L117" s="1">
        <f ca="1">IFERROR(__xludf.DUMMYFUNCTION("""COMPUTED_VALUE"""),-0.038)</f>
        <v>-3.7999999999999999E-2</v>
      </c>
      <c r="M117" s="1">
        <f ca="1">IFERROR(__xludf.DUMMYFUNCTION("""COMPUTED_VALUE"""),269)</f>
        <v>269</v>
      </c>
      <c r="N117" s="1">
        <f ca="1">IFERROR(__xludf.DUMMYFUNCTION("""COMPUTED_VALUE"""),-0.81)</f>
        <v>-0.81</v>
      </c>
      <c r="O117" s="1">
        <f ca="1">IFERROR(__xludf.DUMMYFUNCTION("""COMPUTED_VALUE"""),162)</f>
        <v>162</v>
      </c>
      <c r="P117" s="1">
        <f ca="1">IFERROR(__xludf.DUMMYFUNCTION("""COMPUTED_VALUE"""),104.1)</f>
        <v>104.1</v>
      </c>
      <c r="Q117" s="1">
        <f ca="1">IFERROR(__xludf.DUMMYFUNCTION("""COMPUTED_VALUE"""),164)</f>
        <v>164</v>
      </c>
      <c r="R117" s="1">
        <f ca="1">IFERROR(__xludf.DUMMYFUNCTION("""COMPUTED_VALUE"""),104.9)</f>
        <v>104.9</v>
      </c>
      <c r="S117" s="1">
        <f ca="1">IFERROR(__xludf.DUMMYFUNCTION("""COMPUTED_VALUE"""),172)</f>
        <v>172</v>
      </c>
      <c r="T117" s="1">
        <f ca="1">IFERROR(__xludf.DUMMYFUNCTION("""COMPUTED_VALUE"""),-0.13)</f>
        <v>-0.13</v>
      </c>
      <c r="U117" s="1">
        <f ca="1">IFERROR(__xludf.DUMMYFUNCTION("""COMPUTED_VALUE"""),167)</f>
        <v>167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IFERROR(__xludf.DUMMYFUNCTION("""COMPUTED_VALUE"""),"Stanford")</f>
        <v>Stanford</v>
      </c>
      <c r="C118" s="1" t="str">
        <f ca="1">IFERROR(__xludf.DUMMYFUNCTION("""COMPUTED_VALUE"""),"P12")</f>
        <v>P12</v>
      </c>
      <c r="D118" s="1" t="str">
        <f ca="1">IFERROR(__xludf.DUMMYFUNCTION("""COMPUTED_VALUE"""),"15-16")</f>
        <v>15-16</v>
      </c>
      <c r="E118" s="1" t="str">
        <f ca="1">IFERROR(__xludf.DUMMYFUNCTION("""COMPUTED_VALUE"""),"+5.47")</f>
        <v>+5.47</v>
      </c>
      <c r="F118" s="1">
        <f ca="1">IFERROR(__xludf.DUMMYFUNCTION("""COMPUTED_VALUE"""),103.7)</f>
        <v>103.7</v>
      </c>
      <c r="G118" s="1">
        <f ca="1">IFERROR(__xludf.DUMMYFUNCTION("""COMPUTED_VALUE"""),187)</f>
        <v>187</v>
      </c>
      <c r="H118" s="1">
        <f ca="1">IFERROR(__xludf.DUMMYFUNCTION("""COMPUTED_VALUE"""),98.2)</f>
        <v>98.2</v>
      </c>
      <c r="I118" s="1">
        <f ca="1">IFERROR(__xludf.DUMMYFUNCTION("""COMPUTED_VALUE"""),66)</f>
        <v>66</v>
      </c>
      <c r="J118" s="1">
        <f ca="1">IFERROR(__xludf.DUMMYFUNCTION("""COMPUTED_VALUE"""),69.9)</f>
        <v>69.900000000000006</v>
      </c>
      <c r="K118" s="1">
        <f ca="1">IFERROR(__xludf.DUMMYFUNCTION("""COMPUTED_VALUE"""),71)</f>
        <v>71</v>
      </c>
      <c r="L118" s="1">
        <f ca="1">IFERROR(__xludf.DUMMYFUNCTION("""COMPUTED_VALUE"""),-0.027)</f>
        <v>-2.7E-2</v>
      </c>
      <c r="M118" s="1">
        <f ca="1">IFERROR(__xludf.DUMMYFUNCTION("""COMPUTED_VALUE"""),250)</f>
        <v>250</v>
      </c>
      <c r="N118" s="1" t="str">
        <f ca="1">IFERROR(__xludf.DUMMYFUNCTION("""COMPUTED_VALUE"""),"+4.39")</f>
        <v>+4.39</v>
      </c>
      <c r="O118" s="1">
        <f ca="1">IFERROR(__xludf.DUMMYFUNCTION("""COMPUTED_VALUE"""),78)</f>
        <v>78</v>
      </c>
      <c r="P118" s="1">
        <f ca="1">IFERROR(__xludf.DUMMYFUNCTION("""COMPUTED_VALUE"""),106.8)</f>
        <v>106.8</v>
      </c>
      <c r="Q118" s="1">
        <f ca="1">IFERROR(__xludf.DUMMYFUNCTION("""COMPUTED_VALUE"""),71)</f>
        <v>71</v>
      </c>
      <c r="R118" s="1">
        <f ca="1">IFERROR(__xludf.DUMMYFUNCTION("""COMPUTED_VALUE"""),102.4)</f>
        <v>102.4</v>
      </c>
      <c r="S118" s="1">
        <f ca="1">IFERROR(__xludf.DUMMYFUNCTION("""COMPUTED_VALUE"""),86)</f>
        <v>86</v>
      </c>
      <c r="T118" s="1" t="str">
        <f ca="1">IFERROR(__xludf.DUMMYFUNCTION("""COMPUTED_VALUE"""),"+0.83")</f>
        <v>+0.83</v>
      </c>
      <c r="U118" s="1">
        <f ca="1">IFERROR(__xludf.DUMMYFUNCTION("""COMPUTED_VALUE"""),132)</f>
        <v>132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IFERROR(__xludf.DUMMYFUNCTION("""COMPUTED_VALUE"""),"Old Dominion14")</f>
        <v>Old Dominion14</v>
      </c>
      <c r="C119" s="1" t="str">
        <f ca="1">IFERROR(__xludf.DUMMYFUNCTION("""COMPUTED_VALUE"""),"CUSA")</f>
        <v>CUSA</v>
      </c>
      <c r="D119" s="1" t="str">
        <f ca="1">IFERROR(__xludf.DUMMYFUNCTION("""COMPUTED_VALUE"""),"26-9")</f>
        <v>26-9</v>
      </c>
      <c r="E119" s="1" t="str">
        <f ca="1">IFERROR(__xludf.DUMMYFUNCTION("""COMPUTED_VALUE"""),"+5.45")</f>
        <v>+5.45</v>
      </c>
      <c r="F119" s="1">
        <f ca="1">IFERROR(__xludf.DUMMYFUNCTION("""COMPUTED_VALUE"""),101.4)</f>
        <v>101.4</v>
      </c>
      <c r="G119" s="1">
        <f ca="1">IFERROR(__xludf.DUMMYFUNCTION("""COMPUTED_VALUE"""),238)</f>
        <v>238</v>
      </c>
      <c r="H119" s="1">
        <f ca="1">IFERROR(__xludf.DUMMYFUNCTION("""COMPUTED_VALUE"""),96)</f>
        <v>96</v>
      </c>
      <c r="I119" s="1">
        <f ca="1">IFERROR(__xludf.DUMMYFUNCTION("""COMPUTED_VALUE"""),38)</f>
        <v>38</v>
      </c>
      <c r="J119" s="1">
        <f ca="1">IFERROR(__xludf.DUMMYFUNCTION("""COMPUTED_VALUE"""),64.5)</f>
        <v>64.5</v>
      </c>
      <c r="K119" s="1">
        <f ca="1">IFERROR(__xludf.DUMMYFUNCTION("""COMPUTED_VALUE"""),324)</f>
        <v>324</v>
      </c>
      <c r="L119" s="1" t="str">
        <f ca="1">IFERROR(__xludf.DUMMYFUNCTION("""COMPUTED_VALUE"""),"+.058")</f>
        <v>+.058</v>
      </c>
      <c r="M119" s="1">
        <f ca="1">IFERROR(__xludf.DUMMYFUNCTION("""COMPUTED_VALUE"""),49)</f>
        <v>49</v>
      </c>
      <c r="N119" s="1">
        <f ca="1">IFERROR(__xludf.DUMMYFUNCTION("""COMPUTED_VALUE"""),-2.15)</f>
        <v>-2.15</v>
      </c>
      <c r="O119" s="1">
        <f ca="1">IFERROR(__xludf.DUMMYFUNCTION("""COMPUTED_VALUE"""),203)</f>
        <v>203</v>
      </c>
      <c r="P119" s="1">
        <f ca="1">IFERROR(__xludf.DUMMYFUNCTION("""COMPUTED_VALUE"""),102.5)</f>
        <v>102.5</v>
      </c>
      <c r="Q119" s="1">
        <f ca="1">IFERROR(__xludf.DUMMYFUNCTION("""COMPUTED_VALUE"""),244)</f>
        <v>244</v>
      </c>
      <c r="R119" s="1">
        <f ca="1">IFERROR(__xludf.DUMMYFUNCTION("""COMPUTED_VALUE"""),104.7)</f>
        <v>104.7</v>
      </c>
      <c r="S119" s="1">
        <f ca="1">IFERROR(__xludf.DUMMYFUNCTION("""COMPUTED_VALUE"""),165)</f>
        <v>165</v>
      </c>
      <c r="T119" s="1">
        <f ca="1">IFERROR(__xludf.DUMMYFUNCTION("""COMPUTED_VALUE"""),-6.06)</f>
        <v>-6.06</v>
      </c>
      <c r="U119" s="1">
        <f ca="1">IFERROR(__xludf.DUMMYFUNCTION("""COMPUTED_VALUE"""),322)</f>
        <v>322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IFERROR(__xludf.DUMMYFUNCTION("""COMPUTED_VALUE"""),"Harvard6")</f>
        <v>Harvard6</v>
      </c>
      <c r="C120" s="1" t="str">
        <f ca="1">IFERROR(__xludf.DUMMYFUNCTION("""COMPUTED_VALUE"""),"Ivy")</f>
        <v>Ivy</v>
      </c>
      <c r="D120" s="1" t="str">
        <f ca="1">IFERROR(__xludf.DUMMYFUNCTION("""COMPUTED_VALUE"""),"19-12")</f>
        <v>19-12</v>
      </c>
      <c r="E120" s="1" t="str">
        <f ca="1">IFERROR(__xludf.DUMMYFUNCTION("""COMPUTED_VALUE"""),"+5.32")</f>
        <v>+5.32</v>
      </c>
      <c r="F120" s="1">
        <f ca="1">IFERROR(__xludf.DUMMYFUNCTION("""COMPUTED_VALUE"""),105.7)</f>
        <v>105.7</v>
      </c>
      <c r="G120" s="1">
        <f ca="1">IFERROR(__xludf.DUMMYFUNCTION("""COMPUTED_VALUE"""),150)</f>
        <v>150</v>
      </c>
      <c r="H120" s="1">
        <f ca="1">IFERROR(__xludf.DUMMYFUNCTION("""COMPUTED_VALUE"""),100.4)</f>
        <v>100.4</v>
      </c>
      <c r="I120" s="1">
        <f ca="1">IFERROR(__xludf.DUMMYFUNCTION("""COMPUTED_VALUE"""),99)</f>
        <v>99</v>
      </c>
      <c r="J120" s="1">
        <f ca="1">IFERROR(__xludf.DUMMYFUNCTION("""COMPUTED_VALUE"""),67.3)</f>
        <v>67.3</v>
      </c>
      <c r="K120" s="1">
        <f ca="1">IFERROR(__xludf.DUMMYFUNCTION("""COMPUTED_VALUE"""),193)</f>
        <v>193</v>
      </c>
      <c r="L120" s="1" t="str">
        <f ca="1">IFERROR(__xludf.DUMMYFUNCTION("""COMPUTED_VALUE"""),"+.048")</f>
        <v>+.048</v>
      </c>
      <c r="M120" s="1">
        <f ca="1">IFERROR(__xludf.DUMMYFUNCTION("""COMPUTED_VALUE"""),66)</f>
        <v>66</v>
      </c>
      <c r="N120" s="1" t="str">
        <f ca="1">IFERROR(__xludf.DUMMYFUNCTION("""COMPUTED_VALUE"""),"+2.50")</f>
        <v>+2.50</v>
      </c>
      <c r="O120" s="1">
        <f ca="1">IFERROR(__xludf.DUMMYFUNCTION("""COMPUTED_VALUE"""),93)</f>
        <v>93</v>
      </c>
      <c r="P120" s="1">
        <f ca="1">IFERROR(__xludf.DUMMYFUNCTION("""COMPUTED_VALUE"""),105.4)</f>
        <v>105.4</v>
      </c>
      <c r="Q120" s="1">
        <f ca="1">IFERROR(__xludf.DUMMYFUNCTION("""COMPUTED_VALUE"""),107)</f>
        <v>107</v>
      </c>
      <c r="R120" s="1">
        <f ca="1">IFERROR(__xludf.DUMMYFUNCTION("""COMPUTED_VALUE"""),102.9)</f>
        <v>102.9</v>
      </c>
      <c r="S120" s="1">
        <f ca="1">IFERROR(__xludf.DUMMYFUNCTION("""COMPUTED_VALUE"""),99)</f>
        <v>99</v>
      </c>
      <c r="T120" s="1" t="str">
        <f ca="1">IFERROR(__xludf.DUMMYFUNCTION("""COMPUTED_VALUE"""),"+3.40")</f>
        <v>+3.40</v>
      </c>
      <c r="U120" s="1">
        <f ca="1">IFERROR(__xludf.DUMMYFUNCTION("""COMPUTED_VALUE"""),75)</f>
        <v>75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IFERROR(__xludf.DUMMYFUNCTION("""COMPUTED_VALUE"""),"Georgia Tech")</f>
        <v>Georgia Tech</v>
      </c>
      <c r="C121" s="1" t="str">
        <f ca="1">IFERROR(__xludf.DUMMYFUNCTION("""COMPUTED_VALUE"""),"ACC")</f>
        <v>ACC</v>
      </c>
      <c r="D121" s="1" t="str">
        <f ca="1">IFERROR(__xludf.DUMMYFUNCTION("""COMPUTED_VALUE"""),"14-18")</f>
        <v>14-18</v>
      </c>
      <c r="E121" s="1" t="str">
        <f ca="1">IFERROR(__xludf.DUMMYFUNCTION("""COMPUTED_VALUE"""),"+5.26")</f>
        <v>+5.26</v>
      </c>
      <c r="F121" s="1">
        <f ca="1">IFERROR(__xludf.DUMMYFUNCTION("""COMPUTED_VALUE"""),101.7)</f>
        <v>101.7</v>
      </c>
      <c r="G121" s="1">
        <f ca="1">IFERROR(__xludf.DUMMYFUNCTION("""COMPUTED_VALUE"""),228)</f>
        <v>228</v>
      </c>
      <c r="H121" s="1">
        <f ca="1">IFERROR(__xludf.DUMMYFUNCTION("""COMPUTED_VALUE"""),96.5)</f>
        <v>96.5</v>
      </c>
      <c r="I121" s="1">
        <f ca="1">IFERROR(__xludf.DUMMYFUNCTION("""COMPUTED_VALUE"""),43)</f>
        <v>43</v>
      </c>
      <c r="J121" s="1">
        <f ca="1">IFERROR(__xludf.DUMMYFUNCTION("""COMPUTED_VALUE"""),66.8)</f>
        <v>66.8</v>
      </c>
      <c r="K121" s="1">
        <f ca="1">IFERROR(__xludf.DUMMYFUNCTION("""COMPUTED_VALUE"""),225)</f>
        <v>225</v>
      </c>
      <c r="L121" s="1">
        <f ca="1">IFERROR(__xludf.DUMMYFUNCTION("""COMPUTED_VALUE"""),-0.023)</f>
        <v>-2.3E-2</v>
      </c>
      <c r="M121" s="1">
        <f ca="1">IFERROR(__xludf.DUMMYFUNCTION("""COMPUTED_VALUE"""),242)</f>
        <v>242</v>
      </c>
      <c r="N121" s="1" t="str">
        <f ca="1">IFERROR(__xludf.DUMMYFUNCTION("""COMPUTED_VALUE"""),"+8.04")</f>
        <v>+8.04</v>
      </c>
      <c r="O121" s="1">
        <f ca="1">IFERROR(__xludf.DUMMYFUNCTION("""COMPUTED_VALUE"""),49)</f>
        <v>49</v>
      </c>
      <c r="P121" s="1">
        <f ca="1">IFERROR(__xludf.DUMMYFUNCTION("""COMPUTED_VALUE"""),107.7)</f>
        <v>107.7</v>
      </c>
      <c r="Q121" s="1">
        <f ca="1">IFERROR(__xludf.DUMMYFUNCTION("""COMPUTED_VALUE"""),60)</f>
        <v>60</v>
      </c>
      <c r="R121" s="1">
        <f ca="1">IFERROR(__xludf.DUMMYFUNCTION("""COMPUTED_VALUE"""),99.7)</f>
        <v>99.7</v>
      </c>
      <c r="S121" s="1">
        <f ca="1">IFERROR(__xludf.DUMMYFUNCTION("""COMPUTED_VALUE"""),38)</f>
        <v>38</v>
      </c>
      <c r="T121" s="1">
        <f ca="1">IFERROR(__xludf.DUMMYFUNCTION("""COMPUTED_VALUE"""),-4.96)</f>
        <v>-4.96</v>
      </c>
      <c r="U121" s="1">
        <f ca="1">IFERROR(__xludf.DUMMYFUNCTION("""COMPUTED_VALUE"""),301)</f>
        <v>301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IFERROR(__xludf.DUMMYFUNCTION("""COMPUTED_VALUE"""),"Western Kentucky")</f>
        <v>Western Kentucky</v>
      </c>
      <c r="C122" s="1" t="str">
        <f ca="1">IFERROR(__xludf.DUMMYFUNCTION("""COMPUTED_VALUE"""),"CUSA")</f>
        <v>CUSA</v>
      </c>
      <c r="D122" s="1" t="str">
        <f ca="1">IFERROR(__xludf.DUMMYFUNCTION("""COMPUTED_VALUE"""),"20-14")</f>
        <v>20-14</v>
      </c>
      <c r="E122" s="1" t="str">
        <f ca="1">IFERROR(__xludf.DUMMYFUNCTION("""COMPUTED_VALUE"""),"+5.20")</f>
        <v>+5.20</v>
      </c>
      <c r="F122" s="1">
        <f ca="1">IFERROR(__xludf.DUMMYFUNCTION("""COMPUTED_VALUE"""),105.1)</f>
        <v>105.1</v>
      </c>
      <c r="G122" s="1">
        <f ca="1">IFERROR(__xludf.DUMMYFUNCTION("""COMPUTED_VALUE"""),162)</f>
        <v>162</v>
      </c>
      <c r="H122" s="1">
        <f ca="1">IFERROR(__xludf.DUMMYFUNCTION("""COMPUTED_VALUE"""),99.9)</f>
        <v>99.9</v>
      </c>
      <c r="I122" s="1">
        <f ca="1">IFERROR(__xludf.DUMMYFUNCTION("""COMPUTED_VALUE"""),92)</f>
        <v>92</v>
      </c>
      <c r="J122" s="1">
        <f ca="1">IFERROR(__xludf.DUMMYFUNCTION("""COMPUTED_VALUE"""),67.7)</f>
        <v>67.7</v>
      </c>
      <c r="K122" s="1">
        <f ca="1">IFERROR(__xludf.DUMMYFUNCTION("""COMPUTED_VALUE"""),168)</f>
        <v>168</v>
      </c>
      <c r="L122" s="1">
        <f ca="1">IFERROR(__xludf.DUMMYFUNCTION("""COMPUTED_VALUE"""),0)</f>
        <v>0</v>
      </c>
      <c r="M122" s="1">
        <f ca="1">IFERROR(__xludf.DUMMYFUNCTION("""COMPUTED_VALUE"""),179)</f>
        <v>179</v>
      </c>
      <c r="N122" s="1" t="str">
        <f ca="1">IFERROR(__xludf.DUMMYFUNCTION("""COMPUTED_VALUE"""),"+1.26")</f>
        <v>+1.26</v>
      </c>
      <c r="O122" s="1">
        <f ca="1">IFERROR(__xludf.DUMMYFUNCTION("""COMPUTED_VALUE"""),106)</f>
        <v>106</v>
      </c>
      <c r="P122" s="1">
        <f ca="1">IFERROR(__xludf.DUMMYFUNCTION("""COMPUTED_VALUE"""),104.1)</f>
        <v>104.1</v>
      </c>
      <c r="Q122" s="1">
        <f ca="1">IFERROR(__xludf.DUMMYFUNCTION("""COMPUTED_VALUE"""),167)</f>
        <v>167</v>
      </c>
      <c r="R122" s="1">
        <f ca="1">IFERROR(__xludf.DUMMYFUNCTION("""COMPUTED_VALUE"""),102.8)</f>
        <v>102.8</v>
      </c>
      <c r="S122" s="1">
        <f ca="1">IFERROR(__xludf.DUMMYFUNCTION("""COMPUTED_VALUE"""),97)</f>
        <v>97</v>
      </c>
      <c r="T122" s="1" t="str">
        <f ca="1">IFERROR(__xludf.DUMMYFUNCTION("""COMPUTED_VALUE"""),"+4.87")</f>
        <v>+4.87</v>
      </c>
      <c r="U122" s="1">
        <f ca="1">IFERROR(__xludf.DUMMYFUNCTION("""COMPUTED_VALUE"""),44)</f>
        <v>44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IFERROR(__xludf.DUMMYFUNCTION("""COMPUTED_VALUE"""),"Wright St.7")</f>
        <v>Wright St.7</v>
      </c>
      <c r="C123" s="1" t="str">
        <f ca="1">IFERROR(__xludf.DUMMYFUNCTION("""COMPUTED_VALUE"""),"Horz")</f>
        <v>Horz</v>
      </c>
      <c r="D123" s="1" t="str">
        <f ca="1">IFERROR(__xludf.DUMMYFUNCTION("""COMPUTED_VALUE"""),"21-14")</f>
        <v>21-14</v>
      </c>
      <c r="E123" s="1" t="str">
        <f ca="1">IFERROR(__xludf.DUMMYFUNCTION("""COMPUTED_VALUE"""),"+5.02")</f>
        <v>+5.02</v>
      </c>
      <c r="F123" s="1">
        <f ca="1">IFERROR(__xludf.DUMMYFUNCTION("""COMPUTED_VALUE"""),107.1)</f>
        <v>107.1</v>
      </c>
      <c r="G123" s="1">
        <f ca="1">IFERROR(__xludf.DUMMYFUNCTION("""COMPUTED_VALUE"""),122)</f>
        <v>122</v>
      </c>
      <c r="H123" s="1">
        <f ca="1">IFERROR(__xludf.DUMMYFUNCTION("""COMPUTED_VALUE"""),102)</f>
        <v>102</v>
      </c>
      <c r="I123" s="1">
        <f ca="1">IFERROR(__xludf.DUMMYFUNCTION("""COMPUTED_VALUE"""),122)</f>
        <v>122</v>
      </c>
      <c r="J123" s="1">
        <f ca="1">IFERROR(__xludf.DUMMYFUNCTION("""COMPUTED_VALUE"""),65.2)</f>
        <v>65.2</v>
      </c>
      <c r="K123" s="1">
        <f ca="1">IFERROR(__xludf.DUMMYFUNCTION("""COMPUTED_VALUE"""),305)</f>
        <v>305</v>
      </c>
      <c r="L123" s="1">
        <f ca="1">IFERROR(__xludf.DUMMYFUNCTION("""COMPUTED_VALUE"""),-0.04)</f>
        <v>-0.04</v>
      </c>
      <c r="M123" s="1">
        <f ca="1">IFERROR(__xludf.DUMMYFUNCTION("""COMPUTED_VALUE"""),275)</f>
        <v>275</v>
      </c>
      <c r="N123" s="1">
        <f ca="1">IFERROR(__xludf.DUMMYFUNCTION("""COMPUTED_VALUE"""),-1.35)</f>
        <v>-1.35</v>
      </c>
      <c r="O123" s="1">
        <f ca="1">IFERROR(__xludf.DUMMYFUNCTION("""COMPUTED_VALUE"""),175)</f>
        <v>175</v>
      </c>
      <c r="P123" s="1">
        <f ca="1">IFERROR(__xludf.DUMMYFUNCTION("""COMPUTED_VALUE"""),105.1)</f>
        <v>105.1</v>
      </c>
      <c r="Q123" s="1">
        <f ca="1">IFERROR(__xludf.DUMMYFUNCTION("""COMPUTED_VALUE"""),123)</f>
        <v>123</v>
      </c>
      <c r="R123" s="1">
        <f ca="1">IFERROR(__xludf.DUMMYFUNCTION("""COMPUTED_VALUE"""),106.5)</f>
        <v>106.5</v>
      </c>
      <c r="S123" s="1">
        <f ca="1">IFERROR(__xludf.DUMMYFUNCTION("""COMPUTED_VALUE"""),232)</f>
        <v>232</v>
      </c>
      <c r="T123" s="1" t="str">
        <f ca="1">IFERROR(__xludf.DUMMYFUNCTION("""COMPUTED_VALUE"""),"+2.95")</f>
        <v>+2.95</v>
      </c>
      <c r="U123" s="1">
        <f ca="1">IFERROR(__xludf.DUMMYFUNCTION("""COMPUTED_VALUE"""),91)</f>
        <v>91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IFERROR(__xludf.DUMMYFUNCTION("""COMPUTED_VALUE"""),"DePaul")</f>
        <v>DePaul</v>
      </c>
      <c r="C124" s="1" t="str">
        <f ca="1">IFERROR(__xludf.DUMMYFUNCTION("""COMPUTED_VALUE"""),"BE")</f>
        <v>BE</v>
      </c>
      <c r="D124" s="1" t="str">
        <f ca="1">IFERROR(__xludf.DUMMYFUNCTION("""COMPUTED_VALUE"""),"19-17")</f>
        <v>19-17</v>
      </c>
      <c r="E124" s="1" t="str">
        <f ca="1">IFERROR(__xludf.DUMMYFUNCTION("""COMPUTED_VALUE"""),"+5.02")</f>
        <v>+5.02</v>
      </c>
      <c r="F124" s="1">
        <f ca="1">IFERROR(__xludf.DUMMYFUNCTION("""COMPUTED_VALUE"""),111.7)</f>
        <v>111.7</v>
      </c>
      <c r="G124" s="1">
        <f ca="1">IFERROR(__xludf.DUMMYFUNCTION("""COMPUTED_VALUE"""),49)</f>
        <v>49</v>
      </c>
      <c r="H124" s="1">
        <f ca="1">IFERROR(__xludf.DUMMYFUNCTION("""COMPUTED_VALUE"""),106.7)</f>
        <v>106.7</v>
      </c>
      <c r="I124" s="1">
        <f ca="1">IFERROR(__xludf.DUMMYFUNCTION("""COMPUTED_VALUE"""),223)</f>
        <v>223</v>
      </c>
      <c r="J124" s="1">
        <f ca="1">IFERROR(__xludf.DUMMYFUNCTION("""COMPUTED_VALUE"""),70.1)</f>
        <v>70.099999999999994</v>
      </c>
      <c r="K124" s="1">
        <f ca="1">IFERROR(__xludf.DUMMYFUNCTION("""COMPUTED_VALUE"""),64)</f>
        <v>64</v>
      </c>
      <c r="L124" s="1">
        <f ca="1">IFERROR(__xludf.DUMMYFUNCTION("""COMPUTED_VALUE"""),-0.018)</f>
        <v>-1.7999999999999999E-2</v>
      </c>
      <c r="M124" s="1">
        <f ca="1">IFERROR(__xludf.DUMMYFUNCTION("""COMPUTED_VALUE"""),229)</f>
        <v>229</v>
      </c>
      <c r="N124" s="1" t="str">
        <f ca="1">IFERROR(__xludf.DUMMYFUNCTION("""COMPUTED_VALUE"""),"+3.33")</f>
        <v>+3.33</v>
      </c>
      <c r="O124" s="1">
        <f ca="1">IFERROR(__xludf.DUMMYFUNCTION("""COMPUTED_VALUE"""),86)</f>
        <v>86</v>
      </c>
      <c r="P124" s="1">
        <f ca="1">IFERROR(__xludf.DUMMYFUNCTION("""COMPUTED_VALUE"""),105.6)</f>
        <v>105.6</v>
      </c>
      <c r="Q124" s="1">
        <f ca="1">IFERROR(__xludf.DUMMYFUNCTION("""COMPUTED_VALUE"""),96)</f>
        <v>96</v>
      </c>
      <c r="R124" s="1">
        <f ca="1">IFERROR(__xludf.DUMMYFUNCTION("""COMPUTED_VALUE"""),102.3)</f>
        <v>102.3</v>
      </c>
      <c r="S124" s="1">
        <f ca="1">IFERROR(__xludf.DUMMYFUNCTION("""COMPUTED_VALUE"""),80)</f>
        <v>80</v>
      </c>
      <c r="T124" s="1">
        <f ca="1">IFERROR(__xludf.DUMMYFUNCTION("""COMPUTED_VALUE"""),-8.64)</f>
        <v>-8.64</v>
      </c>
      <c r="U124" s="1">
        <f ca="1">IFERROR(__xludf.DUMMYFUNCTION("""COMPUTED_VALUE"""),342)</f>
        <v>342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IFERROR(__xludf.DUMMYFUNCTION("""COMPUTED_VALUE"""),"Tulsa")</f>
        <v>Tulsa</v>
      </c>
      <c r="C125" s="1" t="str">
        <f ca="1">IFERROR(__xludf.DUMMYFUNCTION("""COMPUTED_VALUE"""),"Amer")</f>
        <v>Amer</v>
      </c>
      <c r="D125" s="1" t="str">
        <f ca="1">IFERROR(__xludf.DUMMYFUNCTION("""COMPUTED_VALUE"""),"18-14")</f>
        <v>18-14</v>
      </c>
      <c r="E125" s="1" t="str">
        <f ca="1">IFERROR(__xludf.DUMMYFUNCTION("""COMPUTED_VALUE"""),"+4.94")</f>
        <v>+4.94</v>
      </c>
      <c r="F125" s="1">
        <f ca="1">IFERROR(__xludf.DUMMYFUNCTION("""COMPUTED_VALUE"""),105.4)</f>
        <v>105.4</v>
      </c>
      <c r="G125" s="1">
        <f ca="1">IFERROR(__xludf.DUMMYFUNCTION("""COMPUTED_VALUE"""),158)</f>
        <v>158</v>
      </c>
      <c r="H125" s="1">
        <f ca="1">IFERROR(__xludf.DUMMYFUNCTION("""COMPUTED_VALUE"""),100.4)</f>
        <v>100.4</v>
      </c>
      <c r="I125" s="1">
        <f ca="1">IFERROR(__xludf.DUMMYFUNCTION("""COMPUTED_VALUE"""),100)</f>
        <v>100</v>
      </c>
      <c r="J125" s="1">
        <f ca="1">IFERROR(__xludf.DUMMYFUNCTION("""COMPUTED_VALUE"""),68.8)</f>
        <v>68.8</v>
      </c>
      <c r="K125" s="1">
        <f ca="1">IFERROR(__xludf.DUMMYFUNCTION("""COMPUTED_VALUE"""),114)</f>
        <v>114</v>
      </c>
      <c r="L125" s="1" t="str">
        <f ca="1">IFERROR(__xludf.DUMMYFUNCTION("""COMPUTED_VALUE"""),"+.040")</f>
        <v>+.040</v>
      </c>
      <c r="M125" s="1">
        <f ca="1">IFERROR(__xludf.DUMMYFUNCTION("""COMPUTED_VALUE"""),82)</f>
        <v>82</v>
      </c>
      <c r="N125" s="1" t="str">
        <f ca="1">IFERROR(__xludf.DUMMYFUNCTION("""COMPUTED_VALUE"""),"+3.45")</f>
        <v>+3.45</v>
      </c>
      <c r="O125" s="1">
        <f ca="1">IFERROR(__xludf.DUMMYFUNCTION("""COMPUTED_VALUE"""),84)</f>
        <v>84</v>
      </c>
      <c r="P125" s="1">
        <f ca="1">IFERROR(__xludf.DUMMYFUNCTION("""COMPUTED_VALUE"""),105.8)</f>
        <v>105.8</v>
      </c>
      <c r="Q125" s="1">
        <f ca="1">IFERROR(__xludf.DUMMYFUNCTION("""COMPUTED_VALUE"""),91)</f>
        <v>91</v>
      </c>
      <c r="R125" s="1">
        <f ca="1">IFERROR(__xludf.DUMMYFUNCTION("""COMPUTED_VALUE"""),102.4)</f>
        <v>102.4</v>
      </c>
      <c r="S125" s="1">
        <f ca="1">IFERROR(__xludf.DUMMYFUNCTION("""COMPUTED_VALUE"""),85)</f>
        <v>85</v>
      </c>
      <c r="T125" s="1">
        <f ca="1">IFERROR(__xludf.DUMMYFUNCTION("""COMPUTED_VALUE"""),-2.97)</f>
        <v>-2.97</v>
      </c>
      <c r="U125" s="1">
        <f ca="1">IFERROR(__xludf.DUMMYFUNCTION("""COMPUTED_VALUE"""),248)</f>
        <v>248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IFERROR(__xludf.DUMMYFUNCTION("""COMPUTED_VALUE"""),"Southern Miss")</f>
        <v>Southern Miss</v>
      </c>
      <c r="C126" s="1" t="str">
        <f ca="1">IFERROR(__xludf.DUMMYFUNCTION("""COMPUTED_VALUE"""),"CUSA")</f>
        <v>CUSA</v>
      </c>
      <c r="D126" s="1" t="str">
        <f ca="1">IFERROR(__xludf.DUMMYFUNCTION("""COMPUTED_VALUE"""),"20-13")</f>
        <v>20-13</v>
      </c>
      <c r="E126" s="1" t="str">
        <f ca="1">IFERROR(__xludf.DUMMYFUNCTION("""COMPUTED_VALUE"""),"+4.93")</f>
        <v>+4.93</v>
      </c>
      <c r="F126" s="1">
        <f ca="1">IFERROR(__xludf.DUMMYFUNCTION("""COMPUTED_VALUE"""),107.1)</f>
        <v>107.1</v>
      </c>
      <c r="G126" s="1">
        <f ca="1">IFERROR(__xludf.DUMMYFUNCTION("""COMPUTED_VALUE"""),121)</f>
        <v>121</v>
      </c>
      <c r="H126" s="1">
        <f ca="1">IFERROR(__xludf.DUMMYFUNCTION("""COMPUTED_VALUE"""),102.2)</f>
        <v>102.2</v>
      </c>
      <c r="I126" s="1">
        <f ca="1">IFERROR(__xludf.DUMMYFUNCTION("""COMPUTED_VALUE"""),127)</f>
        <v>127</v>
      </c>
      <c r="J126" s="1">
        <f ca="1">IFERROR(__xludf.DUMMYFUNCTION("""COMPUTED_VALUE"""),64.8)</f>
        <v>64.8</v>
      </c>
      <c r="K126" s="1">
        <f ca="1">IFERROR(__xludf.DUMMYFUNCTION("""COMPUTED_VALUE"""),316)</f>
        <v>316</v>
      </c>
      <c r="L126" s="1">
        <f ca="1">IFERROR(__xludf.DUMMYFUNCTION("""COMPUTED_VALUE"""),-0.005)</f>
        <v>-5.0000000000000001E-3</v>
      </c>
      <c r="M126" s="1">
        <f ca="1">IFERROR(__xludf.DUMMYFUNCTION("""COMPUTED_VALUE"""),197)</f>
        <v>197</v>
      </c>
      <c r="N126" s="1" t="str">
        <f ca="1">IFERROR(__xludf.DUMMYFUNCTION("""COMPUTED_VALUE"""),"+0.02")</f>
        <v>+0.02</v>
      </c>
      <c r="O126" s="1">
        <f ca="1">IFERROR(__xludf.DUMMYFUNCTION("""COMPUTED_VALUE"""),138)</f>
        <v>138</v>
      </c>
      <c r="P126" s="1">
        <f ca="1">IFERROR(__xludf.DUMMYFUNCTION("""COMPUTED_VALUE"""),103.4)</f>
        <v>103.4</v>
      </c>
      <c r="Q126" s="1">
        <f ca="1">IFERROR(__xludf.DUMMYFUNCTION("""COMPUTED_VALUE"""),202)</f>
        <v>202</v>
      </c>
      <c r="R126" s="1">
        <f ca="1">IFERROR(__xludf.DUMMYFUNCTION("""COMPUTED_VALUE"""),103.4)</f>
        <v>103.4</v>
      </c>
      <c r="S126" s="1">
        <f ca="1">IFERROR(__xludf.DUMMYFUNCTION("""COMPUTED_VALUE"""),107)</f>
        <v>107</v>
      </c>
      <c r="T126" s="1" t="str">
        <f ca="1">IFERROR(__xludf.DUMMYFUNCTION("""COMPUTED_VALUE"""),"+2.48")</f>
        <v>+2.48</v>
      </c>
      <c r="U126" s="1">
        <f ca="1">IFERROR(__xludf.DUMMYFUNCTION("""COMPUTED_VALUE"""),98)</f>
        <v>98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IFERROR(__xludf.DUMMYFUNCTION("""COMPUTED_VALUE"""),"St. Bonaventure")</f>
        <v>St. Bonaventure</v>
      </c>
      <c r="C129" s="1" t="str">
        <f ca="1">IFERROR(__xludf.DUMMYFUNCTION("""COMPUTED_VALUE"""),"A10")</f>
        <v>A10</v>
      </c>
      <c r="D129" s="1" t="str">
        <f ca="1">IFERROR(__xludf.DUMMYFUNCTION("""COMPUTED_VALUE"""),"18-16")</f>
        <v>18-16</v>
      </c>
      <c r="E129" s="1" t="str">
        <f ca="1">IFERROR(__xludf.DUMMYFUNCTION("""COMPUTED_VALUE"""),"+4.92")</f>
        <v>+4.92</v>
      </c>
      <c r="F129" s="1">
        <f ca="1">IFERROR(__xludf.DUMMYFUNCTION("""COMPUTED_VALUE"""),102.1)</f>
        <v>102.1</v>
      </c>
      <c r="G129" s="1">
        <f ca="1">IFERROR(__xludf.DUMMYFUNCTION("""COMPUTED_VALUE"""),218)</f>
        <v>218</v>
      </c>
      <c r="H129" s="1">
        <f ca="1">IFERROR(__xludf.DUMMYFUNCTION("""COMPUTED_VALUE"""),97.2)</f>
        <v>97.2</v>
      </c>
      <c r="I129" s="1">
        <f ca="1">IFERROR(__xludf.DUMMYFUNCTION("""COMPUTED_VALUE"""),50)</f>
        <v>50</v>
      </c>
      <c r="J129" s="1">
        <f ca="1">IFERROR(__xludf.DUMMYFUNCTION("""COMPUTED_VALUE"""),64)</f>
        <v>64</v>
      </c>
      <c r="K129" s="1">
        <f ca="1">IFERROR(__xludf.DUMMYFUNCTION("""COMPUTED_VALUE"""),330)</f>
        <v>330</v>
      </c>
      <c r="L129" s="1">
        <f ca="1">IFERROR(__xludf.DUMMYFUNCTION("""COMPUTED_VALUE"""),-0.044)</f>
        <v>-4.3999999999999997E-2</v>
      </c>
      <c r="M129" s="1">
        <f ca="1">IFERROR(__xludf.DUMMYFUNCTION("""COMPUTED_VALUE"""),284)</f>
        <v>284</v>
      </c>
      <c r="N129" s="1">
        <f ca="1">IFERROR(__xludf.DUMMYFUNCTION("""COMPUTED_VALUE"""),-0.36)</f>
        <v>-0.36</v>
      </c>
      <c r="O129" s="1">
        <f ca="1">IFERROR(__xludf.DUMMYFUNCTION("""COMPUTED_VALUE"""),148)</f>
        <v>148</v>
      </c>
      <c r="P129" s="1">
        <f ca="1">IFERROR(__xludf.DUMMYFUNCTION("""COMPUTED_VALUE"""),103.4)</f>
        <v>103.4</v>
      </c>
      <c r="Q129" s="1">
        <f ca="1">IFERROR(__xludf.DUMMYFUNCTION("""COMPUTED_VALUE"""),200)</f>
        <v>200</v>
      </c>
      <c r="R129" s="1">
        <f ca="1">IFERROR(__xludf.DUMMYFUNCTION("""COMPUTED_VALUE"""),103.8)</f>
        <v>103.8</v>
      </c>
      <c r="S129" s="1">
        <f ca="1">IFERROR(__xludf.DUMMYFUNCTION("""COMPUTED_VALUE"""),121)</f>
        <v>121</v>
      </c>
      <c r="T129" s="1">
        <f ca="1">IFERROR(__xludf.DUMMYFUNCTION("""COMPUTED_VALUE"""),-1.25)</f>
        <v>-1.25</v>
      </c>
      <c r="U129" s="1">
        <f ca="1">IFERROR(__xludf.DUMMYFUNCTION("""COMPUTED_VALUE"""),196)</f>
        <v>196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IFERROR(__xludf.DUMMYFUNCTION("""COMPUTED_VALUE"""),"Radford")</f>
        <v>Radford</v>
      </c>
      <c r="C130" s="1" t="str">
        <f ca="1">IFERROR(__xludf.DUMMYFUNCTION("""COMPUTED_VALUE"""),"BSth")</f>
        <v>BSth</v>
      </c>
      <c r="D130" s="1" t="str">
        <f ca="1">IFERROR(__xludf.DUMMYFUNCTION("""COMPUTED_VALUE"""),"22-11")</f>
        <v>22-11</v>
      </c>
      <c r="E130" s="1" t="str">
        <f ca="1">IFERROR(__xludf.DUMMYFUNCTION("""COMPUTED_VALUE"""),"+4.88")</f>
        <v>+4.88</v>
      </c>
      <c r="F130" s="1">
        <f ca="1">IFERROR(__xludf.DUMMYFUNCTION("""COMPUTED_VALUE"""),109.3)</f>
        <v>109.3</v>
      </c>
      <c r="G130" s="1">
        <f ca="1">IFERROR(__xludf.DUMMYFUNCTION("""COMPUTED_VALUE"""),79)</f>
        <v>79</v>
      </c>
      <c r="H130" s="1">
        <f ca="1">IFERROR(__xludf.DUMMYFUNCTION("""COMPUTED_VALUE"""),104.4)</f>
        <v>104.4</v>
      </c>
      <c r="I130" s="1">
        <f ca="1">IFERROR(__xludf.DUMMYFUNCTION("""COMPUTED_VALUE"""),164)</f>
        <v>164</v>
      </c>
      <c r="J130" s="1">
        <f ca="1">IFERROR(__xludf.DUMMYFUNCTION("""COMPUTED_VALUE"""),64.4)</f>
        <v>64.400000000000006</v>
      </c>
      <c r="K130" s="1">
        <f ca="1">IFERROR(__xludf.DUMMYFUNCTION("""COMPUTED_VALUE"""),326)</f>
        <v>326</v>
      </c>
      <c r="L130" s="1">
        <f ca="1">IFERROR(__xludf.DUMMYFUNCTION("""COMPUTED_VALUE"""),-0.007)</f>
        <v>-7.0000000000000001E-3</v>
      </c>
      <c r="M130" s="1">
        <f ca="1">IFERROR(__xludf.DUMMYFUNCTION("""COMPUTED_VALUE"""),202)</f>
        <v>202</v>
      </c>
      <c r="N130" s="1">
        <f ca="1">IFERROR(__xludf.DUMMYFUNCTION("""COMPUTED_VALUE"""),-0.84)</f>
        <v>-0.84</v>
      </c>
      <c r="O130" s="1">
        <f ca="1">IFERROR(__xludf.DUMMYFUNCTION("""COMPUTED_VALUE"""),163)</f>
        <v>163</v>
      </c>
      <c r="P130" s="1">
        <f ca="1">IFERROR(__xludf.DUMMYFUNCTION("""COMPUTED_VALUE"""),104.5)</f>
        <v>104.5</v>
      </c>
      <c r="Q130" s="1">
        <f ca="1">IFERROR(__xludf.DUMMYFUNCTION("""COMPUTED_VALUE"""),148)</f>
        <v>148</v>
      </c>
      <c r="R130" s="1">
        <f ca="1">IFERROR(__xludf.DUMMYFUNCTION("""COMPUTED_VALUE"""),105.3)</f>
        <v>105.3</v>
      </c>
      <c r="S130" s="1">
        <f ca="1">IFERROR(__xludf.DUMMYFUNCTION("""COMPUTED_VALUE"""),191)</f>
        <v>191</v>
      </c>
      <c r="T130" s="1" t="str">
        <f ca="1">IFERROR(__xludf.DUMMYFUNCTION("""COMPUTED_VALUE"""),"+6.99")</f>
        <v>+6.99</v>
      </c>
      <c r="U130" s="1">
        <f ca="1">IFERROR(__xludf.DUMMYFUNCTION("""COMPUTED_VALUE"""),18)</f>
        <v>18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IFERROR(__xludf.DUMMYFUNCTION("""COMPUTED_VALUE"""),"Charleston")</f>
        <v>Charleston</v>
      </c>
      <c r="C131" s="1" t="str">
        <f ca="1">IFERROR(__xludf.DUMMYFUNCTION("""COMPUTED_VALUE"""),"CAA")</f>
        <v>CAA</v>
      </c>
      <c r="D131" s="1" t="str">
        <f ca="1">IFERROR(__xludf.DUMMYFUNCTION("""COMPUTED_VALUE"""),"24-9")</f>
        <v>24-9</v>
      </c>
      <c r="E131" s="1" t="str">
        <f ca="1">IFERROR(__xludf.DUMMYFUNCTION("""COMPUTED_VALUE"""),"+4.87")</f>
        <v>+4.87</v>
      </c>
      <c r="F131" s="1">
        <f ca="1">IFERROR(__xludf.DUMMYFUNCTION("""COMPUTED_VALUE"""),108.5)</f>
        <v>108.5</v>
      </c>
      <c r="G131" s="1">
        <f ca="1">IFERROR(__xludf.DUMMYFUNCTION("""COMPUTED_VALUE"""),93)</f>
        <v>93</v>
      </c>
      <c r="H131" s="1">
        <f ca="1">IFERROR(__xludf.DUMMYFUNCTION("""COMPUTED_VALUE"""),103.7)</f>
        <v>103.7</v>
      </c>
      <c r="I131" s="1">
        <f ca="1">IFERROR(__xludf.DUMMYFUNCTION("""COMPUTED_VALUE"""),153)</f>
        <v>153</v>
      </c>
      <c r="J131" s="1">
        <f ca="1">IFERROR(__xludf.DUMMYFUNCTION("""COMPUTED_VALUE"""),65.4)</f>
        <v>65.400000000000006</v>
      </c>
      <c r="K131" s="1">
        <f ca="1">IFERROR(__xludf.DUMMYFUNCTION("""COMPUTED_VALUE"""),289)</f>
        <v>289</v>
      </c>
      <c r="L131" s="1" t="str">
        <f ca="1">IFERROR(__xludf.DUMMYFUNCTION("""COMPUTED_VALUE"""),"+.019")</f>
        <v>+.019</v>
      </c>
      <c r="M131" s="1">
        <f ca="1">IFERROR(__xludf.DUMMYFUNCTION("""COMPUTED_VALUE"""),130)</f>
        <v>130</v>
      </c>
      <c r="N131" s="1">
        <f ca="1">IFERROR(__xludf.DUMMYFUNCTION("""COMPUTED_VALUE"""),-3.87)</f>
        <v>-3.87</v>
      </c>
      <c r="O131" s="1">
        <f ca="1">IFERROR(__xludf.DUMMYFUNCTION("""COMPUTED_VALUE"""),251)</f>
        <v>251</v>
      </c>
      <c r="P131" s="1">
        <f ca="1">IFERROR(__xludf.DUMMYFUNCTION("""COMPUTED_VALUE"""),104.9)</f>
        <v>104.9</v>
      </c>
      <c r="Q131" s="1">
        <f ca="1">IFERROR(__xludf.DUMMYFUNCTION("""COMPUTED_VALUE"""),129)</f>
        <v>129</v>
      </c>
      <c r="R131" s="1">
        <f ca="1">IFERROR(__xludf.DUMMYFUNCTION("""COMPUTED_VALUE"""),108.8)</f>
        <v>108.8</v>
      </c>
      <c r="S131" s="1">
        <f ca="1">IFERROR(__xludf.DUMMYFUNCTION("""COMPUTED_VALUE"""),340)</f>
        <v>340</v>
      </c>
      <c r="T131" s="1" t="str">
        <f ca="1">IFERROR(__xludf.DUMMYFUNCTION("""COMPUTED_VALUE"""),"+0.03")</f>
        <v>+0.03</v>
      </c>
      <c r="U131" s="1">
        <f ca="1">IFERROR(__xludf.DUMMYFUNCTION("""COMPUTED_VALUE"""),160)</f>
        <v>160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IFERROR(__xludf.DUMMYFUNCTION("""COMPUTED_VALUE"""),"Georgia St.14")</f>
        <v>Georgia St.14</v>
      </c>
      <c r="C132" s="1" t="str">
        <f ca="1">IFERROR(__xludf.DUMMYFUNCTION("""COMPUTED_VALUE"""),"SB")</f>
        <v>SB</v>
      </c>
      <c r="D132" s="1" t="str">
        <f ca="1">IFERROR(__xludf.DUMMYFUNCTION("""COMPUTED_VALUE"""),"24-10")</f>
        <v>24-10</v>
      </c>
      <c r="E132" s="1" t="str">
        <f ca="1">IFERROR(__xludf.DUMMYFUNCTION("""COMPUTED_VALUE"""),"+4.85")</f>
        <v>+4.85</v>
      </c>
      <c r="F132" s="1">
        <f ca="1">IFERROR(__xludf.DUMMYFUNCTION("""COMPUTED_VALUE"""),107.7)</f>
        <v>107.7</v>
      </c>
      <c r="G132" s="1">
        <f ca="1">IFERROR(__xludf.DUMMYFUNCTION("""COMPUTED_VALUE"""),111)</f>
        <v>111</v>
      </c>
      <c r="H132" s="1">
        <f ca="1">IFERROR(__xludf.DUMMYFUNCTION("""COMPUTED_VALUE"""),102.8)</f>
        <v>102.8</v>
      </c>
      <c r="I132" s="1">
        <f ca="1">IFERROR(__xludf.DUMMYFUNCTION("""COMPUTED_VALUE"""),143)</f>
        <v>143</v>
      </c>
      <c r="J132" s="1">
        <f ca="1">IFERROR(__xludf.DUMMYFUNCTION("""COMPUTED_VALUE"""),70)</f>
        <v>70</v>
      </c>
      <c r="K132" s="1">
        <f ca="1">IFERROR(__xludf.DUMMYFUNCTION("""COMPUTED_VALUE"""),69)</f>
        <v>69</v>
      </c>
      <c r="L132" s="1" t="str">
        <f ca="1">IFERROR(__xludf.DUMMYFUNCTION("""COMPUTED_VALUE"""),"+.143")</f>
        <v>+.143</v>
      </c>
      <c r="M132" s="1">
        <f ca="1">IFERROR(__xludf.DUMMYFUNCTION("""COMPUTED_VALUE"""),2)</f>
        <v>2</v>
      </c>
      <c r="N132" s="1" t="str">
        <f ca="1">IFERROR(__xludf.DUMMYFUNCTION("""COMPUTED_VALUE"""),"+1.09")</f>
        <v>+1.09</v>
      </c>
      <c r="O132" s="1">
        <f ca="1">IFERROR(__xludf.DUMMYFUNCTION("""COMPUTED_VALUE"""),115)</f>
        <v>115</v>
      </c>
      <c r="P132" s="1">
        <f ca="1">IFERROR(__xludf.DUMMYFUNCTION("""COMPUTED_VALUE"""),105.2)</f>
        <v>105.2</v>
      </c>
      <c r="Q132" s="1">
        <f ca="1">IFERROR(__xludf.DUMMYFUNCTION("""COMPUTED_VALUE"""),121)</f>
        <v>121</v>
      </c>
      <c r="R132" s="1">
        <f ca="1">IFERROR(__xludf.DUMMYFUNCTION("""COMPUTED_VALUE"""),104.1)</f>
        <v>104.1</v>
      </c>
      <c r="S132" s="1">
        <f ca="1">IFERROR(__xludf.DUMMYFUNCTION("""COMPUTED_VALUE"""),137)</f>
        <v>137</v>
      </c>
      <c r="T132" s="1" t="str">
        <f ca="1">IFERROR(__xludf.DUMMYFUNCTION("""COMPUTED_VALUE"""),"+3.50")</f>
        <v>+3.50</v>
      </c>
      <c r="U132" s="1">
        <f ca="1">IFERROR(__xludf.DUMMYFUNCTION("""COMPUTED_VALUE"""),70)</f>
        <v>70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IFERROR(__xludf.DUMMYFUNCTION("""COMPUTED_VALUE"""),"San Diego St.")</f>
        <v>San Diego St.</v>
      </c>
      <c r="C133" s="1" t="str">
        <f ca="1">IFERROR(__xludf.DUMMYFUNCTION("""COMPUTED_VALUE"""),"MWC")</f>
        <v>MWC</v>
      </c>
      <c r="D133" s="1" t="str">
        <f ca="1">IFERROR(__xludf.DUMMYFUNCTION("""COMPUTED_VALUE"""),"21-13")</f>
        <v>21-13</v>
      </c>
      <c r="E133" s="1" t="str">
        <f ca="1">IFERROR(__xludf.DUMMYFUNCTION("""COMPUTED_VALUE"""),"+4.83")</f>
        <v>+4.83</v>
      </c>
      <c r="F133" s="1">
        <f ca="1">IFERROR(__xludf.DUMMYFUNCTION("""COMPUTED_VALUE"""),103.9)</f>
        <v>103.9</v>
      </c>
      <c r="G133" s="1">
        <f ca="1">IFERROR(__xludf.DUMMYFUNCTION("""COMPUTED_VALUE"""),184)</f>
        <v>184</v>
      </c>
      <c r="H133" s="1">
        <f ca="1">IFERROR(__xludf.DUMMYFUNCTION("""COMPUTED_VALUE"""),99)</f>
        <v>99</v>
      </c>
      <c r="I133" s="1">
        <f ca="1">IFERROR(__xludf.DUMMYFUNCTION("""COMPUTED_VALUE"""),78)</f>
        <v>78</v>
      </c>
      <c r="J133" s="1">
        <f ca="1">IFERROR(__xludf.DUMMYFUNCTION("""COMPUTED_VALUE"""),66.7)</f>
        <v>66.7</v>
      </c>
      <c r="K133" s="1">
        <f ca="1">IFERROR(__xludf.DUMMYFUNCTION("""COMPUTED_VALUE"""),229)</f>
        <v>229</v>
      </c>
      <c r="L133" s="1" t="str">
        <f ca="1">IFERROR(__xludf.DUMMYFUNCTION("""COMPUTED_VALUE"""),"+.056")</f>
        <v>+.056</v>
      </c>
      <c r="M133" s="1">
        <f ca="1">IFERROR(__xludf.DUMMYFUNCTION("""COMPUTED_VALUE"""),52)</f>
        <v>52</v>
      </c>
      <c r="N133" s="1" t="str">
        <f ca="1">IFERROR(__xludf.DUMMYFUNCTION("""COMPUTED_VALUE"""),"+1.20")</f>
        <v>+1.20</v>
      </c>
      <c r="O133" s="1">
        <f ca="1">IFERROR(__xludf.DUMMYFUNCTION("""COMPUTED_VALUE"""),109)</f>
        <v>109</v>
      </c>
      <c r="P133" s="1">
        <f ca="1">IFERROR(__xludf.DUMMYFUNCTION("""COMPUTED_VALUE"""),105.3)</f>
        <v>105.3</v>
      </c>
      <c r="Q133" s="1">
        <f ca="1">IFERROR(__xludf.DUMMYFUNCTION("""COMPUTED_VALUE"""),113)</f>
        <v>113</v>
      </c>
      <c r="R133" s="1">
        <f ca="1">IFERROR(__xludf.DUMMYFUNCTION("""COMPUTED_VALUE"""),104.1)</f>
        <v>104.1</v>
      </c>
      <c r="S133" s="1">
        <f ca="1">IFERROR(__xludf.DUMMYFUNCTION("""COMPUTED_VALUE"""),139)</f>
        <v>139</v>
      </c>
      <c r="T133" s="1">
        <f ca="1">IFERROR(__xludf.DUMMYFUNCTION("""COMPUTED_VALUE"""),-0.94)</f>
        <v>-0.94</v>
      </c>
      <c r="U133" s="1">
        <f ca="1">IFERROR(__xludf.DUMMYFUNCTION("""COMPUTED_VALUE"""),185)</f>
        <v>185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IFERROR(__xludf.DUMMYFUNCTION("""COMPUTED_VALUE"""),"Colgate15")</f>
        <v>Colgate15</v>
      </c>
      <c r="C134" s="1" t="str">
        <f ca="1">IFERROR(__xludf.DUMMYFUNCTION("""COMPUTED_VALUE"""),"Pat")</f>
        <v>Pat</v>
      </c>
      <c r="D134" s="1" t="str">
        <f ca="1">IFERROR(__xludf.DUMMYFUNCTION("""COMPUTED_VALUE"""),"24-11")</f>
        <v>24-11</v>
      </c>
      <c r="E134" s="1" t="str">
        <f ca="1">IFERROR(__xludf.DUMMYFUNCTION("""COMPUTED_VALUE"""),"+4.60")</f>
        <v>+4.60</v>
      </c>
      <c r="F134" s="1">
        <f ca="1">IFERROR(__xludf.DUMMYFUNCTION("""COMPUTED_VALUE"""),110.5)</f>
        <v>110.5</v>
      </c>
      <c r="G134" s="1">
        <f ca="1">IFERROR(__xludf.DUMMYFUNCTION("""COMPUTED_VALUE"""),60)</f>
        <v>60</v>
      </c>
      <c r="H134" s="1">
        <f ca="1">IFERROR(__xludf.DUMMYFUNCTION("""COMPUTED_VALUE"""),105.9)</f>
        <v>105.9</v>
      </c>
      <c r="I134" s="1">
        <f ca="1">IFERROR(__xludf.DUMMYFUNCTION("""COMPUTED_VALUE"""),201)</f>
        <v>201</v>
      </c>
      <c r="J134" s="1">
        <f ca="1">IFERROR(__xludf.DUMMYFUNCTION("""COMPUTED_VALUE"""),66.4)</f>
        <v>66.400000000000006</v>
      </c>
      <c r="K134" s="1">
        <f ca="1">IFERROR(__xludf.DUMMYFUNCTION("""COMPUTED_VALUE"""),237)</f>
        <v>237</v>
      </c>
      <c r="L134" s="1" t="str">
        <f ca="1">IFERROR(__xludf.DUMMYFUNCTION("""COMPUTED_VALUE"""),"+.012")</f>
        <v>+.012</v>
      </c>
      <c r="M134" s="1">
        <f ca="1">IFERROR(__xludf.DUMMYFUNCTION("""COMPUTED_VALUE"""),148)</f>
        <v>148</v>
      </c>
      <c r="N134" s="1">
        <f ca="1">IFERROR(__xludf.DUMMYFUNCTION("""COMPUTED_VALUE"""),-3.83)</f>
        <v>-3.83</v>
      </c>
      <c r="O134" s="1">
        <f ca="1">IFERROR(__xludf.DUMMYFUNCTION("""COMPUTED_VALUE"""),250)</f>
        <v>250</v>
      </c>
      <c r="P134" s="1">
        <f ca="1">IFERROR(__xludf.DUMMYFUNCTION("""COMPUTED_VALUE"""),102.4)</f>
        <v>102.4</v>
      </c>
      <c r="Q134" s="1">
        <f ca="1">IFERROR(__xludf.DUMMYFUNCTION("""COMPUTED_VALUE"""),254)</f>
        <v>254</v>
      </c>
      <c r="R134" s="1">
        <f ca="1">IFERROR(__xludf.DUMMYFUNCTION("""COMPUTED_VALUE"""),106.3)</f>
        <v>106.3</v>
      </c>
      <c r="S134" s="1">
        <f ca="1">IFERROR(__xludf.DUMMYFUNCTION("""COMPUTED_VALUE"""),223)</f>
        <v>223</v>
      </c>
      <c r="T134" s="1" t="str">
        <f ca="1">IFERROR(__xludf.DUMMYFUNCTION("""COMPUTED_VALUE"""),"+0.84")</f>
        <v>+0.84</v>
      </c>
      <c r="U134" s="1">
        <f ca="1">IFERROR(__xludf.DUMMYFUNCTION("""COMPUTED_VALUE"""),131)</f>
        <v>131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IFERROR(__xludf.DUMMYFUNCTION("""COMPUTED_VALUE"""),"Boston College")</f>
        <v>Boston College</v>
      </c>
      <c r="C135" s="1" t="str">
        <f ca="1">IFERROR(__xludf.DUMMYFUNCTION("""COMPUTED_VALUE"""),"ACC")</f>
        <v>ACC</v>
      </c>
      <c r="D135" s="1" t="str">
        <f ca="1">IFERROR(__xludf.DUMMYFUNCTION("""COMPUTED_VALUE"""),"14-17")</f>
        <v>14-17</v>
      </c>
      <c r="E135" s="1" t="str">
        <f ca="1">IFERROR(__xludf.DUMMYFUNCTION("""COMPUTED_VALUE"""),"+4.52")</f>
        <v>+4.52</v>
      </c>
      <c r="F135" s="1">
        <f ca="1">IFERROR(__xludf.DUMMYFUNCTION("""COMPUTED_VALUE"""),107.2)</f>
        <v>107.2</v>
      </c>
      <c r="G135" s="1">
        <f ca="1">IFERROR(__xludf.DUMMYFUNCTION("""COMPUTED_VALUE"""),119)</f>
        <v>119</v>
      </c>
      <c r="H135" s="1">
        <f ca="1">IFERROR(__xludf.DUMMYFUNCTION("""COMPUTED_VALUE"""),102.7)</f>
        <v>102.7</v>
      </c>
      <c r="I135" s="1">
        <f ca="1">IFERROR(__xludf.DUMMYFUNCTION("""COMPUTED_VALUE"""),138)</f>
        <v>138</v>
      </c>
      <c r="J135" s="1">
        <f ca="1">IFERROR(__xludf.DUMMYFUNCTION("""COMPUTED_VALUE"""),67.3)</f>
        <v>67.3</v>
      </c>
      <c r="K135" s="1">
        <f ca="1">IFERROR(__xludf.DUMMYFUNCTION("""COMPUTED_VALUE"""),192)</f>
        <v>192</v>
      </c>
      <c r="L135" s="1" t="str">
        <f ca="1">IFERROR(__xludf.DUMMYFUNCTION("""COMPUTED_VALUE"""),"+.019")</f>
        <v>+.019</v>
      </c>
      <c r="M135" s="1">
        <f ca="1">IFERROR(__xludf.DUMMYFUNCTION("""COMPUTED_VALUE"""),132)</f>
        <v>132</v>
      </c>
      <c r="N135" s="1" t="str">
        <f ca="1">IFERROR(__xludf.DUMMYFUNCTION("""COMPUTED_VALUE"""),"+6.58")</f>
        <v>+6.58</v>
      </c>
      <c r="O135" s="1">
        <f ca="1">IFERROR(__xludf.DUMMYFUNCTION("""COMPUTED_VALUE"""),58)</f>
        <v>58</v>
      </c>
      <c r="P135" s="1">
        <f ca="1">IFERROR(__xludf.DUMMYFUNCTION("""COMPUTED_VALUE"""),107.3)</f>
        <v>107.3</v>
      </c>
      <c r="Q135" s="1">
        <f ca="1">IFERROR(__xludf.DUMMYFUNCTION("""COMPUTED_VALUE"""),65)</f>
        <v>65</v>
      </c>
      <c r="R135" s="1">
        <f ca="1">IFERROR(__xludf.DUMMYFUNCTION("""COMPUTED_VALUE"""),100.7)</f>
        <v>100.7</v>
      </c>
      <c r="S135" s="1">
        <f ca="1">IFERROR(__xludf.DUMMYFUNCTION("""COMPUTED_VALUE"""),53)</f>
        <v>53</v>
      </c>
      <c r="T135" s="1">
        <f ca="1">IFERROR(__xludf.DUMMYFUNCTION("""COMPUTED_VALUE"""),-6.95)</f>
        <v>-6.95</v>
      </c>
      <c r="U135" s="1">
        <f ca="1">IFERROR(__xludf.DUMMYFUNCTION("""COMPUTED_VALUE"""),332)</f>
        <v>332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IFERROR(__xludf.DUMMYFUNCTION("""COMPUTED_VALUE"""),"Austin Peay")</f>
        <v>Austin Peay</v>
      </c>
      <c r="C136" s="1" t="str">
        <f ca="1">IFERROR(__xludf.DUMMYFUNCTION("""COMPUTED_VALUE"""),"OVC")</f>
        <v>OVC</v>
      </c>
      <c r="D136" s="1" t="str">
        <f ca="1">IFERROR(__xludf.DUMMYFUNCTION("""COMPUTED_VALUE"""),"22-11")</f>
        <v>22-11</v>
      </c>
      <c r="E136" s="1" t="str">
        <f ca="1">IFERROR(__xludf.DUMMYFUNCTION("""COMPUTED_VALUE"""),"+4.29")</f>
        <v>+4.29</v>
      </c>
      <c r="F136" s="1">
        <f ca="1">IFERROR(__xludf.DUMMYFUNCTION("""COMPUTED_VALUE"""),111.1)</f>
        <v>111.1</v>
      </c>
      <c r="G136" s="1">
        <f ca="1">IFERROR(__xludf.DUMMYFUNCTION("""COMPUTED_VALUE"""),55)</f>
        <v>55</v>
      </c>
      <c r="H136" s="1">
        <f ca="1">IFERROR(__xludf.DUMMYFUNCTION("""COMPUTED_VALUE"""),106.8)</f>
        <v>106.8</v>
      </c>
      <c r="I136" s="1">
        <f ca="1">IFERROR(__xludf.DUMMYFUNCTION("""COMPUTED_VALUE"""),226)</f>
        <v>226</v>
      </c>
      <c r="J136" s="1">
        <f ca="1">IFERROR(__xludf.DUMMYFUNCTION("""COMPUTED_VALUE"""),69)</f>
        <v>69</v>
      </c>
      <c r="K136" s="1">
        <f ca="1">IFERROR(__xludf.DUMMYFUNCTION("""COMPUTED_VALUE"""),105)</f>
        <v>105</v>
      </c>
      <c r="L136" s="1">
        <f ca="1">IFERROR(__xludf.DUMMYFUNCTION("""COMPUTED_VALUE"""),-0.009)</f>
        <v>-8.9999999999999993E-3</v>
      </c>
      <c r="M136" s="1">
        <f ca="1">IFERROR(__xludf.DUMMYFUNCTION("""COMPUTED_VALUE"""),207)</f>
        <v>207</v>
      </c>
      <c r="N136" s="1">
        <f ca="1">IFERROR(__xludf.DUMMYFUNCTION("""COMPUTED_VALUE"""),-3.6)</f>
        <v>-3.6</v>
      </c>
      <c r="O136" s="1">
        <f ca="1">IFERROR(__xludf.DUMMYFUNCTION("""COMPUTED_VALUE"""),241)</f>
        <v>241</v>
      </c>
      <c r="P136" s="1">
        <f ca="1">IFERROR(__xludf.DUMMYFUNCTION("""COMPUTED_VALUE"""),103.3)</f>
        <v>103.3</v>
      </c>
      <c r="Q136" s="1">
        <f ca="1">IFERROR(__xludf.DUMMYFUNCTION("""COMPUTED_VALUE"""),204)</f>
        <v>204</v>
      </c>
      <c r="R136" s="1">
        <f ca="1">IFERROR(__xludf.DUMMYFUNCTION("""COMPUTED_VALUE"""),106.9)</f>
        <v>106.9</v>
      </c>
      <c r="S136" s="1">
        <f ca="1">IFERROR(__xludf.DUMMYFUNCTION("""COMPUTED_VALUE"""),258)</f>
        <v>258</v>
      </c>
      <c r="T136" s="1" t="str">
        <f ca="1">IFERROR(__xludf.DUMMYFUNCTION("""COMPUTED_VALUE"""),"+1.40")</f>
        <v>+1.40</v>
      </c>
      <c r="U136" s="1">
        <f ca="1">IFERROR(__xludf.DUMMYFUNCTION("""COMPUTED_VALUE"""),115)</f>
        <v>115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IFERROR(__xludf.DUMMYFUNCTION("""COMPUTED_VALUE"""),"Central Michigan")</f>
        <v>Central Michigan</v>
      </c>
      <c r="C137" s="1" t="str">
        <f ca="1">IFERROR(__xludf.DUMMYFUNCTION("""COMPUTED_VALUE"""),"MAC")</f>
        <v>MAC</v>
      </c>
      <c r="D137" s="1" t="str">
        <f ca="1">IFERROR(__xludf.DUMMYFUNCTION("""COMPUTED_VALUE"""),"23-12")</f>
        <v>23-12</v>
      </c>
      <c r="E137" s="1" t="str">
        <f ca="1">IFERROR(__xludf.DUMMYFUNCTION("""COMPUTED_VALUE"""),"+4.27")</f>
        <v>+4.27</v>
      </c>
      <c r="F137" s="1">
        <f ca="1">IFERROR(__xludf.DUMMYFUNCTION("""COMPUTED_VALUE"""),110.4)</f>
        <v>110.4</v>
      </c>
      <c r="G137" s="1">
        <f ca="1">IFERROR(__xludf.DUMMYFUNCTION("""COMPUTED_VALUE"""),63)</f>
        <v>63</v>
      </c>
      <c r="H137" s="1">
        <f ca="1">IFERROR(__xludf.DUMMYFUNCTION("""COMPUTED_VALUE"""),106.1)</f>
        <v>106.1</v>
      </c>
      <c r="I137" s="1">
        <f ca="1">IFERROR(__xludf.DUMMYFUNCTION("""COMPUTED_VALUE"""),206)</f>
        <v>206</v>
      </c>
      <c r="J137" s="1">
        <f ca="1">IFERROR(__xludf.DUMMYFUNCTION("""COMPUTED_VALUE"""),71.3)</f>
        <v>71.3</v>
      </c>
      <c r="K137" s="1">
        <f ca="1">IFERROR(__xludf.DUMMYFUNCTION("""COMPUTED_VALUE"""),33)</f>
        <v>33</v>
      </c>
      <c r="L137" s="1" t="str">
        <f ca="1">IFERROR(__xludf.DUMMYFUNCTION("""COMPUTED_VALUE"""),"+.022")</f>
        <v>+.022</v>
      </c>
      <c r="M137" s="1">
        <f ca="1">IFERROR(__xludf.DUMMYFUNCTION("""COMPUTED_VALUE"""),126)</f>
        <v>126</v>
      </c>
      <c r="N137" s="1">
        <f ca="1">IFERROR(__xludf.DUMMYFUNCTION("""COMPUTED_VALUE"""),-0.39)</f>
        <v>-0.39</v>
      </c>
      <c r="O137" s="1">
        <f ca="1">IFERROR(__xludf.DUMMYFUNCTION("""COMPUTED_VALUE"""),150)</f>
        <v>150</v>
      </c>
      <c r="P137" s="1">
        <f ca="1">IFERROR(__xludf.DUMMYFUNCTION("""COMPUTED_VALUE"""),103.7)</f>
        <v>103.7</v>
      </c>
      <c r="Q137" s="1">
        <f ca="1">IFERROR(__xludf.DUMMYFUNCTION("""COMPUTED_VALUE"""),182)</f>
        <v>182</v>
      </c>
      <c r="R137" s="1">
        <f ca="1">IFERROR(__xludf.DUMMYFUNCTION("""COMPUTED_VALUE"""),104.1)</f>
        <v>104.1</v>
      </c>
      <c r="S137" s="1">
        <f ca="1">IFERROR(__xludf.DUMMYFUNCTION("""COMPUTED_VALUE"""),133)</f>
        <v>133</v>
      </c>
      <c r="T137" s="1">
        <f ca="1">IFERROR(__xludf.DUMMYFUNCTION("""COMPUTED_VALUE"""),-10.08)</f>
        <v>-10.08</v>
      </c>
      <c r="U137" s="1">
        <f ca="1">IFERROR(__xludf.DUMMYFUNCTION("""COMPUTED_VALUE"""),348)</f>
        <v>348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IFERROR(__xludf.DUMMYFUNCTION("""COMPUTED_VALUE"""),"Penn")</f>
        <v>Penn</v>
      </c>
      <c r="C138" s="1" t="str">
        <f ca="1">IFERROR(__xludf.DUMMYFUNCTION("""COMPUTED_VALUE"""),"Ivy")</f>
        <v>Ivy</v>
      </c>
      <c r="D138" s="1" t="str">
        <f ca="1">IFERROR(__xludf.DUMMYFUNCTION("""COMPUTED_VALUE"""),"19-12")</f>
        <v>19-12</v>
      </c>
      <c r="E138" s="1" t="str">
        <f ca="1">IFERROR(__xludf.DUMMYFUNCTION("""COMPUTED_VALUE"""),"+4.21")</f>
        <v>+4.21</v>
      </c>
      <c r="F138" s="1">
        <f ca="1">IFERROR(__xludf.DUMMYFUNCTION("""COMPUTED_VALUE"""),104.1)</f>
        <v>104.1</v>
      </c>
      <c r="G138" s="1">
        <f ca="1">IFERROR(__xludf.DUMMYFUNCTION("""COMPUTED_VALUE"""),181)</f>
        <v>181</v>
      </c>
      <c r="H138" s="1">
        <f ca="1">IFERROR(__xludf.DUMMYFUNCTION("""COMPUTED_VALUE"""),99.9)</f>
        <v>99.9</v>
      </c>
      <c r="I138" s="1">
        <f ca="1">IFERROR(__xludf.DUMMYFUNCTION("""COMPUTED_VALUE"""),94)</f>
        <v>94</v>
      </c>
      <c r="J138" s="1">
        <f ca="1">IFERROR(__xludf.DUMMYFUNCTION("""COMPUTED_VALUE"""),66.9)</f>
        <v>66.900000000000006</v>
      </c>
      <c r="K138" s="1">
        <f ca="1">IFERROR(__xludf.DUMMYFUNCTION("""COMPUTED_VALUE"""),217)</f>
        <v>217</v>
      </c>
      <c r="L138" s="1" t="str">
        <f ca="1">IFERROR(__xludf.DUMMYFUNCTION("""COMPUTED_VALUE"""),"+.020")</f>
        <v>+.020</v>
      </c>
      <c r="M138" s="1">
        <f ca="1">IFERROR(__xludf.DUMMYFUNCTION("""COMPUTED_VALUE"""),128)</f>
        <v>128</v>
      </c>
      <c r="N138" s="1" t="str">
        <f ca="1">IFERROR(__xludf.DUMMYFUNCTION("""COMPUTED_VALUE"""),"+0.03")</f>
        <v>+0.03</v>
      </c>
      <c r="O138" s="1">
        <f ca="1">IFERROR(__xludf.DUMMYFUNCTION("""COMPUTED_VALUE"""),137)</f>
        <v>137</v>
      </c>
      <c r="P138" s="1">
        <f ca="1">IFERROR(__xludf.DUMMYFUNCTION("""COMPUTED_VALUE"""),103.6)</f>
        <v>103.6</v>
      </c>
      <c r="Q138" s="1">
        <f ca="1">IFERROR(__xludf.DUMMYFUNCTION("""COMPUTED_VALUE"""),190)</f>
        <v>190</v>
      </c>
      <c r="R138" s="1">
        <f ca="1">IFERROR(__xludf.DUMMYFUNCTION("""COMPUTED_VALUE"""),103.5)</f>
        <v>103.5</v>
      </c>
      <c r="S138" s="1">
        <f ca="1">IFERROR(__xludf.DUMMYFUNCTION("""COMPUTED_VALUE"""),114)</f>
        <v>114</v>
      </c>
      <c r="T138" s="1" t="str">
        <f ca="1">IFERROR(__xludf.DUMMYFUNCTION("""COMPUTED_VALUE"""),"+0.37")</f>
        <v>+0.37</v>
      </c>
      <c r="U138" s="1">
        <f ca="1">IFERROR(__xludf.DUMMYFUNCTION("""COMPUTED_VALUE"""),148)</f>
        <v>148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IFERROR(__xludf.DUMMYFUNCTION("""COMPUTED_VALUE"""),"Loyola Chicago7")</f>
        <v>Loyola Chicago7</v>
      </c>
      <c r="C139" s="1" t="str">
        <f ca="1">IFERROR(__xludf.DUMMYFUNCTION("""COMPUTED_VALUE"""),"MVC")</f>
        <v>MVC</v>
      </c>
      <c r="D139" s="1" t="str">
        <f ca="1">IFERROR(__xludf.DUMMYFUNCTION("""COMPUTED_VALUE"""),"20-14")</f>
        <v>20-14</v>
      </c>
      <c r="E139" s="1" t="str">
        <f ca="1">IFERROR(__xludf.DUMMYFUNCTION("""COMPUTED_VALUE"""),"+4.18")</f>
        <v>+4.18</v>
      </c>
      <c r="F139" s="1">
        <f ca="1">IFERROR(__xludf.DUMMYFUNCTION("""COMPUTED_VALUE"""),104.2)</f>
        <v>104.2</v>
      </c>
      <c r="G139" s="1">
        <f ca="1">IFERROR(__xludf.DUMMYFUNCTION("""COMPUTED_VALUE"""),180)</f>
        <v>180</v>
      </c>
      <c r="H139" s="1">
        <f ca="1">IFERROR(__xludf.DUMMYFUNCTION("""COMPUTED_VALUE"""),100)</f>
        <v>100</v>
      </c>
      <c r="I139" s="1">
        <f ca="1">IFERROR(__xludf.DUMMYFUNCTION("""COMPUTED_VALUE"""),97)</f>
        <v>97</v>
      </c>
      <c r="J139" s="1">
        <f ca="1">IFERROR(__xludf.DUMMYFUNCTION("""COMPUTED_VALUE"""),62.7)</f>
        <v>62.7</v>
      </c>
      <c r="K139" s="1">
        <f ca="1">IFERROR(__xludf.DUMMYFUNCTION("""COMPUTED_VALUE"""),346)</f>
        <v>346</v>
      </c>
      <c r="L139" s="1">
        <f ca="1">IFERROR(__xludf.DUMMYFUNCTION("""COMPUTED_VALUE"""),-0.019)</f>
        <v>-1.9E-2</v>
      </c>
      <c r="M139" s="1">
        <f ca="1">IFERROR(__xludf.DUMMYFUNCTION("""COMPUTED_VALUE"""),233)</f>
        <v>233</v>
      </c>
      <c r="N139" s="1">
        <f ca="1">IFERROR(__xludf.DUMMYFUNCTION("""COMPUTED_VALUE"""),-1.58)</f>
        <v>-1.58</v>
      </c>
      <c r="O139" s="1">
        <f ca="1">IFERROR(__xludf.DUMMYFUNCTION("""COMPUTED_VALUE"""),181)</f>
        <v>181</v>
      </c>
      <c r="P139" s="1">
        <f ca="1">IFERROR(__xludf.DUMMYFUNCTION("""COMPUTED_VALUE"""),102.5)</f>
        <v>102.5</v>
      </c>
      <c r="Q139" s="1">
        <f ca="1">IFERROR(__xludf.DUMMYFUNCTION("""COMPUTED_VALUE"""),249)</f>
        <v>249</v>
      </c>
      <c r="R139" s="1">
        <f ca="1">IFERROR(__xludf.DUMMYFUNCTION("""COMPUTED_VALUE"""),104.1)</f>
        <v>104.1</v>
      </c>
      <c r="S139" s="1">
        <f ca="1">IFERROR(__xludf.DUMMYFUNCTION("""COMPUTED_VALUE"""),134)</f>
        <v>134</v>
      </c>
      <c r="T139" s="1">
        <f ca="1">IFERROR(__xludf.DUMMYFUNCTION("""COMPUTED_VALUE"""),-1.81)</f>
        <v>-1.81</v>
      </c>
      <c r="U139" s="1">
        <f ca="1">IFERROR(__xludf.DUMMYFUNCTION("""COMPUTED_VALUE"""),214)</f>
        <v>214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IFERROR(__xludf.DUMMYFUNCTION("""COMPUTED_VALUE"""),"Georgia")</f>
        <v>Georgia</v>
      </c>
      <c r="C140" s="1" t="str">
        <f ca="1">IFERROR(__xludf.DUMMYFUNCTION("""COMPUTED_VALUE"""),"SEC")</f>
        <v>SEC</v>
      </c>
      <c r="D140" s="2">
        <f ca="1">IFERROR(__xludf.DUMMYFUNCTION("""COMPUTED_VALUE"""),44886)</f>
        <v>44886</v>
      </c>
      <c r="E140" s="1" t="str">
        <f ca="1">IFERROR(__xludf.DUMMYFUNCTION("""COMPUTED_VALUE"""),"+4.13")</f>
        <v>+4.13</v>
      </c>
      <c r="F140" s="1">
        <f ca="1">IFERROR(__xludf.DUMMYFUNCTION("""COMPUTED_VALUE"""),106.1)</f>
        <v>106.1</v>
      </c>
      <c r="G140" s="1">
        <f ca="1">IFERROR(__xludf.DUMMYFUNCTION("""COMPUTED_VALUE"""),143)</f>
        <v>143</v>
      </c>
      <c r="H140" s="1">
        <f ca="1">IFERROR(__xludf.DUMMYFUNCTION("""COMPUTED_VALUE"""),102)</f>
        <v>102</v>
      </c>
      <c r="I140" s="1">
        <f ca="1">IFERROR(__xludf.DUMMYFUNCTION("""COMPUTED_VALUE"""),120)</f>
        <v>120</v>
      </c>
      <c r="J140" s="1">
        <f ca="1">IFERROR(__xludf.DUMMYFUNCTION("""COMPUTED_VALUE"""),68.4)</f>
        <v>68.400000000000006</v>
      </c>
      <c r="K140" s="1">
        <f ca="1">IFERROR(__xludf.DUMMYFUNCTION("""COMPUTED_VALUE"""),134)</f>
        <v>134</v>
      </c>
      <c r="L140" s="1">
        <f ca="1">IFERROR(__xludf.DUMMYFUNCTION("""COMPUTED_VALUE"""),-0.077)</f>
        <v>-7.6999999999999999E-2</v>
      </c>
      <c r="M140" s="1">
        <f ca="1">IFERROR(__xludf.DUMMYFUNCTION("""COMPUTED_VALUE"""),331)</f>
        <v>331</v>
      </c>
      <c r="N140" s="1" t="str">
        <f ca="1">IFERROR(__xludf.DUMMYFUNCTION("""COMPUTED_VALUE"""),"+8.92")</f>
        <v>+8.92</v>
      </c>
      <c r="O140" s="1">
        <f ca="1">IFERROR(__xludf.DUMMYFUNCTION("""COMPUTED_VALUE"""),42)</f>
        <v>42</v>
      </c>
      <c r="P140" s="1">
        <f ca="1">IFERROR(__xludf.DUMMYFUNCTION("""COMPUTED_VALUE"""),109.1)</f>
        <v>109.1</v>
      </c>
      <c r="Q140" s="1">
        <f ca="1">IFERROR(__xludf.DUMMYFUNCTION("""COMPUTED_VALUE"""),39)</f>
        <v>39</v>
      </c>
      <c r="R140" s="1">
        <f ca="1">IFERROR(__xludf.DUMMYFUNCTION("""COMPUTED_VALUE"""),100.1)</f>
        <v>100.1</v>
      </c>
      <c r="S140" s="1">
        <f ca="1">IFERROR(__xludf.DUMMYFUNCTION("""COMPUTED_VALUE"""),46)</f>
        <v>46</v>
      </c>
      <c r="T140" s="1">
        <f ca="1">IFERROR(__xludf.DUMMYFUNCTION("""COMPUTED_VALUE"""),-1.7)</f>
        <v>-1.7</v>
      </c>
      <c r="U140" s="1">
        <f ca="1">IFERROR(__xludf.DUMMYFUNCTION("""COMPUTED_VALUE"""),210)</f>
        <v>210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IFERROR(__xludf.DUMMYFUNCTION("""COMPUTED_VALUE"""),"Ball St.")</f>
        <v>Ball St.</v>
      </c>
      <c r="C141" s="1" t="str">
        <f ca="1">IFERROR(__xludf.DUMMYFUNCTION("""COMPUTED_VALUE"""),"MAC")</f>
        <v>MAC</v>
      </c>
      <c r="D141" s="1" t="str">
        <f ca="1">IFERROR(__xludf.DUMMYFUNCTION("""COMPUTED_VALUE"""),"16-17")</f>
        <v>16-17</v>
      </c>
      <c r="E141" s="1" t="str">
        <f ca="1">IFERROR(__xludf.DUMMYFUNCTION("""COMPUTED_VALUE"""),"+3.91")</f>
        <v>+3.91</v>
      </c>
      <c r="F141" s="1">
        <f ca="1">IFERROR(__xludf.DUMMYFUNCTION("""COMPUTED_VALUE"""),102.5)</f>
        <v>102.5</v>
      </c>
      <c r="G141" s="1">
        <f ca="1">IFERROR(__xludf.DUMMYFUNCTION("""COMPUTED_VALUE"""),209)</f>
        <v>209</v>
      </c>
      <c r="H141" s="1">
        <f ca="1">IFERROR(__xludf.DUMMYFUNCTION("""COMPUTED_VALUE"""),98.6)</f>
        <v>98.6</v>
      </c>
      <c r="I141" s="1">
        <f ca="1">IFERROR(__xludf.DUMMYFUNCTION("""COMPUTED_VALUE"""),72)</f>
        <v>72</v>
      </c>
      <c r="J141" s="1">
        <f ca="1">IFERROR(__xludf.DUMMYFUNCTION("""COMPUTED_VALUE"""),70.3)</f>
        <v>70.3</v>
      </c>
      <c r="K141" s="1">
        <f ca="1">IFERROR(__xludf.DUMMYFUNCTION("""COMPUTED_VALUE"""),59)</f>
        <v>59</v>
      </c>
      <c r="L141" s="1">
        <f ca="1">IFERROR(__xludf.DUMMYFUNCTION("""COMPUTED_VALUE"""),-0.088)</f>
        <v>-8.7999999999999995E-2</v>
      </c>
      <c r="M141" s="1">
        <f ca="1">IFERROR(__xludf.DUMMYFUNCTION("""COMPUTED_VALUE"""),337)</f>
        <v>337</v>
      </c>
      <c r="N141" s="1" t="str">
        <f ca="1">IFERROR(__xludf.DUMMYFUNCTION("""COMPUTED_VALUE"""),"+1.65")</f>
        <v>+1.65</v>
      </c>
      <c r="O141" s="1">
        <f ca="1">IFERROR(__xludf.DUMMYFUNCTION("""COMPUTED_VALUE"""),99)</f>
        <v>99</v>
      </c>
      <c r="P141" s="1">
        <f ca="1">IFERROR(__xludf.DUMMYFUNCTION("""COMPUTED_VALUE"""),105)</f>
        <v>105</v>
      </c>
      <c r="Q141" s="1">
        <f ca="1">IFERROR(__xludf.DUMMYFUNCTION("""COMPUTED_VALUE"""),126)</f>
        <v>126</v>
      </c>
      <c r="R141" s="1">
        <f ca="1">IFERROR(__xludf.DUMMYFUNCTION("""COMPUTED_VALUE"""),103.4)</f>
        <v>103.4</v>
      </c>
      <c r="S141" s="1">
        <f ca="1">IFERROR(__xludf.DUMMYFUNCTION("""COMPUTED_VALUE"""),106)</f>
        <v>106</v>
      </c>
      <c r="T141" s="1">
        <f ca="1">IFERROR(__xludf.DUMMYFUNCTION("""COMPUTED_VALUE"""),-0.54)</f>
        <v>-0.54</v>
      </c>
      <c r="U141" s="1">
        <f ca="1">IFERROR(__xludf.DUMMYFUNCTION("""COMPUTED_VALUE"""),177)</f>
        <v>177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IFERROR(__xludf.DUMMYFUNCTION("""COMPUTED_VALUE"""),"Loyola Marymount")</f>
        <v>Loyola Marymount</v>
      </c>
      <c r="C142" s="1" t="str">
        <f ca="1">IFERROR(__xludf.DUMMYFUNCTION("""COMPUTED_VALUE"""),"WCC")</f>
        <v>WCC</v>
      </c>
      <c r="D142" s="1" t="str">
        <f ca="1">IFERROR(__xludf.DUMMYFUNCTION("""COMPUTED_VALUE"""),"22-12")</f>
        <v>22-12</v>
      </c>
      <c r="E142" s="1" t="str">
        <f ca="1">IFERROR(__xludf.DUMMYFUNCTION("""COMPUTED_VALUE"""),"+3.84")</f>
        <v>+3.84</v>
      </c>
      <c r="F142" s="1">
        <f ca="1">IFERROR(__xludf.DUMMYFUNCTION("""COMPUTED_VALUE"""),103.6)</f>
        <v>103.6</v>
      </c>
      <c r="G142" s="1">
        <f ca="1">IFERROR(__xludf.DUMMYFUNCTION("""COMPUTED_VALUE"""),191)</f>
        <v>191</v>
      </c>
      <c r="H142" s="1">
        <f ca="1">IFERROR(__xludf.DUMMYFUNCTION("""COMPUTED_VALUE"""),99.8)</f>
        <v>99.8</v>
      </c>
      <c r="I142" s="1">
        <f ca="1">IFERROR(__xludf.DUMMYFUNCTION("""COMPUTED_VALUE"""),90)</f>
        <v>90</v>
      </c>
      <c r="J142" s="1">
        <f ca="1">IFERROR(__xludf.DUMMYFUNCTION("""COMPUTED_VALUE"""),62.7)</f>
        <v>62.7</v>
      </c>
      <c r="K142" s="1">
        <f ca="1">IFERROR(__xludf.DUMMYFUNCTION("""COMPUTED_VALUE"""),347)</f>
        <v>347</v>
      </c>
      <c r="L142" s="1" t="str">
        <f ca="1">IFERROR(__xludf.DUMMYFUNCTION("""COMPUTED_VALUE"""),"+.066")</f>
        <v>+.066</v>
      </c>
      <c r="M142" s="1">
        <f ca="1">IFERROR(__xludf.DUMMYFUNCTION("""COMPUTED_VALUE"""),33)</f>
        <v>33</v>
      </c>
      <c r="N142" s="1" t="str">
        <f ca="1">IFERROR(__xludf.DUMMYFUNCTION("""COMPUTED_VALUE"""),"+0.10")</f>
        <v>+0.10</v>
      </c>
      <c r="O142" s="1">
        <f ca="1">IFERROR(__xludf.DUMMYFUNCTION("""COMPUTED_VALUE"""),134)</f>
        <v>134</v>
      </c>
      <c r="P142" s="1">
        <f ca="1">IFERROR(__xludf.DUMMYFUNCTION("""COMPUTED_VALUE"""),104.3)</f>
        <v>104.3</v>
      </c>
      <c r="Q142" s="1">
        <f ca="1">IFERROR(__xludf.DUMMYFUNCTION("""COMPUTED_VALUE"""),154)</f>
        <v>154</v>
      </c>
      <c r="R142" s="1">
        <f ca="1">IFERROR(__xludf.DUMMYFUNCTION("""COMPUTED_VALUE"""),104.2)</f>
        <v>104.2</v>
      </c>
      <c r="S142" s="1">
        <f ca="1">IFERROR(__xludf.DUMMYFUNCTION("""COMPUTED_VALUE"""),146)</f>
        <v>146</v>
      </c>
      <c r="T142" s="1">
        <f ca="1">IFERROR(__xludf.DUMMYFUNCTION("""COMPUTED_VALUE"""),-5.47)</f>
        <v>-5.47</v>
      </c>
      <c r="U142" s="1">
        <f ca="1">IFERROR(__xludf.DUMMYFUNCTION("""COMPUTED_VALUE"""),313)</f>
        <v>313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IFERROR(__xludf.DUMMYFUNCTION("""COMPUTED_VALUE"""),"Drake")</f>
        <v>Drake</v>
      </c>
      <c r="C143" s="1" t="str">
        <f ca="1">IFERROR(__xludf.DUMMYFUNCTION("""COMPUTED_VALUE"""),"MVC")</f>
        <v>MVC</v>
      </c>
      <c r="D143" s="1" t="str">
        <f ca="1">IFERROR(__xludf.DUMMYFUNCTION("""COMPUTED_VALUE"""),"24-10")</f>
        <v>24-10</v>
      </c>
      <c r="E143" s="1" t="str">
        <f ca="1">IFERROR(__xludf.DUMMYFUNCTION("""COMPUTED_VALUE"""),"+3.76")</f>
        <v>+3.76</v>
      </c>
      <c r="F143" s="1">
        <f ca="1">IFERROR(__xludf.DUMMYFUNCTION("""COMPUTED_VALUE"""),106.5)</f>
        <v>106.5</v>
      </c>
      <c r="G143" s="1">
        <f ca="1">IFERROR(__xludf.DUMMYFUNCTION("""COMPUTED_VALUE"""),137)</f>
        <v>137</v>
      </c>
      <c r="H143" s="1">
        <f ca="1">IFERROR(__xludf.DUMMYFUNCTION("""COMPUTED_VALUE"""),102.8)</f>
        <v>102.8</v>
      </c>
      <c r="I143" s="1">
        <f ca="1">IFERROR(__xludf.DUMMYFUNCTION("""COMPUTED_VALUE"""),139)</f>
        <v>139</v>
      </c>
      <c r="J143" s="1">
        <f ca="1">IFERROR(__xludf.DUMMYFUNCTION("""COMPUTED_VALUE"""),69.3)</f>
        <v>69.3</v>
      </c>
      <c r="K143" s="1">
        <f ca="1">IFERROR(__xludf.DUMMYFUNCTION("""COMPUTED_VALUE"""),94)</f>
        <v>94</v>
      </c>
      <c r="L143" s="1" t="str">
        <f ca="1">IFERROR(__xludf.DUMMYFUNCTION("""COMPUTED_VALUE"""),"+.081")</f>
        <v>+.081</v>
      </c>
      <c r="M143" s="1">
        <f ca="1">IFERROR(__xludf.DUMMYFUNCTION("""COMPUTED_VALUE"""),21)</f>
        <v>21</v>
      </c>
      <c r="N143" s="1">
        <f ca="1">IFERROR(__xludf.DUMMYFUNCTION("""COMPUTED_VALUE"""),-1.58)</f>
        <v>-1.58</v>
      </c>
      <c r="O143" s="1">
        <f ca="1">IFERROR(__xludf.DUMMYFUNCTION("""COMPUTED_VALUE"""),179)</f>
        <v>179</v>
      </c>
      <c r="P143" s="1">
        <f ca="1">IFERROR(__xludf.DUMMYFUNCTION("""COMPUTED_VALUE"""),102.4)</f>
        <v>102.4</v>
      </c>
      <c r="Q143" s="1">
        <f ca="1">IFERROR(__xludf.DUMMYFUNCTION("""COMPUTED_VALUE"""),256)</f>
        <v>256</v>
      </c>
      <c r="R143" s="1">
        <f ca="1">IFERROR(__xludf.DUMMYFUNCTION("""COMPUTED_VALUE"""),104)</f>
        <v>104</v>
      </c>
      <c r="S143" s="1">
        <f ca="1">IFERROR(__xludf.DUMMYFUNCTION("""COMPUTED_VALUE"""),131)</f>
        <v>131</v>
      </c>
      <c r="T143" s="1" t="str">
        <f ca="1">IFERROR(__xludf.DUMMYFUNCTION("""COMPUTED_VALUE"""),"+0.47")</f>
        <v>+0.47</v>
      </c>
      <c r="U143" s="1">
        <f ca="1">IFERROR(__xludf.DUMMYFUNCTION("""COMPUTED_VALUE"""),140)</f>
        <v>140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IFERROR(__xludf.DUMMYFUNCTION("""COMPUTED_VALUE"""),"Northern Illinois")</f>
        <v>Northern Illinois</v>
      </c>
      <c r="C144" s="1" t="str">
        <f ca="1">IFERROR(__xludf.DUMMYFUNCTION("""COMPUTED_VALUE"""),"MAC")</f>
        <v>MAC</v>
      </c>
      <c r="D144" s="1" t="str">
        <f ca="1">IFERROR(__xludf.DUMMYFUNCTION("""COMPUTED_VALUE"""),"17-17")</f>
        <v>17-17</v>
      </c>
      <c r="E144" s="1" t="str">
        <f ca="1">IFERROR(__xludf.DUMMYFUNCTION("""COMPUTED_VALUE"""),"+3.72")</f>
        <v>+3.72</v>
      </c>
      <c r="F144" s="1">
        <f ca="1">IFERROR(__xludf.DUMMYFUNCTION("""COMPUTED_VALUE"""),109)</f>
        <v>109</v>
      </c>
      <c r="G144" s="1">
        <f ca="1">IFERROR(__xludf.DUMMYFUNCTION("""COMPUTED_VALUE"""),86)</f>
        <v>86</v>
      </c>
      <c r="H144" s="1">
        <f ca="1">IFERROR(__xludf.DUMMYFUNCTION("""COMPUTED_VALUE"""),105.3)</f>
        <v>105.3</v>
      </c>
      <c r="I144" s="1">
        <f ca="1">IFERROR(__xludf.DUMMYFUNCTION("""COMPUTED_VALUE"""),185)</f>
        <v>185</v>
      </c>
      <c r="J144" s="1">
        <f ca="1">IFERROR(__xludf.DUMMYFUNCTION("""COMPUTED_VALUE"""),65.9)</f>
        <v>65.900000000000006</v>
      </c>
      <c r="K144" s="1">
        <f ca="1">IFERROR(__xludf.DUMMYFUNCTION("""COMPUTED_VALUE"""),267)</f>
        <v>267</v>
      </c>
      <c r="L144" s="1">
        <f ca="1">IFERROR(__xludf.DUMMYFUNCTION("""COMPUTED_VALUE"""),-0.071)</f>
        <v>-7.0999999999999994E-2</v>
      </c>
      <c r="M144" s="1">
        <f ca="1">IFERROR(__xludf.DUMMYFUNCTION("""COMPUTED_VALUE"""),325)</f>
        <v>325</v>
      </c>
      <c r="N144" s="1" t="str">
        <f ca="1">IFERROR(__xludf.DUMMYFUNCTION("""COMPUTED_VALUE"""),"+1.49")</f>
        <v>+1.49</v>
      </c>
      <c r="O144" s="1">
        <f ca="1">IFERROR(__xludf.DUMMYFUNCTION("""COMPUTED_VALUE"""),102)</f>
        <v>102</v>
      </c>
      <c r="P144" s="1">
        <f ca="1">IFERROR(__xludf.DUMMYFUNCTION("""COMPUTED_VALUE"""),104.7)</f>
        <v>104.7</v>
      </c>
      <c r="Q144" s="1">
        <f ca="1">IFERROR(__xludf.DUMMYFUNCTION("""COMPUTED_VALUE"""),139)</f>
        <v>139</v>
      </c>
      <c r="R144" s="1">
        <f ca="1">IFERROR(__xludf.DUMMYFUNCTION("""COMPUTED_VALUE"""),103.2)</f>
        <v>103.2</v>
      </c>
      <c r="S144" s="1">
        <f ca="1">IFERROR(__xludf.DUMMYFUNCTION("""COMPUTED_VALUE"""),104)</f>
        <v>104</v>
      </c>
      <c r="T144" s="1">
        <f ca="1">IFERROR(__xludf.DUMMYFUNCTION("""COMPUTED_VALUE"""),-2.13)</f>
        <v>-2.13</v>
      </c>
      <c r="U144" s="1">
        <f ca="1">IFERROR(__xludf.DUMMYFUNCTION("""COMPUTED_VALUE"""),223)</f>
        <v>223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IFERROR(__xludf.DUMMYFUNCTION("""COMPUTED_VALUE"""),"Montana15")</f>
        <v>Montana15</v>
      </c>
      <c r="C145" s="1" t="str">
        <f ca="1">IFERROR(__xludf.DUMMYFUNCTION("""COMPUTED_VALUE"""),"BSky")</f>
        <v>BSky</v>
      </c>
      <c r="D145" s="1" t="str">
        <f ca="1">IFERROR(__xludf.DUMMYFUNCTION("""COMPUTED_VALUE"""),"26-9")</f>
        <v>26-9</v>
      </c>
      <c r="E145" s="1" t="str">
        <f ca="1">IFERROR(__xludf.DUMMYFUNCTION("""COMPUTED_VALUE"""),"+3.53")</f>
        <v>+3.53</v>
      </c>
      <c r="F145" s="1">
        <f ca="1">IFERROR(__xludf.DUMMYFUNCTION("""COMPUTED_VALUE"""),107.4)</f>
        <v>107.4</v>
      </c>
      <c r="G145" s="1">
        <f ca="1">IFERROR(__xludf.DUMMYFUNCTION("""COMPUTED_VALUE"""),114)</f>
        <v>114</v>
      </c>
      <c r="H145" s="1">
        <f ca="1">IFERROR(__xludf.DUMMYFUNCTION("""COMPUTED_VALUE"""),103.9)</f>
        <v>103.9</v>
      </c>
      <c r="I145" s="1">
        <f ca="1">IFERROR(__xludf.DUMMYFUNCTION("""COMPUTED_VALUE"""),155)</f>
        <v>155</v>
      </c>
      <c r="J145" s="1">
        <f ca="1">IFERROR(__xludf.DUMMYFUNCTION("""COMPUTED_VALUE"""),66.9)</f>
        <v>66.900000000000006</v>
      </c>
      <c r="K145" s="1">
        <f ca="1">IFERROR(__xludf.DUMMYFUNCTION("""COMPUTED_VALUE"""),220)</f>
        <v>220</v>
      </c>
      <c r="L145" s="1" t="str">
        <f ca="1">IFERROR(__xludf.DUMMYFUNCTION("""COMPUTED_VALUE"""),"+.059")</f>
        <v>+.059</v>
      </c>
      <c r="M145" s="1">
        <f ca="1">IFERROR(__xludf.DUMMYFUNCTION("""COMPUTED_VALUE"""),45)</f>
        <v>45</v>
      </c>
      <c r="N145" s="1">
        <f ca="1">IFERROR(__xludf.DUMMYFUNCTION("""COMPUTED_VALUE"""),-6.07)</f>
        <v>-6.07</v>
      </c>
      <c r="O145" s="1">
        <f ca="1">IFERROR(__xludf.DUMMYFUNCTION("""COMPUTED_VALUE"""),288)</f>
        <v>288</v>
      </c>
      <c r="P145" s="1">
        <f ca="1">IFERROR(__xludf.DUMMYFUNCTION("""COMPUTED_VALUE"""),102.4)</f>
        <v>102.4</v>
      </c>
      <c r="Q145" s="1">
        <f ca="1">IFERROR(__xludf.DUMMYFUNCTION("""COMPUTED_VALUE"""),259)</f>
        <v>259</v>
      </c>
      <c r="R145" s="1">
        <f ca="1">IFERROR(__xludf.DUMMYFUNCTION("""COMPUTED_VALUE"""),108.4)</f>
        <v>108.4</v>
      </c>
      <c r="S145" s="1">
        <f ca="1">IFERROR(__xludf.DUMMYFUNCTION("""COMPUTED_VALUE"""),328)</f>
        <v>328</v>
      </c>
      <c r="T145" s="1" t="str">
        <f ca="1">IFERROR(__xludf.DUMMYFUNCTION("""COMPUTED_VALUE"""),"+4.03")</f>
        <v>+4.03</v>
      </c>
      <c r="U145" s="1">
        <f ca="1">IFERROR(__xludf.DUMMYFUNCTION("""COMPUTED_VALUE"""),58)</f>
        <v>58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IFERROR(__xludf.DUMMYFUNCTION("""COMPUTED_VALUE"""),"Texas St.")</f>
        <v>Texas St.</v>
      </c>
      <c r="C146" s="1" t="str">
        <f ca="1">IFERROR(__xludf.DUMMYFUNCTION("""COMPUTED_VALUE"""),"SB")</f>
        <v>SB</v>
      </c>
      <c r="D146" s="1" t="str">
        <f ca="1">IFERROR(__xludf.DUMMYFUNCTION("""COMPUTED_VALUE"""),"24-10")</f>
        <v>24-10</v>
      </c>
      <c r="E146" s="1" t="str">
        <f ca="1">IFERROR(__xludf.DUMMYFUNCTION("""COMPUTED_VALUE"""),"+3.53")</f>
        <v>+3.53</v>
      </c>
      <c r="F146" s="1">
        <f ca="1">IFERROR(__xludf.DUMMYFUNCTION("""COMPUTED_VALUE"""),102.4)</f>
        <v>102.4</v>
      </c>
      <c r="G146" s="1">
        <f ca="1">IFERROR(__xludf.DUMMYFUNCTION("""COMPUTED_VALUE"""),212)</f>
        <v>212</v>
      </c>
      <c r="H146" s="1">
        <f ca="1">IFERROR(__xludf.DUMMYFUNCTION("""COMPUTED_VALUE"""),98.8)</f>
        <v>98.8</v>
      </c>
      <c r="I146" s="1">
        <f ca="1">IFERROR(__xludf.DUMMYFUNCTION("""COMPUTED_VALUE"""),76)</f>
        <v>76</v>
      </c>
      <c r="J146" s="1">
        <f ca="1">IFERROR(__xludf.DUMMYFUNCTION("""COMPUTED_VALUE"""),65.1)</f>
        <v>65.099999999999994</v>
      </c>
      <c r="K146" s="1">
        <f ca="1">IFERROR(__xludf.DUMMYFUNCTION("""COMPUTED_VALUE"""),306)</f>
        <v>306</v>
      </c>
      <c r="L146" s="1" t="str">
        <f ca="1">IFERROR(__xludf.DUMMYFUNCTION("""COMPUTED_VALUE"""),"+.022")</f>
        <v>+.022</v>
      </c>
      <c r="M146" s="1">
        <f ca="1">IFERROR(__xludf.DUMMYFUNCTION("""COMPUTED_VALUE"""),123)</f>
        <v>123</v>
      </c>
      <c r="N146" s="1">
        <f ca="1">IFERROR(__xludf.DUMMYFUNCTION("""COMPUTED_VALUE"""),-3.08)</f>
        <v>-3.08</v>
      </c>
      <c r="O146" s="1">
        <f ca="1">IFERROR(__xludf.DUMMYFUNCTION("""COMPUTED_VALUE"""),223)</f>
        <v>223</v>
      </c>
      <c r="P146" s="1">
        <f ca="1">IFERROR(__xludf.DUMMYFUNCTION("""COMPUTED_VALUE"""),103.4)</f>
        <v>103.4</v>
      </c>
      <c r="Q146" s="1">
        <f ca="1">IFERROR(__xludf.DUMMYFUNCTION("""COMPUTED_VALUE"""),199)</f>
        <v>199</v>
      </c>
      <c r="R146" s="1">
        <f ca="1">IFERROR(__xludf.DUMMYFUNCTION("""COMPUTED_VALUE"""),106.5)</f>
        <v>106.5</v>
      </c>
      <c r="S146" s="1">
        <f ca="1">IFERROR(__xludf.DUMMYFUNCTION("""COMPUTED_VALUE"""),233)</f>
        <v>233</v>
      </c>
      <c r="T146" s="1">
        <f ca="1">IFERROR(__xludf.DUMMYFUNCTION("""COMPUTED_VALUE"""),-5.93)</f>
        <v>-5.93</v>
      </c>
      <c r="U146" s="1">
        <f ca="1">IFERROR(__xludf.DUMMYFUNCTION("""COMPUTED_VALUE"""),320)</f>
        <v>320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IFERROR(__xludf.DUMMYFUNCTION("""COMPUTED_VALUE"""),"Boise St.")</f>
        <v>Boise St.</v>
      </c>
      <c r="C147" s="1" t="str">
        <f ca="1">IFERROR(__xludf.DUMMYFUNCTION("""COMPUTED_VALUE"""),"MWC")</f>
        <v>MWC</v>
      </c>
      <c r="D147" s="1" t="str">
        <f ca="1">IFERROR(__xludf.DUMMYFUNCTION("""COMPUTED_VALUE"""),"13-20")</f>
        <v>13-20</v>
      </c>
      <c r="E147" s="1" t="str">
        <f ca="1">IFERROR(__xludf.DUMMYFUNCTION("""COMPUTED_VALUE"""),"+3.13")</f>
        <v>+3.13</v>
      </c>
      <c r="F147" s="1">
        <f ca="1">IFERROR(__xludf.DUMMYFUNCTION("""COMPUTED_VALUE"""),107.4)</f>
        <v>107.4</v>
      </c>
      <c r="G147" s="1">
        <f ca="1">IFERROR(__xludf.DUMMYFUNCTION("""COMPUTED_VALUE"""),116)</f>
        <v>116</v>
      </c>
      <c r="H147" s="1">
        <f ca="1">IFERROR(__xludf.DUMMYFUNCTION("""COMPUTED_VALUE"""),104.2)</f>
        <v>104.2</v>
      </c>
      <c r="I147" s="1">
        <f ca="1">IFERROR(__xludf.DUMMYFUNCTION("""COMPUTED_VALUE"""),161)</f>
        <v>161</v>
      </c>
      <c r="J147" s="1">
        <f ca="1">IFERROR(__xludf.DUMMYFUNCTION("""COMPUTED_VALUE"""),65.5)</f>
        <v>65.5</v>
      </c>
      <c r="K147" s="1">
        <f ca="1">IFERROR(__xludf.DUMMYFUNCTION("""COMPUTED_VALUE"""),286)</f>
        <v>286</v>
      </c>
      <c r="L147" s="1">
        <f ca="1">IFERROR(__xludf.DUMMYFUNCTION("""COMPUTED_VALUE"""),-0.192)</f>
        <v>-0.192</v>
      </c>
      <c r="M147" s="1">
        <f ca="1">IFERROR(__xludf.DUMMYFUNCTION("""COMPUTED_VALUE"""),353)</f>
        <v>353</v>
      </c>
      <c r="N147" s="1" t="str">
        <f ca="1">IFERROR(__xludf.DUMMYFUNCTION("""COMPUTED_VALUE"""),"+0.09")</f>
        <v>+0.09</v>
      </c>
      <c r="O147" s="1">
        <f ca="1">IFERROR(__xludf.DUMMYFUNCTION("""COMPUTED_VALUE"""),135)</f>
        <v>135</v>
      </c>
      <c r="P147" s="1">
        <f ca="1">IFERROR(__xludf.DUMMYFUNCTION("""COMPUTED_VALUE"""),104)</f>
        <v>104</v>
      </c>
      <c r="Q147" s="1">
        <f ca="1">IFERROR(__xludf.DUMMYFUNCTION("""COMPUTED_VALUE"""),171)</f>
        <v>171</v>
      </c>
      <c r="R147" s="1">
        <f ca="1">IFERROR(__xludf.DUMMYFUNCTION("""COMPUTED_VALUE"""),103.9)</f>
        <v>103.9</v>
      </c>
      <c r="S147" s="1">
        <f ca="1">IFERROR(__xludf.DUMMYFUNCTION("""COMPUTED_VALUE"""),127)</f>
        <v>127</v>
      </c>
      <c r="T147" s="1" t="str">
        <f ca="1">IFERROR(__xludf.DUMMYFUNCTION("""COMPUTED_VALUE"""),"+0.47")</f>
        <v>+0.47</v>
      </c>
      <c r="U147" s="1">
        <f ca="1">IFERROR(__xludf.DUMMYFUNCTION("""COMPUTED_VALUE"""),141)</f>
        <v>141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IFERROR(__xludf.DUMMYFUNCTION("""COMPUTED_VALUE"""),"Louisiana Monroe")</f>
        <v>Louisiana Monroe</v>
      </c>
      <c r="C148" s="1" t="str">
        <f ca="1">IFERROR(__xludf.DUMMYFUNCTION("""COMPUTED_VALUE"""),"SB")</f>
        <v>SB</v>
      </c>
      <c r="D148" s="1" t="str">
        <f ca="1">IFERROR(__xludf.DUMMYFUNCTION("""COMPUTED_VALUE"""),"19-16")</f>
        <v>19-16</v>
      </c>
      <c r="E148" s="1" t="str">
        <f ca="1">IFERROR(__xludf.DUMMYFUNCTION("""COMPUTED_VALUE"""),"+2.90")</f>
        <v>+2.90</v>
      </c>
      <c r="F148" s="1">
        <f ca="1">IFERROR(__xludf.DUMMYFUNCTION("""COMPUTED_VALUE"""),112.5)</f>
        <v>112.5</v>
      </c>
      <c r="G148" s="1">
        <f ca="1">IFERROR(__xludf.DUMMYFUNCTION("""COMPUTED_VALUE"""),40)</f>
        <v>40</v>
      </c>
      <c r="H148" s="1">
        <f ca="1">IFERROR(__xludf.DUMMYFUNCTION("""COMPUTED_VALUE"""),109.6)</f>
        <v>109.6</v>
      </c>
      <c r="I148" s="1">
        <f ca="1">IFERROR(__xludf.DUMMYFUNCTION("""COMPUTED_VALUE"""),271)</f>
        <v>271</v>
      </c>
      <c r="J148" s="1">
        <f ca="1">IFERROR(__xludf.DUMMYFUNCTION("""COMPUTED_VALUE"""),66.3)</f>
        <v>66.3</v>
      </c>
      <c r="K148" s="1">
        <f ca="1">IFERROR(__xludf.DUMMYFUNCTION("""COMPUTED_VALUE"""),244)</f>
        <v>244</v>
      </c>
      <c r="L148" s="1">
        <f ca="1">IFERROR(__xludf.DUMMYFUNCTION("""COMPUTED_VALUE"""),-0.057)</f>
        <v>-5.7000000000000002E-2</v>
      </c>
      <c r="M148" s="1">
        <f ca="1">IFERROR(__xludf.DUMMYFUNCTION("""COMPUTED_VALUE"""),305)</f>
        <v>305</v>
      </c>
      <c r="N148" s="1">
        <f ca="1">IFERROR(__xludf.DUMMYFUNCTION("""COMPUTED_VALUE"""),-2.39)</f>
        <v>-2.39</v>
      </c>
      <c r="O148" s="1">
        <f ca="1">IFERROR(__xludf.DUMMYFUNCTION("""COMPUTED_VALUE"""),211)</f>
        <v>211</v>
      </c>
      <c r="P148" s="1">
        <f ca="1">IFERROR(__xludf.DUMMYFUNCTION("""COMPUTED_VALUE"""),103.4)</f>
        <v>103.4</v>
      </c>
      <c r="Q148" s="1">
        <f ca="1">IFERROR(__xludf.DUMMYFUNCTION("""COMPUTED_VALUE"""),201)</f>
        <v>201</v>
      </c>
      <c r="R148" s="1">
        <f ca="1">IFERROR(__xludf.DUMMYFUNCTION("""COMPUTED_VALUE"""),105.8)</f>
        <v>105.8</v>
      </c>
      <c r="S148" s="1">
        <f ca="1">IFERROR(__xludf.DUMMYFUNCTION("""COMPUTED_VALUE"""),201)</f>
        <v>201</v>
      </c>
      <c r="T148" s="1">
        <f ca="1">IFERROR(__xludf.DUMMYFUNCTION("""COMPUTED_VALUE"""),-4.02)</f>
        <v>-4.0199999999999996</v>
      </c>
      <c r="U148" s="1">
        <f ca="1">IFERROR(__xludf.DUMMYFUNCTION("""COMPUTED_VALUE"""),275)</f>
        <v>275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IFERROR(__xludf.DUMMYFUNCTION("""COMPUTED_VALUE"""),"Louisiana Tech")</f>
        <v>Louisiana Tech</v>
      </c>
      <c r="C149" s="1" t="str">
        <f ca="1">IFERROR(__xludf.DUMMYFUNCTION("""COMPUTED_VALUE"""),"CUSA")</f>
        <v>CUSA</v>
      </c>
      <c r="D149" s="1" t="str">
        <f ca="1">IFERROR(__xludf.DUMMYFUNCTION("""COMPUTED_VALUE"""),"20-13")</f>
        <v>20-13</v>
      </c>
      <c r="E149" s="1" t="str">
        <f ca="1">IFERROR(__xludf.DUMMYFUNCTION("""COMPUTED_VALUE"""),"+2.88")</f>
        <v>+2.88</v>
      </c>
      <c r="F149" s="1">
        <f ca="1">IFERROR(__xludf.DUMMYFUNCTION("""COMPUTED_VALUE"""),105)</f>
        <v>105</v>
      </c>
      <c r="G149" s="1">
        <f ca="1">IFERROR(__xludf.DUMMYFUNCTION("""COMPUTED_VALUE"""),163)</f>
        <v>163</v>
      </c>
      <c r="H149" s="1">
        <f ca="1">IFERROR(__xludf.DUMMYFUNCTION("""COMPUTED_VALUE"""),102.1)</f>
        <v>102.1</v>
      </c>
      <c r="I149" s="1">
        <f ca="1">IFERROR(__xludf.DUMMYFUNCTION("""COMPUTED_VALUE"""),126)</f>
        <v>126</v>
      </c>
      <c r="J149" s="1">
        <f ca="1">IFERROR(__xludf.DUMMYFUNCTION("""COMPUTED_VALUE"""),65.4)</f>
        <v>65.400000000000006</v>
      </c>
      <c r="K149" s="1">
        <f ca="1">IFERROR(__xludf.DUMMYFUNCTION("""COMPUTED_VALUE"""),288)</f>
        <v>288</v>
      </c>
      <c r="L149" s="1">
        <f ca="1">IFERROR(__xludf.DUMMYFUNCTION("""COMPUTED_VALUE"""),-0.046)</f>
        <v>-4.5999999999999999E-2</v>
      </c>
      <c r="M149" s="1">
        <f ca="1">IFERROR(__xludf.DUMMYFUNCTION("""COMPUTED_VALUE"""),287)</f>
        <v>287</v>
      </c>
      <c r="N149" s="1">
        <f ca="1">IFERROR(__xludf.DUMMYFUNCTION("""COMPUTED_VALUE"""),-2.19)</f>
        <v>-2.19</v>
      </c>
      <c r="O149" s="1">
        <f ca="1">IFERROR(__xludf.DUMMYFUNCTION("""COMPUTED_VALUE"""),206)</f>
        <v>206</v>
      </c>
      <c r="P149" s="1">
        <f ca="1">IFERROR(__xludf.DUMMYFUNCTION("""COMPUTED_VALUE"""),102.1)</f>
        <v>102.1</v>
      </c>
      <c r="Q149" s="1">
        <f ca="1">IFERROR(__xludf.DUMMYFUNCTION("""COMPUTED_VALUE"""),272)</f>
        <v>272</v>
      </c>
      <c r="R149" s="1">
        <f ca="1">IFERROR(__xludf.DUMMYFUNCTION("""COMPUTED_VALUE"""),104.3)</f>
        <v>104.3</v>
      </c>
      <c r="S149" s="1">
        <f ca="1">IFERROR(__xludf.DUMMYFUNCTION("""COMPUTED_VALUE"""),150)</f>
        <v>150</v>
      </c>
      <c r="T149" s="1">
        <f ca="1">IFERROR(__xludf.DUMMYFUNCTION("""COMPUTED_VALUE"""),-4.19)</f>
        <v>-4.1900000000000004</v>
      </c>
      <c r="U149" s="1">
        <f ca="1">IFERROR(__xludf.DUMMYFUNCTION("""COMPUTED_VALUE"""),284)</f>
        <v>284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IFERROR(__xludf.DUMMYFUNCTION("""COMPUTED_VALUE"""),"Rhode Island")</f>
        <v>Rhode Island</v>
      </c>
      <c r="C150" s="1" t="str">
        <f ca="1">IFERROR(__xludf.DUMMYFUNCTION("""COMPUTED_VALUE"""),"A10")</f>
        <v>A10</v>
      </c>
      <c r="D150" s="1" t="str">
        <f ca="1">IFERROR(__xludf.DUMMYFUNCTION("""COMPUTED_VALUE"""),"18-15")</f>
        <v>18-15</v>
      </c>
      <c r="E150" s="1" t="str">
        <f ca="1">IFERROR(__xludf.DUMMYFUNCTION("""COMPUTED_VALUE"""),"+2.44")</f>
        <v>+2.44</v>
      </c>
      <c r="F150" s="1">
        <f ca="1">IFERROR(__xludf.DUMMYFUNCTION("""COMPUTED_VALUE"""),103.8)</f>
        <v>103.8</v>
      </c>
      <c r="G150" s="1">
        <f ca="1">IFERROR(__xludf.DUMMYFUNCTION("""COMPUTED_VALUE"""),185)</f>
        <v>185</v>
      </c>
      <c r="H150" s="1">
        <f ca="1">IFERROR(__xludf.DUMMYFUNCTION("""COMPUTED_VALUE"""),101.4)</f>
        <v>101.4</v>
      </c>
      <c r="I150" s="1">
        <f ca="1">IFERROR(__xludf.DUMMYFUNCTION("""COMPUTED_VALUE"""),112)</f>
        <v>112</v>
      </c>
      <c r="J150" s="1">
        <f ca="1">IFERROR(__xludf.DUMMYFUNCTION("""COMPUTED_VALUE"""),67.5)</f>
        <v>67.5</v>
      </c>
      <c r="K150" s="1">
        <f ca="1">IFERROR(__xludf.DUMMYFUNCTION("""COMPUTED_VALUE"""),180)</f>
        <v>180</v>
      </c>
      <c r="L150" s="1" t="str">
        <f ca="1">IFERROR(__xludf.DUMMYFUNCTION("""COMPUTED_VALUE"""),"+.018")</f>
        <v>+.018</v>
      </c>
      <c r="M150" s="1">
        <f ca="1">IFERROR(__xludf.DUMMYFUNCTION("""COMPUTED_VALUE"""),136)</f>
        <v>136</v>
      </c>
      <c r="N150" s="1" t="str">
        <f ca="1">IFERROR(__xludf.DUMMYFUNCTION("""COMPUTED_VALUE"""),"+0.51")</f>
        <v>+0.51</v>
      </c>
      <c r="O150" s="1">
        <f ca="1">IFERROR(__xludf.DUMMYFUNCTION("""COMPUTED_VALUE"""),124)</f>
        <v>124</v>
      </c>
      <c r="P150" s="1">
        <f ca="1">IFERROR(__xludf.DUMMYFUNCTION("""COMPUTED_VALUE"""),103.1)</f>
        <v>103.1</v>
      </c>
      <c r="Q150" s="1">
        <f ca="1">IFERROR(__xludf.DUMMYFUNCTION("""COMPUTED_VALUE"""),216)</f>
        <v>216</v>
      </c>
      <c r="R150" s="1">
        <f ca="1">IFERROR(__xludf.DUMMYFUNCTION("""COMPUTED_VALUE"""),102.6)</f>
        <v>102.6</v>
      </c>
      <c r="S150" s="1">
        <f ca="1">IFERROR(__xludf.DUMMYFUNCTION("""COMPUTED_VALUE"""),89)</f>
        <v>89</v>
      </c>
      <c r="T150" s="1">
        <f ca="1">IFERROR(__xludf.DUMMYFUNCTION("""COMPUTED_VALUE"""),-2.15)</f>
        <v>-2.15</v>
      </c>
      <c r="U150" s="1">
        <f ca="1">IFERROR(__xludf.DUMMYFUNCTION("""COMPUTED_VALUE"""),225)</f>
        <v>225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IFERROR(__xludf.DUMMYFUNCTION("""COMPUTED_VALUE"""),"Kent St.")</f>
        <v>Kent St.</v>
      </c>
      <c r="C151" s="1" t="str">
        <f ca="1">IFERROR(__xludf.DUMMYFUNCTION("""COMPUTED_VALUE"""),"MAC")</f>
        <v>MAC</v>
      </c>
      <c r="D151" s="1" t="str">
        <f ca="1">IFERROR(__xludf.DUMMYFUNCTION("""COMPUTED_VALUE"""),"22-11")</f>
        <v>22-11</v>
      </c>
      <c r="E151" s="1" t="str">
        <f ca="1">IFERROR(__xludf.DUMMYFUNCTION("""COMPUTED_VALUE"""),"+2.38")</f>
        <v>+2.38</v>
      </c>
      <c r="F151" s="1">
        <f ca="1">IFERROR(__xludf.DUMMYFUNCTION("""COMPUTED_VALUE"""),109.9)</f>
        <v>109.9</v>
      </c>
      <c r="G151" s="1">
        <f ca="1">IFERROR(__xludf.DUMMYFUNCTION("""COMPUTED_VALUE"""),69)</f>
        <v>69</v>
      </c>
      <c r="H151" s="1">
        <f ca="1">IFERROR(__xludf.DUMMYFUNCTION("""COMPUTED_VALUE"""),107.5)</f>
        <v>107.5</v>
      </c>
      <c r="I151" s="1">
        <f ca="1">IFERROR(__xludf.DUMMYFUNCTION("""COMPUTED_VALUE"""),236)</f>
        <v>236</v>
      </c>
      <c r="J151" s="1">
        <f ca="1">IFERROR(__xludf.DUMMYFUNCTION("""COMPUTED_VALUE"""),67.5)</f>
        <v>67.5</v>
      </c>
      <c r="K151" s="1">
        <f ca="1">IFERROR(__xludf.DUMMYFUNCTION("""COMPUTED_VALUE"""),183)</f>
        <v>183</v>
      </c>
      <c r="L151" s="1" t="str">
        <f ca="1">IFERROR(__xludf.DUMMYFUNCTION("""COMPUTED_VALUE"""),"+.129")</f>
        <v>+.129</v>
      </c>
      <c r="M151" s="1">
        <f ca="1">IFERROR(__xludf.DUMMYFUNCTION("""COMPUTED_VALUE"""),3)</f>
        <v>3</v>
      </c>
      <c r="N151" s="1" t="str">
        <f ca="1">IFERROR(__xludf.DUMMYFUNCTION("""COMPUTED_VALUE"""),"+1.25")</f>
        <v>+1.25</v>
      </c>
      <c r="O151" s="1">
        <f ca="1">IFERROR(__xludf.DUMMYFUNCTION("""COMPUTED_VALUE"""),107)</f>
        <v>107</v>
      </c>
      <c r="P151" s="1">
        <f ca="1">IFERROR(__xludf.DUMMYFUNCTION("""COMPUTED_VALUE"""),104.8)</f>
        <v>104.8</v>
      </c>
      <c r="Q151" s="1">
        <f ca="1">IFERROR(__xludf.DUMMYFUNCTION("""COMPUTED_VALUE"""),135)</f>
        <v>135</v>
      </c>
      <c r="R151" s="1">
        <f ca="1">IFERROR(__xludf.DUMMYFUNCTION("""COMPUTED_VALUE"""),103.5)</f>
        <v>103.5</v>
      </c>
      <c r="S151" s="1">
        <f ca="1">IFERROR(__xludf.DUMMYFUNCTION("""COMPUTED_VALUE"""),113)</f>
        <v>113</v>
      </c>
      <c r="T151" s="1">
        <f ca="1">IFERROR(__xludf.DUMMYFUNCTION("""COMPUTED_VALUE"""),-4.15)</f>
        <v>-4.1500000000000004</v>
      </c>
      <c r="U151" s="1">
        <f ca="1">IFERROR(__xludf.DUMMYFUNCTION("""COMPUTED_VALUE"""),282)</f>
        <v>282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IFERROR(__xludf.DUMMYFUNCTION("""COMPUTED_VALUE"""),"Samford")</f>
        <v>Samford</v>
      </c>
      <c r="C152" s="1" t="str">
        <f ca="1">IFERROR(__xludf.DUMMYFUNCTION("""COMPUTED_VALUE"""),"SC")</f>
        <v>SC</v>
      </c>
      <c r="D152" s="1" t="str">
        <f ca="1">IFERROR(__xludf.DUMMYFUNCTION("""COMPUTED_VALUE"""),"17-16")</f>
        <v>17-16</v>
      </c>
      <c r="E152" s="1" t="str">
        <f ca="1">IFERROR(__xludf.DUMMYFUNCTION("""COMPUTED_VALUE"""),"+1.88")</f>
        <v>+1.88</v>
      </c>
      <c r="F152" s="1">
        <f ca="1">IFERROR(__xludf.DUMMYFUNCTION("""COMPUTED_VALUE"""),106.6)</f>
        <v>106.6</v>
      </c>
      <c r="G152" s="1">
        <f ca="1">IFERROR(__xludf.DUMMYFUNCTION("""COMPUTED_VALUE"""),136)</f>
        <v>136</v>
      </c>
      <c r="H152" s="1">
        <f ca="1">IFERROR(__xludf.DUMMYFUNCTION("""COMPUTED_VALUE"""),104.7)</f>
        <v>104.7</v>
      </c>
      <c r="I152" s="1">
        <f ca="1">IFERROR(__xludf.DUMMYFUNCTION("""COMPUTED_VALUE"""),170)</f>
        <v>170</v>
      </c>
      <c r="J152" s="1">
        <f ca="1">IFERROR(__xludf.DUMMYFUNCTION("""COMPUTED_VALUE"""),69.2)</f>
        <v>69.2</v>
      </c>
      <c r="K152" s="1">
        <f ca="1">IFERROR(__xludf.DUMMYFUNCTION("""COMPUTED_VALUE"""),99)</f>
        <v>99</v>
      </c>
      <c r="L152" s="1">
        <f ca="1">IFERROR(__xludf.DUMMYFUNCTION("""COMPUTED_VALUE"""),-0.076)</f>
        <v>-7.5999999999999998E-2</v>
      </c>
      <c r="M152" s="1">
        <f ca="1">IFERROR(__xludf.DUMMYFUNCTION("""COMPUTED_VALUE"""),330)</f>
        <v>330</v>
      </c>
      <c r="N152" s="1">
        <f ca="1">IFERROR(__xludf.DUMMYFUNCTION("""COMPUTED_VALUE"""),-2.24)</f>
        <v>-2.2400000000000002</v>
      </c>
      <c r="O152" s="1">
        <f ca="1">IFERROR(__xludf.DUMMYFUNCTION("""COMPUTED_VALUE"""),208)</f>
        <v>208</v>
      </c>
      <c r="P152" s="1">
        <f ca="1">IFERROR(__xludf.DUMMYFUNCTION("""COMPUTED_VALUE"""),104.6)</f>
        <v>104.6</v>
      </c>
      <c r="Q152" s="1">
        <f ca="1">IFERROR(__xludf.DUMMYFUNCTION("""COMPUTED_VALUE"""),144)</f>
        <v>144</v>
      </c>
      <c r="R152" s="1">
        <f ca="1">IFERROR(__xludf.DUMMYFUNCTION("""COMPUTED_VALUE"""),106.8)</f>
        <v>106.8</v>
      </c>
      <c r="S152" s="1">
        <f ca="1">IFERROR(__xludf.DUMMYFUNCTION("""COMPUTED_VALUE"""),250)</f>
        <v>250</v>
      </c>
      <c r="T152" s="1">
        <f ca="1">IFERROR(__xludf.DUMMYFUNCTION("""COMPUTED_VALUE"""),-6.13)</f>
        <v>-6.13</v>
      </c>
      <c r="U152" s="1">
        <f ca="1">IFERROR(__xludf.DUMMYFUNCTION("""COMPUTED_VALUE"""),324)</f>
        <v>324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IFERROR(__xludf.DUMMYFUNCTION("""COMPUTED_VALUE"""),"Bucknell")</f>
        <v>Bucknell</v>
      </c>
      <c r="C153" s="1" t="str">
        <f ca="1">IFERROR(__xludf.DUMMYFUNCTION("""COMPUTED_VALUE"""),"Pat")</f>
        <v>Pat</v>
      </c>
      <c r="D153" s="1" t="str">
        <f ca="1">IFERROR(__xludf.DUMMYFUNCTION("""COMPUTED_VALUE"""),"21-12")</f>
        <v>21-12</v>
      </c>
      <c r="E153" s="1" t="str">
        <f ca="1">IFERROR(__xludf.DUMMYFUNCTION("""COMPUTED_VALUE"""),"+1.85")</f>
        <v>+1.85</v>
      </c>
      <c r="F153" s="1">
        <f ca="1">IFERROR(__xludf.DUMMYFUNCTION("""COMPUTED_VALUE"""),105.8)</f>
        <v>105.8</v>
      </c>
      <c r="G153" s="1">
        <f ca="1">IFERROR(__xludf.DUMMYFUNCTION("""COMPUTED_VALUE"""),149)</f>
        <v>149</v>
      </c>
      <c r="H153" s="1">
        <f ca="1">IFERROR(__xludf.DUMMYFUNCTION("""COMPUTED_VALUE"""),103.9)</f>
        <v>103.9</v>
      </c>
      <c r="I153" s="1">
        <f ca="1">IFERROR(__xludf.DUMMYFUNCTION("""COMPUTED_VALUE"""),156)</f>
        <v>156</v>
      </c>
      <c r="J153" s="1">
        <f ca="1">IFERROR(__xludf.DUMMYFUNCTION("""COMPUTED_VALUE"""),70.7)</f>
        <v>70.7</v>
      </c>
      <c r="K153" s="1">
        <f ca="1">IFERROR(__xludf.DUMMYFUNCTION("""COMPUTED_VALUE"""),48)</f>
        <v>48</v>
      </c>
      <c r="L153" s="1" t="str">
        <f ca="1">IFERROR(__xludf.DUMMYFUNCTION("""COMPUTED_VALUE"""),"+.052")</f>
        <v>+.052</v>
      </c>
      <c r="M153" s="1">
        <f ca="1">IFERROR(__xludf.DUMMYFUNCTION("""COMPUTED_VALUE"""),57)</f>
        <v>57</v>
      </c>
      <c r="N153" s="1">
        <f ca="1">IFERROR(__xludf.DUMMYFUNCTION("""COMPUTED_VALUE"""),-3.13)</f>
        <v>-3.13</v>
      </c>
      <c r="O153" s="1">
        <f ca="1">IFERROR(__xludf.DUMMYFUNCTION("""COMPUTED_VALUE"""),225)</f>
        <v>225</v>
      </c>
      <c r="P153" s="1">
        <f ca="1">IFERROR(__xludf.DUMMYFUNCTION("""COMPUTED_VALUE"""),103.3)</f>
        <v>103.3</v>
      </c>
      <c r="Q153" s="1">
        <f ca="1">IFERROR(__xludf.DUMMYFUNCTION("""COMPUTED_VALUE"""),206)</f>
        <v>206</v>
      </c>
      <c r="R153" s="1">
        <f ca="1">IFERROR(__xludf.DUMMYFUNCTION("""COMPUTED_VALUE"""),106.4)</f>
        <v>106.4</v>
      </c>
      <c r="S153" s="1">
        <f ca="1">IFERROR(__xludf.DUMMYFUNCTION("""COMPUTED_VALUE"""),230)</f>
        <v>230</v>
      </c>
      <c r="T153" s="1" t="str">
        <f ca="1">IFERROR(__xludf.DUMMYFUNCTION("""COMPUTED_VALUE"""),"+2.68")</f>
        <v>+2.68</v>
      </c>
      <c r="U153" s="1">
        <f ca="1">IFERROR(__xludf.DUMMYFUNCTION("""COMPUTED_VALUE"""),95)</f>
        <v>95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IFERROR(__xludf.DUMMYFUNCTION("""COMPUTED_VALUE"""),"Southern Illinois")</f>
        <v>Southern Illinois</v>
      </c>
      <c r="C154" s="1" t="str">
        <f ca="1">IFERROR(__xludf.DUMMYFUNCTION("""COMPUTED_VALUE"""),"MVC")</f>
        <v>MVC</v>
      </c>
      <c r="D154" s="1" t="str">
        <f ca="1">IFERROR(__xludf.DUMMYFUNCTION("""COMPUTED_VALUE"""),"17-15")</f>
        <v>17-15</v>
      </c>
      <c r="E154" s="1" t="str">
        <f ca="1">IFERROR(__xludf.DUMMYFUNCTION("""COMPUTED_VALUE"""),"+1.79")</f>
        <v>+1.79</v>
      </c>
      <c r="F154" s="1">
        <f ca="1">IFERROR(__xludf.DUMMYFUNCTION("""COMPUTED_VALUE"""),104.6)</f>
        <v>104.6</v>
      </c>
      <c r="G154" s="1">
        <f ca="1">IFERROR(__xludf.DUMMYFUNCTION("""COMPUTED_VALUE"""),172)</f>
        <v>172</v>
      </c>
      <c r="H154" s="1">
        <f ca="1">IFERROR(__xludf.DUMMYFUNCTION("""COMPUTED_VALUE"""),102.8)</f>
        <v>102.8</v>
      </c>
      <c r="I154" s="1">
        <f ca="1">IFERROR(__xludf.DUMMYFUNCTION("""COMPUTED_VALUE"""),140)</f>
        <v>140</v>
      </c>
      <c r="J154" s="1">
        <f ca="1">IFERROR(__xludf.DUMMYFUNCTION("""COMPUTED_VALUE"""),65.8)</f>
        <v>65.8</v>
      </c>
      <c r="K154" s="1">
        <f ca="1">IFERROR(__xludf.DUMMYFUNCTION("""COMPUTED_VALUE"""),275)</f>
        <v>275</v>
      </c>
      <c r="L154" s="1">
        <f ca="1">IFERROR(__xludf.DUMMYFUNCTION("""COMPUTED_VALUE"""),-0.01)</f>
        <v>-0.01</v>
      </c>
      <c r="M154" s="1">
        <f ca="1">IFERROR(__xludf.DUMMYFUNCTION("""COMPUTED_VALUE"""),210)</f>
        <v>210</v>
      </c>
      <c r="N154" s="1">
        <f ca="1">IFERROR(__xludf.DUMMYFUNCTION("""COMPUTED_VALUE"""),-1.12)</f>
        <v>-1.1200000000000001</v>
      </c>
      <c r="O154" s="1">
        <f ca="1">IFERROR(__xludf.DUMMYFUNCTION("""COMPUTED_VALUE"""),168)</f>
        <v>168</v>
      </c>
      <c r="P154" s="1">
        <f ca="1">IFERROR(__xludf.DUMMYFUNCTION("""COMPUTED_VALUE"""),103)</f>
        <v>103</v>
      </c>
      <c r="Q154" s="1">
        <f ca="1">IFERROR(__xludf.DUMMYFUNCTION("""COMPUTED_VALUE"""),226)</f>
        <v>226</v>
      </c>
      <c r="R154" s="1">
        <f ca="1">IFERROR(__xludf.DUMMYFUNCTION("""COMPUTED_VALUE"""),104.1)</f>
        <v>104.1</v>
      </c>
      <c r="S154" s="1">
        <f ca="1">IFERROR(__xludf.DUMMYFUNCTION("""COMPUTED_VALUE"""),138)</f>
        <v>138</v>
      </c>
      <c r="T154" s="1" t="str">
        <f ca="1">IFERROR(__xludf.DUMMYFUNCTION("""COMPUTED_VALUE"""),"+0.46")</f>
        <v>+0.46</v>
      </c>
      <c r="U154" s="1">
        <f ca="1">IFERROR(__xludf.DUMMYFUNCTION("""COMPUTED_VALUE"""),142)</f>
        <v>142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IFERROR(__xludf.DUMMYFUNCTION("""COMPUTED_VALUE"""),"UAB")</f>
        <v>UAB</v>
      </c>
      <c r="C155" s="1" t="str">
        <f ca="1">IFERROR(__xludf.DUMMYFUNCTION("""COMPUTED_VALUE"""),"CUSA")</f>
        <v>CUSA</v>
      </c>
      <c r="D155" s="1" t="str">
        <f ca="1">IFERROR(__xludf.DUMMYFUNCTION("""COMPUTED_VALUE"""),"20-15")</f>
        <v>20-15</v>
      </c>
      <c r="E155" s="1" t="str">
        <f ca="1">IFERROR(__xludf.DUMMYFUNCTION("""COMPUTED_VALUE"""),"+1.70")</f>
        <v>+1.70</v>
      </c>
      <c r="F155" s="1">
        <f ca="1">IFERROR(__xludf.DUMMYFUNCTION("""COMPUTED_VALUE"""),107.1)</f>
        <v>107.1</v>
      </c>
      <c r="G155" s="1">
        <f ca="1">IFERROR(__xludf.DUMMYFUNCTION("""COMPUTED_VALUE"""),123)</f>
        <v>123</v>
      </c>
      <c r="H155" s="1">
        <f ca="1">IFERROR(__xludf.DUMMYFUNCTION("""COMPUTED_VALUE"""),105.4)</f>
        <v>105.4</v>
      </c>
      <c r="I155" s="1">
        <f ca="1">IFERROR(__xludf.DUMMYFUNCTION("""COMPUTED_VALUE"""),187)</f>
        <v>187</v>
      </c>
      <c r="J155" s="1">
        <f ca="1">IFERROR(__xludf.DUMMYFUNCTION("""COMPUTED_VALUE"""),65.2)</f>
        <v>65.2</v>
      </c>
      <c r="K155" s="1">
        <f ca="1">IFERROR(__xludf.DUMMYFUNCTION("""COMPUTED_VALUE"""),299)</f>
        <v>299</v>
      </c>
      <c r="L155" s="1">
        <f ca="1">IFERROR(__xludf.DUMMYFUNCTION("""COMPUTED_VALUE"""),-0.021)</f>
        <v>-2.1000000000000001E-2</v>
      </c>
      <c r="M155" s="1">
        <f ca="1">IFERROR(__xludf.DUMMYFUNCTION("""COMPUTED_VALUE"""),237)</f>
        <v>237</v>
      </c>
      <c r="N155" s="1">
        <f ca="1">IFERROR(__xludf.DUMMYFUNCTION("""COMPUTED_VALUE"""),-1.93)</f>
        <v>-1.93</v>
      </c>
      <c r="O155" s="1">
        <f ca="1">IFERROR(__xludf.DUMMYFUNCTION("""COMPUTED_VALUE"""),191)</f>
        <v>191</v>
      </c>
      <c r="P155" s="1">
        <f ca="1">IFERROR(__xludf.DUMMYFUNCTION("""COMPUTED_VALUE"""),101.7)</f>
        <v>101.7</v>
      </c>
      <c r="Q155" s="1">
        <f ca="1">IFERROR(__xludf.DUMMYFUNCTION("""COMPUTED_VALUE"""),280)</f>
        <v>280</v>
      </c>
      <c r="R155" s="1">
        <f ca="1">IFERROR(__xludf.DUMMYFUNCTION("""COMPUTED_VALUE"""),103.6)</f>
        <v>103.6</v>
      </c>
      <c r="S155" s="1">
        <f ca="1">IFERROR(__xludf.DUMMYFUNCTION("""COMPUTED_VALUE"""),115)</f>
        <v>115</v>
      </c>
      <c r="T155" s="1">
        <f ca="1">IFERROR(__xludf.DUMMYFUNCTION("""COMPUTED_VALUE"""),-5.23)</f>
        <v>-5.23</v>
      </c>
      <c r="U155" s="1">
        <f ca="1">IFERROR(__xludf.DUMMYFUNCTION("""COMPUTED_VALUE"""),305)</f>
        <v>305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IFERROR(__xludf.DUMMYFUNCTION("""COMPUTED_VALUE"""),"Miami OH")</f>
        <v>Miami OH</v>
      </c>
      <c r="C156" s="1" t="str">
        <f ca="1">IFERROR(__xludf.DUMMYFUNCTION("""COMPUTED_VALUE"""),"MAC")</f>
        <v>MAC</v>
      </c>
      <c r="D156" s="1" t="str">
        <f ca="1">IFERROR(__xludf.DUMMYFUNCTION("""COMPUTED_VALUE"""),"15-17")</f>
        <v>15-17</v>
      </c>
      <c r="E156" s="1" t="str">
        <f ca="1">IFERROR(__xludf.DUMMYFUNCTION("""COMPUTED_VALUE"""),"+1.62")</f>
        <v>+1.62</v>
      </c>
      <c r="F156" s="1">
        <f ca="1">IFERROR(__xludf.DUMMYFUNCTION("""COMPUTED_VALUE"""),104.8)</f>
        <v>104.8</v>
      </c>
      <c r="G156" s="1">
        <f ca="1">IFERROR(__xludf.DUMMYFUNCTION("""COMPUTED_VALUE"""),169)</f>
        <v>169</v>
      </c>
      <c r="H156" s="1">
        <f ca="1">IFERROR(__xludf.DUMMYFUNCTION("""COMPUTED_VALUE"""),103.2)</f>
        <v>103.2</v>
      </c>
      <c r="I156" s="1">
        <f ca="1">IFERROR(__xludf.DUMMYFUNCTION("""COMPUTED_VALUE"""),146)</f>
        <v>146</v>
      </c>
      <c r="J156" s="1">
        <f ca="1">IFERROR(__xludf.DUMMYFUNCTION("""COMPUTED_VALUE"""),66.3)</f>
        <v>66.3</v>
      </c>
      <c r="K156" s="1">
        <f ca="1">IFERROR(__xludf.DUMMYFUNCTION("""COMPUTED_VALUE"""),245)</f>
        <v>245</v>
      </c>
      <c r="L156" s="1">
        <f ca="1">IFERROR(__xludf.DUMMYFUNCTION("""COMPUTED_VALUE"""),-0.025)</f>
        <v>-2.5000000000000001E-2</v>
      </c>
      <c r="M156" s="1">
        <f ca="1">IFERROR(__xludf.DUMMYFUNCTION("""COMPUTED_VALUE"""),247)</f>
        <v>247</v>
      </c>
      <c r="N156" s="1" t="str">
        <f ca="1">IFERROR(__xludf.DUMMYFUNCTION("""COMPUTED_VALUE"""),"+3.13")</f>
        <v>+3.13</v>
      </c>
      <c r="O156" s="1">
        <f ca="1">IFERROR(__xludf.DUMMYFUNCTION("""COMPUTED_VALUE"""),90)</f>
        <v>90</v>
      </c>
      <c r="P156" s="1">
        <f ca="1">IFERROR(__xludf.DUMMYFUNCTION("""COMPUTED_VALUE"""),105.7)</f>
        <v>105.7</v>
      </c>
      <c r="Q156" s="1">
        <f ca="1">IFERROR(__xludf.DUMMYFUNCTION("""COMPUTED_VALUE"""),94)</f>
        <v>94</v>
      </c>
      <c r="R156" s="1">
        <f ca="1">IFERROR(__xludf.DUMMYFUNCTION("""COMPUTED_VALUE"""),102.5)</f>
        <v>102.5</v>
      </c>
      <c r="S156" s="1">
        <f ca="1">IFERROR(__xludf.DUMMYFUNCTION("""COMPUTED_VALUE"""),88)</f>
        <v>88</v>
      </c>
      <c r="T156" s="1">
        <f ca="1">IFERROR(__xludf.DUMMYFUNCTION("""COMPUTED_VALUE"""),-0.36)</f>
        <v>-0.36</v>
      </c>
      <c r="U156" s="1">
        <f ca="1">IFERROR(__xludf.DUMMYFUNCTION("""COMPUTED_VALUE"""),174)</f>
        <v>174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IFERROR(__xludf.DUMMYFUNCTION("""COMPUTED_VALUE"""),"UTSA")</f>
        <v>UTSA</v>
      </c>
      <c r="C157" s="1" t="str">
        <f ca="1">IFERROR(__xludf.DUMMYFUNCTION("""COMPUTED_VALUE"""),"CUSA")</f>
        <v>CUSA</v>
      </c>
      <c r="D157" s="1" t="str">
        <f ca="1">IFERROR(__xludf.DUMMYFUNCTION("""COMPUTED_VALUE"""),"17-15")</f>
        <v>17-15</v>
      </c>
      <c r="E157" s="1" t="str">
        <f ca="1">IFERROR(__xludf.DUMMYFUNCTION("""COMPUTED_VALUE"""),"+1.54")</f>
        <v>+1.54</v>
      </c>
      <c r="F157" s="1">
        <f ca="1">IFERROR(__xludf.DUMMYFUNCTION("""COMPUTED_VALUE"""),105.8)</f>
        <v>105.8</v>
      </c>
      <c r="G157" s="1">
        <f ca="1">IFERROR(__xludf.DUMMYFUNCTION("""COMPUTED_VALUE"""),148)</f>
        <v>148</v>
      </c>
      <c r="H157" s="1">
        <f ca="1">IFERROR(__xludf.DUMMYFUNCTION("""COMPUTED_VALUE"""),104.3)</f>
        <v>104.3</v>
      </c>
      <c r="I157" s="1">
        <f ca="1">IFERROR(__xludf.DUMMYFUNCTION("""COMPUTED_VALUE"""),163)</f>
        <v>163</v>
      </c>
      <c r="J157" s="1">
        <f ca="1">IFERROR(__xludf.DUMMYFUNCTION("""COMPUTED_VALUE"""),72.1)</f>
        <v>72.099999999999994</v>
      </c>
      <c r="K157" s="1">
        <f ca="1">IFERROR(__xludf.DUMMYFUNCTION("""COMPUTED_VALUE"""),19)</f>
        <v>19</v>
      </c>
      <c r="L157" s="1">
        <f ca="1">IFERROR(__xludf.DUMMYFUNCTION("""COMPUTED_VALUE"""),-0.017)</f>
        <v>-1.7000000000000001E-2</v>
      </c>
      <c r="M157" s="1">
        <f ca="1">IFERROR(__xludf.DUMMYFUNCTION("""COMPUTED_VALUE"""),226)</f>
        <v>226</v>
      </c>
      <c r="N157" s="1" t="str">
        <f ca="1">IFERROR(__xludf.DUMMYFUNCTION("""COMPUTED_VALUE"""),"+0.50")</f>
        <v>+0.50</v>
      </c>
      <c r="O157" s="1">
        <f ca="1">IFERROR(__xludf.DUMMYFUNCTION("""COMPUTED_VALUE"""),125)</f>
        <v>125</v>
      </c>
      <c r="P157" s="1">
        <f ca="1">IFERROR(__xludf.DUMMYFUNCTION("""COMPUTED_VALUE"""),103.2)</f>
        <v>103.2</v>
      </c>
      <c r="Q157" s="1">
        <f ca="1">IFERROR(__xludf.DUMMYFUNCTION("""COMPUTED_VALUE"""),211)</f>
        <v>211</v>
      </c>
      <c r="R157" s="1">
        <f ca="1">IFERROR(__xludf.DUMMYFUNCTION("""COMPUTED_VALUE"""),102.7)</f>
        <v>102.7</v>
      </c>
      <c r="S157" s="1">
        <f ca="1">IFERROR(__xludf.DUMMYFUNCTION("""COMPUTED_VALUE"""),91)</f>
        <v>91</v>
      </c>
      <c r="T157" s="1" t="str">
        <f ca="1">IFERROR(__xludf.DUMMYFUNCTION("""COMPUTED_VALUE"""),"+4.13")</f>
        <v>+4.13</v>
      </c>
      <c r="U157" s="1">
        <f ca="1">IFERROR(__xludf.DUMMYFUNCTION("""COMPUTED_VALUE"""),54)</f>
        <v>54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IFERROR(__xludf.DUMMYFUNCTION("""COMPUTED_VALUE"""),"UT Arlington")</f>
        <v>UT Arlington</v>
      </c>
      <c r="C158" s="1" t="str">
        <f ca="1">IFERROR(__xludf.DUMMYFUNCTION("""COMPUTED_VALUE"""),"SB")</f>
        <v>SB</v>
      </c>
      <c r="D158" s="1" t="str">
        <f ca="1">IFERROR(__xludf.DUMMYFUNCTION("""COMPUTED_VALUE"""),"17-16")</f>
        <v>17-16</v>
      </c>
      <c r="E158" s="1" t="str">
        <f ca="1">IFERROR(__xludf.DUMMYFUNCTION("""COMPUTED_VALUE"""),"+1.45")</f>
        <v>+1.45</v>
      </c>
      <c r="F158" s="1">
        <f ca="1">IFERROR(__xludf.DUMMYFUNCTION("""COMPUTED_VALUE"""),101.3)</f>
        <v>101.3</v>
      </c>
      <c r="G158" s="1">
        <f ca="1">IFERROR(__xludf.DUMMYFUNCTION("""COMPUTED_VALUE"""),241)</f>
        <v>241</v>
      </c>
      <c r="H158" s="1">
        <f ca="1">IFERROR(__xludf.DUMMYFUNCTION("""COMPUTED_VALUE"""),99.9)</f>
        <v>99.9</v>
      </c>
      <c r="I158" s="1">
        <f ca="1">IFERROR(__xludf.DUMMYFUNCTION("""COMPUTED_VALUE"""),93)</f>
        <v>93</v>
      </c>
      <c r="J158" s="1">
        <f ca="1">IFERROR(__xludf.DUMMYFUNCTION("""COMPUTED_VALUE"""),66.3)</f>
        <v>66.3</v>
      </c>
      <c r="K158" s="1">
        <f ca="1">IFERROR(__xludf.DUMMYFUNCTION("""COMPUTED_VALUE"""),251)</f>
        <v>251</v>
      </c>
      <c r="L158" s="1" t="str">
        <f ca="1">IFERROR(__xludf.DUMMYFUNCTION("""COMPUTED_VALUE"""),"+.038")</f>
        <v>+.038</v>
      </c>
      <c r="M158" s="1">
        <f ca="1">IFERROR(__xludf.DUMMYFUNCTION("""COMPUTED_VALUE"""),87)</f>
        <v>87</v>
      </c>
      <c r="N158" s="1" t="str">
        <f ca="1">IFERROR(__xludf.DUMMYFUNCTION("""COMPUTED_VALUE"""),"+1.15")</f>
        <v>+1.15</v>
      </c>
      <c r="O158" s="1">
        <f ca="1">IFERROR(__xludf.DUMMYFUNCTION("""COMPUTED_VALUE"""),112)</f>
        <v>112</v>
      </c>
      <c r="P158" s="1">
        <f ca="1">IFERROR(__xludf.DUMMYFUNCTION("""COMPUTED_VALUE"""),105)</f>
        <v>105</v>
      </c>
      <c r="Q158" s="1">
        <f ca="1">IFERROR(__xludf.DUMMYFUNCTION("""COMPUTED_VALUE"""),127)</f>
        <v>127</v>
      </c>
      <c r="R158" s="1">
        <f ca="1">IFERROR(__xludf.DUMMYFUNCTION("""COMPUTED_VALUE"""),103.9)</f>
        <v>103.9</v>
      </c>
      <c r="S158" s="1">
        <f ca="1">IFERROR(__xludf.DUMMYFUNCTION("""COMPUTED_VALUE"""),126)</f>
        <v>126</v>
      </c>
      <c r="T158" s="1" t="str">
        <f ca="1">IFERROR(__xludf.DUMMYFUNCTION("""COMPUTED_VALUE"""),"+5.43")</f>
        <v>+5.43</v>
      </c>
      <c r="U158" s="1">
        <f ca="1">IFERROR(__xludf.DUMMYFUNCTION("""COMPUTED_VALUE"""),30)</f>
        <v>30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IFERROR(__xludf.DUMMYFUNCTION("""COMPUTED_VALUE"""),"Pepperdine")</f>
        <v>Pepperdine</v>
      </c>
      <c r="C159" s="1" t="str">
        <f ca="1">IFERROR(__xludf.DUMMYFUNCTION("""COMPUTED_VALUE"""),"WCC")</f>
        <v>WCC</v>
      </c>
      <c r="D159" s="1" t="str">
        <f ca="1">IFERROR(__xludf.DUMMYFUNCTION("""COMPUTED_VALUE"""),"16-18")</f>
        <v>16-18</v>
      </c>
      <c r="E159" s="1" t="str">
        <f ca="1">IFERROR(__xludf.DUMMYFUNCTION("""COMPUTED_VALUE"""),"+1.43")</f>
        <v>+1.43</v>
      </c>
      <c r="F159" s="1">
        <f ca="1">IFERROR(__xludf.DUMMYFUNCTION("""COMPUTED_VALUE"""),107)</f>
        <v>107</v>
      </c>
      <c r="G159" s="1">
        <f ca="1">IFERROR(__xludf.DUMMYFUNCTION("""COMPUTED_VALUE"""),124)</f>
        <v>124</v>
      </c>
      <c r="H159" s="1">
        <f ca="1">IFERROR(__xludf.DUMMYFUNCTION("""COMPUTED_VALUE"""),105.6)</f>
        <v>105.6</v>
      </c>
      <c r="I159" s="1">
        <f ca="1">IFERROR(__xludf.DUMMYFUNCTION("""COMPUTED_VALUE"""),194)</f>
        <v>194</v>
      </c>
      <c r="J159" s="1">
        <f ca="1">IFERROR(__xludf.DUMMYFUNCTION("""COMPUTED_VALUE"""),70.3)</f>
        <v>70.3</v>
      </c>
      <c r="K159" s="1">
        <f ca="1">IFERROR(__xludf.DUMMYFUNCTION("""COMPUTED_VALUE"""),58)</f>
        <v>58</v>
      </c>
      <c r="L159" s="1">
        <f ca="1">IFERROR(__xludf.DUMMYFUNCTION("""COMPUTED_VALUE"""),-0.057)</f>
        <v>-5.7000000000000002E-2</v>
      </c>
      <c r="M159" s="1">
        <f ca="1">IFERROR(__xludf.DUMMYFUNCTION("""COMPUTED_VALUE"""),304)</f>
        <v>304</v>
      </c>
      <c r="N159" s="1">
        <f ca="1">IFERROR(__xludf.DUMMYFUNCTION("""COMPUTED_VALUE"""),-0.19)</f>
        <v>-0.19</v>
      </c>
      <c r="O159" s="1">
        <f ca="1">IFERROR(__xludf.DUMMYFUNCTION("""COMPUTED_VALUE"""),144)</f>
        <v>144</v>
      </c>
      <c r="P159" s="1">
        <f ca="1">IFERROR(__xludf.DUMMYFUNCTION("""COMPUTED_VALUE"""),104.1)</f>
        <v>104.1</v>
      </c>
      <c r="Q159" s="1">
        <f ca="1">IFERROR(__xludf.DUMMYFUNCTION("""COMPUTED_VALUE"""),161)</f>
        <v>161</v>
      </c>
      <c r="R159" s="1">
        <f ca="1">IFERROR(__xludf.DUMMYFUNCTION("""COMPUTED_VALUE"""),104.3)</f>
        <v>104.3</v>
      </c>
      <c r="S159" s="1">
        <f ca="1">IFERROR(__xludf.DUMMYFUNCTION("""COMPUTED_VALUE"""),153)</f>
        <v>153</v>
      </c>
      <c r="T159" s="1">
        <f ca="1">IFERROR(__xludf.DUMMYFUNCTION("""COMPUTED_VALUE"""),-7)</f>
        <v>-7</v>
      </c>
      <c r="U159" s="1">
        <f ca="1">IFERROR(__xludf.DUMMYFUNCTION("""COMPUTED_VALUE"""),333)</f>
        <v>333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IFERROR(__xludf.DUMMYFUNCTION("""COMPUTED_VALUE"""),"Abilene Christian15")</f>
        <v>Abilene Christian15</v>
      </c>
      <c r="C160" s="1" t="str">
        <f ca="1">IFERROR(__xludf.DUMMYFUNCTION("""COMPUTED_VALUE"""),"Slnd")</f>
        <v>Slnd</v>
      </c>
      <c r="D160" s="1" t="str">
        <f ca="1">IFERROR(__xludf.DUMMYFUNCTION("""COMPUTED_VALUE"""),"27-7")</f>
        <v>27-7</v>
      </c>
      <c r="E160" s="1" t="str">
        <f ca="1">IFERROR(__xludf.DUMMYFUNCTION("""COMPUTED_VALUE"""),"+1.35")</f>
        <v>+1.35</v>
      </c>
      <c r="F160" s="1">
        <f ca="1">IFERROR(__xludf.DUMMYFUNCTION("""COMPUTED_VALUE"""),103.4)</f>
        <v>103.4</v>
      </c>
      <c r="G160" s="1">
        <f ca="1">IFERROR(__xludf.DUMMYFUNCTION("""COMPUTED_VALUE"""),196)</f>
        <v>196</v>
      </c>
      <c r="H160" s="1">
        <f ca="1">IFERROR(__xludf.DUMMYFUNCTION("""COMPUTED_VALUE"""),102)</f>
        <v>102</v>
      </c>
      <c r="I160" s="1">
        <f ca="1">IFERROR(__xludf.DUMMYFUNCTION("""COMPUTED_VALUE"""),121)</f>
        <v>121</v>
      </c>
      <c r="J160" s="1">
        <f ca="1">IFERROR(__xludf.DUMMYFUNCTION("""COMPUTED_VALUE"""),66.1)</f>
        <v>66.099999999999994</v>
      </c>
      <c r="K160" s="1">
        <f ca="1">IFERROR(__xludf.DUMMYFUNCTION("""COMPUTED_VALUE"""),256)</f>
        <v>256</v>
      </c>
      <c r="L160" s="1" t="str">
        <f ca="1">IFERROR(__xludf.DUMMYFUNCTION("""COMPUTED_VALUE"""),"+.123")</f>
        <v>+.123</v>
      </c>
      <c r="M160" s="1">
        <f ca="1">IFERROR(__xludf.DUMMYFUNCTION("""COMPUTED_VALUE"""),5)</f>
        <v>5</v>
      </c>
      <c r="N160" s="1">
        <f ca="1">IFERROR(__xludf.DUMMYFUNCTION("""COMPUTED_VALUE"""),-8.67)</f>
        <v>-8.67</v>
      </c>
      <c r="O160" s="1">
        <f ca="1">IFERROR(__xludf.DUMMYFUNCTION("""COMPUTED_VALUE"""),341)</f>
        <v>341</v>
      </c>
      <c r="P160" s="1">
        <f ca="1">IFERROR(__xludf.DUMMYFUNCTION("""COMPUTED_VALUE"""),100)</f>
        <v>100</v>
      </c>
      <c r="Q160" s="1">
        <f ca="1">IFERROR(__xludf.DUMMYFUNCTION("""COMPUTED_VALUE"""),326)</f>
        <v>326</v>
      </c>
      <c r="R160" s="1">
        <f ca="1">IFERROR(__xludf.DUMMYFUNCTION("""COMPUTED_VALUE"""),108.7)</f>
        <v>108.7</v>
      </c>
      <c r="S160" s="1">
        <f ca="1">IFERROR(__xludf.DUMMYFUNCTION("""COMPUTED_VALUE"""),336)</f>
        <v>336</v>
      </c>
      <c r="T160" s="1">
        <f ca="1">IFERROR(__xludf.DUMMYFUNCTION("""COMPUTED_VALUE"""),-4.75)</f>
        <v>-4.75</v>
      </c>
      <c r="U160" s="1">
        <f ca="1">IFERROR(__xludf.DUMMYFUNCTION("""COMPUTED_VALUE"""),295)</f>
        <v>295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IFERROR(__xludf.DUMMYFUNCTION("""COMPUTED_VALUE"""),"Brown")</f>
        <v>Brown</v>
      </c>
      <c r="C161" s="1" t="str">
        <f ca="1">IFERROR(__xludf.DUMMYFUNCTION("""COMPUTED_VALUE"""),"Ivy")</f>
        <v>Ivy</v>
      </c>
      <c r="D161" s="1" t="str">
        <f ca="1">IFERROR(__xludf.DUMMYFUNCTION("""COMPUTED_VALUE"""),"20-12")</f>
        <v>20-12</v>
      </c>
      <c r="E161" s="1" t="str">
        <f ca="1">IFERROR(__xludf.DUMMYFUNCTION("""COMPUTED_VALUE"""),"+1.24")</f>
        <v>+1.24</v>
      </c>
      <c r="F161" s="1">
        <f ca="1">IFERROR(__xludf.DUMMYFUNCTION("""COMPUTED_VALUE"""),99.6)</f>
        <v>99.6</v>
      </c>
      <c r="G161" s="1">
        <f ca="1">IFERROR(__xludf.DUMMYFUNCTION("""COMPUTED_VALUE"""),269)</f>
        <v>269</v>
      </c>
      <c r="H161" s="1">
        <f ca="1">IFERROR(__xludf.DUMMYFUNCTION("""COMPUTED_VALUE"""),98.4)</f>
        <v>98.4</v>
      </c>
      <c r="I161" s="1">
        <f ca="1">IFERROR(__xludf.DUMMYFUNCTION("""COMPUTED_VALUE"""),68)</f>
        <v>68</v>
      </c>
      <c r="J161" s="1">
        <f ca="1">IFERROR(__xludf.DUMMYFUNCTION("""COMPUTED_VALUE"""),71.1)</f>
        <v>71.099999999999994</v>
      </c>
      <c r="K161" s="1">
        <f ca="1">IFERROR(__xludf.DUMMYFUNCTION("""COMPUTED_VALUE"""),36)</f>
        <v>36</v>
      </c>
      <c r="L161" s="1" t="str">
        <f ca="1">IFERROR(__xludf.DUMMYFUNCTION("""COMPUTED_VALUE"""),"+.027")</f>
        <v>+.027</v>
      </c>
      <c r="M161" s="1">
        <f ca="1">IFERROR(__xludf.DUMMYFUNCTION("""COMPUTED_VALUE"""),107)</f>
        <v>107</v>
      </c>
      <c r="N161" s="1">
        <f ca="1">IFERROR(__xludf.DUMMYFUNCTION("""COMPUTED_VALUE"""),-2.49)</f>
        <v>-2.4900000000000002</v>
      </c>
      <c r="O161" s="1">
        <f ca="1">IFERROR(__xludf.DUMMYFUNCTION("""COMPUTED_VALUE"""),212)</f>
        <v>212</v>
      </c>
      <c r="P161" s="1">
        <f ca="1">IFERROR(__xludf.DUMMYFUNCTION("""COMPUTED_VALUE"""),102.5)</f>
        <v>102.5</v>
      </c>
      <c r="Q161" s="1">
        <f ca="1">IFERROR(__xludf.DUMMYFUNCTION("""COMPUTED_VALUE"""),248)</f>
        <v>248</v>
      </c>
      <c r="R161" s="1">
        <f ca="1">IFERROR(__xludf.DUMMYFUNCTION("""COMPUTED_VALUE"""),105)</f>
        <v>105</v>
      </c>
      <c r="S161" s="1">
        <f ca="1">IFERROR(__xludf.DUMMYFUNCTION("""COMPUTED_VALUE"""),177)</f>
        <v>177</v>
      </c>
      <c r="T161" s="1">
        <f ca="1">IFERROR(__xludf.DUMMYFUNCTION("""COMPUTED_VALUE"""),-5.66)</f>
        <v>-5.66</v>
      </c>
      <c r="U161" s="1">
        <f ca="1">IFERROR(__xludf.DUMMYFUNCTION("""COMPUTED_VALUE"""),317)</f>
        <v>317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IFERROR(__xludf.DUMMYFUNCTION("""COMPUTED_VALUE"""),"Coastal Carolina")</f>
        <v>Coastal Carolina</v>
      </c>
      <c r="C162" s="1" t="str">
        <f ca="1">IFERROR(__xludf.DUMMYFUNCTION("""COMPUTED_VALUE"""),"SB")</f>
        <v>SB</v>
      </c>
      <c r="D162" s="1" t="str">
        <f ca="1">IFERROR(__xludf.DUMMYFUNCTION("""COMPUTED_VALUE"""),"17-17")</f>
        <v>17-17</v>
      </c>
      <c r="E162" s="1" t="str">
        <f ca="1">IFERROR(__xludf.DUMMYFUNCTION("""COMPUTED_VALUE"""),"+1.03")</f>
        <v>+1.03</v>
      </c>
      <c r="F162" s="1">
        <f ca="1">IFERROR(__xludf.DUMMYFUNCTION("""COMPUTED_VALUE"""),106.8)</f>
        <v>106.8</v>
      </c>
      <c r="G162" s="1">
        <f ca="1">IFERROR(__xludf.DUMMYFUNCTION("""COMPUTED_VALUE"""),132)</f>
        <v>132</v>
      </c>
      <c r="H162" s="1">
        <f ca="1">IFERROR(__xludf.DUMMYFUNCTION("""COMPUTED_VALUE"""),105.7)</f>
        <v>105.7</v>
      </c>
      <c r="I162" s="1">
        <f ca="1">IFERROR(__xludf.DUMMYFUNCTION("""COMPUTED_VALUE"""),197)</f>
        <v>197</v>
      </c>
      <c r="J162" s="1">
        <f ca="1">IFERROR(__xludf.DUMMYFUNCTION("""COMPUTED_VALUE"""),69.8)</f>
        <v>69.8</v>
      </c>
      <c r="K162" s="1">
        <f ca="1">IFERROR(__xludf.DUMMYFUNCTION("""COMPUTED_VALUE"""),76)</f>
        <v>76</v>
      </c>
      <c r="L162" s="1">
        <f ca="1">IFERROR(__xludf.DUMMYFUNCTION("""COMPUTED_VALUE"""),-0.071)</f>
        <v>-7.0999999999999994E-2</v>
      </c>
      <c r="M162" s="1">
        <f ca="1">IFERROR(__xludf.DUMMYFUNCTION("""COMPUTED_VALUE"""),326)</f>
        <v>326</v>
      </c>
      <c r="N162" s="1">
        <f ca="1">IFERROR(__xludf.DUMMYFUNCTION("""COMPUTED_VALUE"""),-0.98)</f>
        <v>-0.98</v>
      </c>
      <c r="O162" s="1">
        <f ca="1">IFERROR(__xludf.DUMMYFUNCTION("""COMPUTED_VALUE"""),165)</f>
        <v>165</v>
      </c>
      <c r="P162" s="1">
        <f ca="1">IFERROR(__xludf.DUMMYFUNCTION("""COMPUTED_VALUE"""),105.2)</f>
        <v>105.2</v>
      </c>
      <c r="Q162" s="1">
        <f ca="1">IFERROR(__xludf.DUMMYFUNCTION("""COMPUTED_VALUE"""),119)</f>
        <v>119</v>
      </c>
      <c r="R162" s="1">
        <f ca="1">IFERROR(__xludf.DUMMYFUNCTION("""COMPUTED_VALUE"""),106.2)</f>
        <v>106.2</v>
      </c>
      <c r="S162" s="1">
        <f ca="1">IFERROR(__xludf.DUMMYFUNCTION("""COMPUTED_VALUE"""),220)</f>
        <v>220</v>
      </c>
      <c r="T162" s="1">
        <f ca="1">IFERROR(__xludf.DUMMYFUNCTION("""COMPUTED_VALUE"""),-0.54)</f>
        <v>-0.54</v>
      </c>
      <c r="U162" s="1">
        <f ca="1">IFERROR(__xludf.DUMMYFUNCTION("""COMPUTED_VALUE"""),176)</f>
        <v>176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IFERROR(__xludf.DUMMYFUNCTION("""COMPUTED_VALUE"""),"Vanderbilt")</f>
        <v>Vanderbilt</v>
      </c>
      <c r="C163" s="1" t="str">
        <f ca="1">IFERROR(__xludf.DUMMYFUNCTION("""COMPUTED_VALUE"""),"SEC")</f>
        <v>SEC</v>
      </c>
      <c r="D163" s="2">
        <f ca="1">IFERROR(__xludf.DUMMYFUNCTION("""COMPUTED_VALUE"""),44827)</f>
        <v>44827</v>
      </c>
      <c r="E163" s="1" t="str">
        <f ca="1">IFERROR(__xludf.DUMMYFUNCTION("""COMPUTED_VALUE"""),"+0.81")</f>
        <v>+0.81</v>
      </c>
      <c r="F163" s="1">
        <f ca="1">IFERROR(__xludf.DUMMYFUNCTION("""COMPUTED_VALUE"""),102.2)</f>
        <v>102.2</v>
      </c>
      <c r="G163" s="1">
        <f ca="1">IFERROR(__xludf.DUMMYFUNCTION("""COMPUTED_VALUE"""),215)</f>
        <v>215</v>
      </c>
      <c r="H163" s="1">
        <f ca="1">IFERROR(__xludf.DUMMYFUNCTION("""COMPUTED_VALUE"""),101.4)</f>
        <v>101.4</v>
      </c>
      <c r="I163" s="1">
        <f ca="1">IFERROR(__xludf.DUMMYFUNCTION("""COMPUTED_VALUE"""),116)</f>
        <v>116</v>
      </c>
      <c r="J163" s="1">
        <f ca="1">IFERROR(__xludf.DUMMYFUNCTION("""COMPUTED_VALUE"""),67.3)</f>
        <v>67.3</v>
      </c>
      <c r="K163" s="1">
        <f ca="1">IFERROR(__xludf.DUMMYFUNCTION("""COMPUTED_VALUE"""),194)</f>
        <v>194</v>
      </c>
      <c r="L163" s="1">
        <f ca="1">IFERROR(__xludf.DUMMYFUNCTION("""COMPUTED_VALUE"""),-0.109)</f>
        <v>-0.109</v>
      </c>
      <c r="M163" s="1">
        <f ca="1">IFERROR(__xludf.DUMMYFUNCTION("""COMPUTED_VALUE"""),346)</f>
        <v>346</v>
      </c>
      <c r="N163" s="1" t="str">
        <f ca="1">IFERROR(__xludf.DUMMYFUNCTION("""COMPUTED_VALUE"""),"+9.34")</f>
        <v>+9.34</v>
      </c>
      <c r="O163" s="1">
        <f ca="1">IFERROR(__xludf.DUMMYFUNCTION("""COMPUTED_VALUE"""),40)</f>
        <v>40</v>
      </c>
      <c r="P163" s="1">
        <f ca="1">IFERROR(__xludf.DUMMYFUNCTION("""COMPUTED_VALUE"""),109.3)</f>
        <v>109.3</v>
      </c>
      <c r="Q163" s="1">
        <f ca="1">IFERROR(__xludf.DUMMYFUNCTION("""COMPUTED_VALUE"""),32)</f>
        <v>32</v>
      </c>
      <c r="R163" s="1">
        <f ca="1">IFERROR(__xludf.DUMMYFUNCTION("""COMPUTED_VALUE"""),99.9)</f>
        <v>99.9</v>
      </c>
      <c r="S163" s="1">
        <f ca="1">IFERROR(__xludf.DUMMYFUNCTION("""COMPUTED_VALUE"""),43)</f>
        <v>43</v>
      </c>
      <c r="T163" s="1">
        <f ca="1">IFERROR(__xludf.DUMMYFUNCTION("""COMPUTED_VALUE"""),-2.95)</f>
        <v>-2.95</v>
      </c>
      <c r="U163" s="1">
        <f ca="1">IFERROR(__xludf.DUMMYFUNCTION("""COMPUTED_VALUE"""),245)</f>
        <v>245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IFERROR(__xludf.DUMMYFUNCTION("""COMPUTED_VALUE"""),"George Mason")</f>
        <v>George Mason</v>
      </c>
      <c r="C164" s="1" t="str">
        <f ca="1">IFERROR(__xludf.DUMMYFUNCTION("""COMPUTED_VALUE"""),"A10")</f>
        <v>A10</v>
      </c>
      <c r="D164" s="1" t="str">
        <f ca="1">IFERROR(__xludf.DUMMYFUNCTION("""COMPUTED_VALUE"""),"18-15")</f>
        <v>18-15</v>
      </c>
      <c r="E164" s="1" t="str">
        <f ca="1">IFERROR(__xludf.DUMMYFUNCTION("""COMPUTED_VALUE"""),"+0.56")</f>
        <v>+0.56</v>
      </c>
      <c r="F164" s="1">
        <f ca="1">IFERROR(__xludf.DUMMYFUNCTION("""COMPUTED_VALUE"""),104.6)</f>
        <v>104.6</v>
      </c>
      <c r="G164" s="1">
        <f ca="1">IFERROR(__xludf.DUMMYFUNCTION("""COMPUTED_VALUE"""),173)</f>
        <v>173</v>
      </c>
      <c r="H164" s="1">
        <f ca="1">IFERROR(__xludf.DUMMYFUNCTION("""COMPUTED_VALUE"""),104)</f>
        <v>104</v>
      </c>
      <c r="I164" s="1">
        <f ca="1">IFERROR(__xludf.DUMMYFUNCTION("""COMPUTED_VALUE"""),157)</f>
        <v>157</v>
      </c>
      <c r="J164" s="1">
        <f ca="1">IFERROR(__xludf.DUMMYFUNCTION("""COMPUTED_VALUE"""),67.7)</f>
        <v>67.7</v>
      </c>
      <c r="K164" s="1">
        <f ca="1">IFERROR(__xludf.DUMMYFUNCTION("""COMPUTED_VALUE"""),167)</f>
        <v>167</v>
      </c>
      <c r="L164" s="1" t="str">
        <f ca="1">IFERROR(__xludf.DUMMYFUNCTION("""COMPUTED_VALUE"""),"+.023")</f>
        <v>+.023</v>
      </c>
      <c r="M164" s="1">
        <f ca="1">IFERROR(__xludf.DUMMYFUNCTION("""COMPUTED_VALUE"""),121)</f>
        <v>121</v>
      </c>
      <c r="N164" s="1">
        <f ca="1">IFERROR(__xludf.DUMMYFUNCTION("""COMPUTED_VALUE"""),-1.58)</f>
        <v>-1.58</v>
      </c>
      <c r="O164" s="1">
        <f ca="1">IFERROR(__xludf.DUMMYFUNCTION("""COMPUTED_VALUE"""),180)</f>
        <v>180</v>
      </c>
      <c r="P164" s="1">
        <f ca="1">IFERROR(__xludf.DUMMYFUNCTION("""COMPUTED_VALUE"""),102.3)</f>
        <v>102.3</v>
      </c>
      <c r="Q164" s="1">
        <f ca="1">IFERROR(__xludf.DUMMYFUNCTION("""COMPUTED_VALUE"""),265)</f>
        <v>265</v>
      </c>
      <c r="R164" s="1">
        <f ca="1">IFERROR(__xludf.DUMMYFUNCTION("""COMPUTED_VALUE"""),103.8)</f>
        <v>103.8</v>
      </c>
      <c r="S164" s="1">
        <f ca="1">IFERROR(__xludf.DUMMYFUNCTION("""COMPUTED_VALUE"""),125)</f>
        <v>125</v>
      </c>
      <c r="T164" s="1">
        <f ca="1">IFERROR(__xludf.DUMMYFUNCTION("""COMPUTED_VALUE"""),-3.39)</f>
        <v>-3.39</v>
      </c>
      <c r="U164" s="1">
        <f ca="1">IFERROR(__xludf.DUMMYFUNCTION("""COMPUTED_VALUE"""),258)</f>
        <v>258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IFERROR(__xludf.DUMMYFUNCTION("""COMPUTED_VALUE"""),"Marshall")</f>
        <v>Marshall</v>
      </c>
      <c r="C165" s="1" t="str">
        <f ca="1">IFERROR(__xludf.DUMMYFUNCTION("""COMPUTED_VALUE"""),"CUSA")</f>
        <v>CUSA</v>
      </c>
      <c r="D165" s="1" t="str">
        <f ca="1">IFERROR(__xludf.DUMMYFUNCTION("""COMPUTED_VALUE"""),"23-14")</f>
        <v>23-14</v>
      </c>
      <c r="E165" s="1" t="str">
        <f ca="1">IFERROR(__xludf.DUMMYFUNCTION("""COMPUTED_VALUE"""),"+0.56")</f>
        <v>+0.56</v>
      </c>
      <c r="F165" s="1">
        <f ca="1">IFERROR(__xludf.DUMMYFUNCTION("""COMPUTED_VALUE"""),106.9)</f>
        <v>106.9</v>
      </c>
      <c r="G165" s="1">
        <f ca="1">IFERROR(__xludf.DUMMYFUNCTION("""COMPUTED_VALUE"""),128)</f>
        <v>128</v>
      </c>
      <c r="H165" s="1">
        <f ca="1">IFERROR(__xludf.DUMMYFUNCTION("""COMPUTED_VALUE"""),106.3)</f>
        <v>106.3</v>
      </c>
      <c r="I165" s="1">
        <f ca="1">IFERROR(__xludf.DUMMYFUNCTION("""COMPUTED_VALUE"""),213)</f>
        <v>213</v>
      </c>
      <c r="J165" s="1">
        <f ca="1">IFERROR(__xludf.DUMMYFUNCTION("""COMPUTED_VALUE"""),74.3)</f>
        <v>74.3</v>
      </c>
      <c r="K165" s="1">
        <f ca="1">IFERROR(__xludf.DUMMYFUNCTION("""COMPUTED_VALUE"""),5)</f>
        <v>5</v>
      </c>
      <c r="L165" s="1" t="str">
        <f ca="1">IFERROR(__xludf.DUMMYFUNCTION("""COMPUTED_VALUE"""),"+.125")</f>
        <v>+.125</v>
      </c>
      <c r="M165" s="1">
        <f ca="1">IFERROR(__xludf.DUMMYFUNCTION("""COMPUTED_VALUE"""),4)</f>
        <v>4</v>
      </c>
      <c r="N165" s="1">
        <f ca="1">IFERROR(__xludf.DUMMYFUNCTION("""COMPUTED_VALUE"""),-1.27)</f>
        <v>-1.27</v>
      </c>
      <c r="O165" s="1">
        <f ca="1">IFERROR(__xludf.DUMMYFUNCTION("""COMPUTED_VALUE"""),170)</f>
        <v>170</v>
      </c>
      <c r="P165" s="1">
        <f ca="1">IFERROR(__xludf.DUMMYFUNCTION("""COMPUTED_VALUE"""),103)</f>
        <v>103</v>
      </c>
      <c r="Q165" s="1">
        <f ca="1">IFERROR(__xludf.DUMMYFUNCTION("""COMPUTED_VALUE"""),228)</f>
        <v>228</v>
      </c>
      <c r="R165" s="1">
        <f ca="1">IFERROR(__xludf.DUMMYFUNCTION("""COMPUTED_VALUE"""),104.2)</f>
        <v>104.2</v>
      </c>
      <c r="S165" s="1">
        <f ca="1">IFERROR(__xludf.DUMMYFUNCTION("""COMPUTED_VALUE"""),145)</f>
        <v>145</v>
      </c>
      <c r="T165" s="1" t="str">
        <f ca="1">IFERROR(__xludf.DUMMYFUNCTION("""COMPUTED_VALUE"""),"+1.56")</f>
        <v>+1.56</v>
      </c>
      <c r="U165" s="1">
        <f ca="1">IFERROR(__xludf.DUMMYFUNCTION("""COMPUTED_VALUE"""),111)</f>
        <v>111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IFERROR(__xludf.DUMMYFUNCTION("""COMPUTED_VALUE"""),"North Texas")</f>
        <v>North Texas</v>
      </c>
      <c r="C166" s="1" t="str">
        <f ca="1">IFERROR(__xludf.DUMMYFUNCTION("""COMPUTED_VALUE"""),"CUSA")</f>
        <v>CUSA</v>
      </c>
      <c r="D166" s="1" t="str">
        <f ca="1">IFERROR(__xludf.DUMMYFUNCTION("""COMPUTED_VALUE"""),"21-12")</f>
        <v>21-12</v>
      </c>
      <c r="E166" s="1" t="str">
        <f ca="1">IFERROR(__xludf.DUMMYFUNCTION("""COMPUTED_VALUE"""),"+0.53")</f>
        <v>+0.53</v>
      </c>
      <c r="F166" s="1">
        <f ca="1">IFERROR(__xludf.DUMMYFUNCTION("""COMPUTED_VALUE"""),99.8)</f>
        <v>99.8</v>
      </c>
      <c r="G166" s="1">
        <f ca="1">IFERROR(__xludf.DUMMYFUNCTION("""COMPUTED_VALUE"""),265)</f>
        <v>265</v>
      </c>
      <c r="H166" s="1">
        <f ca="1">IFERROR(__xludf.DUMMYFUNCTION("""COMPUTED_VALUE"""),99.3)</f>
        <v>99.3</v>
      </c>
      <c r="I166" s="1">
        <f ca="1">IFERROR(__xludf.DUMMYFUNCTION("""COMPUTED_VALUE"""),82)</f>
        <v>82</v>
      </c>
      <c r="J166" s="1">
        <f ca="1">IFERROR(__xludf.DUMMYFUNCTION("""COMPUTED_VALUE"""),65.3)</f>
        <v>65.3</v>
      </c>
      <c r="K166" s="1">
        <f ca="1">IFERROR(__xludf.DUMMYFUNCTION("""COMPUTED_VALUE"""),294)</f>
        <v>294</v>
      </c>
      <c r="L166" s="1">
        <f ca="1">IFERROR(__xludf.DUMMYFUNCTION("""COMPUTED_VALUE"""),-0.007)</f>
        <v>-7.0000000000000001E-3</v>
      </c>
      <c r="M166" s="1">
        <f ca="1">IFERROR(__xludf.DUMMYFUNCTION("""COMPUTED_VALUE"""),204)</f>
        <v>204</v>
      </c>
      <c r="N166" s="1">
        <f ca="1">IFERROR(__xludf.DUMMYFUNCTION("""COMPUTED_VALUE"""),-3.97)</f>
        <v>-3.97</v>
      </c>
      <c r="O166" s="1">
        <f ca="1">IFERROR(__xludf.DUMMYFUNCTION("""COMPUTED_VALUE"""),255)</f>
        <v>255</v>
      </c>
      <c r="P166" s="1">
        <f ca="1">IFERROR(__xludf.DUMMYFUNCTION("""COMPUTED_VALUE"""),101.1)</f>
        <v>101.1</v>
      </c>
      <c r="Q166" s="1">
        <f ca="1">IFERROR(__xludf.DUMMYFUNCTION("""COMPUTED_VALUE"""),300)</f>
        <v>300</v>
      </c>
      <c r="R166" s="1">
        <f ca="1">IFERROR(__xludf.DUMMYFUNCTION("""COMPUTED_VALUE"""),105.1)</f>
        <v>105.1</v>
      </c>
      <c r="S166" s="1">
        <f ca="1">IFERROR(__xludf.DUMMYFUNCTION("""COMPUTED_VALUE"""),186)</f>
        <v>186</v>
      </c>
      <c r="T166" s="1">
        <f ca="1">IFERROR(__xludf.DUMMYFUNCTION("""COMPUTED_VALUE"""),-9.49)</f>
        <v>-9.49</v>
      </c>
      <c r="U166" s="1">
        <f ca="1">IFERROR(__xludf.DUMMYFUNCTION("""COMPUTED_VALUE"""),346)</f>
        <v>346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IFERROR(__xludf.DUMMYFUNCTION("""COMPUTED_VALUE"""),"Eastern Michigan")</f>
        <v>Eastern Michigan</v>
      </c>
      <c r="C167" s="1" t="str">
        <f ca="1">IFERROR(__xludf.DUMMYFUNCTION("""COMPUTED_VALUE"""),"MAC")</f>
        <v>MAC</v>
      </c>
      <c r="D167" s="1" t="str">
        <f ca="1">IFERROR(__xludf.DUMMYFUNCTION("""COMPUTED_VALUE"""),"15-17")</f>
        <v>15-17</v>
      </c>
      <c r="E167" s="1" t="str">
        <f ca="1">IFERROR(__xludf.DUMMYFUNCTION("""COMPUTED_VALUE"""),"+0.47")</f>
        <v>+0.47</v>
      </c>
      <c r="F167" s="1">
        <f ca="1">IFERROR(__xludf.DUMMYFUNCTION("""COMPUTED_VALUE"""),103.4)</f>
        <v>103.4</v>
      </c>
      <c r="G167" s="1">
        <f ca="1">IFERROR(__xludf.DUMMYFUNCTION("""COMPUTED_VALUE"""),195)</f>
        <v>195</v>
      </c>
      <c r="H167" s="1">
        <f ca="1">IFERROR(__xludf.DUMMYFUNCTION("""COMPUTED_VALUE"""),103)</f>
        <v>103</v>
      </c>
      <c r="I167" s="1">
        <f ca="1">IFERROR(__xludf.DUMMYFUNCTION("""COMPUTED_VALUE"""),144)</f>
        <v>144</v>
      </c>
      <c r="J167" s="1">
        <f ca="1">IFERROR(__xludf.DUMMYFUNCTION("""COMPUTED_VALUE"""),62.9)</f>
        <v>62.9</v>
      </c>
      <c r="K167" s="1">
        <f ca="1">IFERROR(__xludf.DUMMYFUNCTION("""COMPUTED_VALUE"""),345)</f>
        <v>345</v>
      </c>
      <c r="L167" s="1">
        <f ca="1">IFERROR(__xludf.DUMMYFUNCTION("""COMPUTED_VALUE"""),-0.006)</f>
        <v>-6.0000000000000001E-3</v>
      </c>
      <c r="M167" s="1">
        <f ca="1">IFERROR(__xludf.DUMMYFUNCTION("""COMPUTED_VALUE"""),198)</f>
        <v>198</v>
      </c>
      <c r="N167" s="1" t="str">
        <f ca="1">IFERROR(__xludf.DUMMYFUNCTION("""COMPUTED_VALUE"""),"+4.92")</f>
        <v>+4.92</v>
      </c>
      <c r="O167" s="1">
        <f ca="1">IFERROR(__xludf.DUMMYFUNCTION("""COMPUTED_VALUE"""),71)</f>
        <v>71</v>
      </c>
      <c r="P167" s="1">
        <f ca="1">IFERROR(__xludf.DUMMYFUNCTION("""COMPUTED_VALUE"""),107.1)</f>
        <v>107.1</v>
      </c>
      <c r="Q167" s="1">
        <f ca="1">IFERROR(__xludf.DUMMYFUNCTION("""COMPUTED_VALUE"""),67)</f>
        <v>67</v>
      </c>
      <c r="R167" s="1">
        <f ca="1">IFERROR(__xludf.DUMMYFUNCTION("""COMPUTED_VALUE"""),102.2)</f>
        <v>102.2</v>
      </c>
      <c r="S167" s="1">
        <f ca="1">IFERROR(__xludf.DUMMYFUNCTION("""COMPUTED_VALUE"""),76)</f>
        <v>76</v>
      </c>
      <c r="T167" s="1" t="str">
        <f ca="1">IFERROR(__xludf.DUMMYFUNCTION("""COMPUTED_VALUE"""),"+8.22")</f>
        <v>+8.22</v>
      </c>
      <c r="U167" s="1">
        <f ca="1">IFERROR(__xludf.DUMMYFUNCTION("""COMPUTED_VALUE"""),8)</f>
        <v>8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IFERROR(__xludf.DUMMYFUNCTION("""COMPUTED_VALUE"""),"Charleston Southern")</f>
        <v>Charleston Southern</v>
      </c>
      <c r="C168" s="1" t="str">
        <f ca="1">IFERROR(__xludf.DUMMYFUNCTION("""COMPUTED_VALUE"""),"BSth")</f>
        <v>BSth</v>
      </c>
      <c r="D168" s="1" t="str">
        <f ca="1">IFERROR(__xludf.DUMMYFUNCTION("""COMPUTED_VALUE"""),"18-16")</f>
        <v>18-16</v>
      </c>
      <c r="E168" s="1" t="str">
        <f ca="1">IFERROR(__xludf.DUMMYFUNCTION("""COMPUTED_VALUE"""),"+0.17")</f>
        <v>+0.17</v>
      </c>
      <c r="F168" s="1">
        <f ca="1">IFERROR(__xludf.DUMMYFUNCTION("""COMPUTED_VALUE"""),101.1)</f>
        <v>101.1</v>
      </c>
      <c r="G168" s="1">
        <f ca="1">IFERROR(__xludf.DUMMYFUNCTION("""COMPUTED_VALUE"""),246)</f>
        <v>246</v>
      </c>
      <c r="H168" s="1">
        <f ca="1">IFERROR(__xludf.DUMMYFUNCTION("""COMPUTED_VALUE"""),101)</f>
        <v>101</v>
      </c>
      <c r="I168" s="1">
        <f ca="1">IFERROR(__xludf.DUMMYFUNCTION("""COMPUTED_VALUE"""),105)</f>
        <v>105</v>
      </c>
      <c r="J168" s="1">
        <f ca="1">IFERROR(__xludf.DUMMYFUNCTION("""COMPUTED_VALUE"""),69.5)</f>
        <v>69.5</v>
      </c>
      <c r="K168" s="1">
        <f ca="1">IFERROR(__xludf.DUMMYFUNCTION("""COMPUTED_VALUE"""),87)</f>
        <v>87</v>
      </c>
      <c r="L168" s="1">
        <f ca="1">IFERROR(__xludf.DUMMYFUNCTION("""COMPUTED_VALUE"""),-0.085)</f>
        <v>-8.5000000000000006E-2</v>
      </c>
      <c r="M168" s="1">
        <f ca="1">IFERROR(__xludf.DUMMYFUNCTION("""COMPUTED_VALUE"""),335)</f>
        <v>335</v>
      </c>
      <c r="N168" s="1">
        <f ca="1">IFERROR(__xludf.DUMMYFUNCTION("""COMPUTED_VALUE"""),-3.22)</f>
        <v>-3.22</v>
      </c>
      <c r="O168" s="1">
        <f ca="1">IFERROR(__xludf.DUMMYFUNCTION("""COMPUTED_VALUE"""),228)</f>
        <v>228</v>
      </c>
      <c r="P168" s="1">
        <f ca="1">IFERROR(__xludf.DUMMYFUNCTION("""COMPUTED_VALUE"""),103.5)</f>
        <v>103.5</v>
      </c>
      <c r="Q168" s="1">
        <f ca="1">IFERROR(__xludf.DUMMYFUNCTION("""COMPUTED_VALUE"""),197)</f>
        <v>197</v>
      </c>
      <c r="R168" s="1">
        <f ca="1">IFERROR(__xludf.DUMMYFUNCTION("""COMPUTED_VALUE"""),106.7)</f>
        <v>106.7</v>
      </c>
      <c r="S168" s="1">
        <f ca="1">IFERROR(__xludf.DUMMYFUNCTION("""COMPUTED_VALUE"""),247)</f>
        <v>247</v>
      </c>
      <c r="T168" s="1" t="str">
        <f ca="1">IFERROR(__xludf.DUMMYFUNCTION("""COMPUTED_VALUE"""),"+4.00")</f>
        <v>+4.00</v>
      </c>
      <c r="U168" s="1">
        <f ca="1">IFERROR(__xludf.DUMMYFUNCTION("""COMPUTED_VALUE"""),59)</f>
        <v>59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IFERROR(__xludf.DUMMYFUNCTION("""COMPUTED_VALUE"""),"Bradley15")</f>
        <v>Bradley15</v>
      </c>
      <c r="C171" s="1" t="str">
        <f ca="1">IFERROR(__xludf.DUMMYFUNCTION("""COMPUTED_VALUE"""),"MVC")</f>
        <v>MVC</v>
      </c>
      <c r="D171" s="1" t="str">
        <f ca="1">IFERROR(__xludf.DUMMYFUNCTION("""COMPUTED_VALUE"""),"20-15")</f>
        <v>20-15</v>
      </c>
      <c r="E171" s="1" t="str">
        <f ca="1">IFERROR(__xludf.DUMMYFUNCTION("""COMPUTED_VALUE"""),"+0.09")</f>
        <v>+0.09</v>
      </c>
      <c r="F171" s="1">
        <f ca="1">IFERROR(__xludf.DUMMYFUNCTION("""COMPUTED_VALUE"""),101.5)</f>
        <v>101.5</v>
      </c>
      <c r="G171" s="1">
        <f ca="1">IFERROR(__xludf.DUMMYFUNCTION("""COMPUTED_VALUE"""),234)</f>
        <v>234</v>
      </c>
      <c r="H171" s="1">
        <f ca="1">IFERROR(__xludf.DUMMYFUNCTION("""COMPUTED_VALUE"""),101.4)</f>
        <v>101.4</v>
      </c>
      <c r="I171" s="1">
        <f ca="1">IFERROR(__xludf.DUMMYFUNCTION("""COMPUTED_VALUE"""),113)</f>
        <v>113</v>
      </c>
      <c r="J171" s="1">
        <f ca="1">IFERROR(__xludf.DUMMYFUNCTION("""COMPUTED_VALUE"""),65.3)</f>
        <v>65.3</v>
      </c>
      <c r="K171" s="1">
        <f ca="1">IFERROR(__xludf.DUMMYFUNCTION("""COMPUTED_VALUE"""),292)</f>
        <v>292</v>
      </c>
      <c r="L171" s="1" t="str">
        <f ca="1">IFERROR(__xludf.DUMMYFUNCTION("""COMPUTED_VALUE"""),"+.035")</f>
        <v>+.035</v>
      </c>
      <c r="M171" s="1">
        <f ca="1">IFERROR(__xludf.DUMMYFUNCTION("""COMPUTED_VALUE"""),93)</f>
        <v>93</v>
      </c>
      <c r="N171" s="1">
        <f ca="1">IFERROR(__xludf.DUMMYFUNCTION("""COMPUTED_VALUE"""),-1.66)</f>
        <v>-1.66</v>
      </c>
      <c r="O171" s="1">
        <f ca="1">IFERROR(__xludf.DUMMYFUNCTION("""COMPUTED_VALUE"""),183)</f>
        <v>183</v>
      </c>
      <c r="P171" s="1">
        <f ca="1">IFERROR(__xludf.DUMMYFUNCTION("""COMPUTED_VALUE"""),102.6)</f>
        <v>102.6</v>
      </c>
      <c r="Q171" s="1">
        <f ca="1">IFERROR(__xludf.DUMMYFUNCTION("""COMPUTED_VALUE"""),242)</f>
        <v>242</v>
      </c>
      <c r="R171" s="1">
        <f ca="1">IFERROR(__xludf.DUMMYFUNCTION("""COMPUTED_VALUE"""),104.3)</f>
        <v>104.3</v>
      </c>
      <c r="S171" s="1">
        <f ca="1">IFERROR(__xludf.DUMMYFUNCTION("""COMPUTED_VALUE"""),147)</f>
        <v>147</v>
      </c>
      <c r="T171" s="1">
        <f ca="1">IFERROR(__xludf.DUMMYFUNCTION("""COMPUTED_VALUE"""),-3.94)</f>
        <v>-3.94</v>
      </c>
      <c r="U171" s="1">
        <f ca="1">IFERROR(__xludf.DUMMYFUNCTION("""COMPUTED_VALUE"""),272)</f>
        <v>272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IFERROR(__xludf.DUMMYFUNCTION("""COMPUTED_VALUE"""),"Florida Atlantic")</f>
        <v>Florida Atlantic</v>
      </c>
      <c r="C172" s="1" t="str">
        <f ca="1">IFERROR(__xludf.DUMMYFUNCTION("""COMPUTED_VALUE"""),"CUSA")</f>
        <v>CUSA</v>
      </c>
      <c r="D172" s="1" t="str">
        <f ca="1">IFERROR(__xludf.DUMMYFUNCTION("""COMPUTED_VALUE"""),"17-16")</f>
        <v>17-16</v>
      </c>
      <c r="E172" s="1" t="str">
        <f ca="1">IFERROR(__xludf.DUMMYFUNCTION("""COMPUTED_VALUE"""),"+0.03")</f>
        <v>+0.03</v>
      </c>
      <c r="F172" s="1">
        <f ca="1">IFERROR(__xludf.DUMMYFUNCTION("""COMPUTED_VALUE"""),99.9)</f>
        <v>99.9</v>
      </c>
      <c r="G172" s="1">
        <f ca="1">IFERROR(__xludf.DUMMYFUNCTION("""COMPUTED_VALUE"""),263)</f>
        <v>263</v>
      </c>
      <c r="H172" s="1">
        <f ca="1">IFERROR(__xludf.DUMMYFUNCTION("""COMPUTED_VALUE"""),99.9)</f>
        <v>99.9</v>
      </c>
      <c r="I172" s="1">
        <f ca="1">IFERROR(__xludf.DUMMYFUNCTION("""COMPUTED_VALUE"""),91)</f>
        <v>91</v>
      </c>
      <c r="J172" s="1">
        <f ca="1">IFERROR(__xludf.DUMMYFUNCTION("""COMPUTED_VALUE"""),67.4)</f>
        <v>67.400000000000006</v>
      </c>
      <c r="K172" s="1">
        <f ca="1">IFERROR(__xludf.DUMMYFUNCTION("""COMPUTED_VALUE"""),188)</f>
        <v>188</v>
      </c>
      <c r="L172" s="1">
        <f ca="1">IFERROR(__xludf.DUMMYFUNCTION("""COMPUTED_VALUE"""),-0.052)</f>
        <v>-5.1999999999999998E-2</v>
      </c>
      <c r="M172" s="1">
        <f ca="1">IFERROR(__xludf.DUMMYFUNCTION("""COMPUTED_VALUE"""),298)</f>
        <v>298</v>
      </c>
      <c r="N172" s="1">
        <f ca="1">IFERROR(__xludf.DUMMYFUNCTION("""COMPUTED_VALUE"""),-1.32)</f>
        <v>-1.32</v>
      </c>
      <c r="O172" s="1">
        <f ca="1">IFERROR(__xludf.DUMMYFUNCTION("""COMPUTED_VALUE"""),174)</f>
        <v>174</v>
      </c>
      <c r="P172" s="1">
        <f ca="1">IFERROR(__xludf.DUMMYFUNCTION("""COMPUTED_VALUE"""),103)</f>
        <v>103</v>
      </c>
      <c r="Q172" s="1">
        <f ca="1">IFERROR(__xludf.DUMMYFUNCTION("""COMPUTED_VALUE"""),227)</f>
        <v>227</v>
      </c>
      <c r="R172" s="1">
        <f ca="1">IFERROR(__xludf.DUMMYFUNCTION("""COMPUTED_VALUE"""),104.3)</f>
        <v>104.3</v>
      </c>
      <c r="S172" s="1">
        <f ca="1">IFERROR(__xludf.DUMMYFUNCTION("""COMPUTED_VALUE"""),151)</f>
        <v>151</v>
      </c>
      <c r="T172" s="1">
        <f ca="1">IFERROR(__xludf.DUMMYFUNCTION("""COMPUTED_VALUE"""),-1.4)</f>
        <v>-1.4</v>
      </c>
      <c r="U172" s="1">
        <f ca="1">IFERROR(__xludf.DUMMYFUNCTION("""COMPUTED_VALUE"""),199)</f>
        <v>199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IFERROR(__xludf.DUMMYFUNCTION("""COMPUTED_VALUE"""),"Gardner Webb16")</f>
        <v>Gardner Webb16</v>
      </c>
      <c r="C173" s="1" t="str">
        <f ca="1">IFERROR(__xludf.DUMMYFUNCTION("""COMPUTED_VALUE"""),"BSth")</f>
        <v>BSth</v>
      </c>
      <c r="D173" s="1" t="str">
        <f ca="1">IFERROR(__xludf.DUMMYFUNCTION("""COMPUTED_VALUE"""),"23-12")</f>
        <v>23-12</v>
      </c>
      <c r="E173" s="1">
        <f ca="1">IFERROR(__xludf.DUMMYFUNCTION("""COMPUTED_VALUE"""),-0.04)</f>
        <v>-0.04</v>
      </c>
      <c r="F173" s="1">
        <f ca="1">IFERROR(__xludf.DUMMYFUNCTION("""COMPUTED_VALUE"""),107.8)</f>
        <v>107.8</v>
      </c>
      <c r="G173" s="1">
        <f ca="1">IFERROR(__xludf.DUMMYFUNCTION("""COMPUTED_VALUE"""),109)</f>
        <v>109</v>
      </c>
      <c r="H173" s="1">
        <f ca="1">IFERROR(__xludf.DUMMYFUNCTION("""COMPUTED_VALUE"""),107.8)</f>
        <v>107.8</v>
      </c>
      <c r="I173" s="1">
        <f ca="1">IFERROR(__xludf.DUMMYFUNCTION("""COMPUTED_VALUE"""),245)</f>
        <v>245</v>
      </c>
      <c r="J173" s="1">
        <f ca="1">IFERROR(__xludf.DUMMYFUNCTION("""COMPUTED_VALUE"""),67.4)</f>
        <v>67.400000000000006</v>
      </c>
      <c r="K173" s="1">
        <f ca="1">IFERROR(__xludf.DUMMYFUNCTION("""COMPUTED_VALUE"""),189)</f>
        <v>189</v>
      </c>
      <c r="L173" s="1" t="str">
        <f ca="1">IFERROR(__xludf.DUMMYFUNCTION("""COMPUTED_VALUE"""),"+.070")</f>
        <v>+.070</v>
      </c>
      <c r="M173" s="1">
        <f ca="1">IFERROR(__xludf.DUMMYFUNCTION("""COMPUTED_VALUE"""),29)</f>
        <v>29</v>
      </c>
      <c r="N173" s="1">
        <f ca="1">IFERROR(__xludf.DUMMYFUNCTION("""COMPUTED_VALUE"""),-3.55)</f>
        <v>-3.55</v>
      </c>
      <c r="O173" s="1">
        <f ca="1">IFERROR(__xludf.DUMMYFUNCTION("""COMPUTED_VALUE"""),239)</f>
        <v>239</v>
      </c>
      <c r="P173" s="1">
        <f ca="1">IFERROR(__xludf.DUMMYFUNCTION("""COMPUTED_VALUE"""),103.2)</f>
        <v>103.2</v>
      </c>
      <c r="Q173" s="1">
        <f ca="1">IFERROR(__xludf.DUMMYFUNCTION("""COMPUTED_VALUE"""),210)</f>
        <v>210</v>
      </c>
      <c r="R173" s="1">
        <f ca="1">IFERROR(__xludf.DUMMYFUNCTION("""COMPUTED_VALUE"""),106.8)</f>
        <v>106.8</v>
      </c>
      <c r="S173" s="1">
        <f ca="1">IFERROR(__xludf.DUMMYFUNCTION("""COMPUTED_VALUE"""),248)</f>
        <v>248</v>
      </c>
      <c r="T173" s="1">
        <f ca="1">IFERROR(__xludf.DUMMYFUNCTION("""COMPUTED_VALUE"""),-4.07)</f>
        <v>-4.07</v>
      </c>
      <c r="U173" s="1">
        <f ca="1">IFERROR(__xludf.DUMMYFUNCTION("""COMPUTED_VALUE"""),278)</f>
        <v>278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IFERROR(__xludf.DUMMYFUNCTION("""COMPUTED_VALUE"""),"Nebraska Omaha")</f>
        <v>Nebraska Omaha</v>
      </c>
      <c r="C174" s="1" t="str">
        <f ca="1">IFERROR(__xludf.DUMMYFUNCTION("""COMPUTED_VALUE"""),"Sum")</f>
        <v>Sum</v>
      </c>
      <c r="D174" s="1" t="str">
        <f ca="1">IFERROR(__xludf.DUMMYFUNCTION("""COMPUTED_VALUE"""),"21-11")</f>
        <v>21-11</v>
      </c>
      <c r="E174" s="1">
        <f ca="1">IFERROR(__xludf.DUMMYFUNCTION("""COMPUTED_VALUE"""),-0.2)</f>
        <v>-0.2</v>
      </c>
      <c r="F174" s="1">
        <f ca="1">IFERROR(__xludf.DUMMYFUNCTION("""COMPUTED_VALUE"""),110.2)</f>
        <v>110.2</v>
      </c>
      <c r="G174" s="1">
        <f ca="1">IFERROR(__xludf.DUMMYFUNCTION("""COMPUTED_VALUE"""),65)</f>
        <v>65</v>
      </c>
      <c r="H174" s="1">
        <f ca="1">IFERROR(__xludf.DUMMYFUNCTION("""COMPUTED_VALUE"""),110.4)</f>
        <v>110.4</v>
      </c>
      <c r="I174" s="1">
        <f ca="1">IFERROR(__xludf.DUMMYFUNCTION("""COMPUTED_VALUE"""),289)</f>
        <v>289</v>
      </c>
      <c r="J174" s="1">
        <f ca="1">IFERROR(__xludf.DUMMYFUNCTION("""COMPUTED_VALUE"""),67.9)</f>
        <v>67.900000000000006</v>
      </c>
      <c r="K174" s="1">
        <f ca="1">IFERROR(__xludf.DUMMYFUNCTION("""COMPUTED_VALUE"""),153)</f>
        <v>153</v>
      </c>
      <c r="L174" s="1" t="str">
        <f ca="1">IFERROR(__xludf.DUMMYFUNCTION("""COMPUTED_VALUE"""),"+.109")</f>
        <v>+.109</v>
      </c>
      <c r="M174" s="1">
        <f ca="1">IFERROR(__xludf.DUMMYFUNCTION("""COMPUTED_VALUE"""),9)</f>
        <v>9</v>
      </c>
      <c r="N174" s="1">
        <f ca="1">IFERROR(__xludf.DUMMYFUNCTION("""COMPUTED_VALUE"""),-3.64)</f>
        <v>-3.64</v>
      </c>
      <c r="O174" s="1">
        <f ca="1">IFERROR(__xludf.DUMMYFUNCTION("""COMPUTED_VALUE"""),242)</f>
        <v>242</v>
      </c>
      <c r="P174" s="1">
        <f ca="1">IFERROR(__xludf.DUMMYFUNCTION("""COMPUTED_VALUE"""),103.9)</f>
        <v>103.9</v>
      </c>
      <c r="Q174" s="1">
        <f ca="1">IFERROR(__xludf.DUMMYFUNCTION("""COMPUTED_VALUE"""),177)</f>
        <v>177</v>
      </c>
      <c r="R174" s="1">
        <f ca="1">IFERROR(__xludf.DUMMYFUNCTION("""COMPUTED_VALUE"""),107.5)</f>
        <v>107.5</v>
      </c>
      <c r="S174" s="1">
        <f ca="1">IFERROR(__xludf.DUMMYFUNCTION("""COMPUTED_VALUE"""),283)</f>
        <v>283</v>
      </c>
      <c r="T174" s="1" t="str">
        <f ca="1">IFERROR(__xludf.DUMMYFUNCTION("""COMPUTED_VALUE"""),"+2.52")</f>
        <v>+2.52</v>
      </c>
      <c r="U174" s="1">
        <f ca="1">IFERROR(__xludf.DUMMYFUNCTION("""COMPUTED_VALUE"""),97)</f>
        <v>97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IFERROR(__xludf.DUMMYFUNCTION("""COMPUTED_VALUE"""),"UNLV")</f>
        <v>UNLV</v>
      </c>
      <c r="C175" s="1" t="str">
        <f ca="1">IFERROR(__xludf.DUMMYFUNCTION("""COMPUTED_VALUE"""),"MWC")</f>
        <v>MWC</v>
      </c>
      <c r="D175" s="1" t="str">
        <f ca="1">IFERROR(__xludf.DUMMYFUNCTION("""COMPUTED_VALUE"""),"17-14")</f>
        <v>17-14</v>
      </c>
      <c r="E175" s="1">
        <f ca="1">IFERROR(__xludf.DUMMYFUNCTION("""COMPUTED_VALUE"""),-0.29)</f>
        <v>-0.28999999999999998</v>
      </c>
      <c r="F175" s="1">
        <f ca="1">IFERROR(__xludf.DUMMYFUNCTION("""COMPUTED_VALUE"""),106.1)</f>
        <v>106.1</v>
      </c>
      <c r="G175" s="1">
        <f ca="1">IFERROR(__xludf.DUMMYFUNCTION("""COMPUTED_VALUE"""),146)</f>
        <v>146</v>
      </c>
      <c r="H175" s="1">
        <f ca="1">IFERROR(__xludf.DUMMYFUNCTION("""COMPUTED_VALUE"""),106.4)</f>
        <v>106.4</v>
      </c>
      <c r="I175" s="1">
        <f ca="1">IFERROR(__xludf.DUMMYFUNCTION("""COMPUTED_VALUE"""),215)</f>
        <v>215</v>
      </c>
      <c r="J175" s="1">
        <f ca="1">IFERROR(__xludf.DUMMYFUNCTION("""COMPUTED_VALUE"""),67.5)</f>
        <v>67.5</v>
      </c>
      <c r="K175" s="1">
        <f ca="1">IFERROR(__xludf.DUMMYFUNCTION("""COMPUTED_VALUE"""),182)</f>
        <v>182</v>
      </c>
      <c r="L175" s="1" t="str">
        <f ca="1">IFERROR(__xludf.DUMMYFUNCTION("""COMPUTED_VALUE"""),"+.014")</f>
        <v>+.014</v>
      </c>
      <c r="M175" s="1">
        <f ca="1">IFERROR(__xludf.DUMMYFUNCTION("""COMPUTED_VALUE"""),144)</f>
        <v>144</v>
      </c>
      <c r="N175" s="1">
        <f ca="1">IFERROR(__xludf.DUMMYFUNCTION("""COMPUTED_VALUE"""),-2.28)</f>
        <v>-2.2799999999999998</v>
      </c>
      <c r="O175" s="1">
        <f ca="1">IFERROR(__xludf.DUMMYFUNCTION("""COMPUTED_VALUE"""),210)</f>
        <v>210</v>
      </c>
      <c r="P175" s="1">
        <f ca="1">IFERROR(__xludf.DUMMYFUNCTION("""COMPUTED_VALUE"""),103.1)</f>
        <v>103.1</v>
      </c>
      <c r="Q175" s="1">
        <f ca="1">IFERROR(__xludf.DUMMYFUNCTION("""COMPUTED_VALUE"""),219)</f>
        <v>219</v>
      </c>
      <c r="R175" s="1">
        <f ca="1">IFERROR(__xludf.DUMMYFUNCTION("""COMPUTED_VALUE"""),105.4)</f>
        <v>105.4</v>
      </c>
      <c r="S175" s="1">
        <f ca="1">IFERROR(__xludf.DUMMYFUNCTION("""COMPUTED_VALUE"""),192)</f>
        <v>192</v>
      </c>
      <c r="T175" s="1">
        <f ca="1">IFERROR(__xludf.DUMMYFUNCTION("""COMPUTED_VALUE"""),-3.42)</f>
        <v>-3.42</v>
      </c>
      <c r="U175" s="1">
        <f ca="1">IFERROR(__xludf.DUMMYFUNCTION("""COMPUTED_VALUE"""),259)</f>
        <v>259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IFERROR(__xludf.DUMMYFUNCTION("""COMPUTED_VALUE"""),"Stony Brook")</f>
        <v>Stony Brook</v>
      </c>
      <c r="C176" s="1" t="str">
        <f ca="1">IFERROR(__xludf.DUMMYFUNCTION("""COMPUTED_VALUE"""),"AE")</f>
        <v>AE</v>
      </c>
      <c r="D176" s="1" t="str">
        <f ca="1">IFERROR(__xludf.DUMMYFUNCTION("""COMPUTED_VALUE"""),"24-9")</f>
        <v>24-9</v>
      </c>
      <c r="E176" s="1">
        <f ca="1">IFERROR(__xludf.DUMMYFUNCTION("""COMPUTED_VALUE"""),-0.42)</f>
        <v>-0.42</v>
      </c>
      <c r="F176" s="1">
        <f ca="1">IFERROR(__xludf.DUMMYFUNCTION("""COMPUTED_VALUE"""),99.5)</f>
        <v>99.5</v>
      </c>
      <c r="G176" s="1">
        <f ca="1">IFERROR(__xludf.DUMMYFUNCTION("""COMPUTED_VALUE"""),271)</f>
        <v>271</v>
      </c>
      <c r="H176" s="1">
        <f ca="1">IFERROR(__xludf.DUMMYFUNCTION("""COMPUTED_VALUE"""),99.9)</f>
        <v>99.9</v>
      </c>
      <c r="I176" s="1">
        <f ca="1">IFERROR(__xludf.DUMMYFUNCTION("""COMPUTED_VALUE"""),95)</f>
        <v>95</v>
      </c>
      <c r="J176" s="1">
        <f ca="1">IFERROR(__xludf.DUMMYFUNCTION("""COMPUTED_VALUE"""),69.3)</f>
        <v>69.3</v>
      </c>
      <c r="K176" s="1">
        <f ca="1">IFERROR(__xludf.DUMMYFUNCTION("""COMPUTED_VALUE"""),90)</f>
        <v>90</v>
      </c>
      <c r="L176" s="1" t="str">
        <f ca="1">IFERROR(__xludf.DUMMYFUNCTION("""COMPUTED_VALUE"""),"+.058")</f>
        <v>+.058</v>
      </c>
      <c r="M176" s="1">
        <f ca="1">IFERROR(__xludf.DUMMYFUNCTION("""COMPUTED_VALUE"""),48)</f>
        <v>48</v>
      </c>
      <c r="N176" s="1">
        <f ca="1">IFERROR(__xludf.DUMMYFUNCTION("""COMPUTED_VALUE"""),-6.81)</f>
        <v>-6.81</v>
      </c>
      <c r="O176" s="1">
        <f ca="1">IFERROR(__xludf.DUMMYFUNCTION("""COMPUTED_VALUE"""),303)</f>
        <v>303</v>
      </c>
      <c r="P176" s="1">
        <f ca="1">IFERROR(__xludf.DUMMYFUNCTION("""COMPUTED_VALUE"""),100.2)</f>
        <v>100.2</v>
      </c>
      <c r="Q176" s="1">
        <f ca="1">IFERROR(__xludf.DUMMYFUNCTION("""COMPUTED_VALUE"""),321)</f>
        <v>321</v>
      </c>
      <c r="R176" s="1">
        <f ca="1">IFERROR(__xludf.DUMMYFUNCTION("""COMPUTED_VALUE"""),107)</f>
        <v>107</v>
      </c>
      <c r="S176" s="1">
        <f ca="1">IFERROR(__xludf.DUMMYFUNCTION("""COMPUTED_VALUE"""),265)</f>
        <v>265</v>
      </c>
      <c r="T176" s="1">
        <f ca="1">IFERROR(__xludf.DUMMYFUNCTION("""COMPUTED_VALUE"""),-3.31)</f>
        <v>-3.31</v>
      </c>
      <c r="U176" s="1">
        <f ca="1">IFERROR(__xludf.DUMMYFUNCTION("""COMPUTED_VALUE"""),257)</f>
        <v>257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IFERROR(__xludf.DUMMYFUNCTION("""COMPUTED_VALUE"""),"North Florida")</f>
        <v>North Florida</v>
      </c>
      <c r="C177" s="1" t="str">
        <f ca="1">IFERROR(__xludf.DUMMYFUNCTION("""COMPUTED_VALUE"""),"ASun")</f>
        <v>ASun</v>
      </c>
      <c r="D177" s="1" t="str">
        <f ca="1">IFERROR(__xludf.DUMMYFUNCTION("""COMPUTED_VALUE"""),"16-17")</f>
        <v>16-17</v>
      </c>
      <c r="E177" s="1">
        <f ca="1">IFERROR(__xludf.DUMMYFUNCTION("""COMPUTED_VALUE"""),-0.69)</f>
        <v>-0.69</v>
      </c>
      <c r="F177" s="1">
        <f ca="1">IFERROR(__xludf.DUMMYFUNCTION("""COMPUTED_VALUE"""),104.1)</f>
        <v>104.1</v>
      </c>
      <c r="G177" s="1">
        <f ca="1">IFERROR(__xludf.DUMMYFUNCTION("""COMPUTED_VALUE"""),182)</f>
        <v>182</v>
      </c>
      <c r="H177" s="1">
        <f ca="1">IFERROR(__xludf.DUMMYFUNCTION("""COMPUTED_VALUE"""),104.8)</f>
        <v>104.8</v>
      </c>
      <c r="I177" s="1">
        <f ca="1">IFERROR(__xludf.DUMMYFUNCTION("""COMPUTED_VALUE"""),173)</f>
        <v>173</v>
      </c>
      <c r="J177" s="1">
        <f ca="1">IFERROR(__xludf.DUMMYFUNCTION("""COMPUTED_VALUE"""),71.9)</f>
        <v>71.900000000000006</v>
      </c>
      <c r="K177" s="1">
        <f ca="1">IFERROR(__xludf.DUMMYFUNCTION("""COMPUTED_VALUE"""),24)</f>
        <v>24</v>
      </c>
      <c r="L177" s="1" t="str">
        <f ca="1">IFERROR(__xludf.DUMMYFUNCTION("""COMPUTED_VALUE"""),"+.015")</f>
        <v>+.015</v>
      </c>
      <c r="M177" s="1">
        <f ca="1">IFERROR(__xludf.DUMMYFUNCTION("""COMPUTED_VALUE"""),143)</f>
        <v>143</v>
      </c>
      <c r="N177" s="1" t="str">
        <f ca="1">IFERROR(__xludf.DUMMYFUNCTION("""COMPUTED_VALUE"""),"+1.59")</f>
        <v>+1.59</v>
      </c>
      <c r="O177" s="1">
        <f ca="1">IFERROR(__xludf.DUMMYFUNCTION("""COMPUTED_VALUE"""),101)</f>
        <v>101</v>
      </c>
      <c r="P177" s="1">
        <f ca="1">IFERROR(__xludf.DUMMYFUNCTION("""COMPUTED_VALUE"""),103.9)</f>
        <v>103.9</v>
      </c>
      <c r="Q177" s="1">
        <f ca="1">IFERROR(__xludf.DUMMYFUNCTION("""COMPUTED_VALUE"""),172)</f>
        <v>172</v>
      </c>
      <c r="R177" s="1">
        <f ca="1">IFERROR(__xludf.DUMMYFUNCTION("""COMPUTED_VALUE"""),102.4)</f>
        <v>102.4</v>
      </c>
      <c r="S177" s="1">
        <f ca="1">IFERROR(__xludf.DUMMYFUNCTION("""COMPUTED_VALUE"""),81)</f>
        <v>81</v>
      </c>
      <c r="T177" s="1" t="str">
        <f ca="1">IFERROR(__xludf.DUMMYFUNCTION("""COMPUTED_VALUE"""),"+10.41")</f>
        <v>+10.41</v>
      </c>
      <c r="U177" s="1">
        <f ca="1">IFERROR(__xludf.DUMMYFUNCTION("""COMPUTED_VALUE"""),3)</f>
        <v>3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IFERROR(__xludf.DUMMYFUNCTION("""COMPUTED_VALUE"""),"Winthrop")</f>
        <v>Winthrop</v>
      </c>
      <c r="C178" s="1" t="str">
        <f ca="1">IFERROR(__xludf.DUMMYFUNCTION("""COMPUTED_VALUE"""),"BSth")</f>
        <v>BSth</v>
      </c>
      <c r="D178" s="1" t="str">
        <f ca="1">IFERROR(__xludf.DUMMYFUNCTION("""COMPUTED_VALUE"""),"18-12")</f>
        <v>18-12</v>
      </c>
      <c r="E178" s="1">
        <f ca="1">IFERROR(__xludf.DUMMYFUNCTION("""COMPUTED_VALUE"""),-0.74)</f>
        <v>-0.74</v>
      </c>
      <c r="F178" s="1">
        <f ca="1">IFERROR(__xludf.DUMMYFUNCTION("""COMPUTED_VALUE"""),107)</f>
        <v>107</v>
      </c>
      <c r="G178" s="1">
        <f ca="1">IFERROR(__xludf.DUMMYFUNCTION("""COMPUTED_VALUE"""),126)</f>
        <v>126</v>
      </c>
      <c r="H178" s="1">
        <f ca="1">IFERROR(__xludf.DUMMYFUNCTION("""COMPUTED_VALUE"""),107.8)</f>
        <v>107.8</v>
      </c>
      <c r="I178" s="1">
        <f ca="1">IFERROR(__xludf.DUMMYFUNCTION("""COMPUTED_VALUE"""),244)</f>
        <v>244</v>
      </c>
      <c r="J178" s="1">
        <f ca="1">IFERROR(__xludf.DUMMYFUNCTION("""COMPUTED_VALUE"""),72.7)</f>
        <v>72.7</v>
      </c>
      <c r="K178" s="1">
        <f ca="1">IFERROR(__xludf.DUMMYFUNCTION("""COMPUTED_VALUE"""),16)</f>
        <v>16</v>
      </c>
      <c r="L178" s="1" t="str">
        <f ca="1">IFERROR(__xludf.DUMMYFUNCTION("""COMPUTED_VALUE"""),"+.016")</f>
        <v>+.016</v>
      </c>
      <c r="M178" s="1">
        <f ca="1">IFERROR(__xludf.DUMMYFUNCTION("""COMPUTED_VALUE"""),140)</f>
        <v>140</v>
      </c>
      <c r="N178" s="1">
        <f ca="1">IFERROR(__xludf.DUMMYFUNCTION("""COMPUTED_VALUE"""),-2.61)</f>
        <v>-2.61</v>
      </c>
      <c r="O178" s="1">
        <f ca="1">IFERROR(__xludf.DUMMYFUNCTION("""COMPUTED_VALUE"""),214)</f>
        <v>214</v>
      </c>
      <c r="P178" s="1">
        <f ca="1">IFERROR(__xludf.DUMMYFUNCTION("""COMPUTED_VALUE"""),103.3)</f>
        <v>103.3</v>
      </c>
      <c r="Q178" s="1">
        <f ca="1">IFERROR(__xludf.DUMMYFUNCTION("""COMPUTED_VALUE"""),207)</f>
        <v>207</v>
      </c>
      <c r="R178" s="1">
        <f ca="1">IFERROR(__xludf.DUMMYFUNCTION("""COMPUTED_VALUE"""),105.9)</f>
        <v>105.9</v>
      </c>
      <c r="S178" s="1">
        <f ca="1">IFERROR(__xludf.DUMMYFUNCTION("""COMPUTED_VALUE"""),209)</f>
        <v>209</v>
      </c>
      <c r="T178" s="1" t="str">
        <f ca="1">IFERROR(__xludf.DUMMYFUNCTION("""COMPUTED_VALUE"""),"+1.75")</f>
        <v>+1.75</v>
      </c>
      <c r="U178" s="1">
        <f ca="1">IFERROR(__xludf.DUMMYFUNCTION("""COMPUTED_VALUE"""),108)</f>
        <v>108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IFERROR(__xludf.DUMMYFUNCTION("""COMPUTED_VALUE"""),"Lehigh")</f>
        <v>Lehigh</v>
      </c>
      <c r="C179" s="1" t="str">
        <f ca="1">IFERROR(__xludf.DUMMYFUNCTION("""COMPUTED_VALUE"""),"Pat")</f>
        <v>Pat</v>
      </c>
      <c r="D179" s="1" t="str">
        <f ca="1">IFERROR(__xludf.DUMMYFUNCTION("""COMPUTED_VALUE"""),"20-11")</f>
        <v>20-11</v>
      </c>
      <c r="E179" s="1">
        <f ca="1">IFERROR(__xludf.DUMMYFUNCTION("""COMPUTED_VALUE"""),-0.79)</f>
        <v>-0.79</v>
      </c>
      <c r="F179" s="1">
        <f ca="1">IFERROR(__xludf.DUMMYFUNCTION("""COMPUTED_VALUE"""),108.9)</f>
        <v>108.9</v>
      </c>
      <c r="G179" s="1">
        <f ca="1">IFERROR(__xludf.DUMMYFUNCTION("""COMPUTED_VALUE"""),91)</f>
        <v>91</v>
      </c>
      <c r="H179" s="1">
        <f ca="1">IFERROR(__xludf.DUMMYFUNCTION("""COMPUTED_VALUE"""),109.7)</f>
        <v>109.7</v>
      </c>
      <c r="I179" s="1">
        <f ca="1">IFERROR(__xludf.DUMMYFUNCTION("""COMPUTED_VALUE"""),272)</f>
        <v>272</v>
      </c>
      <c r="J179" s="1">
        <f ca="1">IFERROR(__xludf.DUMMYFUNCTION("""COMPUTED_VALUE"""),71.6)</f>
        <v>71.599999999999994</v>
      </c>
      <c r="K179" s="1">
        <f ca="1">IFERROR(__xludf.DUMMYFUNCTION("""COMPUTED_VALUE"""),29)</f>
        <v>29</v>
      </c>
      <c r="L179" s="1" t="str">
        <f ca="1">IFERROR(__xludf.DUMMYFUNCTION("""COMPUTED_VALUE"""),"+.083")</f>
        <v>+.083</v>
      </c>
      <c r="M179" s="1">
        <f ca="1">IFERROR(__xludf.DUMMYFUNCTION("""COMPUTED_VALUE"""),19)</f>
        <v>19</v>
      </c>
      <c r="N179" s="1">
        <f ca="1">IFERROR(__xludf.DUMMYFUNCTION("""COMPUTED_VALUE"""),-4.34)</f>
        <v>-4.34</v>
      </c>
      <c r="O179" s="1">
        <f ca="1">IFERROR(__xludf.DUMMYFUNCTION("""COMPUTED_VALUE"""),260)</f>
        <v>260</v>
      </c>
      <c r="P179" s="1">
        <f ca="1">IFERROR(__xludf.DUMMYFUNCTION("""COMPUTED_VALUE"""),102.3)</f>
        <v>102.3</v>
      </c>
      <c r="Q179" s="1">
        <f ca="1">IFERROR(__xludf.DUMMYFUNCTION("""COMPUTED_VALUE"""),262)</f>
        <v>262</v>
      </c>
      <c r="R179" s="1">
        <f ca="1">IFERROR(__xludf.DUMMYFUNCTION("""COMPUTED_VALUE"""),106.6)</f>
        <v>106.6</v>
      </c>
      <c r="S179" s="1">
        <f ca="1">IFERROR(__xludf.DUMMYFUNCTION("""COMPUTED_VALUE"""),239)</f>
        <v>239</v>
      </c>
      <c r="T179" s="1">
        <f ca="1">IFERROR(__xludf.DUMMYFUNCTION("""COMPUTED_VALUE"""),-1.5)</f>
        <v>-1.5</v>
      </c>
      <c r="U179" s="1">
        <f ca="1">IFERROR(__xludf.DUMMYFUNCTION("""COMPUTED_VALUE"""),201)</f>
        <v>201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IFERROR(__xludf.DUMMYFUNCTION("""COMPUTED_VALUE"""),"Hampton")</f>
        <v>Hampton</v>
      </c>
      <c r="C180" s="1" t="str">
        <f ca="1">IFERROR(__xludf.DUMMYFUNCTION("""COMPUTED_VALUE"""),"BSth")</f>
        <v>BSth</v>
      </c>
      <c r="D180" s="1" t="str">
        <f ca="1">IFERROR(__xludf.DUMMYFUNCTION("""COMPUTED_VALUE"""),"18-17")</f>
        <v>18-17</v>
      </c>
      <c r="E180" s="1">
        <f ca="1">IFERROR(__xludf.DUMMYFUNCTION("""COMPUTED_VALUE"""),-0.85)</f>
        <v>-0.85</v>
      </c>
      <c r="F180" s="1">
        <f ca="1">IFERROR(__xludf.DUMMYFUNCTION("""COMPUTED_VALUE"""),107.4)</f>
        <v>107.4</v>
      </c>
      <c r="G180" s="1">
        <f ca="1">IFERROR(__xludf.DUMMYFUNCTION("""COMPUTED_VALUE"""),115)</f>
        <v>115</v>
      </c>
      <c r="H180" s="1">
        <f ca="1">IFERROR(__xludf.DUMMYFUNCTION("""COMPUTED_VALUE"""),108.2)</f>
        <v>108.2</v>
      </c>
      <c r="I180" s="1">
        <f ca="1">IFERROR(__xludf.DUMMYFUNCTION("""COMPUTED_VALUE"""),251)</f>
        <v>251</v>
      </c>
      <c r="J180" s="1">
        <f ca="1">IFERROR(__xludf.DUMMYFUNCTION("""COMPUTED_VALUE"""),71.3)</f>
        <v>71.3</v>
      </c>
      <c r="K180" s="1">
        <f ca="1">IFERROR(__xludf.DUMMYFUNCTION("""COMPUTED_VALUE"""),32)</f>
        <v>32</v>
      </c>
      <c r="L180" s="1">
        <f ca="1">IFERROR(__xludf.DUMMYFUNCTION("""COMPUTED_VALUE"""),-0.091)</f>
        <v>-9.0999999999999998E-2</v>
      </c>
      <c r="M180" s="1">
        <f ca="1">IFERROR(__xludf.DUMMYFUNCTION("""COMPUTED_VALUE"""),339)</f>
        <v>339</v>
      </c>
      <c r="N180" s="1">
        <f ca="1">IFERROR(__xludf.DUMMYFUNCTION("""COMPUTED_VALUE"""),-3.87)</f>
        <v>-3.87</v>
      </c>
      <c r="O180" s="1">
        <f ca="1">IFERROR(__xludf.DUMMYFUNCTION("""COMPUTED_VALUE"""),252)</f>
        <v>252</v>
      </c>
      <c r="P180" s="1">
        <f ca="1">IFERROR(__xludf.DUMMYFUNCTION("""COMPUTED_VALUE"""),103)</f>
        <v>103</v>
      </c>
      <c r="Q180" s="1">
        <f ca="1">IFERROR(__xludf.DUMMYFUNCTION("""COMPUTED_VALUE"""),225)</f>
        <v>225</v>
      </c>
      <c r="R180" s="1">
        <f ca="1">IFERROR(__xludf.DUMMYFUNCTION("""COMPUTED_VALUE"""),106.9)</f>
        <v>106.9</v>
      </c>
      <c r="S180" s="1">
        <f ca="1">IFERROR(__xludf.DUMMYFUNCTION("""COMPUTED_VALUE"""),255)</f>
        <v>255</v>
      </c>
      <c r="T180" s="1">
        <f ca="1">IFERROR(__xludf.DUMMYFUNCTION("""COMPUTED_VALUE"""),-1.77)</f>
        <v>-1.77</v>
      </c>
      <c r="U180" s="1">
        <f ca="1">IFERROR(__xludf.DUMMYFUNCTION("""COMPUTED_VALUE"""),212)</f>
        <v>212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IFERROR(__xludf.DUMMYFUNCTION("""COMPUTED_VALUE"""),"Missouri St.")</f>
        <v>Missouri St.</v>
      </c>
      <c r="C181" s="1" t="str">
        <f ca="1">IFERROR(__xludf.DUMMYFUNCTION("""COMPUTED_VALUE"""),"MVC")</f>
        <v>MVC</v>
      </c>
      <c r="D181" s="1" t="str">
        <f ca="1">IFERROR(__xludf.DUMMYFUNCTION("""COMPUTED_VALUE"""),"16-16")</f>
        <v>16-16</v>
      </c>
      <c r="E181" s="1">
        <f ca="1">IFERROR(__xludf.DUMMYFUNCTION("""COMPUTED_VALUE"""),-0.85)</f>
        <v>-0.85</v>
      </c>
      <c r="F181" s="1">
        <f ca="1">IFERROR(__xludf.DUMMYFUNCTION("""COMPUTED_VALUE"""),103.1)</f>
        <v>103.1</v>
      </c>
      <c r="G181" s="1">
        <f ca="1">IFERROR(__xludf.DUMMYFUNCTION("""COMPUTED_VALUE"""),199)</f>
        <v>199</v>
      </c>
      <c r="H181" s="1">
        <f ca="1">IFERROR(__xludf.DUMMYFUNCTION("""COMPUTED_VALUE"""),104)</f>
        <v>104</v>
      </c>
      <c r="I181" s="1">
        <f ca="1">IFERROR(__xludf.DUMMYFUNCTION("""COMPUTED_VALUE"""),158)</f>
        <v>158</v>
      </c>
      <c r="J181" s="1">
        <f ca="1">IFERROR(__xludf.DUMMYFUNCTION("""COMPUTED_VALUE"""),65.4)</f>
        <v>65.400000000000006</v>
      </c>
      <c r="K181" s="1">
        <f ca="1">IFERROR(__xludf.DUMMYFUNCTION("""COMPUTED_VALUE"""),287)</f>
        <v>287</v>
      </c>
      <c r="L181" s="1">
        <f ca="1">IFERROR(__xludf.DUMMYFUNCTION("""COMPUTED_VALUE"""),-0.021)</f>
        <v>-2.1000000000000001E-2</v>
      </c>
      <c r="M181" s="1">
        <f ca="1">IFERROR(__xludf.DUMMYFUNCTION("""COMPUTED_VALUE"""),236)</f>
        <v>236</v>
      </c>
      <c r="N181" s="1">
        <f ca="1">IFERROR(__xludf.DUMMYFUNCTION("""COMPUTED_VALUE"""),-1.74)</f>
        <v>-1.74</v>
      </c>
      <c r="O181" s="1">
        <f ca="1">IFERROR(__xludf.DUMMYFUNCTION("""COMPUTED_VALUE"""),186)</f>
        <v>186</v>
      </c>
      <c r="P181" s="1">
        <f ca="1">IFERROR(__xludf.DUMMYFUNCTION("""COMPUTED_VALUE"""),102.8)</f>
        <v>102.8</v>
      </c>
      <c r="Q181" s="1">
        <f ca="1">IFERROR(__xludf.DUMMYFUNCTION("""COMPUTED_VALUE"""),233)</f>
        <v>233</v>
      </c>
      <c r="R181" s="1">
        <f ca="1">IFERROR(__xludf.DUMMYFUNCTION("""COMPUTED_VALUE"""),104.6)</f>
        <v>104.6</v>
      </c>
      <c r="S181" s="1">
        <f ca="1">IFERROR(__xludf.DUMMYFUNCTION("""COMPUTED_VALUE"""),162)</f>
        <v>162</v>
      </c>
      <c r="T181" s="1">
        <f ca="1">IFERROR(__xludf.DUMMYFUNCTION("""COMPUTED_VALUE"""),-1.9)</f>
        <v>-1.9</v>
      </c>
      <c r="U181" s="1">
        <f ca="1">IFERROR(__xludf.DUMMYFUNCTION("""COMPUTED_VALUE"""),216)</f>
        <v>216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IFERROR(__xludf.DUMMYFUNCTION("""COMPUTED_VALUE"""),"UC Santa Barbara")</f>
        <v>UC Santa Barbara</v>
      </c>
      <c r="C182" s="1" t="str">
        <f ca="1">IFERROR(__xludf.DUMMYFUNCTION("""COMPUTED_VALUE"""),"BW")</f>
        <v>BW</v>
      </c>
      <c r="D182" s="1" t="str">
        <f ca="1">IFERROR(__xludf.DUMMYFUNCTION("""COMPUTED_VALUE"""),"22-10")</f>
        <v>22-10</v>
      </c>
      <c r="E182" s="1">
        <f ca="1">IFERROR(__xludf.DUMMYFUNCTION("""COMPUTED_VALUE"""),-0.86)</f>
        <v>-0.86</v>
      </c>
      <c r="F182" s="1">
        <f ca="1">IFERROR(__xludf.DUMMYFUNCTION("""COMPUTED_VALUE"""),105.3)</f>
        <v>105.3</v>
      </c>
      <c r="G182" s="1">
        <f ca="1">IFERROR(__xludf.DUMMYFUNCTION("""COMPUTED_VALUE"""),160)</f>
        <v>160</v>
      </c>
      <c r="H182" s="1">
        <f ca="1">IFERROR(__xludf.DUMMYFUNCTION("""COMPUTED_VALUE"""),106.1)</f>
        <v>106.1</v>
      </c>
      <c r="I182" s="1">
        <f ca="1">IFERROR(__xludf.DUMMYFUNCTION("""COMPUTED_VALUE"""),208)</f>
        <v>208</v>
      </c>
      <c r="J182" s="1">
        <f ca="1">IFERROR(__xludf.DUMMYFUNCTION("""COMPUTED_VALUE"""),64.7)</f>
        <v>64.7</v>
      </c>
      <c r="K182" s="1">
        <f ca="1">IFERROR(__xludf.DUMMYFUNCTION("""COMPUTED_VALUE"""),321)</f>
        <v>321</v>
      </c>
      <c r="L182" s="1" t="str">
        <f ca="1">IFERROR(__xludf.DUMMYFUNCTION("""COMPUTED_VALUE"""),"+.035")</f>
        <v>+.035</v>
      </c>
      <c r="M182" s="1">
        <f ca="1">IFERROR(__xludf.DUMMYFUNCTION("""COMPUTED_VALUE"""),92)</f>
        <v>92</v>
      </c>
      <c r="N182" s="1">
        <f ca="1">IFERROR(__xludf.DUMMYFUNCTION("""COMPUTED_VALUE"""),-7.31)</f>
        <v>-7.31</v>
      </c>
      <c r="O182" s="1">
        <f ca="1">IFERROR(__xludf.DUMMYFUNCTION("""COMPUTED_VALUE"""),316)</f>
        <v>316</v>
      </c>
      <c r="P182" s="1">
        <f ca="1">IFERROR(__xludf.DUMMYFUNCTION("""COMPUTED_VALUE"""),101.4)</f>
        <v>101.4</v>
      </c>
      <c r="Q182" s="1">
        <f ca="1">IFERROR(__xludf.DUMMYFUNCTION("""COMPUTED_VALUE"""),286)</f>
        <v>286</v>
      </c>
      <c r="R182" s="1">
        <f ca="1">IFERROR(__xludf.DUMMYFUNCTION("""COMPUTED_VALUE"""),108.7)</f>
        <v>108.7</v>
      </c>
      <c r="S182" s="1">
        <f ca="1">IFERROR(__xludf.DUMMYFUNCTION("""COMPUTED_VALUE"""),339)</f>
        <v>339</v>
      </c>
      <c r="T182" s="1">
        <f ca="1">IFERROR(__xludf.DUMMYFUNCTION("""COMPUTED_VALUE"""),-7.68)</f>
        <v>-7.68</v>
      </c>
      <c r="U182" s="1">
        <f ca="1">IFERROR(__xludf.DUMMYFUNCTION("""COMPUTED_VALUE"""),336)</f>
        <v>336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IFERROR(__xludf.DUMMYFUNCTION("""COMPUTED_VALUE"""),"Duquesne")</f>
        <v>Duquesne</v>
      </c>
      <c r="C183" s="1" t="str">
        <f ca="1">IFERROR(__xludf.DUMMYFUNCTION("""COMPUTED_VALUE"""),"A10")</f>
        <v>A10</v>
      </c>
      <c r="D183" s="1" t="str">
        <f ca="1">IFERROR(__xludf.DUMMYFUNCTION("""COMPUTED_VALUE"""),"19-13")</f>
        <v>19-13</v>
      </c>
      <c r="E183" s="1">
        <f ca="1">IFERROR(__xludf.DUMMYFUNCTION("""COMPUTED_VALUE"""),-0.9)</f>
        <v>-0.9</v>
      </c>
      <c r="F183" s="1">
        <f ca="1">IFERROR(__xludf.DUMMYFUNCTION("""COMPUTED_VALUE"""),104.6)</f>
        <v>104.6</v>
      </c>
      <c r="G183" s="1">
        <f ca="1">IFERROR(__xludf.DUMMYFUNCTION("""COMPUTED_VALUE"""),171)</f>
        <v>171</v>
      </c>
      <c r="H183" s="1">
        <f ca="1">IFERROR(__xludf.DUMMYFUNCTION("""COMPUTED_VALUE"""),105.5)</f>
        <v>105.5</v>
      </c>
      <c r="I183" s="1">
        <f ca="1">IFERROR(__xludf.DUMMYFUNCTION("""COMPUTED_VALUE"""),190)</f>
        <v>190</v>
      </c>
      <c r="J183" s="1">
        <f ca="1">IFERROR(__xludf.DUMMYFUNCTION("""COMPUTED_VALUE"""),69.8)</f>
        <v>69.8</v>
      </c>
      <c r="K183" s="1">
        <f ca="1">IFERROR(__xludf.DUMMYFUNCTION("""COMPUTED_VALUE"""),73)</f>
        <v>73</v>
      </c>
      <c r="L183" s="1" t="str">
        <f ca="1">IFERROR(__xludf.DUMMYFUNCTION("""COMPUTED_VALUE"""),"+.055")</f>
        <v>+.055</v>
      </c>
      <c r="M183" s="1">
        <f ca="1">IFERROR(__xludf.DUMMYFUNCTION("""COMPUTED_VALUE"""),53)</f>
        <v>53</v>
      </c>
      <c r="N183" s="1">
        <f ca="1">IFERROR(__xludf.DUMMYFUNCTION("""COMPUTED_VALUE"""),-2.8)</f>
        <v>-2.8</v>
      </c>
      <c r="O183" s="1">
        <f ca="1">IFERROR(__xludf.DUMMYFUNCTION("""COMPUTED_VALUE"""),216)</f>
        <v>216</v>
      </c>
      <c r="P183" s="1">
        <f ca="1">IFERROR(__xludf.DUMMYFUNCTION("""COMPUTED_VALUE"""),101.8)</f>
        <v>101.8</v>
      </c>
      <c r="Q183" s="1">
        <f ca="1">IFERROR(__xludf.DUMMYFUNCTION("""COMPUTED_VALUE"""),278)</f>
        <v>278</v>
      </c>
      <c r="R183" s="1">
        <f ca="1">IFERROR(__xludf.DUMMYFUNCTION("""COMPUTED_VALUE"""),104.6)</f>
        <v>104.6</v>
      </c>
      <c r="S183" s="1">
        <f ca="1">IFERROR(__xludf.DUMMYFUNCTION("""COMPUTED_VALUE"""),164)</f>
        <v>164</v>
      </c>
      <c r="T183" s="1">
        <f ca="1">IFERROR(__xludf.DUMMYFUNCTION("""COMPUTED_VALUE"""),-7.26)</f>
        <v>-7.26</v>
      </c>
      <c r="U183" s="1">
        <f ca="1">IFERROR(__xludf.DUMMYFUNCTION("""COMPUTED_VALUE"""),334)</f>
        <v>334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IFERROR(__xludf.DUMMYFUNCTION("""COMPUTED_VALUE"""),"Wake Forest")</f>
        <v>Wake Forest</v>
      </c>
      <c r="C184" s="1" t="str">
        <f ca="1">IFERROR(__xludf.DUMMYFUNCTION("""COMPUTED_VALUE"""),"ACC")</f>
        <v>ACC</v>
      </c>
      <c r="D184" s="2">
        <f ca="1">IFERROR(__xludf.DUMMYFUNCTION("""COMPUTED_VALUE"""),44885)</f>
        <v>44885</v>
      </c>
      <c r="E184" s="1">
        <f ca="1">IFERROR(__xludf.DUMMYFUNCTION("""COMPUTED_VALUE"""),-0.93)</f>
        <v>-0.93</v>
      </c>
      <c r="F184" s="1">
        <f ca="1">IFERROR(__xludf.DUMMYFUNCTION("""COMPUTED_VALUE"""),104.4)</f>
        <v>104.4</v>
      </c>
      <c r="G184" s="1">
        <f ca="1">IFERROR(__xludf.DUMMYFUNCTION("""COMPUTED_VALUE"""),175)</f>
        <v>175</v>
      </c>
      <c r="H184" s="1">
        <f ca="1">IFERROR(__xludf.DUMMYFUNCTION("""COMPUTED_VALUE"""),105.3)</f>
        <v>105.3</v>
      </c>
      <c r="I184" s="1">
        <f ca="1">IFERROR(__xludf.DUMMYFUNCTION("""COMPUTED_VALUE"""),186)</f>
        <v>186</v>
      </c>
      <c r="J184" s="1">
        <f ca="1">IFERROR(__xludf.DUMMYFUNCTION("""COMPUTED_VALUE"""),67.6)</f>
        <v>67.599999999999994</v>
      </c>
      <c r="K184" s="1">
        <f ca="1">IFERROR(__xludf.DUMMYFUNCTION("""COMPUTED_VALUE"""),179)</f>
        <v>179</v>
      </c>
      <c r="L184" s="1" t="str">
        <f ca="1">IFERROR(__xludf.DUMMYFUNCTION("""COMPUTED_VALUE"""),"+.040")</f>
        <v>+.040</v>
      </c>
      <c r="M184" s="1">
        <f ca="1">IFERROR(__xludf.DUMMYFUNCTION("""COMPUTED_VALUE"""),85)</f>
        <v>85</v>
      </c>
      <c r="N184" s="1" t="str">
        <f ca="1">IFERROR(__xludf.DUMMYFUNCTION("""COMPUTED_VALUE"""),"+7.92")</f>
        <v>+7.92</v>
      </c>
      <c r="O184" s="1">
        <f ca="1">IFERROR(__xludf.DUMMYFUNCTION("""COMPUTED_VALUE"""),52)</f>
        <v>52</v>
      </c>
      <c r="P184" s="1">
        <f ca="1">IFERROR(__xludf.DUMMYFUNCTION("""COMPUTED_VALUE"""),108.3)</f>
        <v>108.3</v>
      </c>
      <c r="Q184" s="1">
        <f ca="1">IFERROR(__xludf.DUMMYFUNCTION("""COMPUTED_VALUE"""),51)</f>
        <v>51</v>
      </c>
      <c r="R184" s="1">
        <f ca="1">IFERROR(__xludf.DUMMYFUNCTION("""COMPUTED_VALUE"""),100.4)</f>
        <v>100.4</v>
      </c>
      <c r="S184" s="1">
        <f ca="1">IFERROR(__xludf.DUMMYFUNCTION("""COMPUTED_VALUE"""),50)</f>
        <v>50</v>
      </c>
      <c r="T184" s="1">
        <f ca="1">IFERROR(__xludf.DUMMYFUNCTION("""COMPUTED_VALUE"""),-6.46)</f>
        <v>-6.46</v>
      </c>
      <c r="U184" s="1">
        <f ca="1">IFERROR(__xludf.DUMMYFUNCTION("""COMPUTED_VALUE"""),328)</f>
        <v>328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IFERROR(__xludf.DUMMYFUNCTION("""COMPUTED_VALUE"""),"Princeton")</f>
        <v>Princeton</v>
      </c>
      <c r="C185" s="1" t="str">
        <f ca="1">IFERROR(__xludf.DUMMYFUNCTION("""COMPUTED_VALUE"""),"Ivy")</f>
        <v>Ivy</v>
      </c>
      <c r="D185" s="1" t="str">
        <f ca="1">IFERROR(__xludf.DUMMYFUNCTION("""COMPUTED_VALUE"""),"16-12")</f>
        <v>16-12</v>
      </c>
      <c r="E185" s="1">
        <f ca="1">IFERROR(__xludf.DUMMYFUNCTION("""COMPUTED_VALUE"""),-1.06)</f>
        <v>-1.06</v>
      </c>
      <c r="F185" s="1">
        <f ca="1">IFERROR(__xludf.DUMMYFUNCTION("""COMPUTED_VALUE"""),98.9)</f>
        <v>98.9</v>
      </c>
      <c r="G185" s="1">
        <f ca="1">IFERROR(__xludf.DUMMYFUNCTION("""COMPUTED_VALUE"""),279)</f>
        <v>279</v>
      </c>
      <c r="H185" s="1">
        <f ca="1">IFERROR(__xludf.DUMMYFUNCTION("""COMPUTED_VALUE"""),100)</f>
        <v>100</v>
      </c>
      <c r="I185" s="1">
        <f ca="1">IFERROR(__xludf.DUMMYFUNCTION("""COMPUTED_VALUE"""),96)</f>
        <v>96</v>
      </c>
      <c r="J185" s="1">
        <f ca="1">IFERROR(__xludf.DUMMYFUNCTION("""COMPUTED_VALUE"""),67.6)</f>
        <v>67.599999999999994</v>
      </c>
      <c r="K185" s="1">
        <f ca="1">IFERROR(__xludf.DUMMYFUNCTION("""COMPUTED_VALUE"""),177)</f>
        <v>177</v>
      </c>
      <c r="L185" s="1" t="str">
        <f ca="1">IFERROR(__xludf.DUMMYFUNCTION("""COMPUTED_VALUE"""),"+.101")</f>
        <v>+.101</v>
      </c>
      <c r="M185" s="1">
        <f ca="1">IFERROR(__xludf.DUMMYFUNCTION("""COMPUTED_VALUE"""),10)</f>
        <v>10</v>
      </c>
      <c r="N185" s="1" t="str">
        <f ca="1">IFERROR(__xludf.DUMMYFUNCTION("""COMPUTED_VALUE"""),"+0.16")</f>
        <v>+0.16</v>
      </c>
      <c r="O185" s="1">
        <f ca="1">IFERROR(__xludf.DUMMYFUNCTION("""COMPUTED_VALUE"""),133)</f>
        <v>133</v>
      </c>
      <c r="P185" s="1">
        <f ca="1">IFERROR(__xludf.DUMMYFUNCTION("""COMPUTED_VALUE"""),104.3)</f>
        <v>104.3</v>
      </c>
      <c r="Q185" s="1">
        <f ca="1">IFERROR(__xludf.DUMMYFUNCTION("""COMPUTED_VALUE"""),155)</f>
        <v>155</v>
      </c>
      <c r="R185" s="1">
        <f ca="1">IFERROR(__xludf.DUMMYFUNCTION("""COMPUTED_VALUE"""),104.2)</f>
        <v>104.2</v>
      </c>
      <c r="S185" s="1">
        <f ca="1">IFERROR(__xludf.DUMMYFUNCTION("""COMPUTED_VALUE"""),142)</f>
        <v>142</v>
      </c>
      <c r="T185" s="1">
        <f ca="1">IFERROR(__xludf.DUMMYFUNCTION("""COMPUTED_VALUE"""),-1.24)</f>
        <v>-1.24</v>
      </c>
      <c r="U185" s="1">
        <f ca="1">IFERROR(__xludf.DUMMYFUNCTION("""COMPUTED_VALUE"""),195)</f>
        <v>195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IFERROR(__xludf.DUMMYFUNCTION("""COMPUTED_VALUE"""),"Sam Houston St.8")</f>
        <v>Sam Houston St.8</v>
      </c>
      <c r="C186" s="1" t="str">
        <f ca="1">IFERROR(__xludf.DUMMYFUNCTION("""COMPUTED_VALUE"""),"Slnd")</f>
        <v>Slnd</v>
      </c>
      <c r="D186" s="1" t="str">
        <f ca="1">IFERROR(__xludf.DUMMYFUNCTION("""COMPUTED_VALUE"""),"21-12")</f>
        <v>21-12</v>
      </c>
      <c r="E186" s="1">
        <f ca="1">IFERROR(__xludf.DUMMYFUNCTION("""COMPUTED_VALUE"""),-1.09)</f>
        <v>-1.0900000000000001</v>
      </c>
      <c r="F186" s="1">
        <f ca="1">IFERROR(__xludf.DUMMYFUNCTION("""COMPUTED_VALUE"""),106.1)</f>
        <v>106.1</v>
      </c>
      <c r="G186" s="1">
        <f ca="1">IFERROR(__xludf.DUMMYFUNCTION("""COMPUTED_VALUE"""),145)</f>
        <v>145</v>
      </c>
      <c r="H186" s="1">
        <f ca="1">IFERROR(__xludf.DUMMYFUNCTION("""COMPUTED_VALUE"""),107.2)</f>
        <v>107.2</v>
      </c>
      <c r="I186" s="1">
        <f ca="1">IFERROR(__xludf.DUMMYFUNCTION("""COMPUTED_VALUE"""),229)</f>
        <v>229</v>
      </c>
      <c r="J186" s="1">
        <f ca="1">IFERROR(__xludf.DUMMYFUNCTION("""COMPUTED_VALUE"""),66.3)</f>
        <v>66.3</v>
      </c>
      <c r="K186" s="1">
        <f ca="1">IFERROR(__xludf.DUMMYFUNCTION("""COMPUTED_VALUE"""),249)</f>
        <v>249</v>
      </c>
      <c r="L186" s="1" t="str">
        <f ca="1">IFERROR(__xludf.DUMMYFUNCTION("""COMPUTED_VALUE"""),"+.022")</f>
        <v>+.022</v>
      </c>
      <c r="M186" s="1">
        <f ca="1">IFERROR(__xludf.DUMMYFUNCTION("""COMPUTED_VALUE"""),124)</f>
        <v>124</v>
      </c>
      <c r="N186" s="1">
        <f ca="1">IFERROR(__xludf.DUMMYFUNCTION("""COMPUTED_VALUE"""),-5.57)</f>
        <v>-5.57</v>
      </c>
      <c r="O186" s="1">
        <f ca="1">IFERROR(__xludf.DUMMYFUNCTION("""COMPUTED_VALUE"""),284)</f>
        <v>284</v>
      </c>
      <c r="P186" s="1">
        <f ca="1">IFERROR(__xludf.DUMMYFUNCTION("""COMPUTED_VALUE"""),101)</f>
        <v>101</v>
      </c>
      <c r="Q186" s="1">
        <f ca="1">IFERROR(__xludf.DUMMYFUNCTION("""COMPUTED_VALUE"""),302)</f>
        <v>302</v>
      </c>
      <c r="R186" s="1">
        <f ca="1">IFERROR(__xludf.DUMMYFUNCTION("""COMPUTED_VALUE"""),106.6)</f>
        <v>106.6</v>
      </c>
      <c r="S186" s="1">
        <f ca="1">IFERROR(__xludf.DUMMYFUNCTION("""COMPUTED_VALUE"""),238)</f>
        <v>238</v>
      </c>
      <c r="T186" s="1" t="str">
        <f ca="1">IFERROR(__xludf.DUMMYFUNCTION("""COMPUTED_VALUE"""),"+3.15")</f>
        <v>+3.15</v>
      </c>
      <c r="U186" s="1">
        <f ca="1">IFERROR(__xludf.DUMMYFUNCTION("""COMPUTED_VALUE"""),86)</f>
        <v>86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IFERROR(__xludf.DUMMYFUNCTION("""COMPUTED_VALUE"""),"Northern Iowa")</f>
        <v>Northern Iowa</v>
      </c>
      <c r="C187" s="1" t="str">
        <f ca="1">IFERROR(__xludf.DUMMYFUNCTION("""COMPUTED_VALUE"""),"MVC")</f>
        <v>MVC</v>
      </c>
      <c r="D187" s="1" t="str">
        <f ca="1">IFERROR(__xludf.DUMMYFUNCTION("""COMPUTED_VALUE"""),"16-18")</f>
        <v>16-18</v>
      </c>
      <c r="E187" s="1">
        <f ca="1">IFERROR(__xludf.DUMMYFUNCTION("""COMPUTED_VALUE"""),-1.15)</f>
        <v>-1.1499999999999999</v>
      </c>
      <c r="F187" s="1">
        <f ca="1">IFERROR(__xludf.DUMMYFUNCTION("""COMPUTED_VALUE"""),101.5)</f>
        <v>101.5</v>
      </c>
      <c r="G187" s="1">
        <f ca="1">IFERROR(__xludf.DUMMYFUNCTION("""COMPUTED_VALUE"""),235)</f>
        <v>235</v>
      </c>
      <c r="H187" s="1">
        <f ca="1">IFERROR(__xludf.DUMMYFUNCTION("""COMPUTED_VALUE"""),102.7)</f>
        <v>102.7</v>
      </c>
      <c r="I187" s="1">
        <f ca="1">IFERROR(__xludf.DUMMYFUNCTION("""COMPUTED_VALUE"""),136)</f>
        <v>136</v>
      </c>
      <c r="J187" s="1">
        <f ca="1">IFERROR(__xludf.DUMMYFUNCTION("""COMPUTED_VALUE"""),64.4)</f>
        <v>64.400000000000006</v>
      </c>
      <c r="K187" s="1">
        <f ca="1">IFERROR(__xludf.DUMMYFUNCTION("""COMPUTED_VALUE"""),327)</f>
        <v>327</v>
      </c>
      <c r="L187" s="1" t="str">
        <f ca="1">IFERROR(__xludf.DUMMYFUNCTION("""COMPUTED_VALUE"""),"+.004")</f>
        <v>+.004</v>
      </c>
      <c r="M187" s="1">
        <f ca="1">IFERROR(__xludf.DUMMYFUNCTION("""COMPUTED_VALUE"""),168)</f>
        <v>168</v>
      </c>
      <c r="N187" s="1" t="str">
        <f ca="1">IFERROR(__xludf.DUMMYFUNCTION("""COMPUTED_VALUE"""),"+0.29")</f>
        <v>+0.29</v>
      </c>
      <c r="O187" s="1">
        <f ca="1">IFERROR(__xludf.DUMMYFUNCTION("""COMPUTED_VALUE"""),130)</f>
        <v>130</v>
      </c>
      <c r="P187" s="1">
        <f ca="1">IFERROR(__xludf.DUMMYFUNCTION("""COMPUTED_VALUE"""),103.1)</f>
        <v>103.1</v>
      </c>
      <c r="Q187" s="1">
        <f ca="1">IFERROR(__xludf.DUMMYFUNCTION("""COMPUTED_VALUE"""),221)</f>
        <v>221</v>
      </c>
      <c r="R187" s="1">
        <f ca="1">IFERROR(__xludf.DUMMYFUNCTION("""COMPUTED_VALUE"""),102.8)</f>
        <v>102.8</v>
      </c>
      <c r="S187" s="1">
        <f ca="1">IFERROR(__xludf.DUMMYFUNCTION("""COMPUTED_VALUE"""),95)</f>
        <v>95</v>
      </c>
      <c r="T187" s="1" t="str">
        <f ca="1">IFERROR(__xludf.DUMMYFUNCTION("""COMPUTED_VALUE"""),"+3.42")</f>
        <v>+3.42</v>
      </c>
      <c r="U187" s="1">
        <f ca="1">IFERROR(__xludf.DUMMYFUNCTION("""COMPUTED_VALUE"""),73)</f>
        <v>73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IFERROR(__xludf.DUMMYFUNCTION("""COMPUTED_VALUE"""),"Louisiana")</f>
        <v>Louisiana</v>
      </c>
      <c r="C188" s="1" t="str">
        <f ca="1">IFERROR(__xludf.DUMMYFUNCTION("""COMPUTED_VALUE"""),"SB")</f>
        <v>SB</v>
      </c>
      <c r="D188" s="1" t="str">
        <f ca="1">IFERROR(__xludf.DUMMYFUNCTION("""COMPUTED_VALUE"""),"19-13")</f>
        <v>19-13</v>
      </c>
      <c r="E188" s="1">
        <f ca="1">IFERROR(__xludf.DUMMYFUNCTION("""COMPUTED_VALUE"""),-1.21)</f>
        <v>-1.21</v>
      </c>
      <c r="F188" s="1">
        <f ca="1">IFERROR(__xludf.DUMMYFUNCTION("""COMPUTED_VALUE"""),106.7)</f>
        <v>106.7</v>
      </c>
      <c r="G188" s="1">
        <f ca="1">IFERROR(__xludf.DUMMYFUNCTION("""COMPUTED_VALUE"""),133)</f>
        <v>133</v>
      </c>
      <c r="H188" s="1">
        <f ca="1">IFERROR(__xludf.DUMMYFUNCTION("""COMPUTED_VALUE"""),107.9)</f>
        <v>107.9</v>
      </c>
      <c r="I188" s="1">
        <f ca="1">IFERROR(__xludf.DUMMYFUNCTION("""COMPUTED_VALUE"""),246)</f>
        <v>246</v>
      </c>
      <c r="J188" s="1">
        <f ca="1">IFERROR(__xludf.DUMMYFUNCTION("""COMPUTED_VALUE"""),72.1)</f>
        <v>72.099999999999994</v>
      </c>
      <c r="K188" s="1">
        <f ca="1">IFERROR(__xludf.DUMMYFUNCTION("""COMPUTED_VALUE"""),21)</f>
        <v>21</v>
      </c>
      <c r="L188" s="1" t="str">
        <f ca="1">IFERROR(__xludf.DUMMYFUNCTION("""COMPUTED_VALUE"""),"+.085")</f>
        <v>+.085</v>
      </c>
      <c r="M188" s="1">
        <f ca="1">IFERROR(__xludf.DUMMYFUNCTION("""COMPUTED_VALUE"""),16)</f>
        <v>16</v>
      </c>
      <c r="N188" s="1">
        <f ca="1">IFERROR(__xludf.DUMMYFUNCTION("""COMPUTED_VALUE"""),-1.41)</f>
        <v>-1.41</v>
      </c>
      <c r="O188" s="1">
        <f ca="1">IFERROR(__xludf.DUMMYFUNCTION("""COMPUTED_VALUE"""),177)</f>
        <v>177</v>
      </c>
      <c r="P188" s="1">
        <f ca="1">IFERROR(__xludf.DUMMYFUNCTION("""COMPUTED_VALUE"""),104.6)</f>
        <v>104.6</v>
      </c>
      <c r="Q188" s="1">
        <f ca="1">IFERROR(__xludf.DUMMYFUNCTION("""COMPUTED_VALUE"""),145)</f>
        <v>145</v>
      </c>
      <c r="R188" s="1">
        <f ca="1">IFERROR(__xludf.DUMMYFUNCTION("""COMPUTED_VALUE"""),106)</f>
        <v>106</v>
      </c>
      <c r="S188" s="1">
        <f ca="1">IFERROR(__xludf.DUMMYFUNCTION("""COMPUTED_VALUE"""),213)</f>
        <v>213</v>
      </c>
      <c r="T188" s="1">
        <f ca="1">IFERROR(__xludf.DUMMYFUNCTION("""COMPUTED_VALUE"""),-1.5)</f>
        <v>-1.5</v>
      </c>
      <c r="U188" s="1">
        <f ca="1">IFERROR(__xludf.DUMMYFUNCTION("""COMPUTED_VALUE"""),202)</f>
        <v>202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IFERROR(__xludf.DUMMYFUNCTION("""COMPUTED_VALUE"""),"Presbyterian")</f>
        <v>Presbyterian</v>
      </c>
      <c r="C189" s="1" t="str">
        <f ca="1">IFERROR(__xludf.DUMMYFUNCTION("""COMPUTED_VALUE"""),"BSth")</f>
        <v>BSth</v>
      </c>
      <c r="D189" s="1" t="str">
        <f ca="1">IFERROR(__xludf.DUMMYFUNCTION("""COMPUTED_VALUE"""),"20-16")</f>
        <v>20-16</v>
      </c>
      <c r="E189" s="1">
        <f ca="1">IFERROR(__xludf.DUMMYFUNCTION("""COMPUTED_VALUE"""),-1.32)</f>
        <v>-1.32</v>
      </c>
      <c r="F189" s="1">
        <f ca="1">IFERROR(__xludf.DUMMYFUNCTION("""COMPUTED_VALUE"""),109.3)</f>
        <v>109.3</v>
      </c>
      <c r="G189" s="1">
        <f ca="1">IFERROR(__xludf.DUMMYFUNCTION("""COMPUTED_VALUE"""),78)</f>
        <v>78</v>
      </c>
      <c r="H189" s="1">
        <f ca="1">IFERROR(__xludf.DUMMYFUNCTION("""COMPUTED_VALUE"""),110.7)</f>
        <v>110.7</v>
      </c>
      <c r="I189" s="1">
        <f ca="1">IFERROR(__xludf.DUMMYFUNCTION("""COMPUTED_VALUE"""),293)</f>
        <v>293</v>
      </c>
      <c r="J189" s="1">
        <f ca="1">IFERROR(__xludf.DUMMYFUNCTION("""COMPUTED_VALUE"""),67.8)</f>
        <v>67.8</v>
      </c>
      <c r="K189" s="1">
        <f ca="1">IFERROR(__xludf.DUMMYFUNCTION("""COMPUTED_VALUE"""),166)</f>
        <v>166</v>
      </c>
      <c r="L189" s="1">
        <f ca="1">IFERROR(__xludf.DUMMYFUNCTION("""COMPUTED_VALUE"""),-0.043)</f>
        <v>-4.2999999999999997E-2</v>
      </c>
      <c r="M189" s="1">
        <f ca="1">IFERROR(__xludf.DUMMYFUNCTION("""COMPUTED_VALUE"""),281)</f>
        <v>281</v>
      </c>
      <c r="N189" s="1">
        <f ca="1">IFERROR(__xludf.DUMMYFUNCTION("""COMPUTED_VALUE"""),-3.96)</f>
        <v>-3.96</v>
      </c>
      <c r="O189" s="1">
        <f ca="1">IFERROR(__xludf.DUMMYFUNCTION("""COMPUTED_VALUE"""),254)</f>
        <v>254</v>
      </c>
      <c r="P189" s="1">
        <f ca="1">IFERROR(__xludf.DUMMYFUNCTION("""COMPUTED_VALUE"""),102.8)</f>
        <v>102.8</v>
      </c>
      <c r="Q189" s="1">
        <f ca="1">IFERROR(__xludf.DUMMYFUNCTION("""COMPUTED_VALUE"""),232)</f>
        <v>232</v>
      </c>
      <c r="R189" s="1">
        <f ca="1">IFERROR(__xludf.DUMMYFUNCTION("""COMPUTED_VALUE"""),106.8)</f>
        <v>106.8</v>
      </c>
      <c r="S189" s="1">
        <f ca="1">IFERROR(__xludf.DUMMYFUNCTION("""COMPUTED_VALUE"""),252)</f>
        <v>252</v>
      </c>
      <c r="T189" s="1">
        <f ca="1">IFERROR(__xludf.DUMMYFUNCTION("""COMPUTED_VALUE"""),-1.18)</f>
        <v>-1.18</v>
      </c>
      <c r="U189" s="1">
        <f ca="1">IFERROR(__xludf.DUMMYFUNCTION("""COMPUTED_VALUE"""),194)</f>
        <v>194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IFERROR(__xludf.DUMMYFUNCTION("""COMPUTED_VALUE"""),"Colorado St.")</f>
        <v>Colorado St.</v>
      </c>
      <c r="C190" s="1" t="str">
        <f ca="1">IFERROR(__xludf.DUMMYFUNCTION("""COMPUTED_VALUE"""),"MWC")</f>
        <v>MWC</v>
      </c>
      <c r="D190" s="2">
        <f ca="1">IFERROR(__xludf.DUMMYFUNCTION("""COMPUTED_VALUE"""),44915)</f>
        <v>44915</v>
      </c>
      <c r="E190" s="1">
        <f ca="1">IFERROR(__xludf.DUMMYFUNCTION("""COMPUTED_VALUE"""),-1.39)</f>
        <v>-1.39</v>
      </c>
      <c r="F190" s="1">
        <f ca="1">IFERROR(__xludf.DUMMYFUNCTION("""COMPUTED_VALUE"""),107.6)</f>
        <v>107.6</v>
      </c>
      <c r="G190" s="1">
        <f ca="1">IFERROR(__xludf.DUMMYFUNCTION("""COMPUTED_VALUE"""),112)</f>
        <v>112</v>
      </c>
      <c r="H190" s="1">
        <f ca="1">IFERROR(__xludf.DUMMYFUNCTION("""COMPUTED_VALUE"""),109)</f>
        <v>109</v>
      </c>
      <c r="I190" s="1">
        <f ca="1">IFERROR(__xludf.DUMMYFUNCTION("""COMPUTED_VALUE"""),261)</f>
        <v>261</v>
      </c>
      <c r="J190" s="1">
        <f ca="1">IFERROR(__xludf.DUMMYFUNCTION("""COMPUTED_VALUE"""),67.1)</f>
        <v>67.099999999999994</v>
      </c>
      <c r="K190" s="1">
        <f ca="1">IFERROR(__xludf.DUMMYFUNCTION("""COMPUTED_VALUE"""),204)</f>
        <v>204</v>
      </c>
      <c r="L190" s="1">
        <f ca="1">IFERROR(__xludf.DUMMYFUNCTION("""COMPUTED_VALUE"""),-0.111)</f>
        <v>-0.111</v>
      </c>
      <c r="M190" s="1">
        <f ca="1">IFERROR(__xludf.DUMMYFUNCTION("""COMPUTED_VALUE"""),349)</f>
        <v>349</v>
      </c>
      <c r="N190" s="1">
        <f ca="1">IFERROR(__xludf.DUMMYFUNCTION("""COMPUTED_VALUE"""),-0.21)</f>
        <v>-0.21</v>
      </c>
      <c r="O190" s="1">
        <f ca="1">IFERROR(__xludf.DUMMYFUNCTION("""COMPUTED_VALUE"""),145)</f>
        <v>145</v>
      </c>
      <c r="P190" s="1">
        <f ca="1">IFERROR(__xludf.DUMMYFUNCTION("""COMPUTED_VALUE"""),104.7)</f>
        <v>104.7</v>
      </c>
      <c r="Q190" s="1">
        <f ca="1">IFERROR(__xludf.DUMMYFUNCTION("""COMPUTED_VALUE"""),141)</f>
        <v>141</v>
      </c>
      <c r="R190" s="1">
        <f ca="1">IFERROR(__xludf.DUMMYFUNCTION("""COMPUTED_VALUE"""),104.9)</f>
        <v>104.9</v>
      </c>
      <c r="S190" s="1">
        <f ca="1">IFERROR(__xludf.DUMMYFUNCTION("""COMPUTED_VALUE"""),173)</f>
        <v>173</v>
      </c>
      <c r="T190" s="1">
        <f ca="1">IFERROR(__xludf.DUMMYFUNCTION("""COMPUTED_VALUE"""),-1.91)</f>
        <v>-1.91</v>
      </c>
      <c r="U190" s="1">
        <f ca="1">IFERROR(__xludf.DUMMYFUNCTION("""COMPUTED_VALUE"""),217)</f>
        <v>217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IFERROR(__xludf.DUMMYFUNCTION("""COMPUTED_VALUE"""),"Campbell8")</f>
        <v>Campbell8</v>
      </c>
      <c r="C191" s="1" t="str">
        <f ca="1">IFERROR(__xludf.DUMMYFUNCTION("""COMPUTED_VALUE"""),"BSth")</f>
        <v>BSth</v>
      </c>
      <c r="D191" s="1" t="str">
        <f ca="1">IFERROR(__xludf.DUMMYFUNCTION("""COMPUTED_VALUE"""),"20-13")</f>
        <v>20-13</v>
      </c>
      <c r="E191" s="1">
        <f ca="1">IFERROR(__xludf.DUMMYFUNCTION("""COMPUTED_VALUE"""),-1.49)</f>
        <v>-1.49</v>
      </c>
      <c r="F191" s="1">
        <f ca="1">IFERROR(__xludf.DUMMYFUNCTION("""COMPUTED_VALUE"""),108.3)</f>
        <v>108.3</v>
      </c>
      <c r="G191" s="1">
        <f ca="1">IFERROR(__xludf.DUMMYFUNCTION("""COMPUTED_VALUE"""),101)</f>
        <v>101</v>
      </c>
      <c r="H191" s="1">
        <f ca="1">IFERROR(__xludf.DUMMYFUNCTION("""COMPUTED_VALUE"""),109.8)</f>
        <v>109.8</v>
      </c>
      <c r="I191" s="1">
        <f ca="1">IFERROR(__xludf.DUMMYFUNCTION("""COMPUTED_VALUE"""),278)</f>
        <v>278</v>
      </c>
      <c r="J191" s="1">
        <f ca="1">IFERROR(__xludf.DUMMYFUNCTION("""COMPUTED_VALUE"""),65.7)</f>
        <v>65.7</v>
      </c>
      <c r="K191" s="1">
        <f ca="1">IFERROR(__xludf.DUMMYFUNCTION("""COMPUTED_VALUE"""),281)</f>
        <v>281</v>
      </c>
      <c r="L191" s="1" t="str">
        <f ca="1">IFERROR(__xludf.DUMMYFUNCTION("""COMPUTED_VALUE"""),"+.023")</f>
        <v>+.023</v>
      </c>
      <c r="M191" s="1">
        <f ca="1">IFERROR(__xludf.DUMMYFUNCTION("""COMPUTED_VALUE"""),118)</f>
        <v>118</v>
      </c>
      <c r="N191" s="1">
        <f ca="1">IFERROR(__xludf.DUMMYFUNCTION("""COMPUTED_VALUE"""),-3.79)</f>
        <v>-3.79</v>
      </c>
      <c r="O191" s="1">
        <f ca="1">IFERROR(__xludf.DUMMYFUNCTION("""COMPUTED_VALUE"""),248)</f>
        <v>248</v>
      </c>
      <c r="P191" s="1">
        <f ca="1">IFERROR(__xludf.DUMMYFUNCTION("""COMPUTED_VALUE"""),103.6)</f>
        <v>103.6</v>
      </c>
      <c r="Q191" s="1">
        <f ca="1">IFERROR(__xludf.DUMMYFUNCTION("""COMPUTED_VALUE"""),193)</f>
        <v>193</v>
      </c>
      <c r="R191" s="1">
        <f ca="1">IFERROR(__xludf.DUMMYFUNCTION("""COMPUTED_VALUE"""),107.4)</f>
        <v>107.4</v>
      </c>
      <c r="S191" s="1">
        <f ca="1">IFERROR(__xludf.DUMMYFUNCTION("""COMPUTED_VALUE"""),277)</f>
        <v>277</v>
      </c>
      <c r="T191" s="1">
        <f ca="1">IFERROR(__xludf.DUMMYFUNCTION("""COMPUTED_VALUE"""),-2.06)</f>
        <v>-2.06</v>
      </c>
      <c r="U191" s="1">
        <f ca="1">IFERROR(__xludf.DUMMYFUNCTION("""COMPUTED_VALUE"""),221)</f>
        <v>221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IFERROR(__xludf.DUMMYFUNCTION("""COMPUTED_VALUE"""),"UT Rio Grande Valley")</f>
        <v>UT Rio Grande Valley</v>
      </c>
      <c r="C192" s="1" t="str">
        <f ca="1">IFERROR(__xludf.DUMMYFUNCTION("""COMPUTED_VALUE"""),"WAC")</f>
        <v>WAC</v>
      </c>
      <c r="D192" s="1" t="str">
        <f ca="1">IFERROR(__xludf.DUMMYFUNCTION("""COMPUTED_VALUE"""),"20-17")</f>
        <v>20-17</v>
      </c>
      <c r="E192" s="1">
        <f ca="1">IFERROR(__xludf.DUMMYFUNCTION("""COMPUTED_VALUE"""),-1.5)</f>
        <v>-1.5</v>
      </c>
      <c r="F192" s="1">
        <f ca="1">IFERROR(__xludf.DUMMYFUNCTION("""COMPUTED_VALUE"""),99.6)</f>
        <v>99.6</v>
      </c>
      <c r="G192" s="1">
        <f ca="1">IFERROR(__xludf.DUMMYFUNCTION("""COMPUTED_VALUE"""),270)</f>
        <v>270</v>
      </c>
      <c r="H192" s="1">
        <f ca="1">IFERROR(__xludf.DUMMYFUNCTION("""COMPUTED_VALUE"""),101.1)</f>
        <v>101.1</v>
      </c>
      <c r="I192" s="1">
        <f ca="1">IFERROR(__xludf.DUMMYFUNCTION("""COMPUTED_VALUE"""),109)</f>
        <v>109</v>
      </c>
      <c r="J192" s="1">
        <f ca="1">IFERROR(__xludf.DUMMYFUNCTION("""COMPUTED_VALUE"""),70.4)</f>
        <v>70.400000000000006</v>
      </c>
      <c r="K192" s="1">
        <f ca="1">IFERROR(__xludf.DUMMYFUNCTION("""COMPUTED_VALUE"""),56)</f>
        <v>56</v>
      </c>
      <c r="L192" s="1" t="str">
        <f ca="1">IFERROR(__xludf.DUMMYFUNCTION("""COMPUTED_VALUE"""),"+.026")</f>
        <v>+.026</v>
      </c>
      <c r="M192" s="1">
        <f ca="1">IFERROR(__xludf.DUMMYFUNCTION("""COMPUTED_VALUE"""),108)</f>
        <v>108</v>
      </c>
      <c r="N192" s="1">
        <f ca="1">IFERROR(__xludf.DUMMYFUNCTION("""COMPUTED_VALUE"""),-2.13)</f>
        <v>-2.13</v>
      </c>
      <c r="O192" s="1">
        <f ca="1">IFERROR(__xludf.DUMMYFUNCTION("""COMPUTED_VALUE"""),202)</f>
        <v>202</v>
      </c>
      <c r="P192" s="1">
        <f ca="1">IFERROR(__xludf.DUMMYFUNCTION("""COMPUTED_VALUE"""),102.8)</f>
        <v>102.8</v>
      </c>
      <c r="Q192" s="1">
        <f ca="1">IFERROR(__xludf.DUMMYFUNCTION("""COMPUTED_VALUE"""),236)</f>
        <v>236</v>
      </c>
      <c r="R192" s="1">
        <f ca="1">IFERROR(__xludf.DUMMYFUNCTION("""COMPUTED_VALUE"""),104.9)</f>
        <v>104.9</v>
      </c>
      <c r="S192" s="1">
        <f ca="1">IFERROR(__xludf.DUMMYFUNCTION("""COMPUTED_VALUE"""),174)</f>
        <v>174</v>
      </c>
      <c r="T192" s="1">
        <f ca="1">IFERROR(__xludf.DUMMYFUNCTION("""COMPUTED_VALUE"""),-1.07)</f>
        <v>-1.07</v>
      </c>
      <c r="U192" s="1">
        <f ca="1">IFERROR(__xludf.DUMMYFUNCTION("""COMPUTED_VALUE"""),189)</f>
        <v>189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IFERROR(__xludf.DUMMYFUNCTION("""COMPUTED_VALUE"""),"NJIT")</f>
        <v>NJIT</v>
      </c>
      <c r="C193" s="1" t="str">
        <f ca="1">IFERROR(__xludf.DUMMYFUNCTION("""COMPUTED_VALUE"""),"ASun")</f>
        <v>ASun</v>
      </c>
      <c r="D193" s="1" t="str">
        <f ca="1">IFERROR(__xludf.DUMMYFUNCTION("""COMPUTED_VALUE"""),"22-13")</f>
        <v>22-13</v>
      </c>
      <c r="E193" s="1">
        <f ca="1">IFERROR(__xludf.DUMMYFUNCTION("""COMPUTED_VALUE"""),-1.54)</f>
        <v>-1.54</v>
      </c>
      <c r="F193" s="1">
        <f ca="1">IFERROR(__xludf.DUMMYFUNCTION("""COMPUTED_VALUE"""),101.8)</f>
        <v>101.8</v>
      </c>
      <c r="G193" s="1">
        <f ca="1">IFERROR(__xludf.DUMMYFUNCTION("""COMPUTED_VALUE"""),227)</f>
        <v>227</v>
      </c>
      <c r="H193" s="1">
        <f ca="1">IFERROR(__xludf.DUMMYFUNCTION("""COMPUTED_VALUE"""),103.3)</f>
        <v>103.3</v>
      </c>
      <c r="I193" s="1">
        <f ca="1">IFERROR(__xludf.DUMMYFUNCTION("""COMPUTED_VALUE"""),149)</f>
        <v>149</v>
      </c>
      <c r="J193" s="1">
        <f ca="1">IFERROR(__xludf.DUMMYFUNCTION("""COMPUTED_VALUE"""),66.9)</f>
        <v>66.900000000000006</v>
      </c>
      <c r="K193" s="1">
        <f ca="1">IFERROR(__xludf.DUMMYFUNCTION("""COMPUTED_VALUE"""),216)</f>
        <v>216</v>
      </c>
      <c r="L193" s="1" t="str">
        <f ca="1">IFERROR(__xludf.DUMMYFUNCTION("""COMPUTED_VALUE"""),"+.084")</f>
        <v>+.084</v>
      </c>
      <c r="M193" s="1">
        <f ca="1">IFERROR(__xludf.DUMMYFUNCTION("""COMPUTED_VALUE"""),18)</f>
        <v>18</v>
      </c>
      <c r="N193" s="1">
        <f ca="1">IFERROR(__xludf.DUMMYFUNCTION("""COMPUTED_VALUE"""),-4.07)</f>
        <v>-4.07</v>
      </c>
      <c r="O193" s="1">
        <f ca="1">IFERROR(__xludf.DUMMYFUNCTION("""COMPUTED_VALUE"""),256)</f>
        <v>256</v>
      </c>
      <c r="P193" s="1">
        <f ca="1">IFERROR(__xludf.DUMMYFUNCTION("""COMPUTED_VALUE"""),102)</f>
        <v>102</v>
      </c>
      <c r="Q193" s="1">
        <f ca="1">IFERROR(__xludf.DUMMYFUNCTION("""COMPUTED_VALUE"""),275)</f>
        <v>275</v>
      </c>
      <c r="R193" s="1">
        <f ca="1">IFERROR(__xludf.DUMMYFUNCTION("""COMPUTED_VALUE"""),106)</f>
        <v>106</v>
      </c>
      <c r="S193" s="1">
        <f ca="1">IFERROR(__xludf.DUMMYFUNCTION("""COMPUTED_VALUE"""),215)</f>
        <v>215</v>
      </c>
      <c r="T193" s="1">
        <f ca="1">IFERROR(__xludf.DUMMYFUNCTION("""COMPUTED_VALUE"""),-4.15)</f>
        <v>-4.1500000000000004</v>
      </c>
      <c r="U193" s="1">
        <f ca="1">IFERROR(__xludf.DUMMYFUNCTION("""COMPUTED_VALUE"""),281)</f>
        <v>281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IFERROR(__xludf.DUMMYFUNCTION("""COMPUTED_VALUE"""),"Ohio")</f>
        <v>Ohio</v>
      </c>
      <c r="C194" s="1" t="str">
        <f ca="1">IFERROR(__xludf.DUMMYFUNCTION("""COMPUTED_VALUE"""),"MAC")</f>
        <v>MAC</v>
      </c>
      <c r="D194" s="1" t="str">
        <f ca="1">IFERROR(__xludf.DUMMYFUNCTION("""COMPUTED_VALUE"""),"14-17")</f>
        <v>14-17</v>
      </c>
      <c r="E194" s="1">
        <f ca="1">IFERROR(__xludf.DUMMYFUNCTION("""COMPUTED_VALUE"""),-1.55)</f>
        <v>-1.55</v>
      </c>
      <c r="F194" s="1">
        <f ca="1">IFERROR(__xludf.DUMMYFUNCTION("""COMPUTED_VALUE"""),98.9)</f>
        <v>98.9</v>
      </c>
      <c r="G194" s="1">
        <f ca="1">IFERROR(__xludf.DUMMYFUNCTION("""COMPUTED_VALUE"""),278)</f>
        <v>278</v>
      </c>
      <c r="H194" s="1">
        <f ca="1">IFERROR(__xludf.DUMMYFUNCTION("""COMPUTED_VALUE"""),100.5)</f>
        <v>100.5</v>
      </c>
      <c r="I194" s="1">
        <f ca="1">IFERROR(__xludf.DUMMYFUNCTION("""COMPUTED_VALUE"""),101)</f>
        <v>101</v>
      </c>
      <c r="J194" s="1">
        <f ca="1">IFERROR(__xludf.DUMMYFUNCTION("""COMPUTED_VALUE"""),69.2)</f>
        <v>69.2</v>
      </c>
      <c r="K194" s="1">
        <f ca="1">IFERROR(__xludf.DUMMYFUNCTION("""COMPUTED_VALUE"""),95)</f>
        <v>95</v>
      </c>
      <c r="L194" s="1" t="str">
        <f ca="1">IFERROR(__xludf.DUMMYFUNCTION("""COMPUTED_VALUE"""),"+.062")</f>
        <v>+.062</v>
      </c>
      <c r="M194" s="1">
        <f ca="1">IFERROR(__xludf.DUMMYFUNCTION("""COMPUTED_VALUE"""),38)</f>
        <v>38</v>
      </c>
      <c r="N194" s="1" t="str">
        <f ca="1">IFERROR(__xludf.DUMMYFUNCTION("""COMPUTED_VALUE"""),"+3.39")</f>
        <v>+3.39</v>
      </c>
      <c r="O194" s="1">
        <f ca="1">IFERROR(__xludf.DUMMYFUNCTION("""COMPUTED_VALUE"""),85)</f>
        <v>85</v>
      </c>
      <c r="P194" s="1">
        <f ca="1">IFERROR(__xludf.DUMMYFUNCTION("""COMPUTED_VALUE"""),106.8)</f>
        <v>106.8</v>
      </c>
      <c r="Q194" s="1">
        <f ca="1">IFERROR(__xludf.DUMMYFUNCTION("""COMPUTED_VALUE"""),74)</f>
        <v>74</v>
      </c>
      <c r="R194" s="1">
        <f ca="1">IFERROR(__xludf.DUMMYFUNCTION("""COMPUTED_VALUE"""),103.4)</f>
        <v>103.4</v>
      </c>
      <c r="S194" s="1">
        <f ca="1">IFERROR(__xludf.DUMMYFUNCTION("""COMPUTED_VALUE"""),108)</f>
        <v>108</v>
      </c>
      <c r="T194" s="1" t="str">
        <f ca="1">IFERROR(__xludf.DUMMYFUNCTION("""COMPUTED_VALUE"""),"+0.70")</f>
        <v>+0.70</v>
      </c>
      <c r="U194" s="1">
        <f ca="1">IFERROR(__xludf.DUMMYFUNCTION("""COMPUTED_VALUE"""),136)</f>
        <v>136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IFERROR(__xludf.DUMMYFUNCTION("""COMPUTED_VALUE"""),"Green Bay")</f>
        <v>Green Bay</v>
      </c>
      <c r="C195" s="1" t="str">
        <f ca="1">IFERROR(__xludf.DUMMYFUNCTION("""COMPUTED_VALUE"""),"Horz")</f>
        <v>Horz</v>
      </c>
      <c r="D195" s="1" t="str">
        <f ca="1">IFERROR(__xludf.DUMMYFUNCTION("""COMPUTED_VALUE"""),"21-17")</f>
        <v>21-17</v>
      </c>
      <c r="E195" s="1">
        <f ca="1">IFERROR(__xludf.DUMMYFUNCTION("""COMPUTED_VALUE"""),-1.56)</f>
        <v>-1.56</v>
      </c>
      <c r="F195" s="1">
        <f ca="1">IFERROR(__xludf.DUMMYFUNCTION("""COMPUTED_VALUE"""),104.9)</f>
        <v>104.9</v>
      </c>
      <c r="G195" s="1">
        <f ca="1">IFERROR(__xludf.DUMMYFUNCTION("""COMPUTED_VALUE"""),166)</f>
        <v>166</v>
      </c>
      <c r="H195" s="1">
        <f ca="1">IFERROR(__xludf.DUMMYFUNCTION("""COMPUTED_VALUE"""),106.5)</f>
        <v>106.5</v>
      </c>
      <c r="I195" s="1">
        <f ca="1">IFERROR(__xludf.DUMMYFUNCTION("""COMPUTED_VALUE"""),219)</f>
        <v>219</v>
      </c>
      <c r="J195" s="1">
        <f ca="1">IFERROR(__xludf.DUMMYFUNCTION("""COMPUTED_VALUE"""),73.2)</f>
        <v>73.2</v>
      </c>
      <c r="K195" s="1">
        <f ca="1">IFERROR(__xludf.DUMMYFUNCTION("""COMPUTED_VALUE"""),13)</f>
        <v>13</v>
      </c>
      <c r="L195" s="1" t="str">
        <f ca="1">IFERROR(__xludf.DUMMYFUNCTION("""COMPUTED_VALUE"""),"+.080")</f>
        <v>+.080</v>
      </c>
      <c r="M195" s="1">
        <f ca="1">IFERROR(__xludf.DUMMYFUNCTION("""COMPUTED_VALUE"""),23)</f>
        <v>23</v>
      </c>
      <c r="N195" s="1">
        <f ca="1">IFERROR(__xludf.DUMMYFUNCTION("""COMPUTED_VALUE"""),-0.59)</f>
        <v>-0.59</v>
      </c>
      <c r="O195" s="1">
        <f ca="1">IFERROR(__xludf.DUMMYFUNCTION("""COMPUTED_VALUE"""),155)</f>
        <v>155</v>
      </c>
      <c r="P195" s="1">
        <f ca="1">IFERROR(__xludf.DUMMYFUNCTION("""COMPUTED_VALUE"""),105.4)</f>
        <v>105.4</v>
      </c>
      <c r="Q195" s="1">
        <f ca="1">IFERROR(__xludf.DUMMYFUNCTION("""COMPUTED_VALUE"""),109)</f>
        <v>109</v>
      </c>
      <c r="R195" s="1">
        <f ca="1">IFERROR(__xludf.DUMMYFUNCTION("""COMPUTED_VALUE"""),106)</f>
        <v>106</v>
      </c>
      <c r="S195" s="1">
        <f ca="1">IFERROR(__xludf.DUMMYFUNCTION("""COMPUTED_VALUE"""),212)</f>
        <v>212</v>
      </c>
      <c r="T195" s="1" t="str">
        <f ca="1">IFERROR(__xludf.DUMMYFUNCTION("""COMPUTED_VALUE"""),"+7.58")</f>
        <v>+7.58</v>
      </c>
      <c r="U195" s="1">
        <f ca="1">IFERROR(__xludf.DUMMYFUNCTION("""COMPUTED_VALUE"""),11)</f>
        <v>11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IFERROR(__xludf.DUMMYFUNCTION("""COMPUTED_VALUE"""),"Santa Clara")</f>
        <v>Santa Clara</v>
      </c>
      <c r="C196" s="1" t="str">
        <f ca="1">IFERROR(__xludf.DUMMYFUNCTION("""COMPUTED_VALUE"""),"WCC")</f>
        <v>WCC</v>
      </c>
      <c r="D196" s="1" t="str">
        <f ca="1">IFERROR(__xludf.DUMMYFUNCTION("""COMPUTED_VALUE"""),"16-15")</f>
        <v>16-15</v>
      </c>
      <c r="E196" s="1">
        <f ca="1">IFERROR(__xludf.DUMMYFUNCTION("""COMPUTED_VALUE"""),-1.77)</f>
        <v>-1.77</v>
      </c>
      <c r="F196" s="1">
        <f ca="1">IFERROR(__xludf.DUMMYFUNCTION("""COMPUTED_VALUE"""),102.1)</f>
        <v>102.1</v>
      </c>
      <c r="G196" s="1">
        <f ca="1">IFERROR(__xludf.DUMMYFUNCTION("""COMPUTED_VALUE"""),217)</f>
        <v>217</v>
      </c>
      <c r="H196" s="1">
        <f ca="1">IFERROR(__xludf.DUMMYFUNCTION("""COMPUTED_VALUE"""),103.9)</f>
        <v>103.9</v>
      </c>
      <c r="I196" s="1">
        <f ca="1">IFERROR(__xludf.DUMMYFUNCTION("""COMPUTED_VALUE"""),154)</f>
        <v>154</v>
      </c>
      <c r="J196" s="1">
        <f ca="1">IFERROR(__xludf.DUMMYFUNCTION("""COMPUTED_VALUE"""),66.3)</f>
        <v>66.3</v>
      </c>
      <c r="K196" s="1">
        <f ca="1">IFERROR(__xludf.DUMMYFUNCTION("""COMPUTED_VALUE"""),242)</f>
        <v>242</v>
      </c>
      <c r="L196" s="1" t="str">
        <f ca="1">IFERROR(__xludf.DUMMYFUNCTION("""COMPUTED_VALUE"""),"+.059")</f>
        <v>+.059</v>
      </c>
      <c r="M196" s="1">
        <f ca="1">IFERROR(__xludf.DUMMYFUNCTION("""COMPUTED_VALUE"""),47)</f>
        <v>47</v>
      </c>
      <c r="N196" s="1">
        <f ca="1">IFERROR(__xludf.DUMMYFUNCTION("""COMPUTED_VALUE"""),-0.65)</f>
        <v>-0.65</v>
      </c>
      <c r="O196" s="1">
        <f ca="1">IFERROR(__xludf.DUMMYFUNCTION("""COMPUTED_VALUE"""),158)</f>
        <v>158</v>
      </c>
      <c r="P196" s="1">
        <f ca="1">IFERROR(__xludf.DUMMYFUNCTION("""COMPUTED_VALUE"""),104.4)</f>
        <v>104.4</v>
      </c>
      <c r="Q196" s="1">
        <f ca="1">IFERROR(__xludf.DUMMYFUNCTION("""COMPUTED_VALUE"""),152)</f>
        <v>152</v>
      </c>
      <c r="R196" s="1">
        <f ca="1">IFERROR(__xludf.DUMMYFUNCTION("""COMPUTED_VALUE"""),105)</f>
        <v>105</v>
      </c>
      <c r="S196" s="1">
        <f ca="1">IFERROR(__xludf.DUMMYFUNCTION("""COMPUTED_VALUE"""),178)</f>
        <v>178</v>
      </c>
      <c r="T196" s="1">
        <f ca="1">IFERROR(__xludf.DUMMYFUNCTION("""COMPUTED_VALUE"""),-9.38)</f>
        <v>-9.3800000000000008</v>
      </c>
      <c r="U196" s="1">
        <f ca="1">IFERROR(__xludf.DUMMYFUNCTION("""COMPUTED_VALUE"""),345)</f>
        <v>345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IFERROR(__xludf.DUMMYFUNCTION("""COMPUTED_VALUE"""),"Oakland")</f>
        <v>Oakland</v>
      </c>
      <c r="C197" s="1" t="str">
        <f ca="1">IFERROR(__xludf.DUMMYFUNCTION("""COMPUTED_VALUE"""),"Horz")</f>
        <v>Horz</v>
      </c>
      <c r="D197" s="1" t="str">
        <f ca="1">IFERROR(__xludf.DUMMYFUNCTION("""COMPUTED_VALUE"""),"16-17")</f>
        <v>16-17</v>
      </c>
      <c r="E197" s="1">
        <f ca="1">IFERROR(__xludf.DUMMYFUNCTION("""COMPUTED_VALUE"""),-1.77)</f>
        <v>-1.77</v>
      </c>
      <c r="F197" s="1">
        <f ca="1">IFERROR(__xludf.DUMMYFUNCTION("""COMPUTED_VALUE"""),107.8)</f>
        <v>107.8</v>
      </c>
      <c r="G197" s="1">
        <f ca="1">IFERROR(__xludf.DUMMYFUNCTION("""COMPUTED_VALUE"""),107)</f>
        <v>107</v>
      </c>
      <c r="H197" s="1">
        <f ca="1">IFERROR(__xludf.DUMMYFUNCTION("""COMPUTED_VALUE"""),109.6)</f>
        <v>109.6</v>
      </c>
      <c r="I197" s="1">
        <f ca="1">IFERROR(__xludf.DUMMYFUNCTION("""COMPUTED_VALUE"""),268)</f>
        <v>268</v>
      </c>
      <c r="J197" s="1">
        <f ca="1">IFERROR(__xludf.DUMMYFUNCTION("""COMPUTED_VALUE"""),68.7)</f>
        <v>68.7</v>
      </c>
      <c r="K197" s="1">
        <f ca="1">IFERROR(__xludf.DUMMYFUNCTION("""COMPUTED_VALUE"""),119)</f>
        <v>119</v>
      </c>
      <c r="L197" s="1">
        <f ca="1">IFERROR(__xludf.DUMMYFUNCTION("""COMPUTED_VALUE"""),-0.002)</f>
        <v>-2E-3</v>
      </c>
      <c r="M197" s="1">
        <f ca="1">IFERROR(__xludf.DUMMYFUNCTION("""COMPUTED_VALUE"""),183)</f>
        <v>183</v>
      </c>
      <c r="N197" s="1">
        <f ca="1">IFERROR(__xludf.DUMMYFUNCTION("""COMPUTED_VALUE"""),-2.07)</f>
        <v>-2.0699999999999998</v>
      </c>
      <c r="O197" s="1">
        <f ca="1">IFERROR(__xludf.DUMMYFUNCTION("""COMPUTED_VALUE"""),201)</f>
        <v>201</v>
      </c>
      <c r="P197" s="1">
        <f ca="1">IFERROR(__xludf.DUMMYFUNCTION("""COMPUTED_VALUE"""),104.9)</f>
        <v>104.9</v>
      </c>
      <c r="Q197" s="1">
        <f ca="1">IFERROR(__xludf.DUMMYFUNCTION("""COMPUTED_VALUE"""),132)</f>
        <v>132</v>
      </c>
      <c r="R197" s="1">
        <f ca="1">IFERROR(__xludf.DUMMYFUNCTION("""COMPUTED_VALUE"""),106.9)</f>
        <v>106.9</v>
      </c>
      <c r="S197" s="1">
        <f ca="1">IFERROR(__xludf.DUMMYFUNCTION("""COMPUTED_VALUE"""),256)</f>
        <v>256</v>
      </c>
      <c r="T197" s="1" t="str">
        <f ca="1">IFERROR(__xludf.DUMMYFUNCTION("""COMPUTED_VALUE"""),"+1.63")</f>
        <v>+1.63</v>
      </c>
      <c r="U197" s="1">
        <f ca="1">IFERROR(__xludf.DUMMYFUNCTION("""COMPUTED_VALUE"""),110)</f>
        <v>110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IFERROR(__xludf.DUMMYFUNCTION("""COMPUTED_VALUE"""),"New Mexico")</f>
        <v>New Mexico</v>
      </c>
      <c r="C198" s="1" t="str">
        <f ca="1">IFERROR(__xludf.DUMMYFUNCTION("""COMPUTED_VALUE"""),"MWC")</f>
        <v>MWC</v>
      </c>
      <c r="D198" s="1" t="str">
        <f ca="1">IFERROR(__xludf.DUMMYFUNCTION("""COMPUTED_VALUE"""),"14-18")</f>
        <v>14-18</v>
      </c>
      <c r="E198" s="1">
        <f ca="1">IFERROR(__xludf.DUMMYFUNCTION("""COMPUTED_VALUE"""),-1.85)</f>
        <v>-1.85</v>
      </c>
      <c r="F198" s="1">
        <f ca="1">IFERROR(__xludf.DUMMYFUNCTION("""COMPUTED_VALUE"""),104.1)</f>
        <v>104.1</v>
      </c>
      <c r="G198" s="1">
        <f ca="1">IFERROR(__xludf.DUMMYFUNCTION("""COMPUTED_VALUE"""),183)</f>
        <v>183</v>
      </c>
      <c r="H198" s="1">
        <f ca="1">IFERROR(__xludf.DUMMYFUNCTION("""COMPUTED_VALUE"""),105.9)</f>
        <v>105.9</v>
      </c>
      <c r="I198" s="1">
        <f ca="1">IFERROR(__xludf.DUMMYFUNCTION("""COMPUTED_VALUE"""),202)</f>
        <v>202</v>
      </c>
      <c r="J198" s="1">
        <f ca="1">IFERROR(__xludf.DUMMYFUNCTION("""COMPUTED_VALUE"""),72.8)</f>
        <v>72.8</v>
      </c>
      <c r="K198" s="1">
        <f ca="1">IFERROR(__xludf.DUMMYFUNCTION("""COMPUTED_VALUE"""),15)</f>
        <v>15</v>
      </c>
      <c r="L198" s="1">
        <f ca="1">IFERROR(__xludf.DUMMYFUNCTION("""COMPUTED_VALUE"""),-0.028)</f>
        <v>-2.8000000000000001E-2</v>
      </c>
      <c r="M198" s="1">
        <f ca="1">IFERROR(__xludf.DUMMYFUNCTION("""COMPUTED_VALUE"""),253)</f>
        <v>253</v>
      </c>
      <c r="N198" s="1" t="str">
        <f ca="1">IFERROR(__xludf.DUMMYFUNCTION("""COMPUTED_VALUE"""),"+0.26")</f>
        <v>+0.26</v>
      </c>
      <c r="O198" s="1">
        <f ca="1">IFERROR(__xludf.DUMMYFUNCTION("""COMPUTED_VALUE"""),131)</f>
        <v>131</v>
      </c>
      <c r="P198" s="1">
        <f ca="1">IFERROR(__xludf.DUMMYFUNCTION("""COMPUTED_VALUE"""),104.3)</f>
        <v>104.3</v>
      </c>
      <c r="Q198" s="1">
        <f ca="1">IFERROR(__xludf.DUMMYFUNCTION("""COMPUTED_VALUE"""),158)</f>
        <v>158</v>
      </c>
      <c r="R198" s="1">
        <f ca="1">IFERROR(__xludf.DUMMYFUNCTION("""COMPUTED_VALUE"""),104)</f>
        <v>104</v>
      </c>
      <c r="S198" s="1">
        <f ca="1">IFERROR(__xludf.DUMMYFUNCTION("""COMPUTED_VALUE"""),132)</f>
        <v>132</v>
      </c>
      <c r="T198" s="1">
        <f ca="1">IFERROR(__xludf.DUMMYFUNCTION("""COMPUTED_VALUE"""),-0.25)</f>
        <v>-0.25</v>
      </c>
      <c r="U198" s="1">
        <f ca="1">IFERROR(__xludf.DUMMYFUNCTION("""COMPUTED_VALUE"""),173)</f>
        <v>173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IFERROR(__xludf.DUMMYFUNCTION("""COMPUTED_VALUE"""),"Saint Joseph's")</f>
        <v>Saint Joseph's</v>
      </c>
      <c r="C199" s="1" t="str">
        <f ca="1">IFERROR(__xludf.DUMMYFUNCTION("""COMPUTED_VALUE"""),"A10")</f>
        <v>A10</v>
      </c>
      <c r="D199" s="1" t="str">
        <f ca="1">IFERROR(__xludf.DUMMYFUNCTION("""COMPUTED_VALUE"""),"14-19")</f>
        <v>14-19</v>
      </c>
      <c r="E199" s="1">
        <f ca="1">IFERROR(__xludf.DUMMYFUNCTION("""COMPUTED_VALUE"""),-1.89)</f>
        <v>-1.89</v>
      </c>
      <c r="F199" s="1">
        <f ca="1">IFERROR(__xludf.DUMMYFUNCTION("""COMPUTED_VALUE"""),105.4)</f>
        <v>105.4</v>
      </c>
      <c r="G199" s="1">
        <f ca="1">IFERROR(__xludf.DUMMYFUNCTION("""COMPUTED_VALUE"""),159)</f>
        <v>159</v>
      </c>
      <c r="H199" s="1">
        <f ca="1">IFERROR(__xludf.DUMMYFUNCTION("""COMPUTED_VALUE"""),107.2)</f>
        <v>107.2</v>
      </c>
      <c r="I199" s="1">
        <f ca="1">IFERROR(__xludf.DUMMYFUNCTION("""COMPUTED_VALUE"""),231)</f>
        <v>231</v>
      </c>
      <c r="J199" s="1">
        <f ca="1">IFERROR(__xludf.DUMMYFUNCTION("""COMPUTED_VALUE"""),68.5)</f>
        <v>68.5</v>
      </c>
      <c r="K199" s="1">
        <f ca="1">IFERROR(__xludf.DUMMYFUNCTION("""COMPUTED_VALUE"""),127)</f>
        <v>127</v>
      </c>
      <c r="L199" s="1">
        <f ca="1">IFERROR(__xludf.DUMMYFUNCTION("""COMPUTED_VALUE"""),-0.012)</f>
        <v>-1.2E-2</v>
      </c>
      <c r="M199" s="1">
        <f ca="1">IFERROR(__xludf.DUMMYFUNCTION("""COMPUTED_VALUE"""),219)</f>
        <v>219</v>
      </c>
      <c r="N199" s="1" t="str">
        <f ca="1">IFERROR(__xludf.DUMMYFUNCTION("""COMPUTED_VALUE"""),"+0.48")</f>
        <v>+0.48</v>
      </c>
      <c r="O199" s="1">
        <f ca="1">IFERROR(__xludf.DUMMYFUNCTION("""COMPUTED_VALUE"""),127)</f>
        <v>127</v>
      </c>
      <c r="P199" s="1">
        <f ca="1">IFERROR(__xludf.DUMMYFUNCTION("""COMPUTED_VALUE"""),103.2)</f>
        <v>103.2</v>
      </c>
      <c r="Q199" s="1">
        <f ca="1">IFERROR(__xludf.DUMMYFUNCTION("""COMPUTED_VALUE"""),212)</f>
        <v>212</v>
      </c>
      <c r="R199" s="1">
        <f ca="1">IFERROR(__xludf.DUMMYFUNCTION("""COMPUTED_VALUE"""),102.7)</f>
        <v>102.7</v>
      </c>
      <c r="S199" s="1">
        <f ca="1">IFERROR(__xludf.DUMMYFUNCTION("""COMPUTED_VALUE"""),92)</f>
        <v>92</v>
      </c>
      <c r="T199" s="1" t="str">
        <f ca="1">IFERROR(__xludf.DUMMYFUNCTION("""COMPUTED_VALUE"""),"+0.44")</f>
        <v>+0.44</v>
      </c>
      <c r="U199" s="1">
        <f ca="1">IFERROR(__xludf.DUMMYFUNCTION("""COMPUTED_VALUE"""),143)</f>
        <v>143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IFERROR(__xludf.DUMMYFUNCTION("""COMPUTED_VALUE"""),"Seattle")</f>
        <v>Seattle</v>
      </c>
      <c r="C200" s="1" t="str">
        <f ca="1">IFERROR(__xludf.DUMMYFUNCTION("""COMPUTED_VALUE"""),"WAC")</f>
        <v>WAC</v>
      </c>
      <c r="D200" s="1" t="str">
        <f ca="1">IFERROR(__xludf.DUMMYFUNCTION("""COMPUTED_VALUE"""),"18-15")</f>
        <v>18-15</v>
      </c>
      <c r="E200" s="1">
        <f ca="1">IFERROR(__xludf.DUMMYFUNCTION("""COMPUTED_VALUE"""),-1.99)</f>
        <v>-1.99</v>
      </c>
      <c r="F200" s="1">
        <f ca="1">IFERROR(__xludf.DUMMYFUNCTION("""COMPUTED_VALUE"""),100.8)</f>
        <v>100.8</v>
      </c>
      <c r="G200" s="1">
        <f ca="1">IFERROR(__xludf.DUMMYFUNCTION("""COMPUTED_VALUE"""),248)</f>
        <v>248</v>
      </c>
      <c r="H200" s="1">
        <f ca="1">IFERROR(__xludf.DUMMYFUNCTION("""COMPUTED_VALUE"""),102.8)</f>
        <v>102.8</v>
      </c>
      <c r="I200" s="1">
        <f ca="1">IFERROR(__xludf.DUMMYFUNCTION("""COMPUTED_VALUE"""),142)</f>
        <v>142</v>
      </c>
      <c r="J200" s="1">
        <f ca="1">IFERROR(__xludf.DUMMYFUNCTION("""COMPUTED_VALUE"""),67.2)</f>
        <v>67.2</v>
      </c>
      <c r="K200" s="1">
        <f ca="1">IFERROR(__xludf.DUMMYFUNCTION("""COMPUTED_VALUE"""),198)</f>
        <v>198</v>
      </c>
      <c r="L200" s="1">
        <f ca="1">IFERROR(__xludf.DUMMYFUNCTION("""COMPUTED_VALUE"""),-0.04)</f>
        <v>-0.04</v>
      </c>
      <c r="M200" s="1">
        <f ca="1">IFERROR(__xludf.DUMMYFUNCTION("""COMPUTED_VALUE"""),273)</f>
        <v>273</v>
      </c>
      <c r="N200" s="1">
        <f ca="1">IFERROR(__xludf.DUMMYFUNCTION("""COMPUTED_VALUE"""),-5.06)</f>
        <v>-5.0599999999999996</v>
      </c>
      <c r="O200" s="1">
        <f ca="1">IFERROR(__xludf.DUMMYFUNCTION("""COMPUTED_VALUE"""),276)</f>
        <v>276</v>
      </c>
      <c r="P200" s="1">
        <f ca="1">IFERROR(__xludf.DUMMYFUNCTION("""COMPUTED_VALUE"""),102.3)</f>
        <v>102.3</v>
      </c>
      <c r="Q200" s="1">
        <f ca="1">IFERROR(__xludf.DUMMYFUNCTION("""COMPUTED_VALUE"""),260)</f>
        <v>260</v>
      </c>
      <c r="R200" s="1">
        <f ca="1">IFERROR(__xludf.DUMMYFUNCTION("""COMPUTED_VALUE"""),107.4)</f>
        <v>107.4</v>
      </c>
      <c r="S200" s="1">
        <f ca="1">IFERROR(__xludf.DUMMYFUNCTION("""COMPUTED_VALUE"""),279)</f>
        <v>279</v>
      </c>
      <c r="T200" s="1">
        <f ca="1">IFERROR(__xludf.DUMMYFUNCTION("""COMPUTED_VALUE"""),-8.81)</f>
        <v>-8.81</v>
      </c>
      <c r="U200" s="1">
        <f ca="1">IFERROR(__xludf.DUMMYFUNCTION("""COMPUTED_VALUE"""),343)</f>
        <v>343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IFERROR(__xludf.DUMMYFUNCTION("""COMPUTED_VALUE"""),"IUPUI")</f>
        <v>IUPUI</v>
      </c>
      <c r="C201" s="1" t="str">
        <f ca="1">IFERROR(__xludf.DUMMYFUNCTION("""COMPUTED_VALUE"""),"Horz")</f>
        <v>Horz</v>
      </c>
      <c r="D201" s="1" t="str">
        <f ca="1">IFERROR(__xludf.DUMMYFUNCTION("""COMPUTED_VALUE"""),"16-17")</f>
        <v>16-17</v>
      </c>
      <c r="E201" s="1">
        <f ca="1">IFERROR(__xludf.DUMMYFUNCTION("""COMPUTED_VALUE"""),-2.07)</f>
        <v>-2.0699999999999998</v>
      </c>
      <c r="F201" s="1">
        <f ca="1">IFERROR(__xludf.DUMMYFUNCTION("""COMPUTED_VALUE"""),103.8)</f>
        <v>103.8</v>
      </c>
      <c r="G201" s="1">
        <f ca="1">IFERROR(__xludf.DUMMYFUNCTION("""COMPUTED_VALUE"""),186)</f>
        <v>186</v>
      </c>
      <c r="H201" s="1">
        <f ca="1">IFERROR(__xludf.DUMMYFUNCTION("""COMPUTED_VALUE"""),105.8)</f>
        <v>105.8</v>
      </c>
      <c r="I201" s="1">
        <f ca="1">IFERROR(__xludf.DUMMYFUNCTION("""COMPUTED_VALUE"""),200)</f>
        <v>200</v>
      </c>
      <c r="J201" s="1">
        <f ca="1">IFERROR(__xludf.DUMMYFUNCTION("""COMPUTED_VALUE"""),68.9)</f>
        <v>68.900000000000006</v>
      </c>
      <c r="K201" s="1">
        <f ca="1">IFERROR(__xludf.DUMMYFUNCTION("""COMPUTED_VALUE"""),111)</f>
        <v>111</v>
      </c>
      <c r="L201" s="1">
        <f ca="1">IFERROR(__xludf.DUMMYFUNCTION("""COMPUTED_VALUE"""),-0.066)</f>
        <v>-6.6000000000000003E-2</v>
      </c>
      <c r="M201" s="1">
        <f ca="1">IFERROR(__xludf.DUMMYFUNCTION("""COMPUTED_VALUE"""),318)</f>
        <v>318</v>
      </c>
      <c r="N201" s="1">
        <f ca="1">IFERROR(__xludf.DUMMYFUNCTION("""COMPUTED_VALUE"""),-3.11)</f>
        <v>-3.11</v>
      </c>
      <c r="O201" s="1">
        <f ca="1">IFERROR(__xludf.DUMMYFUNCTION("""COMPUTED_VALUE"""),224)</f>
        <v>224</v>
      </c>
      <c r="P201" s="1">
        <f ca="1">IFERROR(__xludf.DUMMYFUNCTION("""COMPUTED_VALUE"""),103.9)</f>
        <v>103.9</v>
      </c>
      <c r="Q201" s="1">
        <f ca="1">IFERROR(__xludf.DUMMYFUNCTION("""COMPUTED_VALUE"""),173)</f>
        <v>173</v>
      </c>
      <c r="R201" s="1">
        <f ca="1">IFERROR(__xludf.DUMMYFUNCTION("""COMPUTED_VALUE"""),107)</f>
        <v>107</v>
      </c>
      <c r="S201" s="1">
        <f ca="1">IFERROR(__xludf.DUMMYFUNCTION("""COMPUTED_VALUE"""),264)</f>
        <v>264</v>
      </c>
      <c r="T201" s="1">
        <f ca="1">IFERROR(__xludf.DUMMYFUNCTION("""COMPUTED_VALUE"""),-3.74)</f>
        <v>-3.74</v>
      </c>
      <c r="U201" s="1">
        <f ca="1">IFERROR(__xludf.DUMMYFUNCTION("""COMPUTED_VALUE"""),266)</f>
        <v>266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IFERROR(__xludf.DUMMYFUNCTION("""COMPUTED_VALUE"""),"Purdue Fort Wayne")</f>
        <v>Purdue Fort Wayne</v>
      </c>
      <c r="C202" s="1" t="str">
        <f ca="1">IFERROR(__xludf.DUMMYFUNCTION("""COMPUTED_VALUE"""),"Sum")</f>
        <v>Sum</v>
      </c>
      <c r="D202" s="1" t="str">
        <f ca="1">IFERROR(__xludf.DUMMYFUNCTION("""COMPUTED_VALUE"""),"18-15")</f>
        <v>18-15</v>
      </c>
      <c r="E202" s="1">
        <f ca="1">IFERROR(__xludf.DUMMYFUNCTION("""COMPUTED_VALUE"""),-2.17)</f>
        <v>-2.17</v>
      </c>
      <c r="F202" s="1">
        <f ca="1">IFERROR(__xludf.DUMMYFUNCTION("""COMPUTED_VALUE"""),106.8)</f>
        <v>106.8</v>
      </c>
      <c r="G202" s="1">
        <f ca="1">IFERROR(__xludf.DUMMYFUNCTION("""COMPUTED_VALUE"""),130)</f>
        <v>130</v>
      </c>
      <c r="H202" s="1">
        <f ca="1">IFERROR(__xludf.DUMMYFUNCTION("""COMPUTED_VALUE"""),109)</f>
        <v>109</v>
      </c>
      <c r="I202" s="1">
        <f ca="1">IFERROR(__xludf.DUMMYFUNCTION("""COMPUTED_VALUE"""),260)</f>
        <v>260</v>
      </c>
      <c r="J202" s="1">
        <f ca="1">IFERROR(__xludf.DUMMYFUNCTION("""COMPUTED_VALUE"""),71.6)</f>
        <v>71.599999999999994</v>
      </c>
      <c r="K202" s="1">
        <f ca="1">IFERROR(__xludf.DUMMYFUNCTION("""COMPUTED_VALUE"""),26)</f>
        <v>26</v>
      </c>
      <c r="L202" s="1">
        <f ca="1">IFERROR(__xludf.DUMMYFUNCTION("""COMPUTED_VALUE"""),-0.002)</f>
        <v>-2E-3</v>
      </c>
      <c r="M202" s="1">
        <f ca="1">IFERROR(__xludf.DUMMYFUNCTION("""COMPUTED_VALUE"""),186)</f>
        <v>186</v>
      </c>
      <c r="N202" s="1">
        <f ca="1">IFERROR(__xludf.DUMMYFUNCTION("""COMPUTED_VALUE"""),-3.69)</f>
        <v>-3.69</v>
      </c>
      <c r="O202" s="1">
        <f ca="1">IFERROR(__xludf.DUMMYFUNCTION("""COMPUTED_VALUE"""),245)</f>
        <v>245</v>
      </c>
      <c r="P202" s="1">
        <f ca="1">IFERROR(__xludf.DUMMYFUNCTION("""COMPUTED_VALUE"""),104.1)</f>
        <v>104.1</v>
      </c>
      <c r="Q202" s="1">
        <f ca="1">IFERROR(__xludf.DUMMYFUNCTION("""COMPUTED_VALUE"""),162)</f>
        <v>162</v>
      </c>
      <c r="R202" s="1">
        <f ca="1">IFERROR(__xludf.DUMMYFUNCTION("""COMPUTED_VALUE"""),107.8)</f>
        <v>107.8</v>
      </c>
      <c r="S202" s="1">
        <f ca="1">IFERROR(__xludf.DUMMYFUNCTION("""COMPUTED_VALUE"""),304)</f>
        <v>304</v>
      </c>
      <c r="T202" s="1" t="str">
        <f ca="1">IFERROR(__xludf.DUMMYFUNCTION("""COMPUTED_VALUE"""),"+0.03")</f>
        <v>+0.03</v>
      </c>
      <c r="U202" s="1">
        <f ca="1">IFERROR(__xludf.DUMMYFUNCTION("""COMPUTED_VALUE"""),161)</f>
        <v>161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IFERROR(__xludf.DUMMYFUNCTION("""COMPUTED_VALUE"""),"Northern Colorado")</f>
        <v>Northern Colorado</v>
      </c>
      <c r="C203" s="1" t="str">
        <f ca="1">IFERROR(__xludf.DUMMYFUNCTION("""COMPUTED_VALUE"""),"BSky")</f>
        <v>BSky</v>
      </c>
      <c r="D203" s="1" t="str">
        <f ca="1">IFERROR(__xludf.DUMMYFUNCTION("""COMPUTED_VALUE"""),"21-11")</f>
        <v>21-11</v>
      </c>
      <c r="E203" s="1">
        <f ca="1">IFERROR(__xludf.DUMMYFUNCTION("""COMPUTED_VALUE"""),-2.27)</f>
        <v>-2.27</v>
      </c>
      <c r="F203" s="1">
        <f ca="1">IFERROR(__xludf.DUMMYFUNCTION("""COMPUTED_VALUE"""),102.6)</f>
        <v>102.6</v>
      </c>
      <c r="G203" s="1">
        <f ca="1">IFERROR(__xludf.DUMMYFUNCTION("""COMPUTED_VALUE"""),206)</f>
        <v>206</v>
      </c>
      <c r="H203" s="1">
        <f ca="1">IFERROR(__xludf.DUMMYFUNCTION("""COMPUTED_VALUE"""),104.9)</f>
        <v>104.9</v>
      </c>
      <c r="I203" s="1">
        <f ca="1">IFERROR(__xludf.DUMMYFUNCTION("""COMPUTED_VALUE"""),178)</f>
        <v>178</v>
      </c>
      <c r="J203" s="1">
        <f ca="1">IFERROR(__xludf.DUMMYFUNCTION("""COMPUTED_VALUE"""),66.5)</f>
        <v>66.5</v>
      </c>
      <c r="K203" s="1">
        <f ca="1">IFERROR(__xludf.DUMMYFUNCTION("""COMPUTED_VALUE"""),236)</f>
        <v>236</v>
      </c>
      <c r="L203" s="1" t="str">
        <f ca="1">IFERROR(__xludf.DUMMYFUNCTION("""COMPUTED_VALUE"""),"+.050")</f>
        <v>+.050</v>
      </c>
      <c r="M203" s="1">
        <f ca="1">IFERROR(__xludf.DUMMYFUNCTION("""COMPUTED_VALUE"""),60)</f>
        <v>60</v>
      </c>
      <c r="N203" s="1">
        <f ca="1">IFERROR(__xludf.DUMMYFUNCTION("""COMPUTED_VALUE"""),-7.99)</f>
        <v>-7.99</v>
      </c>
      <c r="O203" s="1">
        <f ca="1">IFERROR(__xludf.DUMMYFUNCTION("""COMPUTED_VALUE"""),332)</f>
        <v>332</v>
      </c>
      <c r="P203" s="1">
        <f ca="1">IFERROR(__xludf.DUMMYFUNCTION("""COMPUTED_VALUE"""),101.4)</f>
        <v>101.4</v>
      </c>
      <c r="Q203" s="1">
        <f ca="1">IFERROR(__xludf.DUMMYFUNCTION("""COMPUTED_VALUE"""),288)</f>
        <v>288</v>
      </c>
      <c r="R203" s="1">
        <f ca="1">IFERROR(__xludf.DUMMYFUNCTION("""COMPUTED_VALUE"""),109.4)</f>
        <v>109.4</v>
      </c>
      <c r="S203" s="1">
        <f ca="1">IFERROR(__xludf.DUMMYFUNCTION("""COMPUTED_VALUE"""),348)</f>
        <v>348</v>
      </c>
      <c r="T203" s="1">
        <f ca="1">IFERROR(__xludf.DUMMYFUNCTION("""COMPUTED_VALUE"""),-1.59)</f>
        <v>-1.59</v>
      </c>
      <c r="U203" s="1">
        <f ca="1">IFERROR(__xludf.DUMMYFUNCTION("""COMPUTED_VALUE"""),208)</f>
        <v>208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IFERROR(__xludf.DUMMYFUNCTION("""COMPUTED_VALUE"""),"Hartford")</f>
        <v>Hartford</v>
      </c>
      <c r="C204" s="1" t="str">
        <f ca="1">IFERROR(__xludf.DUMMYFUNCTION("""COMPUTED_VALUE"""),"AE")</f>
        <v>AE</v>
      </c>
      <c r="D204" s="1" t="str">
        <f ca="1">IFERROR(__xludf.DUMMYFUNCTION("""COMPUTED_VALUE"""),"18-15")</f>
        <v>18-15</v>
      </c>
      <c r="E204" s="1">
        <f ca="1">IFERROR(__xludf.DUMMYFUNCTION("""COMPUTED_VALUE"""),-2.32)</f>
        <v>-2.3199999999999998</v>
      </c>
      <c r="F204" s="1">
        <f ca="1">IFERROR(__xludf.DUMMYFUNCTION("""COMPUTED_VALUE"""),108.5)</f>
        <v>108.5</v>
      </c>
      <c r="G204" s="1">
        <f ca="1">IFERROR(__xludf.DUMMYFUNCTION("""COMPUTED_VALUE"""),95)</f>
        <v>95</v>
      </c>
      <c r="H204" s="1">
        <f ca="1">IFERROR(__xludf.DUMMYFUNCTION("""COMPUTED_VALUE"""),110.8)</f>
        <v>110.8</v>
      </c>
      <c r="I204" s="1">
        <f ca="1">IFERROR(__xludf.DUMMYFUNCTION("""COMPUTED_VALUE"""),297)</f>
        <v>297</v>
      </c>
      <c r="J204" s="1">
        <f ca="1">IFERROR(__xludf.DUMMYFUNCTION("""COMPUTED_VALUE"""),66.7)</f>
        <v>66.7</v>
      </c>
      <c r="K204" s="1">
        <f ca="1">IFERROR(__xludf.DUMMYFUNCTION("""COMPUTED_VALUE"""),228)</f>
        <v>228</v>
      </c>
      <c r="L204" s="1">
        <f ca="1">IFERROR(__xludf.DUMMYFUNCTION("""COMPUTED_VALUE"""),-0.008)</f>
        <v>-8.0000000000000002E-3</v>
      </c>
      <c r="M204" s="1">
        <f ca="1">IFERROR(__xludf.DUMMYFUNCTION("""COMPUTED_VALUE"""),205)</f>
        <v>205</v>
      </c>
      <c r="N204" s="1">
        <f ca="1">IFERROR(__xludf.DUMMYFUNCTION("""COMPUTED_VALUE"""),-5.42)</f>
        <v>-5.42</v>
      </c>
      <c r="O204" s="1">
        <f ca="1">IFERROR(__xludf.DUMMYFUNCTION("""COMPUTED_VALUE"""),279)</f>
        <v>279</v>
      </c>
      <c r="P204" s="1">
        <f ca="1">IFERROR(__xludf.DUMMYFUNCTION("""COMPUTED_VALUE"""),101.3)</f>
        <v>101.3</v>
      </c>
      <c r="Q204" s="1">
        <f ca="1">IFERROR(__xludf.DUMMYFUNCTION("""COMPUTED_VALUE"""),291)</f>
        <v>291</v>
      </c>
      <c r="R204" s="1">
        <f ca="1">IFERROR(__xludf.DUMMYFUNCTION("""COMPUTED_VALUE"""),106.7)</f>
        <v>106.7</v>
      </c>
      <c r="S204" s="1">
        <f ca="1">IFERROR(__xludf.DUMMYFUNCTION("""COMPUTED_VALUE"""),245)</f>
        <v>245</v>
      </c>
      <c r="T204" s="1" t="str">
        <f ca="1">IFERROR(__xludf.DUMMYFUNCTION("""COMPUTED_VALUE"""),"+0.53")</f>
        <v>+0.53</v>
      </c>
      <c r="U204" s="1">
        <f ca="1">IFERROR(__xludf.DUMMYFUNCTION("""COMPUTED_VALUE"""),139)</f>
        <v>139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IFERROR(__xludf.DUMMYFUNCTION("""COMPUTED_VALUE"""),"Texas Southern")</f>
        <v>Texas Southern</v>
      </c>
      <c r="C205" s="1" t="str">
        <f ca="1">IFERROR(__xludf.DUMMYFUNCTION("""COMPUTED_VALUE"""),"SWAC")</f>
        <v>SWAC</v>
      </c>
      <c r="D205" s="1" t="str">
        <f ca="1">IFERROR(__xludf.DUMMYFUNCTION("""COMPUTED_VALUE"""),"24-14")</f>
        <v>24-14</v>
      </c>
      <c r="E205" s="1">
        <f ca="1">IFERROR(__xludf.DUMMYFUNCTION("""COMPUTED_VALUE"""),-2.35)</f>
        <v>-2.35</v>
      </c>
      <c r="F205" s="1">
        <f ca="1">IFERROR(__xludf.DUMMYFUNCTION("""COMPUTED_VALUE"""),105.2)</f>
        <v>105.2</v>
      </c>
      <c r="G205" s="1">
        <f ca="1">IFERROR(__xludf.DUMMYFUNCTION("""COMPUTED_VALUE"""),161)</f>
        <v>161</v>
      </c>
      <c r="H205" s="1">
        <f ca="1">IFERROR(__xludf.DUMMYFUNCTION("""COMPUTED_VALUE"""),107.5)</f>
        <v>107.5</v>
      </c>
      <c r="I205" s="1">
        <f ca="1">IFERROR(__xludf.DUMMYFUNCTION("""COMPUTED_VALUE"""),238)</f>
        <v>238</v>
      </c>
      <c r="J205" s="1">
        <f ca="1">IFERROR(__xludf.DUMMYFUNCTION("""COMPUTED_VALUE"""),74.7)</f>
        <v>74.7</v>
      </c>
      <c r="K205" s="1">
        <f ca="1">IFERROR(__xludf.DUMMYFUNCTION("""COMPUTED_VALUE"""),4)</f>
        <v>4</v>
      </c>
      <c r="L205" s="1" t="str">
        <f ca="1">IFERROR(__xludf.DUMMYFUNCTION("""COMPUTED_VALUE"""),"+.063")</f>
        <v>+.063</v>
      </c>
      <c r="M205" s="1">
        <f ca="1">IFERROR(__xludf.DUMMYFUNCTION("""COMPUTED_VALUE"""),37)</f>
        <v>37</v>
      </c>
      <c r="N205" s="1">
        <f ca="1">IFERROR(__xludf.DUMMYFUNCTION("""COMPUTED_VALUE"""),-6.57)</f>
        <v>-6.57</v>
      </c>
      <c r="O205" s="1">
        <f ca="1">IFERROR(__xludf.DUMMYFUNCTION("""COMPUTED_VALUE"""),299)</f>
        <v>299</v>
      </c>
      <c r="P205" s="1">
        <f ca="1">IFERROR(__xludf.DUMMYFUNCTION("""COMPUTED_VALUE"""),99.6)</f>
        <v>99.6</v>
      </c>
      <c r="Q205" s="1">
        <f ca="1">IFERROR(__xludf.DUMMYFUNCTION("""COMPUTED_VALUE"""),334)</f>
        <v>334</v>
      </c>
      <c r="R205" s="1">
        <f ca="1">IFERROR(__xludf.DUMMYFUNCTION("""COMPUTED_VALUE"""),106.1)</f>
        <v>106.1</v>
      </c>
      <c r="S205" s="1">
        <f ca="1">IFERROR(__xludf.DUMMYFUNCTION("""COMPUTED_VALUE"""),218)</f>
        <v>218</v>
      </c>
      <c r="T205" s="1" t="str">
        <f ca="1">IFERROR(__xludf.DUMMYFUNCTION("""COMPUTED_VALUE"""),"+12.53")</f>
        <v>+12.53</v>
      </c>
      <c r="U205" s="1">
        <f ca="1">IFERROR(__xludf.DUMMYFUNCTION("""COMPUTED_VALUE"""),1)</f>
        <v>1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IFERROR(__xludf.DUMMYFUNCTION("""COMPUTED_VALUE"""),"Illinois Chicago")</f>
        <v>Illinois Chicago</v>
      </c>
      <c r="C206" s="1" t="str">
        <f ca="1">IFERROR(__xludf.DUMMYFUNCTION("""COMPUTED_VALUE"""),"Horz")</f>
        <v>Horz</v>
      </c>
      <c r="D206" s="1" t="str">
        <f ca="1">IFERROR(__xludf.DUMMYFUNCTION("""COMPUTED_VALUE"""),"16-16")</f>
        <v>16-16</v>
      </c>
      <c r="E206" s="1">
        <f ca="1">IFERROR(__xludf.DUMMYFUNCTION("""COMPUTED_VALUE"""),-2.78)</f>
        <v>-2.78</v>
      </c>
      <c r="F206" s="1">
        <f ca="1">IFERROR(__xludf.DUMMYFUNCTION("""COMPUTED_VALUE"""),100.8)</f>
        <v>100.8</v>
      </c>
      <c r="G206" s="1">
        <f ca="1">IFERROR(__xludf.DUMMYFUNCTION("""COMPUTED_VALUE"""),249)</f>
        <v>249</v>
      </c>
      <c r="H206" s="1">
        <f ca="1">IFERROR(__xludf.DUMMYFUNCTION("""COMPUTED_VALUE"""),103.5)</f>
        <v>103.5</v>
      </c>
      <c r="I206" s="1">
        <f ca="1">IFERROR(__xludf.DUMMYFUNCTION("""COMPUTED_VALUE"""),152)</f>
        <v>152</v>
      </c>
      <c r="J206" s="1">
        <f ca="1">IFERROR(__xludf.DUMMYFUNCTION("""COMPUTED_VALUE"""),70)</f>
        <v>70</v>
      </c>
      <c r="K206" s="1">
        <f ca="1">IFERROR(__xludf.DUMMYFUNCTION("""COMPUTED_VALUE"""),68)</f>
        <v>68</v>
      </c>
      <c r="L206" s="1">
        <f ca="1">IFERROR(__xludf.DUMMYFUNCTION("""COMPUTED_VALUE"""),-0.002)</f>
        <v>-2E-3</v>
      </c>
      <c r="M206" s="1">
        <f ca="1">IFERROR(__xludf.DUMMYFUNCTION("""COMPUTED_VALUE"""),184)</f>
        <v>184</v>
      </c>
      <c r="N206" s="1">
        <f ca="1">IFERROR(__xludf.DUMMYFUNCTION("""COMPUTED_VALUE"""),-2.2)</f>
        <v>-2.2000000000000002</v>
      </c>
      <c r="O206" s="1">
        <f ca="1">IFERROR(__xludf.DUMMYFUNCTION("""COMPUTED_VALUE"""),207)</f>
        <v>207</v>
      </c>
      <c r="P206" s="1">
        <f ca="1">IFERROR(__xludf.DUMMYFUNCTION("""COMPUTED_VALUE"""),104.9)</f>
        <v>104.9</v>
      </c>
      <c r="Q206" s="1">
        <f ca="1">IFERROR(__xludf.DUMMYFUNCTION("""COMPUTED_VALUE"""),134)</f>
        <v>134</v>
      </c>
      <c r="R206" s="1">
        <f ca="1">IFERROR(__xludf.DUMMYFUNCTION("""COMPUTED_VALUE"""),107.1)</f>
        <v>107.1</v>
      </c>
      <c r="S206" s="1">
        <f ca="1">IFERROR(__xludf.DUMMYFUNCTION("""COMPUTED_VALUE"""),266)</f>
        <v>266</v>
      </c>
      <c r="T206" s="1" t="str">
        <f ca="1">IFERROR(__xludf.DUMMYFUNCTION("""COMPUTED_VALUE"""),"+0.31")</f>
        <v>+0.31</v>
      </c>
      <c r="U206" s="1">
        <f ca="1">IFERROR(__xludf.DUMMYFUNCTION("""COMPUTED_VALUE"""),149)</f>
        <v>149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IFERROR(__xludf.DUMMYFUNCTION("""COMPUTED_VALUE"""),"Cal Baptist")</f>
        <v>Cal Baptist</v>
      </c>
      <c r="C207" s="1" t="str">
        <f ca="1">IFERROR(__xludf.DUMMYFUNCTION("""COMPUTED_VALUE"""),"WAC")</f>
        <v>WAC</v>
      </c>
      <c r="D207" s="1" t="str">
        <f ca="1">IFERROR(__xludf.DUMMYFUNCTION("""COMPUTED_VALUE"""),"16-15")</f>
        <v>16-15</v>
      </c>
      <c r="E207" s="1">
        <f ca="1">IFERROR(__xludf.DUMMYFUNCTION("""COMPUTED_VALUE"""),-2.82)</f>
        <v>-2.82</v>
      </c>
      <c r="F207" s="1">
        <f ca="1">IFERROR(__xludf.DUMMYFUNCTION("""COMPUTED_VALUE"""),106.1)</f>
        <v>106.1</v>
      </c>
      <c r="G207" s="1">
        <f ca="1">IFERROR(__xludf.DUMMYFUNCTION("""COMPUTED_VALUE"""),144)</f>
        <v>144</v>
      </c>
      <c r="H207" s="1">
        <f ca="1">IFERROR(__xludf.DUMMYFUNCTION("""COMPUTED_VALUE"""),108.9)</f>
        <v>108.9</v>
      </c>
      <c r="I207" s="1">
        <f ca="1">IFERROR(__xludf.DUMMYFUNCTION("""COMPUTED_VALUE"""),258)</f>
        <v>258</v>
      </c>
      <c r="J207" s="1">
        <f ca="1">IFERROR(__xludf.DUMMYFUNCTION("""COMPUTED_VALUE"""),67.9)</f>
        <v>67.900000000000006</v>
      </c>
      <c r="K207" s="1">
        <f ca="1">IFERROR(__xludf.DUMMYFUNCTION("""COMPUTED_VALUE"""),156)</f>
        <v>156</v>
      </c>
      <c r="L207" s="1">
        <f ca="1">IFERROR(__xludf.DUMMYFUNCTION("""COMPUTED_VALUE"""),-0.07)</f>
        <v>-7.0000000000000007E-2</v>
      </c>
      <c r="M207" s="1">
        <f ca="1">IFERROR(__xludf.DUMMYFUNCTION("""COMPUTED_VALUE"""),324)</f>
        <v>324</v>
      </c>
      <c r="N207" s="1">
        <f ca="1">IFERROR(__xludf.DUMMYFUNCTION("""COMPUTED_VALUE"""),-3.47)</f>
        <v>-3.47</v>
      </c>
      <c r="O207" s="1">
        <f ca="1">IFERROR(__xludf.DUMMYFUNCTION("""COMPUTED_VALUE"""),237)</f>
        <v>237</v>
      </c>
      <c r="P207" s="1">
        <f ca="1">IFERROR(__xludf.DUMMYFUNCTION("""COMPUTED_VALUE"""),102.4)</f>
        <v>102.4</v>
      </c>
      <c r="Q207" s="1">
        <f ca="1">IFERROR(__xludf.DUMMYFUNCTION("""COMPUTED_VALUE"""),253)</f>
        <v>253</v>
      </c>
      <c r="R207" s="1">
        <f ca="1">IFERROR(__xludf.DUMMYFUNCTION("""COMPUTED_VALUE"""),105.9)</f>
        <v>105.9</v>
      </c>
      <c r="S207" s="1">
        <f ca="1">IFERROR(__xludf.DUMMYFUNCTION("""COMPUTED_VALUE"""),208)</f>
        <v>208</v>
      </c>
      <c r="T207" s="1">
        <f ca="1">IFERROR(__xludf.DUMMYFUNCTION("""COMPUTED_VALUE"""),-5.65)</f>
        <v>-5.65</v>
      </c>
      <c r="U207" s="1">
        <f ca="1">IFERROR(__xludf.DUMMYFUNCTION("""COMPUTED_VALUE"""),316)</f>
        <v>316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IFERROR(__xludf.DUMMYFUNCTION("""COMPUTED_VALUE"""),"Iona16")</f>
        <v>Iona16</v>
      </c>
      <c r="C208" s="1" t="str">
        <f ca="1">IFERROR(__xludf.DUMMYFUNCTION("""COMPUTED_VALUE"""),"MAAC")</f>
        <v>MAAC</v>
      </c>
      <c r="D208" s="1" t="str">
        <f ca="1">IFERROR(__xludf.DUMMYFUNCTION("""COMPUTED_VALUE"""),"17-16")</f>
        <v>17-16</v>
      </c>
      <c r="E208" s="1">
        <f ca="1">IFERROR(__xludf.DUMMYFUNCTION("""COMPUTED_VALUE"""),-2.88)</f>
        <v>-2.88</v>
      </c>
      <c r="F208" s="1">
        <f ca="1">IFERROR(__xludf.DUMMYFUNCTION("""COMPUTED_VALUE"""),106.9)</f>
        <v>106.9</v>
      </c>
      <c r="G208" s="1">
        <f ca="1">IFERROR(__xludf.DUMMYFUNCTION("""COMPUTED_VALUE"""),129)</f>
        <v>129</v>
      </c>
      <c r="H208" s="1">
        <f ca="1">IFERROR(__xludf.DUMMYFUNCTION("""COMPUTED_VALUE"""),109.7)</f>
        <v>109.7</v>
      </c>
      <c r="I208" s="1">
        <f ca="1">IFERROR(__xludf.DUMMYFUNCTION("""COMPUTED_VALUE"""),276)</f>
        <v>276</v>
      </c>
      <c r="J208" s="1">
        <f ca="1">IFERROR(__xludf.DUMMYFUNCTION("""COMPUTED_VALUE"""),70.6)</f>
        <v>70.599999999999994</v>
      </c>
      <c r="K208" s="1">
        <f ca="1">IFERROR(__xludf.DUMMYFUNCTION("""COMPUTED_VALUE"""),51)</f>
        <v>51</v>
      </c>
      <c r="L208" s="1">
        <f ca="1">IFERROR(__xludf.DUMMYFUNCTION("""COMPUTED_VALUE"""),-0.024)</f>
        <v>-2.4E-2</v>
      </c>
      <c r="M208" s="1">
        <f ca="1">IFERROR(__xludf.DUMMYFUNCTION("""COMPUTED_VALUE"""),245)</f>
        <v>245</v>
      </c>
      <c r="N208" s="1">
        <f ca="1">IFERROR(__xludf.DUMMYFUNCTION("""COMPUTED_VALUE"""),-6.27)</f>
        <v>-6.27</v>
      </c>
      <c r="O208" s="1">
        <f ca="1">IFERROR(__xludf.DUMMYFUNCTION("""COMPUTED_VALUE"""),290)</f>
        <v>290</v>
      </c>
      <c r="P208" s="1">
        <f ca="1">IFERROR(__xludf.DUMMYFUNCTION("""COMPUTED_VALUE"""),100.5)</f>
        <v>100.5</v>
      </c>
      <c r="Q208" s="1">
        <f ca="1">IFERROR(__xludf.DUMMYFUNCTION("""COMPUTED_VALUE"""),314)</f>
        <v>314</v>
      </c>
      <c r="R208" s="1">
        <f ca="1">IFERROR(__xludf.DUMMYFUNCTION("""COMPUTED_VALUE"""),106.8)</f>
        <v>106.8</v>
      </c>
      <c r="S208" s="1">
        <f ca="1">IFERROR(__xludf.DUMMYFUNCTION("""COMPUTED_VALUE"""),251)</f>
        <v>251</v>
      </c>
      <c r="T208" s="1" t="str">
        <f ca="1">IFERROR(__xludf.DUMMYFUNCTION("""COMPUTED_VALUE"""),"+0.44")</f>
        <v>+0.44</v>
      </c>
      <c r="U208" s="1">
        <f ca="1">IFERROR(__xludf.DUMMYFUNCTION("""COMPUTED_VALUE"""),144)</f>
        <v>144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IFERROR(__xludf.DUMMYFUNCTION("""COMPUTED_VALUE"""),"Mercer")</f>
        <v>Mercer</v>
      </c>
      <c r="C209" s="1" t="str">
        <f ca="1">IFERROR(__xludf.DUMMYFUNCTION("""COMPUTED_VALUE"""),"SC")</f>
        <v>SC</v>
      </c>
      <c r="D209" s="2">
        <f ca="1">IFERROR(__xludf.DUMMYFUNCTION("""COMPUTED_VALUE"""),44885)</f>
        <v>44885</v>
      </c>
      <c r="E209" s="1">
        <f ca="1">IFERROR(__xludf.DUMMYFUNCTION("""COMPUTED_VALUE"""),-3.06)</f>
        <v>-3.06</v>
      </c>
      <c r="F209" s="1">
        <f ca="1">IFERROR(__xludf.DUMMYFUNCTION("""COMPUTED_VALUE"""),103.4)</f>
        <v>103.4</v>
      </c>
      <c r="G209" s="1">
        <f ca="1">IFERROR(__xludf.DUMMYFUNCTION("""COMPUTED_VALUE"""),193)</f>
        <v>193</v>
      </c>
      <c r="H209" s="1">
        <f ca="1">IFERROR(__xludf.DUMMYFUNCTION("""COMPUTED_VALUE"""),106.5)</f>
        <v>106.5</v>
      </c>
      <c r="I209" s="1">
        <f ca="1">IFERROR(__xludf.DUMMYFUNCTION("""COMPUTED_VALUE"""),220)</f>
        <v>220</v>
      </c>
      <c r="J209" s="1">
        <f ca="1">IFERROR(__xludf.DUMMYFUNCTION("""COMPUTED_VALUE"""),66.8)</f>
        <v>66.8</v>
      </c>
      <c r="K209" s="1">
        <f ca="1">IFERROR(__xludf.DUMMYFUNCTION("""COMPUTED_VALUE"""),224)</f>
        <v>224</v>
      </c>
      <c r="L209" s="1">
        <f ca="1">IFERROR(__xludf.DUMMYFUNCTION("""COMPUTED_VALUE"""),-0.113)</f>
        <v>-0.113</v>
      </c>
      <c r="M209" s="1">
        <f ca="1">IFERROR(__xludf.DUMMYFUNCTION("""COMPUTED_VALUE"""),350)</f>
        <v>350</v>
      </c>
      <c r="N209" s="1" t="str">
        <f ca="1">IFERROR(__xludf.DUMMYFUNCTION("""COMPUTED_VALUE"""),"+1.10")</f>
        <v>+1.10</v>
      </c>
      <c r="O209" s="1">
        <f ca="1">IFERROR(__xludf.DUMMYFUNCTION("""COMPUTED_VALUE"""),114)</f>
        <v>114</v>
      </c>
      <c r="P209" s="1">
        <f ca="1">IFERROR(__xludf.DUMMYFUNCTION("""COMPUTED_VALUE"""),106.1)</f>
        <v>106.1</v>
      </c>
      <c r="Q209" s="1">
        <f ca="1">IFERROR(__xludf.DUMMYFUNCTION("""COMPUTED_VALUE"""),80)</f>
        <v>80</v>
      </c>
      <c r="R209" s="1">
        <f ca="1">IFERROR(__xludf.DUMMYFUNCTION("""COMPUTED_VALUE"""),105)</f>
        <v>105</v>
      </c>
      <c r="S209" s="1">
        <f ca="1">IFERROR(__xludf.DUMMYFUNCTION("""COMPUTED_VALUE"""),179)</f>
        <v>179</v>
      </c>
      <c r="T209" s="1" t="str">
        <f ca="1">IFERROR(__xludf.DUMMYFUNCTION("""COMPUTED_VALUE"""),"+1.13")</f>
        <v>+1.13</v>
      </c>
      <c r="U209" s="1">
        <f ca="1">IFERROR(__xludf.DUMMYFUNCTION("""COMPUTED_VALUE"""),123)</f>
        <v>123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IFERROR(__xludf.DUMMYFUNCTION("""COMPUTED_VALUE"""),"American")</f>
        <v>American</v>
      </c>
      <c r="C210" s="1" t="str">
        <f ca="1">IFERROR(__xludf.DUMMYFUNCTION("""COMPUTED_VALUE"""),"Pat")</f>
        <v>Pat</v>
      </c>
      <c r="D210" s="1" t="str">
        <f ca="1">IFERROR(__xludf.DUMMYFUNCTION("""COMPUTED_VALUE"""),"15-15")</f>
        <v>15-15</v>
      </c>
      <c r="E210" s="1">
        <f ca="1">IFERROR(__xludf.DUMMYFUNCTION("""COMPUTED_VALUE"""),-3.12)</f>
        <v>-3.12</v>
      </c>
      <c r="F210" s="1">
        <f ca="1">IFERROR(__xludf.DUMMYFUNCTION("""COMPUTED_VALUE"""),102.1)</f>
        <v>102.1</v>
      </c>
      <c r="G210" s="1">
        <f ca="1">IFERROR(__xludf.DUMMYFUNCTION("""COMPUTED_VALUE"""),220)</f>
        <v>220</v>
      </c>
      <c r="H210" s="1">
        <f ca="1">IFERROR(__xludf.DUMMYFUNCTION("""COMPUTED_VALUE"""),105.2)</f>
        <v>105.2</v>
      </c>
      <c r="I210" s="1">
        <f ca="1">IFERROR(__xludf.DUMMYFUNCTION("""COMPUTED_VALUE"""),182)</f>
        <v>182</v>
      </c>
      <c r="J210" s="1">
        <f ca="1">IFERROR(__xludf.DUMMYFUNCTION("""COMPUTED_VALUE"""),66.6)</f>
        <v>66.599999999999994</v>
      </c>
      <c r="K210" s="1">
        <f ca="1">IFERROR(__xludf.DUMMYFUNCTION("""COMPUTED_VALUE"""),233)</f>
        <v>233</v>
      </c>
      <c r="L210" s="1">
        <f ca="1">IFERROR(__xludf.DUMMYFUNCTION("""COMPUTED_VALUE"""),-0.119)</f>
        <v>-0.11899999999999999</v>
      </c>
      <c r="M210" s="1">
        <f ca="1">IFERROR(__xludf.DUMMYFUNCTION("""COMPUTED_VALUE"""),351)</f>
        <v>351</v>
      </c>
      <c r="N210" s="1">
        <f ca="1">IFERROR(__xludf.DUMMYFUNCTION("""COMPUTED_VALUE"""),-7.64)</f>
        <v>-7.64</v>
      </c>
      <c r="O210" s="1">
        <f ca="1">IFERROR(__xludf.DUMMYFUNCTION("""COMPUTED_VALUE"""),323)</f>
        <v>323</v>
      </c>
      <c r="P210" s="1">
        <f ca="1">IFERROR(__xludf.DUMMYFUNCTION("""COMPUTED_VALUE"""),100.5)</f>
        <v>100.5</v>
      </c>
      <c r="Q210" s="1">
        <f ca="1">IFERROR(__xludf.DUMMYFUNCTION("""COMPUTED_VALUE"""),317)</f>
        <v>317</v>
      </c>
      <c r="R210" s="1">
        <f ca="1">IFERROR(__xludf.DUMMYFUNCTION("""COMPUTED_VALUE"""),108.1)</f>
        <v>108.1</v>
      </c>
      <c r="S210" s="1">
        <f ca="1">IFERROR(__xludf.DUMMYFUNCTION("""COMPUTED_VALUE"""),317)</f>
        <v>317</v>
      </c>
      <c r="T210" s="1">
        <f ca="1">IFERROR(__xludf.DUMMYFUNCTION("""COMPUTED_VALUE"""),-10.8)</f>
        <v>-10.8</v>
      </c>
      <c r="U210" s="1">
        <f ca="1">IFERROR(__xludf.DUMMYFUNCTION("""COMPUTED_VALUE"""),350)</f>
        <v>350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IFERROR(__xludf.DUMMYFUNCTION("""COMPUTED_VALUE"""),"Hawaii")</f>
        <v>Hawaii</v>
      </c>
      <c r="C213" s="1" t="str">
        <f ca="1">IFERROR(__xludf.DUMMYFUNCTION("""COMPUTED_VALUE"""),"BW")</f>
        <v>BW</v>
      </c>
      <c r="D213" s="1" t="str">
        <f ca="1">IFERROR(__xludf.DUMMYFUNCTION("""COMPUTED_VALUE"""),"18-13")</f>
        <v>18-13</v>
      </c>
      <c r="E213" s="1">
        <f ca="1">IFERROR(__xludf.DUMMYFUNCTION("""COMPUTED_VALUE"""),-3.12)</f>
        <v>-3.12</v>
      </c>
      <c r="F213" s="1">
        <f ca="1">IFERROR(__xludf.DUMMYFUNCTION("""COMPUTED_VALUE"""),103.7)</f>
        <v>103.7</v>
      </c>
      <c r="G213" s="1">
        <f ca="1">IFERROR(__xludf.DUMMYFUNCTION("""COMPUTED_VALUE"""),188)</f>
        <v>188</v>
      </c>
      <c r="H213" s="1">
        <f ca="1">IFERROR(__xludf.DUMMYFUNCTION("""COMPUTED_VALUE"""),106.8)</f>
        <v>106.8</v>
      </c>
      <c r="I213" s="1">
        <f ca="1">IFERROR(__xludf.DUMMYFUNCTION("""COMPUTED_VALUE"""),225)</f>
        <v>225</v>
      </c>
      <c r="J213" s="1">
        <f ca="1">IFERROR(__xludf.DUMMYFUNCTION("""COMPUTED_VALUE"""),66.3)</f>
        <v>66.3</v>
      </c>
      <c r="K213" s="1">
        <f ca="1">IFERROR(__xludf.DUMMYFUNCTION("""COMPUTED_VALUE"""),243)</f>
        <v>243</v>
      </c>
      <c r="L213" s="1">
        <f ca="1">IFERROR(__xludf.DUMMYFUNCTION("""COMPUTED_VALUE"""),-0.005)</f>
        <v>-5.0000000000000001E-3</v>
      </c>
      <c r="M213" s="1">
        <f ca="1">IFERROR(__xludf.DUMMYFUNCTION("""COMPUTED_VALUE"""),194)</f>
        <v>194</v>
      </c>
      <c r="N213" s="1">
        <f ca="1">IFERROR(__xludf.DUMMYFUNCTION("""COMPUTED_VALUE"""),-6.27)</f>
        <v>-6.27</v>
      </c>
      <c r="O213" s="1">
        <f ca="1">IFERROR(__xludf.DUMMYFUNCTION("""COMPUTED_VALUE"""),291)</f>
        <v>291</v>
      </c>
      <c r="P213" s="1">
        <f ca="1">IFERROR(__xludf.DUMMYFUNCTION("""COMPUTED_VALUE"""),100.9)</f>
        <v>100.9</v>
      </c>
      <c r="Q213" s="1">
        <f ca="1">IFERROR(__xludf.DUMMYFUNCTION("""COMPUTED_VALUE"""),306)</f>
        <v>306</v>
      </c>
      <c r="R213" s="1">
        <f ca="1">IFERROR(__xludf.DUMMYFUNCTION("""COMPUTED_VALUE"""),107.1)</f>
        <v>107.1</v>
      </c>
      <c r="S213" s="1">
        <f ca="1">IFERROR(__xludf.DUMMYFUNCTION("""COMPUTED_VALUE"""),269)</f>
        <v>269</v>
      </c>
      <c r="T213" s="1">
        <f ca="1">IFERROR(__xludf.DUMMYFUNCTION("""COMPUTED_VALUE"""),-5.32)</f>
        <v>-5.32</v>
      </c>
      <c r="U213" s="1">
        <f ca="1">IFERROR(__xludf.DUMMYFUNCTION("""COMPUTED_VALUE"""),306)</f>
        <v>306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IFERROR(__xludf.DUMMYFUNCTION("""COMPUTED_VALUE"""),"North Dakota St.16")</f>
        <v>North Dakota St.16</v>
      </c>
      <c r="C214" s="1" t="str">
        <f ca="1">IFERROR(__xludf.DUMMYFUNCTION("""COMPUTED_VALUE"""),"Sum")</f>
        <v>Sum</v>
      </c>
      <c r="D214" s="1" t="str">
        <f ca="1">IFERROR(__xludf.DUMMYFUNCTION("""COMPUTED_VALUE"""),"19-16")</f>
        <v>19-16</v>
      </c>
      <c r="E214" s="1">
        <f ca="1">IFERROR(__xludf.DUMMYFUNCTION("""COMPUTED_VALUE"""),-3.2)</f>
        <v>-3.2</v>
      </c>
      <c r="F214" s="1">
        <f ca="1">IFERROR(__xludf.DUMMYFUNCTION("""COMPUTED_VALUE"""),107.4)</f>
        <v>107.4</v>
      </c>
      <c r="G214" s="1">
        <f ca="1">IFERROR(__xludf.DUMMYFUNCTION("""COMPUTED_VALUE"""),117)</f>
        <v>117</v>
      </c>
      <c r="H214" s="1">
        <f ca="1">IFERROR(__xludf.DUMMYFUNCTION("""COMPUTED_VALUE"""),110.6)</f>
        <v>110.6</v>
      </c>
      <c r="I214" s="1">
        <f ca="1">IFERROR(__xludf.DUMMYFUNCTION("""COMPUTED_VALUE"""),292)</f>
        <v>292</v>
      </c>
      <c r="J214" s="1">
        <f ca="1">IFERROR(__xludf.DUMMYFUNCTION("""COMPUTED_VALUE"""),65)</f>
        <v>65</v>
      </c>
      <c r="K214" s="1">
        <f ca="1">IFERROR(__xludf.DUMMYFUNCTION("""COMPUTED_VALUE"""),312)</f>
        <v>312</v>
      </c>
      <c r="L214" s="1" t="str">
        <f ca="1">IFERROR(__xludf.DUMMYFUNCTION("""COMPUTED_VALUE"""),"+.064")</f>
        <v>+.064</v>
      </c>
      <c r="M214" s="1">
        <f ca="1">IFERROR(__xludf.DUMMYFUNCTION("""COMPUTED_VALUE"""),34)</f>
        <v>34</v>
      </c>
      <c r="N214" s="1">
        <f ca="1">IFERROR(__xludf.DUMMYFUNCTION("""COMPUTED_VALUE"""),-2.85)</f>
        <v>-2.85</v>
      </c>
      <c r="O214" s="1">
        <f ca="1">IFERROR(__xludf.DUMMYFUNCTION("""COMPUTED_VALUE"""),217)</f>
        <v>217</v>
      </c>
      <c r="P214" s="1">
        <f ca="1">IFERROR(__xludf.DUMMYFUNCTION("""COMPUTED_VALUE"""),104.8)</f>
        <v>104.8</v>
      </c>
      <c r="Q214" s="1">
        <f ca="1">IFERROR(__xludf.DUMMYFUNCTION("""COMPUTED_VALUE"""),138)</f>
        <v>138</v>
      </c>
      <c r="R214" s="1">
        <f ca="1">IFERROR(__xludf.DUMMYFUNCTION("""COMPUTED_VALUE"""),107.6)</f>
        <v>107.6</v>
      </c>
      <c r="S214" s="1">
        <f ca="1">IFERROR(__xludf.DUMMYFUNCTION("""COMPUTED_VALUE"""),292)</f>
        <v>292</v>
      </c>
      <c r="T214" s="1" t="str">
        <f ca="1">IFERROR(__xludf.DUMMYFUNCTION("""COMPUTED_VALUE"""),"+3.23")</f>
        <v>+3.23</v>
      </c>
      <c r="U214" s="1">
        <f ca="1">IFERROR(__xludf.DUMMYFUNCTION("""COMPUTED_VALUE"""),84)</f>
        <v>84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IFERROR(__xludf.DUMMYFUNCTION("""COMPUTED_VALUE"""),"Richmond")</f>
        <v>Richmond</v>
      </c>
      <c r="C215" s="1" t="str">
        <f ca="1">IFERROR(__xludf.DUMMYFUNCTION("""COMPUTED_VALUE"""),"A10")</f>
        <v>A10</v>
      </c>
      <c r="D215" s="1" t="str">
        <f ca="1">IFERROR(__xludf.DUMMYFUNCTION("""COMPUTED_VALUE"""),"13-20")</f>
        <v>13-20</v>
      </c>
      <c r="E215" s="1">
        <f ca="1">IFERROR(__xludf.DUMMYFUNCTION("""COMPUTED_VALUE"""),-3.31)</f>
        <v>-3.31</v>
      </c>
      <c r="F215" s="1">
        <f ca="1">IFERROR(__xludf.DUMMYFUNCTION("""COMPUTED_VALUE"""),107)</f>
        <v>107</v>
      </c>
      <c r="G215" s="1">
        <f ca="1">IFERROR(__xludf.DUMMYFUNCTION("""COMPUTED_VALUE"""),125)</f>
        <v>125</v>
      </c>
      <c r="H215" s="1">
        <f ca="1">IFERROR(__xludf.DUMMYFUNCTION("""COMPUTED_VALUE"""),110.3)</f>
        <v>110.3</v>
      </c>
      <c r="I215" s="1">
        <f ca="1">IFERROR(__xludf.DUMMYFUNCTION("""COMPUTED_VALUE"""),287)</f>
        <v>287</v>
      </c>
      <c r="J215" s="1">
        <f ca="1">IFERROR(__xludf.DUMMYFUNCTION("""COMPUTED_VALUE"""),65.9)</f>
        <v>65.900000000000006</v>
      </c>
      <c r="K215" s="1">
        <f ca="1">IFERROR(__xludf.DUMMYFUNCTION("""COMPUTED_VALUE"""),266)</f>
        <v>266</v>
      </c>
      <c r="L215" s="1">
        <f ca="1">IFERROR(__xludf.DUMMYFUNCTION("""COMPUTED_VALUE"""),-0.088)</f>
        <v>-8.7999999999999995E-2</v>
      </c>
      <c r="M215" s="1">
        <f ca="1">IFERROR(__xludf.DUMMYFUNCTION("""COMPUTED_VALUE"""),338)</f>
        <v>338</v>
      </c>
      <c r="N215" s="1">
        <f ca="1">IFERROR(__xludf.DUMMYFUNCTION("""COMPUTED_VALUE"""),-2.99)</f>
        <v>-2.99</v>
      </c>
      <c r="O215" s="1">
        <f ca="1">IFERROR(__xludf.DUMMYFUNCTION("""COMPUTED_VALUE"""),220)</f>
        <v>220</v>
      </c>
      <c r="P215" s="1">
        <f ca="1">IFERROR(__xludf.DUMMYFUNCTION("""COMPUTED_VALUE"""),101.3)</f>
        <v>101.3</v>
      </c>
      <c r="Q215" s="1">
        <f ca="1">IFERROR(__xludf.DUMMYFUNCTION("""COMPUTED_VALUE"""),292)</f>
        <v>292</v>
      </c>
      <c r="R215" s="1">
        <f ca="1">IFERROR(__xludf.DUMMYFUNCTION("""COMPUTED_VALUE"""),104.3)</f>
        <v>104.3</v>
      </c>
      <c r="S215" s="1">
        <f ca="1">IFERROR(__xludf.DUMMYFUNCTION("""COMPUTED_VALUE"""),148)</f>
        <v>148</v>
      </c>
      <c r="T215" s="1">
        <f ca="1">IFERROR(__xludf.DUMMYFUNCTION("""COMPUTED_VALUE"""),-7.82)</f>
        <v>-7.82</v>
      </c>
      <c r="U215" s="1">
        <f ca="1">IFERROR(__xludf.DUMMYFUNCTION("""COMPUTED_VALUE"""),338)</f>
        <v>338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IFERROR(__xludf.DUMMYFUNCTION("""COMPUTED_VALUE"""),"FIU")</f>
        <v>FIU</v>
      </c>
      <c r="C216" s="1" t="str">
        <f ca="1">IFERROR(__xludf.DUMMYFUNCTION("""COMPUTED_VALUE"""),"CUSA")</f>
        <v>CUSA</v>
      </c>
      <c r="D216" s="1" t="str">
        <f ca="1">IFERROR(__xludf.DUMMYFUNCTION("""COMPUTED_VALUE"""),"20-14")</f>
        <v>20-14</v>
      </c>
      <c r="E216" s="1">
        <f ca="1">IFERROR(__xludf.DUMMYFUNCTION("""COMPUTED_VALUE"""),-3.41)</f>
        <v>-3.41</v>
      </c>
      <c r="F216" s="1">
        <f ca="1">IFERROR(__xludf.DUMMYFUNCTION("""COMPUTED_VALUE"""),102.4)</f>
        <v>102.4</v>
      </c>
      <c r="G216" s="1">
        <f ca="1">IFERROR(__xludf.DUMMYFUNCTION("""COMPUTED_VALUE"""),211)</f>
        <v>211</v>
      </c>
      <c r="H216" s="1">
        <f ca="1">IFERROR(__xludf.DUMMYFUNCTION("""COMPUTED_VALUE"""),105.8)</f>
        <v>105.8</v>
      </c>
      <c r="I216" s="1">
        <f ca="1">IFERROR(__xludf.DUMMYFUNCTION("""COMPUTED_VALUE"""),198)</f>
        <v>198</v>
      </c>
      <c r="J216" s="1">
        <f ca="1">IFERROR(__xludf.DUMMYFUNCTION("""COMPUTED_VALUE"""),77.6)</f>
        <v>77.599999999999994</v>
      </c>
      <c r="K216" s="1">
        <f ca="1">IFERROR(__xludf.DUMMYFUNCTION("""COMPUTED_VALUE"""),1)</f>
        <v>1</v>
      </c>
      <c r="L216" s="1" t="str">
        <f ca="1">IFERROR(__xludf.DUMMYFUNCTION("""COMPUTED_VALUE"""),"+.115")</f>
        <v>+.115</v>
      </c>
      <c r="M216" s="1">
        <f ca="1">IFERROR(__xludf.DUMMYFUNCTION("""COMPUTED_VALUE"""),7)</f>
        <v>7</v>
      </c>
      <c r="N216" s="1">
        <f ca="1">IFERROR(__xludf.DUMMYFUNCTION("""COMPUTED_VALUE"""),-1.01)</f>
        <v>-1.01</v>
      </c>
      <c r="O216" s="1">
        <f ca="1">IFERROR(__xludf.DUMMYFUNCTION("""COMPUTED_VALUE"""),166)</f>
        <v>166</v>
      </c>
      <c r="P216" s="1">
        <f ca="1">IFERROR(__xludf.DUMMYFUNCTION("""COMPUTED_VALUE"""),102.1)</f>
        <v>102.1</v>
      </c>
      <c r="Q216" s="1">
        <f ca="1">IFERROR(__xludf.DUMMYFUNCTION("""COMPUTED_VALUE"""),274)</f>
        <v>274</v>
      </c>
      <c r="R216" s="1">
        <f ca="1">IFERROR(__xludf.DUMMYFUNCTION("""COMPUTED_VALUE"""),103.1)</f>
        <v>103.1</v>
      </c>
      <c r="S216" s="1">
        <f ca="1">IFERROR(__xludf.DUMMYFUNCTION("""COMPUTED_VALUE"""),101)</f>
        <v>101</v>
      </c>
      <c r="T216" s="1">
        <f ca="1">IFERROR(__xludf.DUMMYFUNCTION("""COMPUTED_VALUE"""),-2.2)</f>
        <v>-2.2000000000000002</v>
      </c>
      <c r="U216" s="1">
        <f ca="1">IFERROR(__xludf.DUMMYFUNCTION("""COMPUTED_VALUE"""),227)</f>
        <v>227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IFERROR(__xludf.DUMMYFUNCTION("""COMPUTED_VALUE"""),"Illinois St.")</f>
        <v>Illinois St.</v>
      </c>
      <c r="C217" s="1" t="str">
        <f ca="1">IFERROR(__xludf.DUMMYFUNCTION("""COMPUTED_VALUE"""),"MVC")</f>
        <v>MVC</v>
      </c>
      <c r="D217" s="1" t="str">
        <f ca="1">IFERROR(__xludf.DUMMYFUNCTION("""COMPUTED_VALUE"""),"17-16")</f>
        <v>17-16</v>
      </c>
      <c r="E217" s="1">
        <f ca="1">IFERROR(__xludf.DUMMYFUNCTION("""COMPUTED_VALUE"""),-3.45)</f>
        <v>-3.45</v>
      </c>
      <c r="F217" s="1">
        <f ca="1">IFERROR(__xludf.DUMMYFUNCTION("""COMPUTED_VALUE"""),101.4)</f>
        <v>101.4</v>
      </c>
      <c r="G217" s="1">
        <f ca="1">IFERROR(__xludf.DUMMYFUNCTION("""COMPUTED_VALUE"""),240)</f>
        <v>240</v>
      </c>
      <c r="H217" s="1">
        <f ca="1">IFERROR(__xludf.DUMMYFUNCTION("""COMPUTED_VALUE"""),104.8)</f>
        <v>104.8</v>
      </c>
      <c r="I217" s="1">
        <f ca="1">IFERROR(__xludf.DUMMYFUNCTION("""COMPUTED_VALUE"""),175)</f>
        <v>175</v>
      </c>
      <c r="J217" s="1">
        <f ca="1">IFERROR(__xludf.DUMMYFUNCTION("""COMPUTED_VALUE"""),66.7)</f>
        <v>66.7</v>
      </c>
      <c r="K217" s="1">
        <f ca="1">IFERROR(__xludf.DUMMYFUNCTION("""COMPUTED_VALUE"""),226)</f>
        <v>226</v>
      </c>
      <c r="L217" s="1" t="str">
        <f ca="1">IFERROR(__xludf.DUMMYFUNCTION("""COMPUTED_VALUE"""),"+.084")</f>
        <v>+.084</v>
      </c>
      <c r="M217" s="1">
        <f ca="1">IFERROR(__xludf.DUMMYFUNCTION("""COMPUTED_VALUE"""),17)</f>
        <v>17</v>
      </c>
      <c r="N217" s="1">
        <f ca="1">IFERROR(__xludf.DUMMYFUNCTION("""COMPUTED_VALUE"""),-0.6)</f>
        <v>-0.6</v>
      </c>
      <c r="O217" s="1">
        <f ca="1">IFERROR(__xludf.DUMMYFUNCTION("""COMPUTED_VALUE"""),156)</f>
        <v>156</v>
      </c>
      <c r="P217" s="1">
        <f ca="1">IFERROR(__xludf.DUMMYFUNCTION("""COMPUTED_VALUE"""),103.1)</f>
        <v>103.1</v>
      </c>
      <c r="Q217" s="1">
        <f ca="1">IFERROR(__xludf.DUMMYFUNCTION("""COMPUTED_VALUE"""),220)</f>
        <v>220</v>
      </c>
      <c r="R217" s="1">
        <f ca="1">IFERROR(__xludf.DUMMYFUNCTION("""COMPUTED_VALUE"""),103.7)</f>
        <v>103.7</v>
      </c>
      <c r="S217" s="1">
        <f ca="1">IFERROR(__xludf.DUMMYFUNCTION("""COMPUTED_VALUE"""),117)</f>
        <v>117</v>
      </c>
      <c r="T217" s="1" t="str">
        <f ca="1">IFERROR(__xludf.DUMMYFUNCTION("""COMPUTED_VALUE"""),"+1.02")</f>
        <v>+1.02</v>
      </c>
      <c r="U217" s="1">
        <f ca="1">IFERROR(__xludf.DUMMYFUNCTION("""COMPUTED_VALUE"""),125)</f>
        <v>125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IFERROR(__xludf.DUMMYFUNCTION("""COMPUTED_VALUE"""),"Appalachian St.")</f>
        <v>Appalachian St.</v>
      </c>
      <c r="C218" s="1" t="str">
        <f ca="1">IFERROR(__xludf.DUMMYFUNCTION("""COMPUTED_VALUE"""),"SB")</f>
        <v>SB</v>
      </c>
      <c r="D218" s="2">
        <f ca="1">IFERROR(__xludf.DUMMYFUNCTION("""COMPUTED_VALUE"""),44886)</f>
        <v>44886</v>
      </c>
      <c r="E218" s="1">
        <f ca="1">IFERROR(__xludf.DUMMYFUNCTION("""COMPUTED_VALUE"""),-3.53)</f>
        <v>-3.53</v>
      </c>
      <c r="F218" s="1">
        <f ca="1">IFERROR(__xludf.DUMMYFUNCTION("""COMPUTED_VALUE"""),106.2)</f>
        <v>106.2</v>
      </c>
      <c r="G218" s="1">
        <f ca="1">IFERROR(__xludf.DUMMYFUNCTION("""COMPUTED_VALUE"""),142)</f>
        <v>142</v>
      </c>
      <c r="H218" s="1">
        <f ca="1">IFERROR(__xludf.DUMMYFUNCTION("""COMPUTED_VALUE"""),109.7)</f>
        <v>109.7</v>
      </c>
      <c r="I218" s="1">
        <f ca="1">IFERROR(__xludf.DUMMYFUNCTION("""COMPUTED_VALUE"""),274)</f>
        <v>274</v>
      </c>
      <c r="J218" s="1">
        <f ca="1">IFERROR(__xludf.DUMMYFUNCTION("""COMPUTED_VALUE"""),71.6)</f>
        <v>71.599999999999994</v>
      </c>
      <c r="K218" s="1">
        <f ca="1">IFERROR(__xludf.DUMMYFUNCTION("""COMPUTED_VALUE"""),28)</f>
        <v>28</v>
      </c>
      <c r="L218" s="1">
        <f ca="1">IFERROR(__xludf.DUMMYFUNCTION("""COMPUTED_VALUE"""),-0.083)</f>
        <v>-8.3000000000000004E-2</v>
      </c>
      <c r="M218" s="1">
        <f ca="1">IFERROR(__xludf.DUMMYFUNCTION("""COMPUTED_VALUE"""),334)</f>
        <v>334</v>
      </c>
      <c r="N218" s="1" t="str">
        <f ca="1">IFERROR(__xludf.DUMMYFUNCTION("""COMPUTED_VALUE"""),"+1.03")</f>
        <v>+1.03</v>
      </c>
      <c r="O218" s="1">
        <f ca="1">IFERROR(__xludf.DUMMYFUNCTION("""COMPUTED_VALUE"""),116)</f>
        <v>116</v>
      </c>
      <c r="P218" s="1">
        <f ca="1">IFERROR(__xludf.DUMMYFUNCTION("""COMPUTED_VALUE"""),105.3)</f>
        <v>105.3</v>
      </c>
      <c r="Q218" s="1">
        <f ca="1">IFERROR(__xludf.DUMMYFUNCTION("""COMPUTED_VALUE"""),112)</f>
        <v>112</v>
      </c>
      <c r="R218" s="1">
        <f ca="1">IFERROR(__xludf.DUMMYFUNCTION("""COMPUTED_VALUE"""),104.3)</f>
        <v>104.3</v>
      </c>
      <c r="S218" s="1">
        <f ca="1">IFERROR(__xludf.DUMMYFUNCTION("""COMPUTED_VALUE"""),152)</f>
        <v>152</v>
      </c>
      <c r="T218" s="1" t="str">
        <f ca="1">IFERROR(__xludf.DUMMYFUNCTION("""COMPUTED_VALUE"""),"+5.33")</f>
        <v>+5.33</v>
      </c>
      <c r="U218" s="1">
        <f ca="1">IFERROR(__xludf.DUMMYFUNCTION("""COMPUTED_VALUE"""),35)</f>
        <v>35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IFERROR(__xludf.DUMMYFUNCTION("""COMPUTED_VALUE"""),"Washington St.")</f>
        <v>Washington St.</v>
      </c>
      <c r="C219" s="1" t="str">
        <f ca="1">IFERROR(__xludf.DUMMYFUNCTION("""COMPUTED_VALUE"""),"P12")</f>
        <v>P12</v>
      </c>
      <c r="D219" s="2">
        <f ca="1">IFERROR(__xludf.DUMMYFUNCTION("""COMPUTED_VALUE"""),44886)</f>
        <v>44886</v>
      </c>
      <c r="E219" s="1">
        <f ca="1">IFERROR(__xludf.DUMMYFUNCTION("""COMPUTED_VALUE"""),-3.79)</f>
        <v>-3.79</v>
      </c>
      <c r="F219" s="1">
        <f ca="1">IFERROR(__xludf.DUMMYFUNCTION("""COMPUTED_VALUE"""),106.4)</f>
        <v>106.4</v>
      </c>
      <c r="G219" s="1">
        <f ca="1">IFERROR(__xludf.DUMMYFUNCTION("""COMPUTED_VALUE"""),140)</f>
        <v>140</v>
      </c>
      <c r="H219" s="1">
        <f ca="1">IFERROR(__xludf.DUMMYFUNCTION("""COMPUTED_VALUE"""),110.2)</f>
        <v>110.2</v>
      </c>
      <c r="I219" s="1">
        <f ca="1">IFERROR(__xludf.DUMMYFUNCTION("""COMPUTED_VALUE"""),284)</f>
        <v>284</v>
      </c>
      <c r="J219" s="1">
        <f ca="1">IFERROR(__xludf.DUMMYFUNCTION("""COMPUTED_VALUE"""),70.6)</f>
        <v>70.599999999999994</v>
      </c>
      <c r="K219" s="1">
        <f ca="1">IFERROR(__xludf.DUMMYFUNCTION("""COMPUTED_VALUE"""),50)</f>
        <v>50</v>
      </c>
      <c r="L219" s="1">
        <f ca="1">IFERROR(__xludf.DUMMYFUNCTION("""COMPUTED_VALUE"""),-0.059)</f>
        <v>-5.8999999999999997E-2</v>
      </c>
      <c r="M219" s="1">
        <f ca="1">IFERROR(__xludf.DUMMYFUNCTION("""COMPUTED_VALUE"""),307)</f>
        <v>307</v>
      </c>
      <c r="N219" s="1" t="str">
        <f ca="1">IFERROR(__xludf.DUMMYFUNCTION("""COMPUTED_VALUE"""),"+1.63")</f>
        <v>+1.63</v>
      </c>
      <c r="O219" s="1">
        <f ca="1">IFERROR(__xludf.DUMMYFUNCTION("""COMPUTED_VALUE"""),100)</f>
        <v>100</v>
      </c>
      <c r="P219" s="1">
        <f ca="1">IFERROR(__xludf.DUMMYFUNCTION("""COMPUTED_VALUE"""),105.3)</f>
        <v>105.3</v>
      </c>
      <c r="Q219" s="1">
        <f ca="1">IFERROR(__xludf.DUMMYFUNCTION("""COMPUTED_VALUE"""),114)</f>
        <v>114</v>
      </c>
      <c r="R219" s="1">
        <f ca="1">IFERROR(__xludf.DUMMYFUNCTION("""COMPUTED_VALUE"""),103.7)</f>
        <v>103.7</v>
      </c>
      <c r="S219" s="1">
        <f ca="1">IFERROR(__xludf.DUMMYFUNCTION("""COMPUTED_VALUE"""),118)</f>
        <v>118</v>
      </c>
      <c r="T219" s="1">
        <f ca="1">IFERROR(__xludf.DUMMYFUNCTION("""COMPUTED_VALUE"""),-10.53)</f>
        <v>-10.53</v>
      </c>
      <c r="U219" s="1">
        <f ca="1">IFERROR(__xludf.DUMMYFUNCTION("""COMPUTED_VALUE"""),349)</f>
        <v>349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IFERROR(__xludf.DUMMYFUNCTION("""COMPUTED_VALUE"""),"Indiana St.")</f>
        <v>Indiana St.</v>
      </c>
      <c r="C220" s="1" t="str">
        <f ca="1">IFERROR(__xludf.DUMMYFUNCTION("""COMPUTED_VALUE"""),"MVC")</f>
        <v>MVC</v>
      </c>
      <c r="D220" s="1" t="str">
        <f ca="1">IFERROR(__xludf.DUMMYFUNCTION("""COMPUTED_VALUE"""),"15-16")</f>
        <v>15-16</v>
      </c>
      <c r="E220" s="1">
        <f ca="1">IFERROR(__xludf.DUMMYFUNCTION("""COMPUTED_VALUE"""),-3.99)</f>
        <v>-3.99</v>
      </c>
      <c r="F220" s="1">
        <f ca="1">IFERROR(__xludf.DUMMYFUNCTION("""COMPUTED_VALUE"""),101.4)</f>
        <v>101.4</v>
      </c>
      <c r="G220" s="1">
        <f ca="1">IFERROR(__xludf.DUMMYFUNCTION("""COMPUTED_VALUE"""),239)</f>
        <v>239</v>
      </c>
      <c r="H220" s="1">
        <f ca="1">IFERROR(__xludf.DUMMYFUNCTION("""COMPUTED_VALUE"""),105.4)</f>
        <v>105.4</v>
      </c>
      <c r="I220" s="1">
        <f ca="1">IFERROR(__xludf.DUMMYFUNCTION("""COMPUTED_VALUE"""),188)</f>
        <v>188</v>
      </c>
      <c r="J220" s="1">
        <f ca="1">IFERROR(__xludf.DUMMYFUNCTION("""COMPUTED_VALUE"""),68.9)</f>
        <v>68.900000000000006</v>
      </c>
      <c r="K220" s="1">
        <f ca="1">IFERROR(__xludf.DUMMYFUNCTION("""COMPUTED_VALUE"""),106)</f>
        <v>106</v>
      </c>
      <c r="L220" s="1" t="str">
        <f ca="1">IFERROR(__xludf.DUMMYFUNCTION("""COMPUTED_VALUE"""),"+.026")</f>
        <v>+.026</v>
      </c>
      <c r="M220" s="1">
        <f ca="1">IFERROR(__xludf.DUMMYFUNCTION("""COMPUTED_VALUE"""),110)</f>
        <v>110</v>
      </c>
      <c r="N220" s="1">
        <f ca="1">IFERROR(__xludf.DUMMYFUNCTION("""COMPUTED_VALUE"""),-0.04)</f>
        <v>-0.04</v>
      </c>
      <c r="O220" s="1">
        <f ca="1">IFERROR(__xludf.DUMMYFUNCTION("""COMPUTED_VALUE"""),140)</f>
        <v>140</v>
      </c>
      <c r="P220" s="1">
        <f ca="1">IFERROR(__xludf.DUMMYFUNCTION("""COMPUTED_VALUE"""),102.7)</f>
        <v>102.7</v>
      </c>
      <c r="Q220" s="1">
        <f ca="1">IFERROR(__xludf.DUMMYFUNCTION("""COMPUTED_VALUE"""),240)</f>
        <v>240</v>
      </c>
      <c r="R220" s="1">
        <f ca="1">IFERROR(__xludf.DUMMYFUNCTION("""COMPUTED_VALUE"""),102.7)</f>
        <v>102.7</v>
      </c>
      <c r="S220" s="1">
        <f ca="1">IFERROR(__xludf.DUMMYFUNCTION("""COMPUTED_VALUE"""),93)</f>
        <v>93</v>
      </c>
      <c r="T220" s="1" t="str">
        <f ca="1">IFERROR(__xludf.DUMMYFUNCTION("""COMPUTED_VALUE"""),"+3.10")</f>
        <v>+3.10</v>
      </c>
      <c r="U220" s="1">
        <f ca="1">IFERROR(__xludf.DUMMYFUNCTION("""COMPUTED_VALUE"""),88)</f>
        <v>88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IFERROR(__xludf.DUMMYFUNCTION("""COMPUTED_VALUE"""),"Prairie View A&amp;M16")</f>
        <v>Prairie View A&amp;M16</v>
      </c>
      <c r="C221" s="1" t="str">
        <f ca="1">IFERROR(__xludf.DUMMYFUNCTION("""COMPUTED_VALUE"""),"SWAC")</f>
        <v>SWAC</v>
      </c>
      <c r="D221" s="1" t="str">
        <f ca="1">IFERROR(__xludf.DUMMYFUNCTION("""COMPUTED_VALUE"""),"22-13")</f>
        <v>22-13</v>
      </c>
      <c r="E221" s="1">
        <f ca="1">IFERROR(__xludf.DUMMYFUNCTION("""COMPUTED_VALUE"""),-4.13)</f>
        <v>-4.13</v>
      </c>
      <c r="F221" s="1">
        <f ca="1">IFERROR(__xludf.DUMMYFUNCTION("""COMPUTED_VALUE"""),102.1)</f>
        <v>102.1</v>
      </c>
      <c r="G221" s="1">
        <f ca="1">IFERROR(__xludf.DUMMYFUNCTION("""COMPUTED_VALUE"""),219)</f>
        <v>219</v>
      </c>
      <c r="H221" s="1">
        <f ca="1">IFERROR(__xludf.DUMMYFUNCTION("""COMPUTED_VALUE"""),106.2)</f>
        <v>106.2</v>
      </c>
      <c r="I221" s="1">
        <f ca="1">IFERROR(__xludf.DUMMYFUNCTION("""COMPUTED_VALUE"""),210)</f>
        <v>210</v>
      </c>
      <c r="J221" s="1">
        <f ca="1">IFERROR(__xludf.DUMMYFUNCTION("""COMPUTED_VALUE"""),71.1)</f>
        <v>71.099999999999994</v>
      </c>
      <c r="K221" s="1">
        <f ca="1">IFERROR(__xludf.DUMMYFUNCTION("""COMPUTED_VALUE"""),38)</f>
        <v>38</v>
      </c>
      <c r="L221" s="1" t="str">
        <f ca="1">IFERROR(__xludf.DUMMYFUNCTION("""COMPUTED_VALUE"""),"+.061")</f>
        <v>+.061</v>
      </c>
      <c r="M221" s="1">
        <f ca="1">IFERROR(__xludf.DUMMYFUNCTION("""COMPUTED_VALUE"""),39)</f>
        <v>39</v>
      </c>
      <c r="N221" s="1">
        <f ca="1">IFERROR(__xludf.DUMMYFUNCTION("""COMPUTED_VALUE"""),-7.85)</f>
        <v>-7.85</v>
      </c>
      <c r="O221" s="1">
        <f ca="1">IFERROR(__xludf.DUMMYFUNCTION("""COMPUTED_VALUE"""),331)</f>
        <v>331</v>
      </c>
      <c r="P221" s="1">
        <f ca="1">IFERROR(__xludf.DUMMYFUNCTION("""COMPUTED_VALUE"""),98.8)</f>
        <v>98.8</v>
      </c>
      <c r="Q221" s="1">
        <f ca="1">IFERROR(__xludf.DUMMYFUNCTION("""COMPUTED_VALUE"""),343)</f>
        <v>343</v>
      </c>
      <c r="R221" s="1">
        <f ca="1">IFERROR(__xludf.DUMMYFUNCTION("""COMPUTED_VALUE"""),106.7)</f>
        <v>106.7</v>
      </c>
      <c r="S221" s="1">
        <f ca="1">IFERROR(__xludf.DUMMYFUNCTION("""COMPUTED_VALUE"""),243)</f>
        <v>243</v>
      </c>
      <c r="T221" s="1" t="str">
        <f ca="1">IFERROR(__xludf.DUMMYFUNCTION("""COMPUTED_VALUE"""),"+6.15")</f>
        <v>+6.15</v>
      </c>
      <c r="U221" s="1">
        <f ca="1">IFERROR(__xludf.DUMMYFUNCTION("""COMPUTED_VALUE"""),26)</f>
        <v>26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IFERROR(__xludf.DUMMYFUNCTION("""COMPUTED_VALUE"""),"Cal St. Fullerton")</f>
        <v>Cal St. Fullerton</v>
      </c>
      <c r="C222" s="1" t="str">
        <f ca="1">IFERROR(__xludf.DUMMYFUNCTION("""COMPUTED_VALUE"""),"BW")</f>
        <v>BW</v>
      </c>
      <c r="D222" s="1" t="str">
        <f ca="1">IFERROR(__xludf.DUMMYFUNCTION("""COMPUTED_VALUE"""),"16-18")</f>
        <v>16-18</v>
      </c>
      <c r="E222" s="1">
        <f ca="1">IFERROR(__xludf.DUMMYFUNCTION("""COMPUTED_VALUE"""),-4.15)</f>
        <v>-4.1500000000000004</v>
      </c>
      <c r="F222" s="1">
        <f ca="1">IFERROR(__xludf.DUMMYFUNCTION("""COMPUTED_VALUE"""),98.3)</f>
        <v>98.3</v>
      </c>
      <c r="G222" s="1">
        <f ca="1">IFERROR(__xludf.DUMMYFUNCTION("""COMPUTED_VALUE"""),286)</f>
        <v>286</v>
      </c>
      <c r="H222" s="1">
        <f ca="1">IFERROR(__xludf.DUMMYFUNCTION("""COMPUTED_VALUE"""),102.5)</f>
        <v>102.5</v>
      </c>
      <c r="I222" s="1">
        <f ca="1">IFERROR(__xludf.DUMMYFUNCTION("""COMPUTED_VALUE"""),134)</f>
        <v>134</v>
      </c>
      <c r="J222" s="1">
        <f ca="1">IFERROR(__xludf.DUMMYFUNCTION("""COMPUTED_VALUE"""),69.9)</f>
        <v>69.900000000000006</v>
      </c>
      <c r="K222" s="1">
        <f ca="1">IFERROR(__xludf.DUMMYFUNCTION("""COMPUTED_VALUE"""),72)</f>
        <v>72</v>
      </c>
      <c r="L222" s="1" t="str">
        <f ca="1">IFERROR(__xludf.DUMMYFUNCTION("""COMPUTED_VALUE"""),"+.003")</f>
        <v>+.003</v>
      </c>
      <c r="M222" s="1">
        <f ca="1">IFERROR(__xludf.DUMMYFUNCTION("""COMPUTED_VALUE"""),176)</f>
        <v>176</v>
      </c>
      <c r="N222" s="1">
        <f ca="1">IFERROR(__xludf.DUMMYFUNCTION("""COMPUTED_VALUE"""),-1.7)</f>
        <v>-1.7</v>
      </c>
      <c r="O222" s="1">
        <f ca="1">IFERROR(__xludf.DUMMYFUNCTION("""COMPUTED_VALUE"""),184)</f>
        <v>184</v>
      </c>
      <c r="P222" s="1">
        <f ca="1">IFERROR(__xludf.DUMMYFUNCTION("""COMPUTED_VALUE"""),103.6)</f>
        <v>103.6</v>
      </c>
      <c r="Q222" s="1">
        <f ca="1">IFERROR(__xludf.DUMMYFUNCTION("""COMPUTED_VALUE"""),192)</f>
        <v>192</v>
      </c>
      <c r="R222" s="1">
        <f ca="1">IFERROR(__xludf.DUMMYFUNCTION("""COMPUTED_VALUE"""),105.3)</f>
        <v>105.3</v>
      </c>
      <c r="S222" s="1">
        <f ca="1">IFERROR(__xludf.DUMMYFUNCTION("""COMPUTED_VALUE"""),189)</f>
        <v>189</v>
      </c>
      <c r="T222" s="1" t="str">
        <f ca="1">IFERROR(__xludf.DUMMYFUNCTION("""COMPUTED_VALUE"""),"+7.12")</f>
        <v>+7.12</v>
      </c>
      <c r="U222" s="1">
        <f ca="1">IFERROR(__xludf.DUMMYFUNCTION("""COMPUTED_VALUE"""),15)</f>
        <v>15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IFERROR(__xludf.DUMMYFUNCTION("""COMPUTED_VALUE"""),"Fairleigh Dickinson16")</f>
        <v>Fairleigh Dickinson16</v>
      </c>
      <c r="C223" s="1" t="str">
        <f ca="1">IFERROR(__xludf.DUMMYFUNCTION("""COMPUTED_VALUE"""),"NEC")</f>
        <v>NEC</v>
      </c>
      <c r="D223" s="1" t="str">
        <f ca="1">IFERROR(__xludf.DUMMYFUNCTION("""COMPUTED_VALUE"""),"21-14")</f>
        <v>21-14</v>
      </c>
      <c r="E223" s="1">
        <f ca="1">IFERROR(__xludf.DUMMYFUNCTION("""COMPUTED_VALUE"""),-4.22)</f>
        <v>-4.22</v>
      </c>
      <c r="F223" s="1">
        <f ca="1">IFERROR(__xludf.DUMMYFUNCTION("""COMPUTED_VALUE"""),106.5)</f>
        <v>106.5</v>
      </c>
      <c r="G223" s="1">
        <f ca="1">IFERROR(__xludf.DUMMYFUNCTION("""COMPUTED_VALUE"""),139)</f>
        <v>139</v>
      </c>
      <c r="H223" s="1">
        <f ca="1">IFERROR(__xludf.DUMMYFUNCTION("""COMPUTED_VALUE"""),110.7)</f>
        <v>110.7</v>
      </c>
      <c r="I223" s="1">
        <f ca="1">IFERROR(__xludf.DUMMYFUNCTION("""COMPUTED_VALUE"""),295)</f>
        <v>295</v>
      </c>
      <c r="J223" s="1">
        <f ca="1">IFERROR(__xludf.DUMMYFUNCTION("""COMPUTED_VALUE"""),66.8)</f>
        <v>66.8</v>
      </c>
      <c r="K223" s="1">
        <f ca="1">IFERROR(__xludf.DUMMYFUNCTION("""COMPUTED_VALUE"""),223)</f>
        <v>223</v>
      </c>
      <c r="L223" s="1" t="str">
        <f ca="1">IFERROR(__xludf.DUMMYFUNCTION("""COMPUTED_VALUE"""),"+.040")</f>
        <v>+.040</v>
      </c>
      <c r="M223" s="1">
        <f ca="1">IFERROR(__xludf.DUMMYFUNCTION("""COMPUTED_VALUE"""),81)</f>
        <v>81</v>
      </c>
      <c r="N223" s="1">
        <f ca="1">IFERROR(__xludf.DUMMYFUNCTION("""COMPUTED_VALUE"""),-8.16)</f>
        <v>-8.16</v>
      </c>
      <c r="O223" s="1">
        <f ca="1">IFERROR(__xludf.DUMMYFUNCTION("""COMPUTED_VALUE"""),338)</f>
        <v>338</v>
      </c>
      <c r="P223" s="1">
        <f ca="1">IFERROR(__xludf.DUMMYFUNCTION("""COMPUTED_VALUE"""),99.5)</f>
        <v>99.5</v>
      </c>
      <c r="Q223" s="1">
        <f ca="1">IFERROR(__xludf.DUMMYFUNCTION("""COMPUTED_VALUE"""),335)</f>
        <v>335</v>
      </c>
      <c r="R223" s="1">
        <f ca="1">IFERROR(__xludf.DUMMYFUNCTION("""COMPUTED_VALUE"""),107.7)</f>
        <v>107.7</v>
      </c>
      <c r="S223" s="1">
        <f ca="1">IFERROR(__xludf.DUMMYFUNCTION("""COMPUTED_VALUE"""),296)</f>
        <v>296</v>
      </c>
      <c r="T223" s="1">
        <f ca="1">IFERROR(__xludf.DUMMYFUNCTION("""COMPUTED_VALUE"""),-1.86)</f>
        <v>-1.86</v>
      </c>
      <c r="U223" s="1">
        <f ca="1">IFERROR(__xludf.DUMMYFUNCTION("""COMPUTED_VALUE"""),215)</f>
        <v>215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IFERROR(__xludf.DUMMYFUNCTION("""COMPUTED_VALUE"""),"Rider")</f>
        <v>Rider</v>
      </c>
      <c r="C224" s="1" t="str">
        <f ca="1">IFERROR(__xludf.DUMMYFUNCTION("""COMPUTED_VALUE"""),"MAAC")</f>
        <v>MAAC</v>
      </c>
      <c r="D224" s="1" t="str">
        <f ca="1">IFERROR(__xludf.DUMMYFUNCTION("""COMPUTED_VALUE"""),"16-15")</f>
        <v>16-15</v>
      </c>
      <c r="E224" s="1">
        <f ca="1">IFERROR(__xludf.DUMMYFUNCTION("""COMPUTED_VALUE"""),-4.44)</f>
        <v>-4.4400000000000004</v>
      </c>
      <c r="F224" s="1">
        <f ca="1">IFERROR(__xludf.DUMMYFUNCTION("""COMPUTED_VALUE"""),101.5)</f>
        <v>101.5</v>
      </c>
      <c r="G224" s="1">
        <f ca="1">IFERROR(__xludf.DUMMYFUNCTION("""COMPUTED_VALUE"""),236)</f>
        <v>236</v>
      </c>
      <c r="H224" s="1">
        <f ca="1">IFERROR(__xludf.DUMMYFUNCTION("""COMPUTED_VALUE"""),105.9)</f>
        <v>105.9</v>
      </c>
      <c r="I224" s="1">
        <f ca="1">IFERROR(__xludf.DUMMYFUNCTION("""COMPUTED_VALUE"""),203)</f>
        <v>203</v>
      </c>
      <c r="J224" s="1">
        <f ca="1">IFERROR(__xludf.DUMMYFUNCTION("""COMPUTED_VALUE"""),73.9)</f>
        <v>73.900000000000006</v>
      </c>
      <c r="K224" s="1">
        <f ca="1">IFERROR(__xludf.DUMMYFUNCTION("""COMPUTED_VALUE"""),8)</f>
        <v>8</v>
      </c>
      <c r="L224" s="1">
        <f ca="1">IFERROR(__xludf.DUMMYFUNCTION("""COMPUTED_VALUE"""),-0.032)</f>
        <v>-3.2000000000000001E-2</v>
      </c>
      <c r="M224" s="1">
        <f ca="1">IFERROR(__xludf.DUMMYFUNCTION("""COMPUTED_VALUE"""),259)</f>
        <v>259</v>
      </c>
      <c r="N224" s="1">
        <f ca="1">IFERROR(__xludf.DUMMYFUNCTION("""COMPUTED_VALUE"""),-7.09)</f>
        <v>-7.09</v>
      </c>
      <c r="O224" s="1">
        <f ca="1">IFERROR(__xludf.DUMMYFUNCTION("""COMPUTED_VALUE"""),309)</f>
        <v>309</v>
      </c>
      <c r="P224" s="1">
        <f ca="1">IFERROR(__xludf.DUMMYFUNCTION("""COMPUTED_VALUE"""),100.6)</f>
        <v>100.6</v>
      </c>
      <c r="Q224" s="1">
        <f ca="1">IFERROR(__xludf.DUMMYFUNCTION("""COMPUTED_VALUE"""),312)</f>
        <v>312</v>
      </c>
      <c r="R224" s="1">
        <f ca="1">IFERROR(__xludf.DUMMYFUNCTION("""COMPUTED_VALUE"""),107.7)</f>
        <v>107.7</v>
      </c>
      <c r="S224" s="1">
        <f ca="1">IFERROR(__xludf.DUMMYFUNCTION("""COMPUTED_VALUE"""),300)</f>
        <v>300</v>
      </c>
      <c r="T224" s="1">
        <f ca="1">IFERROR(__xludf.DUMMYFUNCTION("""COMPUTED_VALUE"""),-0.18)</f>
        <v>-0.18</v>
      </c>
      <c r="U224" s="1">
        <f ca="1">IFERROR(__xludf.DUMMYFUNCTION("""COMPUTED_VALUE"""),169)</f>
        <v>169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IFERROR(__xludf.DUMMYFUNCTION("""COMPUTED_VALUE"""),"Florida Gulf Coast")</f>
        <v>Florida Gulf Coast</v>
      </c>
      <c r="C225" s="1" t="str">
        <f ca="1">IFERROR(__xludf.DUMMYFUNCTION("""COMPUTED_VALUE"""),"ASun")</f>
        <v>ASun</v>
      </c>
      <c r="D225" s="1" t="str">
        <f ca="1">IFERROR(__xludf.DUMMYFUNCTION("""COMPUTED_VALUE"""),"14-18")</f>
        <v>14-18</v>
      </c>
      <c r="E225" s="1">
        <f ca="1">IFERROR(__xludf.DUMMYFUNCTION("""COMPUTED_VALUE"""),-4.52)</f>
        <v>-4.5199999999999996</v>
      </c>
      <c r="F225" s="1">
        <f ca="1">IFERROR(__xludf.DUMMYFUNCTION("""COMPUTED_VALUE"""),101.6)</f>
        <v>101.6</v>
      </c>
      <c r="G225" s="1">
        <f ca="1">IFERROR(__xludf.DUMMYFUNCTION("""COMPUTED_VALUE"""),233)</f>
        <v>233</v>
      </c>
      <c r="H225" s="1">
        <f ca="1">IFERROR(__xludf.DUMMYFUNCTION("""COMPUTED_VALUE"""),106.1)</f>
        <v>106.1</v>
      </c>
      <c r="I225" s="1">
        <f ca="1">IFERROR(__xludf.DUMMYFUNCTION("""COMPUTED_VALUE"""),207)</f>
        <v>207</v>
      </c>
      <c r="J225" s="1">
        <f ca="1">IFERROR(__xludf.DUMMYFUNCTION("""COMPUTED_VALUE"""),67.9)</f>
        <v>67.900000000000006</v>
      </c>
      <c r="K225" s="1">
        <f ca="1">IFERROR(__xludf.DUMMYFUNCTION("""COMPUTED_VALUE"""),152)</f>
        <v>152</v>
      </c>
      <c r="L225" s="1">
        <f ca="1">IFERROR(__xludf.DUMMYFUNCTION("""COMPUTED_VALUE"""),-0.003)</f>
        <v>-3.0000000000000001E-3</v>
      </c>
      <c r="M225" s="1">
        <f ca="1">IFERROR(__xludf.DUMMYFUNCTION("""COMPUTED_VALUE"""),187)</f>
        <v>187</v>
      </c>
      <c r="N225" s="1">
        <f ca="1">IFERROR(__xludf.DUMMYFUNCTION("""COMPUTED_VALUE"""),-0.94)</f>
        <v>-0.94</v>
      </c>
      <c r="O225" s="1">
        <f ca="1">IFERROR(__xludf.DUMMYFUNCTION("""COMPUTED_VALUE"""),164)</f>
        <v>164</v>
      </c>
      <c r="P225" s="1">
        <f ca="1">IFERROR(__xludf.DUMMYFUNCTION("""COMPUTED_VALUE"""),103.5)</f>
        <v>103.5</v>
      </c>
      <c r="Q225" s="1">
        <f ca="1">IFERROR(__xludf.DUMMYFUNCTION("""COMPUTED_VALUE"""),196)</f>
        <v>196</v>
      </c>
      <c r="R225" s="1">
        <f ca="1">IFERROR(__xludf.DUMMYFUNCTION("""COMPUTED_VALUE"""),104.5)</f>
        <v>104.5</v>
      </c>
      <c r="S225" s="1">
        <f ca="1">IFERROR(__xludf.DUMMYFUNCTION("""COMPUTED_VALUE"""),159)</f>
        <v>159</v>
      </c>
      <c r="T225" s="1" t="str">
        <f ca="1">IFERROR(__xludf.DUMMYFUNCTION("""COMPUTED_VALUE"""),"+3.72")</f>
        <v>+3.72</v>
      </c>
      <c r="U225" s="1">
        <f ca="1">IFERROR(__xludf.DUMMYFUNCTION("""COMPUTED_VALUE"""),65)</f>
        <v>65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IFERROR(__xludf.DUMMYFUNCTION("""COMPUTED_VALUE"""),"South Alabama")</f>
        <v>South Alabama</v>
      </c>
      <c r="C226" s="1" t="str">
        <f ca="1">IFERROR(__xludf.DUMMYFUNCTION("""COMPUTED_VALUE"""),"SB")</f>
        <v>SB</v>
      </c>
      <c r="D226" s="1" t="str">
        <f ca="1">IFERROR(__xludf.DUMMYFUNCTION("""COMPUTED_VALUE"""),"17-17")</f>
        <v>17-17</v>
      </c>
      <c r="E226" s="1">
        <f ca="1">IFERROR(__xludf.DUMMYFUNCTION("""COMPUTED_VALUE"""),-4.52)</f>
        <v>-4.5199999999999996</v>
      </c>
      <c r="F226" s="1">
        <f ca="1">IFERROR(__xludf.DUMMYFUNCTION("""COMPUTED_VALUE"""),103.1)</f>
        <v>103.1</v>
      </c>
      <c r="G226" s="1">
        <f ca="1">IFERROR(__xludf.DUMMYFUNCTION("""COMPUTED_VALUE"""),200)</f>
        <v>200</v>
      </c>
      <c r="H226" s="1">
        <f ca="1">IFERROR(__xludf.DUMMYFUNCTION("""COMPUTED_VALUE"""),107.7)</f>
        <v>107.7</v>
      </c>
      <c r="I226" s="1">
        <f ca="1">IFERROR(__xludf.DUMMYFUNCTION("""COMPUTED_VALUE"""),241)</f>
        <v>241</v>
      </c>
      <c r="J226" s="1">
        <f ca="1">IFERROR(__xludf.DUMMYFUNCTION("""COMPUTED_VALUE"""),66.3)</f>
        <v>66.3</v>
      </c>
      <c r="K226" s="1">
        <f ca="1">IFERROR(__xludf.DUMMYFUNCTION("""COMPUTED_VALUE"""),241)</f>
        <v>241</v>
      </c>
      <c r="L226" s="1" t="str">
        <f ca="1">IFERROR(__xludf.DUMMYFUNCTION("""COMPUTED_VALUE"""),"+.012")</f>
        <v>+.012</v>
      </c>
      <c r="M226" s="1">
        <f ca="1">IFERROR(__xludf.DUMMYFUNCTION("""COMPUTED_VALUE"""),150)</f>
        <v>150</v>
      </c>
      <c r="N226" s="1">
        <f ca="1">IFERROR(__xludf.DUMMYFUNCTION("""COMPUTED_VALUE"""),-3.7)</f>
        <v>-3.7</v>
      </c>
      <c r="O226" s="1">
        <f ca="1">IFERROR(__xludf.DUMMYFUNCTION("""COMPUTED_VALUE"""),246)</f>
        <v>246</v>
      </c>
      <c r="P226" s="1">
        <f ca="1">IFERROR(__xludf.DUMMYFUNCTION("""COMPUTED_VALUE"""),102.9)</f>
        <v>102.9</v>
      </c>
      <c r="Q226" s="1">
        <f ca="1">IFERROR(__xludf.DUMMYFUNCTION("""COMPUTED_VALUE"""),231)</f>
        <v>231</v>
      </c>
      <c r="R226" s="1">
        <f ca="1">IFERROR(__xludf.DUMMYFUNCTION("""COMPUTED_VALUE"""),106.6)</f>
        <v>106.6</v>
      </c>
      <c r="S226" s="1">
        <f ca="1">IFERROR(__xludf.DUMMYFUNCTION("""COMPUTED_VALUE"""),237)</f>
        <v>237</v>
      </c>
      <c r="T226" s="1">
        <f ca="1">IFERROR(__xludf.DUMMYFUNCTION("""COMPUTED_VALUE"""),-8.18)</f>
        <v>-8.18</v>
      </c>
      <c r="U226" s="1">
        <f ca="1">IFERROR(__xludf.DUMMYFUNCTION("""COMPUTED_VALUE"""),341)</f>
        <v>341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IFERROR(__xludf.DUMMYFUNCTION("""COMPUTED_VALUE"""),"Columbia")</f>
        <v>Columbia</v>
      </c>
      <c r="C227" s="1" t="str">
        <f ca="1">IFERROR(__xludf.DUMMYFUNCTION("""COMPUTED_VALUE"""),"Ivy")</f>
        <v>Ivy</v>
      </c>
      <c r="D227" s="2">
        <f ca="1">IFERROR(__xludf.DUMMYFUNCTION("""COMPUTED_VALUE"""),44852)</f>
        <v>44852</v>
      </c>
      <c r="E227" s="1">
        <f ca="1">IFERROR(__xludf.DUMMYFUNCTION("""COMPUTED_VALUE"""),-4.55)</f>
        <v>-4.55</v>
      </c>
      <c r="F227" s="1">
        <f ca="1">IFERROR(__xludf.DUMMYFUNCTION("""COMPUTED_VALUE"""),101.9)</f>
        <v>101.9</v>
      </c>
      <c r="G227" s="1">
        <f ca="1">IFERROR(__xludf.DUMMYFUNCTION("""COMPUTED_VALUE"""),222)</f>
        <v>222</v>
      </c>
      <c r="H227" s="1">
        <f ca="1">IFERROR(__xludf.DUMMYFUNCTION("""COMPUTED_VALUE"""),106.5)</f>
        <v>106.5</v>
      </c>
      <c r="I227" s="1">
        <f ca="1">IFERROR(__xludf.DUMMYFUNCTION("""COMPUTED_VALUE"""),218)</f>
        <v>218</v>
      </c>
      <c r="J227" s="1">
        <f ca="1">IFERROR(__xludf.DUMMYFUNCTION("""COMPUTED_VALUE"""),67.6)</f>
        <v>67.599999999999994</v>
      </c>
      <c r="K227" s="1">
        <f ca="1">IFERROR(__xludf.DUMMYFUNCTION("""COMPUTED_VALUE"""),178)</f>
        <v>178</v>
      </c>
      <c r="L227" s="1">
        <f ca="1">IFERROR(__xludf.DUMMYFUNCTION("""COMPUTED_VALUE"""),-0.06)</f>
        <v>-0.06</v>
      </c>
      <c r="M227" s="1">
        <f ca="1">IFERROR(__xludf.DUMMYFUNCTION("""COMPUTED_VALUE"""),308)</f>
        <v>308</v>
      </c>
      <c r="N227" s="1">
        <f ca="1">IFERROR(__xludf.DUMMYFUNCTION("""COMPUTED_VALUE"""),-1.28)</f>
        <v>-1.28</v>
      </c>
      <c r="O227" s="1">
        <f ca="1">IFERROR(__xludf.DUMMYFUNCTION("""COMPUTED_VALUE"""),171)</f>
        <v>171</v>
      </c>
      <c r="P227" s="1">
        <f ca="1">IFERROR(__xludf.DUMMYFUNCTION("""COMPUTED_VALUE"""),103.2)</f>
        <v>103.2</v>
      </c>
      <c r="Q227" s="1">
        <f ca="1">IFERROR(__xludf.DUMMYFUNCTION("""COMPUTED_VALUE"""),214)</f>
        <v>214</v>
      </c>
      <c r="R227" s="1">
        <f ca="1">IFERROR(__xludf.DUMMYFUNCTION("""COMPUTED_VALUE"""),104.4)</f>
        <v>104.4</v>
      </c>
      <c r="S227" s="1">
        <f ca="1">IFERROR(__xludf.DUMMYFUNCTION("""COMPUTED_VALUE"""),156)</f>
        <v>156</v>
      </c>
      <c r="T227" s="1">
        <f ca="1">IFERROR(__xludf.DUMMYFUNCTION("""COMPUTED_VALUE"""),-3.74)</f>
        <v>-3.74</v>
      </c>
      <c r="U227" s="1">
        <f ca="1">IFERROR(__xludf.DUMMYFUNCTION("""COMPUTED_VALUE"""),265)</f>
        <v>265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IFERROR(__xludf.DUMMYFUNCTION("""COMPUTED_VALUE"""),"Pacific")</f>
        <v>Pacific</v>
      </c>
      <c r="C228" s="1" t="str">
        <f ca="1">IFERROR(__xludf.DUMMYFUNCTION("""COMPUTED_VALUE"""),"WCC")</f>
        <v>WCC</v>
      </c>
      <c r="D228" s="1" t="str">
        <f ca="1">IFERROR(__xludf.DUMMYFUNCTION("""COMPUTED_VALUE"""),"14-18")</f>
        <v>14-18</v>
      </c>
      <c r="E228" s="1">
        <f ca="1">IFERROR(__xludf.DUMMYFUNCTION("""COMPUTED_VALUE"""),-4.56)</f>
        <v>-4.5599999999999996</v>
      </c>
      <c r="F228" s="1">
        <f ca="1">IFERROR(__xludf.DUMMYFUNCTION("""COMPUTED_VALUE"""),100)</f>
        <v>100</v>
      </c>
      <c r="G228" s="1">
        <f ca="1">IFERROR(__xludf.DUMMYFUNCTION("""COMPUTED_VALUE"""),256)</f>
        <v>256</v>
      </c>
      <c r="H228" s="1">
        <f ca="1">IFERROR(__xludf.DUMMYFUNCTION("""COMPUTED_VALUE"""),104.6)</f>
        <v>104.6</v>
      </c>
      <c r="I228" s="1">
        <f ca="1">IFERROR(__xludf.DUMMYFUNCTION("""COMPUTED_VALUE"""),166)</f>
        <v>166</v>
      </c>
      <c r="J228" s="1">
        <f ca="1">IFERROR(__xludf.DUMMYFUNCTION("""COMPUTED_VALUE"""),65.1)</f>
        <v>65.099999999999994</v>
      </c>
      <c r="K228" s="1">
        <f ca="1">IFERROR(__xludf.DUMMYFUNCTION("""COMPUTED_VALUE"""),308)</f>
        <v>308</v>
      </c>
      <c r="L228" s="1" t="str">
        <f ca="1">IFERROR(__xludf.DUMMYFUNCTION("""COMPUTED_VALUE"""),"+.045")</f>
        <v>+.045</v>
      </c>
      <c r="M228" s="1">
        <f ca="1">IFERROR(__xludf.DUMMYFUNCTION("""COMPUTED_VALUE"""),71)</f>
        <v>71</v>
      </c>
      <c r="N228" s="1" t="str">
        <f ca="1">IFERROR(__xludf.DUMMYFUNCTION("""COMPUTED_VALUE"""),"+1.38")</f>
        <v>+1.38</v>
      </c>
      <c r="O228" s="1">
        <f ca="1">IFERROR(__xludf.DUMMYFUNCTION("""COMPUTED_VALUE"""),104)</f>
        <v>104</v>
      </c>
      <c r="P228" s="1">
        <f ca="1">IFERROR(__xludf.DUMMYFUNCTION("""COMPUTED_VALUE"""),105.9)</f>
        <v>105.9</v>
      </c>
      <c r="Q228" s="1">
        <f ca="1">IFERROR(__xludf.DUMMYFUNCTION("""COMPUTED_VALUE"""),88)</f>
        <v>88</v>
      </c>
      <c r="R228" s="1">
        <f ca="1">IFERROR(__xludf.DUMMYFUNCTION("""COMPUTED_VALUE"""),104.5)</f>
        <v>104.5</v>
      </c>
      <c r="S228" s="1">
        <f ca="1">IFERROR(__xludf.DUMMYFUNCTION("""COMPUTED_VALUE"""),161)</f>
        <v>161</v>
      </c>
      <c r="T228" s="1">
        <f ca="1">IFERROR(__xludf.DUMMYFUNCTION("""COMPUTED_VALUE"""),-3.81)</f>
        <v>-3.81</v>
      </c>
      <c r="U228" s="1">
        <f ca="1">IFERROR(__xludf.DUMMYFUNCTION("""COMPUTED_VALUE"""),269)</f>
        <v>269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IFERROR(__xludf.DUMMYFUNCTION("""COMPUTED_VALUE"""),"Lamar")</f>
        <v>Lamar</v>
      </c>
      <c r="C229" s="1" t="str">
        <f ca="1">IFERROR(__xludf.DUMMYFUNCTION("""COMPUTED_VALUE"""),"Slnd")</f>
        <v>Slnd</v>
      </c>
      <c r="D229" s="1" t="str">
        <f ca="1">IFERROR(__xludf.DUMMYFUNCTION("""COMPUTED_VALUE"""),"20-13")</f>
        <v>20-13</v>
      </c>
      <c r="E229" s="1">
        <f ca="1">IFERROR(__xludf.DUMMYFUNCTION("""COMPUTED_VALUE"""),-4.66)</f>
        <v>-4.66</v>
      </c>
      <c r="F229" s="1">
        <f ca="1">IFERROR(__xludf.DUMMYFUNCTION("""COMPUTED_VALUE"""),103.3)</f>
        <v>103.3</v>
      </c>
      <c r="G229" s="1">
        <f ca="1">IFERROR(__xludf.DUMMYFUNCTION("""COMPUTED_VALUE"""),197)</f>
        <v>197</v>
      </c>
      <c r="H229" s="1">
        <f ca="1">IFERROR(__xludf.DUMMYFUNCTION("""COMPUTED_VALUE"""),107.9)</f>
        <v>107.9</v>
      </c>
      <c r="I229" s="1">
        <f ca="1">IFERROR(__xludf.DUMMYFUNCTION("""COMPUTED_VALUE"""),247)</f>
        <v>247</v>
      </c>
      <c r="J229" s="1">
        <f ca="1">IFERROR(__xludf.DUMMYFUNCTION("""COMPUTED_VALUE"""),68.3)</f>
        <v>68.3</v>
      </c>
      <c r="K229" s="1">
        <f ca="1">IFERROR(__xludf.DUMMYFUNCTION("""COMPUTED_VALUE"""),141)</f>
        <v>141</v>
      </c>
      <c r="L229" s="1" t="str">
        <f ca="1">IFERROR(__xludf.DUMMYFUNCTION("""COMPUTED_VALUE"""),"+.009")</f>
        <v>+.009</v>
      </c>
      <c r="M229" s="1">
        <f ca="1">IFERROR(__xludf.DUMMYFUNCTION("""COMPUTED_VALUE"""),157)</f>
        <v>157</v>
      </c>
      <c r="N229" s="1">
        <f ca="1">IFERROR(__xludf.DUMMYFUNCTION("""COMPUTED_VALUE"""),-7.68)</f>
        <v>-7.68</v>
      </c>
      <c r="O229" s="1">
        <f ca="1">IFERROR(__xludf.DUMMYFUNCTION("""COMPUTED_VALUE"""),324)</f>
        <v>324</v>
      </c>
      <c r="P229" s="1">
        <f ca="1">IFERROR(__xludf.DUMMYFUNCTION("""COMPUTED_VALUE"""),100.6)</f>
        <v>100.6</v>
      </c>
      <c r="Q229" s="1">
        <f ca="1">IFERROR(__xludf.DUMMYFUNCTION("""COMPUTED_VALUE"""),313)</f>
        <v>313</v>
      </c>
      <c r="R229" s="1">
        <f ca="1">IFERROR(__xludf.DUMMYFUNCTION("""COMPUTED_VALUE"""),108.3)</f>
        <v>108.3</v>
      </c>
      <c r="S229" s="1">
        <f ca="1">IFERROR(__xludf.DUMMYFUNCTION("""COMPUTED_VALUE"""),322)</f>
        <v>322</v>
      </c>
      <c r="T229" s="1" t="str">
        <f ca="1">IFERROR(__xludf.DUMMYFUNCTION("""COMPUTED_VALUE"""),"+1.97")</f>
        <v>+1.97</v>
      </c>
      <c r="U229" s="1">
        <f ca="1">IFERROR(__xludf.DUMMYFUNCTION("""COMPUTED_VALUE"""),102)</f>
        <v>102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IFERROR(__xludf.DUMMYFUNCTION("""COMPUTED_VALUE"""),"Dartmouth")</f>
        <v>Dartmouth</v>
      </c>
      <c r="C230" s="1" t="str">
        <f ca="1">IFERROR(__xludf.DUMMYFUNCTION("""COMPUTED_VALUE"""),"Ivy")</f>
        <v>Ivy</v>
      </c>
      <c r="D230" s="2">
        <f ca="1">IFERROR(__xludf.DUMMYFUNCTION("""COMPUTED_VALUE"""),44884)</f>
        <v>44884</v>
      </c>
      <c r="E230" s="1">
        <f ca="1">IFERROR(__xludf.DUMMYFUNCTION("""COMPUTED_VALUE"""),-4.7)</f>
        <v>-4.7</v>
      </c>
      <c r="F230" s="1">
        <f ca="1">IFERROR(__xludf.DUMMYFUNCTION("""COMPUTED_VALUE"""),103.4)</f>
        <v>103.4</v>
      </c>
      <c r="G230" s="1">
        <f ca="1">IFERROR(__xludf.DUMMYFUNCTION("""COMPUTED_VALUE"""),194)</f>
        <v>194</v>
      </c>
      <c r="H230" s="1">
        <f ca="1">IFERROR(__xludf.DUMMYFUNCTION("""COMPUTED_VALUE"""),108.1)</f>
        <v>108.1</v>
      </c>
      <c r="I230" s="1">
        <f ca="1">IFERROR(__xludf.DUMMYFUNCTION("""COMPUTED_VALUE"""),250)</f>
        <v>250</v>
      </c>
      <c r="J230" s="1">
        <f ca="1">IFERROR(__xludf.DUMMYFUNCTION("""COMPUTED_VALUE"""),65.9)</f>
        <v>65.900000000000006</v>
      </c>
      <c r="K230" s="1">
        <f ca="1">IFERROR(__xludf.DUMMYFUNCTION("""COMPUTED_VALUE"""),271)</f>
        <v>271</v>
      </c>
      <c r="L230" s="1">
        <f ca="1">IFERROR(__xludf.DUMMYFUNCTION("""COMPUTED_VALUE"""),-0.109)</f>
        <v>-0.109</v>
      </c>
      <c r="M230" s="1">
        <f ca="1">IFERROR(__xludf.DUMMYFUNCTION("""COMPUTED_VALUE"""),347)</f>
        <v>347</v>
      </c>
      <c r="N230" s="1">
        <f ca="1">IFERROR(__xludf.DUMMYFUNCTION("""COMPUTED_VALUE"""),-2.04)</f>
        <v>-2.04</v>
      </c>
      <c r="O230" s="1">
        <f ca="1">IFERROR(__xludf.DUMMYFUNCTION("""COMPUTED_VALUE"""),200)</f>
        <v>200</v>
      </c>
      <c r="P230" s="1">
        <f ca="1">IFERROR(__xludf.DUMMYFUNCTION("""COMPUTED_VALUE"""),102.7)</f>
        <v>102.7</v>
      </c>
      <c r="Q230" s="1">
        <f ca="1">IFERROR(__xludf.DUMMYFUNCTION("""COMPUTED_VALUE"""),239)</f>
        <v>239</v>
      </c>
      <c r="R230" s="1">
        <f ca="1">IFERROR(__xludf.DUMMYFUNCTION("""COMPUTED_VALUE"""),104.7)</f>
        <v>104.7</v>
      </c>
      <c r="S230" s="1">
        <f ca="1">IFERROR(__xludf.DUMMYFUNCTION("""COMPUTED_VALUE"""),171)</f>
        <v>171</v>
      </c>
      <c r="T230" s="1">
        <f ca="1">IFERROR(__xludf.DUMMYFUNCTION("""COMPUTED_VALUE"""),-5.46)</f>
        <v>-5.46</v>
      </c>
      <c r="U230" s="1">
        <f ca="1">IFERROR(__xludf.DUMMYFUNCTION("""COMPUTED_VALUE"""),312)</f>
        <v>312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IFERROR(__xludf.DUMMYFUNCTION("""COMPUTED_VALUE"""),"William &amp; Mary")</f>
        <v>William &amp; Mary</v>
      </c>
      <c r="C231" s="1" t="str">
        <f ca="1">IFERROR(__xludf.DUMMYFUNCTION("""COMPUTED_VALUE"""),"CAA")</f>
        <v>CAA</v>
      </c>
      <c r="D231" s="1" t="str">
        <f ca="1">IFERROR(__xludf.DUMMYFUNCTION("""COMPUTED_VALUE"""),"14-17")</f>
        <v>14-17</v>
      </c>
      <c r="E231" s="1">
        <f ca="1">IFERROR(__xludf.DUMMYFUNCTION("""COMPUTED_VALUE"""),-4.79)</f>
        <v>-4.79</v>
      </c>
      <c r="F231" s="1">
        <f ca="1">IFERROR(__xludf.DUMMYFUNCTION("""COMPUTED_VALUE"""),103.6)</f>
        <v>103.6</v>
      </c>
      <c r="G231" s="1">
        <f ca="1">IFERROR(__xludf.DUMMYFUNCTION("""COMPUTED_VALUE"""),190)</f>
        <v>190</v>
      </c>
      <c r="H231" s="1">
        <f ca="1">IFERROR(__xludf.DUMMYFUNCTION("""COMPUTED_VALUE"""),108.4)</f>
        <v>108.4</v>
      </c>
      <c r="I231" s="1">
        <f ca="1">IFERROR(__xludf.DUMMYFUNCTION("""COMPUTED_VALUE"""),255)</f>
        <v>255</v>
      </c>
      <c r="J231" s="1">
        <f ca="1">IFERROR(__xludf.DUMMYFUNCTION("""COMPUTED_VALUE"""),68.6)</f>
        <v>68.599999999999994</v>
      </c>
      <c r="K231" s="1">
        <f ca="1">IFERROR(__xludf.DUMMYFUNCTION("""COMPUTED_VALUE"""),120)</f>
        <v>120</v>
      </c>
      <c r="L231" s="1" t="str">
        <f ca="1">IFERROR(__xludf.DUMMYFUNCTION("""COMPUTED_VALUE"""),"+.029")</f>
        <v>+.029</v>
      </c>
      <c r="M231" s="1">
        <f ca="1">IFERROR(__xludf.DUMMYFUNCTION("""COMPUTED_VALUE"""),104)</f>
        <v>104</v>
      </c>
      <c r="N231" s="1">
        <f ca="1">IFERROR(__xludf.DUMMYFUNCTION("""COMPUTED_VALUE"""),-2.25)</f>
        <v>-2.25</v>
      </c>
      <c r="O231" s="1">
        <f ca="1">IFERROR(__xludf.DUMMYFUNCTION("""COMPUTED_VALUE"""),209)</f>
        <v>209</v>
      </c>
      <c r="P231" s="1">
        <f ca="1">IFERROR(__xludf.DUMMYFUNCTION("""COMPUTED_VALUE"""),105.7)</f>
        <v>105.7</v>
      </c>
      <c r="Q231" s="1">
        <f ca="1">IFERROR(__xludf.DUMMYFUNCTION("""COMPUTED_VALUE"""),93)</f>
        <v>93</v>
      </c>
      <c r="R231" s="1">
        <f ca="1">IFERROR(__xludf.DUMMYFUNCTION("""COMPUTED_VALUE"""),107.9)</f>
        <v>107.9</v>
      </c>
      <c r="S231" s="1">
        <f ca="1">IFERROR(__xludf.DUMMYFUNCTION("""COMPUTED_VALUE"""),311)</f>
        <v>311</v>
      </c>
      <c r="T231" s="1" t="str">
        <f ca="1">IFERROR(__xludf.DUMMYFUNCTION("""COMPUTED_VALUE"""),"+3.09")</f>
        <v>+3.09</v>
      </c>
      <c r="U231" s="1">
        <f ca="1">IFERROR(__xludf.DUMMYFUNCTION("""COMPUTED_VALUE"""),89)</f>
        <v>89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IFERROR(__xludf.DUMMYFUNCTION("""COMPUTED_VALUE"""),"Valparaiso")</f>
        <v>Valparaiso</v>
      </c>
      <c r="C232" s="1" t="str">
        <f ca="1">IFERROR(__xludf.DUMMYFUNCTION("""COMPUTED_VALUE"""),"MVC")</f>
        <v>MVC</v>
      </c>
      <c r="D232" s="1" t="str">
        <f ca="1">IFERROR(__xludf.DUMMYFUNCTION("""COMPUTED_VALUE"""),"15-18")</f>
        <v>15-18</v>
      </c>
      <c r="E232" s="1">
        <f ca="1">IFERROR(__xludf.DUMMYFUNCTION("""COMPUTED_VALUE"""),-4.89)</f>
        <v>-4.8899999999999997</v>
      </c>
      <c r="F232" s="1">
        <f ca="1">IFERROR(__xludf.DUMMYFUNCTION("""COMPUTED_VALUE"""),98.2)</f>
        <v>98.2</v>
      </c>
      <c r="G232" s="1">
        <f ca="1">IFERROR(__xludf.DUMMYFUNCTION("""COMPUTED_VALUE"""),291)</f>
        <v>291</v>
      </c>
      <c r="H232" s="1">
        <f ca="1">IFERROR(__xludf.DUMMYFUNCTION("""COMPUTED_VALUE"""),103.1)</f>
        <v>103.1</v>
      </c>
      <c r="I232" s="1">
        <f ca="1">IFERROR(__xludf.DUMMYFUNCTION("""COMPUTED_VALUE"""),145)</f>
        <v>145</v>
      </c>
      <c r="J232" s="1">
        <f ca="1">IFERROR(__xludf.DUMMYFUNCTION("""COMPUTED_VALUE"""),65.2)</f>
        <v>65.2</v>
      </c>
      <c r="K232" s="1">
        <f ca="1">IFERROR(__xludf.DUMMYFUNCTION("""COMPUTED_VALUE"""),300)</f>
        <v>300</v>
      </c>
      <c r="L232" s="1" t="str">
        <f ca="1">IFERROR(__xludf.DUMMYFUNCTION("""COMPUTED_VALUE"""),"+.003")</f>
        <v>+.003</v>
      </c>
      <c r="M232" s="1">
        <f ca="1">IFERROR(__xludf.DUMMYFUNCTION("""COMPUTED_VALUE"""),172)</f>
        <v>172</v>
      </c>
      <c r="N232" s="1">
        <f ca="1">IFERROR(__xludf.DUMMYFUNCTION("""COMPUTED_VALUE"""),-2.02)</f>
        <v>-2.02</v>
      </c>
      <c r="O232" s="1">
        <f ca="1">IFERROR(__xludf.DUMMYFUNCTION("""COMPUTED_VALUE"""),196)</f>
        <v>196</v>
      </c>
      <c r="P232" s="1">
        <f ca="1">IFERROR(__xludf.DUMMYFUNCTION("""COMPUTED_VALUE"""),102.1)</f>
        <v>102.1</v>
      </c>
      <c r="Q232" s="1">
        <f ca="1">IFERROR(__xludf.DUMMYFUNCTION("""COMPUTED_VALUE"""),271)</f>
        <v>271</v>
      </c>
      <c r="R232" s="1">
        <f ca="1">IFERROR(__xludf.DUMMYFUNCTION("""COMPUTED_VALUE"""),104.1)</f>
        <v>104.1</v>
      </c>
      <c r="S232" s="1">
        <f ca="1">IFERROR(__xludf.DUMMYFUNCTION("""COMPUTED_VALUE"""),136)</f>
        <v>136</v>
      </c>
      <c r="T232" s="1">
        <f ca="1">IFERROR(__xludf.DUMMYFUNCTION("""COMPUTED_VALUE"""),-3.65)</f>
        <v>-3.65</v>
      </c>
      <c r="U232" s="1">
        <f ca="1">IFERROR(__xludf.DUMMYFUNCTION("""COMPUTED_VALUE"""),263)</f>
        <v>263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IFERROR(__xludf.DUMMYFUNCTION("""COMPUTED_VALUE"""),"Cornell")</f>
        <v>Cornell</v>
      </c>
      <c r="C233" s="1" t="str">
        <f ca="1">IFERROR(__xludf.DUMMYFUNCTION("""COMPUTED_VALUE"""),"Ivy")</f>
        <v>Ivy</v>
      </c>
      <c r="D233" s="1" t="str">
        <f ca="1">IFERROR(__xludf.DUMMYFUNCTION("""COMPUTED_VALUE"""),"15-16")</f>
        <v>15-16</v>
      </c>
      <c r="E233" s="1">
        <f ca="1">IFERROR(__xludf.DUMMYFUNCTION("""COMPUTED_VALUE"""),-4.99)</f>
        <v>-4.99</v>
      </c>
      <c r="F233" s="1">
        <f ca="1">IFERROR(__xludf.DUMMYFUNCTION("""COMPUTED_VALUE"""),99.9)</f>
        <v>99.9</v>
      </c>
      <c r="G233" s="1">
        <f ca="1">IFERROR(__xludf.DUMMYFUNCTION("""COMPUTED_VALUE"""),264)</f>
        <v>264</v>
      </c>
      <c r="H233" s="1">
        <f ca="1">IFERROR(__xludf.DUMMYFUNCTION("""COMPUTED_VALUE"""),104.9)</f>
        <v>104.9</v>
      </c>
      <c r="I233" s="1">
        <f ca="1">IFERROR(__xludf.DUMMYFUNCTION("""COMPUTED_VALUE"""),179)</f>
        <v>179</v>
      </c>
      <c r="J233" s="1">
        <f ca="1">IFERROR(__xludf.DUMMYFUNCTION("""COMPUTED_VALUE"""),67.9)</f>
        <v>67.900000000000006</v>
      </c>
      <c r="K233" s="1">
        <f ca="1">IFERROR(__xludf.DUMMYFUNCTION("""COMPUTED_VALUE"""),154)</f>
        <v>154</v>
      </c>
      <c r="L233" s="1" t="str">
        <f ca="1">IFERROR(__xludf.DUMMYFUNCTION("""COMPUTED_VALUE"""),"+.074")</f>
        <v>+.074</v>
      </c>
      <c r="M233" s="1">
        <f ca="1">IFERROR(__xludf.DUMMYFUNCTION("""COMPUTED_VALUE"""),27)</f>
        <v>27</v>
      </c>
      <c r="N233" s="1">
        <f ca="1">IFERROR(__xludf.DUMMYFUNCTION("""COMPUTED_VALUE"""),-0.41)</f>
        <v>-0.41</v>
      </c>
      <c r="O233" s="1">
        <f ca="1">IFERROR(__xludf.DUMMYFUNCTION("""COMPUTED_VALUE"""),151)</f>
        <v>151</v>
      </c>
      <c r="P233" s="1">
        <f ca="1">IFERROR(__xludf.DUMMYFUNCTION("""COMPUTED_VALUE"""),104)</f>
        <v>104</v>
      </c>
      <c r="Q233" s="1">
        <f ca="1">IFERROR(__xludf.DUMMYFUNCTION("""COMPUTED_VALUE"""),169)</f>
        <v>169</v>
      </c>
      <c r="R233" s="1">
        <f ca="1">IFERROR(__xludf.DUMMYFUNCTION("""COMPUTED_VALUE"""),104.4)</f>
        <v>104.4</v>
      </c>
      <c r="S233" s="1">
        <f ca="1">IFERROR(__xludf.DUMMYFUNCTION("""COMPUTED_VALUE"""),154)</f>
        <v>154</v>
      </c>
      <c r="T233" s="1">
        <f ca="1">IFERROR(__xludf.DUMMYFUNCTION("""COMPUTED_VALUE"""),-1.38)</f>
        <v>-1.38</v>
      </c>
      <c r="U233" s="1">
        <f ca="1">IFERROR(__xludf.DUMMYFUNCTION("""COMPUTED_VALUE"""),198)</f>
        <v>198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IFERROR(__xludf.DUMMYFUNCTION("""COMPUTED_VALUE"""),"Little Rock")</f>
        <v>Little Rock</v>
      </c>
      <c r="C234" s="1" t="str">
        <f ca="1">IFERROR(__xludf.DUMMYFUNCTION("""COMPUTED_VALUE"""),"SB")</f>
        <v>SB</v>
      </c>
      <c r="D234" s="2">
        <f ca="1">IFERROR(__xludf.DUMMYFUNCTION("""COMPUTED_VALUE"""),44855)</f>
        <v>44855</v>
      </c>
      <c r="E234" s="1">
        <f ca="1">IFERROR(__xludf.DUMMYFUNCTION("""COMPUTED_VALUE"""),-4.99)</f>
        <v>-4.99</v>
      </c>
      <c r="F234" s="1">
        <f ca="1">IFERROR(__xludf.DUMMYFUNCTION("""COMPUTED_VALUE"""),100)</f>
        <v>100</v>
      </c>
      <c r="G234" s="1">
        <f ca="1">IFERROR(__xludf.DUMMYFUNCTION("""COMPUTED_VALUE"""),260)</f>
        <v>260</v>
      </c>
      <c r="H234" s="1">
        <f ca="1">IFERROR(__xludf.DUMMYFUNCTION("""COMPUTED_VALUE"""),105)</f>
        <v>105</v>
      </c>
      <c r="I234" s="1">
        <f ca="1">IFERROR(__xludf.DUMMYFUNCTION("""COMPUTED_VALUE"""),180)</f>
        <v>180</v>
      </c>
      <c r="J234" s="1">
        <f ca="1">IFERROR(__xludf.DUMMYFUNCTION("""COMPUTED_VALUE"""),70.4)</f>
        <v>70.400000000000006</v>
      </c>
      <c r="K234" s="1">
        <f ca="1">IFERROR(__xludf.DUMMYFUNCTION("""COMPUTED_VALUE"""),55)</f>
        <v>55</v>
      </c>
      <c r="L234" s="1">
        <f ca="1">IFERROR(__xludf.DUMMYFUNCTION("""COMPUTED_VALUE"""),-0.149)</f>
        <v>-0.14899999999999999</v>
      </c>
      <c r="M234" s="1">
        <f ca="1">IFERROR(__xludf.DUMMYFUNCTION("""COMPUTED_VALUE"""),352)</f>
        <v>352</v>
      </c>
      <c r="N234" s="1">
        <f ca="1">IFERROR(__xludf.DUMMYFUNCTION("""COMPUTED_VALUE"""),-1.96)</f>
        <v>-1.96</v>
      </c>
      <c r="O234" s="1">
        <f ca="1">IFERROR(__xludf.DUMMYFUNCTION("""COMPUTED_VALUE"""),193)</f>
        <v>193</v>
      </c>
      <c r="P234" s="1">
        <f ca="1">IFERROR(__xludf.DUMMYFUNCTION("""COMPUTED_VALUE"""),104.3)</f>
        <v>104.3</v>
      </c>
      <c r="Q234" s="1">
        <f ca="1">IFERROR(__xludf.DUMMYFUNCTION("""COMPUTED_VALUE"""),157)</f>
        <v>157</v>
      </c>
      <c r="R234" s="1">
        <f ca="1">IFERROR(__xludf.DUMMYFUNCTION("""COMPUTED_VALUE"""),106.3)</f>
        <v>106.3</v>
      </c>
      <c r="S234" s="1">
        <f ca="1">IFERROR(__xludf.DUMMYFUNCTION("""COMPUTED_VALUE"""),224)</f>
        <v>224</v>
      </c>
      <c r="T234" s="1">
        <f ca="1">IFERROR(__xludf.DUMMYFUNCTION("""COMPUTED_VALUE"""),-2.51)</f>
        <v>-2.5099999999999998</v>
      </c>
      <c r="U234" s="1">
        <f ca="1">IFERROR(__xludf.DUMMYFUNCTION("""COMPUTED_VALUE"""),233)</f>
        <v>233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IFERROR(__xludf.DUMMYFUNCTION("""COMPUTED_VALUE"""),"High Point")</f>
        <v>High Point</v>
      </c>
      <c r="C235" s="1" t="str">
        <f ca="1">IFERROR(__xludf.DUMMYFUNCTION("""COMPUTED_VALUE"""),"BSth")</f>
        <v>BSth</v>
      </c>
      <c r="D235" s="1" t="str">
        <f ca="1">IFERROR(__xludf.DUMMYFUNCTION("""COMPUTED_VALUE"""),"16-15")</f>
        <v>16-15</v>
      </c>
      <c r="E235" s="1">
        <f ca="1">IFERROR(__xludf.DUMMYFUNCTION("""COMPUTED_VALUE"""),-5)</f>
        <v>-5</v>
      </c>
      <c r="F235" s="1">
        <f ca="1">IFERROR(__xludf.DUMMYFUNCTION("""COMPUTED_VALUE"""),99.7)</f>
        <v>99.7</v>
      </c>
      <c r="G235" s="1">
        <f ca="1">IFERROR(__xludf.DUMMYFUNCTION("""COMPUTED_VALUE"""),267)</f>
        <v>267</v>
      </c>
      <c r="H235" s="1">
        <f ca="1">IFERROR(__xludf.DUMMYFUNCTION("""COMPUTED_VALUE"""),104.7)</f>
        <v>104.7</v>
      </c>
      <c r="I235" s="1">
        <f ca="1">IFERROR(__xludf.DUMMYFUNCTION("""COMPUTED_VALUE"""),169)</f>
        <v>169</v>
      </c>
      <c r="J235" s="1">
        <f ca="1">IFERROR(__xludf.DUMMYFUNCTION("""COMPUTED_VALUE"""),63.7)</f>
        <v>63.7</v>
      </c>
      <c r="K235" s="1">
        <f ca="1">IFERROR(__xludf.DUMMYFUNCTION("""COMPUTED_VALUE"""),333)</f>
        <v>333</v>
      </c>
      <c r="L235" s="1" t="str">
        <f ca="1">IFERROR(__xludf.DUMMYFUNCTION("""COMPUTED_VALUE"""),"+.019")</f>
        <v>+.019</v>
      </c>
      <c r="M235" s="1">
        <f ca="1">IFERROR(__xludf.DUMMYFUNCTION("""COMPUTED_VALUE"""),131)</f>
        <v>131</v>
      </c>
      <c r="N235" s="1">
        <f ca="1">IFERROR(__xludf.DUMMYFUNCTION("""COMPUTED_VALUE"""),-3.82)</f>
        <v>-3.82</v>
      </c>
      <c r="O235" s="1">
        <f ca="1">IFERROR(__xludf.DUMMYFUNCTION("""COMPUTED_VALUE"""),249)</f>
        <v>249</v>
      </c>
      <c r="P235" s="1">
        <f ca="1">IFERROR(__xludf.DUMMYFUNCTION("""COMPUTED_VALUE"""),103.7)</f>
        <v>103.7</v>
      </c>
      <c r="Q235" s="1">
        <f ca="1">IFERROR(__xludf.DUMMYFUNCTION("""COMPUTED_VALUE"""),180)</f>
        <v>180</v>
      </c>
      <c r="R235" s="1">
        <f ca="1">IFERROR(__xludf.DUMMYFUNCTION("""COMPUTED_VALUE"""),107.6)</f>
        <v>107.6</v>
      </c>
      <c r="S235" s="1">
        <f ca="1">IFERROR(__xludf.DUMMYFUNCTION("""COMPUTED_VALUE"""),288)</f>
        <v>288</v>
      </c>
      <c r="T235" s="1">
        <f ca="1">IFERROR(__xludf.DUMMYFUNCTION("""COMPUTED_VALUE"""),-2.67)</f>
        <v>-2.67</v>
      </c>
      <c r="U235" s="1">
        <f ca="1">IFERROR(__xludf.DUMMYFUNCTION("""COMPUTED_VALUE"""),239)</f>
        <v>239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IFERROR(__xludf.DUMMYFUNCTION("""COMPUTED_VALUE"""),"Weber St.")</f>
        <v>Weber St.</v>
      </c>
      <c r="C236" s="1" t="str">
        <f ca="1">IFERROR(__xludf.DUMMYFUNCTION("""COMPUTED_VALUE"""),"BSky")</f>
        <v>BSky</v>
      </c>
      <c r="D236" s="1" t="str">
        <f ca="1">IFERROR(__xludf.DUMMYFUNCTION("""COMPUTED_VALUE"""),"18-15")</f>
        <v>18-15</v>
      </c>
      <c r="E236" s="1">
        <f ca="1">IFERROR(__xludf.DUMMYFUNCTION("""COMPUTED_VALUE"""),-5.03)</f>
        <v>-5.03</v>
      </c>
      <c r="F236" s="1">
        <f ca="1">IFERROR(__xludf.DUMMYFUNCTION("""COMPUTED_VALUE"""),101.7)</f>
        <v>101.7</v>
      </c>
      <c r="G236" s="1">
        <f ca="1">IFERROR(__xludf.DUMMYFUNCTION("""COMPUTED_VALUE"""),229)</f>
        <v>229</v>
      </c>
      <c r="H236" s="1">
        <f ca="1">IFERROR(__xludf.DUMMYFUNCTION("""COMPUTED_VALUE"""),106.7)</f>
        <v>106.7</v>
      </c>
      <c r="I236" s="1">
        <f ca="1">IFERROR(__xludf.DUMMYFUNCTION("""COMPUTED_VALUE"""),222)</f>
        <v>222</v>
      </c>
      <c r="J236" s="1">
        <f ca="1">IFERROR(__xludf.DUMMYFUNCTION("""COMPUTED_VALUE"""),71.1)</f>
        <v>71.099999999999994</v>
      </c>
      <c r="K236" s="1">
        <f ca="1">IFERROR(__xludf.DUMMYFUNCTION("""COMPUTED_VALUE"""),37)</f>
        <v>37</v>
      </c>
      <c r="L236" s="1">
        <f ca="1">IFERROR(__xludf.DUMMYFUNCTION("""COMPUTED_VALUE"""),-0.022)</f>
        <v>-2.1999999999999999E-2</v>
      </c>
      <c r="M236" s="1">
        <f ca="1">IFERROR(__xludf.DUMMYFUNCTION("""COMPUTED_VALUE"""),239)</f>
        <v>239</v>
      </c>
      <c r="N236" s="1">
        <f ca="1">IFERROR(__xludf.DUMMYFUNCTION("""COMPUTED_VALUE"""),-7.14)</f>
        <v>-7.14</v>
      </c>
      <c r="O236" s="1">
        <f ca="1">IFERROR(__xludf.DUMMYFUNCTION("""COMPUTED_VALUE"""),311)</f>
        <v>311</v>
      </c>
      <c r="P236" s="1">
        <f ca="1">IFERROR(__xludf.DUMMYFUNCTION("""COMPUTED_VALUE"""),102)</f>
        <v>102</v>
      </c>
      <c r="Q236" s="1">
        <f ca="1">IFERROR(__xludf.DUMMYFUNCTION("""COMPUTED_VALUE"""),276)</f>
        <v>276</v>
      </c>
      <c r="R236" s="1">
        <f ca="1">IFERROR(__xludf.DUMMYFUNCTION("""COMPUTED_VALUE"""),109.1)</f>
        <v>109.1</v>
      </c>
      <c r="S236" s="1">
        <f ca="1">IFERROR(__xludf.DUMMYFUNCTION("""COMPUTED_VALUE"""),345)</f>
        <v>345</v>
      </c>
      <c r="T236" s="1" t="str">
        <f ca="1">IFERROR(__xludf.DUMMYFUNCTION("""COMPUTED_VALUE"""),"+0.17")</f>
        <v>+0.17</v>
      </c>
      <c r="U236" s="1">
        <f ca="1">IFERROR(__xludf.DUMMYFUNCTION("""COMPUTED_VALUE"""),157)</f>
        <v>157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IFERROR(__xludf.DUMMYFUNCTION("""COMPUTED_VALUE"""),"Long Beach St.")</f>
        <v>Long Beach St.</v>
      </c>
      <c r="C237" s="1" t="str">
        <f ca="1">IFERROR(__xludf.DUMMYFUNCTION("""COMPUTED_VALUE"""),"BW")</f>
        <v>BW</v>
      </c>
      <c r="D237" s="1" t="str">
        <f ca="1">IFERROR(__xludf.DUMMYFUNCTION("""COMPUTED_VALUE"""),"15-19")</f>
        <v>15-19</v>
      </c>
      <c r="E237" s="1">
        <f ca="1">IFERROR(__xludf.DUMMYFUNCTION("""COMPUTED_VALUE"""),-5.08)</f>
        <v>-5.08</v>
      </c>
      <c r="F237" s="1">
        <f ca="1">IFERROR(__xludf.DUMMYFUNCTION("""COMPUTED_VALUE"""),101.3)</f>
        <v>101.3</v>
      </c>
      <c r="G237" s="1">
        <f ca="1">IFERROR(__xludf.DUMMYFUNCTION("""COMPUTED_VALUE"""),243)</f>
        <v>243</v>
      </c>
      <c r="H237" s="1">
        <f ca="1">IFERROR(__xludf.DUMMYFUNCTION("""COMPUTED_VALUE"""),106.3)</f>
        <v>106.3</v>
      </c>
      <c r="I237" s="1">
        <f ca="1">IFERROR(__xludf.DUMMYFUNCTION("""COMPUTED_VALUE"""),214)</f>
        <v>214</v>
      </c>
      <c r="J237" s="1">
        <f ca="1">IFERROR(__xludf.DUMMYFUNCTION("""COMPUTED_VALUE"""),71.5)</f>
        <v>71.5</v>
      </c>
      <c r="K237" s="1">
        <f ca="1">IFERROR(__xludf.DUMMYFUNCTION("""COMPUTED_VALUE"""),30)</f>
        <v>30</v>
      </c>
      <c r="L237" s="1" t="str">
        <f ca="1">IFERROR(__xludf.DUMMYFUNCTION("""COMPUTED_VALUE"""),"+.051")</f>
        <v>+.051</v>
      </c>
      <c r="M237" s="1">
        <f ca="1">IFERROR(__xludf.DUMMYFUNCTION("""COMPUTED_VALUE"""),58)</f>
        <v>58</v>
      </c>
      <c r="N237" s="1">
        <f ca="1">IFERROR(__xludf.DUMMYFUNCTION("""COMPUTED_VALUE"""),-0.77)</f>
        <v>-0.77</v>
      </c>
      <c r="O237" s="1">
        <f ca="1">IFERROR(__xludf.DUMMYFUNCTION("""COMPUTED_VALUE"""),160)</f>
        <v>160</v>
      </c>
      <c r="P237" s="1">
        <f ca="1">IFERROR(__xludf.DUMMYFUNCTION("""COMPUTED_VALUE"""),104.3)</f>
        <v>104.3</v>
      </c>
      <c r="Q237" s="1">
        <f ca="1">IFERROR(__xludf.DUMMYFUNCTION("""COMPUTED_VALUE"""),160)</f>
        <v>160</v>
      </c>
      <c r="R237" s="1">
        <f ca="1">IFERROR(__xludf.DUMMYFUNCTION("""COMPUTED_VALUE"""),105)</f>
        <v>105</v>
      </c>
      <c r="S237" s="1">
        <f ca="1">IFERROR(__xludf.DUMMYFUNCTION("""COMPUTED_VALUE"""),181)</f>
        <v>181</v>
      </c>
      <c r="T237" s="1" t="str">
        <f ca="1">IFERROR(__xludf.DUMMYFUNCTION("""COMPUTED_VALUE"""),"+5.59")</f>
        <v>+5.59</v>
      </c>
      <c r="U237" s="1">
        <f ca="1">IFERROR(__xludf.DUMMYFUNCTION("""COMPUTED_VALUE"""),29)</f>
        <v>29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IFERROR(__xludf.DUMMYFUNCTION("""COMPUTED_VALUE"""),"Cal St. Bakersfield")</f>
        <v>Cal St. Bakersfield</v>
      </c>
      <c r="C238" s="1" t="str">
        <f ca="1">IFERROR(__xludf.DUMMYFUNCTION("""COMPUTED_VALUE"""),"WAC")</f>
        <v>WAC</v>
      </c>
      <c r="D238" s="1" t="str">
        <f ca="1">IFERROR(__xludf.DUMMYFUNCTION("""COMPUTED_VALUE"""),"18-16")</f>
        <v>18-16</v>
      </c>
      <c r="E238" s="1">
        <f ca="1">IFERROR(__xludf.DUMMYFUNCTION("""COMPUTED_VALUE"""),-5.13)</f>
        <v>-5.13</v>
      </c>
      <c r="F238" s="1">
        <f ca="1">IFERROR(__xludf.DUMMYFUNCTION("""COMPUTED_VALUE"""),102.6)</f>
        <v>102.6</v>
      </c>
      <c r="G238" s="1">
        <f ca="1">IFERROR(__xludf.DUMMYFUNCTION("""COMPUTED_VALUE"""),207)</f>
        <v>207</v>
      </c>
      <c r="H238" s="1">
        <f ca="1">IFERROR(__xludf.DUMMYFUNCTION("""COMPUTED_VALUE"""),107.7)</f>
        <v>107.7</v>
      </c>
      <c r="I238" s="1">
        <f ca="1">IFERROR(__xludf.DUMMYFUNCTION("""COMPUTED_VALUE"""),243)</f>
        <v>243</v>
      </c>
      <c r="J238" s="1">
        <f ca="1">IFERROR(__xludf.DUMMYFUNCTION("""COMPUTED_VALUE"""),65.2)</f>
        <v>65.2</v>
      </c>
      <c r="K238" s="1">
        <f ca="1">IFERROR(__xludf.DUMMYFUNCTION("""COMPUTED_VALUE"""),303)</f>
        <v>303</v>
      </c>
      <c r="L238" s="1" t="str">
        <f ca="1">IFERROR(__xludf.DUMMYFUNCTION("""COMPUTED_VALUE"""),"+.072")</f>
        <v>+.072</v>
      </c>
      <c r="M238" s="1">
        <f ca="1">IFERROR(__xludf.DUMMYFUNCTION("""COMPUTED_VALUE"""),28)</f>
        <v>28</v>
      </c>
      <c r="N238" s="1">
        <f ca="1">IFERROR(__xludf.DUMMYFUNCTION("""COMPUTED_VALUE"""),-2.04)</f>
        <v>-2.04</v>
      </c>
      <c r="O238" s="1">
        <f ca="1">IFERROR(__xludf.DUMMYFUNCTION("""COMPUTED_VALUE"""),199)</f>
        <v>199</v>
      </c>
      <c r="P238" s="1">
        <f ca="1">IFERROR(__xludf.DUMMYFUNCTION("""COMPUTED_VALUE"""),103.5)</f>
        <v>103.5</v>
      </c>
      <c r="Q238" s="1">
        <f ca="1">IFERROR(__xludf.DUMMYFUNCTION("""COMPUTED_VALUE"""),198)</f>
        <v>198</v>
      </c>
      <c r="R238" s="1">
        <f ca="1">IFERROR(__xludf.DUMMYFUNCTION("""COMPUTED_VALUE"""),105.5)</f>
        <v>105.5</v>
      </c>
      <c r="S238" s="1">
        <f ca="1">IFERROR(__xludf.DUMMYFUNCTION("""COMPUTED_VALUE"""),195)</f>
        <v>195</v>
      </c>
      <c r="T238" s="1">
        <f ca="1">IFERROR(__xludf.DUMMYFUNCTION("""COMPUTED_VALUE"""),-2.69)</f>
        <v>-2.69</v>
      </c>
      <c r="U238" s="1">
        <f ca="1">IFERROR(__xludf.DUMMYFUNCTION("""COMPUTED_VALUE"""),240)</f>
        <v>240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IFERROR(__xludf.DUMMYFUNCTION("""COMPUTED_VALUE"""),"Evansville")</f>
        <v>Evansville</v>
      </c>
      <c r="C239" s="1" t="str">
        <f ca="1">IFERROR(__xludf.DUMMYFUNCTION("""COMPUTED_VALUE"""),"MVC")</f>
        <v>MVC</v>
      </c>
      <c r="D239" s="2">
        <f ca="1">IFERROR(__xludf.DUMMYFUNCTION("""COMPUTED_VALUE"""),44886)</f>
        <v>44886</v>
      </c>
      <c r="E239" s="1">
        <f ca="1">IFERROR(__xludf.DUMMYFUNCTION("""COMPUTED_VALUE"""),-5.2)</f>
        <v>-5.2</v>
      </c>
      <c r="F239" s="1">
        <f ca="1">IFERROR(__xludf.DUMMYFUNCTION("""COMPUTED_VALUE"""),99.7)</f>
        <v>99.7</v>
      </c>
      <c r="G239" s="1">
        <f ca="1">IFERROR(__xludf.DUMMYFUNCTION("""COMPUTED_VALUE"""),268)</f>
        <v>268</v>
      </c>
      <c r="H239" s="1">
        <f ca="1">IFERROR(__xludf.DUMMYFUNCTION("""COMPUTED_VALUE"""),104.9)</f>
        <v>104.9</v>
      </c>
      <c r="I239" s="1">
        <f ca="1">IFERROR(__xludf.DUMMYFUNCTION("""COMPUTED_VALUE"""),177)</f>
        <v>177</v>
      </c>
      <c r="J239" s="1">
        <f ca="1">IFERROR(__xludf.DUMMYFUNCTION("""COMPUTED_VALUE"""),69.5)</f>
        <v>69.5</v>
      </c>
      <c r="K239" s="1">
        <f ca="1">IFERROR(__xludf.DUMMYFUNCTION("""COMPUTED_VALUE"""),86)</f>
        <v>86</v>
      </c>
      <c r="L239" s="1">
        <f ca="1">IFERROR(__xludf.DUMMYFUNCTION("""COMPUTED_VALUE"""),-0.061)</f>
        <v>-6.0999999999999999E-2</v>
      </c>
      <c r="M239" s="1">
        <f ca="1">IFERROR(__xludf.DUMMYFUNCTION("""COMPUTED_VALUE"""),311)</f>
        <v>311</v>
      </c>
      <c r="N239" s="1">
        <f ca="1">IFERROR(__xludf.DUMMYFUNCTION("""COMPUTED_VALUE"""),-0.25)</f>
        <v>-0.25</v>
      </c>
      <c r="O239" s="1">
        <f ca="1">IFERROR(__xludf.DUMMYFUNCTION("""COMPUTED_VALUE"""),147)</f>
        <v>147</v>
      </c>
      <c r="P239" s="1">
        <f ca="1">IFERROR(__xludf.DUMMYFUNCTION("""COMPUTED_VALUE"""),103.1)</f>
        <v>103.1</v>
      </c>
      <c r="Q239" s="1">
        <f ca="1">IFERROR(__xludf.DUMMYFUNCTION("""COMPUTED_VALUE"""),215)</f>
        <v>215</v>
      </c>
      <c r="R239" s="1">
        <f ca="1">IFERROR(__xludf.DUMMYFUNCTION("""COMPUTED_VALUE"""),103.4)</f>
        <v>103.4</v>
      </c>
      <c r="S239" s="1">
        <f ca="1">IFERROR(__xludf.DUMMYFUNCTION("""COMPUTED_VALUE"""),109)</f>
        <v>109</v>
      </c>
      <c r="T239" s="1" t="str">
        <f ca="1">IFERROR(__xludf.DUMMYFUNCTION("""COMPUTED_VALUE"""),"+1.87")</f>
        <v>+1.87</v>
      </c>
      <c r="U239" s="1">
        <f ca="1">IFERROR(__xludf.DUMMYFUNCTION("""COMPUTED_VALUE"""),104)</f>
        <v>104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IFERROR(__xludf.DUMMYFUNCTION("""COMPUTED_VALUE"""),"La Salle")</f>
        <v>La Salle</v>
      </c>
      <c r="C240" s="1" t="str">
        <f ca="1">IFERROR(__xludf.DUMMYFUNCTION("""COMPUTED_VALUE"""),"A10")</f>
        <v>A10</v>
      </c>
      <c r="D240" s="2">
        <f ca="1">IFERROR(__xludf.DUMMYFUNCTION("""COMPUTED_VALUE"""),44855)</f>
        <v>44855</v>
      </c>
      <c r="E240" s="1">
        <f ca="1">IFERROR(__xludf.DUMMYFUNCTION("""COMPUTED_VALUE"""),-5.39)</f>
        <v>-5.39</v>
      </c>
      <c r="F240" s="1">
        <f ca="1">IFERROR(__xludf.DUMMYFUNCTION("""COMPUTED_VALUE"""),100)</f>
        <v>100</v>
      </c>
      <c r="G240" s="1">
        <f ca="1">IFERROR(__xludf.DUMMYFUNCTION("""COMPUTED_VALUE"""),257)</f>
        <v>257</v>
      </c>
      <c r="H240" s="1">
        <f ca="1">IFERROR(__xludf.DUMMYFUNCTION("""COMPUTED_VALUE"""),105.4)</f>
        <v>105.4</v>
      </c>
      <c r="I240" s="1">
        <f ca="1">IFERROR(__xludf.DUMMYFUNCTION("""COMPUTED_VALUE"""),189)</f>
        <v>189</v>
      </c>
      <c r="J240" s="1">
        <f ca="1">IFERROR(__xludf.DUMMYFUNCTION("""COMPUTED_VALUE"""),68.9)</f>
        <v>68.900000000000006</v>
      </c>
      <c r="K240" s="1">
        <f ca="1">IFERROR(__xludf.DUMMYFUNCTION("""COMPUTED_VALUE"""),108)</f>
        <v>108</v>
      </c>
      <c r="L240" s="1">
        <f ca="1">IFERROR(__xludf.DUMMYFUNCTION("""COMPUTED_VALUE"""),-0.04)</f>
        <v>-0.04</v>
      </c>
      <c r="M240" s="1">
        <f ca="1">IFERROR(__xludf.DUMMYFUNCTION("""COMPUTED_VALUE"""),274)</f>
        <v>274</v>
      </c>
      <c r="N240" s="1">
        <f ca="1">IFERROR(__xludf.DUMMYFUNCTION("""COMPUTED_VALUE"""),-0.24)</f>
        <v>-0.24</v>
      </c>
      <c r="O240" s="1">
        <f ca="1">IFERROR(__xludf.DUMMYFUNCTION("""COMPUTED_VALUE"""),146)</f>
        <v>146</v>
      </c>
      <c r="P240" s="1">
        <f ca="1">IFERROR(__xludf.DUMMYFUNCTION("""COMPUTED_VALUE"""),103.6)</f>
        <v>103.6</v>
      </c>
      <c r="Q240" s="1">
        <f ca="1">IFERROR(__xludf.DUMMYFUNCTION("""COMPUTED_VALUE"""),188)</f>
        <v>188</v>
      </c>
      <c r="R240" s="1">
        <f ca="1">IFERROR(__xludf.DUMMYFUNCTION("""COMPUTED_VALUE"""),103.8)</f>
        <v>103.8</v>
      </c>
      <c r="S240" s="1">
        <f ca="1">IFERROR(__xludf.DUMMYFUNCTION("""COMPUTED_VALUE"""),124)</f>
        <v>124</v>
      </c>
      <c r="T240" s="1" t="str">
        <f ca="1">IFERROR(__xludf.DUMMYFUNCTION("""COMPUTED_VALUE"""),"+0.30")</f>
        <v>+0.30</v>
      </c>
      <c r="U240" s="1">
        <f ca="1">IFERROR(__xludf.DUMMYFUNCTION("""COMPUTED_VALUE"""),150)</f>
        <v>150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IFERROR(__xludf.DUMMYFUNCTION("""COMPUTED_VALUE"""),"South Dakota")</f>
        <v>South Dakota</v>
      </c>
      <c r="C241" s="1" t="str">
        <f ca="1">IFERROR(__xludf.DUMMYFUNCTION("""COMPUTED_VALUE"""),"Sum")</f>
        <v>Sum</v>
      </c>
      <c r="D241" s="1" t="str">
        <f ca="1">IFERROR(__xludf.DUMMYFUNCTION("""COMPUTED_VALUE"""),"13-17")</f>
        <v>13-17</v>
      </c>
      <c r="E241" s="1">
        <f ca="1">IFERROR(__xludf.DUMMYFUNCTION("""COMPUTED_VALUE"""),-5.61)</f>
        <v>-5.61</v>
      </c>
      <c r="F241" s="1">
        <f ca="1">IFERROR(__xludf.DUMMYFUNCTION("""COMPUTED_VALUE"""),100.6)</f>
        <v>100.6</v>
      </c>
      <c r="G241" s="1">
        <f ca="1">IFERROR(__xludf.DUMMYFUNCTION("""COMPUTED_VALUE"""),253)</f>
        <v>253</v>
      </c>
      <c r="H241" s="1">
        <f ca="1">IFERROR(__xludf.DUMMYFUNCTION("""COMPUTED_VALUE"""),106.2)</f>
        <v>106.2</v>
      </c>
      <c r="I241" s="1">
        <f ca="1">IFERROR(__xludf.DUMMYFUNCTION("""COMPUTED_VALUE"""),209)</f>
        <v>209</v>
      </c>
      <c r="J241" s="1">
        <f ca="1">IFERROR(__xludf.DUMMYFUNCTION("""COMPUTED_VALUE"""),67)</f>
        <v>67</v>
      </c>
      <c r="K241" s="1">
        <f ca="1">IFERROR(__xludf.DUMMYFUNCTION("""COMPUTED_VALUE"""),210)</f>
        <v>210</v>
      </c>
      <c r="L241" s="1">
        <f ca="1">IFERROR(__xludf.DUMMYFUNCTION("""COMPUTED_VALUE"""),-0.048)</f>
        <v>-4.8000000000000001E-2</v>
      </c>
      <c r="M241" s="1">
        <f ca="1">IFERROR(__xludf.DUMMYFUNCTION("""COMPUTED_VALUE"""),293)</f>
        <v>293</v>
      </c>
      <c r="N241" s="1">
        <f ca="1">IFERROR(__xludf.DUMMYFUNCTION("""COMPUTED_VALUE"""),-3.89)</f>
        <v>-3.89</v>
      </c>
      <c r="O241" s="1">
        <f ca="1">IFERROR(__xludf.DUMMYFUNCTION("""COMPUTED_VALUE"""),253)</f>
        <v>253</v>
      </c>
      <c r="P241" s="1">
        <f ca="1">IFERROR(__xludf.DUMMYFUNCTION("""COMPUTED_VALUE"""),104.1)</f>
        <v>104.1</v>
      </c>
      <c r="Q241" s="1">
        <f ca="1">IFERROR(__xludf.DUMMYFUNCTION("""COMPUTED_VALUE"""),165)</f>
        <v>165</v>
      </c>
      <c r="R241" s="1">
        <f ca="1">IFERROR(__xludf.DUMMYFUNCTION("""COMPUTED_VALUE"""),108)</f>
        <v>108</v>
      </c>
      <c r="S241" s="1">
        <f ca="1">IFERROR(__xludf.DUMMYFUNCTION("""COMPUTED_VALUE"""),312)</f>
        <v>312</v>
      </c>
      <c r="T241" s="1">
        <f ca="1">IFERROR(__xludf.DUMMYFUNCTION("""COMPUTED_VALUE"""),-0.58)</f>
        <v>-0.57999999999999996</v>
      </c>
      <c r="U241" s="1">
        <f ca="1">IFERROR(__xludf.DUMMYFUNCTION("""COMPUTED_VALUE"""),178)</f>
        <v>178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IFERROR(__xludf.DUMMYFUNCTION("""COMPUTED_VALUE"""),"UMBC")</f>
        <v>UMBC</v>
      </c>
      <c r="C242" s="1" t="str">
        <f ca="1">IFERROR(__xludf.DUMMYFUNCTION("""COMPUTED_VALUE"""),"AE")</f>
        <v>AE</v>
      </c>
      <c r="D242" s="1" t="str">
        <f ca="1">IFERROR(__xludf.DUMMYFUNCTION("""COMPUTED_VALUE"""),"21-13")</f>
        <v>21-13</v>
      </c>
      <c r="E242" s="1">
        <f ca="1">IFERROR(__xludf.DUMMYFUNCTION("""COMPUTED_VALUE"""),-5.75)</f>
        <v>-5.75</v>
      </c>
      <c r="F242" s="1">
        <f ca="1">IFERROR(__xludf.DUMMYFUNCTION("""COMPUTED_VALUE"""),96.2)</f>
        <v>96.2</v>
      </c>
      <c r="G242" s="1">
        <f ca="1">IFERROR(__xludf.DUMMYFUNCTION("""COMPUTED_VALUE"""),313)</f>
        <v>313</v>
      </c>
      <c r="H242" s="1">
        <f ca="1">IFERROR(__xludf.DUMMYFUNCTION("""COMPUTED_VALUE"""),102)</f>
        <v>102</v>
      </c>
      <c r="I242" s="1">
        <f ca="1">IFERROR(__xludf.DUMMYFUNCTION("""COMPUTED_VALUE"""),119)</f>
        <v>119</v>
      </c>
      <c r="J242" s="1">
        <f ca="1">IFERROR(__xludf.DUMMYFUNCTION("""COMPUTED_VALUE"""),65)</f>
        <v>65</v>
      </c>
      <c r="K242" s="1">
        <f ca="1">IFERROR(__xludf.DUMMYFUNCTION("""COMPUTED_VALUE"""),311)</f>
        <v>311</v>
      </c>
      <c r="L242" s="1" t="str">
        <f ca="1">IFERROR(__xludf.DUMMYFUNCTION("""COMPUTED_VALUE"""),"+.078")</f>
        <v>+.078</v>
      </c>
      <c r="M242" s="1">
        <f ca="1">IFERROR(__xludf.DUMMYFUNCTION("""COMPUTED_VALUE"""),24)</f>
        <v>24</v>
      </c>
      <c r="N242" s="1">
        <f ca="1">IFERROR(__xludf.DUMMYFUNCTION("""COMPUTED_VALUE"""),-7.09)</f>
        <v>-7.09</v>
      </c>
      <c r="O242" s="1">
        <f ca="1">IFERROR(__xludf.DUMMYFUNCTION("""COMPUTED_VALUE"""),310)</f>
        <v>310</v>
      </c>
      <c r="P242" s="1">
        <f ca="1">IFERROR(__xludf.DUMMYFUNCTION("""COMPUTED_VALUE"""),100.2)</f>
        <v>100.2</v>
      </c>
      <c r="Q242" s="1">
        <f ca="1">IFERROR(__xludf.DUMMYFUNCTION("""COMPUTED_VALUE"""),322)</f>
        <v>322</v>
      </c>
      <c r="R242" s="1">
        <f ca="1">IFERROR(__xludf.DUMMYFUNCTION("""COMPUTED_VALUE"""),107.3)</f>
        <v>107.3</v>
      </c>
      <c r="S242" s="1">
        <f ca="1">IFERROR(__xludf.DUMMYFUNCTION("""COMPUTED_VALUE"""),275)</f>
        <v>275</v>
      </c>
      <c r="T242" s="1">
        <f ca="1">IFERROR(__xludf.DUMMYFUNCTION("""COMPUTED_VALUE"""),-4.48)</f>
        <v>-4.4800000000000004</v>
      </c>
      <c r="U242" s="1">
        <f ca="1">IFERROR(__xludf.DUMMYFUNCTION("""COMPUTED_VALUE"""),291)</f>
        <v>291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IFERROR(__xludf.DUMMYFUNCTION("""COMPUTED_VALUE"""),"Boston University")</f>
        <v>Boston University</v>
      </c>
      <c r="C243" s="1" t="str">
        <f ca="1">IFERROR(__xludf.DUMMYFUNCTION("""COMPUTED_VALUE"""),"Pat")</f>
        <v>Pat</v>
      </c>
      <c r="D243" s="1" t="str">
        <f ca="1">IFERROR(__xludf.DUMMYFUNCTION("""COMPUTED_VALUE"""),"15-18")</f>
        <v>15-18</v>
      </c>
      <c r="E243" s="1">
        <f ca="1">IFERROR(__xludf.DUMMYFUNCTION("""COMPUTED_VALUE"""),-5.96)</f>
        <v>-5.96</v>
      </c>
      <c r="F243" s="1">
        <f ca="1">IFERROR(__xludf.DUMMYFUNCTION("""COMPUTED_VALUE"""),104.4)</f>
        <v>104.4</v>
      </c>
      <c r="G243" s="1">
        <f ca="1">IFERROR(__xludf.DUMMYFUNCTION("""COMPUTED_VALUE"""),176)</f>
        <v>176</v>
      </c>
      <c r="H243" s="1">
        <f ca="1">IFERROR(__xludf.DUMMYFUNCTION("""COMPUTED_VALUE"""),110.4)</f>
        <v>110.4</v>
      </c>
      <c r="I243" s="1">
        <f ca="1">IFERROR(__xludf.DUMMYFUNCTION("""COMPUTED_VALUE"""),288)</f>
        <v>288</v>
      </c>
      <c r="J243" s="1">
        <f ca="1">IFERROR(__xludf.DUMMYFUNCTION("""COMPUTED_VALUE"""),66.3)</f>
        <v>66.3</v>
      </c>
      <c r="K243" s="1">
        <f ca="1">IFERROR(__xludf.DUMMYFUNCTION("""COMPUTED_VALUE"""),247)</f>
        <v>247</v>
      </c>
      <c r="L243" s="1">
        <f ca="1">IFERROR(__xludf.DUMMYFUNCTION("""COMPUTED_VALUE"""),-0.025)</f>
        <v>-2.5000000000000001E-2</v>
      </c>
      <c r="M243" s="1">
        <f ca="1">IFERROR(__xludf.DUMMYFUNCTION("""COMPUTED_VALUE"""),246)</f>
        <v>246</v>
      </c>
      <c r="N243" s="1">
        <f ca="1">IFERROR(__xludf.DUMMYFUNCTION("""COMPUTED_VALUE"""),-4.84)</f>
        <v>-4.84</v>
      </c>
      <c r="O243" s="1">
        <f ca="1">IFERROR(__xludf.DUMMYFUNCTION("""COMPUTED_VALUE"""),269)</f>
        <v>269</v>
      </c>
      <c r="P243" s="1">
        <f ca="1">IFERROR(__xludf.DUMMYFUNCTION("""COMPUTED_VALUE"""),102.5)</f>
        <v>102.5</v>
      </c>
      <c r="Q243" s="1">
        <f ca="1">IFERROR(__xludf.DUMMYFUNCTION("""COMPUTED_VALUE"""),250)</f>
        <v>250</v>
      </c>
      <c r="R243" s="1">
        <f ca="1">IFERROR(__xludf.DUMMYFUNCTION("""COMPUTED_VALUE"""),107.3)</f>
        <v>107.3</v>
      </c>
      <c r="S243" s="1">
        <f ca="1">IFERROR(__xludf.DUMMYFUNCTION("""COMPUTED_VALUE"""),276)</f>
        <v>276</v>
      </c>
      <c r="T243" s="1">
        <f ca="1">IFERROR(__xludf.DUMMYFUNCTION("""COMPUTED_VALUE"""),-4.47)</f>
        <v>-4.47</v>
      </c>
      <c r="U243" s="1">
        <f ca="1">IFERROR(__xludf.DUMMYFUNCTION("""COMPUTED_VALUE"""),290)</f>
        <v>290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IFERROR(__xludf.DUMMYFUNCTION("""COMPUTED_VALUE"""),"Southeastern Louisiana")</f>
        <v>Southeastern Louisiana</v>
      </c>
      <c r="C244" s="1" t="str">
        <f ca="1">IFERROR(__xludf.DUMMYFUNCTION("""COMPUTED_VALUE"""),"Slnd")</f>
        <v>Slnd</v>
      </c>
      <c r="D244" s="1" t="str">
        <f ca="1">IFERROR(__xludf.DUMMYFUNCTION("""COMPUTED_VALUE"""),"17-16")</f>
        <v>17-16</v>
      </c>
      <c r="E244" s="1">
        <f ca="1">IFERROR(__xludf.DUMMYFUNCTION("""COMPUTED_VALUE"""),-6.07)</f>
        <v>-6.07</v>
      </c>
      <c r="F244" s="1">
        <f ca="1">IFERROR(__xludf.DUMMYFUNCTION("""COMPUTED_VALUE"""),99.5)</f>
        <v>99.5</v>
      </c>
      <c r="G244" s="1">
        <f ca="1">IFERROR(__xludf.DUMMYFUNCTION("""COMPUTED_VALUE"""),272)</f>
        <v>272</v>
      </c>
      <c r="H244" s="1">
        <f ca="1">IFERROR(__xludf.DUMMYFUNCTION("""COMPUTED_VALUE"""),105.5)</f>
        <v>105.5</v>
      </c>
      <c r="I244" s="1">
        <f ca="1">IFERROR(__xludf.DUMMYFUNCTION("""COMPUTED_VALUE"""),192)</f>
        <v>192</v>
      </c>
      <c r="J244" s="1">
        <f ca="1">IFERROR(__xludf.DUMMYFUNCTION("""COMPUTED_VALUE"""),65.3)</f>
        <v>65.3</v>
      </c>
      <c r="K244" s="1">
        <f ca="1">IFERROR(__xludf.DUMMYFUNCTION("""COMPUTED_VALUE"""),295)</f>
        <v>295</v>
      </c>
      <c r="L244" s="1" t="str">
        <f ca="1">IFERROR(__xludf.DUMMYFUNCTION("""COMPUTED_VALUE"""),"+.009")</f>
        <v>+.009</v>
      </c>
      <c r="M244" s="1">
        <f ca="1">IFERROR(__xludf.DUMMYFUNCTION("""COMPUTED_VALUE"""),156)</f>
        <v>156</v>
      </c>
      <c r="N244" s="1">
        <f ca="1">IFERROR(__xludf.DUMMYFUNCTION("""COMPUTED_VALUE"""),-7.22)</f>
        <v>-7.22</v>
      </c>
      <c r="O244" s="1">
        <f ca="1">IFERROR(__xludf.DUMMYFUNCTION("""COMPUTED_VALUE"""),314)</f>
        <v>314</v>
      </c>
      <c r="P244" s="1">
        <f ca="1">IFERROR(__xludf.DUMMYFUNCTION("""COMPUTED_VALUE"""),100.5)</f>
        <v>100.5</v>
      </c>
      <c r="Q244" s="1">
        <f ca="1">IFERROR(__xludf.DUMMYFUNCTION("""COMPUTED_VALUE"""),315)</f>
        <v>315</v>
      </c>
      <c r="R244" s="1">
        <f ca="1">IFERROR(__xludf.DUMMYFUNCTION("""COMPUTED_VALUE"""),107.8)</f>
        <v>107.8</v>
      </c>
      <c r="S244" s="1">
        <f ca="1">IFERROR(__xludf.DUMMYFUNCTION("""COMPUTED_VALUE"""),303)</f>
        <v>303</v>
      </c>
      <c r="T244" s="1" t="str">
        <f ca="1">IFERROR(__xludf.DUMMYFUNCTION("""COMPUTED_VALUE"""),"+1.97")</f>
        <v>+1.97</v>
      </c>
      <c r="U244" s="1">
        <f ca="1">IFERROR(__xludf.DUMMYFUNCTION("""COMPUTED_VALUE"""),103)</f>
        <v>103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IFERROR(__xludf.DUMMYFUNCTION("""COMPUTED_VALUE"""),"Detroit")</f>
        <v>Detroit</v>
      </c>
      <c r="C245" s="1" t="str">
        <f ca="1">IFERROR(__xludf.DUMMYFUNCTION("""COMPUTED_VALUE"""),"Horz")</f>
        <v>Horz</v>
      </c>
      <c r="D245" s="2">
        <f ca="1">IFERROR(__xludf.DUMMYFUNCTION("""COMPUTED_VALUE"""),44885)</f>
        <v>44885</v>
      </c>
      <c r="E245" s="1">
        <f ca="1">IFERROR(__xludf.DUMMYFUNCTION("""COMPUTED_VALUE"""),-6.11)</f>
        <v>-6.11</v>
      </c>
      <c r="F245" s="1">
        <f ca="1">IFERROR(__xludf.DUMMYFUNCTION("""COMPUTED_VALUE"""),106.5)</f>
        <v>106.5</v>
      </c>
      <c r="G245" s="1">
        <f ca="1">IFERROR(__xludf.DUMMYFUNCTION("""COMPUTED_VALUE"""),138)</f>
        <v>138</v>
      </c>
      <c r="H245" s="1">
        <f ca="1">IFERROR(__xludf.DUMMYFUNCTION("""COMPUTED_VALUE"""),112.6)</f>
        <v>112.6</v>
      </c>
      <c r="I245" s="1">
        <f ca="1">IFERROR(__xludf.DUMMYFUNCTION("""COMPUTED_VALUE"""),320)</f>
        <v>320</v>
      </c>
      <c r="J245" s="1">
        <f ca="1">IFERROR(__xludf.DUMMYFUNCTION("""COMPUTED_VALUE"""),68.6)</f>
        <v>68.599999999999994</v>
      </c>
      <c r="K245" s="1">
        <f ca="1">IFERROR(__xludf.DUMMYFUNCTION("""COMPUTED_VALUE"""),125)</f>
        <v>125</v>
      </c>
      <c r="L245" s="1">
        <f ca="1">IFERROR(__xludf.DUMMYFUNCTION("""COMPUTED_VALUE"""),-0.011)</f>
        <v>-1.0999999999999999E-2</v>
      </c>
      <c r="M245" s="1">
        <f ca="1">IFERROR(__xludf.DUMMYFUNCTION("""COMPUTED_VALUE"""),215)</f>
        <v>215</v>
      </c>
      <c r="N245" s="1" t="str">
        <f ca="1">IFERROR(__xludf.DUMMYFUNCTION("""COMPUTED_VALUE"""),"+0.26")</f>
        <v>+0.26</v>
      </c>
      <c r="O245" s="1">
        <f ca="1">IFERROR(__xludf.DUMMYFUNCTION("""COMPUTED_VALUE"""),132)</f>
        <v>132</v>
      </c>
      <c r="P245" s="1">
        <f ca="1">IFERROR(__xludf.DUMMYFUNCTION("""COMPUTED_VALUE"""),105.3)</f>
        <v>105.3</v>
      </c>
      <c r="Q245" s="1">
        <f ca="1">IFERROR(__xludf.DUMMYFUNCTION("""COMPUTED_VALUE"""),117)</f>
        <v>117</v>
      </c>
      <c r="R245" s="1">
        <f ca="1">IFERROR(__xludf.DUMMYFUNCTION("""COMPUTED_VALUE"""),105)</f>
        <v>105</v>
      </c>
      <c r="S245" s="1">
        <f ca="1">IFERROR(__xludf.DUMMYFUNCTION("""COMPUTED_VALUE"""),180)</f>
        <v>180</v>
      </c>
      <c r="T245" s="1" t="str">
        <f ca="1">IFERROR(__xludf.DUMMYFUNCTION("""COMPUTED_VALUE"""),"+5.34")</f>
        <v>+5.34</v>
      </c>
      <c r="U245" s="1">
        <f ca="1">IFERROR(__xludf.DUMMYFUNCTION("""COMPUTED_VALUE"""),34)</f>
        <v>34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IFERROR(__xludf.DUMMYFUNCTION("""COMPUTED_VALUE"""),"Quinnipiac")</f>
        <v>Quinnipiac</v>
      </c>
      <c r="C246" s="1" t="str">
        <f ca="1">IFERROR(__xludf.DUMMYFUNCTION("""COMPUTED_VALUE"""),"MAAC")</f>
        <v>MAAC</v>
      </c>
      <c r="D246" s="1" t="str">
        <f ca="1">IFERROR(__xludf.DUMMYFUNCTION("""COMPUTED_VALUE"""),"16-15")</f>
        <v>16-15</v>
      </c>
      <c r="E246" s="1">
        <f ca="1">IFERROR(__xludf.DUMMYFUNCTION("""COMPUTED_VALUE"""),-6.21)</f>
        <v>-6.21</v>
      </c>
      <c r="F246" s="1">
        <f ca="1">IFERROR(__xludf.DUMMYFUNCTION("""COMPUTED_VALUE"""),105.5)</f>
        <v>105.5</v>
      </c>
      <c r="G246" s="1">
        <f ca="1">IFERROR(__xludf.DUMMYFUNCTION("""COMPUTED_VALUE"""),154)</f>
        <v>154</v>
      </c>
      <c r="H246" s="1">
        <f ca="1">IFERROR(__xludf.DUMMYFUNCTION("""COMPUTED_VALUE"""),111.7)</f>
        <v>111.7</v>
      </c>
      <c r="I246" s="1">
        <f ca="1">IFERROR(__xludf.DUMMYFUNCTION("""COMPUTED_VALUE"""),310)</f>
        <v>310</v>
      </c>
      <c r="J246" s="1">
        <f ca="1">IFERROR(__xludf.DUMMYFUNCTION("""COMPUTED_VALUE"""),66.9)</f>
        <v>66.900000000000006</v>
      </c>
      <c r="K246" s="1">
        <f ca="1">IFERROR(__xludf.DUMMYFUNCTION("""COMPUTED_VALUE"""),218)</f>
        <v>218</v>
      </c>
      <c r="L246" s="1">
        <f ca="1">IFERROR(__xludf.DUMMYFUNCTION("""COMPUTED_VALUE"""),-0.026)</f>
        <v>-2.5999999999999999E-2</v>
      </c>
      <c r="M246" s="1">
        <f ca="1">IFERROR(__xludf.DUMMYFUNCTION("""COMPUTED_VALUE"""),248)</f>
        <v>248</v>
      </c>
      <c r="N246" s="1">
        <f ca="1">IFERROR(__xludf.DUMMYFUNCTION("""COMPUTED_VALUE"""),-9.26)</f>
        <v>-9.26</v>
      </c>
      <c r="O246" s="1">
        <f ca="1">IFERROR(__xludf.DUMMYFUNCTION("""COMPUTED_VALUE"""),344)</f>
        <v>344</v>
      </c>
      <c r="P246" s="1">
        <f ca="1">IFERROR(__xludf.DUMMYFUNCTION("""COMPUTED_VALUE"""),99)</f>
        <v>99</v>
      </c>
      <c r="Q246" s="1">
        <f ca="1">IFERROR(__xludf.DUMMYFUNCTION("""COMPUTED_VALUE"""),342)</f>
        <v>342</v>
      </c>
      <c r="R246" s="1">
        <f ca="1">IFERROR(__xludf.DUMMYFUNCTION("""COMPUTED_VALUE"""),108.2)</f>
        <v>108.2</v>
      </c>
      <c r="S246" s="1">
        <f ca="1">IFERROR(__xludf.DUMMYFUNCTION("""COMPUTED_VALUE"""),320)</f>
        <v>320</v>
      </c>
      <c r="T246" s="1">
        <f ca="1">IFERROR(__xludf.DUMMYFUNCTION("""COMPUTED_VALUE"""),-7.91)</f>
        <v>-7.91</v>
      </c>
      <c r="U246" s="1">
        <f ca="1">IFERROR(__xludf.DUMMYFUNCTION("""COMPUTED_VALUE"""),340)</f>
        <v>340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IFERROR(__xludf.DUMMYFUNCTION("""COMPUTED_VALUE"""),"Eastern Kentucky")</f>
        <v>Eastern Kentucky</v>
      </c>
      <c r="C247" s="1" t="str">
        <f ca="1">IFERROR(__xludf.DUMMYFUNCTION("""COMPUTED_VALUE"""),"OVC")</f>
        <v>OVC</v>
      </c>
      <c r="D247" s="1" t="str">
        <f ca="1">IFERROR(__xludf.DUMMYFUNCTION("""COMPUTED_VALUE"""),"13-18")</f>
        <v>13-18</v>
      </c>
      <c r="E247" s="1">
        <f ca="1">IFERROR(__xludf.DUMMYFUNCTION("""COMPUTED_VALUE"""),-6.23)</f>
        <v>-6.23</v>
      </c>
      <c r="F247" s="1">
        <f ca="1">IFERROR(__xludf.DUMMYFUNCTION("""COMPUTED_VALUE"""),99.8)</f>
        <v>99.8</v>
      </c>
      <c r="G247" s="1">
        <f ca="1">IFERROR(__xludf.DUMMYFUNCTION("""COMPUTED_VALUE"""),266)</f>
        <v>266</v>
      </c>
      <c r="H247" s="1">
        <f ca="1">IFERROR(__xludf.DUMMYFUNCTION("""COMPUTED_VALUE"""),106)</f>
        <v>106</v>
      </c>
      <c r="I247" s="1">
        <f ca="1">IFERROR(__xludf.DUMMYFUNCTION("""COMPUTED_VALUE"""),204)</f>
        <v>204</v>
      </c>
      <c r="J247" s="1">
        <f ca="1">IFERROR(__xludf.DUMMYFUNCTION("""COMPUTED_VALUE"""),76.6)</f>
        <v>76.599999999999994</v>
      </c>
      <c r="K247" s="1">
        <f ca="1">IFERROR(__xludf.DUMMYFUNCTION("""COMPUTED_VALUE"""),2)</f>
        <v>2</v>
      </c>
      <c r="L247" s="1" t="str">
        <f ca="1">IFERROR(__xludf.DUMMYFUNCTION("""COMPUTED_VALUE"""),"+.012")</f>
        <v>+.012</v>
      </c>
      <c r="M247" s="1">
        <f ca="1">IFERROR(__xludf.DUMMYFUNCTION("""COMPUTED_VALUE"""),151)</f>
        <v>151</v>
      </c>
      <c r="N247" s="1">
        <f ca="1">IFERROR(__xludf.DUMMYFUNCTION("""COMPUTED_VALUE"""),-1.72)</f>
        <v>-1.72</v>
      </c>
      <c r="O247" s="1">
        <f ca="1">IFERROR(__xludf.DUMMYFUNCTION("""COMPUTED_VALUE"""),185)</f>
        <v>185</v>
      </c>
      <c r="P247" s="1">
        <f ca="1">IFERROR(__xludf.DUMMYFUNCTION("""COMPUTED_VALUE"""),103.9)</f>
        <v>103.9</v>
      </c>
      <c r="Q247" s="1">
        <f ca="1">IFERROR(__xludf.DUMMYFUNCTION("""COMPUTED_VALUE"""),175)</f>
        <v>175</v>
      </c>
      <c r="R247" s="1">
        <f ca="1">IFERROR(__xludf.DUMMYFUNCTION("""COMPUTED_VALUE"""),105.6)</f>
        <v>105.6</v>
      </c>
      <c r="S247" s="1">
        <f ca="1">IFERROR(__xludf.DUMMYFUNCTION("""COMPUTED_VALUE"""),199)</f>
        <v>199</v>
      </c>
      <c r="T247" s="1" t="str">
        <f ca="1">IFERROR(__xludf.DUMMYFUNCTION("""COMPUTED_VALUE"""),"+0.83")</f>
        <v>+0.83</v>
      </c>
      <c r="U247" s="1">
        <f ca="1">IFERROR(__xludf.DUMMYFUNCTION("""COMPUTED_VALUE"""),133)</f>
        <v>133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IFERROR(__xludf.DUMMYFUNCTION("""COMPUTED_VALUE"""),"Massachusetts")</f>
        <v>Massachusetts</v>
      </c>
      <c r="C248" s="1" t="str">
        <f ca="1">IFERROR(__xludf.DUMMYFUNCTION("""COMPUTED_VALUE"""),"A10")</f>
        <v>A10</v>
      </c>
      <c r="D248" s="2">
        <f ca="1">IFERROR(__xludf.DUMMYFUNCTION("""COMPUTED_VALUE"""),44886)</f>
        <v>44886</v>
      </c>
      <c r="E248" s="1">
        <f ca="1">IFERROR(__xludf.DUMMYFUNCTION("""COMPUTED_VALUE"""),-6.29)</f>
        <v>-6.29</v>
      </c>
      <c r="F248" s="1">
        <f ca="1">IFERROR(__xludf.DUMMYFUNCTION("""COMPUTED_VALUE"""),102.9)</f>
        <v>102.9</v>
      </c>
      <c r="G248" s="1">
        <f ca="1">IFERROR(__xludf.DUMMYFUNCTION("""COMPUTED_VALUE"""),203)</f>
        <v>203</v>
      </c>
      <c r="H248" s="1">
        <f ca="1">IFERROR(__xludf.DUMMYFUNCTION("""COMPUTED_VALUE"""),109.2)</f>
        <v>109.2</v>
      </c>
      <c r="I248" s="1">
        <f ca="1">IFERROR(__xludf.DUMMYFUNCTION("""COMPUTED_VALUE"""),265)</f>
        <v>265</v>
      </c>
      <c r="J248" s="1">
        <f ca="1">IFERROR(__xludf.DUMMYFUNCTION("""COMPUTED_VALUE"""),67.3)</f>
        <v>67.3</v>
      </c>
      <c r="K248" s="1">
        <f ca="1">IFERROR(__xludf.DUMMYFUNCTION("""COMPUTED_VALUE"""),191)</f>
        <v>191</v>
      </c>
      <c r="L248" s="1">
        <f ca="1">IFERROR(__xludf.DUMMYFUNCTION("""COMPUTED_VALUE"""),-0.061)</f>
        <v>-6.0999999999999999E-2</v>
      </c>
      <c r="M248" s="1">
        <f ca="1">IFERROR(__xludf.DUMMYFUNCTION("""COMPUTED_VALUE"""),310)</f>
        <v>310</v>
      </c>
      <c r="N248" s="1">
        <f ca="1">IFERROR(__xludf.DUMMYFUNCTION("""COMPUTED_VALUE"""),-1.88)</f>
        <v>-1.88</v>
      </c>
      <c r="O248" s="1">
        <f ca="1">IFERROR(__xludf.DUMMYFUNCTION("""COMPUTED_VALUE"""),189)</f>
        <v>189</v>
      </c>
      <c r="P248" s="1">
        <f ca="1">IFERROR(__xludf.DUMMYFUNCTION("""COMPUTED_VALUE"""),102.8)</f>
        <v>102.8</v>
      </c>
      <c r="Q248" s="1">
        <f ca="1">IFERROR(__xludf.DUMMYFUNCTION("""COMPUTED_VALUE"""),234)</f>
        <v>234</v>
      </c>
      <c r="R248" s="1">
        <f ca="1">IFERROR(__xludf.DUMMYFUNCTION("""COMPUTED_VALUE"""),104.7)</f>
        <v>104.7</v>
      </c>
      <c r="S248" s="1">
        <f ca="1">IFERROR(__xludf.DUMMYFUNCTION("""COMPUTED_VALUE"""),167)</f>
        <v>167</v>
      </c>
      <c r="T248" s="1">
        <f ca="1">IFERROR(__xludf.DUMMYFUNCTION("""COMPUTED_VALUE"""),-4.87)</f>
        <v>-4.87</v>
      </c>
      <c r="U248" s="1">
        <f ca="1">IFERROR(__xludf.DUMMYFUNCTION("""COMPUTED_VALUE"""),296)</f>
        <v>296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IFERROR(__xludf.DUMMYFUNCTION("""COMPUTED_VALUE"""),"Eastern Washington")</f>
        <v>Eastern Washington</v>
      </c>
      <c r="C249" s="1" t="str">
        <f ca="1">IFERROR(__xludf.DUMMYFUNCTION("""COMPUTED_VALUE"""),"BSky")</f>
        <v>BSky</v>
      </c>
      <c r="D249" s="1" t="str">
        <f ca="1">IFERROR(__xludf.DUMMYFUNCTION("""COMPUTED_VALUE"""),"16-18")</f>
        <v>16-18</v>
      </c>
      <c r="E249" s="1">
        <f ca="1">IFERROR(__xludf.DUMMYFUNCTION("""COMPUTED_VALUE"""),-6.36)</f>
        <v>-6.36</v>
      </c>
      <c r="F249" s="1">
        <f ca="1">IFERROR(__xludf.DUMMYFUNCTION("""COMPUTED_VALUE"""),101.3)</f>
        <v>101.3</v>
      </c>
      <c r="G249" s="1">
        <f ca="1">IFERROR(__xludf.DUMMYFUNCTION("""COMPUTED_VALUE"""),242)</f>
        <v>242</v>
      </c>
      <c r="H249" s="1">
        <f ca="1">IFERROR(__xludf.DUMMYFUNCTION("""COMPUTED_VALUE"""),107.6)</f>
        <v>107.6</v>
      </c>
      <c r="I249" s="1">
        <f ca="1">IFERROR(__xludf.DUMMYFUNCTION("""COMPUTED_VALUE"""),240)</f>
        <v>240</v>
      </c>
      <c r="J249" s="1">
        <f ca="1">IFERROR(__xludf.DUMMYFUNCTION("""COMPUTED_VALUE"""),67.8)</f>
        <v>67.8</v>
      </c>
      <c r="K249" s="1">
        <f ca="1">IFERROR(__xludf.DUMMYFUNCTION("""COMPUTED_VALUE"""),163)</f>
        <v>163</v>
      </c>
      <c r="L249" s="1" t="str">
        <f ca="1">IFERROR(__xludf.DUMMYFUNCTION("""COMPUTED_VALUE"""),"+.026")</f>
        <v>+.026</v>
      </c>
      <c r="M249" s="1">
        <f ca="1">IFERROR(__xludf.DUMMYFUNCTION("""COMPUTED_VALUE"""),111)</f>
        <v>111</v>
      </c>
      <c r="N249" s="1">
        <f ca="1">IFERROR(__xludf.DUMMYFUNCTION("""COMPUTED_VALUE"""),-4.74)</f>
        <v>-4.74</v>
      </c>
      <c r="O249" s="1">
        <f ca="1">IFERROR(__xludf.DUMMYFUNCTION("""COMPUTED_VALUE"""),267)</f>
        <v>267</v>
      </c>
      <c r="P249" s="1">
        <f ca="1">IFERROR(__xludf.DUMMYFUNCTION("""COMPUTED_VALUE"""),103)</f>
        <v>103</v>
      </c>
      <c r="Q249" s="1">
        <f ca="1">IFERROR(__xludf.DUMMYFUNCTION("""COMPUTED_VALUE"""),223)</f>
        <v>223</v>
      </c>
      <c r="R249" s="1">
        <f ca="1">IFERROR(__xludf.DUMMYFUNCTION("""COMPUTED_VALUE"""),107.8)</f>
        <v>107.8</v>
      </c>
      <c r="S249" s="1">
        <f ca="1">IFERROR(__xludf.DUMMYFUNCTION("""COMPUTED_VALUE"""),305)</f>
        <v>305</v>
      </c>
      <c r="T249" s="1" t="str">
        <f ca="1">IFERROR(__xludf.DUMMYFUNCTION("""COMPUTED_VALUE"""),"+7.19")</f>
        <v>+7.19</v>
      </c>
      <c r="U249" s="1">
        <f ca="1">IFERROR(__xludf.DUMMYFUNCTION("""COMPUTED_VALUE"""),14)</f>
        <v>14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IFERROR(__xludf.DUMMYFUNCTION("""COMPUTED_VALUE"""),"UMKC")</f>
        <v>UMKC</v>
      </c>
      <c r="C250" s="1" t="str">
        <f ca="1">IFERROR(__xludf.DUMMYFUNCTION("""COMPUTED_VALUE"""),"WAC")</f>
        <v>WAC</v>
      </c>
      <c r="D250" s="2">
        <f ca="1">IFERROR(__xludf.DUMMYFUNCTION("""COMPUTED_VALUE"""),44886)</f>
        <v>44886</v>
      </c>
      <c r="E250" s="1">
        <f ca="1">IFERROR(__xludf.DUMMYFUNCTION("""COMPUTED_VALUE"""),-6.45)</f>
        <v>-6.45</v>
      </c>
      <c r="F250" s="1">
        <f ca="1">IFERROR(__xludf.DUMMYFUNCTION("""COMPUTED_VALUE"""),101.1)</f>
        <v>101.1</v>
      </c>
      <c r="G250" s="1">
        <f ca="1">IFERROR(__xludf.DUMMYFUNCTION("""COMPUTED_VALUE"""),245)</f>
        <v>245</v>
      </c>
      <c r="H250" s="1">
        <f ca="1">IFERROR(__xludf.DUMMYFUNCTION("""COMPUTED_VALUE"""),107.6)</f>
        <v>107.6</v>
      </c>
      <c r="I250" s="1">
        <f ca="1">IFERROR(__xludf.DUMMYFUNCTION("""COMPUTED_VALUE"""),239)</f>
        <v>239</v>
      </c>
      <c r="J250" s="1">
        <f ca="1">IFERROR(__xludf.DUMMYFUNCTION("""COMPUTED_VALUE"""),66.3)</f>
        <v>66.3</v>
      </c>
      <c r="K250" s="1">
        <f ca="1">IFERROR(__xludf.DUMMYFUNCTION("""COMPUTED_VALUE"""),248)</f>
        <v>248</v>
      </c>
      <c r="L250" s="1">
        <f ca="1">IFERROR(__xludf.DUMMYFUNCTION("""COMPUTED_VALUE"""),-0.052)</f>
        <v>-5.1999999999999998E-2</v>
      </c>
      <c r="M250" s="1">
        <f ca="1">IFERROR(__xludf.DUMMYFUNCTION("""COMPUTED_VALUE"""),299)</f>
        <v>299</v>
      </c>
      <c r="N250" s="1">
        <f ca="1">IFERROR(__xludf.DUMMYFUNCTION("""COMPUTED_VALUE"""),-0.17)</f>
        <v>-0.17</v>
      </c>
      <c r="O250" s="1">
        <f ca="1">IFERROR(__xludf.DUMMYFUNCTION("""COMPUTED_VALUE"""),143)</f>
        <v>143</v>
      </c>
      <c r="P250" s="1">
        <f ca="1">IFERROR(__xludf.DUMMYFUNCTION("""COMPUTED_VALUE"""),105.1)</f>
        <v>105.1</v>
      </c>
      <c r="Q250" s="1">
        <f ca="1">IFERROR(__xludf.DUMMYFUNCTION("""COMPUTED_VALUE"""),124)</f>
        <v>124</v>
      </c>
      <c r="R250" s="1">
        <f ca="1">IFERROR(__xludf.DUMMYFUNCTION("""COMPUTED_VALUE"""),105.3)</f>
        <v>105.3</v>
      </c>
      <c r="S250" s="1">
        <f ca="1">IFERROR(__xludf.DUMMYFUNCTION("""COMPUTED_VALUE"""),190)</f>
        <v>190</v>
      </c>
      <c r="T250" s="1" t="str">
        <f ca="1">IFERROR(__xludf.DUMMYFUNCTION("""COMPUTED_VALUE"""),"+1.22")</f>
        <v>+1.22</v>
      </c>
      <c r="U250" s="1">
        <f ca="1">IFERROR(__xludf.DUMMYFUNCTION("""COMPUTED_VALUE"""),118)</f>
        <v>118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IFERROR(__xludf.DUMMYFUNCTION("""COMPUTED_VALUE"""),"Holy Cross")</f>
        <v>Holy Cross</v>
      </c>
      <c r="C251" s="1" t="str">
        <f ca="1">IFERROR(__xludf.DUMMYFUNCTION("""COMPUTED_VALUE"""),"Pat")</f>
        <v>Pat</v>
      </c>
      <c r="D251" s="1" t="str">
        <f ca="1">IFERROR(__xludf.DUMMYFUNCTION("""COMPUTED_VALUE"""),"16-17")</f>
        <v>16-17</v>
      </c>
      <c r="E251" s="1">
        <f ca="1">IFERROR(__xludf.DUMMYFUNCTION("""COMPUTED_VALUE"""),-6.81)</f>
        <v>-6.81</v>
      </c>
      <c r="F251" s="1">
        <f ca="1">IFERROR(__xludf.DUMMYFUNCTION("""COMPUTED_VALUE"""),101.2)</f>
        <v>101.2</v>
      </c>
      <c r="G251" s="1">
        <f ca="1">IFERROR(__xludf.DUMMYFUNCTION("""COMPUTED_VALUE"""),244)</f>
        <v>244</v>
      </c>
      <c r="H251" s="1">
        <f ca="1">IFERROR(__xludf.DUMMYFUNCTION("""COMPUTED_VALUE"""),108)</f>
        <v>108</v>
      </c>
      <c r="I251" s="1">
        <f ca="1">IFERROR(__xludf.DUMMYFUNCTION("""COMPUTED_VALUE"""),248)</f>
        <v>248</v>
      </c>
      <c r="J251" s="1">
        <f ca="1">IFERROR(__xludf.DUMMYFUNCTION("""COMPUTED_VALUE"""),63.6)</f>
        <v>63.6</v>
      </c>
      <c r="K251" s="1">
        <f ca="1">IFERROR(__xludf.DUMMYFUNCTION("""COMPUTED_VALUE"""),336)</f>
        <v>336</v>
      </c>
      <c r="L251" s="1" t="str">
        <f ca="1">IFERROR(__xludf.DUMMYFUNCTION("""COMPUTED_VALUE"""),"+.067")</f>
        <v>+.067</v>
      </c>
      <c r="M251" s="1">
        <f ca="1">IFERROR(__xludf.DUMMYFUNCTION("""COMPUTED_VALUE"""),31)</f>
        <v>31</v>
      </c>
      <c r="N251" s="1">
        <f ca="1">IFERROR(__xludf.DUMMYFUNCTION("""COMPUTED_VALUE"""),-3.74)</f>
        <v>-3.74</v>
      </c>
      <c r="O251" s="1">
        <f ca="1">IFERROR(__xludf.DUMMYFUNCTION("""COMPUTED_VALUE"""),247)</f>
        <v>247</v>
      </c>
      <c r="P251" s="1">
        <f ca="1">IFERROR(__xludf.DUMMYFUNCTION("""COMPUTED_VALUE"""),103.2)</f>
        <v>103.2</v>
      </c>
      <c r="Q251" s="1">
        <f ca="1">IFERROR(__xludf.DUMMYFUNCTION("""COMPUTED_VALUE"""),209)</f>
        <v>209</v>
      </c>
      <c r="R251" s="1">
        <f ca="1">IFERROR(__xludf.DUMMYFUNCTION("""COMPUTED_VALUE"""),107)</f>
        <v>107</v>
      </c>
      <c r="S251" s="1">
        <f ca="1">IFERROR(__xludf.DUMMYFUNCTION("""COMPUTED_VALUE"""),261)</f>
        <v>261</v>
      </c>
      <c r="T251" s="1">
        <f ca="1">IFERROR(__xludf.DUMMYFUNCTION("""COMPUTED_VALUE"""),-2.2)</f>
        <v>-2.2000000000000002</v>
      </c>
      <c r="U251" s="1">
        <f ca="1">IFERROR(__xludf.DUMMYFUNCTION("""COMPUTED_VALUE"""),228)</f>
        <v>228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IFERROR(__xludf.DUMMYFUNCTION("""COMPUTED_VALUE"""),"Sacred Heart")</f>
        <v>Sacred Heart</v>
      </c>
      <c r="C252" s="1" t="str">
        <f ca="1">IFERROR(__xludf.DUMMYFUNCTION("""COMPUTED_VALUE"""),"NEC")</f>
        <v>NEC</v>
      </c>
      <c r="D252" s="1" t="str">
        <f ca="1">IFERROR(__xludf.DUMMYFUNCTION("""COMPUTED_VALUE"""),"15-17")</f>
        <v>15-17</v>
      </c>
      <c r="E252" s="1">
        <f ca="1">IFERROR(__xludf.DUMMYFUNCTION("""COMPUTED_VALUE"""),-6.81)</f>
        <v>-6.81</v>
      </c>
      <c r="F252" s="1">
        <f ca="1">IFERROR(__xludf.DUMMYFUNCTION("""COMPUTED_VALUE"""),104.2)</f>
        <v>104.2</v>
      </c>
      <c r="G252" s="1">
        <f ca="1">IFERROR(__xludf.DUMMYFUNCTION("""COMPUTED_VALUE"""),179)</f>
        <v>179</v>
      </c>
      <c r="H252" s="1">
        <f ca="1">IFERROR(__xludf.DUMMYFUNCTION("""COMPUTED_VALUE"""),111)</f>
        <v>111</v>
      </c>
      <c r="I252" s="1">
        <f ca="1">IFERROR(__xludf.DUMMYFUNCTION("""COMPUTED_VALUE"""),301)</f>
        <v>301</v>
      </c>
      <c r="J252" s="1">
        <f ca="1">IFERROR(__xludf.DUMMYFUNCTION("""COMPUTED_VALUE"""),72)</f>
        <v>72</v>
      </c>
      <c r="K252" s="1">
        <f ca="1">IFERROR(__xludf.DUMMYFUNCTION("""COMPUTED_VALUE"""),23)</f>
        <v>23</v>
      </c>
      <c r="L252" s="1">
        <f ca="1">IFERROR(__xludf.DUMMYFUNCTION("""COMPUTED_VALUE"""),-0.062)</f>
        <v>-6.2E-2</v>
      </c>
      <c r="M252" s="1">
        <f ca="1">IFERROR(__xludf.DUMMYFUNCTION("""COMPUTED_VALUE"""),313)</f>
        <v>313</v>
      </c>
      <c r="N252" s="1">
        <f ca="1">IFERROR(__xludf.DUMMYFUNCTION("""COMPUTED_VALUE"""),-8.08)</f>
        <v>-8.08</v>
      </c>
      <c r="O252" s="1">
        <f ca="1">IFERROR(__xludf.DUMMYFUNCTION("""COMPUTED_VALUE"""),337)</f>
        <v>337</v>
      </c>
      <c r="P252" s="1">
        <f ca="1">IFERROR(__xludf.DUMMYFUNCTION("""COMPUTED_VALUE"""),100.4)</f>
        <v>100.4</v>
      </c>
      <c r="Q252" s="1">
        <f ca="1">IFERROR(__xludf.DUMMYFUNCTION("""COMPUTED_VALUE"""),318)</f>
        <v>318</v>
      </c>
      <c r="R252" s="1">
        <f ca="1">IFERROR(__xludf.DUMMYFUNCTION("""COMPUTED_VALUE"""),108.5)</f>
        <v>108.5</v>
      </c>
      <c r="S252" s="1">
        <f ca="1">IFERROR(__xludf.DUMMYFUNCTION("""COMPUTED_VALUE"""),329)</f>
        <v>329</v>
      </c>
      <c r="T252" s="1">
        <f ca="1">IFERROR(__xludf.DUMMYFUNCTION("""COMPUTED_VALUE"""),-1.76)</f>
        <v>-1.76</v>
      </c>
      <c r="U252" s="1">
        <f ca="1">IFERROR(__xludf.DUMMYFUNCTION("""COMPUTED_VALUE"""),211)</f>
        <v>211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IFERROR(__xludf.DUMMYFUNCTION("""COMPUTED_VALUE"""),"California")</f>
        <v>California</v>
      </c>
      <c r="C255" s="1" t="str">
        <f ca="1">IFERROR(__xludf.DUMMYFUNCTION("""COMPUTED_VALUE"""),"P12")</f>
        <v>P12</v>
      </c>
      <c r="D255" s="2">
        <f ca="1">IFERROR(__xludf.DUMMYFUNCTION("""COMPUTED_VALUE"""),44796)</f>
        <v>44796</v>
      </c>
      <c r="E255" s="1">
        <f ca="1">IFERROR(__xludf.DUMMYFUNCTION("""COMPUTED_VALUE"""),-6.84)</f>
        <v>-6.84</v>
      </c>
      <c r="F255" s="1">
        <f ca="1">IFERROR(__xludf.DUMMYFUNCTION("""COMPUTED_VALUE"""),103.5)</f>
        <v>103.5</v>
      </c>
      <c r="G255" s="1">
        <f ca="1">IFERROR(__xludf.DUMMYFUNCTION("""COMPUTED_VALUE"""),192)</f>
        <v>192</v>
      </c>
      <c r="H255" s="1">
        <f ca="1">IFERROR(__xludf.DUMMYFUNCTION("""COMPUTED_VALUE"""),110.3)</f>
        <v>110.3</v>
      </c>
      <c r="I255" s="1">
        <f ca="1">IFERROR(__xludf.DUMMYFUNCTION("""COMPUTED_VALUE"""),286)</f>
        <v>286</v>
      </c>
      <c r="J255" s="1">
        <f ca="1">IFERROR(__xludf.DUMMYFUNCTION("""COMPUTED_VALUE"""),66.6)</f>
        <v>66.599999999999994</v>
      </c>
      <c r="K255" s="1">
        <f ca="1">IFERROR(__xludf.DUMMYFUNCTION("""COMPUTED_VALUE"""),234)</f>
        <v>234</v>
      </c>
      <c r="L255" s="1" t="str">
        <f ca="1">IFERROR(__xludf.DUMMYFUNCTION("""COMPUTED_VALUE"""),"+.037")</f>
        <v>+.037</v>
      </c>
      <c r="M255" s="1">
        <f ca="1">IFERROR(__xludf.DUMMYFUNCTION("""COMPUTED_VALUE"""),89)</f>
        <v>89</v>
      </c>
      <c r="N255" s="1" t="str">
        <f ca="1">IFERROR(__xludf.DUMMYFUNCTION("""COMPUTED_VALUE"""),"+4.76")</f>
        <v>+4.76</v>
      </c>
      <c r="O255" s="1">
        <f ca="1">IFERROR(__xludf.DUMMYFUNCTION("""COMPUTED_VALUE"""),73)</f>
        <v>73</v>
      </c>
      <c r="P255" s="1">
        <f ca="1">IFERROR(__xludf.DUMMYFUNCTION("""COMPUTED_VALUE"""),106.7)</f>
        <v>106.7</v>
      </c>
      <c r="Q255" s="1">
        <f ca="1">IFERROR(__xludf.DUMMYFUNCTION("""COMPUTED_VALUE"""),75)</f>
        <v>75</v>
      </c>
      <c r="R255" s="1">
        <f ca="1">IFERROR(__xludf.DUMMYFUNCTION("""COMPUTED_VALUE"""),102)</f>
        <v>102</v>
      </c>
      <c r="S255" s="1">
        <f ca="1">IFERROR(__xludf.DUMMYFUNCTION("""COMPUTED_VALUE"""),72)</f>
        <v>72</v>
      </c>
      <c r="T255" s="1">
        <f ca="1">IFERROR(__xludf.DUMMYFUNCTION("""COMPUTED_VALUE"""),-0.07)</f>
        <v>-7.0000000000000007E-2</v>
      </c>
      <c r="U255" s="1">
        <f ca="1">IFERROR(__xludf.DUMMYFUNCTION("""COMPUTED_VALUE"""),164)</f>
        <v>164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IFERROR(__xludf.DUMMYFUNCTION("""COMPUTED_VALUE"""),"Army")</f>
        <v>Army</v>
      </c>
      <c r="C256" s="1" t="str">
        <f ca="1">IFERROR(__xludf.DUMMYFUNCTION("""COMPUTED_VALUE"""),"Pat")</f>
        <v>Pat</v>
      </c>
      <c r="D256" s="1" t="str">
        <f ca="1">IFERROR(__xludf.DUMMYFUNCTION("""COMPUTED_VALUE"""),"13-19")</f>
        <v>13-19</v>
      </c>
      <c r="E256" s="1">
        <f ca="1">IFERROR(__xludf.DUMMYFUNCTION("""COMPUTED_VALUE"""),-6.89)</f>
        <v>-6.89</v>
      </c>
      <c r="F256" s="1">
        <f ca="1">IFERROR(__xludf.DUMMYFUNCTION("""COMPUTED_VALUE"""),96.3)</f>
        <v>96.3</v>
      </c>
      <c r="G256" s="1">
        <f ca="1">IFERROR(__xludf.DUMMYFUNCTION("""COMPUTED_VALUE"""),312)</f>
        <v>312</v>
      </c>
      <c r="H256" s="1">
        <f ca="1">IFERROR(__xludf.DUMMYFUNCTION("""COMPUTED_VALUE"""),103.2)</f>
        <v>103.2</v>
      </c>
      <c r="I256" s="1">
        <f ca="1">IFERROR(__xludf.DUMMYFUNCTION("""COMPUTED_VALUE"""),147)</f>
        <v>147</v>
      </c>
      <c r="J256" s="1">
        <f ca="1">IFERROR(__xludf.DUMMYFUNCTION("""COMPUTED_VALUE"""),69.8)</f>
        <v>69.8</v>
      </c>
      <c r="K256" s="1">
        <f ca="1">IFERROR(__xludf.DUMMYFUNCTION("""COMPUTED_VALUE"""),75)</f>
        <v>75</v>
      </c>
      <c r="L256" s="1">
        <f ca="1">IFERROR(__xludf.DUMMYFUNCTION("""COMPUTED_VALUE"""),-0.028)</f>
        <v>-2.8000000000000001E-2</v>
      </c>
      <c r="M256" s="1">
        <f ca="1">IFERROR(__xludf.DUMMYFUNCTION("""COMPUTED_VALUE"""),252)</f>
        <v>252</v>
      </c>
      <c r="N256" s="1">
        <f ca="1">IFERROR(__xludf.DUMMYFUNCTION("""COMPUTED_VALUE"""),-4.73)</f>
        <v>-4.7300000000000004</v>
      </c>
      <c r="O256" s="1">
        <f ca="1">IFERROR(__xludf.DUMMYFUNCTION("""COMPUTED_VALUE"""),266)</f>
        <v>266</v>
      </c>
      <c r="P256" s="1">
        <f ca="1">IFERROR(__xludf.DUMMYFUNCTION("""COMPUTED_VALUE"""),103.3)</f>
        <v>103.3</v>
      </c>
      <c r="Q256" s="1">
        <f ca="1">IFERROR(__xludf.DUMMYFUNCTION("""COMPUTED_VALUE"""),205)</f>
        <v>205</v>
      </c>
      <c r="R256" s="1">
        <f ca="1">IFERROR(__xludf.DUMMYFUNCTION("""COMPUTED_VALUE"""),108.1)</f>
        <v>108.1</v>
      </c>
      <c r="S256" s="1">
        <f ca="1">IFERROR(__xludf.DUMMYFUNCTION("""COMPUTED_VALUE"""),316)</f>
        <v>316</v>
      </c>
      <c r="T256" s="1">
        <f ca="1">IFERROR(__xludf.DUMMYFUNCTION("""COMPUTED_VALUE"""),-4.89)</f>
        <v>-4.8899999999999997</v>
      </c>
      <c r="U256" s="1">
        <f ca="1">IFERROR(__xludf.DUMMYFUNCTION("""COMPUTED_VALUE"""),297)</f>
        <v>297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IFERROR(__xludf.DUMMYFUNCTION("""COMPUTED_VALUE"""),"Air Force")</f>
        <v>Air Force</v>
      </c>
      <c r="C257" s="1" t="str">
        <f ca="1">IFERROR(__xludf.DUMMYFUNCTION("""COMPUTED_VALUE"""),"MWC")</f>
        <v>MWC</v>
      </c>
      <c r="D257" s="1" t="str">
        <f ca="1">IFERROR(__xludf.DUMMYFUNCTION("""COMPUTED_VALUE"""),"14-18")</f>
        <v>14-18</v>
      </c>
      <c r="E257" s="1">
        <f ca="1">IFERROR(__xludf.DUMMYFUNCTION("""COMPUTED_VALUE"""),-7.06)</f>
        <v>-7.06</v>
      </c>
      <c r="F257" s="1">
        <f ca="1">IFERROR(__xludf.DUMMYFUNCTION("""COMPUTED_VALUE"""),100.6)</f>
        <v>100.6</v>
      </c>
      <c r="G257" s="1">
        <f ca="1">IFERROR(__xludf.DUMMYFUNCTION("""COMPUTED_VALUE"""),252)</f>
        <v>252</v>
      </c>
      <c r="H257" s="1">
        <f ca="1">IFERROR(__xludf.DUMMYFUNCTION("""COMPUTED_VALUE"""),107.7)</f>
        <v>107.7</v>
      </c>
      <c r="I257" s="1">
        <f ca="1">IFERROR(__xludf.DUMMYFUNCTION("""COMPUTED_VALUE"""),242)</f>
        <v>242</v>
      </c>
      <c r="J257" s="1">
        <f ca="1">IFERROR(__xludf.DUMMYFUNCTION("""COMPUTED_VALUE"""),66.6)</f>
        <v>66.599999999999994</v>
      </c>
      <c r="K257" s="1">
        <f ca="1">IFERROR(__xludf.DUMMYFUNCTION("""COMPUTED_VALUE"""),235)</f>
        <v>235</v>
      </c>
      <c r="L257" s="1" t="str">
        <f ca="1">IFERROR(__xludf.DUMMYFUNCTION("""COMPUTED_VALUE"""),"+.030")</f>
        <v>+.030</v>
      </c>
      <c r="M257" s="1">
        <f ca="1">IFERROR(__xludf.DUMMYFUNCTION("""COMPUTED_VALUE"""),103)</f>
        <v>103</v>
      </c>
      <c r="N257" s="1">
        <f ca="1">IFERROR(__xludf.DUMMYFUNCTION("""COMPUTED_VALUE"""),-1.62)</f>
        <v>-1.62</v>
      </c>
      <c r="O257" s="1">
        <f ca="1">IFERROR(__xludf.DUMMYFUNCTION("""COMPUTED_VALUE"""),182)</f>
        <v>182</v>
      </c>
      <c r="P257" s="1">
        <f ca="1">IFERROR(__xludf.DUMMYFUNCTION("""COMPUTED_VALUE"""),102.9)</f>
        <v>102.9</v>
      </c>
      <c r="Q257" s="1">
        <f ca="1">IFERROR(__xludf.DUMMYFUNCTION("""COMPUTED_VALUE"""),230)</f>
        <v>230</v>
      </c>
      <c r="R257" s="1">
        <f ca="1">IFERROR(__xludf.DUMMYFUNCTION("""COMPUTED_VALUE"""),104.5)</f>
        <v>104.5</v>
      </c>
      <c r="S257" s="1">
        <f ca="1">IFERROR(__xludf.DUMMYFUNCTION("""COMPUTED_VALUE"""),160)</f>
        <v>160</v>
      </c>
      <c r="T257" s="1">
        <f ca="1">IFERROR(__xludf.DUMMYFUNCTION("""COMPUTED_VALUE"""),-4.14)</f>
        <v>-4.1399999999999997</v>
      </c>
      <c r="U257" s="1">
        <f ca="1">IFERROR(__xludf.DUMMYFUNCTION("""COMPUTED_VALUE"""),280)</f>
        <v>280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IFERROR(__xludf.DUMMYFUNCTION("""COMPUTED_VALUE"""),"Norfolk St.8")</f>
        <v>Norfolk St.8</v>
      </c>
      <c r="C258" s="1" t="str">
        <f ca="1">IFERROR(__xludf.DUMMYFUNCTION("""COMPUTED_VALUE"""),"MEAC")</f>
        <v>MEAC</v>
      </c>
      <c r="D258" s="1" t="str">
        <f ca="1">IFERROR(__xludf.DUMMYFUNCTION("""COMPUTED_VALUE"""),"22-14")</f>
        <v>22-14</v>
      </c>
      <c r="E258" s="1">
        <f ca="1">IFERROR(__xludf.DUMMYFUNCTION("""COMPUTED_VALUE"""),-7.23)</f>
        <v>-7.23</v>
      </c>
      <c r="F258" s="1">
        <f ca="1">IFERROR(__xludf.DUMMYFUNCTION("""COMPUTED_VALUE"""),98.5)</f>
        <v>98.5</v>
      </c>
      <c r="G258" s="1">
        <f ca="1">IFERROR(__xludf.DUMMYFUNCTION("""COMPUTED_VALUE"""),284)</f>
        <v>284</v>
      </c>
      <c r="H258" s="1">
        <f ca="1">IFERROR(__xludf.DUMMYFUNCTION("""COMPUTED_VALUE"""),105.7)</f>
        <v>105.7</v>
      </c>
      <c r="I258" s="1">
        <f ca="1">IFERROR(__xludf.DUMMYFUNCTION("""COMPUTED_VALUE"""),196)</f>
        <v>196</v>
      </c>
      <c r="J258" s="1">
        <f ca="1">IFERROR(__xludf.DUMMYFUNCTION("""COMPUTED_VALUE"""),69.2)</f>
        <v>69.2</v>
      </c>
      <c r="K258" s="1">
        <f ca="1">IFERROR(__xludf.DUMMYFUNCTION("""COMPUTED_VALUE"""),98)</f>
        <v>98</v>
      </c>
      <c r="L258" s="1" t="str">
        <f ca="1">IFERROR(__xludf.DUMMYFUNCTION("""COMPUTED_VALUE"""),"+.059")</f>
        <v>+.059</v>
      </c>
      <c r="M258" s="1">
        <f ca="1">IFERROR(__xludf.DUMMYFUNCTION("""COMPUTED_VALUE"""),46)</f>
        <v>46</v>
      </c>
      <c r="N258" s="1">
        <f ca="1">IFERROR(__xludf.DUMMYFUNCTION("""COMPUTED_VALUE"""),-9.6)</f>
        <v>-9.6</v>
      </c>
      <c r="O258" s="1">
        <f ca="1">IFERROR(__xludf.DUMMYFUNCTION("""COMPUTED_VALUE"""),347)</f>
        <v>347</v>
      </c>
      <c r="P258" s="1">
        <f ca="1">IFERROR(__xludf.DUMMYFUNCTION("""COMPUTED_VALUE"""),98)</f>
        <v>98</v>
      </c>
      <c r="Q258" s="1">
        <f ca="1">IFERROR(__xludf.DUMMYFUNCTION("""COMPUTED_VALUE"""),348)</f>
        <v>348</v>
      </c>
      <c r="R258" s="1">
        <f ca="1">IFERROR(__xludf.DUMMYFUNCTION("""COMPUTED_VALUE"""),107.6)</f>
        <v>107.6</v>
      </c>
      <c r="S258" s="1">
        <f ca="1">IFERROR(__xludf.DUMMYFUNCTION("""COMPUTED_VALUE"""),287)</f>
        <v>287</v>
      </c>
      <c r="T258" s="1" t="str">
        <f ca="1">IFERROR(__xludf.DUMMYFUNCTION("""COMPUTED_VALUE"""),"+1.35")</f>
        <v>+1.35</v>
      </c>
      <c r="U258" s="1">
        <f ca="1">IFERROR(__xludf.DUMMYFUNCTION("""COMPUTED_VALUE"""),116)</f>
        <v>116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IFERROR(__xludf.DUMMYFUNCTION("""COMPUTED_VALUE"""),"Morehead St.")</f>
        <v>Morehead St.</v>
      </c>
      <c r="C259" s="1" t="str">
        <f ca="1">IFERROR(__xludf.DUMMYFUNCTION("""COMPUTED_VALUE"""),"OVC")</f>
        <v>OVC</v>
      </c>
      <c r="D259" s="1" t="str">
        <f ca="1">IFERROR(__xludf.DUMMYFUNCTION("""COMPUTED_VALUE"""),"13-20")</f>
        <v>13-20</v>
      </c>
      <c r="E259" s="1">
        <f ca="1">IFERROR(__xludf.DUMMYFUNCTION("""COMPUTED_VALUE"""),-7.27)</f>
        <v>-7.27</v>
      </c>
      <c r="F259" s="1">
        <f ca="1">IFERROR(__xludf.DUMMYFUNCTION("""COMPUTED_VALUE"""),102.7)</f>
        <v>102.7</v>
      </c>
      <c r="G259" s="1">
        <f ca="1">IFERROR(__xludf.DUMMYFUNCTION("""COMPUTED_VALUE"""),205)</f>
        <v>205</v>
      </c>
      <c r="H259" s="1">
        <f ca="1">IFERROR(__xludf.DUMMYFUNCTION("""COMPUTED_VALUE"""),110)</f>
        <v>110</v>
      </c>
      <c r="I259" s="1">
        <f ca="1">IFERROR(__xludf.DUMMYFUNCTION("""COMPUTED_VALUE"""),280)</f>
        <v>280</v>
      </c>
      <c r="J259" s="1">
        <f ca="1">IFERROR(__xludf.DUMMYFUNCTION("""COMPUTED_VALUE"""),67.2)</f>
        <v>67.2</v>
      </c>
      <c r="K259" s="1">
        <f ca="1">IFERROR(__xludf.DUMMYFUNCTION("""COMPUTED_VALUE"""),200)</f>
        <v>200</v>
      </c>
      <c r="L259" s="1" t="str">
        <f ca="1">IFERROR(__xludf.DUMMYFUNCTION("""COMPUTED_VALUE"""),"+.060")</f>
        <v>+.060</v>
      </c>
      <c r="M259" s="1">
        <f ca="1">IFERROR(__xludf.DUMMYFUNCTION("""COMPUTED_VALUE"""),42)</f>
        <v>42</v>
      </c>
      <c r="N259" s="1">
        <f ca="1">IFERROR(__xludf.DUMMYFUNCTION("""COMPUTED_VALUE"""),-0.12)</f>
        <v>-0.12</v>
      </c>
      <c r="O259" s="1">
        <f ca="1">IFERROR(__xludf.DUMMYFUNCTION("""COMPUTED_VALUE"""),141)</f>
        <v>141</v>
      </c>
      <c r="P259" s="1">
        <f ca="1">IFERROR(__xludf.DUMMYFUNCTION("""COMPUTED_VALUE"""),104.9)</f>
        <v>104.9</v>
      </c>
      <c r="Q259" s="1">
        <f ca="1">IFERROR(__xludf.DUMMYFUNCTION("""COMPUTED_VALUE"""),131)</f>
        <v>131</v>
      </c>
      <c r="R259" s="1">
        <f ca="1">IFERROR(__xludf.DUMMYFUNCTION("""COMPUTED_VALUE"""),105)</f>
        <v>105</v>
      </c>
      <c r="S259" s="1">
        <f ca="1">IFERROR(__xludf.DUMMYFUNCTION("""COMPUTED_VALUE"""),176)</f>
        <v>176</v>
      </c>
      <c r="T259" s="1" t="str">
        <f ca="1">IFERROR(__xludf.DUMMYFUNCTION("""COMPUTED_VALUE"""),"+5.35")</f>
        <v>+5.35</v>
      </c>
      <c r="U259" s="1">
        <f ca="1">IFERROR(__xludf.DUMMYFUNCTION("""COMPUTED_VALUE"""),33)</f>
        <v>33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IFERROR(__xludf.DUMMYFUNCTION("""COMPUTED_VALUE"""),"Middle Tennessee")</f>
        <v>Middle Tennessee</v>
      </c>
      <c r="C260" s="1" t="str">
        <f ca="1">IFERROR(__xludf.DUMMYFUNCTION("""COMPUTED_VALUE"""),"CUSA")</f>
        <v>CUSA</v>
      </c>
      <c r="D260" s="2">
        <f ca="1">IFERROR(__xludf.DUMMYFUNCTION("""COMPUTED_VALUE"""),44886)</f>
        <v>44886</v>
      </c>
      <c r="E260" s="1">
        <f ca="1">IFERROR(__xludf.DUMMYFUNCTION("""COMPUTED_VALUE"""),-7.28)</f>
        <v>-7.28</v>
      </c>
      <c r="F260" s="1">
        <f ca="1">IFERROR(__xludf.DUMMYFUNCTION("""COMPUTED_VALUE"""),98.3)</f>
        <v>98.3</v>
      </c>
      <c r="G260" s="1">
        <f ca="1">IFERROR(__xludf.DUMMYFUNCTION("""COMPUTED_VALUE"""),288)</f>
        <v>288</v>
      </c>
      <c r="H260" s="1">
        <f ca="1">IFERROR(__xludf.DUMMYFUNCTION("""COMPUTED_VALUE"""),105.6)</f>
        <v>105.6</v>
      </c>
      <c r="I260" s="1">
        <f ca="1">IFERROR(__xludf.DUMMYFUNCTION("""COMPUTED_VALUE"""),193)</f>
        <v>193</v>
      </c>
      <c r="J260" s="1">
        <f ca="1">IFERROR(__xludf.DUMMYFUNCTION("""COMPUTED_VALUE"""),67.6)</f>
        <v>67.599999999999994</v>
      </c>
      <c r="K260" s="1">
        <f ca="1">IFERROR(__xludf.DUMMYFUNCTION("""COMPUTED_VALUE"""),175)</f>
        <v>175</v>
      </c>
      <c r="L260" s="1" t="str">
        <f ca="1">IFERROR(__xludf.DUMMYFUNCTION("""COMPUTED_VALUE"""),"+.013")</f>
        <v>+.013</v>
      </c>
      <c r="M260" s="1">
        <f ca="1">IFERROR(__xludf.DUMMYFUNCTION("""COMPUTED_VALUE"""),146)</f>
        <v>146</v>
      </c>
      <c r="N260" s="1" t="str">
        <f ca="1">IFERROR(__xludf.DUMMYFUNCTION("""COMPUTED_VALUE"""),"+1.70")</f>
        <v>+1.70</v>
      </c>
      <c r="O260" s="1">
        <f ca="1">IFERROR(__xludf.DUMMYFUNCTION("""COMPUTED_VALUE"""),98)</f>
        <v>98</v>
      </c>
      <c r="P260" s="1">
        <f ca="1">IFERROR(__xludf.DUMMYFUNCTION("""COMPUTED_VALUE"""),104.1)</f>
        <v>104.1</v>
      </c>
      <c r="Q260" s="1">
        <f ca="1">IFERROR(__xludf.DUMMYFUNCTION("""COMPUTED_VALUE"""),166)</f>
        <v>166</v>
      </c>
      <c r="R260" s="1">
        <f ca="1">IFERROR(__xludf.DUMMYFUNCTION("""COMPUTED_VALUE"""),102.4)</f>
        <v>102.4</v>
      </c>
      <c r="S260" s="1">
        <f ca="1">IFERROR(__xludf.DUMMYFUNCTION("""COMPUTED_VALUE"""),83)</f>
        <v>83</v>
      </c>
      <c r="T260" s="1" t="str">
        <f ca="1">IFERROR(__xludf.DUMMYFUNCTION("""COMPUTED_VALUE"""),"+10.01")</f>
        <v>+10.01</v>
      </c>
      <c r="U260" s="1">
        <f ca="1">IFERROR(__xludf.DUMMYFUNCTION("""COMPUTED_VALUE"""),5)</f>
        <v>5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IFERROR(__xludf.DUMMYFUNCTION("""COMPUTED_VALUE"""),"Jacksonville")</f>
        <v>Jacksonville</v>
      </c>
      <c r="C261" s="1" t="str">
        <f ca="1">IFERROR(__xludf.DUMMYFUNCTION("""COMPUTED_VALUE"""),"ASun")</f>
        <v>ASun</v>
      </c>
      <c r="D261" s="2">
        <f ca="1">IFERROR(__xludf.DUMMYFUNCTION("""COMPUTED_VALUE"""),44915)</f>
        <v>44915</v>
      </c>
      <c r="E261" s="1">
        <f ca="1">IFERROR(__xludf.DUMMYFUNCTION("""COMPUTED_VALUE"""),-7.41)</f>
        <v>-7.41</v>
      </c>
      <c r="F261" s="1">
        <f ca="1">IFERROR(__xludf.DUMMYFUNCTION("""COMPUTED_VALUE"""),99.1)</f>
        <v>99.1</v>
      </c>
      <c r="G261" s="1">
        <f ca="1">IFERROR(__xludf.DUMMYFUNCTION("""COMPUTED_VALUE"""),276)</f>
        <v>276</v>
      </c>
      <c r="H261" s="1">
        <f ca="1">IFERROR(__xludf.DUMMYFUNCTION("""COMPUTED_VALUE"""),106.5)</f>
        <v>106.5</v>
      </c>
      <c r="I261" s="1">
        <f ca="1">IFERROR(__xludf.DUMMYFUNCTION("""COMPUTED_VALUE"""),216)</f>
        <v>216</v>
      </c>
      <c r="J261" s="1">
        <f ca="1">IFERROR(__xludf.DUMMYFUNCTION("""COMPUTED_VALUE"""),70.9)</f>
        <v>70.900000000000006</v>
      </c>
      <c r="K261" s="1">
        <f ca="1">IFERROR(__xludf.DUMMYFUNCTION("""COMPUTED_VALUE"""),42)</f>
        <v>42</v>
      </c>
      <c r="L261" s="1">
        <f ca="1">IFERROR(__xludf.DUMMYFUNCTION("""COMPUTED_VALUE"""),-0.056)</f>
        <v>-5.6000000000000001E-2</v>
      </c>
      <c r="M261" s="1">
        <f ca="1">IFERROR(__xludf.DUMMYFUNCTION("""COMPUTED_VALUE"""),303)</f>
        <v>303</v>
      </c>
      <c r="N261" s="1">
        <f ca="1">IFERROR(__xludf.DUMMYFUNCTION("""COMPUTED_VALUE"""),-3.47)</f>
        <v>-3.47</v>
      </c>
      <c r="O261" s="1">
        <f ca="1">IFERROR(__xludf.DUMMYFUNCTION("""COMPUTED_VALUE"""),238)</f>
        <v>238</v>
      </c>
      <c r="P261" s="1">
        <f ca="1">IFERROR(__xludf.DUMMYFUNCTION("""COMPUTED_VALUE"""),102.5)</f>
        <v>102.5</v>
      </c>
      <c r="Q261" s="1">
        <f ca="1">IFERROR(__xludf.DUMMYFUNCTION("""COMPUTED_VALUE"""),251)</f>
        <v>251</v>
      </c>
      <c r="R261" s="1">
        <f ca="1">IFERROR(__xludf.DUMMYFUNCTION("""COMPUTED_VALUE"""),105.9)</f>
        <v>105.9</v>
      </c>
      <c r="S261" s="1">
        <f ca="1">IFERROR(__xludf.DUMMYFUNCTION("""COMPUTED_VALUE"""),210)</f>
        <v>210</v>
      </c>
      <c r="T261" s="1">
        <f ca="1">IFERROR(__xludf.DUMMYFUNCTION("""COMPUTED_VALUE"""),-4.21)</f>
        <v>-4.21</v>
      </c>
      <c r="U261" s="1">
        <f ca="1">IFERROR(__xludf.DUMMYFUNCTION("""COMPUTED_VALUE"""),285)</f>
        <v>285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IFERROR(__xludf.DUMMYFUNCTION("""COMPUTED_VALUE"""),"Rice")</f>
        <v>Rice</v>
      </c>
      <c r="C262" s="1" t="str">
        <f ca="1">IFERROR(__xludf.DUMMYFUNCTION("""COMPUTED_VALUE"""),"CUSA")</f>
        <v>CUSA</v>
      </c>
      <c r="D262" s="1" t="str">
        <f ca="1">IFERROR(__xludf.DUMMYFUNCTION("""COMPUTED_VALUE"""),"13-19")</f>
        <v>13-19</v>
      </c>
      <c r="E262" s="1">
        <f ca="1">IFERROR(__xludf.DUMMYFUNCTION("""COMPUTED_VALUE"""),-7.45)</f>
        <v>-7.45</v>
      </c>
      <c r="F262" s="1">
        <f ca="1">IFERROR(__xludf.DUMMYFUNCTION("""COMPUTED_VALUE"""),103.2)</f>
        <v>103.2</v>
      </c>
      <c r="G262" s="1">
        <f ca="1">IFERROR(__xludf.DUMMYFUNCTION("""COMPUTED_VALUE"""),198)</f>
        <v>198</v>
      </c>
      <c r="H262" s="1">
        <f ca="1">IFERROR(__xludf.DUMMYFUNCTION("""COMPUTED_VALUE"""),110.7)</f>
        <v>110.7</v>
      </c>
      <c r="I262" s="1">
        <f ca="1">IFERROR(__xludf.DUMMYFUNCTION("""COMPUTED_VALUE"""),294)</f>
        <v>294</v>
      </c>
      <c r="J262" s="1">
        <f ca="1">IFERROR(__xludf.DUMMYFUNCTION("""COMPUTED_VALUE"""),70.1)</f>
        <v>70.099999999999994</v>
      </c>
      <c r="K262" s="1">
        <f ca="1">IFERROR(__xludf.DUMMYFUNCTION("""COMPUTED_VALUE"""),63)</f>
        <v>63</v>
      </c>
      <c r="L262" s="1" t="str">
        <f ca="1">IFERROR(__xludf.DUMMYFUNCTION("""COMPUTED_VALUE"""),"+.000")</f>
        <v>+.000</v>
      </c>
      <c r="M262" s="1">
        <f ca="1">IFERROR(__xludf.DUMMYFUNCTION("""COMPUTED_VALUE"""),178)</f>
        <v>178</v>
      </c>
      <c r="N262" s="1">
        <f ca="1">IFERROR(__xludf.DUMMYFUNCTION("""COMPUTED_VALUE"""),-2.19)</f>
        <v>-2.19</v>
      </c>
      <c r="O262" s="1">
        <f ca="1">IFERROR(__xludf.DUMMYFUNCTION("""COMPUTED_VALUE"""),205)</f>
        <v>205</v>
      </c>
      <c r="P262" s="1">
        <f ca="1">IFERROR(__xludf.DUMMYFUNCTION("""COMPUTED_VALUE"""),101.3)</f>
        <v>101.3</v>
      </c>
      <c r="Q262" s="1">
        <f ca="1">IFERROR(__xludf.DUMMYFUNCTION("""COMPUTED_VALUE"""),290)</f>
        <v>290</v>
      </c>
      <c r="R262" s="1">
        <f ca="1">IFERROR(__xludf.DUMMYFUNCTION("""COMPUTED_VALUE"""),103.5)</f>
        <v>103.5</v>
      </c>
      <c r="S262" s="1">
        <f ca="1">IFERROR(__xludf.DUMMYFUNCTION("""COMPUTED_VALUE"""),111)</f>
        <v>111</v>
      </c>
      <c r="T262" s="1" t="str">
        <f ca="1">IFERROR(__xludf.DUMMYFUNCTION("""COMPUTED_VALUE"""),"+0.38")</f>
        <v>+0.38</v>
      </c>
      <c r="U262" s="1">
        <f ca="1">IFERROR(__xludf.DUMMYFUNCTION("""COMPUTED_VALUE"""),147)</f>
        <v>147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IFERROR(__xludf.DUMMYFUNCTION("""COMPUTED_VALUE"""),"Troy")</f>
        <v>Troy</v>
      </c>
      <c r="C263" s="1" t="str">
        <f ca="1">IFERROR(__xludf.DUMMYFUNCTION("""COMPUTED_VALUE"""),"SB")</f>
        <v>SB</v>
      </c>
      <c r="D263" s="2">
        <f ca="1">IFERROR(__xludf.DUMMYFUNCTION("""COMPUTED_VALUE"""),44913)</f>
        <v>44913</v>
      </c>
      <c r="E263" s="1">
        <f ca="1">IFERROR(__xludf.DUMMYFUNCTION("""COMPUTED_VALUE"""),-7.49)</f>
        <v>-7.49</v>
      </c>
      <c r="F263" s="1">
        <f ca="1">IFERROR(__xludf.DUMMYFUNCTION("""COMPUTED_VALUE"""),102.9)</f>
        <v>102.9</v>
      </c>
      <c r="G263" s="1">
        <f ca="1">IFERROR(__xludf.DUMMYFUNCTION("""COMPUTED_VALUE"""),202)</f>
        <v>202</v>
      </c>
      <c r="H263" s="1">
        <f ca="1">IFERROR(__xludf.DUMMYFUNCTION("""COMPUTED_VALUE"""),110.4)</f>
        <v>110.4</v>
      </c>
      <c r="I263" s="1">
        <f ca="1">IFERROR(__xludf.DUMMYFUNCTION("""COMPUTED_VALUE"""),290)</f>
        <v>290</v>
      </c>
      <c r="J263" s="1">
        <f ca="1">IFERROR(__xludf.DUMMYFUNCTION("""COMPUTED_VALUE"""),67)</f>
        <v>67</v>
      </c>
      <c r="K263" s="1">
        <f ca="1">IFERROR(__xludf.DUMMYFUNCTION("""COMPUTED_VALUE"""),207)</f>
        <v>207</v>
      </c>
      <c r="L263" s="1" t="str">
        <f ca="1">IFERROR(__xludf.DUMMYFUNCTION("""COMPUTED_VALUE"""),"+.053")</f>
        <v>+.053</v>
      </c>
      <c r="M263" s="1">
        <f ca="1">IFERROR(__xludf.DUMMYFUNCTION("""COMPUTED_VALUE"""),56)</f>
        <v>56</v>
      </c>
      <c r="N263" s="1">
        <f ca="1">IFERROR(__xludf.DUMMYFUNCTION("""COMPUTED_VALUE"""),-0.57)</f>
        <v>-0.56999999999999995</v>
      </c>
      <c r="O263" s="1">
        <f ca="1">IFERROR(__xludf.DUMMYFUNCTION("""COMPUTED_VALUE"""),153)</f>
        <v>153</v>
      </c>
      <c r="P263" s="1">
        <f ca="1">IFERROR(__xludf.DUMMYFUNCTION("""COMPUTED_VALUE"""),104.5)</f>
        <v>104.5</v>
      </c>
      <c r="Q263" s="1">
        <f ca="1">IFERROR(__xludf.DUMMYFUNCTION("""COMPUTED_VALUE"""),149)</f>
        <v>149</v>
      </c>
      <c r="R263" s="1">
        <f ca="1">IFERROR(__xludf.DUMMYFUNCTION("""COMPUTED_VALUE"""),105)</f>
        <v>105</v>
      </c>
      <c r="S263" s="1">
        <f ca="1">IFERROR(__xludf.DUMMYFUNCTION("""COMPUTED_VALUE"""),182)</f>
        <v>182</v>
      </c>
      <c r="T263" s="1" t="str">
        <f ca="1">IFERROR(__xludf.DUMMYFUNCTION("""COMPUTED_VALUE"""),"+0.97")</f>
        <v>+0.97</v>
      </c>
      <c r="U263" s="1">
        <f ca="1">IFERROR(__xludf.DUMMYFUNCTION("""COMPUTED_VALUE"""),126)</f>
        <v>126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IFERROR(__xludf.DUMMYFUNCTION("""COMPUTED_VALUE"""),"Montana St.")</f>
        <v>Montana St.</v>
      </c>
      <c r="C264" s="1" t="str">
        <f ca="1">IFERROR(__xludf.DUMMYFUNCTION("""COMPUTED_VALUE"""),"BSky")</f>
        <v>BSky</v>
      </c>
      <c r="D264" s="1" t="str">
        <f ca="1">IFERROR(__xludf.DUMMYFUNCTION("""COMPUTED_VALUE"""),"15-17")</f>
        <v>15-17</v>
      </c>
      <c r="E264" s="1">
        <f ca="1">IFERROR(__xludf.DUMMYFUNCTION("""COMPUTED_VALUE"""),-7.57)</f>
        <v>-7.57</v>
      </c>
      <c r="F264" s="1">
        <f ca="1">IFERROR(__xludf.DUMMYFUNCTION("""COMPUTED_VALUE"""),107.8)</f>
        <v>107.8</v>
      </c>
      <c r="G264" s="1">
        <f ca="1">IFERROR(__xludf.DUMMYFUNCTION("""COMPUTED_VALUE"""),108)</f>
        <v>108</v>
      </c>
      <c r="H264" s="1">
        <f ca="1">IFERROR(__xludf.DUMMYFUNCTION("""COMPUTED_VALUE"""),115.4)</f>
        <v>115.4</v>
      </c>
      <c r="I264" s="1">
        <f ca="1">IFERROR(__xludf.DUMMYFUNCTION("""COMPUTED_VALUE"""),346)</f>
        <v>346</v>
      </c>
      <c r="J264" s="1">
        <f ca="1">IFERROR(__xludf.DUMMYFUNCTION("""COMPUTED_VALUE"""),70)</f>
        <v>70</v>
      </c>
      <c r="K264" s="1">
        <f ca="1">IFERROR(__xludf.DUMMYFUNCTION("""COMPUTED_VALUE"""),70)</f>
        <v>70</v>
      </c>
      <c r="L264" s="1" t="str">
        <f ca="1">IFERROR(__xludf.DUMMYFUNCTION("""COMPUTED_VALUE"""),"+.008")</f>
        <v>+.008</v>
      </c>
      <c r="M264" s="1">
        <f ca="1">IFERROR(__xludf.DUMMYFUNCTION("""COMPUTED_VALUE"""),160)</f>
        <v>160</v>
      </c>
      <c r="N264" s="1">
        <f ca="1">IFERROR(__xludf.DUMMYFUNCTION("""COMPUTED_VALUE"""),-6.49)</f>
        <v>-6.49</v>
      </c>
      <c r="O264" s="1">
        <f ca="1">IFERROR(__xludf.DUMMYFUNCTION("""COMPUTED_VALUE"""),297)</f>
        <v>297</v>
      </c>
      <c r="P264" s="1">
        <f ca="1">IFERROR(__xludf.DUMMYFUNCTION("""COMPUTED_VALUE"""),102.2)</f>
        <v>102.2</v>
      </c>
      <c r="Q264" s="1">
        <f ca="1">IFERROR(__xludf.DUMMYFUNCTION("""COMPUTED_VALUE"""),270)</f>
        <v>270</v>
      </c>
      <c r="R264" s="1">
        <f ca="1">IFERROR(__xludf.DUMMYFUNCTION("""COMPUTED_VALUE"""),108.7)</f>
        <v>108.7</v>
      </c>
      <c r="S264" s="1">
        <f ca="1">IFERROR(__xludf.DUMMYFUNCTION("""COMPUTED_VALUE"""),333)</f>
        <v>333</v>
      </c>
      <c r="T264" s="1" t="str">
        <f ca="1">IFERROR(__xludf.DUMMYFUNCTION("""COMPUTED_VALUE"""),"+3.49")</f>
        <v>+3.49</v>
      </c>
      <c r="U264" s="1">
        <f ca="1">IFERROR(__xludf.DUMMYFUNCTION("""COMPUTED_VALUE"""),71)</f>
        <v>71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IFERROR(__xludf.DUMMYFUNCTION("""COMPUTED_VALUE"""),"Drexel")</f>
        <v>Drexel</v>
      </c>
      <c r="C265" s="1" t="str">
        <f ca="1">IFERROR(__xludf.DUMMYFUNCTION("""COMPUTED_VALUE"""),"CAA")</f>
        <v>CAA</v>
      </c>
      <c r="D265" s="1" t="str">
        <f ca="1">IFERROR(__xludf.DUMMYFUNCTION("""COMPUTED_VALUE"""),"13-19")</f>
        <v>13-19</v>
      </c>
      <c r="E265" s="1">
        <f ca="1">IFERROR(__xludf.DUMMYFUNCTION("""COMPUTED_VALUE"""),-7.57)</f>
        <v>-7.57</v>
      </c>
      <c r="F265" s="1">
        <f ca="1">IFERROR(__xludf.DUMMYFUNCTION("""COMPUTED_VALUE"""),105.6)</f>
        <v>105.6</v>
      </c>
      <c r="G265" s="1">
        <f ca="1">IFERROR(__xludf.DUMMYFUNCTION("""COMPUTED_VALUE"""),151)</f>
        <v>151</v>
      </c>
      <c r="H265" s="1">
        <f ca="1">IFERROR(__xludf.DUMMYFUNCTION("""COMPUTED_VALUE"""),113.2)</f>
        <v>113.2</v>
      </c>
      <c r="I265" s="1">
        <f ca="1">IFERROR(__xludf.DUMMYFUNCTION("""COMPUTED_VALUE"""),327)</f>
        <v>327</v>
      </c>
      <c r="J265" s="1">
        <f ca="1">IFERROR(__xludf.DUMMYFUNCTION("""COMPUTED_VALUE"""),69.1)</f>
        <v>69.099999999999994</v>
      </c>
      <c r="K265" s="1">
        <f ca="1">IFERROR(__xludf.DUMMYFUNCTION("""COMPUTED_VALUE"""),102)</f>
        <v>102</v>
      </c>
      <c r="L265" s="1" t="str">
        <f ca="1">IFERROR(__xludf.DUMMYFUNCTION("""COMPUTED_VALUE"""),"+.004")</f>
        <v>+.004</v>
      </c>
      <c r="M265" s="1">
        <f ca="1">IFERROR(__xludf.DUMMYFUNCTION("""COMPUTED_VALUE"""),170)</f>
        <v>170</v>
      </c>
      <c r="N265" s="1">
        <f ca="1">IFERROR(__xludf.DUMMYFUNCTION("""COMPUTED_VALUE"""),-3.15)</f>
        <v>-3.15</v>
      </c>
      <c r="O265" s="1">
        <f ca="1">IFERROR(__xludf.DUMMYFUNCTION("""COMPUTED_VALUE"""),226)</f>
        <v>226</v>
      </c>
      <c r="P265" s="1">
        <f ca="1">IFERROR(__xludf.DUMMYFUNCTION("""COMPUTED_VALUE"""),104.6)</f>
        <v>104.6</v>
      </c>
      <c r="Q265" s="1">
        <f ca="1">IFERROR(__xludf.DUMMYFUNCTION("""COMPUTED_VALUE"""),143)</f>
        <v>143</v>
      </c>
      <c r="R265" s="1">
        <f ca="1">IFERROR(__xludf.DUMMYFUNCTION("""COMPUTED_VALUE"""),107.7)</f>
        <v>107.7</v>
      </c>
      <c r="S265" s="1">
        <f ca="1">IFERROR(__xludf.DUMMYFUNCTION("""COMPUTED_VALUE"""),301)</f>
        <v>301</v>
      </c>
      <c r="T265" s="1">
        <f ca="1">IFERROR(__xludf.DUMMYFUNCTION("""COMPUTED_VALUE"""),-1.56)</f>
        <v>-1.56</v>
      </c>
      <c r="U265" s="1">
        <f ca="1">IFERROR(__xludf.DUMMYFUNCTION("""COMPUTED_VALUE"""),205)</f>
        <v>205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IFERROR(__xludf.DUMMYFUNCTION("""COMPUTED_VALUE"""),"UC Davis")</f>
        <v>UC Davis</v>
      </c>
      <c r="C266" s="1" t="str">
        <f ca="1">IFERROR(__xludf.DUMMYFUNCTION("""COMPUTED_VALUE"""),"BW")</f>
        <v>BW</v>
      </c>
      <c r="D266" s="2">
        <f ca="1">IFERROR(__xludf.DUMMYFUNCTION("""COMPUTED_VALUE"""),44885)</f>
        <v>44885</v>
      </c>
      <c r="E266" s="1">
        <f ca="1">IFERROR(__xludf.DUMMYFUNCTION("""COMPUTED_VALUE"""),-7.61)</f>
        <v>-7.61</v>
      </c>
      <c r="F266" s="1">
        <f ca="1">IFERROR(__xludf.DUMMYFUNCTION("""COMPUTED_VALUE"""),96.5)</f>
        <v>96.5</v>
      </c>
      <c r="G266" s="1">
        <f ca="1">IFERROR(__xludf.DUMMYFUNCTION("""COMPUTED_VALUE"""),310)</f>
        <v>310</v>
      </c>
      <c r="H266" s="1">
        <f ca="1">IFERROR(__xludf.DUMMYFUNCTION("""COMPUTED_VALUE"""),104.1)</f>
        <v>104.1</v>
      </c>
      <c r="I266" s="1">
        <f ca="1">IFERROR(__xludf.DUMMYFUNCTION("""COMPUTED_VALUE"""),159)</f>
        <v>159</v>
      </c>
      <c r="J266" s="1">
        <f ca="1">IFERROR(__xludf.DUMMYFUNCTION("""COMPUTED_VALUE"""),65.9)</f>
        <v>65.900000000000006</v>
      </c>
      <c r="K266" s="1">
        <f ca="1">IFERROR(__xludf.DUMMYFUNCTION("""COMPUTED_VALUE"""),272)</f>
        <v>272</v>
      </c>
      <c r="L266" s="1">
        <f ca="1">IFERROR(__xludf.DUMMYFUNCTION("""COMPUTED_VALUE"""),-0.043)</f>
        <v>-4.2999999999999997E-2</v>
      </c>
      <c r="M266" s="1">
        <f ca="1">IFERROR(__xludf.DUMMYFUNCTION("""COMPUTED_VALUE"""),279)</f>
        <v>279</v>
      </c>
      <c r="N266" s="1">
        <f ca="1">IFERROR(__xludf.DUMMYFUNCTION("""COMPUTED_VALUE"""),-1.91)</f>
        <v>-1.91</v>
      </c>
      <c r="O266" s="1">
        <f ca="1">IFERROR(__xludf.DUMMYFUNCTION("""COMPUTED_VALUE"""),190)</f>
        <v>190</v>
      </c>
      <c r="P266" s="1">
        <f ca="1">IFERROR(__xludf.DUMMYFUNCTION("""COMPUTED_VALUE"""),103.1)</f>
        <v>103.1</v>
      </c>
      <c r="Q266" s="1">
        <f ca="1">IFERROR(__xludf.DUMMYFUNCTION("""COMPUTED_VALUE"""),217)</f>
        <v>217</v>
      </c>
      <c r="R266" s="1">
        <f ca="1">IFERROR(__xludf.DUMMYFUNCTION("""COMPUTED_VALUE"""),105)</f>
        <v>105</v>
      </c>
      <c r="S266" s="1">
        <f ca="1">IFERROR(__xludf.DUMMYFUNCTION("""COMPUTED_VALUE"""),184)</f>
        <v>184</v>
      </c>
      <c r="T266" s="1" t="str">
        <f ca="1">IFERROR(__xludf.DUMMYFUNCTION("""COMPUTED_VALUE"""),"+4.75")</f>
        <v>+4.75</v>
      </c>
      <c r="U266" s="1">
        <f ca="1">IFERROR(__xludf.DUMMYFUNCTION("""COMPUTED_VALUE"""),47)</f>
        <v>47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IFERROR(__xludf.DUMMYFUNCTION("""COMPUTED_VALUE"""),"Cal St. Northridge")</f>
        <v>Cal St. Northridge</v>
      </c>
      <c r="C267" s="1" t="str">
        <f ca="1">IFERROR(__xludf.DUMMYFUNCTION("""COMPUTED_VALUE"""),"BW")</f>
        <v>BW</v>
      </c>
      <c r="D267" s="1" t="str">
        <f ca="1">IFERROR(__xludf.DUMMYFUNCTION("""COMPUTED_VALUE"""),"13-21")</f>
        <v>13-21</v>
      </c>
      <c r="E267" s="1">
        <f ca="1">IFERROR(__xludf.DUMMYFUNCTION("""COMPUTED_VALUE"""),-7.74)</f>
        <v>-7.74</v>
      </c>
      <c r="F267" s="1">
        <f ca="1">IFERROR(__xludf.DUMMYFUNCTION("""COMPUTED_VALUE"""),104.8)</f>
        <v>104.8</v>
      </c>
      <c r="G267" s="1">
        <f ca="1">IFERROR(__xludf.DUMMYFUNCTION("""COMPUTED_VALUE"""),170)</f>
        <v>170</v>
      </c>
      <c r="H267" s="1">
        <f ca="1">IFERROR(__xludf.DUMMYFUNCTION("""COMPUTED_VALUE"""),112.5)</f>
        <v>112.5</v>
      </c>
      <c r="I267" s="1">
        <f ca="1">IFERROR(__xludf.DUMMYFUNCTION("""COMPUTED_VALUE"""),318)</f>
        <v>318</v>
      </c>
      <c r="J267" s="1">
        <f ca="1">IFERROR(__xludf.DUMMYFUNCTION("""COMPUTED_VALUE"""),70.9)</f>
        <v>70.900000000000006</v>
      </c>
      <c r="K267" s="1">
        <f ca="1">IFERROR(__xludf.DUMMYFUNCTION("""COMPUTED_VALUE"""),43)</f>
        <v>43</v>
      </c>
      <c r="L267" s="1">
        <f ca="1">IFERROR(__xludf.DUMMYFUNCTION("""COMPUTED_VALUE"""),-0.018)</f>
        <v>-1.7999999999999999E-2</v>
      </c>
      <c r="M267" s="1">
        <f ca="1">IFERROR(__xludf.DUMMYFUNCTION("""COMPUTED_VALUE"""),232)</f>
        <v>232</v>
      </c>
      <c r="N267" s="1">
        <f ca="1">IFERROR(__xludf.DUMMYFUNCTION("""COMPUTED_VALUE"""),-4.63)</f>
        <v>-4.63</v>
      </c>
      <c r="O267" s="1">
        <f ca="1">IFERROR(__xludf.DUMMYFUNCTION("""COMPUTED_VALUE"""),263)</f>
        <v>263</v>
      </c>
      <c r="P267" s="1">
        <f ca="1">IFERROR(__xludf.DUMMYFUNCTION("""COMPUTED_VALUE"""),101.7)</f>
        <v>101.7</v>
      </c>
      <c r="Q267" s="1">
        <f ca="1">IFERROR(__xludf.DUMMYFUNCTION("""COMPUTED_VALUE"""),282)</f>
        <v>282</v>
      </c>
      <c r="R267" s="1">
        <f ca="1">IFERROR(__xludf.DUMMYFUNCTION("""COMPUTED_VALUE"""),106.3)</f>
        <v>106.3</v>
      </c>
      <c r="S267" s="1">
        <f ca="1">IFERROR(__xludf.DUMMYFUNCTION("""COMPUTED_VALUE"""),225)</f>
        <v>225</v>
      </c>
      <c r="T267" s="1">
        <f ca="1">IFERROR(__xludf.DUMMYFUNCTION("""COMPUTED_VALUE"""),-4.09)</f>
        <v>-4.09</v>
      </c>
      <c r="U267" s="1">
        <f ca="1">IFERROR(__xludf.DUMMYFUNCTION("""COMPUTED_VALUE"""),279)</f>
        <v>279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IFERROR(__xludf.DUMMYFUNCTION("""COMPUTED_VALUE"""),"Arkansas St.")</f>
        <v>Arkansas St.</v>
      </c>
      <c r="C268" s="1" t="str">
        <f ca="1">IFERROR(__xludf.DUMMYFUNCTION("""COMPUTED_VALUE"""),"SB")</f>
        <v>SB</v>
      </c>
      <c r="D268" s="1" t="str">
        <f ca="1">IFERROR(__xludf.DUMMYFUNCTION("""COMPUTED_VALUE"""),"13-19")</f>
        <v>13-19</v>
      </c>
      <c r="E268" s="1">
        <f ca="1">IFERROR(__xludf.DUMMYFUNCTION("""COMPUTED_VALUE"""),-7.8)</f>
        <v>-7.8</v>
      </c>
      <c r="F268" s="1">
        <f ca="1">IFERROR(__xludf.DUMMYFUNCTION("""COMPUTED_VALUE"""),102.4)</f>
        <v>102.4</v>
      </c>
      <c r="G268" s="1">
        <f ca="1">IFERROR(__xludf.DUMMYFUNCTION("""COMPUTED_VALUE"""),210)</f>
        <v>210</v>
      </c>
      <c r="H268" s="1">
        <f ca="1">IFERROR(__xludf.DUMMYFUNCTION("""COMPUTED_VALUE"""),110.2)</f>
        <v>110.2</v>
      </c>
      <c r="I268" s="1">
        <f ca="1">IFERROR(__xludf.DUMMYFUNCTION("""COMPUTED_VALUE"""),285)</f>
        <v>285</v>
      </c>
      <c r="J268" s="1">
        <f ca="1">IFERROR(__xludf.DUMMYFUNCTION("""COMPUTED_VALUE"""),68.3)</f>
        <v>68.3</v>
      </c>
      <c r="K268" s="1">
        <f ca="1">IFERROR(__xludf.DUMMYFUNCTION("""COMPUTED_VALUE"""),140)</f>
        <v>140</v>
      </c>
      <c r="L268" s="1" t="str">
        <f ca="1">IFERROR(__xludf.DUMMYFUNCTION("""COMPUTED_VALUE"""),"+.086")</f>
        <v>+.086</v>
      </c>
      <c r="M268" s="1">
        <f ca="1">IFERROR(__xludf.DUMMYFUNCTION("""COMPUTED_VALUE"""),14)</f>
        <v>14</v>
      </c>
      <c r="N268" s="1">
        <f ca="1">IFERROR(__xludf.DUMMYFUNCTION("""COMPUTED_VALUE"""),-0.66)</f>
        <v>-0.66</v>
      </c>
      <c r="O268" s="1">
        <f ca="1">IFERROR(__xludf.DUMMYFUNCTION("""COMPUTED_VALUE"""),159)</f>
        <v>159</v>
      </c>
      <c r="P268" s="1">
        <f ca="1">IFERROR(__xludf.DUMMYFUNCTION("""COMPUTED_VALUE"""),104.8)</f>
        <v>104.8</v>
      </c>
      <c r="Q268" s="1">
        <f ca="1">IFERROR(__xludf.DUMMYFUNCTION("""COMPUTED_VALUE"""),136)</f>
        <v>136</v>
      </c>
      <c r="R268" s="1">
        <f ca="1">IFERROR(__xludf.DUMMYFUNCTION("""COMPUTED_VALUE"""),105.4)</f>
        <v>105.4</v>
      </c>
      <c r="S268" s="1">
        <f ca="1">IFERROR(__xludf.DUMMYFUNCTION("""COMPUTED_VALUE"""),193)</f>
        <v>193</v>
      </c>
      <c r="T268" s="1" t="str">
        <f ca="1">IFERROR(__xludf.DUMMYFUNCTION("""COMPUTED_VALUE"""),"+0.59")</f>
        <v>+0.59</v>
      </c>
      <c r="U268" s="1">
        <f ca="1">IFERROR(__xludf.DUMMYFUNCTION("""COMPUTED_VALUE"""),138)</f>
        <v>138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IFERROR(__xludf.DUMMYFUNCTION("""COMPUTED_VALUE"""),"Western Michigan")</f>
        <v>Western Michigan</v>
      </c>
      <c r="C269" s="1" t="str">
        <f ca="1">IFERROR(__xludf.DUMMYFUNCTION("""COMPUTED_VALUE"""),"MAC")</f>
        <v>MAC</v>
      </c>
      <c r="D269" s="2">
        <f ca="1">IFERROR(__xludf.DUMMYFUNCTION("""COMPUTED_VALUE"""),44797)</f>
        <v>44797</v>
      </c>
      <c r="E269" s="1">
        <f ca="1">IFERROR(__xludf.DUMMYFUNCTION("""COMPUTED_VALUE"""),-7.82)</f>
        <v>-7.82</v>
      </c>
      <c r="F269" s="1">
        <f ca="1">IFERROR(__xludf.DUMMYFUNCTION("""COMPUTED_VALUE"""),99.2)</f>
        <v>99.2</v>
      </c>
      <c r="G269" s="1">
        <f ca="1">IFERROR(__xludf.DUMMYFUNCTION("""COMPUTED_VALUE"""),275)</f>
        <v>275</v>
      </c>
      <c r="H269" s="1">
        <f ca="1">IFERROR(__xludf.DUMMYFUNCTION("""COMPUTED_VALUE"""),107)</f>
        <v>107</v>
      </c>
      <c r="I269" s="1">
        <f ca="1">IFERROR(__xludf.DUMMYFUNCTION("""COMPUTED_VALUE"""),228)</f>
        <v>228</v>
      </c>
      <c r="J269" s="1">
        <f ca="1">IFERROR(__xludf.DUMMYFUNCTION("""COMPUTED_VALUE"""),69.2)</f>
        <v>69.2</v>
      </c>
      <c r="K269" s="1">
        <f ca="1">IFERROR(__xludf.DUMMYFUNCTION("""COMPUTED_VALUE"""),97)</f>
        <v>97</v>
      </c>
      <c r="L269" s="1">
        <f ca="1">IFERROR(__xludf.DUMMYFUNCTION("""COMPUTED_VALUE"""),-0.039)</f>
        <v>-3.9E-2</v>
      </c>
      <c r="M269" s="1">
        <f ca="1">IFERROR(__xludf.DUMMYFUNCTION("""COMPUTED_VALUE"""),271)</f>
        <v>271</v>
      </c>
      <c r="N269" s="1" t="str">
        <f ca="1">IFERROR(__xludf.DUMMYFUNCTION("""COMPUTED_VALUE"""),"+2.43")</f>
        <v>+2.43</v>
      </c>
      <c r="O269" s="1">
        <f ca="1">IFERROR(__xludf.DUMMYFUNCTION("""COMPUTED_VALUE"""),94)</f>
        <v>94</v>
      </c>
      <c r="P269" s="1">
        <f ca="1">IFERROR(__xludf.DUMMYFUNCTION("""COMPUTED_VALUE"""),106.2)</f>
        <v>106.2</v>
      </c>
      <c r="Q269" s="1">
        <f ca="1">IFERROR(__xludf.DUMMYFUNCTION("""COMPUTED_VALUE"""),79)</f>
        <v>79</v>
      </c>
      <c r="R269" s="1">
        <f ca="1">IFERROR(__xludf.DUMMYFUNCTION("""COMPUTED_VALUE"""),103.7)</f>
        <v>103.7</v>
      </c>
      <c r="S269" s="1">
        <f ca="1">IFERROR(__xludf.DUMMYFUNCTION("""COMPUTED_VALUE"""),120)</f>
        <v>120</v>
      </c>
      <c r="T269" s="1">
        <f ca="1">IFERROR(__xludf.DUMMYFUNCTION("""COMPUTED_VALUE"""),-3.16)</f>
        <v>-3.16</v>
      </c>
      <c r="U269" s="1">
        <f ca="1">IFERROR(__xludf.DUMMYFUNCTION("""COMPUTED_VALUE"""),251)</f>
        <v>251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IFERROR(__xludf.DUMMYFUNCTION("""COMPUTED_VALUE"""),"Longwood")</f>
        <v>Longwood</v>
      </c>
      <c r="C270" s="1" t="str">
        <f ca="1">IFERROR(__xludf.DUMMYFUNCTION("""COMPUTED_VALUE"""),"BSth")</f>
        <v>BSth</v>
      </c>
      <c r="D270" s="1" t="str">
        <f ca="1">IFERROR(__xludf.DUMMYFUNCTION("""COMPUTED_VALUE"""),"16-18")</f>
        <v>16-18</v>
      </c>
      <c r="E270" s="1">
        <f ca="1">IFERROR(__xludf.DUMMYFUNCTION("""COMPUTED_VALUE"""),-7.83)</f>
        <v>-7.83</v>
      </c>
      <c r="F270" s="1">
        <f ca="1">IFERROR(__xludf.DUMMYFUNCTION("""COMPUTED_VALUE"""),99.5)</f>
        <v>99.5</v>
      </c>
      <c r="G270" s="1">
        <f ca="1">IFERROR(__xludf.DUMMYFUNCTION("""COMPUTED_VALUE"""),274)</f>
        <v>274</v>
      </c>
      <c r="H270" s="1">
        <f ca="1">IFERROR(__xludf.DUMMYFUNCTION("""COMPUTED_VALUE"""),107.3)</f>
        <v>107.3</v>
      </c>
      <c r="I270" s="1">
        <f ca="1">IFERROR(__xludf.DUMMYFUNCTION("""COMPUTED_VALUE"""),233)</f>
        <v>233</v>
      </c>
      <c r="J270" s="1">
        <f ca="1">IFERROR(__xludf.DUMMYFUNCTION("""COMPUTED_VALUE"""),67.2)</f>
        <v>67.2</v>
      </c>
      <c r="K270" s="1">
        <f ca="1">IFERROR(__xludf.DUMMYFUNCTION("""COMPUTED_VALUE"""),195)</f>
        <v>195</v>
      </c>
      <c r="L270" s="1">
        <f ca="1">IFERROR(__xludf.DUMMYFUNCTION("""COMPUTED_VALUE"""),-0.023)</f>
        <v>-2.3E-2</v>
      </c>
      <c r="M270" s="1">
        <f ca="1">IFERROR(__xludf.DUMMYFUNCTION("""COMPUTED_VALUE"""),241)</f>
        <v>241</v>
      </c>
      <c r="N270" s="1">
        <f ca="1">IFERROR(__xludf.DUMMYFUNCTION("""COMPUTED_VALUE"""),-5.51)</f>
        <v>-5.51</v>
      </c>
      <c r="O270" s="1">
        <f ca="1">IFERROR(__xludf.DUMMYFUNCTION("""COMPUTED_VALUE"""),280)</f>
        <v>280</v>
      </c>
      <c r="P270" s="1">
        <f ca="1">IFERROR(__xludf.DUMMYFUNCTION("""COMPUTED_VALUE"""),102.7)</f>
        <v>102.7</v>
      </c>
      <c r="Q270" s="1">
        <f ca="1">IFERROR(__xludf.DUMMYFUNCTION("""COMPUTED_VALUE"""),238)</f>
        <v>238</v>
      </c>
      <c r="R270" s="1">
        <f ca="1">IFERROR(__xludf.DUMMYFUNCTION("""COMPUTED_VALUE"""),108.2)</f>
        <v>108.2</v>
      </c>
      <c r="S270" s="1">
        <f ca="1">IFERROR(__xludf.DUMMYFUNCTION("""COMPUTED_VALUE"""),319)</f>
        <v>319</v>
      </c>
      <c r="T270" s="1">
        <f ca="1">IFERROR(__xludf.DUMMYFUNCTION("""COMPUTED_VALUE"""),-9.95)</f>
        <v>-9.9499999999999993</v>
      </c>
      <c r="U270" s="1">
        <f ca="1">IFERROR(__xludf.DUMMYFUNCTION("""COMPUTED_VALUE"""),347)</f>
        <v>347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IFERROR(__xludf.DUMMYFUNCTION("""COMPUTED_VALUE"""),"The Citadel")</f>
        <v>The Citadel</v>
      </c>
      <c r="C271" s="1" t="str">
        <f ca="1">IFERROR(__xludf.DUMMYFUNCTION("""COMPUTED_VALUE"""),"SC")</f>
        <v>SC</v>
      </c>
      <c r="D271" s="2">
        <f ca="1">IFERROR(__xludf.DUMMYFUNCTION("""COMPUTED_VALUE"""),44913)</f>
        <v>44913</v>
      </c>
      <c r="E271" s="1">
        <f ca="1">IFERROR(__xludf.DUMMYFUNCTION("""COMPUTED_VALUE"""),-7.83)</f>
        <v>-7.83</v>
      </c>
      <c r="F271" s="1">
        <f ca="1">IFERROR(__xludf.DUMMYFUNCTION("""COMPUTED_VALUE"""),106.7)</f>
        <v>106.7</v>
      </c>
      <c r="G271" s="1">
        <f ca="1">IFERROR(__xludf.DUMMYFUNCTION("""COMPUTED_VALUE"""),134)</f>
        <v>134</v>
      </c>
      <c r="H271" s="1">
        <f ca="1">IFERROR(__xludf.DUMMYFUNCTION("""COMPUTED_VALUE"""),114.5)</f>
        <v>114.5</v>
      </c>
      <c r="I271" s="1">
        <f ca="1">IFERROR(__xludf.DUMMYFUNCTION("""COMPUTED_VALUE"""),337)</f>
        <v>337</v>
      </c>
      <c r="J271" s="1">
        <f ca="1">IFERROR(__xludf.DUMMYFUNCTION("""COMPUTED_VALUE"""),73.6)</f>
        <v>73.599999999999994</v>
      </c>
      <c r="K271" s="1">
        <f ca="1">IFERROR(__xludf.DUMMYFUNCTION("""COMPUTED_VALUE"""),10)</f>
        <v>10</v>
      </c>
      <c r="L271" s="1" t="str">
        <f ca="1">IFERROR(__xludf.DUMMYFUNCTION("""COMPUTED_VALUE"""),"+.028")</f>
        <v>+.028</v>
      </c>
      <c r="M271" s="1">
        <f ca="1">IFERROR(__xludf.DUMMYFUNCTION("""COMPUTED_VALUE"""),105)</f>
        <v>105</v>
      </c>
      <c r="N271" s="1" t="str">
        <f ca="1">IFERROR(__xludf.DUMMYFUNCTION("""COMPUTED_VALUE"""),"+1.00")</f>
        <v>+1.00</v>
      </c>
      <c r="O271" s="1">
        <f ca="1">IFERROR(__xludf.DUMMYFUNCTION("""COMPUTED_VALUE"""),118)</f>
        <v>118</v>
      </c>
      <c r="P271" s="1">
        <f ca="1">IFERROR(__xludf.DUMMYFUNCTION("""COMPUTED_VALUE"""),105.4)</f>
        <v>105.4</v>
      </c>
      <c r="Q271" s="1">
        <f ca="1">IFERROR(__xludf.DUMMYFUNCTION("""COMPUTED_VALUE"""),103)</f>
        <v>103</v>
      </c>
      <c r="R271" s="1">
        <f ca="1">IFERROR(__xludf.DUMMYFUNCTION("""COMPUTED_VALUE"""),104.4)</f>
        <v>104.4</v>
      </c>
      <c r="S271" s="1">
        <f ca="1">IFERROR(__xludf.DUMMYFUNCTION("""COMPUTED_VALUE"""),157)</f>
        <v>157</v>
      </c>
      <c r="T271" s="1" t="str">
        <f ca="1">IFERROR(__xludf.DUMMYFUNCTION("""COMPUTED_VALUE"""),"+0.62")</f>
        <v>+0.62</v>
      </c>
      <c r="U271" s="1">
        <f ca="1">IFERROR(__xludf.DUMMYFUNCTION("""COMPUTED_VALUE"""),137)</f>
        <v>137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IFERROR(__xludf.DUMMYFUNCTION("""COMPUTED_VALUE"""),"UMass Lowell")</f>
        <v>UMass Lowell</v>
      </c>
      <c r="C272" s="1" t="str">
        <f ca="1">IFERROR(__xludf.DUMMYFUNCTION("""COMPUTED_VALUE"""),"AE")</f>
        <v>AE</v>
      </c>
      <c r="D272" s="1" t="str">
        <f ca="1">IFERROR(__xludf.DUMMYFUNCTION("""COMPUTED_VALUE"""),"15-17")</f>
        <v>15-17</v>
      </c>
      <c r="E272" s="1">
        <f ca="1">IFERROR(__xludf.DUMMYFUNCTION("""COMPUTED_VALUE"""),-7.86)</f>
        <v>-7.86</v>
      </c>
      <c r="F272" s="1">
        <f ca="1">IFERROR(__xludf.DUMMYFUNCTION("""COMPUTED_VALUE"""),104.5)</f>
        <v>104.5</v>
      </c>
      <c r="G272" s="1">
        <f ca="1">IFERROR(__xludf.DUMMYFUNCTION("""COMPUTED_VALUE"""),174)</f>
        <v>174</v>
      </c>
      <c r="H272" s="1">
        <f ca="1">IFERROR(__xludf.DUMMYFUNCTION("""COMPUTED_VALUE"""),112.4)</f>
        <v>112.4</v>
      </c>
      <c r="I272" s="1">
        <f ca="1">IFERROR(__xludf.DUMMYFUNCTION("""COMPUTED_VALUE"""),317)</f>
        <v>317</v>
      </c>
      <c r="J272" s="1">
        <f ca="1">IFERROR(__xludf.DUMMYFUNCTION("""COMPUTED_VALUE"""),69.8)</f>
        <v>69.8</v>
      </c>
      <c r="K272" s="1">
        <f ca="1">IFERROR(__xludf.DUMMYFUNCTION("""COMPUTED_VALUE"""),74)</f>
        <v>74</v>
      </c>
      <c r="L272" s="1">
        <f ca="1">IFERROR(__xludf.DUMMYFUNCTION("""COMPUTED_VALUE"""),-0.026)</f>
        <v>-2.5999999999999999E-2</v>
      </c>
      <c r="M272" s="1">
        <f ca="1">IFERROR(__xludf.DUMMYFUNCTION("""COMPUTED_VALUE"""),249)</f>
        <v>249</v>
      </c>
      <c r="N272" s="1">
        <f ca="1">IFERROR(__xludf.DUMMYFUNCTION("""COMPUTED_VALUE"""),-6.57)</f>
        <v>-6.57</v>
      </c>
      <c r="O272" s="1">
        <f ca="1">IFERROR(__xludf.DUMMYFUNCTION("""COMPUTED_VALUE"""),298)</f>
        <v>298</v>
      </c>
      <c r="P272" s="1">
        <f ca="1">IFERROR(__xludf.DUMMYFUNCTION("""COMPUTED_VALUE"""),100.1)</f>
        <v>100.1</v>
      </c>
      <c r="Q272" s="1">
        <f ca="1">IFERROR(__xludf.DUMMYFUNCTION("""COMPUTED_VALUE"""),325)</f>
        <v>325</v>
      </c>
      <c r="R272" s="1">
        <f ca="1">IFERROR(__xludf.DUMMYFUNCTION("""COMPUTED_VALUE"""),106.7)</f>
        <v>106.7</v>
      </c>
      <c r="S272" s="1">
        <f ca="1">IFERROR(__xludf.DUMMYFUNCTION("""COMPUTED_VALUE"""),244)</f>
        <v>244</v>
      </c>
      <c r="T272" s="1">
        <f ca="1">IFERROR(__xludf.DUMMYFUNCTION("""COMPUTED_VALUE"""),-4.46)</f>
        <v>-4.46</v>
      </c>
      <c r="U272" s="1">
        <f ca="1">IFERROR(__xludf.DUMMYFUNCTION("""COMPUTED_VALUE"""),289)</f>
        <v>289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IFERROR(__xludf.DUMMYFUNCTION("""COMPUTED_VALUE"""),"Youngstown St.")</f>
        <v>Youngstown St.</v>
      </c>
      <c r="C273" s="1" t="str">
        <f ca="1">IFERROR(__xludf.DUMMYFUNCTION("""COMPUTED_VALUE"""),"Horz")</f>
        <v>Horz</v>
      </c>
      <c r="D273" s="2">
        <f ca="1">IFERROR(__xludf.DUMMYFUNCTION("""COMPUTED_VALUE"""),44915)</f>
        <v>44915</v>
      </c>
      <c r="E273" s="1">
        <f ca="1">IFERROR(__xludf.DUMMYFUNCTION("""COMPUTED_VALUE"""),-7.97)</f>
        <v>-7.97</v>
      </c>
      <c r="F273" s="1">
        <f ca="1">IFERROR(__xludf.DUMMYFUNCTION("""COMPUTED_VALUE"""),104.3)</f>
        <v>104.3</v>
      </c>
      <c r="G273" s="1">
        <f ca="1">IFERROR(__xludf.DUMMYFUNCTION("""COMPUTED_VALUE"""),178)</f>
        <v>178</v>
      </c>
      <c r="H273" s="1">
        <f ca="1">IFERROR(__xludf.DUMMYFUNCTION("""COMPUTED_VALUE"""),112.3)</f>
        <v>112.3</v>
      </c>
      <c r="I273" s="1">
        <f ca="1">IFERROR(__xludf.DUMMYFUNCTION("""COMPUTED_VALUE"""),316)</f>
        <v>316</v>
      </c>
      <c r="J273" s="1">
        <f ca="1">IFERROR(__xludf.DUMMYFUNCTION("""COMPUTED_VALUE"""),67)</f>
        <v>67</v>
      </c>
      <c r="K273" s="1">
        <f ca="1">IFERROR(__xludf.DUMMYFUNCTION("""COMPUTED_VALUE"""),205)</f>
        <v>205</v>
      </c>
      <c r="L273" s="1">
        <f ca="1">IFERROR(__xludf.DUMMYFUNCTION("""COMPUTED_VALUE"""),-0.004)</f>
        <v>-4.0000000000000001E-3</v>
      </c>
      <c r="M273" s="1">
        <f ca="1">IFERROR(__xludf.DUMMYFUNCTION("""COMPUTED_VALUE"""),191)</f>
        <v>191</v>
      </c>
      <c r="N273" s="1">
        <f ca="1">IFERROR(__xludf.DUMMYFUNCTION("""COMPUTED_VALUE"""),-1.79)</f>
        <v>-1.79</v>
      </c>
      <c r="O273" s="1">
        <f ca="1">IFERROR(__xludf.DUMMYFUNCTION("""COMPUTED_VALUE"""),187)</f>
        <v>187</v>
      </c>
      <c r="P273" s="1">
        <f ca="1">IFERROR(__xludf.DUMMYFUNCTION("""COMPUTED_VALUE"""),104)</f>
        <v>104</v>
      </c>
      <c r="Q273" s="1">
        <f ca="1">IFERROR(__xludf.DUMMYFUNCTION("""COMPUTED_VALUE"""),170)</f>
        <v>170</v>
      </c>
      <c r="R273" s="1">
        <f ca="1">IFERROR(__xludf.DUMMYFUNCTION("""COMPUTED_VALUE"""),105.8)</f>
        <v>105.8</v>
      </c>
      <c r="S273" s="1">
        <f ca="1">IFERROR(__xludf.DUMMYFUNCTION("""COMPUTED_VALUE"""),200)</f>
        <v>200</v>
      </c>
      <c r="T273" s="1" t="str">
        <f ca="1">IFERROR(__xludf.DUMMYFUNCTION("""COMPUTED_VALUE"""),"+0.28")</f>
        <v>+0.28</v>
      </c>
      <c r="U273" s="1">
        <f ca="1">IFERROR(__xludf.DUMMYFUNCTION("""COMPUTED_VALUE"""),152)</f>
        <v>152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IFERROR(__xludf.DUMMYFUNCTION("""COMPUTED_VALUE"""),"Fordham")</f>
        <v>Fordham</v>
      </c>
      <c r="C274" s="1" t="str">
        <f ca="1">IFERROR(__xludf.DUMMYFUNCTION("""COMPUTED_VALUE"""),"A10")</f>
        <v>A10</v>
      </c>
      <c r="D274" s="2">
        <f ca="1">IFERROR(__xludf.DUMMYFUNCTION("""COMPUTED_VALUE"""),44915)</f>
        <v>44915</v>
      </c>
      <c r="E274" s="1">
        <f ca="1">IFERROR(__xludf.DUMMYFUNCTION("""COMPUTED_VALUE"""),-8)</f>
        <v>-8</v>
      </c>
      <c r="F274" s="1">
        <f ca="1">IFERROR(__xludf.DUMMYFUNCTION("""COMPUTED_VALUE"""),96.7)</f>
        <v>96.7</v>
      </c>
      <c r="G274" s="1">
        <f ca="1">IFERROR(__xludf.DUMMYFUNCTION("""COMPUTED_VALUE"""),306)</f>
        <v>306</v>
      </c>
      <c r="H274" s="1">
        <f ca="1">IFERROR(__xludf.DUMMYFUNCTION("""COMPUTED_VALUE"""),104.7)</f>
        <v>104.7</v>
      </c>
      <c r="I274" s="1">
        <f ca="1">IFERROR(__xludf.DUMMYFUNCTION("""COMPUTED_VALUE"""),168)</f>
        <v>168</v>
      </c>
      <c r="J274" s="1">
        <f ca="1">IFERROR(__xludf.DUMMYFUNCTION("""COMPUTED_VALUE"""),65.2)</f>
        <v>65.2</v>
      </c>
      <c r="K274" s="1">
        <f ca="1">IFERROR(__xludf.DUMMYFUNCTION("""COMPUTED_VALUE"""),304)</f>
        <v>304</v>
      </c>
      <c r="L274" s="1">
        <f ca="1">IFERROR(__xludf.DUMMYFUNCTION("""COMPUTED_VALUE"""),-0.075)</f>
        <v>-7.4999999999999997E-2</v>
      </c>
      <c r="M274" s="1">
        <f ca="1">IFERROR(__xludf.DUMMYFUNCTION("""COMPUTED_VALUE"""),329)</f>
        <v>329</v>
      </c>
      <c r="N274" s="1">
        <f ca="1">IFERROR(__xludf.DUMMYFUNCTION("""COMPUTED_VALUE"""),-4.76)</f>
        <v>-4.76</v>
      </c>
      <c r="O274" s="1">
        <f ca="1">IFERROR(__xludf.DUMMYFUNCTION("""COMPUTED_VALUE"""),268)</f>
        <v>268</v>
      </c>
      <c r="P274" s="1">
        <f ca="1">IFERROR(__xludf.DUMMYFUNCTION("""COMPUTED_VALUE"""),101.1)</f>
        <v>101.1</v>
      </c>
      <c r="Q274" s="1">
        <f ca="1">IFERROR(__xludf.DUMMYFUNCTION("""COMPUTED_VALUE"""),299)</f>
        <v>299</v>
      </c>
      <c r="R274" s="1">
        <f ca="1">IFERROR(__xludf.DUMMYFUNCTION("""COMPUTED_VALUE"""),105.9)</f>
        <v>105.9</v>
      </c>
      <c r="S274" s="1">
        <f ca="1">IFERROR(__xludf.DUMMYFUNCTION("""COMPUTED_VALUE"""),207)</f>
        <v>207</v>
      </c>
      <c r="T274" s="1">
        <f ca="1">IFERROR(__xludf.DUMMYFUNCTION("""COMPUTED_VALUE"""),-11.88)</f>
        <v>-11.88</v>
      </c>
      <c r="U274" s="1">
        <f ca="1">IFERROR(__xludf.DUMMYFUNCTION("""COMPUTED_VALUE"""),351)</f>
        <v>351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IFERROR(__xludf.DUMMYFUNCTION("""COMPUTED_VALUE"""),"St. Francis PA8")</f>
        <v>St. Francis PA8</v>
      </c>
      <c r="C275" s="1" t="str">
        <f ca="1">IFERROR(__xludf.DUMMYFUNCTION("""COMPUTED_VALUE"""),"NEC")</f>
        <v>NEC</v>
      </c>
      <c r="D275" s="1" t="str">
        <f ca="1">IFERROR(__xludf.DUMMYFUNCTION("""COMPUTED_VALUE"""),"18-15")</f>
        <v>18-15</v>
      </c>
      <c r="E275" s="1">
        <f ca="1">IFERROR(__xludf.DUMMYFUNCTION("""COMPUTED_VALUE"""),-8.04)</f>
        <v>-8.0399999999999991</v>
      </c>
      <c r="F275" s="1">
        <f ca="1">IFERROR(__xludf.DUMMYFUNCTION("""COMPUTED_VALUE"""),105.5)</f>
        <v>105.5</v>
      </c>
      <c r="G275" s="1">
        <f ca="1">IFERROR(__xludf.DUMMYFUNCTION("""COMPUTED_VALUE"""),155)</f>
        <v>155</v>
      </c>
      <c r="H275" s="1">
        <f ca="1">IFERROR(__xludf.DUMMYFUNCTION("""COMPUTED_VALUE"""),113.5)</f>
        <v>113.5</v>
      </c>
      <c r="I275" s="1">
        <f ca="1">IFERROR(__xludf.DUMMYFUNCTION("""COMPUTED_VALUE"""),332)</f>
        <v>332</v>
      </c>
      <c r="J275" s="1">
        <f ca="1">IFERROR(__xludf.DUMMYFUNCTION("""COMPUTED_VALUE"""),68.4)</f>
        <v>68.400000000000006</v>
      </c>
      <c r="K275" s="1">
        <f ca="1">IFERROR(__xludf.DUMMYFUNCTION("""COMPUTED_VALUE"""),137)</f>
        <v>137</v>
      </c>
      <c r="L275" s="1" t="str">
        <f ca="1">IFERROR(__xludf.DUMMYFUNCTION("""COMPUTED_VALUE"""),"+.083")</f>
        <v>+.083</v>
      </c>
      <c r="M275" s="1">
        <f ca="1">IFERROR(__xludf.DUMMYFUNCTION("""COMPUTED_VALUE"""),20)</f>
        <v>20</v>
      </c>
      <c r="N275" s="1">
        <f ca="1">IFERROR(__xludf.DUMMYFUNCTION("""COMPUTED_VALUE"""),-7.34)</f>
        <v>-7.34</v>
      </c>
      <c r="O275" s="1">
        <f ca="1">IFERROR(__xludf.DUMMYFUNCTION("""COMPUTED_VALUE"""),317)</f>
        <v>317</v>
      </c>
      <c r="P275" s="1">
        <f ca="1">IFERROR(__xludf.DUMMYFUNCTION("""COMPUTED_VALUE"""),101.1)</f>
        <v>101.1</v>
      </c>
      <c r="Q275" s="1">
        <f ca="1">IFERROR(__xludf.DUMMYFUNCTION("""COMPUTED_VALUE"""),301)</f>
        <v>301</v>
      </c>
      <c r="R275" s="1">
        <f ca="1">IFERROR(__xludf.DUMMYFUNCTION("""COMPUTED_VALUE"""),108.4)</f>
        <v>108.4</v>
      </c>
      <c r="S275" s="1">
        <f ca="1">IFERROR(__xludf.DUMMYFUNCTION("""COMPUTED_VALUE"""),326)</f>
        <v>326</v>
      </c>
      <c r="T275" s="1" t="str">
        <f ca="1">IFERROR(__xludf.DUMMYFUNCTION("""COMPUTED_VALUE"""),"+6.49")</f>
        <v>+6.49</v>
      </c>
      <c r="U275" s="1">
        <f ca="1">IFERROR(__xludf.DUMMYFUNCTION("""COMPUTED_VALUE"""),21)</f>
        <v>21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IFERROR(__xludf.DUMMYFUNCTION("""COMPUTED_VALUE"""),"New Orleans")</f>
        <v>New Orleans</v>
      </c>
      <c r="C276" s="1" t="str">
        <f ca="1">IFERROR(__xludf.DUMMYFUNCTION("""COMPUTED_VALUE"""),"Slnd")</f>
        <v>Slnd</v>
      </c>
      <c r="D276" s="1" t="str">
        <f ca="1">IFERROR(__xludf.DUMMYFUNCTION("""COMPUTED_VALUE"""),"19-14")</f>
        <v>19-14</v>
      </c>
      <c r="E276" s="1">
        <f ca="1">IFERROR(__xludf.DUMMYFUNCTION("""COMPUTED_VALUE"""),-8.1)</f>
        <v>-8.1</v>
      </c>
      <c r="F276" s="1">
        <f ca="1">IFERROR(__xludf.DUMMYFUNCTION("""COMPUTED_VALUE"""),97)</f>
        <v>97</v>
      </c>
      <c r="G276" s="1">
        <f ca="1">IFERROR(__xludf.DUMMYFUNCTION("""COMPUTED_VALUE"""),302)</f>
        <v>302</v>
      </c>
      <c r="H276" s="1">
        <f ca="1">IFERROR(__xludf.DUMMYFUNCTION("""COMPUTED_VALUE"""),105.1)</f>
        <v>105.1</v>
      </c>
      <c r="I276" s="1">
        <f ca="1">IFERROR(__xludf.DUMMYFUNCTION("""COMPUTED_VALUE"""),181)</f>
        <v>181</v>
      </c>
      <c r="J276" s="1">
        <f ca="1">IFERROR(__xludf.DUMMYFUNCTION("""COMPUTED_VALUE"""),68.6)</f>
        <v>68.599999999999994</v>
      </c>
      <c r="K276" s="1">
        <f ca="1">IFERROR(__xludf.DUMMYFUNCTION("""COMPUTED_VALUE"""),126)</f>
        <v>126</v>
      </c>
      <c r="L276" s="1" t="str">
        <f ca="1">IFERROR(__xludf.DUMMYFUNCTION("""COMPUTED_VALUE"""),"+.077")</f>
        <v>+.077</v>
      </c>
      <c r="M276" s="1">
        <f ca="1">IFERROR(__xludf.DUMMYFUNCTION("""COMPUTED_VALUE"""),25)</f>
        <v>25</v>
      </c>
      <c r="N276" s="1">
        <f ca="1">IFERROR(__xludf.DUMMYFUNCTION("""COMPUTED_VALUE"""),-7.17)</f>
        <v>-7.17</v>
      </c>
      <c r="O276" s="1">
        <f ca="1">IFERROR(__xludf.DUMMYFUNCTION("""COMPUTED_VALUE"""),313)</f>
        <v>313</v>
      </c>
      <c r="P276" s="1">
        <f ca="1">IFERROR(__xludf.DUMMYFUNCTION("""COMPUTED_VALUE"""),100.8)</f>
        <v>100.8</v>
      </c>
      <c r="Q276" s="1">
        <f ca="1">IFERROR(__xludf.DUMMYFUNCTION("""COMPUTED_VALUE"""),307)</f>
        <v>307</v>
      </c>
      <c r="R276" s="1">
        <f ca="1">IFERROR(__xludf.DUMMYFUNCTION("""COMPUTED_VALUE"""),108)</f>
        <v>108</v>
      </c>
      <c r="S276" s="1">
        <f ca="1">IFERROR(__xludf.DUMMYFUNCTION("""COMPUTED_VALUE"""),313)</f>
        <v>313</v>
      </c>
      <c r="T276" s="1" t="str">
        <f ca="1">IFERROR(__xludf.DUMMYFUNCTION("""COMPUTED_VALUE"""),"+6.43")</f>
        <v>+6.43</v>
      </c>
      <c r="U276" s="1">
        <f ca="1">IFERROR(__xludf.DUMMYFUNCTION("""COMPUTED_VALUE"""),24)</f>
        <v>24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IFERROR(__xludf.DUMMYFUNCTION("""COMPUTED_VALUE"""),"LIU Brooklyn")</f>
        <v>LIU Brooklyn</v>
      </c>
      <c r="C277" s="1" t="str">
        <f ca="1">IFERROR(__xludf.DUMMYFUNCTION("""COMPUTED_VALUE"""),"NEC")</f>
        <v>NEC</v>
      </c>
      <c r="D277" s="1" t="str">
        <f ca="1">IFERROR(__xludf.DUMMYFUNCTION("""COMPUTED_VALUE"""),"16-16")</f>
        <v>16-16</v>
      </c>
      <c r="E277" s="1">
        <f ca="1">IFERROR(__xludf.DUMMYFUNCTION("""COMPUTED_VALUE"""),-8.2)</f>
        <v>-8.1999999999999993</v>
      </c>
      <c r="F277" s="1">
        <f ca="1">IFERROR(__xludf.DUMMYFUNCTION("""COMPUTED_VALUE"""),98.3)</f>
        <v>98.3</v>
      </c>
      <c r="G277" s="1">
        <f ca="1">IFERROR(__xludf.DUMMYFUNCTION("""COMPUTED_VALUE"""),290)</f>
        <v>290</v>
      </c>
      <c r="H277" s="1">
        <f ca="1">IFERROR(__xludf.DUMMYFUNCTION("""COMPUTED_VALUE"""),106.5)</f>
        <v>106.5</v>
      </c>
      <c r="I277" s="1">
        <f ca="1">IFERROR(__xludf.DUMMYFUNCTION("""COMPUTED_VALUE"""),217)</f>
        <v>217</v>
      </c>
      <c r="J277" s="1">
        <f ca="1">IFERROR(__xludf.DUMMYFUNCTION("""COMPUTED_VALUE"""),70.8)</f>
        <v>70.8</v>
      </c>
      <c r="K277" s="1">
        <f ca="1">IFERROR(__xludf.DUMMYFUNCTION("""COMPUTED_VALUE"""),45)</f>
        <v>45</v>
      </c>
      <c r="L277" s="1">
        <f ca="1">IFERROR(__xludf.DUMMYFUNCTION("""COMPUTED_VALUE"""),-0.013)</f>
        <v>-1.2999999999999999E-2</v>
      </c>
      <c r="M277" s="1">
        <f ca="1">IFERROR(__xludf.DUMMYFUNCTION("""COMPUTED_VALUE"""),221)</f>
        <v>221</v>
      </c>
      <c r="N277" s="1">
        <f ca="1">IFERROR(__xludf.DUMMYFUNCTION("""COMPUTED_VALUE"""),-8.97)</f>
        <v>-8.9700000000000006</v>
      </c>
      <c r="O277" s="1">
        <f ca="1">IFERROR(__xludf.DUMMYFUNCTION("""COMPUTED_VALUE"""),342)</f>
        <v>342</v>
      </c>
      <c r="P277" s="1">
        <f ca="1">IFERROR(__xludf.DUMMYFUNCTION("""COMPUTED_VALUE"""),99.8)</f>
        <v>99.8</v>
      </c>
      <c r="Q277" s="1">
        <f ca="1">IFERROR(__xludf.DUMMYFUNCTION("""COMPUTED_VALUE"""),332)</f>
        <v>332</v>
      </c>
      <c r="R277" s="1">
        <f ca="1">IFERROR(__xludf.DUMMYFUNCTION("""COMPUTED_VALUE"""),108.7)</f>
        <v>108.7</v>
      </c>
      <c r="S277" s="1">
        <f ca="1">IFERROR(__xludf.DUMMYFUNCTION("""COMPUTED_VALUE"""),338)</f>
        <v>338</v>
      </c>
      <c r="T277" s="1">
        <f ca="1">IFERROR(__xludf.DUMMYFUNCTION("""COMPUTED_VALUE"""),-5.97)</f>
        <v>-5.97</v>
      </c>
      <c r="U277" s="1">
        <f ca="1">IFERROR(__xludf.DUMMYFUNCTION("""COMPUTED_VALUE"""),321)</f>
        <v>321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IFERROR(__xludf.DUMMYFUNCTION("""COMPUTED_VALUE"""),"East Carolina")</f>
        <v>East Carolina</v>
      </c>
      <c r="C278" s="1" t="str">
        <f ca="1">IFERROR(__xludf.DUMMYFUNCTION("""COMPUTED_VALUE"""),"Amer")</f>
        <v>Amer</v>
      </c>
      <c r="D278" s="2">
        <f ca="1">IFERROR(__xludf.DUMMYFUNCTION("""COMPUTED_VALUE"""),44855)</f>
        <v>44855</v>
      </c>
      <c r="E278" s="1">
        <f ca="1">IFERROR(__xludf.DUMMYFUNCTION("""COMPUTED_VALUE"""),-8.24)</f>
        <v>-8.24</v>
      </c>
      <c r="F278" s="1">
        <f ca="1">IFERROR(__xludf.DUMMYFUNCTION("""COMPUTED_VALUE"""),98.7)</f>
        <v>98.7</v>
      </c>
      <c r="G278" s="1">
        <f ca="1">IFERROR(__xludf.DUMMYFUNCTION("""COMPUTED_VALUE"""),282)</f>
        <v>282</v>
      </c>
      <c r="H278" s="1">
        <f ca="1">IFERROR(__xludf.DUMMYFUNCTION("""COMPUTED_VALUE"""),106.9)</f>
        <v>106.9</v>
      </c>
      <c r="I278" s="1">
        <f ca="1">IFERROR(__xludf.DUMMYFUNCTION("""COMPUTED_VALUE"""),227)</f>
        <v>227</v>
      </c>
      <c r="J278" s="1">
        <f ca="1">IFERROR(__xludf.DUMMYFUNCTION("""COMPUTED_VALUE"""),68.1)</f>
        <v>68.099999999999994</v>
      </c>
      <c r="K278" s="1">
        <f ca="1">IFERROR(__xludf.DUMMYFUNCTION("""COMPUTED_VALUE"""),148)</f>
        <v>148</v>
      </c>
      <c r="L278" s="1">
        <f ca="1">IFERROR(__xludf.DUMMYFUNCTION("""COMPUTED_VALUE"""),-0.006)</f>
        <v>-6.0000000000000001E-3</v>
      </c>
      <c r="M278" s="1">
        <f ca="1">IFERROR(__xludf.DUMMYFUNCTION("""COMPUTED_VALUE"""),200)</f>
        <v>200</v>
      </c>
      <c r="N278" s="1" t="str">
        <f ca="1">IFERROR(__xludf.DUMMYFUNCTION("""COMPUTED_VALUE"""),"+0.74")</f>
        <v>+0.74</v>
      </c>
      <c r="O278" s="1">
        <f ca="1">IFERROR(__xludf.DUMMYFUNCTION("""COMPUTED_VALUE"""),121)</f>
        <v>121</v>
      </c>
      <c r="P278" s="1">
        <f ca="1">IFERROR(__xludf.DUMMYFUNCTION("""COMPUTED_VALUE"""),103.6)</f>
        <v>103.6</v>
      </c>
      <c r="Q278" s="1">
        <f ca="1">IFERROR(__xludf.DUMMYFUNCTION("""COMPUTED_VALUE"""),189)</f>
        <v>189</v>
      </c>
      <c r="R278" s="1">
        <f ca="1">IFERROR(__xludf.DUMMYFUNCTION("""COMPUTED_VALUE"""),102.8)</f>
        <v>102.8</v>
      </c>
      <c r="S278" s="1">
        <f ca="1">IFERROR(__xludf.DUMMYFUNCTION("""COMPUTED_VALUE"""),98)</f>
        <v>98</v>
      </c>
      <c r="T278" s="1">
        <f ca="1">IFERROR(__xludf.DUMMYFUNCTION("""COMPUTED_VALUE"""),-12.17)</f>
        <v>-12.17</v>
      </c>
      <c r="U278" s="1">
        <f ca="1">IFERROR(__xludf.DUMMYFUNCTION("""COMPUTED_VALUE"""),352)</f>
        <v>352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IFERROR(__xludf.DUMMYFUNCTION("""COMPUTED_VALUE"""),"Delaware")</f>
        <v>Delaware</v>
      </c>
      <c r="C279" s="1" t="str">
        <f ca="1">IFERROR(__xludf.DUMMYFUNCTION("""COMPUTED_VALUE"""),"CAA")</f>
        <v>CAA</v>
      </c>
      <c r="D279" s="1" t="str">
        <f ca="1">IFERROR(__xludf.DUMMYFUNCTION("""COMPUTED_VALUE"""),"17-16")</f>
        <v>17-16</v>
      </c>
      <c r="E279" s="1">
        <f ca="1">IFERROR(__xludf.DUMMYFUNCTION("""COMPUTED_VALUE"""),-8.28)</f>
        <v>-8.2799999999999994</v>
      </c>
      <c r="F279" s="1">
        <f ca="1">IFERROR(__xludf.DUMMYFUNCTION("""COMPUTED_VALUE"""),104.9)</f>
        <v>104.9</v>
      </c>
      <c r="G279" s="1">
        <f ca="1">IFERROR(__xludf.DUMMYFUNCTION("""COMPUTED_VALUE"""),165)</f>
        <v>165</v>
      </c>
      <c r="H279" s="1">
        <f ca="1">IFERROR(__xludf.DUMMYFUNCTION("""COMPUTED_VALUE"""),113.2)</f>
        <v>113.2</v>
      </c>
      <c r="I279" s="1">
        <f ca="1">IFERROR(__xludf.DUMMYFUNCTION("""COMPUTED_VALUE"""),328)</f>
        <v>328</v>
      </c>
      <c r="J279" s="1">
        <f ca="1">IFERROR(__xludf.DUMMYFUNCTION("""COMPUTED_VALUE"""),63.3)</f>
        <v>63.3</v>
      </c>
      <c r="K279" s="1">
        <f ca="1">IFERROR(__xludf.DUMMYFUNCTION("""COMPUTED_VALUE"""),341)</f>
        <v>341</v>
      </c>
      <c r="L279" s="1" t="str">
        <f ca="1">IFERROR(__xludf.DUMMYFUNCTION("""COMPUTED_VALUE"""),"+.080")</f>
        <v>+.080</v>
      </c>
      <c r="M279" s="1">
        <f ca="1">IFERROR(__xludf.DUMMYFUNCTION("""COMPUTED_VALUE"""),22)</f>
        <v>22</v>
      </c>
      <c r="N279" s="1">
        <f ca="1">IFERROR(__xludf.DUMMYFUNCTION("""COMPUTED_VALUE"""),-4.86)</f>
        <v>-4.8600000000000003</v>
      </c>
      <c r="O279" s="1">
        <f ca="1">IFERROR(__xludf.DUMMYFUNCTION("""COMPUTED_VALUE"""),271)</f>
        <v>271</v>
      </c>
      <c r="P279" s="1">
        <f ca="1">IFERROR(__xludf.DUMMYFUNCTION("""COMPUTED_VALUE"""),103.6)</f>
        <v>103.6</v>
      </c>
      <c r="Q279" s="1">
        <f ca="1">IFERROR(__xludf.DUMMYFUNCTION("""COMPUTED_VALUE"""),194)</f>
        <v>194</v>
      </c>
      <c r="R279" s="1">
        <f ca="1">IFERROR(__xludf.DUMMYFUNCTION("""COMPUTED_VALUE"""),108.4)</f>
        <v>108.4</v>
      </c>
      <c r="S279" s="1">
        <f ca="1">IFERROR(__xludf.DUMMYFUNCTION("""COMPUTED_VALUE"""),327)</f>
        <v>327</v>
      </c>
      <c r="T279" s="1">
        <f ca="1">IFERROR(__xludf.DUMMYFUNCTION("""COMPUTED_VALUE"""),-6.35)</f>
        <v>-6.35</v>
      </c>
      <c r="U279" s="1">
        <f ca="1">IFERROR(__xludf.DUMMYFUNCTION("""COMPUTED_VALUE"""),326)</f>
        <v>326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IFERROR(__xludf.DUMMYFUNCTION("""COMPUTED_VALUE"""),"Chattanooga")</f>
        <v>Chattanooga</v>
      </c>
      <c r="C280" s="1" t="str">
        <f ca="1">IFERROR(__xludf.DUMMYFUNCTION("""COMPUTED_VALUE"""),"SC")</f>
        <v>SC</v>
      </c>
      <c r="D280" s="2">
        <f ca="1">IFERROR(__xludf.DUMMYFUNCTION("""COMPUTED_VALUE"""),44915)</f>
        <v>44915</v>
      </c>
      <c r="E280" s="1">
        <f ca="1">IFERROR(__xludf.DUMMYFUNCTION("""COMPUTED_VALUE"""),-8.29)</f>
        <v>-8.2899999999999991</v>
      </c>
      <c r="F280" s="1">
        <f ca="1">IFERROR(__xludf.DUMMYFUNCTION("""COMPUTED_VALUE"""),101.5)</f>
        <v>101.5</v>
      </c>
      <c r="G280" s="1">
        <f ca="1">IFERROR(__xludf.DUMMYFUNCTION("""COMPUTED_VALUE"""),237)</f>
        <v>237</v>
      </c>
      <c r="H280" s="1">
        <f ca="1">IFERROR(__xludf.DUMMYFUNCTION("""COMPUTED_VALUE"""),109.7)</f>
        <v>109.7</v>
      </c>
      <c r="I280" s="1">
        <f ca="1">IFERROR(__xludf.DUMMYFUNCTION("""COMPUTED_VALUE"""),275)</f>
        <v>275</v>
      </c>
      <c r="J280" s="1">
        <f ca="1">IFERROR(__xludf.DUMMYFUNCTION("""COMPUTED_VALUE"""),66.1)</f>
        <v>66.099999999999994</v>
      </c>
      <c r="K280" s="1">
        <f ca="1">IFERROR(__xludf.DUMMYFUNCTION("""COMPUTED_VALUE"""),258)</f>
        <v>258</v>
      </c>
      <c r="L280" s="1" t="str">
        <f ca="1">IFERROR(__xludf.DUMMYFUNCTION("""COMPUTED_VALUE"""),"+.025")</f>
        <v>+.025</v>
      </c>
      <c r="M280" s="1">
        <f ca="1">IFERROR(__xludf.DUMMYFUNCTION("""COMPUTED_VALUE"""),112)</f>
        <v>112</v>
      </c>
      <c r="N280" s="1" t="str">
        <f ca="1">IFERROR(__xludf.DUMMYFUNCTION("""COMPUTED_VALUE"""),"+0.34")</f>
        <v>+0.34</v>
      </c>
      <c r="O280" s="1">
        <f ca="1">IFERROR(__xludf.DUMMYFUNCTION("""COMPUTED_VALUE"""),129)</f>
        <v>129</v>
      </c>
      <c r="P280" s="1">
        <f ca="1">IFERROR(__xludf.DUMMYFUNCTION("""COMPUTED_VALUE"""),105.4)</f>
        <v>105.4</v>
      </c>
      <c r="Q280" s="1">
        <f ca="1">IFERROR(__xludf.DUMMYFUNCTION("""COMPUTED_VALUE"""),108)</f>
        <v>108</v>
      </c>
      <c r="R280" s="1">
        <f ca="1">IFERROR(__xludf.DUMMYFUNCTION("""COMPUTED_VALUE"""),105)</f>
        <v>105</v>
      </c>
      <c r="S280" s="1">
        <f ca="1">IFERROR(__xludf.DUMMYFUNCTION("""COMPUTED_VALUE"""),183)</f>
        <v>183</v>
      </c>
      <c r="T280" s="1">
        <f ca="1">IFERROR(__xludf.DUMMYFUNCTION("""COMPUTED_VALUE"""),-2.06)</f>
        <v>-2.06</v>
      </c>
      <c r="U280" s="1">
        <f ca="1">IFERROR(__xludf.DUMMYFUNCTION("""COMPUTED_VALUE"""),220)</f>
        <v>220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IFERROR(__xludf.DUMMYFUNCTION("""COMPUTED_VALUE"""),"Siena")</f>
        <v>Siena</v>
      </c>
      <c r="C281" s="1" t="str">
        <f ca="1">IFERROR(__xludf.DUMMYFUNCTION("""COMPUTED_VALUE"""),"MAAC")</f>
        <v>MAAC</v>
      </c>
      <c r="D281" s="1" t="str">
        <f ca="1">IFERROR(__xludf.DUMMYFUNCTION("""COMPUTED_VALUE"""),"17-16")</f>
        <v>17-16</v>
      </c>
      <c r="E281" s="1">
        <f ca="1">IFERROR(__xludf.DUMMYFUNCTION("""COMPUTED_VALUE"""),-8.38)</f>
        <v>-8.3800000000000008</v>
      </c>
      <c r="F281" s="1">
        <f ca="1">IFERROR(__xludf.DUMMYFUNCTION("""COMPUTED_VALUE"""),100.7)</f>
        <v>100.7</v>
      </c>
      <c r="G281" s="1">
        <f ca="1">IFERROR(__xludf.DUMMYFUNCTION("""COMPUTED_VALUE"""),251)</f>
        <v>251</v>
      </c>
      <c r="H281" s="1">
        <f ca="1">IFERROR(__xludf.DUMMYFUNCTION("""COMPUTED_VALUE"""),109.1)</f>
        <v>109.1</v>
      </c>
      <c r="I281" s="1">
        <f ca="1">IFERROR(__xludf.DUMMYFUNCTION("""COMPUTED_VALUE"""),263)</f>
        <v>263</v>
      </c>
      <c r="J281" s="1">
        <f ca="1">IFERROR(__xludf.DUMMYFUNCTION("""COMPUTED_VALUE"""),60.6)</f>
        <v>60.6</v>
      </c>
      <c r="K281" s="1">
        <f ca="1">IFERROR(__xludf.DUMMYFUNCTION("""COMPUTED_VALUE"""),352)</f>
        <v>352</v>
      </c>
      <c r="L281" s="1" t="str">
        <f ca="1">IFERROR(__xludf.DUMMYFUNCTION("""COMPUTED_VALUE"""),"+.060")</f>
        <v>+.060</v>
      </c>
      <c r="M281" s="1">
        <f ca="1">IFERROR(__xludf.DUMMYFUNCTION("""COMPUTED_VALUE"""),43)</f>
        <v>43</v>
      </c>
      <c r="N281" s="1">
        <f ca="1">IFERROR(__xludf.DUMMYFUNCTION("""COMPUTED_VALUE"""),-7.41)</f>
        <v>-7.41</v>
      </c>
      <c r="O281" s="1">
        <f ca="1">IFERROR(__xludf.DUMMYFUNCTION("""COMPUTED_VALUE"""),318)</f>
        <v>318</v>
      </c>
      <c r="P281" s="1">
        <f ca="1">IFERROR(__xludf.DUMMYFUNCTION("""COMPUTED_VALUE"""),100.5)</f>
        <v>100.5</v>
      </c>
      <c r="Q281" s="1">
        <f ca="1">IFERROR(__xludf.DUMMYFUNCTION("""COMPUTED_VALUE"""),316)</f>
        <v>316</v>
      </c>
      <c r="R281" s="1">
        <f ca="1">IFERROR(__xludf.DUMMYFUNCTION("""COMPUTED_VALUE"""),107.9)</f>
        <v>107.9</v>
      </c>
      <c r="S281" s="1">
        <f ca="1">IFERROR(__xludf.DUMMYFUNCTION("""COMPUTED_VALUE"""),310)</f>
        <v>310</v>
      </c>
      <c r="T281" s="1">
        <f ca="1">IFERROR(__xludf.DUMMYFUNCTION("""COMPUTED_VALUE"""),-1.93)</f>
        <v>-1.93</v>
      </c>
      <c r="U281" s="1">
        <f ca="1">IFERROR(__xludf.DUMMYFUNCTION("""COMPUTED_VALUE"""),218)</f>
        <v>218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IFERROR(__xludf.DUMMYFUNCTION("""COMPUTED_VALUE"""),"Grambling St.")</f>
        <v>Grambling St.</v>
      </c>
      <c r="C282" s="1" t="str">
        <f ca="1">IFERROR(__xludf.DUMMYFUNCTION("""COMPUTED_VALUE"""),"SWAC")</f>
        <v>SWAC</v>
      </c>
      <c r="D282" s="1" t="str">
        <f ca="1">IFERROR(__xludf.DUMMYFUNCTION("""COMPUTED_VALUE"""),"17-17")</f>
        <v>17-17</v>
      </c>
      <c r="E282" s="1">
        <f ca="1">IFERROR(__xludf.DUMMYFUNCTION("""COMPUTED_VALUE"""),-8.56)</f>
        <v>-8.56</v>
      </c>
      <c r="F282" s="1">
        <f ca="1">IFERROR(__xludf.DUMMYFUNCTION("""COMPUTED_VALUE"""),95.9)</f>
        <v>95.9</v>
      </c>
      <c r="G282" s="1">
        <f ca="1">IFERROR(__xludf.DUMMYFUNCTION("""COMPUTED_VALUE"""),318)</f>
        <v>318</v>
      </c>
      <c r="H282" s="1">
        <f ca="1">IFERROR(__xludf.DUMMYFUNCTION("""COMPUTED_VALUE"""),104.4)</f>
        <v>104.4</v>
      </c>
      <c r="I282" s="1">
        <f ca="1">IFERROR(__xludf.DUMMYFUNCTION("""COMPUTED_VALUE"""),165)</f>
        <v>165</v>
      </c>
      <c r="J282" s="1">
        <f ca="1">IFERROR(__xludf.DUMMYFUNCTION("""COMPUTED_VALUE"""),69.6)</f>
        <v>69.599999999999994</v>
      </c>
      <c r="K282" s="1">
        <f ca="1">IFERROR(__xludf.DUMMYFUNCTION("""COMPUTED_VALUE"""),82)</f>
        <v>82</v>
      </c>
      <c r="L282" s="1">
        <f ca="1">IFERROR(__xludf.DUMMYFUNCTION("""COMPUTED_VALUE"""),-0.044)</f>
        <v>-4.3999999999999997E-2</v>
      </c>
      <c r="M282" s="1">
        <f ca="1">IFERROR(__xludf.DUMMYFUNCTION("""COMPUTED_VALUE"""),282)</f>
        <v>282</v>
      </c>
      <c r="N282" s="1">
        <f ca="1">IFERROR(__xludf.DUMMYFUNCTION("""COMPUTED_VALUE"""),-9.51)</f>
        <v>-9.51</v>
      </c>
      <c r="O282" s="1">
        <f ca="1">IFERROR(__xludf.DUMMYFUNCTION("""COMPUTED_VALUE"""),346)</f>
        <v>346</v>
      </c>
      <c r="P282" s="1">
        <f ca="1">IFERROR(__xludf.DUMMYFUNCTION("""COMPUTED_VALUE"""),98.2)</f>
        <v>98.2</v>
      </c>
      <c r="Q282" s="1">
        <f ca="1">IFERROR(__xludf.DUMMYFUNCTION("""COMPUTED_VALUE"""),347)</f>
        <v>347</v>
      </c>
      <c r="R282" s="1">
        <f ca="1">IFERROR(__xludf.DUMMYFUNCTION("""COMPUTED_VALUE"""),107.7)</f>
        <v>107.7</v>
      </c>
      <c r="S282" s="1">
        <f ca="1">IFERROR(__xludf.DUMMYFUNCTION("""COMPUTED_VALUE"""),298)</f>
        <v>298</v>
      </c>
      <c r="T282" s="1" t="str">
        <f ca="1">IFERROR(__xludf.DUMMYFUNCTION("""COMPUTED_VALUE"""),"+3.90")</f>
        <v>+3.90</v>
      </c>
      <c r="U282" s="1">
        <f ca="1">IFERROR(__xludf.DUMMYFUNCTION("""COMPUTED_VALUE"""),61)</f>
        <v>61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IFERROR(__xludf.DUMMYFUNCTION("""COMPUTED_VALUE"""),"Robert Morris")</f>
        <v>Robert Morris</v>
      </c>
      <c r="C283" s="1" t="str">
        <f ca="1">IFERROR(__xludf.DUMMYFUNCTION("""COMPUTED_VALUE"""),"NEC")</f>
        <v>NEC</v>
      </c>
      <c r="D283" s="1" t="str">
        <f ca="1">IFERROR(__xludf.DUMMYFUNCTION("""COMPUTED_VALUE"""),"18-17")</f>
        <v>18-17</v>
      </c>
      <c r="E283" s="1">
        <f ca="1">IFERROR(__xludf.DUMMYFUNCTION("""COMPUTED_VALUE"""),-8.72)</f>
        <v>-8.7200000000000006</v>
      </c>
      <c r="F283" s="1">
        <f ca="1">IFERROR(__xludf.DUMMYFUNCTION("""COMPUTED_VALUE"""),96.1)</f>
        <v>96.1</v>
      </c>
      <c r="G283" s="1">
        <f ca="1">IFERROR(__xludf.DUMMYFUNCTION("""COMPUTED_VALUE"""),314)</f>
        <v>314</v>
      </c>
      <c r="H283" s="1">
        <f ca="1">IFERROR(__xludf.DUMMYFUNCTION("""COMPUTED_VALUE"""),104.9)</f>
        <v>104.9</v>
      </c>
      <c r="I283" s="1">
        <f ca="1">IFERROR(__xludf.DUMMYFUNCTION("""COMPUTED_VALUE"""),176)</f>
        <v>176</v>
      </c>
      <c r="J283" s="1">
        <f ca="1">IFERROR(__xludf.DUMMYFUNCTION("""COMPUTED_VALUE"""),66.3)</f>
        <v>66.3</v>
      </c>
      <c r="K283" s="1">
        <f ca="1">IFERROR(__xludf.DUMMYFUNCTION("""COMPUTED_VALUE"""),250)</f>
        <v>250</v>
      </c>
      <c r="L283" s="1" t="str">
        <f ca="1">IFERROR(__xludf.DUMMYFUNCTION("""COMPUTED_VALUE"""),"+.034")</f>
        <v>+.034</v>
      </c>
      <c r="M283" s="1">
        <f ca="1">IFERROR(__xludf.DUMMYFUNCTION("""COMPUTED_VALUE"""),95)</f>
        <v>95</v>
      </c>
      <c r="N283" s="1">
        <f ca="1">IFERROR(__xludf.DUMMYFUNCTION("""COMPUTED_VALUE"""),-8.21)</f>
        <v>-8.2100000000000009</v>
      </c>
      <c r="O283" s="1">
        <f ca="1">IFERROR(__xludf.DUMMYFUNCTION("""COMPUTED_VALUE"""),339)</f>
        <v>339</v>
      </c>
      <c r="P283" s="1">
        <f ca="1">IFERROR(__xludf.DUMMYFUNCTION("""COMPUTED_VALUE"""),101.2)</f>
        <v>101.2</v>
      </c>
      <c r="Q283" s="1">
        <f ca="1">IFERROR(__xludf.DUMMYFUNCTION("""COMPUTED_VALUE"""),296)</f>
        <v>296</v>
      </c>
      <c r="R283" s="1">
        <f ca="1">IFERROR(__xludf.DUMMYFUNCTION("""COMPUTED_VALUE"""),109.4)</f>
        <v>109.4</v>
      </c>
      <c r="S283" s="1">
        <f ca="1">IFERROR(__xludf.DUMMYFUNCTION("""COMPUTED_VALUE"""),350)</f>
        <v>350</v>
      </c>
      <c r="T283" s="1">
        <f ca="1">IFERROR(__xludf.DUMMYFUNCTION("""COMPUTED_VALUE"""),-1.33)</f>
        <v>-1.33</v>
      </c>
      <c r="U283" s="1">
        <f ca="1">IFERROR(__xludf.DUMMYFUNCTION("""COMPUTED_VALUE"""),197)</f>
        <v>197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IFERROR(__xludf.DUMMYFUNCTION("""COMPUTED_VALUE"""),"Loyola MD")</f>
        <v>Loyola MD</v>
      </c>
      <c r="C284" s="1" t="str">
        <f ca="1">IFERROR(__xludf.DUMMYFUNCTION("""COMPUTED_VALUE"""),"Pat")</f>
        <v>Pat</v>
      </c>
      <c r="D284" s="2">
        <f ca="1">IFERROR(__xludf.DUMMYFUNCTION("""COMPUTED_VALUE"""),44886)</f>
        <v>44886</v>
      </c>
      <c r="E284" s="1">
        <f ca="1">IFERROR(__xludf.DUMMYFUNCTION("""COMPUTED_VALUE"""),-8.72)</f>
        <v>-8.7200000000000006</v>
      </c>
      <c r="F284" s="1">
        <f ca="1">IFERROR(__xludf.DUMMYFUNCTION("""COMPUTED_VALUE"""),101.8)</f>
        <v>101.8</v>
      </c>
      <c r="G284" s="1">
        <f ca="1">IFERROR(__xludf.DUMMYFUNCTION("""COMPUTED_VALUE"""),226)</f>
        <v>226</v>
      </c>
      <c r="H284" s="1">
        <f ca="1">IFERROR(__xludf.DUMMYFUNCTION("""COMPUTED_VALUE"""),110.5)</f>
        <v>110.5</v>
      </c>
      <c r="I284" s="1">
        <f ca="1">IFERROR(__xludf.DUMMYFUNCTION("""COMPUTED_VALUE"""),291)</f>
        <v>291</v>
      </c>
      <c r="J284" s="1">
        <f ca="1">IFERROR(__xludf.DUMMYFUNCTION("""COMPUTED_VALUE"""),68.5)</f>
        <v>68.5</v>
      </c>
      <c r="K284" s="1">
        <f ca="1">IFERROR(__xludf.DUMMYFUNCTION("""COMPUTED_VALUE"""),128)</f>
        <v>128</v>
      </c>
      <c r="L284" s="1">
        <f ca="1">IFERROR(__xludf.DUMMYFUNCTION("""COMPUTED_VALUE"""),-0.028)</f>
        <v>-2.8000000000000001E-2</v>
      </c>
      <c r="M284" s="1">
        <f ca="1">IFERROR(__xludf.DUMMYFUNCTION("""COMPUTED_VALUE"""),251)</f>
        <v>251</v>
      </c>
      <c r="N284" s="1">
        <f ca="1">IFERROR(__xludf.DUMMYFUNCTION("""COMPUTED_VALUE"""),-3.65)</f>
        <v>-3.65</v>
      </c>
      <c r="O284" s="1">
        <f ca="1">IFERROR(__xludf.DUMMYFUNCTION("""COMPUTED_VALUE"""),243)</f>
        <v>243</v>
      </c>
      <c r="P284" s="1">
        <f ca="1">IFERROR(__xludf.DUMMYFUNCTION("""COMPUTED_VALUE"""),103.6)</f>
        <v>103.6</v>
      </c>
      <c r="Q284" s="1">
        <f ca="1">IFERROR(__xludf.DUMMYFUNCTION("""COMPUTED_VALUE"""),185)</f>
        <v>185</v>
      </c>
      <c r="R284" s="1">
        <f ca="1">IFERROR(__xludf.DUMMYFUNCTION("""COMPUTED_VALUE"""),107.3)</f>
        <v>107.3</v>
      </c>
      <c r="S284" s="1">
        <f ca="1">IFERROR(__xludf.DUMMYFUNCTION("""COMPUTED_VALUE"""),273)</f>
        <v>273</v>
      </c>
      <c r="T284" s="1">
        <f ca="1">IFERROR(__xludf.DUMMYFUNCTION("""COMPUTED_VALUE"""),-1.64)</f>
        <v>-1.64</v>
      </c>
      <c r="U284" s="1">
        <f ca="1">IFERROR(__xludf.DUMMYFUNCTION("""COMPUTED_VALUE"""),209)</f>
        <v>209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IFERROR(__xludf.DUMMYFUNCTION("""COMPUTED_VALUE"""),"North Dakota")</f>
        <v>North Dakota</v>
      </c>
      <c r="C285" s="1" t="str">
        <f ca="1">IFERROR(__xludf.DUMMYFUNCTION("""COMPUTED_VALUE"""),"Sum")</f>
        <v>Sum</v>
      </c>
      <c r="D285" s="2">
        <f ca="1">IFERROR(__xludf.DUMMYFUNCTION("""COMPUTED_VALUE"""),44913)</f>
        <v>44913</v>
      </c>
      <c r="E285" s="1">
        <f ca="1">IFERROR(__xludf.DUMMYFUNCTION("""COMPUTED_VALUE"""),-8.76)</f>
        <v>-8.76</v>
      </c>
      <c r="F285" s="1">
        <f ca="1">IFERROR(__xludf.DUMMYFUNCTION("""COMPUTED_VALUE"""),97.6)</f>
        <v>97.6</v>
      </c>
      <c r="G285" s="1">
        <f ca="1">IFERROR(__xludf.DUMMYFUNCTION("""COMPUTED_VALUE"""),297)</f>
        <v>297</v>
      </c>
      <c r="H285" s="1">
        <f ca="1">IFERROR(__xludf.DUMMYFUNCTION("""COMPUTED_VALUE"""),106.3)</f>
        <v>106.3</v>
      </c>
      <c r="I285" s="1">
        <f ca="1">IFERROR(__xludf.DUMMYFUNCTION("""COMPUTED_VALUE"""),212)</f>
        <v>212</v>
      </c>
      <c r="J285" s="1">
        <f ca="1">IFERROR(__xludf.DUMMYFUNCTION("""COMPUTED_VALUE"""),69.7)</f>
        <v>69.7</v>
      </c>
      <c r="K285" s="1">
        <f ca="1">IFERROR(__xludf.DUMMYFUNCTION("""COMPUTED_VALUE"""),79)</f>
        <v>79</v>
      </c>
      <c r="L285" s="1">
        <f ca="1">IFERROR(__xludf.DUMMYFUNCTION("""COMPUTED_VALUE"""),-0.046)</f>
        <v>-4.5999999999999999E-2</v>
      </c>
      <c r="M285" s="1">
        <f ca="1">IFERROR(__xludf.DUMMYFUNCTION("""COMPUTED_VALUE"""),286)</f>
        <v>286</v>
      </c>
      <c r="N285" s="1">
        <f ca="1">IFERROR(__xludf.DUMMYFUNCTION("""COMPUTED_VALUE"""),-3.26)</f>
        <v>-3.26</v>
      </c>
      <c r="O285" s="1">
        <f ca="1">IFERROR(__xludf.DUMMYFUNCTION("""COMPUTED_VALUE"""),229)</f>
        <v>229</v>
      </c>
      <c r="P285" s="1">
        <f ca="1">IFERROR(__xludf.DUMMYFUNCTION("""COMPUTED_VALUE"""),104.9)</f>
        <v>104.9</v>
      </c>
      <c r="Q285" s="1">
        <f ca="1">IFERROR(__xludf.DUMMYFUNCTION("""COMPUTED_VALUE"""),128)</f>
        <v>128</v>
      </c>
      <c r="R285" s="1">
        <f ca="1">IFERROR(__xludf.DUMMYFUNCTION("""COMPUTED_VALUE"""),108.2)</f>
        <v>108.2</v>
      </c>
      <c r="S285" s="1">
        <f ca="1">IFERROR(__xludf.DUMMYFUNCTION("""COMPUTED_VALUE"""),318)</f>
        <v>318</v>
      </c>
      <c r="T285" s="1" t="str">
        <f ca="1">IFERROR(__xludf.DUMMYFUNCTION("""COMPUTED_VALUE"""),"+1.51")</f>
        <v>+1.51</v>
      </c>
      <c r="U285" s="1">
        <f ca="1">IFERROR(__xludf.DUMMYFUNCTION("""COMPUTED_VALUE"""),113)</f>
        <v>113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IFERROR(__xludf.DUMMYFUNCTION("""COMPUTED_VALUE"""),"UNC Wilmington")</f>
        <v>UNC Wilmington</v>
      </c>
      <c r="C286" s="1" t="str">
        <f ca="1">IFERROR(__xludf.DUMMYFUNCTION("""COMPUTED_VALUE"""),"CAA")</f>
        <v>CAA</v>
      </c>
      <c r="D286" s="2">
        <f ca="1">IFERROR(__xludf.DUMMYFUNCTION("""COMPUTED_VALUE"""),44857)</f>
        <v>44857</v>
      </c>
      <c r="E286" s="1">
        <f ca="1">IFERROR(__xludf.DUMMYFUNCTION("""COMPUTED_VALUE"""),-9.31)</f>
        <v>-9.31</v>
      </c>
      <c r="F286" s="1">
        <f ca="1">IFERROR(__xludf.DUMMYFUNCTION("""COMPUTED_VALUE"""),105.4)</f>
        <v>105.4</v>
      </c>
      <c r="G286" s="1">
        <f ca="1">IFERROR(__xludf.DUMMYFUNCTION("""COMPUTED_VALUE"""),156)</f>
        <v>156</v>
      </c>
      <c r="H286" s="1">
        <f ca="1">IFERROR(__xludf.DUMMYFUNCTION("""COMPUTED_VALUE"""),114.7)</f>
        <v>114.7</v>
      </c>
      <c r="I286" s="1">
        <f ca="1">IFERROR(__xludf.DUMMYFUNCTION("""COMPUTED_VALUE"""),339)</f>
        <v>339</v>
      </c>
      <c r="J286" s="1">
        <f ca="1">IFERROR(__xludf.DUMMYFUNCTION("""COMPUTED_VALUE"""),69.3)</f>
        <v>69.3</v>
      </c>
      <c r="K286" s="1">
        <f ca="1">IFERROR(__xludf.DUMMYFUNCTION("""COMPUTED_VALUE"""),93)</f>
        <v>93</v>
      </c>
      <c r="L286" s="1">
        <f ca="1">IFERROR(__xludf.DUMMYFUNCTION("""COMPUTED_VALUE"""),-0.034)</f>
        <v>-3.4000000000000002E-2</v>
      </c>
      <c r="M286" s="1">
        <f ca="1">IFERROR(__xludf.DUMMYFUNCTION("""COMPUTED_VALUE"""),264)</f>
        <v>264</v>
      </c>
      <c r="N286" s="1">
        <f ca="1">IFERROR(__xludf.DUMMYFUNCTION("""COMPUTED_VALUE"""),-2.17)</f>
        <v>-2.17</v>
      </c>
      <c r="O286" s="1">
        <f ca="1">IFERROR(__xludf.DUMMYFUNCTION("""COMPUTED_VALUE"""),204)</f>
        <v>204</v>
      </c>
      <c r="P286" s="1">
        <f ca="1">IFERROR(__xludf.DUMMYFUNCTION("""COMPUTED_VALUE"""),105.4)</f>
        <v>105.4</v>
      </c>
      <c r="Q286" s="1">
        <f ca="1">IFERROR(__xludf.DUMMYFUNCTION("""COMPUTED_VALUE"""),106)</f>
        <v>106</v>
      </c>
      <c r="R286" s="1">
        <f ca="1">IFERROR(__xludf.DUMMYFUNCTION("""COMPUTED_VALUE"""),107.6)</f>
        <v>107.6</v>
      </c>
      <c r="S286" s="1">
        <f ca="1">IFERROR(__xludf.DUMMYFUNCTION("""COMPUTED_VALUE"""),291)</f>
        <v>291</v>
      </c>
      <c r="T286" s="1" t="str">
        <f ca="1">IFERROR(__xludf.DUMMYFUNCTION("""COMPUTED_VALUE"""),"+1.74")</f>
        <v>+1.74</v>
      </c>
      <c r="U286" s="1">
        <f ca="1">IFERROR(__xludf.DUMMYFUNCTION("""COMPUTED_VALUE"""),109)</f>
        <v>109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IFERROR(__xludf.DUMMYFUNCTION("""COMPUTED_VALUE"""),"Southern Utah")</f>
        <v>Southern Utah</v>
      </c>
      <c r="C287" s="1" t="str">
        <f ca="1">IFERROR(__xludf.DUMMYFUNCTION("""COMPUTED_VALUE"""),"BSky")</f>
        <v>BSky</v>
      </c>
      <c r="D287" s="1" t="str">
        <f ca="1">IFERROR(__xludf.DUMMYFUNCTION("""COMPUTED_VALUE"""),"17-17")</f>
        <v>17-17</v>
      </c>
      <c r="E287" s="1">
        <f ca="1">IFERROR(__xludf.DUMMYFUNCTION("""COMPUTED_VALUE"""),-9.4)</f>
        <v>-9.4</v>
      </c>
      <c r="F287" s="1">
        <f ca="1">IFERROR(__xludf.DUMMYFUNCTION("""COMPUTED_VALUE"""),96.4)</f>
        <v>96.4</v>
      </c>
      <c r="G287" s="1">
        <f ca="1">IFERROR(__xludf.DUMMYFUNCTION("""COMPUTED_VALUE"""),311)</f>
        <v>311</v>
      </c>
      <c r="H287" s="1">
        <f ca="1">IFERROR(__xludf.DUMMYFUNCTION("""COMPUTED_VALUE"""),105.8)</f>
        <v>105.8</v>
      </c>
      <c r="I287" s="1">
        <f ca="1">IFERROR(__xludf.DUMMYFUNCTION("""COMPUTED_VALUE"""),199)</f>
        <v>199</v>
      </c>
      <c r="J287" s="1">
        <f ca="1">IFERROR(__xludf.DUMMYFUNCTION("""COMPUTED_VALUE"""),71.2)</f>
        <v>71.2</v>
      </c>
      <c r="K287" s="1">
        <f ca="1">IFERROR(__xludf.DUMMYFUNCTION("""COMPUTED_VALUE"""),35)</f>
        <v>35</v>
      </c>
      <c r="L287" s="1" t="str">
        <f ca="1">IFERROR(__xludf.DUMMYFUNCTION("""COMPUTED_VALUE"""),"+.044")</f>
        <v>+.044</v>
      </c>
      <c r="M287" s="1">
        <f ca="1">IFERROR(__xludf.DUMMYFUNCTION("""COMPUTED_VALUE"""),75)</f>
        <v>75</v>
      </c>
      <c r="N287" s="1">
        <f ca="1">IFERROR(__xludf.DUMMYFUNCTION("""COMPUTED_VALUE"""),-7.01)</f>
        <v>-7.01</v>
      </c>
      <c r="O287" s="1">
        <f ca="1">IFERROR(__xludf.DUMMYFUNCTION("""COMPUTED_VALUE"""),308)</f>
        <v>308</v>
      </c>
      <c r="P287" s="1">
        <f ca="1">IFERROR(__xludf.DUMMYFUNCTION("""COMPUTED_VALUE"""),102.4)</f>
        <v>102.4</v>
      </c>
      <c r="Q287" s="1">
        <f ca="1">IFERROR(__xludf.DUMMYFUNCTION("""COMPUTED_VALUE"""),258)</f>
        <v>258</v>
      </c>
      <c r="R287" s="1">
        <f ca="1">IFERROR(__xludf.DUMMYFUNCTION("""COMPUTED_VALUE"""),109.4)</f>
        <v>109.4</v>
      </c>
      <c r="S287" s="1">
        <f ca="1">IFERROR(__xludf.DUMMYFUNCTION("""COMPUTED_VALUE"""),351)</f>
        <v>351</v>
      </c>
      <c r="T287" s="1" t="str">
        <f ca="1">IFERROR(__xludf.DUMMYFUNCTION("""COMPUTED_VALUE"""),"+0.95")</f>
        <v>+0.95</v>
      </c>
      <c r="U287" s="1">
        <f ca="1">IFERROR(__xludf.DUMMYFUNCTION("""COMPUTED_VALUE"""),127)</f>
        <v>127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IFERROR(__xludf.DUMMYFUNCTION("""COMPUTED_VALUE"""),"Sacramento St.")</f>
        <v>Sacramento St.</v>
      </c>
      <c r="C288" s="1" t="str">
        <f ca="1">IFERROR(__xludf.DUMMYFUNCTION("""COMPUTED_VALUE"""),"BSky")</f>
        <v>BSky</v>
      </c>
      <c r="D288" s="1" t="str">
        <f ca="1">IFERROR(__xludf.DUMMYFUNCTION("""COMPUTED_VALUE"""),"15-16")</f>
        <v>15-16</v>
      </c>
      <c r="E288" s="1">
        <f ca="1">IFERROR(__xludf.DUMMYFUNCTION("""COMPUTED_VALUE"""),-9.44)</f>
        <v>-9.44</v>
      </c>
      <c r="F288" s="1">
        <f ca="1">IFERROR(__xludf.DUMMYFUNCTION("""COMPUTED_VALUE"""),96.6)</f>
        <v>96.6</v>
      </c>
      <c r="G288" s="1">
        <f ca="1">IFERROR(__xludf.DUMMYFUNCTION("""COMPUTED_VALUE"""),309)</f>
        <v>309</v>
      </c>
      <c r="H288" s="1">
        <f ca="1">IFERROR(__xludf.DUMMYFUNCTION("""COMPUTED_VALUE"""),106)</f>
        <v>106</v>
      </c>
      <c r="I288" s="1">
        <f ca="1">IFERROR(__xludf.DUMMYFUNCTION("""COMPUTED_VALUE"""),205)</f>
        <v>205</v>
      </c>
      <c r="J288" s="1">
        <f ca="1">IFERROR(__xludf.DUMMYFUNCTION("""COMPUTED_VALUE"""),68.1)</f>
        <v>68.099999999999994</v>
      </c>
      <c r="K288" s="1">
        <f ca="1">IFERROR(__xludf.DUMMYFUNCTION("""COMPUTED_VALUE"""),146)</f>
        <v>146</v>
      </c>
      <c r="L288" s="1">
        <f ca="1">IFERROR(__xludf.DUMMYFUNCTION("""COMPUTED_VALUE"""),-0.011)</f>
        <v>-1.0999999999999999E-2</v>
      </c>
      <c r="M288" s="1">
        <f ca="1">IFERROR(__xludf.DUMMYFUNCTION("""COMPUTED_VALUE"""),212)</f>
        <v>212</v>
      </c>
      <c r="N288" s="1">
        <f ca="1">IFERROR(__xludf.DUMMYFUNCTION("""COMPUTED_VALUE"""),-7.71)</f>
        <v>-7.71</v>
      </c>
      <c r="O288" s="1">
        <f ca="1">IFERROR(__xludf.DUMMYFUNCTION("""COMPUTED_VALUE"""),325)</f>
        <v>325</v>
      </c>
      <c r="P288" s="1">
        <f ca="1">IFERROR(__xludf.DUMMYFUNCTION("""COMPUTED_VALUE"""),101.7)</f>
        <v>101.7</v>
      </c>
      <c r="Q288" s="1">
        <f ca="1">IFERROR(__xludf.DUMMYFUNCTION("""COMPUTED_VALUE"""),281)</f>
        <v>281</v>
      </c>
      <c r="R288" s="1">
        <f ca="1">IFERROR(__xludf.DUMMYFUNCTION("""COMPUTED_VALUE"""),109.4)</f>
        <v>109.4</v>
      </c>
      <c r="S288" s="1">
        <f ca="1">IFERROR(__xludf.DUMMYFUNCTION("""COMPUTED_VALUE"""),349)</f>
        <v>349</v>
      </c>
      <c r="T288" s="1">
        <f ca="1">IFERROR(__xludf.DUMMYFUNCTION("""COMPUTED_VALUE"""),-2.45)</f>
        <v>-2.4500000000000002</v>
      </c>
      <c r="U288" s="1">
        <f ca="1">IFERROR(__xludf.DUMMYFUNCTION("""COMPUTED_VALUE"""),232)</f>
        <v>232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IFERROR(__xludf.DUMMYFUNCTION("""COMPUTED_VALUE"""),"St. Francis NY")</f>
        <v>St. Francis NY</v>
      </c>
      <c r="C289" s="1" t="str">
        <f ca="1">IFERROR(__xludf.DUMMYFUNCTION("""COMPUTED_VALUE"""),"NEC")</f>
        <v>NEC</v>
      </c>
      <c r="D289" s="1" t="str">
        <f ca="1">IFERROR(__xludf.DUMMYFUNCTION("""COMPUTED_VALUE"""),"17-16")</f>
        <v>17-16</v>
      </c>
      <c r="E289" s="1">
        <f ca="1">IFERROR(__xludf.DUMMYFUNCTION("""COMPUTED_VALUE"""),-9.5)</f>
        <v>-9.5</v>
      </c>
      <c r="F289" s="1">
        <f ca="1">IFERROR(__xludf.DUMMYFUNCTION("""COMPUTED_VALUE"""),96.1)</f>
        <v>96.1</v>
      </c>
      <c r="G289" s="1">
        <f ca="1">IFERROR(__xludf.DUMMYFUNCTION("""COMPUTED_VALUE"""),315)</f>
        <v>315</v>
      </c>
      <c r="H289" s="1">
        <f ca="1">IFERROR(__xludf.DUMMYFUNCTION("""COMPUTED_VALUE"""),105.6)</f>
        <v>105.6</v>
      </c>
      <c r="I289" s="1">
        <f ca="1">IFERROR(__xludf.DUMMYFUNCTION("""COMPUTED_VALUE"""),195)</f>
        <v>195</v>
      </c>
      <c r="J289" s="1">
        <f ca="1">IFERROR(__xludf.DUMMYFUNCTION("""COMPUTED_VALUE"""),68.3)</f>
        <v>68.3</v>
      </c>
      <c r="K289" s="1">
        <f ca="1">IFERROR(__xludf.DUMMYFUNCTION("""COMPUTED_VALUE"""),138)</f>
        <v>138</v>
      </c>
      <c r="L289" s="1" t="str">
        <f ca="1">IFERROR(__xludf.DUMMYFUNCTION("""COMPUTED_VALUE"""),"+.045")</f>
        <v>+.045</v>
      </c>
      <c r="M289" s="1">
        <f ca="1">IFERROR(__xludf.DUMMYFUNCTION("""COMPUTED_VALUE"""),72)</f>
        <v>72</v>
      </c>
      <c r="N289" s="1">
        <f ca="1">IFERROR(__xludf.DUMMYFUNCTION("""COMPUTED_VALUE"""),-8.05)</f>
        <v>-8.0500000000000007</v>
      </c>
      <c r="O289" s="1">
        <f ca="1">IFERROR(__xludf.DUMMYFUNCTION("""COMPUTED_VALUE"""),334)</f>
        <v>334</v>
      </c>
      <c r="P289" s="1">
        <f ca="1">IFERROR(__xludf.DUMMYFUNCTION("""COMPUTED_VALUE"""),101)</f>
        <v>101</v>
      </c>
      <c r="Q289" s="1">
        <f ca="1">IFERROR(__xludf.DUMMYFUNCTION("""COMPUTED_VALUE"""),304)</f>
        <v>304</v>
      </c>
      <c r="R289" s="1">
        <f ca="1">IFERROR(__xludf.DUMMYFUNCTION("""COMPUTED_VALUE"""),109)</f>
        <v>109</v>
      </c>
      <c r="S289" s="1">
        <f ca="1">IFERROR(__xludf.DUMMYFUNCTION("""COMPUTED_VALUE"""),344)</f>
        <v>344</v>
      </c>
      <c r="T289" s="1">
        <f ca="1">IFERROR(__xludf.DUMMYFUNCTION("""COMPUTED_VALUE"""),-3.82)</f>
        <v>-3.82</v>
      </c>
      <c r="U289" s="1">
        <f ca="1">IFERROR(__xludf.DUMMYFUNCTION("""COMPUTED_VALUE"""),270)</f>
        <v>270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IFERROR(__xludf.DUMMYFUNCTION("""COMPUTED_VALUE"""),"Marist")</f>
        <v>Marist</v>
      </c>
      <c r="C290" s="1" t="str">
        <f ca="1">IFERROR(__xludf.DUMMYFUNCTION("""COMPUTED_VALUE"""),"MAAC")</f>
        <v>MAAC</v>
      </c>
      <c r="D290" s="2">
        <f ca="1">IFERROR(__xludf.DUMMYFUNCTION("""COMPUTED_VALUE"""),44914)</f>
        <v>44914</v>
      </c>
      <c r="E290" s="1">
        <f ca="1">IFERROR(__xludf.DUMMYFUNCTION("""COMPUTED_VALUE"""),-9.52)</f>
        <v>-9.52</v>
      </c>
      <c r="F290" s="1">
        <f ca="1">IFERROR(__xludf.DUMMYFUNCTION("""COMPUTED_VALUE"""),100.2)</f>
        <v>100.2</v>
      </c>
      <c r="G290" s="1">
        <f ca="1">IFERROR(__xludf.DUMMYFUNCTION("""COMPUTED_VALUE"""),254)</f>
        <v>254</v>
      </c>
      <c r="H290" s="1">
        <f ca="1">IFERROR(__xludf.DUMMYFUNCTION("""COMPUTED_VALUE"""),109.8)</f>
        <v>109.8</v>
      </c>
      <c r="I290" s="1">
        <f ca="1">IFERROR(__xludf.DUMMYFUNCTION("""COMPUTED_VALUE"""),277)</f>
        <v>277</v>
      </c>
      <c r="J290" s="1">
        <f ca="1">IFERROR(__xludf.DUMMYFUNCTION("""COMPUTED_VALUE"""),64.5)</f>
        <v>64.5</v>
      </c>
      <c r="K290" s="1">
        <f ca="1">IFERROR(__xludf.DUMMYFUNCTION("""COMPUTED_VALUE"""),323)</f>
        <v>323</v>
      </c>
      <c r="L290" s="1">
        <f ca="1">IFERROR(__xludf.DUMMYFUNCTION("""COMPUTED_VALUE"""),-0.054)</f>
        <v>-5.3999999999999999E-2</v>
      </c>
      <c r="M290" s="1">
        <f ca="1">IFERROR(__xludf.DUMMYFUNCTION("""COMPUTED_VALUE"""),301)</f>
        <v>301</v>
      </c>
      <c r="N290" s="1">
        <f ca="1">IFERROR(__xludf.DUMMYFUNCTION("""COMPUTED_VALUE"""),-7.43)</f>
        <v>-7.43</v>
      </c>
      <c r="O290" s="1">
        <f ca="1">IFERROR(__xludf.DUMMYFUNCTION("""COMPUTED_VALUE"""),319)</f>
        <v>319</v>
      </c>
      <c r="P290" s="1">
        <f ca="1">IFERROR(__xludf.DUMMYFUNCTION("""COMPUTED_VALUE"""),100.2)</f>
        <v>100.2</v>
      </c>
      <c r="Q290" s="1">
        <f ca="1">IFERROR(__xludf.DUMMYFUNCTION("""COMPUTED_VALUE"""),320)</f>
        <v>320</v>
      </c>
      <c r="R290" s="1">
        <f ca="1">IFERROR(__xludf.DUMMYFUNCTION("""COMPUTED_VALUE"""),107.7)</f>
        <v>107.7</v>
      </c>
      <c r="S290" s="1">
        <f ca="1">IFERROR(__xludf.DUMMYFUNCTION("""COMPUTED_VALUE"""),294)</f>
        <v>294</v>
      </c>
      <c r="T290" s="1">
        <f ca="1">IFERROR(__xludf.DUMMYFUNCTION("""COMPUTED_VALUE"""),-2.95)</f>
        <v>-2.95</v>
      </c>
      <c r="U290" s="1">
        <f ca="1">IFERROR(__xludf.DUMMYFUNCTION("""COMPUTED_VALUE"""),247)</f>
        <v>247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IFERROR(__xludf.DUMMYFUNCTION("""COMPUTED_VALUE"""),"Western Carolina")</f>
        <v>Western Carolina</v>
      </c>
      <c r="C291" s="1" t="str">
        <f ca="1">IFERROR(__xludf.DUMMYFUNCTION("""COMPUTED_VALUE"""),"SC")</f>
        <v>SC</v>
      </c>
      <c r="D291" s="2">
        <f ca="1">IFERROR(__xludf.DUMMYFUNCTION("""COMPUTED_VALUE"""),44767)</f>
        <v>44767</v>
      </c>
      <c r="E291" s="1">
        <f ca="1">IFERROR(__xludf.DUMMYFUNCTION("""COMPUTED_VALUE"""),-9.58)</f>
        <v>-9.58</v>
      </c>
      <c r="F291" s="1">
        <f ca="1">IFERROR(__xludf.DUMMYFUNCTION("""COMPUTED_VALUE"""),101.6)</f>
        <v>101.6</v>
      </c>
      <c r="G291" s="1">
        <f ca="1">IFERROR(__xludf.DUMMYFUNCTION("""COMPUTED_VALUE"""),232)</f>
        <v>232</v>
      </c>
      <c r="H291" s="1">
        <f ca="1">IFERROR(__xludf.DUMMYFUNCTION("""COMPUTED_VALUE"""),111.2)</f>
        <v>111.2</v>
      </c>
      <c r="I291" s="1">
        <f ca="1">IFERROR(__xludf.DUMMYFUNCTION("""COMPUTED_VALUE"""),303)</f>
        <v>303</v>
      </c>
      <c r="J291" s="1">
        <f ca="1">IFERROR(__xludf.DUMMYFUNCTION("""COMPUTED_VALUE"""),69.5)</f>
        <v>69.5</v>
      </c>
      <c r="K291" s="1">
        <f ca="1">IFERROR(__xludf.DUMMYFUNCTION("""COMPUTED_VALUE"""),85)</f>
        <v>85</v>
      </c>
      <c r="L291" s="1">
        <f ca="1">IFERROR(__xludf.DUMMYFUNCTION("""COMPUTED_VALUE"""),-0.051)</f>
        <v>-5.0999999999999997E-2</v>
      </c>
      <c r="M291" s="1">
        <f ca="1">IFERROR(__xludf.DUMMYFUNCTION("""COMPUTED_VALUE"""),296)</f>
        <v>296</v>
      </c>
      <c r="N291" s="1" t="str">
        <f ca="1">IFERROR(__xludf.DUMMYFUNCTION("""COMPUTED_VALUE"""),"+2.11")</f>
        <v>+2.11</v>
      </c>
      <c r="O291" s="1">
        <f ca="1">IFERROR(__xludf.DUMMYFUNCTION("""COMPUTED_VALUE"""),96)</f>
        <v>96</v>
      </c>
      <c r="P291" s="1">
        <f ca="1">IFERROR(__xludf.DUMMYFUNCTION("""COMPUTED_VALUE"""),106.8)</f>
        <v>106.8</v>
      </c>
      <c r="Q291" s="1">
        <f ca="1">IFERROR(__xludf.DUMMYFUNCTION("""COMPUTED_VALUE"""),73)</f>
        <v>73</v>
      </c>
      <c r="R291" s="1">
        <f ca="1">IFERROR(__xludf.DUMMYFUNCTION("""COMPUTED_VALUE"""),104.7)</f>
        <v>104.7</v>
      </c>
      <c r="S291" s="1">
        <f ca="1">IFERROR(__xludf.DUMMYFUNCTION("""COMPUTED_VALUE"""),168)</f>
        <v>168</v>
      </c>
      <c r="T291" s="1" t="str">
        <f ca="1">IFERROR(__xludf.DUMMYFUNCTION("""COMPUTED_VALUE"""),"+4.68")</f>
        <v>+4.68</v>
      </c>
      <c r="U291" s="1">
        <f ca="1">IFERROR(__xludf.DUMMYFUNCTION("""COMPUTED_VALUE"""),48)</f>
        <v>48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IFERROR(__xludf.DUMMYFUNCTION("""COMPUTED_VALUE"""),"Cleveland St.")</f>
        <v>Cleveland St.</v>
      </c>
      <c r="C292" s="1" t="str">
        <f ca="1">IFERROR(__xludf.DUMMYFUNCTION("""COMPUTED_VALUE"""),"Horz")</f>
        <v>Horz</v>
      </c>
      <c r="D292" s="2">
        <f ca="1">IFERROR(__xludf.DUMMYFUNCTION("""COMPUTED_VALUE"""),44855)</f>
        <v>44855</v>
      </c>
      <c r="E292" s="1">
        <f ca="1">IFERROR(__xludf.DUMMYFUNCTION("""COMPUTED_VALUE"""),-9.7)</f>
        <v>-9.6999999999999993</v>
      </c>
      <c r="F292" s="1">
        <f ca="1">IFERROR(__xludf.DUMMYFUNCTION("""COMPUTED_VALUE"""),101.9)</f>
        <v>101.9</v>
      </c>
      <c r="G292" s="1">
        <f ca="1">IFERROR(__xludf.DUMMYFUNCTION("""COMPUTED_VALUE"""),223)</f>
        <v>223</v>
      </c>
      <c r="H292" s="1">
        <f ca="1">IFERROR(__xludf.DUMMYFUNCTION("""COMPUTED_VALUE"""),111.6)</f>
        <v>111.6</v>
      </c>
      <c r="I292" s="1">
        <f ca="1">IFERROR(__xludf.DUMMYFUNCTION("""COMPUTED_VALUE"""),309)</f>
        <v>309</v>
      </c>
      <c r="J292" s="1">
        <f ca="1">IFERROR(__xludf.DUMMYFUNCTION("""COMPUTED_VALUE"""),69.1)</f>
        <v>69.099999999999994</v>
      </c>
      <c r="K292" s="1">
        <f ca="1">IFERROR(__xludf.DUMMYFUNCTION("""COMPUTED_VALUE"""),103)</f>
        <v>103</v>
      </c>
      <c r="L292" s="1">
        <f ca="1">IFERROR(__xludf.DUMMYFUNCTION("""COMPUTED_VALUE"""),-0.041)</f>
        <v>-4.1000000000000002E-2</v>
      </c>
      <c r="M292" s="1">
        <f ca="1">IFERROR(__xludf.DUMMYFUNCTION("""COMPUTED_VALUE"""),276)</f>
        <v>276</v>
      </c>
      <c r="N292" s="1">
        <f ca="1">IFERROR(__xludf.DUMMYFUNCTION("""COMPUTED_VALUE"""),-1.93)</f>
        <v>-1.93</v>
      </c>
      <c r="O292" s="1">
        <f ca="1">IFERROR(__xludf.DUMMYFUNCTION("""COMPUTED_VALUE"""),192)</f>
        <v>192</v>
      </c>
      <c r="P292" s="1">
        <f ca="1">IFERROR(__xludf.DUMMYFUNCTION("""COMPUTED_VALUE"""),105.1)</f>
        <v>105.1</v>
      </c>
      <c r="Q292" s="1">
        <f ca="1">IFERROR(__xludf.DUMMYFUNCTION("""COMPUTED_VALUE"""),125)</f>
        <v>125</v>
      </c>
      <c r="R292" s="1">
        <f ca="1">IFERROR(__xludf.DUMMYFUNCTION("""COMPUTED_VALUE"""),107)</f>
        <v>107</v>
      </c>
      <c r="S292" s="1">
        <f ca="1">IFERROR(__xludf.DUMMYFUNCTION("""COMPUTED_VALUE"""),263)</f>
        <v>263</v>
      </c>
      <c r="T292" s="1" t="str">
        <f ca="1">IFERROR(__xludf.DUMMYFUNCTION("""COMPUTED_VALUE"""),"+0.24")</f>
        <v>+0.24</v>
      </c>
      <c r="U292" s="1">
        <f ca="1">IFERROR(__xludf.DUMMYFUNCTION("""COMPUTED_VALUE"""),154)</f>
        <v>154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IFERROR(__xludf.DUMMYFUNCTION("""COMPUTED_VALUE"""),"Albany")</f>
        <v>Albany</v>
      </c>
      <c r="C293" s="1" t="str">
        <f ca="1">IFERROR(__xludf.DUMMYFUNCTION("""COMPUTED_VALUE"""),"AE")</f>
        <v>AE</v>
      </c>
      <c r="D293" s="2">
        <f ca="1">IFERROR(__xludf.DUMMYFUNCTION("""COMPUTED_VALUE"""),44915)</f>
        <v>44915</v>
      </c>
      <c r="E293" s="1">
        <f ca="1">IFERROR(__xludf.DUMMYFUNCTION("""COMPUTED_VALUE"""),-9.86)</f>
        <v>-9.86</v>
      </c>
      <c r="F293" s="1">
        <f ca="1">IFERROR(__xludf.DUMMYFUNCTION("""COMPUTED_VALUE"""),98.4)</f>
        <v>98.4</v>
      </c>
      <c r="G293" s="1">
        <f ca="1">IFERROR(__xludf.DUMMYFUNCTION("""COMPUTED_VALUE"""),285)</f>
        <v>285</v>
      </c>
      <c r="H293" s="1">
        <f ca="1">IFERROR(__xludf.DUMMYFUNCTION("""COMPUTED_VALUE"""),108.3)</f>
        <v>108.3</v>
      </c>
      <c r="I293" s="1">
        <f ca="1">IFERROR(__xludf.DUMMYFUNCTION("""COMPUTED_VALUE"""),253)</f>
        <v>253</v>
      </c>
      <c r="J293" s="1">
        <f ca="1">IFERROR(__xludf.DUMMYFUNCTION("""COMPUTED_VALUE"""),65.9)</f>
        <v>65.900000000000006</v>
      </c>
      <c r="K293" s="1">
        <f ca="1">IFERROR(__xludf.DUMMYFUNCTION("""COMPUTED_VALUE"""),270)</f>
        <v>270</v>
      </c>
      <c r="L293" s="1">
        <f ca="1">IFERROR(__xludf.DUMMYFUNCTION("""COMPUTED_VALUE"""),-0.066)</f>
        <v>-6.6000000000000003E-2</v>
      </c>
      <c r="M293" s="1">
        <f ca="1">IFERROR(__xludf.DUMMYFUNCTION("""COMPUTED_VALUE"""),319)</f>
        <v>319</v>
      </c>
      <c r="N293" s="1">
        <f ca="1">IFERROR(__xludf.DUMMYFUNCTION("""COMPUTED_VALUE"""),-7.01)</f>
        <v>-7.01</v>
      </c>
      <c r="O293" s="1">
        <f ca="1">IFERROR(__xludf.DUMMYFUNCTION("""COMPUTED_VALUE"""),307)</f>
        <v>307</v>
      </c>
      <c r="P293" s="1">
        <f ca="1">IFERROR(__xludf.DUMMYFUNCTION("""COMPUTED_VALUE"""),100.2)</f>
        <v>100.2</v>
      </c>
      <c r="Q293" s="1">
        <f ca="1">IFERROR(__xludf.DUMMYFUNCTION("""COMPUTED_VALUE"""),324)</f>
        <v>324</v>
      </c>
      <c r="R293" s="1">
        <f ca="1">IFERROR(__xludf.DUMMYFUNCTION("""COMPUTED_VALUE"""),107.2)</f>
        <v>107.2</v>
      </c>
      <c r="S293" s="1">
        <f ca="1">IFERROR(__xludf.DUMMYFUNCTION("""COMPUTED_VALUE"""),272)</f>
        <v>272</v>
      </c>
      <c r="T293" s="1">
        <f ca="1">IFERROR(__xludf.DUMMYFUNCTION("""COMPUTED_VALUE"""),-5.46)</f>
        <v>-5.46</v>
      </c>
      <c r="U293" s="1">
        <f ca="1">IFERROR(__xludf.DUMMYFUNCTION("""COMPUTED_VALUE"""),311)</f>
        <v>311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IFERROR(__xludf.DUMMYFUNCTION("""COMPUTED_VALUE"""),"Navy")</f>
        <v>Navy</v>
      </c>
      <c r="C294" s="1" t="str">
        <f ca="1">IFERROR(__xludf.DUMMYFUNCTION("""COMPUTED_VALUE"""),"Pat")</f>
        <v>Pat</v>
      </c>
      <c r="D294" s="2">
        <f ca="1">IFERROR(__xludf.DUMMYFUNCTION("""COMPUTED_VALUE"""),44914)</f>
        <v>44914</v>
      </c>
      <c r="E294" s="1">
        <f ca="1">IFERROR(__xludf.DUMMYFUNCTION("""COMPUTED_VALUE"""),-9.88)</f>
        <v>-9.8800000000000008</v>
      </c>
      <c r="F294" s="1">
        <f ca="1">IFERROR(__xludf.DUMMYFUNCTION("""COMPUTED_VALUE"""),97.3)</f>
        <v>97.3</v>
      </c>
      <c r="G294" s="1">
        <f ca="1">IFERROR(__xludf.DUMMYFUNCTION("""COMPUTED_VALUE"""),299)</f>
        <v>299</v>
      </c>
      <c r="H294" s="1">
        <f ca="1">IFERROR(__xludf.DUMMYFUNCTION("""COMPUTED_VALUE"""),107.2)</f>
        <v>107.2</v>
      </c>
      <c r="I294" s="1">
        <f ca="1">IFERROR(__xludf.DUMMYFUNCTION("""COMPUTED_VALUE"""),230)</f>
        <v>230</v>
      </c>
      <c r="J294" s="1">
        <f ca="1">IFERROR(__xludf.DUMMYFUNCTION("""COMPUTED_VALUE"""),66.9)</f>
        <v>66.900000000000006</v>
      </c>
      <c r="K294" s="1">
        <f ca="1">IFERROR(__xludf.DUMMYFUNCTION("""COMPUTED_VALUE"""),212)</f>
        <v>212</v>
      </c>
      <c r="L294" s="1" t="str">
        <f ca="1">IFERROR(__xludf.DUMMYFUNCTION("""COMPUTED_VALUE"""),"+.061")</f>
        <v>+.061</v>
      </c>
      <c r="M294" s="1">
        <f ca="1">IFERROR(__xludf.DUMMYFUNCTION("""COMPUTED_VALUE"""),40)</f>
        <v>40</v>
      </c>
      <c r="N294" s="1">
        <f ca="1">IFERROR(__xludf.DUMMYFUNCTION("""COMPUTED_VALUE"""),-2.97)</f>
        <v>-2.97</v>
      </c>
      <c r="O294" s="1">
        <f ca="1">IFERROR(__xludf.DUMMYFUNCTION("""COMPUTED_VALUE"""),219)</f>
        <v>219</v>
      </c>
      <c r="P294" s="1">
        <f ca="1">IFERROR(__xludf.DUMMYFUNCTION("""COMPUTED_VALUE"""),103.4)</f>
        <v>103.4</v>
      </c>
      <c r="Q294" s="1">
        <f ca="1">IFERROR(__xludf.DUMMYFUNCTION("""COMPUTED_VALUE"""),203)</f>
        <v>203</v>
      </c>
      <c r="R294" s="1">
        <f ca="1">IFERROR(__xludf.DUMMYFUNCTION("""COMPUTED_VALUE"""),106.3)</f>
        <v>106.3</v>
      </c>
      <c r="S294" s="1">
        <f ca="1">IFERROR(__xludf.DUMMYFUNCTION("""COMPUTED_VALUE"""),226)</f>
        <v>226</v>
      </c>
      <c r="T294" s="1">
        <f ca="1">IFERROR(__xludf.DUMMYFUNCTION("""COMPUTED_VALUE"""),-1.16)</f>
        <v>-1.1599999999999999</v>
      </c>
      <c r="U294" s="1">
        <f ca="1">IFERROR(__xludf.DUMMYFUNCTION("""COMPUTED_VALUE"""),193)</f>
        <v>193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IFERROR(__xludf.DUMMYFUNCTION("""COMPUTED_VALUE"""),"Houston Baptist")</f>
        <v>Houston Baptist</v>
      </c>
      <c r="C297" s="1" t="str">
        <f ca="1">IFERROR(__xludf.DUMMYFUNCTION("""COMPUTED_VALUE"""),"Slnd")</f>
        <v>Slnd</v>
      </c>
      <c r="D297" s="2">
        <f ca="1">IFERROR(__xludf.DUMMYFUNCTION("""COMPUTED_VALUE"""),44913)</f>
        <v>44913</v>
      </c>
      <c r="E297" s="1">
        <f ca="1">IFERROR(__xludf.DUMMYFUNCTION("""COMPUTED_VALUE"""),-9.88)</f>
        <v>-9.8800000000000008</v>
      </c>
      <c r="F297" s="1">
        <f ca="1">IFERROR(__xludf.DUMMYFUNCTION("""COMPUTED_VALUE"""),103)</f>
        <v>103</v>
      </c>
      <c r="G297" s="1">
        <f ca="1">IFERROR(__xludf.DUMMYFUNCTION("""COMPUTED_VALUE"""),201)</f>
        <v>201</v>
      </c>
      <c r="H297" s="1">
        <f ca="1">IFERROR(__xludf.DUMMYFUNCTION("""COMPUTED_VALUE"""),112.9)</f>
        <v>112.9</v>
      </c>
      <c r="I297" s="1">
        <f ca="1">IFERROR(__xludf.DUMMYFUNCTION("""COMPUTED_VALUE"""),324)</f>
        <v>324</v>
      </c>
      <c r="J297" s="1">
        <f ca="1">IFERROR(__xludf.DUMMYFUNCTION("""COMPUTED_VALUE"""),73.9)</f>
        <v>73.900000000000006</v>
      </c>
      <c r="K297" s="1">
        <f ca="1">IFERROR(__xludf.DUMMYFUNCTION("""COMPUTED_VALUE"""),9)</f>
        <v>9</v>
      </c>
      <c r="L297" s="1">
        <f ca="1">IFERROR(__xludf.DUMMYFUNCTION("""COMPUTED_VALUE"""),-0.038)</f>
        <v>-3.7999999999999999E-2</v>
      </c>
      <c r="M297" s="1">
        <f ca="1">IFERROR(__xludf.DUMMYFUNCTION("""COMPUTED_VALUE"""),268)</f>
        <v>268</v>
      </c>
      <c r="N297" s="1">
        <f ca="1">IFERROR(__xludf.DUMMYFUNCTION("""COMPUTED_VALUE"""),-5.81)</f>
        <v>-5.81</v>
      </c>
      <c r="O297" s="1">
        <f ca="1">IFERROR(__xludf.DUMMYFUNCTION("""COMPUTED_VALUE"""),286)</f>
        <v>286</v>
      </c>
      <c r="P297" s="1">
        <f ca="1">IFERROR(__xludf.DUMMYFUNCTION("""COMPUTED_VALUE"""),101.1)</f>
        <v>101.1</v>
      </c>
      <c r="Q297" s="1">
        <f ca="1">IFERROR(__xludf.DUMMYFUNCTION("""COMPUTED_VALUE"""),298)</f>
        <v>298</v>
      </c>
      <c r="R297" s="1">
        <f ca="1">IFERROR(__xludf.DUMMYFUNCTION("""COMPUTED_VALUE"""),106.9)</f>
        <v>106.9</v>
      </c>
      <c r="S297" s="1">
        <f ca="1">IFERROR(__xludf.DUMMYFUNCTION("""COMPUTED_VALUE"""),260)</f>
        <v>260</v>
      </c>
      <c r="T297" s="1" t="str">
        <f ca="1">IFERROR(__xludf.DUMMYFUNCTION("""COMPUTED_VALUE"""),"+6.35")</f>
        <v>+6.35</v>
      </c>
      <c r="U297" s="1">
        <f ca="1">IFERROR(__xludf.DUMMYFUNCTION("""COMPUTED_VALUE"""),25)</f>
        <v>25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IFERROR(__xludf.DUMMYFUNCTION("""COMPUTED_VALUE"""),"Canisius")</f>
        <v>Canisius</v>
      </c>
      <c r="C298" s="1" t="str">
        <f ca="1">IFERROR(__xludf.DUMMYFUNCTION("""COMPUTED_VALUE"""),"MAAC")</f>
        <v>MAAC</v>
      </c>
      <c r="D298" s="1" t="str">
        <f ca="1">IFERROR(__xludf.DUMMYFUNCTION("""COMPUTED_VALUE"""),"15-17")</f>
        <v>15-17</v>
      </c>
      <c r="E298" s="1">
        <f ca="1">IFERROR(__xludf.DUMMYFUNCTION("""COMPUTED_VALUE"""),-9.91)</f>
        <v>-9.91</v>
      </c>
      <c r="F298" s="1">
        <f ca="1">IFERROR(__xludf.DUMMYFUNCTION("""COMPUTED_VALUE"""),101.6)</f>
        <v>101.6</v>
      </c>
      <c r="G298" s="1">
        <f ca="1">IFERROR(__xludf.DUMMYFUNCTION("""COMPUTED_VALUE"""),230)</f>
        <v>230</v>
      </c>
      <c r="H298" s="1">
        <f ca="1">IFERROR(__xludf.DUMMYFUNCTION("""COMPUTED_VALUE"""),111.5)</f>
        <v>111.5</v>
      </c>
      <c r="I298" s="1">
        <f ca="1">IFERROR(__xludf.DUMMYFUNCTION("""COMPUTED_VALUE"""),307)</f>
        <v>307</v>
      </c>
      <c r="J298" s="1">
        <f ca="1">IFERROR(__xludf.DUMMYFUNCTION("""COMPUTED_VALUE"""),67.7)</f>
        <v>67.7</v>
      </c>
      <c r="K298" s="1">
        <f ca="1">IFERROR(__xludf.DUMMYFUNCTION("""COMPUTED_VALUE"""),169)</f>
        <v>169</v>
      </c>
      <c r="L298" s="1" t="str">
        <f ca="1">IFERROR(__xludf.DUMMYFUNCTION("""COMPUTED_VALUE"""),"+.115")</f>
        <v>+.115</v>
      </c>
      <c r="M298" s="1">
        <f ca="1">IFERROR(__xludf.DUMMYFUNCTION("""COMPUTED_VALUE"""),6)</f>
        <v>6</v>
      </c>
      <c r="N298" s="1">
        <f ca="1">IFERROR(__xludf.DUMMYFUNCTION("""COMPUTED_VALUE"""),-5.56)</f>
        <v>-5.56</v>
      </c>
      <c r="O298" s="1">
        <f ca="1">IFERROR(__xludf.DUMMYFUNCTION("""COMPUTED_VALUE"""),282)</f>
        <v>282</v>
      </c>
      <c r="P298" s="1">
        <f ca="1">IFERROR(__xludf.DUMMYFUNCTION("""COMPUTED_VALUE"""),100.9)</f>
        <v>100.9</v>
      </c>
      <c r="Q298" s="1">
        <f ca="1">IFERROR(__xludf.DUMMYFUNCTION("""COMPUTED_VALUE"""),305)</f>
        <v>305</v>
      </c>
      <c r="R298" s="1">
        <f ca="1">IFERROR(__xludf.DUMMYFUNCTION("""COMPUTED_VALUE"""),106.4)</f>
        <v>106.4</v>
      </c>
      <c r="S298" s="1">
        <f ca="1">IFERROR(__xludf.DUMMYFUNCTION("""COMPUTED_VALUE"""),229)</f>
        <v>229</v>
      </c>
      <c r="T298" s="1" t="str">
        <f ca="1">IFERROR(__xludf.DUMMYFUNCTION("""COMPUTED_VALUE"""),"+3.49")</f>
        <v>+3.49</v>
      </c>
      <c r="U298" s="1">
        <f ca="1">IFERROR(__xludf.DUMMYFUNCTION("""COMPUTED_VALUE"""),72)</f>
        <v>72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IFERROR(__xludf.DUMMYFUNCTION("""COMPUTED_VALUE"""),"Tulane")</f>
        <v>Tulane</v>
      </c>
      <c r="C299" s="1" t="str">
        <f ca="1">IFERROR(__xludf.DUMMYFUNCTION("""COMPUTED_VALUE"""),"Amer")</f>
        <v>Amer</v>
      </c>
      <c r="D299" s="2">
        <f ca="1">IFERROR(__xludf.DUMMYFUNCTION("""COMPUTED_VALUE"""),44678)</f>
        <v>44678</v>
      </c>
      <c r="E299" s="1">
        <f ca="1">IFERROR(__xludf.DUMMYFUNCTION("""COMPUTED_VALUE"""),-9.99)</f>
        <v>-9.99</v>
      </c>
      <c r="F299" s="1">
        <f ca="1">IFERROR(__xludf.DUMMYFUNCTION("""COMPUTED_VALUE"""),97.3)</f>
        <v>97.3</v>
      </c>
      <c r="G299" s="1">
        <f ca="1">IFERROR(__xludf.DUMMYFUNCTION("""COMPUTED_VALUE"""),300)</f>
        <v>300</v>
      </c>
      <c r="H299" s="1">
        <f ca="1">IFERROR(__xludf.DUMMYFUNCTION("""COMPUTED_VALUE"""),107.3)</f>
        <v>107.3</v>
      </c>
      <c r="I299" s="1">
        <f ca="1">IFERROR(__xludf.DUMMYFUNCTION("""COMPUTED_VALUE"""),232)</f>
        <v>232</v>
      </c>
      <c r="J299" s="1">
        <f ca="1">IFERROR(__xludf.DUMMYFUNCTION("""COMPUTED_VALUE"""),69.7)</f>
        <v>69.7</v>
      </c>
      <c r="K299" s="1">
        <f ca="1">IFERROR(__xludf.DUMMYFUNCTION("""COMPUTED_VALUE"""),78)</f>
        <v>78</v>
      </c>
      <c r="L299" s="1">
        <f ca="1">IFERROR(__xludf.DUMMYFUNCTION("""COMPUTED_VALUE"""),-0.042)</f>
        <v>-4.2000000000000003E-2</v>
      </c>
      <c r="M299" s="1">
        <f ca="1">IFERROR(__xludf.DUMMYFUNCTION("""COMPUTED_VALUE"""),277)</f>
        <v>277</v>
      </c>
      <c r="N299" s="1" t="str">
        <f ca="1">IFERROR(__xludf.DUMMYFUNCTION("""COMPUTED_VALUE"""),"+3.75")</f>
        <v>+3.75</v>
      </c>
      <c r="O299" s="1">
        <f ca="1">IFERROR(__xludf.DUMMYFUNCTION("""COMPUTED_VALUE"""),80)</f>
        <v>80</v>
      </c>
      <c r="P299" s="1">
        <f ca="1">IFERROR(__xludf.DUMMYFUNCTION("""COMPUTED_VALUE"""),106)</f>
        <v>106</v>
      </c>
      <c r="Q299" s="1">
        <f ca="1">IFERROR(__xludf.DUMMYFUNCTION("""COMPUTED_VALUE"""),84)</f>
        <v>84</v>
      </c>
      <c r="R299" s="1">
        <f ca="1">IFERROR(__xludf.DUMMYFUNCTION("""COMPUTED_VALUE"""),102.3)</f>
        <v>102.3</v>
      </c>
      <c r="S299" s="1">
        <f ca="1">IFERROR(__xludf.DUMMYFUNCTION("""COMPUTED_VALUE"""),79)</f>
        <v>79</v>
      </c>
      <c r="T299" s="1">
        <f ca="1">IFERROR(__xludf.DUMMYFUNCTION("""COMPUTED_VALUE"""),-3.76)</f>
        <v>-3.76</v>
      </c>
      <c r="U299" s="1">
        <f ca="1">IFERROR(__xludf.DUMMYFUNCTION("""COMPUTED_VALUE"""),267)</f>
        <v>267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IFERROR(__xludf.DUMMYFUNCTION("""COMPUTED_VALUE"""),"North Alabama")</f>
        <v>North Alabama</v>
      </c>
      <c r="C300" s="1" t="str">
        <f ca="1">IFERROR(__xludf.DUMMYFUNCTION("""COMPUTED_VALUE"""),"ASun")</f>
        <v>ASun</v>
      </c>
      <c r="D300" s="2">
        <f ca="1">IFERROR(__xludf.DUMMYFUNCTION("""COMPUTED_VALUE"""),44856)</f>
        <v>44856</v>
      </c>
      <c r="E300" s="1">
        <f ca="1">IFERROR(__xludf.DUMMYFUNCTION("""COMPUTED_VALUE"""),-10.02)</f>
        <v>-10.02</v>
      </c>
      <c r="F300" s="1">
        <f ca="1">IFERROR(__xludf.DUMMYFUNCTION("""COMPUTED_VALUE"""),95.3)</f>
        <v>95.3</v>
      </c>
      <c r="G300" s="1">
        <f ca="1">IFERROR(__xludf.DUMMYFUNCTION("""COMPUTED_VALUE"""),322)</f>
        <v>322</v>
      </c>
      <c r="H300" s="1">
        <f ca="1">IFERROR(__xludf.DUMMYFUNCTION("""COMPUTED_VALUE"""),105.3)</f>
        <v>105.3</v>
      </c>
      <c r="I300" s="1">
        <f ca="1">IFERROR(__xludf.DUMMYFUNCTION("""COMPUTED_VALUE"""),184)</f>
        <v>184</v>
      </c>
      <c r="J300" s="1">
        <f ca="1">IFERROR(__xludf.DUMMYFUNCTION("""COMPUTED_VALUE"""),68.4)</f>
        <v>68.400000000000006</v>
      </c>
      <c r="K300" s="1">
        <f ca="1">IFERROR(__xludf.DUMMYFUNCTION("""COMPUTED_VALUE"""),135)</f>
        <v>135</v>
      </c>
      <c r="L300" s="1" t="str">
        <f ca="1">IFERROR(__xludf.DUMMYFUNCTION("""COMPUTED_VALUE"""),"+.006")</f>
        <v>+.006</v>
      </c>
      <c r="M300" s="1">
        <f ca="1">IFERROR(__xludf.DUMMYFUNCTION("""COMPUTED_VALUE"""),167)</f>
        <v>167</v>
      </c>
      <c r="N300" s="1" t="str">
        <f ca="1">IFERROR(__xludf.DUMMYFUNCTION("""COMPUTED_VALUE"""),"+1.16")</f>
        <v>+1.16</v>
      </c>
      <c r="O300" s="1">
        <f ca="1">IFERROR(__xludf.DUMMYFUNCTION("""COMPUTED_VALUE"""),111)</f>
        <v>111</v>
      </c>
      <c r="P300" s="1">
        <f ca="1">IFERROR(__xludf.DUMMYFUNCTION("""COMPUTED_VALUE"""),104.7)</f>
        <v>104.7</v>
      </c>
      <c r="Q300" s="1">
        <f ca="1">IFERROR(__xludf.DUMMYFUNCTION("""COMPUTED_VALUE"""),140)</f>
        <v>140</v>
      </c>
      <c r="R300" s="1">
        <f ca="1">IFERROR(__xludf.DUMMYFUNCTION("""COMPUTED_VALUE"""),103.5)</f>
        <v>103.5</v>
      </c>
      <c r="S300" s="1">
        <f ca="1">IFERROR(__xludf.DUMMYFUNCTION("""COMPUTED_VALUE"""),112)</f>
        <v>112</v>
      </c>
      <c r="T300" s="1" t="str">
        <f ca="1">IFERROR(__xludf.DUMMYFUNCTION("""COMPUTED_VALUE"""),"+7.06")</f>
        <v>+7.06</v>
      </c>
      <c r="U300" s="1">
        <f ca="1">IFERROR(__xludf.DUMMYFUNCTION("""COMPUTED_VALUE"""),17)</f>
        <v>17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IFERROR(__xludf.DUMMYFUNCTION("""COMPUTED_VALUE"""),"James Madison")</f>
        <v>James Madison</v>
      </c>
      <c r="C301" s="1" t="str">
        <f ca="1">IFERROR(__xludf.DUMMYFUNCTION("""COMPUTED_VALUE"""),"CAA")</f>
        <v>CAA</v>
      </c>
      <c r="D301" s="1" t="str">
        <f ca="1">IFERROR(__xludf.DUMMYFUNCTION("""COMPUTED_VALUE"""),"14-19")</f>
        <v>14-19</v>
      </c>
      <c r="E301" s="1">
        <f ca="1">IFERROR(__xludf.DUMMYFUNCTION("""COMPUTED_VALUE"""),-10.03)</f>
        <v>-10.029999999999999</v>
      </c>
      <c r="F301" s="1">
        <f ca="1">IFERROR(__xludf.DUMMYFUNCTION("""COMPUTED_VALUE"""),101.1)</f>
        <v>101.1</v>
      </c>
      <c r="G301" s="1">
        <f ca="1">IFERROR(__xludf.DUMMYFUNCTION("""COMPUTED_VALUE"""),247)</f>
        <v>247</v>
      </c>
      <c r="H301" s="1">
        <f ca="1">IFERROR(__xludf.DUMMYFUNCTION("""COMPUTED_VALUE"""),111.1)</f>
        <v>111.1</v>
      </c>
      <c r="I301" s="1">
        <f ca="1">IFERROR(__xludf.DUMMYFUNCTION("""COMPUTED_VALUE"""),302)</f>
        <v>302</v>
      </c>
      <c r="J301" s="1">
        <f ca="1">IFERROR(__xludf.DUMMYFUNCTION("""COMPUTED_VALUE"""),65.2)</f>
        <v>65.2</v>
      </c>
      <c r="K301" s="1">
        <f ca="1">IFERROR(__xludf.DUMMYFUNCTION("""COMPUTED_VALUE"""),301)</f>
        <v>301</v>
      </c>
      <c r="L301" s="1" t="str">
        <f ca="1">IFERROR(__xludf.DUMMYFUNCTION("""COMPUTED_VALUE"""),"+.056")</f>
        <v>+.056</v>
      </c>
      <c r="M301" s="1">
        <f ca="1">IFERROR(__xludf.DUMMYFUNCTION("""COMPUTED_VALUE"""),51)</f>
        <v>51</v>
      </c>
      <c r="N301" s="1">
        <f ca="1">IFERROR(__xludf.DUMMYFUNCTION("""COMPUTED_VALUE"""),-4.09)</f>
        <v>-4.09</v>
      </c>
      <c r="O301" s="1">
        <f ca="1">IFERROR(__xludf.DUMMYFUNCTION("""COMPUTED_VALUE"""),257)</f>
        <v>257</v>
      </c>
      <c r="P301" s="1">
        <f ca="1">IFERROR(__xludf.DUMMYFUNCTION("""COMPUTED_VALUE"""),104.8)</f>
        <v>104.8</v>
      </c>
      <c r="Q301" s="1">
        <f ca="1">IFERROR(__xludf.DUMMYFUNCTION("""COMPUTED_VALUE"""),137)</f>
        <v>137</v>
      </c>
      <c r="R301" s="1">
        <f ca="1">IFERROR(__xludf.DUMMYFUNCTION("""COMPUTED_VALUE"""),108.9)</f>
        <v>108.9</v>
      </c>
      <c r="S301" s="1">
        <f ca="1">IFERROR(__xludf.DUMMYFUNCTION("""COMPUTED_VALUE"""),342)</f>
        <v>342</v>
      </c>
      <c r="T301" s="1">
        <f ca="1">IFERROR(__xludf.DUMMYFUNCTION("""COMPUTED_VALUE"""),-3.78)</f>
        <v>-3.78</v>
      </c>
      <c r="U301" s="1">
        <f ca="1">IFERROR(__xludf.DUMMYFUNCTION("""COMPUTED_VALUE"""),268)</f>
        <v>268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IFERROR(__xludf.DUMMYFUNCTION("""COMPUTED_VALUE"""),"Portland St.")</f>
        <v>Portland St.</v>
      </c>
      <c r="C302" s="1" t="str">
        <f ca="1">IFERROR(__xludf.DUMMYFUNCTION("""COMPUTED_VALUE"""),"BSky")</f>
        <v>BSky</v>
      </c>
      <c r="D302" s="1" t="str">
        <f ca="1">IFERROR(__xludf.DUMMYFUNCTION("""COMPUTED_VALUE"""),"16-16")</f>
        <v>16-16</v>
      </c>
      <c r="E302" s="1">
        <f ca="1">IFERROR(__xludf.DUMMYFUNCTION("""COMPUTED_VALUE"""),-10.21)</f>
        <v>-10.210000000000001</v>
      </c>
      <c r="F302" s="1">
        <f ca="1">IFERROR(__xludf.DUMMYFUNCTION("""COMPUTED_VALUE"""),101.9)</f>
        <v>101.9</v>
      </c>
      <c r="G302" s="1">
        <f ca="1">IFERROR(__xludf.DUMMYFUNCTION("""COMPUTED_VALUE"""),224)</f>
        <v>224</v>
      </c>
      <c r="H302" s="1">
        <f ca="1">IFERROR(__xludf.DUMMYFUNCTION("""COMPUTED_VALUE"""),112.1)</f>
        <v>112.1</v>
      </c>
      <c r="I302" s="1">
        <f ca="1">IFERROR(__xludf.DUMMYFUNCTION("""COMPUTED_VALUE"""),314)</f>
        <v>314</v>
      </c>
      <c r="J302" s="1">
        <f ca="1">IFERROR(__xludf.DUMMYFUNCTION("""COMPUTED_VALUE"""),69.1)</f>
        <v>69.099999999999994</v>
      </c>
      <c r="K302" s="1">
        <f ca="1">IFERROR(__xludf.DUMMYFUNCTION("""COMPUTED_VALUE"""),104)</f>
        <v>104</v>
      </c>
      <c r="L302" s="1" t="str">
        <f ca="1">IFERROR(__xludf.DUMMYFUNCTION("""COMPUTED_VALUE"""),"+.046")</f>
        <v>+.046</v>
      </c>
      <c r="M302" s="1">
        <f ca="1">IFERROR(__xludf.DUMMYFUNCTION("""COMPUTED_VALUE"""),69)</f>
        <v>69</v>
      </c>
      <c r="N302" s="1">
        <f ca="1">IFERROR(__xludf.DUMMYFUNCTION("""COMPUTED_VALUE"""),-7.48)</f>
        <v>-7.48</v>
      </c>
      <c r="O302" s="1">
        <f ca="1">IFERROR(__xludf.DUMMYFUNCTION("""COMPUTED_VALUE"""),321)</f>
        <v>321</v>
      </c>
      <c r="P302" s="1">
        <f ca="1">IFERROR(__xludf.DUMMYFUNCTION("""COMPUTED_VALUE"""),101.4)</f>
        <v>101.4</v>
      </c>
      <c r="Q302" s="1">
        <f ca="1">IFERROR(__xludf.DUMMYFUNCTION("""COMPUTED_VALUE"""),289)</f>
        <v>289</v>
      </c>
      <c r="R302" s="1">
        <f ca="1">IFERROR(__xludf.DUMMYFUNCTION("""COMPUTED_VALUE"""),108.8)</f>
        <v>108.8</v>
      </c>
      <c r="S302" s="1">
        <f ca="1">IFERROR(__xludf.DUMMYFUNCTION("""COMPUTED_VALUE"""),341)</f>
        <v>341</v>
      </c>
      <c r="T302" s="1">
        <f ca="1">IFERROR(__xludf.DUMMYFUNCTION("""COMPUTED_VALUE"""),-1.55)</f>
        <v>-1.55</v>
      </c>
      <c r="U302" s="1">
        <f ca="1">IFERROR(__xludf.DUMMYFUNCTION("""COMPUTED_VALUE"""),203)</f>
        <v>203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IFERROR(__xludf.DUMMYFUNCTION("""COMPUTED_VALUE"""),"Texas A&amp;M Corpus Chris")</f>
        <v>Texas A&amp;M Corpus Chris</v>
      </c>
      <c r="C303" s="1" t="str">
        <f ca="1">IFERROR(__xludf.DUMMYFUNCTION("""COMPUTED_VALUE"""),"Slnd")</f>
        <v>Slnd</v>
      </c>
      <c r="D303" s="1" t="str">
        <f ca="1">IFERROR(__xludf.DUMMYFUNCTION("""COMPUTED_VALUE"""),"14-18")</f>
        <v>14-18</v>
      </c>
      <c r="E303" s="1">
        <f ca="1">IFERROR(__xludf.DUMMYFUNCTION("""COMPUTED_VALUE"""),-10.25)</f>
        <v>-10.25</v>
      </c>
      <c r="F303" s="1">
        <f ca="1">IFERROR(__xludf.DUMMYFUNCTION("""COMPUTED_VALUE"""),94.6)</f>
        <v>94.6</v>
      </c>
      <c r="G303" s="1">
        <f ca="1">IFERROR(__xludf.DUMMYFUNCTION("""COMPUTED_VALUE"""),328)</f>
        <v>328</v>
      </c>
      <c r="H303" s="1">
        <f ca="1">IFERROR(__xludf.DUMMYFUNCTION("""COMPUTED_VALUE"""),104.8)</f>
        <v>104.8</v>
      </c>
      <c r="I303" s="1">
        <f ca="1">IFERROR(__xludf.DUMMYFUNCTION("""COMPUTED_VALUE"""),174)</f>
        <v>174</v>
      </c>
      <c r="J303" s="1">
        <f ca="1">IFERROR(__xludf.DUMMYFUNCTION("""COMPUTED_VALUE"""),64.9)</f>
        <v>64.900000000000006</v>
      </c>
      <c r="K303" s="1">
        <f ca="1">IFERROR(__xludf.DUMMYFUNCTION("""COMPUTED_VALUE"""),315)</f>
        <v>315</v>
      </c>
      <c r="L303" s="1">
        <f ca="1">IFERROR(__xludf.DUMMYFUNCTION("""COMPUTED_VALUE"""),-0.011)</f>
        <v>-1.0999999999999999E-2</v>
      </c>
      <c r="M303" s="1">
        <f ca="1">IFERROR(__xludf.DUMMYFUNCTION("""COMPUTED_VALUE"""),213)</f>
        <v>213</v>
      </c>
      <c r="N303" s="1">
        <f ca="1">IFERROR(__xludf.DUMMYFUNCTION("""COMPUTED_VALUE"""),-6.16)</f>
        <v>-6.16</v>
      </c>
      <c r="O303" s="1">
        <f ca="1">IFERROR(__xludf.DUMMYFUNCTION("""COMPUTED_VALUE"""),289)</f>
        <v>289</v>
      </c>
      <c r="P303" s="1">
        <f ca="1">IFERROR(__xludf.DUMMYFUNCTION("""COMPUTED_VALUE"""),101.2)</f>
        <v>101.2</v>
      </c>
      <c r="Q303" s="1">
        <f ca="1">IFERROR(__xludf.DUMMYFUNCTION("""COMPUTED_VALUE"""),294)</f>
        <v>294</v>
      </c>
      <c r="R303" s="1">
        <f ca="1">IFERROR(__xludf.DUMMYFUNCTION("""COMPUTED_VALUE"""),107.4)</f>
        <v>107.4</v>
      </c>
      <c r="S303" s="1">
        <f ca="1">IFERROR(__xludf.DUMMYFUNCTION("""COMPUTED_VALUE"""),278)</f>
        <v>278</v>
      </c>
      <c r="T303" s="1" t="str">
        <f ca="1">IFERROR(__xludf.DUMMYFUNCTION("""COMPUTED_VALUE"""),"+3.40")</f>
        <v>+3.40</v>
      </c>
      <c r="U303" s="1">
        <f ca="1">IFERROR(__xludf.DUMMYFUNCTION("""COMPUTED_VALUE"""),74)</f>
        <v>74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IFERROR(__xludf.DUMMYFUNCTION("""COMPUTED_VALUE"""),"VMI")</f>
        <v>VMI</v>
      </c>
      <c r="C304" s="1" t="str">
        <f ca="1">IFERROR(__xludf.DUMMYFUNCTION("""COMPUTED_VALUE"""),"SC")</f>
        <v>SC</v>
      </c>
      <c r="D304" s="2">
        <f ca="1">IFERROR(__xludf.DUMMYFUNCTION("""COMPUTED_VALUE"""),44886)</f>
        <v>44886</v>
      </c>
      <c r="E304" s="1">
        <f ca="1">IFERROR(__xludf.DUMMYFUNCTION("""COMPUTED_VALUE"""),-10.3)</f>
        <v>-10.3</v>
      </c>
      <c r="F304" s="1">
        <f ca="1">IFERROR(__xludf.DUMMYFUNCTION("""COMPUTED_VALUE"""),102.4)</f>
        <v>102.4</v>
      </c>
      <c r="G304" s="1">
        <f ca="1">IFERROR(__xludf.DUMMYFUNCTION("""COMPUTED_VALUE"""),213)</f>
        <v>213</v>
      </c>
      <c r="H304" s="1">
        <f ca="1">IFERROR(__xludf.DUMMYFUNCTION("""COMPUTED_VALUE"""),112.7)</f>
        <v>112.7</v>
      </c>
      <c r="I304" s="1">
        <f ca="1">IFERROR(__xludf.DUMMYFUNCTION("""COMPUTED_VALUE"""),321)</f>
        <v>321</v>
      </c>
      <c r="J304" s="1">
        <f ca="1">IFERROR(__xludf.DUMMYFUNCTION("""COMPUTED_VALUE"""),71.6)</f>
        <v>71.599999999999994</v>
      </c>
      <c r="K304" s="1">
        <f ca="1">IFERROR(__xludf.DUMMYFUNCTION("""COMPUTED_VALUE"""),27)</f>
        <v>27</v>
      </c>
      <c r="L304" s="1" t="str">
        <f ca="1">IFERROR(__xludf.DUMMYFUNCTION("""COMPUTED_VALUE"""),"+.018")</f>
        <v>+.018</v>
      </c>
      <c r="M304" s="1">
        <f ca="1">IFERROR(__xludf.DUMMYFUNCTION("""COMPUTED_VALUE"""),135)</f>
        <v>135</v>
      </c>
      <c r="N304" s="1" t="str">
        <f ca="1">IFERROR(__xludf.DUMMYFUNCTION("""COMPUTED_VALUE"""),"+1.02")</f>
        <v>+1.02</v>
      </c>
      <c r="O304" s="1">
        <f ca="1">IFERROR(__xludf.DUMMYFUNCTION("""COMPUTED_VALUE"""),117)</f>
        <v>117</v>
      </c>
      <c r="P304" s="1">
        <f ca="1">IFERROR(__xludf.DUMMYFUNCTION("""COMPUTED_VALUE"""),105.9)</f>
        <v>105.9</v>
      </c>
      <c r="Q304" s="1">
        <f ca="1">IFERROR(__xludf.DUMMYFUNCTION("""COMPUTED_VALUE"""),89)</f>
        <v>89</v>
      </c>
      <c r="R304" s="1">
        <f ca="1">IFERROR(__xludf.DUMMYFUNCTION("""COMPUTED_VALUE"""),104.9)</f>
        <v>104.9</v>
      </c>
      <c r="S304" s="1">
        <f ca="1">IFERROR(__xludf.DUMMYFUNCTION("""COMPUTED_VALUE"""),175)</f>
        <v>175</v>
      </c>
      <c r="T304" s="1">
        <f ca="1">IFERROR(__xludf.DUMMYFUNCTION("""COMPUTED_VALUE"""),-0.65)</f>
        <v>-0.65</v>
      </c>
      <c r="U304" s="1">
        <f ca="1">IFERROR(__xludf.DUMMYFUNCTION("""COMPUTED_VALUE"""),180)</f>
        <v>180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IFERROR(__xludf.DUMMYFUNCTION("""COMPUTED_VALUE"""),"Tennessee Martin")</f>
        <v>Tennessee Martin</v>
      </c>
      <c r="C305" s="1" t="str">
        <f ca="1">IFERROR(__xludf.DUMMYFUNCTION("""COMPUTED_VALUE"""),"OVC")</f>
        <v>OVC</v>
      </c>
      <c r="D305" s="2">
        <f ca="1">IFERROR(__xludf.DUMMYFUNCTION("""COMPUTED_VALUE"""),44914)</f>
        <v>44914</v>
      </c>
      <c r="E305" s="1">
        <f ca="1">IFERROR(__xludf.DUMMYFUNCTION("""COMPUTED_VALUE"""),-10.35)</f>
        <v>-10.35</v>
      </c>
      <c r="F305" s="1">
        <f ca="1">IFERROR(__xludf.DUMMYFUNCTION("""COMPUTED_VALUE"""),104.9)</f>
        <v>104.9</v>
      </c>
      <c r="G305" s="1">
        <f ca="1">IFERROR(__xludf.DUMMYFUNCTION("""COMPUTED_VALUE"""),167)</f>
        <v>167</v>
      </c>
      <c r="H305" s="1">
        <f ca="1">IFERROR(__xludf.DUMMYFUNCTION("""COMPUTED_VALUE"""),115.3)</f>
        <v>115.3</v>
      </c>
      <c r="I305" s="1">
        <f ca="1">IFERROR(__xludf.DUMMYFUNCTION("""COMPUTED_VALUE"""),344)</f>
        <v>344</v>
      </c>
      <c r="J305" s="1">
        <f ca="1">IFERROR(__xludf.DUMMYFUNCTION("""COMPUTED_VALUE"""),68.5)</f>
        <v>68.5</v>
      </c>
      <c r="K305" s="1">
        <f ca="1">IFERROR(__xludf.DUMMYFUNCTION("""COMPUTED_VALUE"""),132)</f>
        <v>132</v>
      </c>
      <c r="L305" s="1" t="str">
        <f ca="1">IFERROR(__xludf.DUMMYFUNCTION("""COMPUTED_VALUE"""),"+.009")</f>
        <v>+.009</v>
      </c>
      <c r="M305" s="1">
        <f ca="1">IFERROR(__xludf.DUMMYFUNCTION("""COMPUTED_VALUE"""),159)</f>
        <v>159</v>
      </c>
      <c r="N305" s="1">
        <f ca="1">IFERROR(__xludf.DUMMYFUNCTION("""COMPUTED_VALUE"""),-3.28)</f>
        <v>-3.28</v>
      </c>
      <c r="O305" s="1">
        <f ca="1">IFERROR(__xludf.DUMMYFUNCTION("""COMPUTED_VALUE"""),232)</f>
        <v>232</v>
      </c>
      <c r="P305" s="1">
        <f ca="1">IFERROR(__xludf.DUMMYFUNCTION("""COMPUTED_VALUE"""),103.2)</f>
        <v>103.2</v>
      </c>
      <c r="Q305" s="1">
        <f ca="1">IFERROR(__xludf.DUMMYFUNCTION("""COMPUTED_VALUE"""),208)</f>
        <v>208</v>
      </c>
      <c r="R305" s="1">
        <f ca="1">IFERROR(__xludf.DUMMYFUNCTION("""COMPUTED_VALUE"""),106.5)</f>
        <v>106.5</v>
      </c>
      <c r="S305" s="1">
        <f ca="1">IFERROR(__xludf.DUMMYFUNCTION("""COMPUTED_VALUE"""),235)</f>
        <v>235</v>
      </c>
      <c r="T305" s="1">
        <f ca="1">IFERROR(__xludf.DUMMYFUNCTION("""COMPUTED_VALUE"""),-0.94)</f>
        <v>-0.94</v>
      </c>
      <c r="U305" s="1">
        <f ca="1">IFERROR(__xludf.DUMMYFUNCTION("""COMPUTED_VALUE"""),184)</f>
        <v>184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IFERROR(__xludf.DUMMYFUNCTION("""COMPUTED_VALUE"""),"Oral Roberts")</f>
        <v>Oral Roberts</v>
      </c>
      <c r="C306" s="1" t="str">
        <f ca="1">IFERROR(__xludf.DUMMYFUNCTION("""COMPUTED_VALUE"""),"Sum")</f>
        <v>Sum</v>
      </c>
      <c r="D306" s="2">
        <f ca="1">IFERROR(__xludf.DUMMYFUNCTION("""COMPUTED_VALUE"""),44886)</f>
        <v>44886</v>
      </c>
      <c r="E306" s="1">
        <f ca="1">IFERROR(__xludf.DUMMYFUNCTION("""COMPUTED_VALUE"""),-10.54)</f>
        <v>-10.54</v>
      </c>
      <c r="F306" s="1">
        <f ca="1">IFERROR(__xludf.DUMMYFUNCTION("""COMPUTED_VALUE"""),103.7)</f>
        <v>103.7</v>
      </c>
      <c r="G306" s="1">
        <f ca="1">IFERROR(__xludf.DUMMYFUNCTION("""COMPUTED_VALUE"""),189)</f>
        <v>189</v>
      </c>
      <c r="H306" s="1">
        <f ca="1">IFERROR(__xludf.DUMMYFUNCTION("""COMPUTED_VALUE"""),114.2)</f>
        <v>114.2</v>
      </c>
      <c r="I306" s="1">
        <f ca="1">IFERROR(__xludf.DUMMYFUNCTION("""COMPUTED_VALUE"""),336)</f>
        <v>336</v>
      </c>
      <c r="J306" s="1">
        <f ca="1">IFERROR(__xludf.DUMMYFUNCTION("""COMPUTED_VALUE"""),66.9)</f>
        <v>66.900000000000006</v>
      </c>
      <c r="K306" s="1">
        <f ca="1">IFERROR(__xludf.DUMMYFUNCTION("""COMPUTED_VALUE"""),219)</f>
        <v>219</v>
      </c>
      <c r="L306" s="1" t="str">
        <f ca="1">IFERROR(__xludf.DUMMYFUNCTION("""COMPUTED_VALUE"""),"+.013")</f>
        <v>+.013</v>
      </c>
      <c r="M306" s="1">
        <f ca="1">IFERROR(__xludf.DUMMYFUNCTION("""COMPUTED_VALUE"""),145)</f>
        <v>145</v>
      </c>
      <c r="N306" s="1">
        <f ca="1">IFERROR(__xludf.DUMMYFUNCTION("""COMPUTED_VALUE"""),-1.3)</f>
        <v>-1.3</v>
      </c>
      <c r="O306" s="1">
        <f ca="1">IFERROR(__xludf.DUMMYFUNCTION("""COMPUTED_VALUE"""),173)</f>
        <v>173</v>
      </c>
      <c r="P306" s="1">
        <f ca="1">IFERROR(__xludf.DUMMYFUNCTION("""COMPUTED_VALUE"""),105.5)</f>
        <v>105.5</v>
      </c>
      <c r="Q306" s="1">
        <f ca="1">IFERROR(__xludf.DUMMYFUNCTION("""COMPUTED_VALUE"""),99)</f>
        <v>99</v>
      </c>
      <c r="R306" s="1">
        <f ca="1">IFERROR(__xludf.DUMMYFUNCTION("""COMPUTED_VALUE"""),106.8)</f>
        <v>106.8</v>
      </c>
      <c r="S306" s="1">
        <f ca="1">IFERROR(__xludf.DUMMYFUNCTION("""COMPUTED_VALUE"""),253)</f>
        <v>253</v>
      </c>
      <c r="T306" s="1" t="str">
        <f ca="1">IFERROR(__xludf.DUMMYFUNCTION("""COMPUTED_VALUE"""),"+4.08")</f>
        <v>+4.08</v>
      </c>
      <c r="U306" s="1">
        <f ca="1">IFERROR(__xludf.DUMMYFUNCTION("""COMPUTED_VALUE"""),56)</f>
        <v>56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IFERROR(__xludf.DUMMYFUNCTION("""COMPUTED_VALUE"""),"Towson")</f>
        <v>Towson</v>
      </c>
      <c r="C307" s="1" t="str">
        <f ca="1">IFERROR(__xludf.DUMMYFUNCTION("""COMPUTED_VALUE"""),"CAA")</f>
        <v>CAA</v>
      </c>
      <c r="D307" s="2">
        <f ca="1">IFERROR(__xludf.DUMMYFUNCTION("""COMPUTED_VALUE"""),44856)</f>
        <v>44856</v>
      </c>
      <c r="E307" s="1">
        <f ca="1">IFERROR(__xludf.DUMMYFUNCTION("""COMPUTED_VALUE"""),-10.67)</f>
        <v>-10.67</v>
      </c>
      <c r="F307" s="1">
        <f ca="1">IFERROR(__xludf.DUMMYFUNCTION("""COMPUTED_VALUE"""),100.2)</f>
        <v>100.2</v>
      </c>
      <c r="G307" s="1">
        <f ca="1">IFERROR(__xludf.DUMMYFUNCTION("""COMPUTED_VALUE"""),255)</f>
        <v>255</v>
      </c>
      <c r="H307" s="1">
        <f ca="1">IFERROR(__xludf.DUMMYFUNCTION("""COMPUTED_VALUE"""),110.9)</f>
        <v>110.9</v>
      </c>
      <c r="I307" s="1">
        <f ca="1">IFERROR(__xludf.DUMMYFUNCTION("""COMPUTED_VALUE"""),298)</f>
        <v>298</v>
      </c>
      <c r="J307" s="1">
        <f ca="1">IFERROR(__xludf.DUMMYFUNCTION("""COMPUTED_VALUE"""),63.5)</f>
        <v>63.5</v>
      </c>
      <c r="K307" s="1">
        <f ca="1">IFERROR(__xludf.DUMMYFUNCTION("""COMPUTED_VALUE"""),337)</f>
        <v>337</v>
      </c>
      <c r="L307" s="1">
        <f ca="1">IFERROR(__xludf.DUMMYFUNCTION("""COMPUTED_VALUE"""),-0.049)</f>
        <v>-4.9000000000000002E-2</v>
      </c>
      <c r="M307" s="1">
        <f ca="1">IFERROR(__xludf.DUMMYFUNCTION("""COMPUTED_VALUE"""),295)</f>
        <v>295</v>
      </c>
      <c r="N307" s="1">
        <f ca="1">IFERROR(__xludf.DUMMYFUNCTION("""COMPUTED_VALUE"""),-4.61)</f>
        <v>-4.6100000000000003</v>
      </c>
      <c r="O307" s="1">
        <f ca="1">IFERROR(__xludf.DUMMYFUNCTION("""COMPUTED_VALUE"""),262)</f>
        <v>262</v>
      </c>
      <c r="P307" s="1">
        <f ca="1">IFERROR(__xludf.DUMMYFUNCTION("""COMPUTED_VALUE"""),103.9)</f>
        <v>103.9</v>
      </c>
      <c r="Q307" s="1">
        <f ca="1">IFERROR(__xludf.DUMMYFUNCTION("""COMPUTED_VALUE"""),176)</f>
        <v>176</v>
      </c>
      <c r="R307" s="1">
        <f ca="1">IFERROR(__xludf.DUMMYFUNCTION("""COMPUTED_VALUE"""),108.5)</f>
        <v>108.5</v>
      </c>
      <c r="S307" s="1">
        <f ca="1">IFERROR(__xludf.DUMMYFUNCTION("""COMPUTED_VALUE"""),330)</f>
        <v>330</v>
      </c>
      <c r="T307" s="1">
        <f ca="1">IFERROR(__xludf.DUMMYFUNCTION("""COMPUTED_VALUE"""),-4.29)</f>
        <v>-4.29</v>
      </c>
      <c r="U307" s="1">
        <f ca="1">IFERROR(__xludf.DUMMYFUNCTION("""COMPUTED_VALUE"""),287)</f>
        <v>287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IFERROR(__xludf.DUMMYFUNCTION("""COMPUTED_VALUE"""),"Tennessee St.")</f>
        <v>Tennessee St.</v>
      </c>
      <c r="C308" s="1" t="str">
        <f ca="1">IFERROR(__xludf.DUMMYFUNCTION("""COMPUTED_VALUE"""),"OVC")</f>
        <v>OVC</v>
      </c>
      <c r="D308" s="2">
        <f ca="1">IFERROR(__xludf.DUMMYFUNCTION("""COMPUTED_VALUE"""),44825)</f>
        <v>44825</v>
      </c>
      <c r="E308" s="1">
        <f ca="1">IFERROR(__xludf.DUMMYFUNCTION("""COMPUTED_VALUE"""),-10.73)</f>
        <v>-10.73</v>
      </c>
      <c r="F308" s="1">
        <f ca="1">IFERROR(__xludf.DUMMYFUNCTION("""COMPUTED_VALUE"""),98.9)</f>
        <v>98.9</v>
      </c>
      <c r="G308" s="1">
        <f ca="1">IFERROR(__xludf.DUMMYFUNCTION("""COMPUTED_VALUE"""),280)</f>
        <v>280</v>
      </c>
      <c r="H308" s="1">
        <f ca="1">IFERROR(__xludf.DUMMYFUNCTION("""COMPUTED_VALUE"""),109.6)</f>
        <v>109.6</v>
      </c>
      <c r="I308" s="1">
        <f ca="1">IFERROR(__xludf.DUMMYFUNCTION("""COMPUTED_VALUE"""),270)</f>
        <v>270</v>
      </c>
      <c r="J308" s="1">
        <f ca="1">IFERROR(__xludf.DUMMYFUNCTION("""COMPUTED_VALUE"""),69.4)</f>
        <v>69.400000000000006</v>
      </c>
      <c r="K308" s="1">
        <f ca="1">IFERROR(__xludf.DUMMYFUNCTION("""COMPUTED_VALUE"""),88)</f>
        <v>88</v>
      </c>
      <c r="L308" s="1">
        <f ca="1">IFERROR(__xludf.DUMMYFUNCTION("""COMPUTED_VALUE"""),-0.062)</f>
        <v>-6.2E-2</v>
      </c>
      <c r="M308" s="1">
        <f ca="1">IFERROR(__xludf.DUMMYFUNCTION("""COMPUTED_VALUE"""),312)</f>
        <v>312</v>
      </c>
      <c r="N308" s="1">
        <f ca="1">IFERROR(__xludf.DUMMYFUNCTION("""COMPUTED_VALUE"""),-2)</f>
        <v>-2</v>
      </c>
      <c r="O308" s="1">
        <f ca="1">IFERROR(__xludf.DUMMYFUNCTION("""COMPUTED_VALUE"""),195)</f>
        <v>195</v>
      </c>
      <c r="P308" s="1">
        <f ca="1">IFERROR(__xludf.DUMMYFUNCTION("""COMPUTED_VALUE"""),103.1)</f>
        <v>103.1</v>
      </c>
      <c r="Q308" s="1">
        <f ca="1">IFERROR(__xludf.DUMMYFUNCTION("""COMPUTED_VALUE"""),218)</f>
        <v>218</v>
      </c>
      <c r="R308" s="1">
        <f ca="1">IFERROR(__xludf.DUMMYFUNCTION("""COMPUTED_VALUE"""),105.1)</f>
        <v>105.1</v>
      </c>
      <c r="S308" s="1">
        <f ca="1">IFERROR(__xludf.DUMMYFUNCTION("""COMPUTED_VALUE"""),187)</f>
        <v>187</v>
      </c>
      <c r="T308" s="1" t="str">
        <f ca="1">IFERROR(__xludf.DUMMYFUNCTION("""COMPUTED_VALUE"""),"+4.44")</f>
        <v>+4.44</v>
      </c>
      <c r="U308" s="1">
        <f ca="1">IFERROR(__xludf.DUMMYFUNCTION("""COMPUTED_VALUE"""),51)</f>
        <v>51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IFERROR(__xludf.DUMMYFUNCTION("""COMPUTED_VALUE"""),"George Washington")</f>
        <v>George Washington</v>
      </c>
      <c r="C309" s="1" t="str">
        <f ca="1">IFERROR(__xludf.DUMMYFUNCTION("""COMPUTED_VALUE"""),"A10")</f>
        <v>A10</v>
      </c>
      <c r="D309" s="2">
        <f ca="1">IFERROR(__xludf.DUMMYFUNCTION("""COMPUTED_VALUE"""),44828)</f>
        <v>44828</v>
      </c>
      <c r="E309" s="1">
        <f ca="1">IFERROR(__xludf.DUMMYFUNCTION("""COMPUTED_VALUE"""),-10.81)</f>
        <v>-10.81</v>
      </c>
      <c r="F309" s="1">
        <f ca="1">IFERROR(__xludf.DUMMYFUNCTION("""COMPUTED_VALUE"""),95.4)</f>
        <v>95.4</v>
      </c>
      <c r="G309" s="1">
        <f ca="1">IFERROR(__xludf.DUMMYFUNCTION("""COMPUTED_VALUE"""),321)</f>
        <v>321</v>
      </c>
      <c r="H309" s="1">
        <f ca="1">IFERROR(__xludf.DUMMYFUNCTION("""COMPUTED_VALUE"""),106.2)</f>
        <v>106.2</v>
      </c>
      <c r="I309" s="1">
        <f ca="1">IFERROR(__xludf.DUMMYFUNCTION("""COMPUTED_VALUE"""),211)</f>
        <v>211</v>
      </c>
      <c r="J309" s="1">
        <f ca="1">IFERROR(__xludf.DUMMYFUNCTION("""COMPUTED_VALUE"""),67.2)</f>
        <v>67.2</v>
      </c>
      <c r="K309" s="1">
        <f ca="1">IFERROR(__xludf.DUMMYFUNCTION("""COMPUTED_VALUE"""),197)</f>
        <v>197</v>
      </c>
      <c r="L309" s="1">
        <f ca="1">IFERROR(__xludf.DUMMYFUNCTION("""COMPUTED_VALUE"""),-0.009)</f>
        <v>-8.9999999999999993E-3</v>
      </c>
      <c r="M309" s="1">
        <f ca="1">IFERROR(__xludf.DUMMYFUNCTION("""COMPUTED_VALUE"""),208)</f>
        <v>208</v>
      </c>
      <c r="N309" s="1">
        <f ca="1">IFERROR(__xludf.DUMMYFUNCTION("""COMPUTED_VALUE"""),-0.58)</f>
        <v>-0.57999999999999996</v>
      </c>
      <c r="O309" s="1">
        <f ca="1">IFERROR(__xludf.DUMMYFUNCTION("""COMPUTED_VALUE"""),154)</f>
        <v>154</v>
      </c>
      <c r="P309" s="1">
        <f ca="1">IFERROR(__xludf.DUMMYFUNCTION("""COMPUTED_VALUE"""),102.9)</f>
        <v>102.9</v>
      </c>
      <c r="Q309" s="1">
        <f ca="1">IFERROR(__xludf.DUMMYFUNCTION("""COMPUTED_VALUE"""),229)</f>
        <v>229</v>
      </c>
      <c r="R309" s="1">
        <f ca="1">IFERROR(__xludf.DUMMYFUNCTION("""COMPUTED_VALUE"""),103.5)</f>
        <v>103.5</v>
      </c>
      <c r="S309" s="1">
        <f ca="1">IFERROR(__xludf.DUMMYFUNCTION("""COMPUTED_VALUE"""),110)</f>
        <v>110</v>
      </c>
      <c r="T309" s="1">
        <f ca="1">IFERROR(__xludf.DUMMYFUNCTION("""COMPUTED_VALUE"""),-2.14)</f>
        <v>-2.14</v>
      </c>
      <c r="U309" s="1">
        <f ca="1">IFERROR(__xludf.DUMMYFUNCTION("""COMPUTED_VALUE"""),224)</f>
        <v>224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IFERROR(__xludf.DUMMYFUNCTION("""COMPUTED_VALUE"""),"Western Illinois")</f>
        <v>Western Illinois</v>
      </c>
      <c r="C310" s="1" t="str">
        <f ca="1">IFERROR(__xludf.DUMMYFUNCTION("""COMPUTED_VALUE"""),"Sum")</f>
        <v>Sum</v>
      </c>
      <c r="D310" s="2">
        <f ca="1">IFERROR(__xludf.DUMMYFUNCTION("""COMPUTED_VALUE"""),44855)</f>
        <v>44855</v>
      </c>
      <c r="E310" s="1">
        <f ca="1">IFERROR(__xludf.DUMMYFUNCTION("""COMPUTED_VALUE"""),-10.86)</f>
        <v>-10.86</v>
      </c>
      <c r="F310" s="1">
        <f ca="1">IFERROR(__xludf.DUMMYFUNCTION("""COMPUTED_VALUE"""),97.6)</f>
        <v>97.6</v>
      </c>
      <c r="G310" s="1">
        <f ca="1">IFERROR(__xludf.DUMMYFUNCTION("""COMPUTED_VALUE"""),296)</f>
        <v>296</v>
      </c>
      <c r="H310" s="1">
        <f ca="1">IFERROR(__xludf.DUMMYFUNCTION("""COMPUTED_VALUE"""),108.5)</f>
        <v>108.5</v>
      </c>
      <c r="I310" s="1">
        <f ca="1">IFERROR(__xludf.DUMMYFUNCTION("""COMPUTED_VALUE"""),256)</f>
        <v>256</v>
      </c>
      <c r="J310" s="1">
        <f ca="1">IFERROR(__xludf.DUMMYFUNCTION("""COMPUTED_VALUE"""),67.3)</f>
        <v>67.3</v>
      </c>
      <c r="K310" s="1">
        <f ca="1">IFERROR(__xludf.DUMMYFUNCTION("""COMPUTED_VALUE"""),190)</f>
        <v>190</v>
      </c>
      <c r="L310" s="1">
        <f ca="1">IFERROR(__xludf.DUMMYFUNCTION("""COMPUTED_VALUE"""),-0.106)</f>
        <v>-0.106</v>
      </c>
      <c r="M310" s="1">
        <f ca="1">IFERROR(__xludf.DUMMYFUNCTION("""COMPUTED_VALUE"""),345)</f>
        <v>345</v>
      </c>
      <c r="N310" s="1">
        <f ca="1">IFERROR(__xludf.DUMMYFUNCTION("""COMPUTED_VALUE"""),-4.66)</f>
        <v>-4.66</v>
      </c>
      <c r="O310" s="1">
        <f ca="1">IFERROR(__xludf.DUMMYFUNCTION("""COMPUTED_VALUE"""),265)</f>
        <v>265</v>
      </c>
      <c r="P310" s="1">
        <f ca="1">IFERROR(__xludf.DUMMYFUNCTION("""COMPUTED_VALUE"""),104.5)</f>
        <v>104.5</v>
      </c>
      <c r="Q310" s="1">
        <f ca="1">IFERROR(__xludf.DUMMYFUNCTION("""COMPUTED_VALUE"""),146)</f>
        <v>146</v>
      </c>
      <c r="R310" s="1">
        <f ca="1">IFERROR(__xludf.DUMMYFUNCTION("""COMPUTED_VALUE"""),109.2)</f>
        <v>109.2</v>
      </c>
      <c r="S310" s="1">
        <f ca="1">IFERROR(__xludf.DUMMYFUNCTION("""COMPUTED_VALUE"""),346)</f>
        <v>346</v>
      </c>
      <c r="T310" s="1">
        <f ca="1">IFERROR(__xludf.DUMMYFUNCTION("""COMPUTED_VALUE"""),-5.47)</f>
        <v>-5.47</v>
      </c>
      <c r="U310" s="1">
        <f ca="1">IFERROR(__xludf.DUMMYFUNCTION("""COMPUTED_VALUE"""),314)</f>
        <v>314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IFERROR(__xludf.DUMMYFUNCTION("""COMPUTED_VALUE"""),"Monmouth")</f>
        <v>Monmouth</v>
      </c>
      <c r="C311" s="1" t="str">
        <f ca="1">IFERROR(__xludf.DUMMYFUNCTION("""COMPUTED_VALUE"""),"MAAC")</f>
        <v>MAAC</v>
      </c>
      <c r="D311" s="1" t="str">
        <f ca="1">IFERROR(__xludf.DUMMYFUNCTION("""COMPUTED_VALUE"""),"14-21")</f>
        <v>14-21</v>
      </c>
      <c r="E311" s="1">
        <f ca="1">IFERROR(__xludf.DUMMYFUNCTION("""COMPUTED_VALUE"""),-10.89)</f>
        <v>-10.89</v>
      </c>
      <c r="F311" s="1">
        <f ca="1">IFERROR(__xludf.DUMMYFUNCTION("""COMPUTED_VALUE"""),93.2)</f>
        <v>93.2</v>
      </c>
      <c r="G311" s="1">
        <f ca="1">IFERROR(__xludf.DUMMYFUNCTION("""COMPUTED_VALUE"""),336)</f>
        <v>336</v>
      </c>
      <c r="H311" s="1">
        <f ca="1">IFERROR(__xludf.DUMMYFUNCTION("""COMPUTED_VALUE"""),104.1)</f>
        <v>104.1</v>
      </c>
      <c r="I311" s="1">
        <f ca="1">IFERROR(__xludf.DUMMYFUNCTION("""COMPUTED_VALUE"""),160)</f>
        <v>160</v>
      </c>
      <c r="J311" s="1">
        <f ca="1">IFERROR(__xludf.DUMMYFUNCTION("""COMPUTED_VALUE"""),67.5)</f>
        <v>67.5</v>
      </c>
      <c r="K311" s="1">
        <f ca="1">IFERROR(__xludf.DUMMYFUNCTION("""COMPUTED_VALUE"""),185)</f>
        <v>185</v>
      </c>
      <c r="L311" s="1" t="str">
        <f ca="1">IFERROR(__xludf.DUMMYFUNCTION("""COMPUTED_VALUE"""),"+.047")</f>
        <v>+.047</v>
      </c>
      <c r="M311" s="1">
        <f ca="1">IFERROR(__xludf.DUMMYFUNCTION("""COMPUTED_VALUE"""),67)</f>
        <v>67</v>
      </c>
      <c r="N311" s="1">
        <f ca="1">IFERROR(__xludf.DUMMYFUNCTION("""COMPUTED_VALUE"""),-5.05)</f>
        <v>-5.05</v>
      </c>
      <c r="O311" s="1">
        <f ca="1">IFERROR(__xludf.DUMMYFUNCTION("""COMPUTED_VALUE"""),275)</f>
        <v>275</v>
      </c>
      <c r="P311" s="1">
        <f ca="1">IFERROR(__xludf.DUMMYFUNCTION("""COMPUTED_VALUE"""),102.5)</f>
        <v>102.5</v>
      </c>
      <c r="Q311" s="1">
        <f ca="1">IFERROR(__xludf.DUMMYFUNCTION("""COMPUTED_VALUE"""),246)</f>
        <v>246</v>
      </c>
      <c r="R311" s="1">
        <f ca="1">IFERROR(__xludf.DUMMYFUNCTION("""COMPUTED_VALUE"""),107.6)</f>
        <v>107.6</v>
      </c>
      <c r="S311" s="1">
        <f ca="1">IFERROR(__xludf.DUMMYFUNCTION("""COMPUTED_VALUE"""),290)</f>
        <v>290</v>
      </c>
      <c r="T311" s="1" t="str">
        <f ca="1">IFERROR(__xludf.DUMMYFUNCTION("""COMPUTED_VALUE"""),"+3.30")</f>
        <v>+3.30</v>
      </c>
      <c r="U311" s="1">
        <f ca="1">IFERROR(__xludf.DUMMYFUNCTION("""COMPUTED_VALUE"""),79)</f>
        <v>79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IFERROR(__xludf.DUMMYFUNCTION("""COMPUTED_VALUE"""),"Milwaukee")</f>
        <v>Milwaukee</v>
      </c>
      <c r="C312" s="1" t="str">
        <f ca="1">IFERROR(__xludf.DUMMYFUNCTION("""COMPUTED_VALUE"""),"Horz")</f>
        <v>Horz</v>
      </c>
      <c r="D312" s="2">
        <f ca="1">IFERROR(__xludf.DUMMYFUNCTION("""COMPUTED_VALUE"""),44826)</f>
        <v>44826</v>
      </c>
      <c r="E312" s="1">
        <f ca="1">IFERROR(__xludf.DUMMYFUNCTION("""COMPUTED_VALUE"""),-11)</f>
        <v>-11</v>
      </c>
      <c r="F312" s="1">
        <f ca="1">IFERROR(__xludf.DUMMYFUNCTION("""COMPUTED_VALUE"""),98.6)</f>
        <v>98.6</v>
      </c>
      <c r="G312" s="1">
        <f ca="1">IFERROR(__xludf.DUMMYFUNCTION("""COMPUTED_VALUE"""),283)</f>
        <v>283</v>
      </c>
      <c r="H312" s="1">
        <f ca="1">IFERROR(__xludf.DUMMYFUNCTION("""COMPUTED_VALUE"""),109.6)</f>
        <v>109.6</v>
      </c>
      <c r="I312" s="1">
        <f ca="1">IFERROR(__xludf.DUMMYFUNCTION("""COMPUTED_VALUE"""),269)</f>
        <v>269</v>
      </c>
      <c r="J312" s="1">
        <f ca="1">IFERROR(__xludf.DUMMYFUNCTION("""COMPUTED_VALUE"""),66.1)</f>
        <v>66.099999999999994</v>
      </c>
      <c r="K312" s="1">
        <f ca="1">IFERROR(__xludf.DUMMYFUNCTION("""COMPUTED_VALUE"""),259)</f>
        <v>259</v>
      </c>
      <c r="L312" s="1" t="str">
        <f ca="1">IFERROR(__xludf.DUMMYFUNCTION("""COMPUTED_VALUE"""),"+.016")</f>
        <v>+.016</v>
      </c>
      <c r="M312" s="1">
        <f ca="1">IFERROR(__xludf.DUMMYFUNCTION("""COMPUTED_VALUE"""),141)</f>
        <v>141</v>
      </c>
      <c r="N312" s="1">
        <f ca="1">IFERROR(__xludf.DUMMYFUNCTION("""COMPUTED_VALUE"""),-2.66)</f>
        <v>-2.66</v>
      </c>
      <c r="O312" s="1">
        <f ca="1">IFERROR(__xludf.DUMMYFUNCTION("""COMPUTED_VALUE"""),215)</f>
        <v>215</v>
      </c>
      <c r="P312" s="1">
        <f ca="1">IFERROR(__xludf.DUMMYFUNCTION("""COMPUTED_VALUE"""),103.8)</f>
        <v>103.8</v>
      </c>
      <c r="Q312" s="1">
        <f ca="1">IFERROR(__xludf.DUMMYFUNCTION("""COMPUTED_VALUE"""),179)</f>
        <v>179</v>
      </c>
      <c r="R312" s="1">
        <f ca="1">IFERROR(__xludf.DUMMYFUNCTION("""COMPUTED_VALUE"""),106.5)</f>
        <v>106.5</v>
      </c>
      <c r="S312" s="1">
        <f ca="1">IFERROR(__xludf.DUMMYFUNCTION("""COMPUTED_VALUE"""),236)</f>
        <v>236</v>
      </c>
      <c r="T312" s="1">
        <f ca="1">IFERROR(__xludf.DUMMYFUNCTION("""COMPUTED_VALUE"""),-2.18)</f>
        <v>-2.1800000000000002</v>
      </c>
      <c r="U312" s="1">
        <f ca="1">IFERROR(__xludf.DUMMYFUNCTION("""COMPUTED_VALUE"""),226)</f>
        <v>226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IFERROR(__xludf.DUMMYFUNCTION("""COMPUTED_VALUE"""),"Charlotte")</f>
        <v>Charlotte</v>
      </c>
      <c r="C313" s="1" t="str">
        <f ca="1">IFERROR(__xludf.DUMMYFUNCTION("""COMPUTED_VALUE"""),"CUSA")</f>
        <v>CUSA</v>
      </c>
      <c r="D313" s="2">
        <f ca="1">IFERROR(__xludf.DUMMYFUNCTION("""COMPUTED_VALUE"""),44794)</f>
        <v>44794</v>
      </c>
      <c r="E313" s="1">
        <f ca="1">IFERROR(__xludf.DUMMYFUNCTION("""COMPUTED_VALUE"""),-11.16)</f>
        <v>-11.16</v>
      </c>
      <c r="F313" s="1">
        <f ca="1">IFERROR(__xludf.DUMMYFUNCTION("""COMPUTED_VALUE"""),95.6)</f>
        <v>95.6</v>
      </c>
      <c r="G313" s="1">
        <f ca="1">IFERROR(__xludf.DUMMYFUNCTION("""COMPUTED_VALUE"""),319)</f>
        <v>319</v>
      </c>
      <c r="H313" s="1">
        <f ca="1">IFERROR(__xludf.DUMMYFUNCTION("""COMPUTED_VALUE"""),106.8)</f>
        <v>106.8</v>
      </c>
      <c r="I313" s="1">
        <f ca="1">IFERROR(__xludf.DUMMYFUNCTION("""COMPUTED_VALUE"""),224)</f>
        <v>224</v>
      </c>
      <c r="J313" s="1">
        <f ca="1">IFERROR(__xludf.DUMMYFUNCTION("""COMPUTED_VALUE"""),64.5)</f>
        <v>64.5</v>
      </c>
      <c r="K313" s="1">
        <f ca="1">IFERROR(__xludf.DUMMYFUNCTION("""COMPUTED_VALUE"""),325)</f>
        <v>325</v>
      </c>
      <c r="L313" s="1">
        <f ca="1">IFERROR(__xludf.DUMMYFUNCTION("""COMPUTED_VALUE"""),-0.005)</f>
        <v>-5.0000000000000001E-3</v>
      </c>
      <c r="M313" s="1">
        <f ca="1">IFERROR(__xludf.DUMMYFUNCTION("""COMPUTED_VALUE"""),196)</f>
        <v>196</v>
      </c>
      <c r="N313" s="1">
        <f ca="1">IFERROR(__xludf.DUMMYFUNCTION("""COMPUTED_VALUE"""),-1.81)</f>
        <v>-1.81</v>
      </c>
      <c r="O313" s="1">
        <f ca="1">IFERROR(__xludf.DUMMYFUNCTION("""COMPUTED_VALUE"""),188)</f>
        <v>188</v>
      </c>
      <c r="P313" s="1">
        <f ca="1">IFERROR(__xludf.DUMMYFUNCTION("""COMPUTED_VALUE"""),102.3)</f>
        <v>102.3</v>
      </c>
      <c r="Q313" s="1">
        <f ca="1">IFERROR(__xludf.DUMMYFUNCTION("""COMPUTED_VALUE"""),261)</f>
        <v>261</v>
      </c>
      <c r="R313" s="1">
        <f ca="1">IFERROR(__xludf.DUMMYFUNCTION("""COMPUTED_VALUE"""),104.1)</f>
        <v>104.1</v>
      </c>
      <c r="S313" s="1">
        <f ca="1">IFERROR(__xludf.DUMMYFUNCTION("""COMPUTED_VALUE"""),135)</f>
        <v>135</v>
      </c>
      <c r="T313" s="1">
        <f ca="1">IFERROR(__xludf.DUMMYFUNCTION("""COMPUTED_VALUE"""),-0.19)</f>
        <v>-0.19</v>
      </c>
      <c r="U313" s="1">
        <f ca="1">IFERROR(__xludf.DUMMYFUNCTION("""COMPUTED_VALUE"""),171)</f>
        <v>171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IFERROR(__xludf.DUMMYFUNCTION("""COMPUTED_VALUE"""),"Lafayette")</f>
        <v>Lafayette</v>
      </c>
      <c r="C314" s="1" t="str">
        <f ca="1">IFERROR(__xludf.DUMMYFUNCTION("""COMPUTED_VALUE"""),"Pat")</f>
        <v>Pat</v>
      </c>
      <c r="D314" s="2">
        <f ca="1">IFERROR(__xludf.DUMMYFUNCTION("""COMPUTED_VALUE"""),44854)</f>
        <v>44854</v>
      </c>
      <c r="E314" s="1">
        <f ca="1">IFERROR(__xludf.DUMMYFUNCTION("""COMPUTED_VALUE"""),-11.27)</f>
        <v>-11.27</v>
      </c>
      <c r="F314" s="1">
        <f ca="1">IFERROR(__xludf.DUMMYFUNCTION("""COMPUTED_VALUE"""),101.6)</f>
        <v>101.6</v>
      </c>
      <c r="G314" s="1">
        <f ca="1">IFERROR(__xludf.DUMMYFUNCTION("""COMPUTED_VALUE"""),231)</f>
        <v>231</v>
      </c>
      <c r="H314" s="1">
        <f ca="1">IFERROR(__xludf.DUMMYFUNCTION("""COMPUTED_VALUE"""),112.9)</f>
        <v>112.9</v>
      </c>
      <c r="I314" s="1">
        <f ca="1">IFERROR(__xludf.DUMMYFUNCTION("""COMPUTED_VALUE"""),323)</f>
        <v>323</v>
      </c>
      <c r="J314" s="1">
        <f ca="1">IFERROR(__xludf.DUMMYFUNCTION("""COMPUTED_VALUE"""),68.9)</f>
        <v>68.900000000000006</v>
      </c>
      <c r="K314" s="1">
        <f ca="1">IFERROR(__xludf.DUMMYFUNCTION("""COMPUTED_VALUE"""),109)</f>
        <v>109</v>
      </c>
      <c r="L314" s="1" t="str">
        <f ca="1">IFERROR(__xludf.DUMMYFUNCTION("""COMPUTED_VALUE"""),"+.004")</f>
        <v>+.004</v>
      </c>
      <c r="M314" s="1">
        <f ca="1">IFERROR(__xludf.DUMMYFUNCTION("""COMPUTED_VALUE"""),169)</f>
        <v>169</v>
      </c>
      <c r="N314" s="1">
        <f ca="1">IFERROR(__xludf.DUMMYFUNCTION("""COMPUTED_VALUE"""),-4.66)</f>
        <v>-4.66</v>
      </c>
      <c r="O314" s="1">
        <f ca="1">IFERROR(__xludf.DUMMYFUNCTION("""COMPUTED_VALUE"""),264)</f>
        <v>264</v>
      </c>
      <c r="P314" s="1">
        <f ca="1">IFERROR(__xludf.DUMMYFUNCTION("""COMPUTED_VALUE"""),102.4)</f>
        <v>102.4</v>
      </c>
      <c r="Q314" s="1">
        <f ca="1">IFERROR(__xludf.DUMMYFUNCTION("""COMPUTED_VALUE"""),257)</f>
        <v>257</v>
      </c>
      <c r="R314" s="1">
        <f ca="1">IFERROR(__xludf.DUMMYFUNCTION("""COMPUTED_VALUE"""),107.1)</f>
        <v>107.1</v>
      </c>
      <c r="S314" s="1">
        <f ca="1">IFERROR(__xludf.DUMMYFUNCTION("""COMPUTED_VALUE"""),267)</f>
        <v>267</v>
      </c>
      <c r="T314" s="1">
        <f ca="1">IFERROR(__xludf.DUMMYFUNCTION("""COMPUTED_VALUE"""),-3.86)</f>
        <v>-3.86</v>
      </c>
      <c r="U314" s="1">
        <f ca="1">IFERROR(__xludf.DUMMYFUNCTION("""COMPUTED_VALUE"""),271)</f>
        <v>271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IFERROR(__xludf.DUMMYFUNCTION("""COMPUTED_VALUE"""),"UTEP")</f>
        <v>UTEP</v>
      </c>
      <c r="C315" s="1" t="str">
        <f ca="1">IFERROR(__xludf.DUMMYFUNCTION("""COMPUTED_VALUE"""),"CUSA")</f>
        <v>CUSA</v>
      </c>
      <c r="D315" s="2">
        <f ca="1">IFERROR(__xludf.DUMMYFUNCTION("""COMPUTED_VALUE"""),44794)</f>
        <v>44794</v>
      </c>
      <c r="E315" s="1">
        <f ca="1">IFERROR(__xludf.DUMMYFUNCTION("""COMPUTED_VALUE"""),-11.31)</f>
        <v>-11.31</v>
      </c>
      <c r="F315" s="1">
        <f ca="1">IFERROR(__xludf.DUMMYFUNCTION("""COMPUTED_VALUE"""),90.1)</f>
        <v>90.1</v>
      </c>
      <c r="G315" s="1">
        <f ca="1">IFERROR(__xludf.DUMMYFUNCTION("""COMPUTED_VALUE"""),343)</f>
        <v>343</v>
      </c>
      <c r="H315" s="1">
        <f ca="1">IFERROR(__xludf.DUMMYFUNCTION("""COMPUTED_VALUE"""),101.4)</f>
        <v>101.4</v>
      </c>
      <c r="I315" s="1">
        <f ca="1">IFERROR(__xludf.DUMMYFUNCTION("""COMPUTED_VALUE"""),114)</f>
        <v>114</v>
      </c>
      <c r="J315" s="1">
        <f ca="1">IFERROR(__xludf.DUMMYFUNCTION("""COMPUTED_VALUE"""),68)</f>
        <v>68</v>
      </c>
      <c r="K315" s="1">
        <f ca="1">IFERROR(__xludf.DUMMYFUNCTION("""COMPUTED_VALUE"""),151)</f>
        <v>151</v>
      </c>
      <c r="L315" s="1">
        <f ca="1">IFERROR(__xludf.DUMMYFUNCTION("""COMPUTED_VALUE"""),-0.086)</f>
        <v>-8.5999999999999993E-2</v>
      </c>
      <c r="M315" s="1">
        <f ca="1">IFERROR(__xludf.DUMMYFUNCTION("""COMPUTED_VALUE"""),336)</f>
        <v>336</v>
      </c>
      <c r="N315" s="1">
        <f ca="1">IFERROR(__xludf.DUMMYFUNCTION("""COMPUTED_VALUE"""),-2.55)</f>
        <v>-2.5499999999999998</v>
      </c>
      <c r="O315" s="1">
        <f ca="1">IFERROR(__xludf.DUMMYFUNCTION("""COMPUTED_VALUE"""),213)</f>
        <v>213</v>
      </c>
      <c r="P315" s="1">
        <f ca="1">IFERROR(__xludf.DUMMYFUNCTION("""COMPUTED_VALUE"""),102.2)</f>
        <v>102.2</v>
      </c>
      <c r="Q315" s="1">
        <f ca="1">IFERROR(__xludf.DUMMYFUNCTION("""COMPUTED_VALUE"""),269)</f>
        <v>269</v>
      </c>
      <c r="R315" s="1">
        <f ca="1">IFERROR(__xludf.DUMMYFUNCTION("""COMPUTED_VALUE"""),104.7)</f>
        <v>104.7</v>
      </c>
      <c r="S315" s="1">
        <f ca="1">IFERROR(__xludf.DUMMYFUNCTION("""COMPUTED_VALUE"""),170)</f>
        <v>170</v>
      </c>
      <c r="T315" s="1">
        <f ca="1">IFERROR(__xludf.DUMMYFUNCTION("""COMPUTED_VALUE"""),-1.81)</f>
        <v>-1.81</v>
      </c>
      <c r="U315" s="1">
        <f ca="1">IFERROR(__xludf.DUMMYFUNCTION("""COMPUTED_VALUE"""),213)</f>
        <v>213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IFERROR(__xludf.DUMMYFUNCTION("""COMPUTED_VALUE"""),"North Carolina A&amp;T")</f>
        <v>North Carolina A&amp;T</v>
      </c>
      <c r="C316" s="1" t="str">
        <f ca="1">IFERROR(__xludf.DUMMYFUNCTION("""COMPUTED_VALUE"""),"MEAC")</f>
        <v>MEAC</v>
      </c>
      <c r="D316" s="1" t="str">
        <f ca="1">IFERROR(__xludf.DUMMYFUNCTION("""COMPUTED_VALUE"""),"19-13")</f>
        <v>19-13</v>
      </c>
      <c r="E316" s="1">
        <f ca="1">IFERROR(__xludf.DUMMYFUNCTION("""COMPUTED_VALUE"""),-11.32)</f>
        <v>-11.32</v>
      </c>
      <c r="F316" s="1">
        <f ca="1">IFERROR(__xludf.DUMMYFUNCTION("""COMPUTED_VALUE"""),96.8)</f>
        <v>96.8</v>
      </c>
      <c r="G316" s="1">
        <f ca="1">IFERROR(__xludf.DUMMYFUNCTION("""COMPUTED_VALUE"""),305)</f>
        <v>305</v>
      </c>
      <c r="H316" s="1">
        <f ca="1">IFERROR(__xludf.DUMMYFUNCTION("""COMPUTED_VALUE"""),108.1)</f>
        <v>108.1</v>
      </c>
      <c r="I316" s="1">
        <f ca="1">IFERROR(__xludf.DUMMYFUNCTION("""COMPUTED_VALUE"""),249)</f>
        <v>249</v>
      </c>
      <c r="J316" s="1">
        <f ca="1">IFERROR(__xludf.DUMMYFUNCTION("""COMPUTED_VALUE"""),65.7)</f>
        <v>65.7</v>
      </c>
      <c r="K316" s="1">
        <f ca="1">IFERROR(__xludf.DUMMYFUNCTION("""COMPUTED_VALUE"""),279)</f>
        <v>279</v>
      </c>
      <c r="L316" s="1" t="str">
        <f ca="1">IFERROR(__xludf.DUMMYFUNCTION("""COMPUTED_VALUE"""),"+.099")</f>
        <v>+.099</v>
      </c>
      <c r="M316" s="1">
        <f ca="1">IFERROR(__xludf.DUMMYFUNCTION("""COMPUTED_VALUE"""),11)</f>
        <v>11</v>
      </c>
      <c r="N316" s="1">
        <f ca="1">IFERROR(__xludf.DUMMYFUNCTION("""COMPUTED_VALUE"""),-10.75)</f>
        <v>-10.75</v>
      </c>
      <c r="O316" s="1">
        <f ca="1">IFERROR(__xludf.DUMMYFUNCTION("""COMPUTED_VALUE"""),350)</f>
        <v>350</v>
      </c>
      <c r="P316" s="1">
        <f ca="1">IFERROR(__xludf.DUMMYFUNCTION("""COMPUTED_VALUE"""),97.9)</f>
        <v>97.9</v>
      </c>
      <c r="Q316" s="1">
        <f ca="1">IFERROR(__xludf.DUMMYFUNCTION("""COMPUTED_VALUE"""),349)</f>
        <v>349</v>
      </c>
      <c r="R316" s="1">
        <f ca="1">IFERROR(__xludf.DUMMYFUNCTION("""COMPUTED_VALUE"""),108.7)</f>
        <v>108.7</v>
      </c>
      <c r="S316" s="1">
        <f ca="1">IFERROR(__xludf.DUMMYFUNCTION("""COMPUTED_VALUE"""),335)</f>
        <v>335</v>
      </c>
      <c r="T316" s="1" t="str">
        <f ca="1">IFERROR(__xludf.DUMMYFUNCTION("""COMPUTED_VALUE"""),"+3.32")</f>
        <v>+3.32</v>
      </c>
      <c r="U316" s="1">
        <f ca="1">IFERROR(__xludf.DUMMYFUNCTION("""COMPUTED_VALUE"""),77)</f>
        <v>77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IFERROR(__xludf.DUMMYFUNCTION("""COMPUTED_VALUE"""),"Fairfield")</f>
        <v>Fairfield</v>
      </c>
      <c r="C317" s="1" t="str">
        <f ca="1">IFERROR(__xludf.DUMMYFUNCTION("""COMPUTED_VALUE"""),"MAAC")</f>
        <v>MAAC</v>
      </c>
      <c r="D317" s="2">
        <f ca="1">IFERROR(__xludf.DUMMYFUNCTION("""COMPUTED_VALUE"""),44826)</f>
        <v>44826</v>
      </c>
      <c r="E317" s="1">
        <f ca="1">IFERROR(__xludf.DUMMYFUNCTION("""COMPUTED_VALUE"""),-11.43)</f>
        <v>-11.43</v>
      </c>
      <c r="F317" s="1">
        <f ca="1">IFERROR(__xludf.DUMMYFUNCTION("""COMPUTED_VALUE"""),96)</f>
        <v>96</v>
      </c>
      <c r="G317" s="1">
        <f ca="1">IFERROR(__xludf.DUMMYFUNCTION("""COMPUTED_VALUE"""),317)</f>
        <v>317</v>
      </c>
      <c r="H317" s="1">
        <f ca="1">IFERROR(__xludf.DUMMYFUNCTION("""COMPUTED_VALUE"""),107.5)</f>
        <v>107.5</v>
      </c>
      <c r="I317" s="1">
        <f ca="1">IFERROR(__xludf.DUMMYFUNCTION("""COMPUTED_VALUE"""),235)</f>
        <v>235</v>
      </c>
      <c r="J317" s="1">
        <f ca="1">IFERROR(__xludf.DUMMYFUNCTION("""COMPUTED_VALUE"""),67.8)</f>
        <v>67.8</v>
      </c>
      <c r="K317" s="1">
        <f ca="1">IFERROR(__xludf.DUMMYFUNCTION("""COMPUTED_VALUE"""),160)</f>
        <v>160</v>
      </c>
      <c r="L317" s="1">
        <f ca="1">IFERROR(__xludf.DUMMYFUNCTION("""COMPUTED_VALUE"""),-0.094)</f>
        <v>-9.4E-2</v>
      </c>
      <c r="M317" s="1">
        <f ca="1">IFERROR(__xludf.DUMMYFUNCTION("""COMPUTED_VALUE"""),341)</f>
        <v>341</v>
      </c>
      <c r="N317" s="1">
        <f ca="1">IFERROR(__xludf.DUMMYFUNCTION("""COMPUTED_VALUE"""),-8.07)</f>
        <v>-8.07</v>
      </c>
      <c r="O317" s="1">
        <f ca="1">IFERROR(__xludf.DUMMYFUNCTION("""COMPUTED_VALUE"""),335)</f>
        <v>335</v>
      </c>
      <c r="P317" s="1">
        <f ca="1">IFERROR(__xludf.DUMMYFUNCTION("""COMPUTED_VALUE"""),99.5)</f>
        <v>99.5</v>
      </c>
      <c r="Q317" s="1">
        <f ca="1">IFERROR(__xludf.DUMMYFUNCTION("""COMPUTED_VALUE"""),336)</f>
        <v>336</v>
      </c>
      <c r="R317" s="1">
        <f ca="1">IFERROR(__xludf.DUMMYFUNCTION("""COMPUTED_VALUE"""),107.5)</f>
        <v>107.5</v>
      </c>
      <c r="S317" s="1">
        <f ca="1">IFERROR(__xludf.DUMMYFUNCTION("""COMPUTED_VALUE"""),286)</f>
        <v>286</v>
      </c>
      <c r="T317" s="1">
        <f ca="1">IFERROR(__xludf.DUMMYFUNCTION("""COMPUTED_VALUE"""),-3.01)</f>
        <v>-3.01</v>
      </c>
      <c r="U317" s="1">
        <f ca="1">IFERROR(__xludf.DUMMYFUNCTION("""COMPUTED_VALUE"""),250)</f>
        <v>250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IFERROR(__xludf.DUMMYFUNCTION("""COMPUTED_VALUE"""),"Central Arkansas")</f>
        <v>Central Arkansas</v>
      </c>
      <c r="C318" s="1" t="str">
        <f ca="1">IFERROR(__xludf.DUMMYFUNCTION("""COMPUTED_VALUE"""),"Slnd")</f>
        <v>Slnd</v>
      </c>
      <c r="D318" s="1" t="str">
        <f ca="1">IFERROR(__xludf.DUMMYFUNCTION("""COMPUTED_VALUE"""),"14-19")</f>
        <v>14-19</v>
      </c>
      <c r="E318" s="1">
        <f ca="1">IFERROR(__xludf.DUMMYFUNCTION("""COMPUTED_VALUE"""),-11.44)</f>
        <v>-11.44</v>
      </c>
      <c r="F318" s="1">
        <f ca="1">IFERROR(__xludf.DUMMYFUNCTION("""COMPUTED_VALUE"""),99.9)</f>
        <v>99.9</v>
      </c>
      <c r="G318" s="1">
        <f ca="1">IFERROR(__xludf.DUMMYFUNCTION("""COMPUTED_VALUE"""),262)</f>
        <v>262</v>
      </c>
      <c r="H318" s="1">
        <f ca="1">IFERROR(__xludf.DUMMYFUNCTION("""COMPUTED_VALUE"""),111.4)</f>
        <v>111.4</v>
      </c>
      <c r="I318" s="1">
        <f ca="1">IFERROR(__xludf.DUMMYFUNCTION("""COMPUTED_VALUE"""),304)</f>
        <v>304</v>
      </c>
      <c r="J318" s="1">
        <f ca="1">IFERROR(__xludf.DUMMYFUNCTION("""COMPUTED_VALUE"""),70.5)</f>
        <v>70.5</v>
      </c>
      <c r="K318" s="1">
        <f ca="1">IFERROR(__xludf.DUMMYFUNCTION("""COMPUTED_VALUE"""),53)</f>
        <v>53</v>
      </c>
      <c r="L318" s="1" t="str">
        <f ca="1">IFERROR(__xludf.DUMMYFUNCTION("""COMPUTED_VALUE"""),"+.019")</f>
        <v>+.019</v>
      </c>
      <c r="M318" s="1">
        <f ca="1">IFERROR(__xludf.DUMMYFUNCTION("""COMPUTED_VALUE"""),133)</f>
        <v>133</v>
      </c>
      <c r="N318" s="1">
        <f ca="1">IFERROR(__xludf.DUMMYFUNCTION("""COMPUTED_VALUE"""),-4.84)</f>
        <v>-4.84</v>
      </c>
      <c r="O318" s="1">
        <f ca="1">IFERROR(__xludf.DUMMYFUNCTION("""COMPUTED_VALUE"""),270)</f>
        <v>270</v>
      </c>
      <c r="P318" s="1">
        <f ca="1">IFERROR(__xludf.DUMMYFUNCTION("""COMPUTED_VALUE"""),101)</f>
        <v>101</v>
      </c>
      <c r="Q318" s="1">
        <f ca="1">IFERROR(__xludf.DUMMYFUNCTION("""COMPUTED_VALUE"""),303)</f>
        <v>303</v>
      </c>
      <c r="R318" s="1">
        <f ca="1">IFERROR(__xludf.DUMMYFUNCTION("""COMPUTED_VALUE"""),105.8)</f>
        <v>105.8</v>
      </c>
      <c r="S318" s="1">
        <f ca="1">IFERROR(__xludf.DUMMYFUNCTION("""COMPUTED_VALUE"""),205)</f>
        <v>205</v>
      </c>
      <c r="T318" s="1" t="str">
        <f ca="1">IFERROR(__xludf.DUMMYFUNCTION("""COMPUTED_VALUE"""),"+7.72")</f>
        <v>+7.72</v>
      </c>
      <c r="U318" s="1">
        <f ca="1">IFERROR(__xludf.DUMMYFUNCTION("""COMPUTED_VALUE"""),9)</f>
        <v>9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IFERROR(__xludf.DUMMYFUNCTION("""COMPUTED_VALUE"""),"North Carolina Central16")</f>
        <v>North Carolina Central16</v>
      </c>
      <c r="C319" s="1" t="str">
        <f ca="1">IFERROR(__xludf.DUMMYFUNCTION("""COMPUTED_VALUE"""),"MEAC")</f>
        <v>MEAC</v>
      </c>
      <c r="D319" s="1" t="str">
        <f ca="1">IFERROR(__xludf.DUMMYFUNCTION("""COMPUTED_VALUE"""),"18-16")</f>
        <v>18-16</v>
      </c>
      <c r="E319" s="1">
        <f ca="1">IFERROR(__xludf.DUMMYFUNCTION("""COMPUTED_VALUE"""),-11.55)</f>
        <v>-11.55</v>
      </c>
      <c r="F319" s="1">
        <f ca="1">IFERROR(__xludf.DUMMYFUNCTION("""COMPUTED_VALUE"""),97.8)</f>
        <v>97.8</v>
      </c>
      <c r="G319" s="1">
        <f ca="1">IFERROR(__xludf.DUMMYFUNCTION("""COMPUTED_VALUE"""),295)</f>
        <v>295</v>
      </c>
      <c r="H319" s="1">
        <f ca="1">IFERROR(__xludf.DUMMYFUNCTION("""COMPUTED_VALUE"""),109.3)</f>
        <v>109.3</v>
      </c>
      <c r="I319" s="1">
        <f ca="1">IFERROR(__xludf.DUMMYFUNCTION("""COMPUTED_VALUE"""),267)</f>
        <v>267</v>
      </c>
      <c r="J319" s="1">
        <f ca="1">IFERROR(__xludf.DUMMYFUNCTION("""COMPUTED_VALUE"""),65.3)</f>
        <v>65.3</v>
      </c>
      <c r="K319" s="1">
        <f ca="1">IFERROR(__xludf.DUMMYFUNCTION("""COMPUTED_VALUE"""),291)</f>
        <v>291</v>
      </c>
      <c r="L319" s="1">
        <f ca="1">IFERROR(__xludf.DUMMYFUNCTION("""COMPUTED_VALUE"""),-0.008)</f>
        <v>-8.0000000000000002E-3</v>
      </c>
      <c r="M319" s="1">
        <f ca="1">IFERROR(__xludf.DUMMYFUNCTION("""COMPUTED_VALUE"""),206)</f>
        <v>206</v>
      </c>
      <c r="N319" s="1">
        <f ca="1">IFERROR(__xludf.DUMMYFUNCTION("""COMPUTED_VALUE"""),-11.84)</f>
        <v>-11.84</v>
      </c>
      <c r="O319" s="1">
        <f ca="1">IFERROR(__xludf.DUMMYFUNCTION("""COMPUTED_VALUE"""),352)</f>
        <v>352</v>
      </c>
      <c r="P319" s="1">
        <f ca="1">IFERROR(__xludf.DUMMYFUNCTION("""COMPUTED_VALUE"""),97)</f>
        <v>97</v>
      </c>
      <c r="Q319" s="1">
        <f ca="1">IFERROR(__xludf.DUMMYFUNCTION("""COMPUTED_VALUE"""),353)</f>
        <v>353</v>
      </c>
      <c r="R319" s="1">
        <f ca="1">IFERROR(__xludf.DUMMYFUNCTION("""COMPUTED_VALUE"""),108.9)</f>
        <v>108.9</v>
      </c>
      <c r="S319" s="1">
        <f ca="1">IFERROR(__xludf.DUMMYFUNCTION("""COMPUTED_VALUE"""),343)</f>
        <v>343</v>
      </c>
      <c r="T319" s="1" t="str">
        <f ca="1">IFERROR(__xludf.DUMMYFUNCTION("""COMPUTED_VALUE"""),"+1.19")</f>
        <v>+1.19</v>
      </c>
      <c r="U319" s="1">
        <f ca="1">IFERROR(__xludf.DUMMYFUNCTION("""COMPUTED_VALUE"""),120)</f>
        <v>120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IFERROR(__xludf.DUMMYFUNCTION("""COMPUTED_VALUE"""),"Northern Arizona")</f>
        <v>Northern Arizona</v>
      </c>
      <c r="C320" s="1" t="str">
        <f ca="1">IFERROR(__xludf.DUMMYFUNCTION("""COMPUTED_VALUE"""),"BSky")</f>
        <v>BSky</v>
      </c>
      <c r="D320" s="2">
        <f ca="1">IFERROR(__xludf.DUMMYFUNCTION("""COMPUTED_VALUE"""),44855)</f>
        <v>44855</v>
      </c>
      <c r="E320" s="1">
        <f ca="1">IFERROR(__xludf.DUMMYFUNCTION("""COMPUTED_VALUE"""),-11.83)</f>
        <v>-11.83</v>
      </c>
      <c r="F320" s="1">
        <f ca="1">IFERROR(__xludf.DUMMYFUNCTION("""COMPUTED_VALUE"""),100.8)</f>
        <v>100.8</v>
      </c>
      <c r="G320" s="1">
        <f ca="1">IFERROR(__xludf.DUMMYFUNCTION("""COMPUTED_VALUE"""),250)</f>
        <v>250</v>
      </c>
      <c r="H320" s="1">
        <f ca="1">IFERROR(__xludf.DUMMYFUNCTION("""COMPUTED_VALUE"""),112.6)</f>
        <v>112.6</v>
      </c>
      <c r="I320" s="1">
        <f ca="1">IFERROR(__xludf.DUMMYFUNCTION("""COMPUTED_VALUE"""),319)</f>
        <v>319</v>
      </c>
      <c r="J320" s="1">
        <f ca="1">IFERROR(__xludf.DUMMYFUNCTION("""COMPUTED_VALUE"""),68.5)</f>
        <v>68.5</v>
      </c>
      <c r="K320" s="1">
        <f ca="1">IFERROR(__xludf.DUMMYFUNCTION("""COMPUTED_VALUE"""),130)</f>
        <v>130</v>
      </c>
      <c r="L320" s="1">
        <f ca="1">IFERROR(__xludf.DUMMYFUNCTION("""COMPUTED_VALUE"""),-0.036)</f>
        <v>-3.5999999999999997E-2</v>
      </c>
      <c r="M320" s="1">
        <f ca="1">IFERROR(__xludf.DUMMYFUNCTION("""COMPUTED_VALUE"""),266)</f>
        <v>266</v>
      </c>
      <c r="N320" s="1">
        <f ca="1">IFERROR(__xludf.DUMMYFUNCTION("""COMPUTED_VALUE"""),-6.4)</f>
        <v>-6.4</v>
      </c>
      <c r="O320" s="1">
        <f ca="1">IFERROR(__xludf.DUMMYFUNCTION("""COMPUTED_VALUE"""),296)</f>
        <v>296</v>
      </c>
      <c r="P320" s="1">
        <f ca="1">IFERROR(__xludf.DUMMYFUNCTION("""COMPUTED_VALUE"""),102.2)</f>
        <v>102.2</v>
      </c>
      <c r="Q320" s="1">
        <f ca="1">IFERROR(__xludf.DUMMYFUNCTION("""COMPUTED_VALUE"""),268)</f>
        <v>268</v>
      </c>
      <c r="R320" s="1">
        <f ca="1">IFERROR(__xludf.DUMMYFUNCTION("""COMPUTED_VALUE"""),108.6)</f>
        <v>108.6</v>
      </c>
      <c r="S320" s="1">
        <f ca="1">IFERROR(__xludf.DUMMYFUNCTION("""COMPUTED_VALUE"""),331)</f>
        <v>331</v>
      </c>
      <c r="T320" s="1">
        <f ca="1">IFERROR(__xludf.DUMMYFUNCTION("""COMPUTED_VALUE"""),-0.02)</f>
        <v>-0.02</v>
      </c>
      <c r="U320" s="1">
        <f ca="1">IFERROR(__xludf.DUMMYFUNCTION("""COMPUTED_VALUE"""),163)</f>
        <v>163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IFERROR(__xludf.DUMMYFUNCTION("""COMPUTED_VALUE"""),"Howard")</f>
        <v>Howard</v>
      </c>
      <c r="C321" s="1" t="str">
        <f ca="1">IFERROR(__xludf.DUMMYFUNCTION("""COMPUTED_VALUE"""),"MEAC")</f>
        <v>MEAC</v>
      </c>
      <c r="D321" s="1" t="str">
        <f ca="1">IFERROR(__xludf.DUMMYFUNCTION("""COMPUTED_VALUE"""),"17-17")</f>
        <v>17-17</v>
      </c>
      <c r="E321" s="1">
        <f ca="1">IFERROR(__xludf.DUMMYFUNCTION("""COMPUTED_VALUE"""),-11.89)</f>
        <v>-11.89</v>
      </c>
      <c r="F321" s="1">
        <f ca="1">IFERROR(__xludf.DUMMYFUNCTION("""COMPUTED_VALUE"""),102)</f>
        <v>102</v>
      </c>
      <c r="G321" s="1">
        <f ca="1">IFERROR(__xludf.DUMMYFUNCTION("""COMPUTED_VALUE"""),221)</f>
        <v>221</v>
      </c>
      <c r="H321" s="1">
        <f ca="1">IFERROR(__xludf.DUMMYFUNCTION("""COMPUTED_VALUE"""),113.9)</f>
        <v>113.9</v>
      </c>
      <c r="I321" s="1">
        <f ca="1">IFERROR(__xludf.DUMMYFUNCTION("""COMPUTED_VALUE"""),334)</f>
        <v>334</v>
      </c>
      <c r="J321" s="1">
        <f ca="1">IFERROR(__xludf.DUMMYFUNCTION("""COMPUTED_VALUE"""),71.3)</f>
        <v>71.3</v>
      </c>
      <c r="K321" s="1">
        <f ca="1">IFERROR(__xludf.DUMMYFUNCTION("""COMPUTED_VALUE"""),31)</f>
        <v>31</v>
      </c>
      <c r="L321" s="1" t="str">
        <f ca="1">IFERROR(__xludf.DUMMYFUNCTION("""COMPUTED_VALUE"""),"+.017")</f>
        <v>+.017</v>
      </c>
      <c r="M321" s="1">
        <f ca="1">IFERROR(__xludf.DUMMYFUNCTION("""COMPUTED_VALUE"""),138)</f>
        <v>138</v>
      </c>
      <c r="N321" s="1">
        <f ca="1">IFERROR(__xludf.DUMMYFUNCTION("""COMPUTED_VALUE"""),-9.37)</f>
        <v>-9.3699999999999992</v>
      </c>
      <c r="O321" s="1">
        <f ca="1">IFERROR(__xludf.DUMMYFUNCTION("""COMPUTED_VALUE"""),345)</f>
        <v>345</v>
      </c>
      <c r="P321" s="1">
        <f ca="1">IFERROR(__xludf.DUMMYFUNCTION("""COMPUTED_VALUE"""),97.8)</f>
        <v>97.8</v>
      </c>
      <c r="Q321" s="1">
        <f ca="1">IFERROR(__xludf.DUMMYFUNCTION("""COMPUTED_VALUE"""),350)</f>
        <v>350</v>
      </c>
      <c r="R321" s="1">
        <f ca="1">IFERROR(__xludf.DUMMYFUNCTION("""COMPUTED_VALUE"""),107.2)</f>
        <v>107.2</v>
      </c>
      <c r="S321" s="1">
        <f ca="1">IFERROR(__xludf.DUMMYFUNCTION("""COMPUTED_VALUE"""),271)</f>
        <v>271</v>
      </c>
      <c r="T321" s="1">
        <f ca="1">IFERROR(__xludf.DUMMYFUNCTION("""COMPUTED_VALUE"""),-0.38)</f>
        <v>-0.38</v>
      </c>
      <c r="U321" s="1">
        <f ca="1">IFERROR(__xludf.DUMMYFUNCTION("""COMPUTED_VALUE"""),175)</f>
        <v>175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IFERROR(__xludf.DUMMYFUNCTION("""COMPUTED_VALUE"""),"Bethune Cookman")</f>
        <v>Bethune Cookman</v>
      </c>
      <c r="C322" s="1" t="str">
        <f ca="1">IFERROR(__xludf.DUMMYFUNCTION("""COMPUTED_VALUE"""),"MEAC")</f>
        <v>MEAC</v>
      </c>
      <c r="D322" s="1" t="str">
        <f ca="1">IFERROR(__xludf.DUMMYFUNCTION("""COMPUTED_VALUE"""),"14-17")</f>
        <v>14-17</v>
      </c>
      <c r="E322" s="1">
        <f ca="1">IFERROR(__xludf.DUMMYFUNCTION("""COMPUTED_VALUE"""),-11.92)</f>
        <v>-11.92</v>
      </c>
      <c r="F322" s="1">
        <f ca="1">IFERROR(__xludf.DUMMYFUNCTION("""COMPUTED_VALUE"""),93.6)</f>
        <v>93.6</v>
      </c>
      <c r="G322" s="1">
        <f ca="1">IFERROR(__xludf.DUMMYFUNCTION("""COMPUTED_VALUE"""),332)</f>
        <v>332</v>
      </c>
      <c r="H322" s="1">
        <f ca="1">IFERROR(__xludf.DUMMYFUNCTION("""COMPUTED_VALUE"""),105.5)</f>
        <v>105.5</v>
      </c>
      <c r="I322" s="1">
        <f ca="1">IFERROR(__xludf.DUMMYFUNCTION("""COMPUTED_VALUE"""),191)</f>
        <v>191</v>
      </c>
      <c r="J322" s="1">
        <f ca="1">IFERROR(__xludf.DUMMYFUNCTION("""COMPUTED_VALUE"""),72.2)</f>
        <v>72.2</v>
      </c>
      <c r="K322" s="1">
        <f ca="1">IFERROR(__xludf.DUMMYFUNCTION("""COMPUTED_VALUE"""),18)</f>
        <v>18</v>
      </c>
      <c r="L322" s="1">
        <f ca="1">IFERROR(__xludf.DUMMYFUNCTION("""COMPUTED_VALUE"""),-0.03)</f>
        <v>-0.03</v>
      </c>
      <c r="M322" s="1">
        <f ca="1">IFERROR(__xludf.DUMMYFUNCTION("""COMPUTED_VALUE"""),256)</f>
        <v>256</v>
      </c>
      <c r="N322" s="1">
        <f ca="1">IFERROR(__xludf.DUMMYFUNCTION("""COMPUTED_VALUE"""),-10.94)</f>
        <v>-10.94</v>
      </c>
      <c r="O322" s="1">
        <f ca="1">IFERROR(__xludf.DUMMYFUNCTION("""COMPUTED_VALUE"""),351)</f>
        <v>351</v>
      </c>
      <c r="P322" s="1">
        <f ca="1">IFERROR(__xludf.DUMMYFUNCTION("""COMPUTED_VALUE"""),98.7)</f>
        <v>98.7</v>
      </c>
      <c r="Q322" s="1">
        <f ca="1">IFERROR(__xludf.DUMMYFUNCTION("""COMPUTED_VALUE"""),344)</f>
        <v>344</v>
      </c>
      <c r="R322" s="1">
        <f ca="1">IFERROR(__xludf.DUMMYFUNCTION("""COMPUTED_VALUE"""),109.7)</f>
        <v>109.7</v>
      </c>
      <c r="S322" s="1">
        <f ca="1">IFERROR(__xludf.DUMMYFUNCTION("""COMPUTED_VALUE"""),352)</f>
        <v>352</v>
      </c>
      <c r="T322" s="1">
        <f ca="1">IFERROR(__xludf.DUMMYFUNCTION("""COMPUTED_VALUE"""),-2)</f>
        <v>-2</v>
      </c>
      <c r="U322" s="1">
        <f ca="1">IFERROR(__xludf.DUMMYFUNCTION("""COMPUTED_VALUE"""),219)</f>
        <v>219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IFERROR(__xludf.DUMMYFUNCTION("""COMPUTED_VALUE"""),"Eastern Illinois")</f>
        <v>Eastern Illinois</v>
      </c>
      <c r="C323" s="1" t="str">
        <f ca="1">IFERROR(__xludf.DUMMYFUNCTION("""COMPUTED_VALUE"""),"OVC")</f>
        <v>OVC</v>
      </c>
      <c r="D323" s="1" t="str">
        <f ca="1">IFERROR(__xludf.DUMMYFUNCTION("""COMPUTED_VALUE"""),"14-18")</f>
        <v>14-18</v>
      </c>
      <c r="E323" s="1">
        <f ca="1">IFERROR(__xludf.DUMMYFUNCTION("""COMPUTED_VALUE"""),-11.94)</f>
        <v>-11.94</v>
      </c>
      <c r="F323" s="1">
        <f ca="1">IFERROR(__xludf.DUMMYFUNCTION("""COMPUTED_VALUE"""),100)</f>
        <v>100</v>
      </c>
      <c r="G323" s="1">
        <f ca="1">IFERROR(__xludf.DUMMYFUNCTION("""COMPUTED_VALUE"""),258)</f>
        <v>258</v>
      </c>
      <c r="H323" s="1">
        <f ca="1">IFERROR(__xludf.DUMMYFUNCTION("""COMPUTED_VALUE"""),112)</f>
        <v>112</v>
      </c>
      <c r="I323" s="1">
        <f ca="1">IFERROR(__xludf.DUMMYFUNCTION("""COMPUTED_VALUE"""),312)</f>
        <v>312</v>
      </c>
      <c r="J323" s="1">
        <f ca="1">IFERROR(__xludf.DUMMYFUNCTION("""COMPUTED_VALUE"""),66.9)</f>
        <v>66.900000000000006</v>
      </c>
      <c r="K323" s="1">
        <f ca="1">IFERROR(__xludf.DUMMYFUNCTION("""COMPUTED_VALUE"""),214)</f>
        <v>214</v>
      </c>
      <c r="L323" s="1" t="str">
        <f ca="1">IFERROR(__xludf.DUMMYFUNCTION("""COMPUTED_VALUE"""),"+.094")</f>
        <v>+.094</v>
      </c>
      <c r="M323" s="1">
        <f ca="1">IFERROR(__xludf.DUMMYFUNCTION("""COMPUTED_VALUE"""),12)</f>
        <v>12</v>
      </c>
      <c r="N323" s="1">
        <f ca="1">IFERROR(__xludf.DUMMYFUNCTION("""COMPUTED_VALUE"""),-4.91)</f>
        <v>-4.91</v>
      </c>
      <c r="O323" s="1">
        <f ca="1">IFERROR(__xludf.DUMMYFUNCTION("""COMPUTED_VALUE"""),273)</f>
        <v>273</v>
      </c>
      <c r="P323" s="1">
        <f ca="1">IFERROR(__xludf.DUMMYFUNCTION("""COMPUTED_VALUE"""),102.7)</f>
        <v>102.7</v>
      </c>
      <c r="Q323" s="1">
        <f ca="1">IFERROR(__xludf.DUMMYFUNCTION("""COMPUTED_VALUE"""),237)</f>
        <v>237</v>
      </c>
      <c r="R323" s="1">
        <f ca="1">IFERROR(__xludf.DUMMYFUNCTION("""COMPUTED_VALUE"""),107.6)</f>
        <v>107.6</v>
      </c>
      <c r="S323" s="1">
        <f ca="1">IFERROR(__xludf.DUMMYFUNCTION("""COMPUTED_VALUE"""),293)</f>
        <v>293</v>
      </c>
      <c r="T323" s="1">
        <f ca="1">IFERROR(__xludf.DUMMYFUNCTION("""COMPUTED_VALUE"""),-4)</f>
        <v>-4</v>
      </c>
      <c r="U323" s="1">
        <f ca="1">IFERROR(__xludf.DUMMYFUNCTION("""COMPUTED_VALUE"""),274)</f>
        <v>274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IFERROR(__xludf.DUMMYFUNCTION("""COMPUTED_VALUE"""),"Southeast Missouri St.")</f>
        <v>Southeast Missouri St.</v>
      </c>
      <c r="C324" s="1" t="str">
        <f ca="1">IFERROR(__xludf.DUMMYFUNCTION("""COMPUTED_VALUE"""),"OVC")</f>
        <v>OVC</v>
      </c>
      <c r="D324" s="2">
        <f ca="1">IFERROR(__xludf.DUMMYFUNCTION("""COMPUTED_VALUE"""),44855)</f>
        <v>44855</v>
      </c>
      <c r="E324" s="1">
        <f ca="1">IFERROR(__xludf.DUMMYFUNCTION("""COMPUTED_VALUE"""),-12.22)</f>
        <v>-12.22</v>
      </c>
      <c r="F324" s="1">
        <f ca="1">IFERROR(__xludf.DUMMYFUNCTION("""COMPUTED_VALUE"""),97.8)</f>
        <v>97.8</v>
      </c>
      <c r="G324" s="1">
        <f ca="1">IFERROR(__xludf.DUMMYFUNCTION("""COMPUTED_VALUE"""),294)</f>
        <v>294</v>
      </c>
      <c r="H324" s="1">
        <f ca="1">IFERROR(__xludf.DUMMYFUNCTION("""COMPUTED_VALUE"""),110)</f>
        <v>110</v>
      </c>
      <c r="I324" s="1">
        <f ca="1">IFERROR(__xludf.DUMMYFUNCTION("""COMPUTED_VALUE"""),281)</f>
        <v>281</v>
      </c>
      <c r="J324" s="1">
        <f ca="1">IFERROR(__xludf.DUMMYFUNCTION("""COMPUTED_VALUE"""),67.6)</f>
        <v>67.599999999999994</v>
      </c>
      <c r="K324" s="1">
        <f ca="1">IFERROR(__xludf.DUMMYFUNCTION("""COMPUTED_VALUE"""),174)</f>
        <v>174</v>
      </c>
      <c r="L324" s="1">
        <f ca="1">IFERROR(__xludf.DUMMYFUNCTION("""COMPUTED_VALUE"""),-0.033)</f>
        <v>-3.3000000000000002E-2</v>
      </c>
      <c r="M324" s="1">
        <f ca="1">IFERROR(__xludf.DUMMYFUNCTION("""COMPUTED_VALUE"""),260)</f>
        <v>260</v>
      </c>
      <c r="N324" s="1">
        <f ca="1">IFERROR(__xludf.DUMMYFUNCTION("""COMPUTED_VALUE"""),-3.66)</f>
        <v>-3.66</v>
      </c>
      <c r="O324" s="1">
        <f ca="1">IFERROR(__xludf.DUMMYFUNCTION("""COMPUTED_VALUE"""),244)</f>
        <v>244</v>
      </c>
      <c r="P324" s="1">
        <f ca="1">IFERROR(__xludf.DUMMYFUNCTION("""COMPUTED_VALUE"""),103.2)</f>
        <v>103.2</v>
      </c>
      <c r="Q324" s="1">
        <f ca="1">IFERROR(__xludf.DUMMYFUNCTION("""COMPUTED_VALUE"""),213)</f>
        <v>213</v>
      </c>
      <c r="R324" s="1">
        <f ca="1">IFERROR(__xludf.DUMMYFUNCTION("""COMPUTED_VALUE"""),106.8)</f>
        <v>106.8</v>
      </c>
      <c r="S324" s="1">
        <f ca="1">IFERROR(__xludf.DUMMYFUNCTION("""COMPUTED_VALUE"""),254)</f>
        <v>254</v>
      </c>
      <c r="T324" s="1">
        <f ca="1">IFERROR(__xludf.DUMMYFUNCTION("""COMPUTED_VALUE"""),-3.01)</f>
        <v>-3.01</v>
      </c>
      <c r="U324" s="1">
        <f ca="1">IFERROR(__xludf.DUMMYFUNCTION("""COMPUTED_VALUE"""),249)</f>
        <v>249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IFERROR(__xludf.DUMMYFUNCTION("""COMPUTED_VALUE"""),"Elon")</f>
        <v>Elon</v>
      </c>
      <c r="C325" s="1" t="str">
        <f ca="1">IFERROR(__xludf.DUMMYFUNCTION("""COMPUTED_VALUE"""),"CAA")</f>
        <v>CAA</v>
      </c>
      <c r="D325" s="2">
        <f ca="1">IFERROR(__xludf.DUMMYFUNCTION("""COMPUTED_VALUE"""),44886)</f>
        <v>44886</v>
      </c>
      <c r="E325" s="1">
        <f ca="1">IFERROR(__xludf.DUMMYFUNCTION("""COMPUTED_VALUE"""),-12.41)</f>
        <v>-12.41</v>
      </c>
      <c r="F325" s="1">
        <f ca="1">IFERROR(__xludf.DUMMYFUNCTION("""COMPUTED_VALUE"""),99)</f>
        <v>99</v>
      </c>
      <c r="G325" s="1">
        <f ca="1">IFERROR(__xludf.DUMMYFUNCTION("""COMPUTED_VALUE"""),277)</f>
        <v>277</v>
      </c>
      <c r="H325" s="1">
        <f ca="1">IFERROR(__xludf.DUMMYFUNCTION("""COMPUTED_VALUE"""),111.4)</f>
        <v>111.4</v>
      </c>
      <c r="I325" s="1">
        <f ca="1">IFERROR(__xludf.DUMMYFUNCTION("""COMPUTED_VALUE"""),306)</f>
        <v>306</v>
      </c>
      <c r="J325" s="1">
        <f ca="1">IFERROR(__xludf.DUMMYFUNCTION("""COMPUTED_VALUE"""),68)</f>
        <v>68</v>
      </c>
      <c r="K325" s="1">
        <f ca="1">IFERROR(__xludf.DUMMYFUNCTION("""COMPUTED_VALUE"""),150)</f>
        <v>150</v>
      </c>
      <c r="L325" s="1">
        <f ca="1">IFERROR(__xludf.DUMMYFUNCTION("""COMPUTED_VALUE"""),-0.002)</f>
        <v>-2E-3</v>
      </c>
      <c r="M325" s="1">
        <f ca="1">IFERROR(__xludf.DUMMYFUNCTION("""COMPUTED_VALUE"""),185)</f>
        <v>185</v>
      </c>
      <c r="N325" s="1">
        <f ca="1">IFERROR(__xludf.DUMMYFUNCTION("""COMPUTED_VALUE"""),-4.37)</f>
        <v>-4.37</v>
      </c>
      <c r="O325" s="1">
        <f ca="1">IFERROR(__xludf.DUMMYFUNCTION("""COMPUTED_VALUE"""),261)</f>
        <v>261</v>
      </c>
      <c r="P325" s="1">
        <f ca="1">IFERROR(__xludf.DUMMYFUNCTION("""COMPUTED_VALUE"""),104.3)</f>
        <v>104.3</v>
      </c>
      <c r="Q325" s="1">
        <f ca="1">IFERROR(__xludf.DUMMYFUNCTION("""COMPUTED_VALUE"""),156)</f>
        <v>156</v>
      </c>
      <c r="R325" s="1">
        <f ca="1">IFERROR(__xludf.DUMMYFUNCTION("""COMPUTED_VALUE"""),108.7)</f>
        <v>108.7</v>
      </c>
      <c r="S325" s="1">
        <f ca="1">IFERROR(__xludf.DUMMYFUNCTION("""COMPUTED_VALUE"""),337)</f>
        <v>337</v>
      </c>
      <c r="T325" s="1">
        <f ca="1">IFERROR(__xludf.DUMMYFUNCTION("""COMPUTED_VALUE"""),-3.99)</f>
        <v>-3.99</v>
      </c>
      <c r="U325" s="1">
        <f ca="1">IFERROR(__xludf.DUMMYFUNCTION("""COMPUTED_VALUE"""),273)</f>
        <v>273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IFERROR(__xludf.DUMMYFUNCTION("""COMPUTED_VALUE"""),"Nicholls St.")</f>
        <v>Nicholls St.</v>
      </c>
      <c r="C326" s="1" t="str">
        <f ca="1">IFERROR(__xludf.DUMMYFUNCTION("""COMPUTED_VALUE"""),"Slnd")</f>
        <v>Slnd</v>
      </c>
      <c r="D326" s="1" t="str">
        <f ca="1">IFERROR(__xludf.DUMMYFUNCTION("""COMPUTED_VALUE"""),"14-17")</f>
        <v>14-17</v>
      </c>
      <c r="E326" s="1">
        <f ca="1">IFERROR(__xludf.DUMMYFUNCTION("""COMPUTED_VALUE"""),-12.85)</f>
        <v>-12.85</v>
      </c>
      <c r="F326" s="1">
        <f ca="1">IFERROR(__xludf.DUMMYFUNCTION("""COMPUTED_VALUE"""),98.7)</f>
        <v>98.7</v>
      </c>
      <c r="G326" s="1">
        <f ca="1">IFERROR(__xludf.DUMMYFUNCTION("""COMPUTED_VALUE"""),281)</f>
        <v>281</v>
      </c>
      <c r="H326" s="1">
        <f ca="1">IFERROR(__xludf.DUMMYFUNCTION("""COMPUTED_VALUE"""),111.6)</f>
        <v>111.6</v>
      </c>
      <c r="I326" s="1">
        <f ca="1">IFERROR(__xludf.DUMMYFUNCTION("""COMPUTED_VALUE"""),308)</f>
        <v>308</v>
      </c>
      <c r="J326" s="1">
        <f ca="1">IFERROR(__xludf.DUMMYFUNCTION("""COMPUTED_VALUE"""),68.5)</f>
        <v>68.5</v>
      </c>
      <c r="K326" s="1">
        <f ca="1">IFERROR(__xludf.DUMMYFUNCTION("""COMPUTED_VALUE"""),129)</f>
        <v>129</v>
      </c>
      <c r="L326" s="1">
        <f ca="1">IFERROR(__xludf.DUMMYFUNCTION("""COMPUTED_VALUE"""),-0.005)</f>
        <v>-5.0000000000000001E-3</v>
      </c>
      <c r="M326" s="1">
        <f ca="1">IFERROR(__xludf.DUMMYFUNCTION("""COMPUTED_VALUE"""),193)</f>
        <v>193</v>
      </c>
      <c r="N326" s="1">
        <f ca="1">IFERROR(__xludf.DUMMYFUNCTION("""COMPUTED_VALUE"""),-7.45)</f>
        <v>-7.45</v>
      </c>
      <c r="O326" s="1">
        <f ca="1">IFERROR(__xludf.DUMMYFUNCTION("""COMPUTED_VALUE"""),320)</f>
        <v>320</v>
      </c>
      <c r="P326" s="1">
        <f ca="1">IFERROR(__xludf.DUMMYFUNCTION("""COMPUTED_VALUE"""),101.2)</f>
        <v>101.2</v>
      </c>
      <c r="Q326" s="1">
        <f ca="1">IFERROR(__xludf.DUMMYFUNCTION("""COMPUTED_VALUE"""),297)</f>
        <v>297</v>
      </c>
      <c r="R326" s="1">
        <f ca="1">IFERROR(__xludf.DUMMYFUNCTION("""COMPUTED_VALUE"""),108.6)</f>
        <v>108.6</v>
      </c>
      <c r="S326" s="1">
        <f ca="1">IFERROR(__xludf.DUMMYFUNCTION("""COMPUTED_VALUE"""),332)</f>
        <v>332</v>
      </c>
      <c r="T326" s="1" t="str">
        <f ca="1">IFERROR(__xludf.DUMMYFUNCTION("""COMPUTED_VALUE"""),"+3.23")</f>
        <v>+3.23</v>
      </c>
      <c r="U326" s="1">
        <f ca="1">IFERROR(__xludf.DUMMYFUNCTION("""COMPUTED_VALUE"""),83)</f>
        <v>83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IFERROR(__xludf.DUMMYFUNCTION("""COMPUTED_VALUE"""),"Stephen F. Austin")</f>
        <v>Stephen F. Austin</v>
      </c>
      <c r="C327" s="1" t="str">
        <f ca="1">IFERROR(__xludf.DUMMYFUNCTION("""COMPUTED_VALUE"""),"Slnd")</f>
        <v>Slnd</v>
      </c>
      <c r="D327" s="1" t="str">
        <f ca="1">IFERROR(__xludf.DUMMYFUNCTION("""COMPUTED_VALUE"""),"14-16")</f>
        <v>14-16</v>
      </c>
      <c r="E327" s="1">
        <f ca="1">IFERROR(__xludf.DUMMYFUNCTION("""COMPUTED_VALUE"""),-12.94)</f>
        <v>-12.94</v>
      </c>
      <c r="F327" s="1">
        <f ca="1">IFERROR(__xludf.DUMMYFUNCTION("""COMPUTED_VALUE"""),95.5)</f>
        <v>95.5</v>
      </c>
      <c r="G327" s="1">
        <f ca="1">IFERROR(__xludf.DUMMYFUNCTION("""COMPUTED_VALUE"""),320)</f>
        <v>320</v>
      </c>
      <c r="H327" s="1">
        <f ca="1">IFERROR(__xludf.DUMMYFUNCTION("""COMPUTED_VALUE"""),108.4)</f>
        <v>108.4</v>
      </c>
      <c r="I327" s="1">
        <f ca="1">IFERROR(__xludf.DUMMYFUNCTION("""COMPUTED_VALUE"""),254)</f>
        <v>254</v>
      </c>
      <c r="J327" s="1">
        <f ca="1">IFERROR(__xludf.DUMMYFUNCTION("""COMPUTED_VALUE"""),68.8)</f>
        <v>68.8</v>
      </c>
      <c r="K327" s="1">
        <f ca="1">IFERROR(__xludf.DUMMYFUNCTION("""COMPUTED_VALUE"""),112)</f>
        <v>112</v>
      </c>
      <c r="L327" s="1" t="str">
        <f ca="1">IFERROR(__xludf.DUMMYFUNCTION("""COMPUTED_VALUE"""),"+.036")</f>
        <v>+.036</v>
      </c>
      <c r="M327" s="1">
        <f ca="1">IFERROR(__xludf.DUMMYFUNCTION("""COMPUTED_VALUE"""),91)</f>
        <v>91</v>
      </c>
      <c r="N327" s="1">
        <f ca="1">IFERROR(__xludf.DUMMYFUNCTION("""COMPUTED_VALUE"""),-6.71)</f>
        <v>-6.71</v>
      </c>
      <c r="O327" s="1">
        <f ca="1">IFERROR(__xludf.DUMMYFUNCTION("""COMPUTED_VALUE"""),301)</f>
        <v>301</v>
      </c>
      <c r="P327" s="1">
        <f ca="1">IFERROR(__xludf.DUMMYFUNCTION("""COMPUTED_VALUE"""),101.6)</f>
        <v>101.6</v>
      </c>
      <c r="Q327" s="1">
        <f ca="1">IFERROR(__xludf.DUMMYFUNCTION("""COMPUTED_VALUE"""),283)</f>
        <v>283</v>
      </c>
      <c r="R327" s="1">
        <f ca="1">IFERROR(__xludf.DUMMYFUNCTION("""COMPUTED_VALUE"""),108.3)</f>
        <v>108.3</v>
      </c>
      <c r="S327" s="1">
        <f ca="1">IFERROR(__xludf.DUMMYFUNCTION("""COMPUTED_VALUE"""),325)</f>
        <v>325</v>
      </c>
      <c r="T327" s="1" t="str">
        <f ca="1">IFERROR(__xludf.DUMMYFUNCTION("""COMPUTED_VALUE"""),"+3.55")</f>
        <v>+3.55</v>
      </c>
      <c r="U327" s="1">
        <f ca="1">IFERROR(__xludf.DUMMYFUNCTION("""COMPUTED_VALUE"""),69)</f>
        <v>69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IFERROR(__xludf.DUMMYFUNCTION("""COMPUTED_VALUE"""),"Denver")</f>
        <v>Denver</v>
      </c>
      <c r="C328" s="1" t="str">
        <f ca="1">IFERROR(__xludf.DUMMYFUNCTION("""COMPUTED_VALUE"""),"Sum")</f>
        <v>Sum</v>
      </c>
      <c r="D328" s="2">
        <f ca="1">IFERROR(__xludf.DUMMYFUNCTION("""COMPUTED_VALUE"""),44795)</f>
        <v>44795</v>
      </c>
      <c r="E328" s="1">
        <f ca="1">IFERROR(__xludf.DUMMYFUNCTION("""COMPUTED_VALUE"""),-13.05)</f>
        <v>-13.05</v>
      </c>
      <c r="F328" s="1">
        <f ca="1">IFERROR(__xludf.DUMMYFUNCTION("""COMPUTED_VALUE"""),99.9)</f>
        <v>99.9</v>
      </c>
      <c r="G328" s="1">
        <f ca="1">IFERROR(__xludf.DUMMYFUNCTION("""COMPUTED_VALUE"""),261)</f>
        <v>261</v>
      </c>
      <c r="H328" s="1">
        <f ca="1">IFERROR(__xludf.DUMMYFUNCTION("""COMPUTED_VALUE"""),113)</f>
        <v>113</v>
      </c>
      <c r="I328" s="1">
        <f ca="1">IFERROR(__xludf.DUMMYFUNCTION("""COMPUTED_VALUE"""),325)</f>
        <v>325</v>
      </c>
      <c r="J328" s="1">
        <f ca="1">IFERROR(__xludf.DUMMYFUNCTION("""COMPUTED_VALUE"""),67.1)</f>
        <v>67.099999999999994</v>
      </c>
      <c r="K328" s="1">
        <f ca="1">IFERROR(__xludf.DUMMYFUNCTION("""COMPUTED_VALUE"""),203)</f>
        <v>203</v>
      </c>
      <c r="L328" s="1">
        <f ca="1">IFERROR(__xludf.DUMMYFUNCTION("""COMPUTED_VALUE"""),-0.062)</f>
        <v>-6.2E-2</v>
      </c>
      <c r="M328" s="1">
        <f ca="1">IFERROR(__xludf.DUMMYFUNCTION("""COMPUTED_VALUE"""),314)</f>
        <v>314</v>
      </c>
      <c r="N328" s="1">
        <f ca="1">IFERROR(__xludf.DUMMYFUNCTION("""COMPUTED_VALUE"""),-3.42)</f>
        <v>-3.42</v>
      </c>
      <c r="O328" s="1">
        <f ca="1">IFERROR(__xludf.DUMMYFUNCTION("""COMPUTED_VALUE"""),235)</f>
        <v>235</v>
      </c>
      <c r="P328" s="1">
        <f ca="1">IFERROR(__xludf.DUMMYFUNCTION("""COMPUTED_VALUE"""),103.7)</f>
        <v>103.7</v>
      </c>
      <c r="Q328" s="1">
        <f ca="1">IFERROR(__xludf.DUMMYFUNCTION("""COMPUTED_VALUE"""),181)</f>
        <v>181</v>
      </c>
      <c r="R328" s="1">
        <f ca="1">IFERROR(__xludf.DUMMYFUNCTION("""COMPUTED_VALUE"""),107.1)</f>
        <v>107.1</v>
      </c>
      <c r="S328" s="1">
        <f ca="1">IFERROR(__xludf.DUMMYFUNCTION("""COMPUTED_VALUE"""),268)</f>
        <v>268</v>
      </c>
      <c r="T328" s="1">
        <f ca="1">IFERROR(__xludf.DUMMYFUNCTION("""COMPUTED_VALUE"""),-1.11)</f>
        <v>-1.1100000000000001</v>
      </c>
      <c r="U328" s="1">
        <f ca="1">IFERROR(__xludf.DUMMYFUNCTION("""COMPUTED_VALUE"""),190)</f>
        <v>190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IFERROR(__xludf.DUMMYFUNCTION("""COMPUTED_VALUE"""),"Arkansas Pine Bluff")</f>
        <v>Arkansas Pine Bluff</v>
      </c>
      <c r="C329" s="1" t="str">
        <f ca="1">IFERROR(__xludf.DUMMYFUNCTION("""COMPUTED_VALUE"""),"SWAC")</f>
        <v>SWAC</v>
      </c>
      <c r="D329" s="1" t="str">
        <f ca="1">IFERROR(__xludf.DUMMYFUNCTION("""COMPUTED_VALUE"""),"13-19")</f>
        <v>13-19</v>
      </c>
      <c r="E329" s="1">
        <f ca="1">IFERROR(__xludf.DUMMYFUNCTION("""COMPUTED_VALUE"""),-13.14)</f>
        <v>-13.14</v>
      </c>
      <c r="F329" s="1">
        <f ca="1">IFERROR(__xludf.DUMMYFUNCTION("""COMPUTED_VALUE"""),96.6)</f>
        <v>96.6</v>
      </c>
      <c r="G329" s="1">
        <f ca="1">IFERROR(__xludf.DUMMYFUNCTION("""COMPUTED_VALUE"""),308)</f>
        <v>308</v>
      </c>
      <c r="H329" s="1">
        <f ca="1">IFERROR(__xludf.DUMMYFUNCTION("""COMPUTED_VALUE"""),109.7)</f>
        <v>109.7</v>
      </c>
      <c r="I329" s="1">
        <f ca="1">IFERROR(__xludf.DUMMYFUNCTION("""COMPUTED_VALUE"""),273)</f>
        <v>273</v>
      </c>
      <c r="J329" s="1">
        <f ca="1">IFERROR(__xludf.DUMMYFUNCTION("""COMPUTED_VALUE"""),65.3)</f>
        <v>65.3</v>
      </c>
      <c r="K329" s="1">
        <f ca="1">IFERROR(__xludf.DUMMYFUNCTION("""COMPUTED_VALUE"""),296)</f>
        <v>296</v>
      </c>
      <c r="L329" s="1" t="str">
        <f ca="1">IFERROR(__xludf.DUMMYFUNCTION("""COMPUTED_VALUE"""),"+.023")</f>
        <v>+.023</v>
      </c>
      <c r="M329" s="1">
        <f ca="1">IFERROR(__xludf.DUMMYFUNCTION("""COMPUTED_VALUE"""),122)</f>
        <v>122</v>
      </c>
      <c r="N329" s="1">
        <f ca="1">IFERROR(__xludf.DUMMYFUNCTION("""COMPUTED_VALUE"""),-6.92)</f>
        <v>-6.92</v>
      </c>
      <c r="O329" s="1">
        <f ca="1">IFERROR(__xludf.DUMMYFUNCTION("""COMPUTED_VALUE"""),304)</f>
        <v>304</v>
      </c>
      <c r="P329" s="1">
        <f ca="1">IFERROR(__xludf.DUMMYFUNCTION("""COMPUTED_VALUE"""),99.2)</f>
        <v>99.2</v>
      </c>
      <c r="Q329" s="1">
        <f ca="1">IFERROR(__xludf.DUMMYFUNCTION("""COMPUTED_VALUE"""),339)</f>
        <v>339</v>
      </c>
      <c r="R329" s="1">
        <f ca="1">IFERROR(__xludf.DUMMYFUNCTION("""COMPUTED_VALUE"""),106.1)</f>
        <v>106.1</v>
      </c>
      <c r="S329" s="1">
        <f ca="1">IFERROR(__xludf.DUMMYFUNCTION("""COMPUTED_VALUE"""),217)</f>
        <v>217</v>
      </c>
      <c r="T329" s="1" t="str">
        <f ca="1">IFERROR(__xludf.DUMMYFUNCTION("""COMPUTED_VALUE"""),"+5.90")</f>
        <v>+5.90</v>
      </c>
      <c r="U329" s="1">
        <f ca="1">IFERROR(__xludf.DUMMYFUNCTION("""COMPUTED_VALUE"""),27)</f>
        <v>27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IFERROR(__xludf.DUMMYFUNCTION("""COMPUTED_VALUE"""),"Wagner")</f>
        <v>Wagner</v>
      </c>
      <c r="C330" s="1" t="str">
        <f ca="1">IFERROR(__xludf.DUMMYFUNCTION("""COMPUTED_VALUE"""),"NEC")</f>
        <v>NEC</v>
      </c>
      <c r="D330" s="1" t="str">
        <f ca="1">IFERROR(__xludf.DUMMYFUNCTION("""COMPUTED_VALUE"""),"13-17")</f>
        <v>13-17</v>
      </c>
      <c r="E330" s="1">
        <f ca="1">IFERROR(__xludf.DUMMYFUNCTION("""COMPUTED_VALUE"""),-13.51)</f>
        <v>-13.51</v>
      </c>
      <c r="F330" s="1">
        <f ca="1">IFERROR(__xludf.DUMMYFUNCTION("""COMPUTED_VALUE"""),93.9)</f>
        <v>93.9</v>
      </c>
      <c r="G330" s="1">
        <f ca="1">IFERROR(__xludf.DUMMYFUNCTION("""COMPUTED_VALUE"""),331)</f>
        <v>331</v>
      </c>
      <c r="H330" s="1">
        <f ca="1">IFERROR(__xludf.DUMMYFUNCTION("""COMPUTED_VALUE"""),107.5)</f>
        <v>107.5</v>
      </c>
      <c r="I330" s="1">
        <f ca="1">IFERROR(__xludf.DUMMYFUNCTION("""COMPUTED_VALUE"""),234)</f>
        <v>234</v>
      </c>
      <c r="J330" s="1">
        <f ca="1">IFERROR(__xludf.DUMMYFUNCTION("""COMPUTED_VALUE"""),63.8)</f>
        <v>63.8</v>
      </c>
      <c r="K330" s="1">
        <f ca="1">IFERROR(__xludf.DUMMYFUNCTION("""COMPUTED_VALUE"""),332)</f>
        <v>332</v>
      </c>
      <c r="L330" s="1" t="str">
        <f ca="1">IFERROR(__xludf.DUMMYFUNCTION("""COMPUTED_VALUE"""),"+.043")</f>
        <v>+.043</v>
      </c>
      <c r="M330" s="1">
        <f ca="1">IFERROR(__xludf.DUMMYFUNCTION("""COMPUTED_VALUE"""),78)</f>
        <v>78</v>
      </c>
      <c r="N330" s="1">
        <f ca="1">IFERROR(__xludf.DUMMYFUNCTION("""COMPUTED_VALUE"""),-7.24)</f>
        <v>-7.24</v>
      </c>
      <c r="O330" s="1">
        <f ca="1">IFERROR(__xludf.DUMMYFUNCTION("""COMPUTED_VALUE"""),315)</f>
        <v>315</v>
      </c>
      <c r="P330" s="1">
        <f ca="1">IFERROR(__xludf.DUMMYFUNCTION("""COMPUTED_VALUE"""),101.4)</f>
        <v>101.4</v>
      </c>
      <c r="Q330" s="1">
        <f ca="1">IFERROR(__xludf.DUMMYFUNCTION("""COMPUTED_VALUE"""),285)</f>
        <v>285</v>
      </c>
      <c r="R330" s="1">
        <f ca="1">IFERROR(__xludf.DUMMYFUNCTION("""COMPUTED_VALUE"""),108.7)</f>
        <v>108.7</v>
      </c>
      <c r="S330" s="1">
        <f ca="1">IFERROR(__xludf.DUMMYFUNCTION("""COMPUTED_VALUE"""),334)</f>
        <v>334</v>
      </c>
      <c r="T330" s="1">
        <f ca="1">IFERROR(__xludf.DUMMYFUNCTION("""COMPUTED_VALUE"""),-0.63)</f>
        <v>-0.63</v>
      </c>
      <c r="U330" s="1">
        <f ca="1">IFERROR(__xludf.DUMMYFUNCTION("""COMPUTED_VALUE"""),179)</f>
        <v>179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IFERROR(__xludf.DUMMYFUNCTION("""COMPUTED_VALUE"""),"Niagara")</f>
        <v>Niagara</v>
      </c>
      <c r="C331" s="1" t="str">
        <f ca="1">IFERROR(__xludf.DUMMYFUNCTION("""COMPUTED_VALUE"""),"MAAC")</f>
        <v>MAAC</v>
      </c>
      <c r="D331" s="1" t="str">
        <f ca="1">IFERROR(__xludf.DUMMYFUNCTION("""COMPUTED_VALUE"""),"13-19")</f>
        <v>13-19</v>
      </c>
      <c r="E331" s="1">
        <f ca="1">IFERROR(__xludf.DUMMYFUNCTION("""COMPUTED_VALUE"""),-13.52)</f>
        <v>-13.52</v>
      </c>
      <c r="F331" s="1">
        <f ca="1">IFERROR(__xludf.DUMMYFUNCTION("""COMPUTED_VALUE"""),101.8)</f>
        <v>101.8</v>
      </c>
      <c r="G331" s="1">
        <f ca="1">IFERROR(__xludf.DUMMYFUNCTION("""COMPUTED_VALUE"""),225)</f>
        <v>225</v>
      </c>
      <c r="H331" s="1">
        <f ca="1">IFERROR(__xludf.DUMMYFUNCTION("""COMPUTED_VALUE"""),115.3)</f>
        <v>115.3</v>
      </c>
      <c r="I331" s="1">
        <f ca="1">IFERROR(__xludf.DUMMYFUNCTION("""COMPUTED_VALUE"""),345)</f>
        <v>345</v>
      </c>
      <c r="J331" s="1">
        <f ca="1">IFERROR(__xludf.DUMMYFUNCTION("""COMPUTED_VALUE"""),69.7)</f>
        <v>69.7</v>
      </c>
      <c r="K331" s="1">
        <f ca="1">IFERROR(__xludf.DUMMYFUNCTION("""COMPUTED_VALUE"""),81)</f>
        <v>81</v>
      </c>
      <c r="L331" s="1" t="str">
        <f ca="1">IFERROR(__xludf.DUMMYFUNCTION("""COMPUTED_VALUE"""),"+.031")</f>
        <v>+.031</v>
      </c>
      <c r="M331" s="1">
        <f ca="1">IFERROR(__xludf.DUMMYFUNCTION("""COMPUTED_VALUE"""),100)</f>
        <v>100</v>
      </c>
      <c r="N331" s="1">
        <f ca="1">IFERROR(__xludf.DUMMYFUNCTION("""COMPUTED_VALUE"""),-9.03)</f>
        <v>-9.0299999999999994</v>
      </c>
      <c r="O331" s="1">
        <f ca="1">IFERROR(__xludf.DUMMYFUNCTION("""COMPUTED_VALUE"""),343)</f>
        <v>343</v>
      </c>
      <c r="P331" s="1">
        <f ca="1">IFERROR(__xludf.DUMMYFUNCTION("""COMPUTED_VALUE"""),98.5)</f>
        <v>98.5</v>
      </c>
      <c r="Q331" s="1">
        <f ca="1">IFERROR(__xludf.DUMMYFUNCTION("""COMPUTED_VALUE"""),345)</f>
        <v>345</v>
      </c>
      <c r="R331" s="1">
        <f ca="1">IFERROR(__xludf.DUMMYFUNCTION("""COMPUTED_VALUE"""),107.5)</f>
        <v>107.5</v>
      </c>
      <c r="S331" s="1">
        <f ca="1">IFERROR(__xludf.DUMMYFUNCTION("""COMPUTED_VALUE"""),281)</f>
        <v>281</v>
      </c>
      <c r="T331" s="1">
        <f ca="1">IFERROR(__xludf.DUMMYFUNCTION("""COMPUTED_VALUE"""),-7.85)</f>
        <v>-7.85</v>
      </c>
      <c r="U331" s="1">
        <f ca="1">IFERROR(__xludf.DUMMYFUNCTION("""COMPUTED_VALUE"""),339)</f>
        <v>339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IFERROR(__xludf.DUMMYFUNCTION("""COMPUTED_VALUE"""),"Saint Peter's")</f>
        <v>Saint Peter's</v>
      </c>
      <c r="C332" s="1" t="str">
        <f ca="1">IFERROR(__xludf.DUMMYFUNCTION("""COMPUTED_VALUE"""),"MAAC")</f>
        <v>MAAC</v>
      </c>
      <c r="D332" s="2">
        <f ca="1">IFERROR(__xludf.DUMMYFUNCTION("""COMPUTED_VALUE"""),44856)</f>
        <v>44856</v>
      </c>
      <c r="E332" s="1">
        <f ca="1">IFERROR(__xludf.DUMMYFUNCTION("""COMPUTED_VALUE"""),-13.63)</f>
        <v>-13.63</v>
      </c>
      <c r="F332" s="1">
        <f ca="1">IFERROR(__xludf.DUMMYFUNCTION("""COMPUTED_VALUE"""),94.7)</f>
        <v>94.7</v>
      </c>
      <c r="G332" s="1">
        <f ca="1">IFERROR(__xludf.DUMMYFUNCTION("""COMPUTED_VALUE"""),327)</f>
        <v>327</v>
      </c>
      <c r="H332" s="1">
        <f ca="1">IFERROR(__xludf.DUMMYFUNCTION("""COMPUTED_VALUE"""),108.3)</f>
        <v>108.3</v>
      </c>
      <c r="I332" s="1">
        <f ca="1">IFERROR(__xludf.DUMMYFUNCTION("""COMPUTED_VALUE"""),252)</f>
        <v>252</v>
      </c>
      <c r="J332" s="1">
        <f ca="1">IFERROR(__xludf.DUMMYFUNCTION("""COMPUTED_VALUE"""),63.2)</f>
        <v>63.2</v>
      </c>
      <c r="K332" s="1">
        <f ca="1">IFERROR(__xludf.DUMMYFUNCTION("""COMPUTED_VALUE"""),342)</f>
        <v>342</v>
      </c>
      <c r="L332" s="1">
        <f ca="1">IFERROR(__xludf.DUMMYFUNCTION("""COMPUTED_VALUE"""),-0.013)</f>
        <v>-1.2999999999999999E-2</v>
      </c>
      <c r="M332" s="1">
        <f ca="1">IFERROR(__xludf.DUMMYFUNCTION("""COMPUTED_VALUE"""),223)</f>
        <v>223</v>
      </c>
      <c r="N332" s="1">
        <f ca="1">IFERROR(__xludf.DUMMYFUNCTION("""COMPUTED_VALUE"""),-7.49)</f>
        <v>-7.49</v>
      </c>
      <c r="O332" s="1">
        <f ca="1">IFERROR(__xludf.DUMMYFUNCTION("""COMPUTED_VALUE"""),322)</f>
        <v>322</v>
      </c>
      <c r="P332" s="1">
        <f ca="1">IFERROR(__xludf.DUMMYFUNCTION("""COMPUTED_VALUE"""),100.8)</f>
        <v>100.8</v>
      </c>
      <c r="Q332" s="1">
        <f ca="1">IFERROR(__xludf.DUMMYFUNCTION("""COMPUTED_VALUE"""),308)</f>
        <v>308</v>
      </c>
      <c r="R332" s="1">
        <f ca="1">IFERROR(__xludf.DUMMYFUNCTION("""COMPUTED_VALUE"""),108.3)</f>
        <v>108.3</v>
      </c>
      <c r="S332" s="1">
        <f ca="1">IFERROR(__xludf.DUMMYFUNCTION("""COMPUTED_VALUE"""),323)</f>
        <v>323</v>
      </c>
      <c r="T332" s="1">
        <f ca="1">IFERROR(__xludf.DUMMYFUNCTION("""COMPUTED_VALUE"""),-2.54)</f>
        <v>-2.54</v>
      </c>
      <c r="U332" s="1">
        <f ca="1">IFERROR(__xludf.DUMMYFUNCTION("""COMPUTED_VALUE"""),234)</f>
        <v>234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IFERROR(__xludf.DUMMYFUNCTION("""COMPUTED_VALUE"""),"Wyoming")</f>
        <v>Wyoming</v>
      </c>
      <c r="C333" s="1" t="str">
        <f ca="1">IFERROR(__xludf.DUMMYFUNCTION("""COMPUTED_VALUE"""),"MWC")</f>
        <v>MWC</v>
      </c>
      <c r="D333" s="2">
        <f ca="1">IFERROR(__xludf.DUMMYFUNCTION("""COMPUTED_VALUE"""),44797)</f>
        <v>44797</v>
      </c>
      <c r="E333" s="1">
        <f ca="1">IFERROR(__xludf.DUMMYFUNCTION("""COMPUTED_VALUE"""),-13.86)</f>
        <v>-13.86</v>
      </c>
      <c r="F333" s="1">
        <f ca="1">IFERROR(__xludf.DUMMYFUNCTION("""COMPUTED_VALUE"""),95.1)</f>
        <v>95.1</v>
      </c>
      <c r="G333" s="1">
        <f ca="1">IFERROR(__xludf.DUMMYFUNCTION("""COMPUTED_VALUE"""),325)</f>
        <v>325</v>
      </c>
      <c r="H333" s="1">
        <f ca="1">IFERROR(__xludf.DUMMYFUNCTION("""COMPUTED_VALUE"""),108.9)</f>
        <v>108.9</v>
      </c>
      <c r="I333" s="1">
        <f ca="1">IFERROR(__xludf.DUMMYFUNCTION("""COMPUTED_VALUE"""),259)</f>
        <v>259</v>
      </c>
      <c r="J333" s="1">
        <f ca="1">IFERROR(__xludf.DUMMYFUNCTION("""COMPUTED_VALUE"""),68.4)</f>
        <v>68.400000000000006</v>
      </c>
      <c r="K333" s="1">
        <f ca="1">IFERROR(__xludf.DUMMYFUNCTION("""COMPUTED_VALUE"""),133)</f>
        <v>133</v>
      </c>
      <c r="L333" s="1" t="str">
        <f ca="1">IFERROR(__xludf.DUMMYFUNCTION("""COMPUTED_VALUE"""),"+.003")</f>
        <v>+.003</v>
      </c>
      <c r="M333" s="1">
        <f ca="1">IFERROR(__xludf.DUMMYFUNCTION("""COMPUTED_VALUE"""),173)</f>
        <v>173</v>
      </c>
      <c r="N333" s="1">
        <f ca="1">IFERROR(__xludf.DUMMYFUNCTION("""COMPUTED_VALUE"""),-1.5)</f>
        <v>-1.5</v>
      </c>
      <c r="O333" s="1">
        <f ca="1">IFERROR(__xludf.DUMMYFUNCTION("""COMPUTED_VALUE"""),178)</f>
        <v>178</v>
      </c>
      <c r="P333" s="1">
        <f ca="1">IFERROR(__xludf.DUMMYFUNCTION("""COMPUTED_VALUE"""),104)</f>
        <v>104</v>
      </c>
      <c r="Q333" s="1">
        <f ca="1">IFERROR(__xludf.DUMMYFUNCTION("""COMPUTED_VALUE"""),168)</f>
        <v>168</v>
      </c>
      <c r="R333" s="1">
        <f ca="1">IFERROR(__xludf.DUMMYFUNCTION("""COMPUTED_VALUE"""),105.5)</f>
        <v>105.5</v>
      </c>
      <c r="S333" s="1">
        <f ca="1">IFERROR(__xludf.DUMMYFUNCTION("""COMPUTED_VALUE"""),194)</f>
        <v>194</v>
      </c>
      <c r="T333" s="1">
        <f ca="1">IFERROR(__xludf.DUMMYFUNCTION("""COMPUTED_VALUE"""),-4.27)</f>
        <v>-4.2699999999999996</v>
      </c>
      <c r="U333" s="1">
        <f ca="1">IFERROR(__xludf.DUMMYFUNCTION("""COMPUTED_VALUE"""),286)</f>
        <v>286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IFERROR(__xludf.DUMMYFUNCTION("""COMPUTED_VALUE"""),"Florida A&amp;M")</f>
        <v>Florida A&amp;M</v>
      </c>
      <c r="C334" s="1" t="str">
        <f ca="1">IFERROR(__xludf.DUMMYFUNCTION("""COMPUTED_VALUE"""),"MEAC")</f>
        <v>MEAC</v>
      </c>
      <c r="D334" s="2">
        <f ca="1">IFERROR(__xludf.DUMMYFUNCTION("""COMPUTED_VALUE"""),44914)</f>
        <v>44914</v>
      </c>
      <c r="E334" s="1">
        <f ca="1">IFERROR(__xludf.DUMMYFUNCTION("""COMPUTED_VALUE"""),-13.89)</f>
        <v>-13.89</v>
      </c>
      <c r="F334" s="1">
        <f ca="1">IFERROR(__xludf.DUMMYFUNCTION("""COMPUTED_VALUE"""),89.4)</f>
        <v>89.4</v>
      </c>
      <c r="G334" s="1">
        <f ca="1">IFERROR(__xludf.DUMMYFUNCTION("""COMPUTED_VALUE"""),347)</f>
        <v>347</v>
      </c>
      <c r="H334" s="1">
        <f ca="1">IFERROR(__xludf.DUMMYFUNCTION("""COMPUTED_VALUE"""),103.3)</f>
        <v>103.3</v>
      </c>
      <c r="I334" s="1">
        <f ca="1">IFERROR(__xludf.DUMMYFUNCTION("""COMPUTED_VALUE"""),148)</f>
        <v>148</v>
      </c>
      <c r="J334" s="1">
        <f ca="1">IFERROR(__xludf.DUMMYFUNCTION("""COMPUTED_VALUE"""),64.9)</f>
        <v>64.900000000000006</v>
      </c>
      <c r="K334" s="1">
        <f ca="1">IFERROR(__xludf.DUMMYFUNCTION("""COMPUTED_VALUE"""),314)</f>
        <v>314</v>
      </c>
      <c r="L334" s="1">
        <f ca="1">IFERROR(__xludf.DUMMYFUNCTION("""COMPUTED_VALUE"""),-0.007)</f>
        <v>-7.0000000000000001E-3</v>
      </c>
      <c r="M334" s="1">
        <f ca="1">IFERROR(__xludf.DUMMYFUNCTION("""COMPUTED_VALUE"""),201)</f>
        <v>201</v>
      </c>
      <c r="N334" s="1">
        <f ca="1">IFERROR(__xludf.DUMMYFUNCTION("""COMPUTED_VALUE"""),-7.17)</f>
        <v>-7.17</v>
      </c>
      <c r="O334" s="1">
        <f ca="1">IFERROR(__xludf.DUMMYFUNCTION("""COMPUTED_VALUE"""),312)</f>
        <v>312</v>
      </c>
      <c r="P334" s="1">
        <f ca="1">IFERROR(__xludf.DUMMYFUNCTION("""COMPUTED_VALUE"""),100)</f>
        <v>100</v>
      </c>
      <c r="Q334" s="1">
        <f ca="1">IFERROR(__xludf.DUMMYFUNCTION("""COMPUTED_VALUE"""),327)</f>
        <v>327</v>
      </c>
      <c r="R334" s="1">
        <f ca="1">IFERROR(__xludf.DUMMYFUNCTION("""COMPUTED_VALUE"""),107.1)</f>
        <v>107.1</v>
      </c>
      <c r="S334" s="1">
        <f ca="1">IFERROR(__xludf.DUMMYFUNCTION("""COMPUTED_VALUE"""),270)</f>
        <v>270</v>
      </c>
      <c r="T334" s="1" t="str">
        <f ca="1">IFERROR(__xludf.DUMMYFUNCTION("""COMPUTED_VALUE"""),"+4.97")</f>
        <v>+4.97</v>
      </c>
      <c r="U334" s="1">
        <f ca="1">IFERROR(__xludf.DUMMYFUNCTION("""COMPUTED_VALUE"""),43)</f>
        <v>43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IFERROR(__xludf.DUMMYFUNCTION("""COMPUTED_VALUE"""),"Jackson St.")</f>
        <v>Jackson St.</v>
      </c>
      <c r="C335" s="1" t="str">
        <f ca="1">IFERROR(__xludf.DUMMYFUNCTION("""COMPUTED_VALUE"""),"SWAC")</f>
        <v>SWAC</v>
      </c>
      <c r="D335" s="1" t="str">
        <f ca="1">IFERROR(__xludf.DUMMYFUNCTION("""COMPUTED_VALUE"""),"13-19")</f>
        <v>13-19</v>
      </c>
      <c r="E335" s="1">
        <f ca="1">IFERROR(__xludf.DUMMYFUNCTION("""COMPUTED_VALUE"""),-14.4)</f>
        <v>-14.4</v>
      </c>
      <c r="F335" s="1">
        <f ca="1">IFERROR(__xludf.DUMMYFUNCTION("""COMPUTED_VALUE"""),90.2)</f>
        <v>90.2</v>
      </c>
      <c r="G335" s="1">
        <f ca="1">IFERROR(__xludf.DUMMYFUNCTION("""COMPUTED_VALUE"""),341)</f>
        <v>341</v>
      </c>
      <c r="H335" s="1">
        <f ca="1">IFERROR(__xludf.DUMMYFUNCTION("""COMPUTED_VALUE"""),104.6)</f>
        <v>104.6</v>
      </c>
      <c r="I335" s="1">
        <f ca="1">IFERROR(__xludf.DUMMYFUNCTION("""COMPUTED_VALUE"""),167)</f>
        <v>167</v>
      </c>
      <c r="J335" s="1">
        <f ca="1">IFERROR(__xludf.DUMMYFUNCTION("""COMPUTED_VALUE"""),65.1)</f>
        <v>65.099999999999994</v>
      </c>
      <c r="K335" s="1">
        <f ca="1">IFERROR(__xludf.DUMMYFUNCTION("""COMPUTED_VALUE"""),307)</f>
        <v>307</v>
      </c>
      <c r="L335" s="1" t="str">
        <f ca="1">IFERROR(__xludf.DUMMYFUNCTION("""COMPUTED_VALUE"""),"+.007")</f>
        <v>+.007</v>
      </c>
      <c r="M335" s="1">
        <f ca="1">IFERROR(__xludf.DUMMYFUNCTION("""COMPUTED_VALUE"""),165)</f>
        <v>165</v>
      </c>
      <c r="N335" s="1">
        <f ca="1">IFERROR(__xludf.DUMMYFUNCTION("""COMPUTED_VALUE"""),-8.62)</f>
        <v>-8.6199999999999992</v>
      </c>
      <c r="O335" s="1">
        <f ca="1">IFERROR(__xludf.DUMMYFUNCTION("""COMPUTED_VALUE"""),340)</f>
        <v>340</v>
      </c>
      <c r="P335" s="1">
        <f ca="1">IFERROR(__xludf.DUMMYFUNCTION("""COMPUTED_VALUE"""),99.1)</f>
        <v>99.1</v>
      </c>
      <c r="Q335" s="1">
        <f ca="1">IFERROR(__xludf.DUMMYFUNCTION("""COMPUTED_VALUE"""),340)</f>
        <v>340</v>
      </c>
      <c r="R335" s="1">
        <f ca="1">IFERROR(__xludf.DUMMYFUNCTION("""COMPUTED_VALUE"""),107.7)</f>
        <v>107.7</v>
      </c>
      <c r="S335" s="1">
        <f ca="1">IFERROR(__xludf.DUMMYFUNCTION("""COMPUTED_VALUE"""),299)</f>
        <v>299</v>
      </c>
      <c r="T335" s="1" t="str">
        <f ca="1">IFERROR(__xludf.DUMMYFUNCTION("""COMPUTED_VALUE"""),"+4.97")</f>
        <v>+4.97</v>
      </c>
      <c r="U335" s="1">
        <f ca="1">IFERROR(__xludf.DUMMYFUNCTION("""COMPUTED_VALUE"""),42)</f>
        <v>42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IFERROR(__xludf.DUMMYFUNCTION("""COMPUTED_VALUE"""),"Tennessee Tech")</f>
        <v>Tennessee Tech</v>
      </c>
      <c r="C336" s="1" t="str">
        <f ca="1">IFERROR(__xludf.DUMMYFUNCTION("""COMPUTED_VALUE"""),"OVC")</f>
        <v>OVC</v>
      </c>
      <c r="D336" s="2">
        <f ca="1">IFERROR(__xludf.DUMMYFUNCTION("""COMPUTED_VALUE"""),44796)</f>
        <v>44796</v>
      </c>
      <c r="E336" s="1">
        <f ca="1">IFERROR(__xludf.DUMMYFUNCTION("""COMPUTED_VALUE"""),-14.87)</f>
        <v>-14.87</v>
      </c>
      <c r="F336" s="1">
        <f ca="1">IFERROR(__xludf.DUMMYFUNCTION("""COMPUTED_VALUE"""),89.9)</f>
        <v>89.9</v>
      </c>
      <c r="G336" s="1">
        <f ca="1">IFERROR(__xludf.DUMMYFUNCTION("""COMPUTED_VALUE"""),345)</f>
        <v>345</v>
      </c>
      <c r="H336" s="1">
        <f ca="1">IFERROR(__xludf.DUMMYFUNCTION("""COMPUTED_VALUE"""),104.7)</f>
        <v>104.7</v>
      </c>
      <c r="I336" s="1">
        <f ca="1">IFERROR(__xludf.DUMMYFUNCTION("""COMPUTED_VALUE"""),171)</f>
        <v>171</v>
      </c>
      <c r="J336" s="1">
        <f ca="1">IFERROR(__xludf.DUMMYFUNCTION("""COMPUTED_VALUE"""),68.3)</f>
        <v>68.3</v>
      </c>
      <c r="K336" s="1">
        <f ca="1">IFERROR(__xludf.DUMMYFUNCTION("""COMPUTED_VALUE"""),139)</f>
        <v>139</v>
      </c>
      <c r="L336" s="1">
        <f ca="1">IFERROR(__xludf.DUMMYFUNCTION("""COMPUTED_VALUE"""),-0.042)</f>
        <v>-4.2000000000000003E-2</v>
      </c>
      <c r="M336" s="1">
        <f ca="1">IFERROR(__xludf.DUMMYFUNCTION("""COMPUTED_VALUE"""),278)</f>
        <v>278</v>
      </c>
      <c r="N336" s="1">
        <f ca="1">IFERROR(__xludf.DUMMYFUNCTION("""COMPUTED_VALUE"""),-3.15)</f>
        <v>-3.15</v>
      </c>
      <c r="O336" s="1">
        <f ca="1">IFERROR(__xludf.DUMMYFUNCTION("""COMPUTED_VALUE"""),227)</f>
        <v>227</v>
      </c>
      <c r="P336" s="1">
        <f ca="1">IFERROR(__xludf.DUMMYFUNCTION("""COMPUTED_VALUE"""),104.4)</f>
        <v>104.4</v>
      </c>
      <c r="Q336" s="1">
        <f ca="1">IFERROR(__xludf.DUMMYFUNCTION("""COMPUTED_VALUE"""),151)</f>
        <v>151</v>
      </c>
      <c r="R336" s="1">
        <f ca="1">IFERROR(__xludf.DUMMYFUNCTION("""COMPUTED_VALUE"""),107.5)</f>
        <v>107.5</v>
      </c>
      <c r="S336" s="1">
        <f ca="1">IFERROR(__xludf.DUMMYFUNCTION("""COMPUTED_VALUE"""),285)</f>
        <v>285</v>
      </c>
      <c r="T336" s="1" t="str">
        <f ca="1">IFERROR(__xludf.DUMMYFUNCTION("""COMPUTED_VALUE"""),"+1.15")</f>
        <v>+1.15</v>
      </c>
      <c r="U336" s="1">
        <f ca="1">IFERROR(__xludf.DUMMYFUNCTION("""COMPUTED_VALUE"""),122)</f>
        <v>122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IFERROR(__xludf.DUMMYFUNCTION("""COMPUTED_VALUE"""),"Central Connecticut")</f>
        <v>Central Connecticut</v>
      </c>
      <c r="C339" s="1" t="str">
        <f ca="1">IFERROR(__xludf.DUMMYFUNCTION("""COMPUTED_VALUE"""),"NEC")</f>
        <v>NEC</v>
      </c>
      <c r="D339" s="2">
        <f ca="1">IFERROR(__xludf.DUMMYFUNCTION("""COMPUTED_VALUE"""),44885)</f>
        <v>44885</v>
      </c>
      <c r="E339" s="1">
        <f ca="1">IFERROR(__xludf.DUMMYFUNCTION("""COMPUTED_VALUE"""),-14.89)</f>
        <v>-14.89</v>
      </c>
      <c r="F339" s="1">
        <f ca="1">IFERROR(__xludf.DUMMYFUNCTION("""COMPUTED_VALUE"""),97.2)</f>
        <v>97.2</v>
      </c>
      <c r="G339" s="1">
        <f ca="1">IFERROR(__xludf.DUMMYFUNCTION("""COMPUTED_VALUE"""),301)</f>
        <v>301</v>
      </c>
      <c r="H339" s="1">
        <f ca="1">IFERROR(__xludf.DUMMYFUNCTION("""COMPUTED_VALUE"""),112.1)</f>
        <v>112.1</v>
      </c>
      <c r="I339" s="1">
        <f ca="1">IFERROR(__xludf.DUMMYFUNCTION("""COMPUTED_VALUE"""),313)</f>
        <v>313</v>
      </c>
      <c r="J339" s="1">
        <f ca="1">IFERROR(__xludf.DUMMYFUNCTION("""COMPUTED_VALUE"""),69.1)</f>
        <v>69.099999999999994</v>
      </c>
      <c r="K339" s="1">
        <f ca="1">IFERROR(__xludf.DUMMYFUNCTION("""COMPUTED_VALUE"""),101)</f>
        <v>101</v>
      </c>
      <c r="L339" s="1" t="str">
        <f ca="1">IFERROR(__xludf.DUMMYFUNCTION("""COMPUTED_VALUE"""),"+.006")</f>
        <v>+.006</v>
      </c>
      <c r="M339" s="1">
        <f ca="1">IFERROR(__xludf.DUMMYFUNCTION("""COMPUTED_VALUE"""),166)</f>
        <v>166</v>
      </c>
      <c r="N339" s="1">
        <f ca="1">IFERROR(__xludf.DUMMYFUNCTION("""COMPUTED_VALUE"""),-6.28)</f>
        <v>-6.28</v>
      </c>
      <c r="O339" s="1">
        <f ca="1">IFERROR(__xludf.DUMMYFUNCTION("""COMPUTED_VALUE"""),293)</f>
        <v>293</v>
      </c>
      <c r="P339" s="1">
        <f ca="1">IFERROR(__xludf.DUMMYFUNCTION("""COMPUTED_VALUE"""),101.4)</f>
        <v>101.4</v>
      </c>
      <c r="Q339" s="1">
        <f ca="1">IFERROR(__xludf.DUMMYFUNCTION("""COMPUTED_VALUE"""),287)</f>
        <v>287</v>
      </c>
      <c r="R339" s="1">
        <f ca="1">IFERROR(__xludf.DUMMYFUNCTION("""COMPUTED_VALUE"""),107.7)</f>
        <v>107.7</v>
      </c>
      <c r="S339" s="1">
        <f ca="1">IFERROR(__xludf.DUMMYFUNCTION("""COMPUTED_VALUE"""),295)</f>
        <v>295</v>
      </c>
      <c r="T339" s="1" t="str">
        <f ca="1">IFERROR(__xludf.DUMMYFUNCTION("""COMPUTED_VALUE"""),"+2.69")</f>
        <v>+2.69</v>
      </c>
      <c r="U339" s="1">
        <f ca="1">IFERROR(__xludf.DUMMYFUNCTION("""COMPUTED_VALUE"""),94)</f>
        <v>94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IFERROR(__xludf.DUMMYFUNCTION("""COMPUTED_VALUE"""),"UC Riverside")</f>
        <v>UC Riverside</v>
      </c>
      <c r="C340" s="1" t="str">
        <f ca="1">IFERROR(__xludf.DUMMYFUNCTION("""COMPUTED_VALUE"""),"BW")</f>
        <v>BW</v>
      </c>
      <c r="D340" s="2">
        <f ca="1">IFERROR(__xludf.DUMMYFUNCTION("""COMPUTED_VALUE"""),44857)</f>
        <v>44857</v>
      </c>
      <c r="E340" s="1">
        <f ca="1">IFERROR(__xludf.DUMMYFUNCTION("""COMPUTED_VALUE"""),-15.09)</f>
        <v>-15.09</v>
      </c>
      <c r="F340" s="1">
        <f ca="1">IFERROR(__xludf.DUMMYFUNCTION("""COMPUTED_VALUE"""),98.3)</f>
        <v>98.3</v>
      </c>
      <c r="G340" s="1">
        <f ca="1">IFERROR(__xludf.DUMMYFUNCTION("""COMPUTED_VALUE"""),289)</f>
        <v>289</v>
      </c>
      <c r="H340" s="1">
        <f ca="1">IFERROR(__xludf.DUMMYFUNCTION("""COMPUTED_VALUE"""),113.4)</f>
        <v>113.4</v>
      </c>
      <c r="I340" s="1">
        <f ca="1">IFERROR(__xludf.DUMMYFUNCTION("""COMPUTED_VALUE"""),331)</f>
        <v>331</v>
      </c>
      <c r="J340" s="1">
        <f ca="1">IFERROR(__xludf.DUMMYFUNCTION("""COMPUTED_VALUE"""),63.3)</f>
        <v>63.3</v>
      </c>
      <c r="K340" s="1">
        <f ca="1">IFERROR(__xludf.DUMMYFUNCTION("""COMPUTED_VALUE"""),340)</f>
        <v>340</v>
      </c>
      <c r="L340" s="1">
        <f ca="1">IFERROR(__xludf.DUMMYFUNCTION("""COMPUTED_VALUE"""),-0.023)</f>
        <v>-2.3E-2</v>
      </c>
      <c r="M340" s="1">
        <f ca="1">IFERROR(__xludf.DUMMYFUNCTION("""COMPUTED_VALUE"""),243)</f>
        <v>243</v>
      </c>
      <c r="N340" s="1">
        <f ca="1">IFERROR(__xludf.DUMMYFUNCTION("""COMPUTED_VALUE"""),-3.55)</f>
        <v>-3.55</v>
      </c>
      <c r="O340" s="1">
        <f ca="1">IFERROR(__xludf.DUMMYFUNCTION("""COMPUTED_VALUE"""),240)</f>
        <v>240</v>
      </c>
      <c r="P340" s="1">
        <f ca="1">IFERROR(__xludf.DUMMYFUNCTION("""COMPUTED_VALUE"""),102.2)</f>
        <v>102.2</v>
      </c>
      <c r="Q340" s="1">
        <f ca="1">IFERROR(__xludf.DUMMYFUNCTION("""COMPUTED_VALUE"""),267)</f>
        <v>267</v>
      </c>
      <c r="R340" s="1">
        <f ca="1">IFERROR(__xludf.DUMMYFUNCTION("""COMPUTED_VALUE"""),105.8)</f>
        <v>105.8</v>
      </c>
      <c r="S340" s="1">
        <f ca="1">IFERROR(__xludf.DUMMYFUNCTION("""COMPUTED_VALUE"""),202)</f>
        <v>202</v>
      </c>
      <c r="T340" s="1">
        <f ca="1">IFERROR(__xludf.DUMMYFUNCTION("""COMPUTED_VALUE"""),-2.25)</f>
        <v>-2.25</v>
      </c>
      <c r="U340" s="1">
        <f ca="1">IFERROR(__xludf.DUMMYFUNCTION("""COMPUTED_VALUE"""),230)</f>
        <v>230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IFERROR(__xludf.DUMMYFUNCTION("""COMPUTED_VALUE"""),"Manhattan")</f>
        <v>Manhattan</v>
      </c>
      <c r="C341" s="1" t="str">
        <f ca="1">IFERROR(__xludf.DUMMYFUNCTION("""COMPUTED_VALUE"""),"MAAC")</f>
        <v>MAAC</v>
      </c>
      <c r="D341" s="2">
        <f ca="1">IFERROR(__xludf.DUMMYFUNCTION("""COMPUTED_VALUE"""),44886)</f>
        <v>44886</v>
      </c>
      <c r="E341" s="1">
        <f ca="1">IFERROR(__xludf.DUMMYFUNCTION("""COMPUTED_VALUE"""),-15.15)</f>
        <v>-15.15</v>
      </c>
      <c r="F341" s="1">
        <f ca="1">IFERROR(__xludf.DUMMYFUNCTION("""COMPUTED_VALUE"""),89.6)</f>
        <v>89.6</v>
      </c>
      <c r="G341" s="1">
        <f ca="1">IFERROR(__xludf.DUMMYFUNCTION("""COMPUTED_VALUE"""),346)</f>
        <v>346</v>
      </c>
      <c r="H341" s="1">
        <f ca="1">IFERROR(__xludf.DUMMYFUNCTION("""COMPUTED_VALUE"""),104.8)</f>
        <v>104.8</v>
      </c>
      <c r="I341" s="1">
        <f ca="1">IFERROR(__xludf.DUMMYFUNCTION("""COMPUTED_VALUE"""),172)</f>
        <v>172</v>
      </c>
      <c r="J341" s="1">
        <f ca="1">IFERROR(__xludf.DUMMYFUNCTION("""COMPUTED_VALUE"""),61.8)</f>
        <v>61.8</v>
      </c>
      <c r="K341" s="1">
        <f ca="1">IFERROR(__xludf.DUMMYFUNCTION("""COMPUTED_VALUE"""),351)</f>
        <v>351</v>
      </c>
      <c r="L341" s="1" t="str">
        <f ca="1">IFERROR(__xludf.DUMMYFUNCTION("""COMPUTED_VALUE"""),"+.021")</f>
        <v>+.021</v>
      </c>
      <c r="M341" s="1">
        <f ca="1">IFERROR(__xludf.DUMMYFUNCTION("""COMPUTED_VALUE"""),127)</f>
        <v>127</v>
      </c>
      <c r="N341" s="1">
        <f ca="1">IFERROR(__xludf.DUMMYFUNCTION("""COMPUTED_VALUE"""),-8.07)</f>
        <v>-8.07</v>
      </c>
      <c r="O341" s="1">
        <f ca="1">IFERROR(__xludf.DUMMYFUNCTION("""COMPUTED_VALUE"""),336)</f>
        <v>336</v>
      </c>
      <c r="P341" s="1">
        <f ca="1">IFERROR(__xludf.DUMMYFUNCTION("""COMPUTED_VALUE"""),100.2)</f>
        <v>100.2</v>
      </c>
      <c r="Q341" s="1">
        <f ca="1">IFERROR(__xludf.DUMMYFUNCTION("""COMPUTED_VALUE"""),323)</f>
        <v>323</v>
      </c>
      <c r="R341" s="1">
        <f ca="1">IFERROR(__xludf.DUMMYFUNCTION("""COMPUTED_VALUE"""),108.3)</f>
        <v>108.3</v>
      </c>
      <c r="S341" s="1">
        <f ca="1">IFERROR(__xludf.DUMMYFUNCTION("""COMPUTED_VALUE"""),321)</f>
        <v>321</v>
      </c>
      <c r="T341" s="1">
        <f ca="1">IFERROR(__xludf.DUMMYFUNCTION("""COMPUTED_VALUE"""),-4.31)</f>
        <v>-4.3099999999999996</v>
      </c>
      <c r="U341" s="1">
        <f ca="1">IFERROR(__xludf.DUMMYFUNCTION("""COMPUTED_VALUE"""),288)</f>
        <v>288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IFERROR(__xludf.DUMMYFUNCTION("""COMPUTED_VALUE"""),"Mount St. Mary's")</f>
        <v>Mount St. Mary's</v>
      </c>
      <c r="C342" s="1" t="str">
        <f ca="1">IFERROR(__xludf.DUMMYFUNCTION("""COMPUTED_VALUE"""),"NEC")</f>
        <v>NEC</v>
      </c>
      <c r="D342" s="2">
        <f ca="1">IFERROR(__xludf.DUMMYFUNCTION("""COMPUTED_VALUE"""),44826)</f>
        <v>44826</v>
      </c>
      <c r="E342" s="1">
        <f ca="1">IFERROR(__xludf.DUMMYFUNCTION("""COMPUTED_VALUE"""),-15.28)</f>
        <v>-15.28</v>
      </c>
      <c r="F342" s="1">
        <f ca="1">IFERROR(__xludf.DUMMYFUNCTION("""COMPUTED_VALUE"""),94.8)</f>
        <v>94.8</v>
      </c>
      <c r="G342" s="1">
        <f ca="1">IFERROR(__xludf.DUMMYFUNCTION("""COMPUTED_VALUE"""),326)</f>
        <v>326</v>
      </c>
      <c r="H342" s="1">
        <f ca="1">IFERROR(__xludf.DUMMYFUNCTION("""COMPUTED_VALUE"""),110.1)</f>
        <v>110.1</v>
      </c>
      <c r="I342" s="1">
        <f ca="1">IFERROR(__xludf.DUMMYFUNCTION("""COMPUTED_VALUE"""),282)</f>
        <v>282</v>
      </c>
      <c r="J342" s="1">
        <f ca="1">IFERROR(__xludf.DUMMYFUNCTION("""COMPUTED_VALUE"""),67.1)</f>
        <v>67.099999999999994</v>
      </c>
      <c r="K342" s="1">
        <f ca="1">IFERROR(__xludf.DUMMYFUNCTION("""COMPUTED_VALUE"""),202)</f>
        <v>202</v>
      </c>
      <c r="L342" s="1">
        <f ca="1">IFERROR(__xludf.DUMMYFUNCTION("""COMPUTED_VALUE"""),-0.012)</f>
        <v>-1.2E-2</v>
      </c>
      <c r="M342" s="1">
        <f ca="1">IFERROR(__xludf.DUMMYFUNCTION("""COMPUTED_VALUE"""),217)</f>
        <v>217</v>
      </c>
      <c r="N342" s="1">
        <f ca="1">IFERROR(__xludf.DUMMYFUNCTION("""COMPUTED_VALUE"""),-5.56)</f>
        <v>-5.56</v>
      </c>
      <c r="O342" s="1">
        <f ca="1">IFERROR(__xludf.DUMMYFUNCTION("""COMPUTED_VALUE"""),283)</f>
        <v>283</v>
      </c>
      <c r="P342" s="1">
        <f ca="1">IFERROR(__xludf.DUMMYFUNCTION("""COMPUTED_VALUE"""),102.3)</f>
        <v>102.3</v>
      </c>
      <c r="Q342" s="1">
        <f ca="1">IFERROR(__xludf.DUMMYFUNCTION("""COMPUTED_VALUE"""),264)</f>
        <v>264</v>
      </c>
      <c r="R342" s="1">
        <f ca="1">IFERROR(__xludf.DUMMYFUNCTION("""COMPUTED_VALUE"""),107.8)</f>
        <v>107.8</v>
      </c>
      <c r="S342" s="1">
        <f ca="1">IFERROR(__xludf.DUMMYFUNCTION("""COMPUTED_VALUE"""),307)</f>
        <v>307</v>
      </c>
      <c r="T342" s="1" t="str">
        <f ca="1">IFERROR(__xludf.DUMMYFUNCTION("""COMPUTED_VALUE"""),"+4.78")</f>
        <v>+4.78</v>
      </c>
      <c r="U342" s="1">
        <f ca="1">IFERROR(__xludf.DUMMYFUNCTION("""COMPUTED_VALUE"""),45)</f>
        <v>45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IFERROR(__xludf.DUMMYFUNCTION("""COMPUTED_VALUE"""),"Stetson")</f>
        <v>Stetson</v>
      </c>
      <c r="C343" s="1" t="str">
        <f ca="1">IFERROR(__xludf.DUMMYFUNCTION("""COMPUTED_VALUE"""),"ASun")</f>
        <v>ASun</v>
      </c>
      <c r="D343" s="2">
        <f ca="1">IFERROR(__xludf.DUMMYFUNCTION("""COMPUTED_VALUE"""),44766)</f>
        <v>44766</v>
      </c>
      <c r="E343" s="1">
        <f ca="1">IFERROR(__xludf.DUMMYFUNCTION("""COMPUTED_VALUE"""),-15.46)</f>
        <v>-15.46</v>
      </c>
      <c r="F343" s="1">
        <f ca="1">IFERROR(__xludf.DUMMYFUNCTION("""COMPUTED_VALUE"""),97.9)</f>
        <v>97.9</v>
      </c>
      <c r="G343" s="1">
        <f ca="1">IFERROR(__xludf.DUMMYFUNCTION("""COMPUTED_VALUE"""),293)</f>
        <v>293</v>
      </c>
      <c r="H343" s="1">
        <f ca="1">IFERROR(__xludf.DUMMYFUNCTION("""COMPUTED_VALUE"""),113.3)</f>
        <v>113.3</v>
      </c>
      <c r="I343" s="1">
        <f ca="1">IFERROR(__xludf.DUMMYFUNCTION("""COMPUTED_VALUE"""),329)</f>
        <v>329</v>
      </c>
      <c r="J343" s="1">
        <f ca="1">IFERROR(__xludf.DUMMYFUNCTION("""COMPUTED_VALUE"""),68.8)</f>
        <v>68.8</v>
      </c>
      <c r="K343" s="1">
        <f ca="1">IFERROR(__xludf.DUMMYFUNCTION("""COMPUTED_VALUE"""),113)</f>
        <v>113</v>
      </c>
      <c r="L343" s="1">
        <f ca="1">IFERROR(__xludf.DUMMYFUNCTION("""COMPUTED_VALUE"""),-0.054)</f>
        <v>-5.3999999999999999E-2</v>
      </c>
      <c r="M343" s="1">
        <f ca="1">IFERROR(__xludf.DUMMYFUNCTION("""COMPUTED_VALUE"""),300)</f>
        <v>300</v>
      </c>
      <c r="N343" s="1">
        <f ca="1">IFERROR(__xludf.DUMMYFUNCTION("""COMPUTED_VALUE"""),-2.89)</f>
        <v>-2.89</v>
      </c>
      <c r="O343" s="1">
        <f ca="1">IFERROR(__xludf.DUMMYFUNCTION("""COMPUTED_VALUE"""),218)</f>
        <v>218</v>
      </c>
      <c r="P343" s="1">
        <f ca="1">IFERROR(__xludf.DUMMYFUNCTION("""COMPUTED_VALUE"""),101.8)</f>
        <v>101.8</v>
      </c>
      <c r="Q343" s="1">
        <f ca="1">IFERROR(__xludf.DUMMYFUNCTION("""COMPUTED_VALUE"""),277)</f>
        <v>277</v>
      </c>
      <c r="R343" s="1">
        <f ca="1">IFERROR(__xludf.DUMMYFUNCTION("""COMPUTED_VALUE"""),104.7)</f>
        <v>104.7</v>
      </c>
      <c r="S343" s="1">
        <f ca="1">IFERROR(__xludf.DUMMYFUNCTION("""COMPUTED_VALUE"""),169)</f>
        <v>169</v>
      </c>
      <c r="T343" s="1">
        <f ca="1">IFERROR(__xludf.DUMMYFUNCTION("""COMPUTED_VALUE"""),-2.74)</f>
        <v>-2.74</v>
      </c>
      <c r="U343" s="1">
        <f ca="1">IFERROR(__xludf.DUMMYFUNCTION("""COMPUTED_VALUE"""),241)</f>
        <v>241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IFERROR(__xludf.DUMMYFUNCTION("""COMPUTED_VALUE"""),"Portland")</f>
        <v>Portland</v>
      </c>
      <c r="C344" s="1" t="str">
        <f ca="1">IFERROR(__xludf.DUMMYFUNCTION("""COMPUTED_VALUE"""),"WCC")</f>
        <v>WCC</v>
      </c>
      <c r="D344" s="2">
        <f ca="1">IFERROR(__xludf.DUMMYFUNCTION("""COMPUTED_VALUE"""),44767)</f>
        <v>44767</v>
      </c>
      <c r="E344" s="1">
        <f ca="1">IFERROR(__xludf.DUMMYFUNCTION("""COMPUTED_VALUE"""),-15.64)</f>
        <v>-15.64</v>
      </c>
      <c r="F344" s="1">
        <f ca="1">IFERROR(__xludf.DUMMYFUNCTION("""COMPUTED_VALUE"""),94.6)</f>
        <v>94.6</v>
      </c>
      <c r="G344" s="1">
        <f ca="1">IFERROR(__xludf.DUMMYFUNCTION("""COMPUTED_VALUE"""),329)</f>
        <v>329</v>
      </c>
      <c r="H344" s="1">
        <f ca="1">IFERROR(__xludf.DUMMYFUNCTION("""COMPUTED_VALUE"""),110.2)</f>
        <v>110.2</v>
      </c>
      <c r="I344" s="1">
        <f ca="1">IFERROR(__xludf.DUMMYFUNCTION("""COMPUTED_VALUE"""),283)</f>
        <v>283</v>
      </c>
      <c r="J344" s="1">
        <f ca="1">IFERROR(__xludf.DUMMYFUNCTION("""COMPUTED_VALUE"""),66.8)</f>
        <v>66.8</v>
      </c>
      <c r="K344" s="1">
        <f ca="1">IFERROR(__xludf.DUMMYFUNCTION("""COMPUTED_VALUE"""),222)</f>
        <v>222</v>
      </c>
      <c r="L344" s="1">
        <f ca="1">IFERROR(__xludf.DUMMYFUNCTION("""COMPUTED_VALUE"""),-0.011)</f>
        <v>-1.0999999999999999E-2</v>
      </c>
      <c r="M344" s="1">
        <f ca="1">IFERROR(__xludf.DUMMYFUNCTION("""COMPUTED_VALUE"""),214)</f>
        <v>214</v>
      </c>
      <c r="N344" s="1">
        <f ca="1">IFERROR(__xludf.DUMMYFUNCTION("""COMPUTED_VALUE"""),-0.17)</f>
        <v>-0.17</v>
      </c>
      <c r="O344" s="1">
        <f ca="1">IFERROR(__xludf.DUMMYFUNCTION("""COMPUTED_VALUE"""),142)</f>
        <v>142</v>
      </c>
      <c r="P344" s="1">
        <f ca="1">IFERROR(__xludf.DUMMYFUNCTION("""COMPUTED_VALUE"""),103.6)</f>
        <v>103.6</v>
      </c>
      <c r="Q344" s="1">
        <f ca="1">IFERROR(__xludf.DUMMYFUNCTION("""COMPUTED_VALUE"""),191)</f>
        <v>191</v>
      </c>
      <c r="R344" s="1">
        <f ca="1">IFERROR(__xludf.DUMMYFUNCTION("""COMPUTED_VALUE"""),103.7)</f>
        <v>103.7</v>
      </c>
      <c r="S344" s="1">
        <f ca="1">IFERROR(__xludf.DUMMYFUNCTION("""COMPUTED_VALUE"""),119)</f>
        <v>119</v>
      </c>
      <c r="T344" s="1">
        <f ca="1">IFERROR(__xludf.DUMMYFUNCTION("""COMPUTED_VALUE"""),-7.78)</f>
        <v>-7.78</v>
      </c>
      <c r="U344" s="1">
        <f ca="1">IFERROR(__xludf.DUMMYFUNCTION("""COMPUTED_VALUE"""),337)</f>
        <v>337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IFERROR(__xludf.DUMMYFUNCTION("""COMPUTED_VALUE"""),"Bryant")</f>
        <v>Bryant</v>
      </c>
      <c r="C345" s="1" t="str">
        <f ca="1">IFERROR(__xludf.DUMMYFUNCTION("""COMPUTED_VALUE"""),"NEC")</f>
        <v>NEC</v>
      </c>
      <c r="D345" s="2">
        <f ca="1">IFERROR(__xludf.DUMMYFUNCTION("""COMPUTED_VALUE"""),44854)</f>
        <v>44854</v>
      </c>
      <c r="E345" s="1">
        <f ca="1">IFERROR(__xludf.DUMMYFUNCTION("""COMPUTED_VALUE"""),-15.64)</f>
        <v>-15.64</v>
      </c>
      <c r="F345" s="1">
        <f ca="1">IFERROR(__xludf.DUMMYFUNCTION("""COMPUTED_VALUE"""),99.5)</f>
        <v>99.5</v>
      </c>
      <c r="G345" s="1">
        <f ca="1">IFERROR(__xludf.DUMMYFUNCTION("""COMPUTED_VALUE"""),273)</f>
        <v>273</v>
      </c>
      <c r="H345" s="1">
        <f ca="1">IFERROR(__xludf.DUMMYFUNCTION("""COMPUTED_VALUE"""),115.1)</f>
        <v>115.1</v>
      </c>
      <c r="I345" s="1">
        <f ca="1">IFERROR(__xludf.DUMMYFUNCTION("""COMPUTED_VALUE"""),343)</f>
        <v>343</v>
      </c>
      <c r="J345" s="1">
        <f ca="1">IFERROR(__xludf.DUMMYFUNCTION("""COMPUTED_VALUE"""),67.6)</f>
        <v>67.599999999999994</v>
      </c>
      <c r="K345" s="1">
        <f ca="1">IFERROR(__xludf.DUMMYFUNCTION("""COMPUTED_VALUE"""),176)</f>
        <v>176</v>
      </c>
      <c r="L345" s="1" t="str">
        <f ca="1">IFERROR(__xludf.DUMMYFUNCTION("""COMPUTED_VALUE"""),"+.026")</f>
        <v>+.026</v>
      </c>
      <c r="M345" s="1">
        <f ca="1">IFERROR(__xludf.DUMMYFUNCTION("""COMPUTED_VALUE"""),109)</f>
        <v>109</v>
      </c>
      <c r="N345" s="1">
        <f ca="1">IFERROR(__xludf.DUMMYFUNCTION("""COMPUTED_VALUE"""),-7.78)</f>
        <v>-7.78</v>
      </c>
      <c r="O345" s="1">
        <f ca="1">IFERROR(__xludf.DUMMYFUNCTION("""COMPUTED_VALUE"""),330)</f>
        <v>330</v>
      </c>
      <c r="P345" s="1">
        <f ca="1">IFERROR(__xludf.DUMMYFUNCTION("""COMPUTED_VALUE"""),100.3)</f>
        <v>100.3</v>
      </c>
      <c r="Q345" s="1">
        <f ca="1">IFERROR(__xludf.DUMMYFUNCTION("""COMPUTED_VALUE"""),319)</f>
        <v>319</v>
      </c>
      <c r="R345" s="1">
        <f ca="1">IFERROR(__xludf.DUMMYFUNCTION("""COMPUTED_VALUE"""),108)</f>
        <v>108</v>
      </c>
      <c r="S345" s="1">
        <f ca="1">IFERROR(__xludf.DUMMYFUNCTION("""COMPUTED_VALUE"""),315)</f>
        <v>315</v>
      </c>
      <c r="T345" s="1">
        <f ca="1">IFERROR(__xludf.DUMMYFUNCTION("""COMPUTED_VALUE"""),-2.84)</f>
        <v>-2.84</v>
      </c>
      <c r="U345" s="1">
        <f ca="1">IFERROR(__xludf.DUMMYFUNCTION("""COMPUTED_VALUE"""),242)</f>
        <v>242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IFERROR(__xludf.DUMMYFUNCTION("""COMPUTED_VALUE"""),"Alabama St.")</f>
        <v>Alabama St.</v>
      </c>
      <c r="C346" s="1" t="str">
        <f ca="1">IFERROR(__xludf.DUMMYFUNCTION("""COMPUTED_VALUE"""),"SWAC")</f>
        <v>SWAC</v>
      </c>
      <c r="D346" s="2">
        <f ca="1">IFERROR(__xludf.DUMMYFUNCTION("""COMPUTED_VALUE"""),44914)</f>
        <v>44914</v>
      </c>
      <c r="E346" s="1">
        <f ca="1">IFERROR(__xludf.DUMMYFUNCTION("""COMPUTED_VALUE"""),-15.77)</f>
        <v>-15.77</v>
      </c>
      <c r="F346" s="1">
        <f ca="1">IFERROR(__xludf.DUMMYFUNCTION("""COMPUTED_VALUE"""),95.2)</f>
        <v>95.2</v>
      </c>
      <c r="G346" s="1">
        <f ca="1">IFERROR(__xludf.DUMMYFUNCTION("""COMPUTED_VALUE"""),323)</f>
        <v>323</v>
      </c>
      <c r="H346" s="1">
        <f ca="1">IFERROR(__xludf.DUMMYFUNCTION("""COMPUTED_VALUE"""),110.9)</f>
        <v>110.9</v>
      </c>
      <c r="I346" s="1">
        <f ca="1">IFERROR(__xludf.DUMMYFUNCTION("""COMPUTED_VALUE"""),300)</f>
        <v>300</v>
      </c>
      <c r="J346" s="1">
        <f ca="1">IFERROR(__xludf.DUMMYFUNCTION("""COMPUTED_VALUE"""),67.2)</f>
        <v>67.2</v>
      </c>
      <c r="K346" s="1">
        <f ca="1">IFERROR(__xludf.DUMMYFUNCTION("""COMPUTED_VALUE"""),196)</f>
        <v>196</v>
      </c>
      <c r="L346" s="1" t="str">
        <f ca="1">IFERROR(__xludf.DUMMYFUNCTION("""COMPUTED_VALUE"""),"+.024")</f>
        <v>+.024</v>
      </c>
      <c r="M346" s="1">
        <f ca="1">IFERROR(__xludf.DUMMYFUNCTION("""COMPUTED_VALUE"""),117)</f>
        <v>117</v>
      </c>
      <c r="N346" s="1">
        <f ca="1">IFERROR(__xludf.DUMMYFUNCTION("""COMPUTED_VALUE"""),-6.59)</f>
        <v>-6.59</v>
      </c>
      <c r="O346" s="1">
        <f ca="1">IFERROR(__xludf.DUMMYFUNCTION("""COMPUTED_VALUE"""),300)</f>
        <v>300</v>
      </c>
      <c r="P346" s="1">
        <f ca="1">IFERROR(__xludf.DUMMYFUNCTION("""COMPUTED_VALUE"""),99.9)</f>
        <v>99.9</v>
      </c>
      <c r="Q346" s="1">
        <f ca="1">IFERROR(__xludf.DUMMYFUNCTION("""COMPUTED_VALUE"""),328)</f>
        <v>328</v>
      </c>
      <c r="R346" s="1">
        <f ca="1">IFERROR(__xludf.DUMMYFUNCTION("""COMPUTED_VALUE"""),106.5)</f>
        <v>106.5</v>
      </c>
      <c r="S346" s="1">
        <f ca="1">IFERROR(__xludf.DUMMYFUNCTION("""COMPUTED_VALUE"""),231)</f>
        <v>231</v>
      </c>
      <c r="T346" s="1" t="str">
        <f ca="1">IFERROR(__xludf.DUMMYFUNCTION("""COMPUTED_VALUE"""),"+12.25")</f>
        <v>+12.25</v>
      </c>
      <c r="U346" s="1">
        <f ca="1">IFERROR(__xludf.DUMMYFUNCTION("""COMPUTED_VALUE"""),2)</f>
        <v>2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IFERROR(__xludf.DUMMYFUNCTION("""COMPUTED_VALUE"""),"Idaho St.")</f>
        <v>Idaho St.</v>
      </c>
      <c r="C347" s="1" t="str">
        <f ca="1">IFERROR(__xludf.DUMMYFUNCTION("""COMPUTED_VALUE"""),"BSky")</f>
        <v>BSky</v>
      </c>
      <c r="D347" s="2">
        <f ca="1">IFERROR(__xludf.DUMMYFUNCTION("""COMPUTED_VALUE"""),44884)</f>
        <v>44884</v>
      </c>
      <c r="E347" s="1">
        <f ca="1">IFERROR(__xludf.DUMMYFUNCTION("""COMPUTED_VALUE"""),-16.18)</f>
        <v>-16.18</v>
      </c>
      <c r="F347" s="1">
        <f ca="1">IFERROR(__xludf.DUMMYFUNCTION("""COMPUTED_VALUE"""),102.2)</f>
        <v>102.2</v>
      </c>
      <c r="G347" s="1">
        <f ca="1">IFERROR(__xludf.DUMMYFUNCTION("""COMPUTED_VALUE"""),216)</f>
        <v>216</v>
      </c>
      <c r="H347" s="1">
        <f ca="1">IFERROR(__xludf.DUMMYFUNCTION("""COMPUTED_VALUE"""),118.4)</f>
        <v>118.4</v>
      </c>
      <c r="I347" s="1">
        <f ca="1">IFERROR(__xludf.DUMMYFUNCTION("""COMPUTED_VALUE"""),350)</f>
        <v>350</v>
      </c>
      <c r="J347" s="1">
        <f ca="1">IFERROR(__xludf.DUMMYFUNCTION("""COMPUTED_VALUE"""),66.8)</f>
        <v>66.8</v>
      </c>
      <c r="K347" s="1">
        <f ca="1">IFERROR(__xludf.DUMMYFUNCTION("""COMPUTED_VALUE"""),221)</f>
        <v>221</v>
      </c>
      <c r="L347" s="1" t="str">
        <f ca="1">IFERROR(__xludf.DUMMYFUNCTION("""COMPUTED_VALUE"""),"+.067")</f>
        <v>+.067</v>
      </c>
      <c r="M347" s="1">
        <f ca="1">IFERROR(__xludf.DUMMYFUNCTION("""COMPUTED_VALUE"""),32)</f>
        <v>32</v>
      </c>
      <c r="N347" s="1">
        <f ca="1">IFERROR(__xludf.DUMMYFUNCTION("""COMPUTED_VALUE"""),-5.3)</f>
        <v>-5.3</v>
      </c>
      <c r="O347" s="1">
        <f ca="1">IFERROR(__xludf.DUMMYFUNCTION("""COMPUTED_VALUE"""),277)</f>
        <v>277</v>
      </c>
      <c r="P347" s="1">
        <f ca="1">IFERROR(__xludf.DUMMYFUNCTION("""COMPUTED_VALUE"""),102.5)</f>
        <v>102.5</v>
      </c>
      <c r="Q347" s="1">
        <f ca="1">IFERROR(__xludf.DUMMYFUNCTION("""COMPUTED_VALUE"""),247)</f>
        <v>247</v>
      </c>
      <c r="R347" s="1">
        <f ca="1">IFERROR(__xludf.DUMMYFUNCTION("""COMPUTED_VALUE"""),107.8)</f>
        <v>107.8</v>
      </c>
      <c r="S347" s="1">
        <f ca="1">IFERROR(__xludf.DUMMYFUNCTION("""COMPUTED_VALUE"""),306)</f>
        <v>306</v>
      </c>
      <c r="T347" s="1" t="str">
        <f ca="1">IFERROR(__xludf.DUMMYFUNCTION("""COMPUTED_VALUE"""),"+7.29")</f>
        <v>+7.29</v>
      </c>
      <c r="U347" s="1">
        <f ca="1">IFERROR(__xludf.DUMMYFUNCTION("""COMPUTED_VALUE"""),13)</f>
        <v>13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IFERROR(__xludf.DUMMYFUNCTION("""COMPUTED_VALUE"""),"SIU Edwardsville")</f>
        <v>SIU Edwardsville</v>
      </c>
      <c r="C348" s="1" t="str">
        <f ca="1">IFERROR(__xludf.DUMMYFUNCTION("""COMPUTED_VALUE"""),"OVC")</f>
        <v>OVC</v>
      </c>
      <c r="D348" s="2">
        <f ca="1">IFERROR(__xludf.DUMMYFUNCTION("""COMPUTED_VALUE"""),44855)</f>
        <v>44855</v>
      </c>
      <c r="E348" s="1">
        <f ca="1">IFERROR(__xludf.DUMMYFUNCTION("""COMPUTED_VALUE"""),-16.21)</f>
        <v>-16.21</v>
      </c>
      <c r="F348" s="1">
        <f ca="1">IFERROR(__xludf.DUMMYFUNCTION("""COMPUTED_VALUE"""),96.9)</f>
        <v>96.9</v>
      </c>
      <c r="G348" s="1">
        <f ca="1">IFERROR(__xludf.DUMMYFUNCTION("""COMPUTED_VALUE"""),304)</f>
        <v>304</v>
      </c>
      <c r="H348" s="1">
        <f ca="1">IFERROR(__xludf.DUMMYFUNCTION("""COMPUTED_VALUE"""),113.1)</f>
        <v>113.1</v>
      </c>
      <c r="I348" s="1">
        <f ca="1">IFERROR(__xludf.DUMMYFUNCTION("""COMPUTED_VALUE"""),326)</f>
        <v>326</v>
      </c>
      <c r="J348" s="1">
        <f ca="1">IFERROR(__xludf.DUMMYFUNCTION("""COMPUTED_VALUE"""),69.7)</f>
        <v>69.7</v>
      </c>
      <c r="K348" s="1">
        <f ca="1">IFERROR(__xludf.DUMMYFUNCTION("""COMPUTED_VALUE"""),80)</f>
        <v>80</v>
      </c>
      <c r="L348" s="1" t="str">
        <f ca="1">IFERROR(__xludf.DUMMYFUNCTION("""COMPUTED_VALUE"""),"+.033")</f>
        <v>+.033</v>
      </c>
      <c r="M348" s="1">
        <f ca="1">IFERROR(__xludf.DUMMYFUNCTION("""COMPUTED_VALUE"""),97)</f>
        <v>97</v>
      </c>
      <c r="N348" s="1">
        <f ca="1">IFERROR(__xludf.DUMMYFUNCTION("""COMPUTED_VALUE"""),-5.03)</f>
        <v>-5.03</v>
      </c>
      <c r="O348" s="1">
        <f ca="1">IFERROR(__xludf.DUMMYFUNCTION("""COMPUTED_VALUE"""),274)</f>
        <v>274</v>
      </c>
      <c r="P348" s="1">
        <f ca="1">IFERROR(__xludf.DUMMYFUNCTION("""COMPUTED_VALUE"""),102.6)</f>
        <v>102.6</v>
      </c>
      <c r="Q348" s="1">
        <f ca="1">IFERROR(__xludf.DUMMYFUNCTION("""COMPUTED_VALUE"""),241)</f>
        <v>241</v>
      </c>
      <c r="R348" s="1">
        <f ca="1">IFERROR(__xludf.DUMMYFUNCTION("""COMPUTED_VALUE"""),107.7)</f>
        <v>107.7</v>
      </c>
      <c r="S348" s="1">
        <f ca="1">IFERROR(__xludf.DUMMYFUNCTION("""COMPUTED_VALUE"""),297)</f>
        <v>297</v>
      </c>
      <c r="T348" s="1">
        <f ca="1">IFERROR(__xludf.DUMMYFUNCTION("""COMPUTED_VALUE"""),-5.41)</f>
        <v>-5.41</v>
      </c>
      <c r="U348" s="1">
        <f ca="1">IFERROR(__xludf.DUMMYFUNCTION("""COMPUTED_VALUE"""),308)</f>
        <v>308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IFERROR(__xludf.DUMMYFUNCTION("""COMPUTED_VALUE"""),"McNeese St.")</f>
        <v>McNeese St.</v>
      </c>
      <c r="C349" s="1" t="str">
        <f ca="1">IFERROR(__xludf.DUMMYFUNCTION("""COMPUTED_VALUE"""),"Slnd")</f>
        <v>Slnd</v>
      </c>
      <c r="D349" s="2">
        <f ca="1">IFERROR(__xludf.DUMMYFUNCTION("""COMPUTED_VALUE"""),44826)</f>
        <v>44826</v>
      </c>
      <c r="E349" s="1">
        <f ca="1">IFERROR(__xludf.DUMMYFUNCTION("""COMPUTED_VALUE"""),-16.74)</f>
        <v>-16.739999999999998</v>
      </c>
      <c r="F349" s="1">
        <f ca="1">IFERROR(__xludf.DUMMYFUNCTION("""COMPUTED_VALUE"""),98.1)</f>
        <v>98.1</v>
      </c>
      <c r="G349" s="1">
        <f ca="1">IFERROR(__xludf.DUMMYFUNCTION("""COMPUTED_VALUE"""),292)</f>
        <v>292</v>
      </c>
      <c r="H349" s="1">
        <f ca="1">IFERROR(__xludf.DUMMYFUNCTION("""COMPUTED_VALUE"""),114.9)</f>
        <v>114.9</v>
      </c>
      <c r="I349" s="1">
        <f ca="1">IFERROR(__xludf.DUMMYFUNCTION("""COMPUTED_VALUE"""),341)</f>
        <v>341</v>
      </c>
      <c r="J349" s="1">
        <f ca="1">IFERROR(__xludf.DUMMYFUNCTION("""COMPUTED_VALUE"""),66.3)</f>
        <v>66.3</v>
      </c>
      <c r="K349" s="1">
        <f ca="1">IFERROR(__xludf.DUMMYFUNCTION("""COMPUTED_VALUE"""),246)</f>
        <v>246</v>
      </c>
      <c r="L349" s="1">
        <f ca="1">IFERROR(__xludf.DUMMYFUNCTION("""COMPUTED_VALUE"""),-0.047)</f>
        <v>-4.7E-2</v>
      </c>
      <c r="M349" s="1">
        <f ca="1">IFERROR(__xludf.DUMMYFUNCTION("""COMPUTED_VALUE"""),290)</f>
        <v>290</v>
      </c>
      <c r="N349" s="1">
        <f ca="1">IFERROR(__xludf.DUMMYFUNCTION("""COMPUTED_VALUE"""),-6.32)</f>
        <v>-6.32</v>
      </c>
      <c r="O349" s="1">
        <f ca="1">IFERROR(__xludf.DUMMYFUNCTION("""COMPUTED_VALUE"""),295)</f>
        <v>295</v>
      </c>
      <c r="P349" s="1">
        <f ca="1">IFERROR(__xludf.DUMMYFUNCTION("""COMPUTED_VALUE"""),101.2)</f>
        <v>101.2</v>
      </c>
      <c r="Q349" s="1">
        <f ca="1">IFERROR(__xludf.DUMMYFUNCTION("""COMPUTED_VALUE"""),295)</f>
        <v>295</v>
      </c>
      <c r="R349" s="1">
        <f ca="1">IFERROR(__xludf.DUMMYFUNCTION("""COMPUTED_VALUE"""),107.5)</f>
        <v>107.5</v>
      </c>
      <c r="S349" s="1">
        <f ca="1">IFERROR(__xludf.DUMMYFUNCTION("""COMPUTED_VALUE"""),284)</f>
        <v>284</v>
      </c>
      <c r="T349" s="1" t="str">
        <f ca="1">IFERROR(__xludf.DUMMYFUNCTION("""COMPUTED_VALUE"""),"+4.75")</f>
        <v>+4.75</v>
      </c>
      <c r="U349" s="1">
        <f ca="1">IFERROR(__xludf.DUMMYFUNCTION("""COMPUTED_VALUE"""),46)</f>
        <v>46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IFERROR(__xludf.DUMMYFUNCTION("""COMPUTED_VALUE"""),"Binghamton")</f>
        <v>Binghamton</v>
      </c>
      <c r="C350" s="1" t="str">
        <f ca="1">IFERROR(__xludf.DUMMYFUNCTION("""COMPUTED_VALUE"""),"AE")</f>
        <v>AE</v>
      </c>
      <c r="D350" s="2">
        <f ca="1">IFERROR(__xludf.DUMMYFUNCTION("""COMPUTED_VALUE"""),44857)</f>
        <v>44857</v>
      </c>
      <c r="E350" s="1">
        <f ca="1">IFERROR(__xludf.DUMMYFUNCTION("""COMPUTED_VALUE"""),-16.74)</f>
        <v>-16.739999999999998</v>
      </c>
      <c r="F350" s="1">
        <f ca="1">IFERROR(__xludf.DUMMYFUNCTION("""COMPUTED_VALUE"""),96.1)</f>
        <v>96.1</v>
      </c>
      <c r="G350" s="1">
        <f ca="1">IFERROR(__xludf.DUMMYFUNCTION("""COMPUTED_VALUE"""),316)</f>
        <v>316</v>
      </c>
      <c r="H350" s="1">
        <f ca="1">IFERROR(__xludf.DUMMYFUNCTION("""COMPUTED_VALUE"""),112.9)</f>
        <v>112.9</v>
      </c>
      <c r="I350" s="1">
        <f ca="1">IFERROR(__xludf.DUMMYFUNCTION("""COMPUTED_VALUE"""),322)</f>
        <v>322</v>
      </c>
      <c r="J350" s="1">
        <f ca="1">IFERROR(__xludf.DUMMYFUNCTION("""COMPUTED_VALUE"""),65.8)</f>
        <v>65.8</v>
      </c>
      <c r="K350" s="1">
        <f ca="1">IFERROR(__xludf.DUMMYFUNCTION("""COMPUTED_VALUE"""),273)</f>
        <v>273</v>
      </c>
      <c r="L350" s="1" t="str">
        <f ca="1">IFERROR(__xludf.DUMMYFUNCTION("""COMPUTED_VALUE"""),"+.003")</f>
        <v>+.003</v>
      </c>
      <c r="M350" s="1">
        <f ca="1">IFERROR(__xludf.DUMMYFUNCTION("""COMPUTED_VALUE"""),175)</f>
        <v>175</v>
      </c>
      <c r="N350" s="1">
        <f ca="1">IFERROR(__xludf.DUMMYFUNCTION("""COMPUTED_VALUE"""),-4.87)</f>
        <v>-4.87</v>
      </c>
      <c r="O350" s="1">
        <f ca="1">IFERROR(__xludf.DUMMYFUNCTION("""COMPUTED_VALUE"""),272)</f>
        <v>272</v>
      </c>
      <c r="P350" s="1">
        <f ca="1">IFERROR(__xludf.DUMMYFUNCTION("""COMPUTED_VALUE"""),100.7)</f>
        <v>100.7</v>
      </c>
      <c r="Q350" s="1">
        <f ca="1">IFERROR(__xludf.DUMMYFUNCTION("""COMPUTED_VALUE"""),310)</f>
        <v>310</v>
      </c>
      <c r="R350" s="1">
        <f ca="1">IFERROR(__xludf.DUMMYFUNCTION("""COMPUTED_VALUE"""),105.6)</f>
        <v>105.6</v>
      </c>
      <c r="S350" s="1">
        <f ca="1">IFERROR(__xludf.DUMMYFUNCTION("""COMPUTED_VALUE"""),196)</f>
        <v>196</v>
      </c>
      <c r="T350" s="1">
        <f ca="1">IFERROR(__xludf.DUMMYFUNCTION("""COMPUTED_VALUE"""),-3.26)</f>
        <v>-3.26</v>
      </c>
      <c r="U350" s="1">
        <f ca="1">IFERROR(__xludf.DUMMYFUNCTION("""COMPUTED_VALUE"""),256)</f>
        <v>256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IFERROR(__xludf.DUMMYFUNCTION("""COMPUTED_VALUE"""),"Morgan St.")</f>
        <v>Morgan St.</v>
      </c>
      <c r="C351" s="1" t="str">
        <f ca="1">IFERROR(__xludf.DUMMYFUNCTION("""COMPUTED_VALUE"""),"MEAC")</f>
        <v>MEAC</v>
      </c>
      <c r="D351" s="2">
        <f ca="1">IFERROR(__xludf.DUMMYFUNCTION("""COMPUTED_VALUE"""),44825)</f>
        <v>44825</v>
      </c>
      <c r="E351" s="1">
        <f ca="1">IFERROR(__xludf.DUMMYFUNCTION("""COMPUTED_VALUE"""),-17.85)</f>
        <v>-17.850000000000001</v>
      </c>
      <c r="F351" s="1">
        <f ca="1">IFERROR(__xludf.DUMMYFUNCTION("""COMPUTED_VALUE"""),92.8)</f>
        <v>92.8</v>
      </c>
      <c r="G351" s="1">
        <f ca="1">IFERROR(__xludf.DUMMYFUNCTION("""COMPUTED_VALUE"""),337)</f>
        <v>337</v>
      </c>
      <c r="H351" s="1">
        <f ca="1">IFERROR(__xludf.DUMMYFUNCTION("""COMPUTED_VALUE"""),110.7)</f>
        <v>110.7</v>
      </c>
      <c r="I351" s="1">
        <f ca="1">IFERROR(__xludf.DUMMYFUNCTION("""COMPUTED_VALUE"""),296)</f>
        <v>296</v>
      </c>
      <c r="J351" s="1">
        <f ca="1">IFERROR(__xludf.DUMMYFUNCTION("""COMPUTED_VALUE"""),72.1)</f>
        <v>72.099999999999994</v>
      </c>
      <c r="K351" s="1">
        <f ca="1">IFERROR(__xludf.DUMMYFUNCTION("""COMPUTED_VALUE"""),22)</f>
        <v>22</v>
      </c>
      <c r="L351" s="1">
        <f ca="1">IFERROR(__xludf.DUMMYFUNCTION("""COMPUTED_VALUE"""),-0.074)</f>
        <v>-7.3999999999999996E-2</v>
      </c>
      <c r="M351" s="1">
        <f ca="1">IFERROR(__xludf.DUMMYFUNCTION("""COMPUTED_VALUE"""),328)</f>
        <v>328</v>
      </c>
      <c r="N351" s="1">
        <f ca="1">IFERROR(__xludf.DUMMYFUNCTION("""COMPUTED_VALUE"""),-12.93)</f>
        <v>-12.93</v>
      </c>
      <c r="O351" s="1">
        <f ca="1">IFERROR(__xludf.DUMMYFUNCTION("""COMPUTED_VALUE"""),353)</f>
        <v>353</v>
      </c>
      <c r="P351" s="1">
        <f ca="1">IFERROR(__xludf.DUMMYFUNCTION("""COMPUTED_VALUE"""),97.3)</f>
        <v>97.3</v>
      </c>
      <c r="Q351" s="1">
        <f ca="1">IFERROR(__xludf.DUMMYFUNCTION("""COMPUTED_VALUE"""),352)</f>
        <v>352</v>
      </c>
      <c r="R351" s="1">
        <f ca="1">IFERROR(__xludf.DUMMYFUNCTION("""COMPUTED_VALUE"""),110.2)</f>
        <v>110.2</v>
      </c>
      <c r="S351" s="1">
        <f ca="1">IFERROR(__xludf.DUMMYFUNCTION("""COMPUTED_VALUE"""),353)</f>
        <v>353</v>
      </c>
      <c r="T351" s="1">
        <f ca="1">IFERROR(__xludf.DUMMYFUNCTION("""COMPUTED_VALUE"""),-0.83)</f>
        <v>-0.83</v>
      </c>
      <c r="U351" s="1">
        <f ca="1">IFERROR(__xludf.DUMMYFUNCTION("""COMPUTED_VALUE"""),182)</f>
        <v>182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IFERROR(__xludf.DUMMYFUNCTION("""COMPUTED_VALUE"""),"Cal Poly")</f>
        <v>Cal Poly</v>
      </c>
      <c r="C352" s="1" t="str">
        <f ca="1">IFERROR(__xludf.DUMMYFUNCTION("""COMPUTED_VALUE"""),"BW")</f>
        <v>BW</v>
      </c>
      <c r="D352" s="2">
        <f ca="1">IFERROR(__xludf.DUMMYFUNCTION("""COMPUTED_VALUE"""),44735)</f>
        <v>44735</v>
      </c>
      <c r="E352" s="1">
        <f ca="1">IFERROR(__xludf.DUMMYFUNCTION("""COMPUTED_VALUE"""),-17.86)</f>
        <v>-17.86</v>
      </c>
      <c r="F352" s="1">
        <f ca="1">IFERROR(__xludf.DUMMYFUNCTION("""COMPUTED_VALUE"""),97)</f>
        <v>97</v>
      </c>
      <c r="G352" s="1">
        <f ca="1">IFERROR(__xludf.DUMMYFUNCTION("""COMPUTED_VALUE"""),303)</f>
        <v>303</v>
      </c>
      <c r="H352" s="1">
        <f ca="1">IFERROR(__xludf.DUMMYFUNCTION("""COMPUTED_VALUE"""),114.9)</f>
        <v>114.9</v>
      </c>
      <c r="I352" s="1">
        <f ca="1">IFERROR(__xludf.DUMMYFUNCTION("""COMPUTED_VALUE"""),342)</f>
        <v>342</v>
      </c>
      <c r="J352" s="1">
        <f ca="1">IFERROR(__xludf.DUMMYFUNCTION("""COMPUTED_VALUE"""),66.2)</f>
        <v>66.2</v>
      </c>
      <c r="K352" s="1">
        <f ca="1">IFERROR(__xludf.DUMMYFUNCTION("""COMPUTED_VALUE"""),255)</f>
        <v>255</v>
      </c>
      <c r="L352" s="1">
        <f ca="1">IFERROR(__xludf.DUMMYFUNCTION("""COMPUTED_VALUE"""),-0.068)</f>
        <v>-6.8000000000000005E-2</v>
      </c>
      <c r="M352" s="1">
        <f ca="1">IFERROR(__xludf.DUMMYFUNCTION("""COMPUTED_VALUE"""),321)</f>
        <v>321</v>
      </c>
      <c r="N352" s="1">
        <f ca="1">IFERROR(__xludf.DUMMYFUNCTION("""COMPUTED_VALUE"""),-4.11)</f>
        <v>-4.1100000000000003</v>
      </c>
      <c r="O352" s="1">
        <f ca="1">IFERROR(__xludf.DUMMYFUNCTION("""COMPUTED_VALUE"""),258)</f>
        <v>258</v>
      </c>
      <c r="P352" s="1">
        <f ca="1">IFERROR(__xludf.DUMMYFUNCTION("""COMPUTED_VALUE"""),101.8)</f>
        <v>101.8</v>
      </c>
      <c r="Q352" s="1">
        <f ca="1">IFERROR(__xludf.DUMMYFUNCTION("""COMPUTED_VALUE"""),279)</f>
        <v>279</v>
      </c>
      <c r="R352" s="1">
        <f ca="1">IFERROR(__xludf.DUMMYFUNCTION("""COMPUTED_VALUE"""),105.9)</f>
        <v>105.9</v>
      </c>
      <c r="S352" s="1">
        <f ca="1">IFERROR(__xludf.DUMMYFUNCTION("""COMPUTED_VALUE"""),206)</f>
        <v>206</v>
      </c>
      <c r="T352" s="1">
        <f ca="1">IFERROR(__xludf.DUMMYFUNCTION("""COMPUTED_VALUE"""),-2.6)</f>
        <v>-2.6</v>
      </c>
      <c r="U352" s="1">
        <f ca="1">IFERROR(__xludf.DUMMYFUNCTION("""COMPUTED_VALUE"""),238)</f>
        <v>238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IFERROR(__xludf.DUMMYFUNCTION("""COMPUTED_VALUE"""),"Southern")</f>
        <v>Southern</v>
      </c>
      <c r="C353" s="1" t="str">
        <f ca="1">IFERROR(__xludf.DUMMYFUNCTION("""COMPUTED_VALUE"""),"SWAC")</f>
        <v>SWAC</v>
      </c>
      <c r="D353" s="2">
        <f ca="1">IFERROR(__xludf.DUMMYFUNCTION("""COMPUTED_VALUE"""),44767)</f>
        <v>44767</v>
      </c>
      <c r="E353" s="1">
        <f ca="1">IFERROR(__xludf.DUMMYFUNCTION("""COMPUTED_VALUE"""),-17.91)</f>
        <v>-17.91</v>
      </c>
      <c r="F353" s="1">
        <f ca="1">IFERROR(__xludf.DUMMYFUNCTION("""COMPUTED_VALUE"""),94.2)</f>
        <v>94.2</v>
      </c>
      <c r="G353" s="1">
        <f ca="1">IFERROR(__xludf.DUMMYFUNCTION("""COMPUTED_VALUE"""),330)</f>
        <v>330</v>
      </c>
      <c r="H353" s="1">
        <f ca="1">IFERROR(__xludf.DUMMYFUNCTION("""COMPUTED_VALUE"""),112.1)</f>
        <v>112.1</v>
      </c>
      <c r="I353" s="1">
        <f ca="1">IFERROR(__xludf.DUMMYFUNCTION("""COMPUTED_VALUE"""),315)</f>
        <v>315</v>
      </c>
      <c r="J353" s="1">
        <f ca="1">IFERROR(__xludf.DUMMYFUNCTION("""COMPUTED_VALUE"""),65.7)</f>
        <v>65.7</v>
      </c>
      <c r="K353" s="1">
        <f ca="1">IFERROR(__xludf.DUMMYFUNCTION("""COMPUTED_VALUE"""),277)</f>
        <v>277</v>
      </c>
      <c r="L353" s="1">
        <f ca="1">IFERROR(__xludf.DUMMYFUNCTION("""COMPUTED_VALUE"""),-0.082)</f>
        <v>-8.2000000000000003E-2</v>
      </c>
      <c r="M353" s="1">
        <f ca="1">IFERROR(__xludf.DUMMYFUNCTION("""COMPUTED_VALUE"""),333)</f>
        <v>333</v>
      </c>
      <c r="N353" s="1">
        <f ca="1">IFERROR(__xludf.DUMMYFUNCTION("""COMPUTED_VALUE"""),-6.92)</f>
        <v>-6.92</v>
      </c>
      <c r="O353" s="1">
        <f ca="1">IFERROR(__xludf.DUMMYFUNCTION("""COMPUTED_VALUE"""),305)</f>
        <v>305</v>
      </c>
      <c r="P353" s="1">
        <f ca="1">IFERROR(__xludf.DUMMYFUNCTION("""COMPUTED_VALUE"""),99.8)</f>
        <v>99.8</v>
      </c>
      <c r="Q353" s="1">
        <f ca="1">IFERROR(__xludf.DUMMYFUNCTION("""COMPUTED_VALUE"""),330)</f>
        <v>330</v>
      </c>
      <c r="R353" s="1">
        <f ca="1">IFERROR(__xludf.DUMMYFUNCTION("""COMPUTED_VALUE"""),106.7)</f>
        <v>106.7</v>
      </c>
      <c r="S353" s="1">
        <f ca="1">IFERROR(__xludf.DUMMYFUNCTION("""COMPUTED_VALUE"""),246)</f>
        <v>246</v>
      </c>
      <c r="T353" s="1" t="str">
        <f ca="1">IFERROR(__xludf.DUMMYFUNCTION("""COMPUTED_VALUE"""),"+7.11")</f>
        <v>+7.11</v>
      </c>
      <c r="U353" s="1">
        <f ca="1">IFERROR(__xludf.DUMMYFUNCTION("""COMPUTED_VALUE"""),16)</f>
        <v>16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IFERROR(__xludf.DUMMYFUNCTION("""COMPUTED_VALUE"""),"USC Upstate")</f>
        <v>USC Upstate</v>
      </c>
      <c r="C354" s="1" t="str">
        <f ca="1">IFERROR(__xludf.DUMMYFUNCTION("""COMPUTED_VALUE"""),"BSth")</f>
        <v>BSth</v>
      </c>
      <c r="D354" s="2">
        <f ca="1">IFERROR(__xludf.DUMMYFUNCTION("""COMPUTED_VALUE"""),44738)</f>
        <v>44738</v>
      </c>
      <c r="E354" s="1">
        <f ca="1">IFERROR(__xludf.DUMMYFUNCTION("""COMPUTED_VALUE"""),-18.1)</f>
        <v>-18.100000000000001</v>
      </c>
      <c r="F354" s="1">
        <f ca="1">IFERROR(__xludf.DUMMYFUNCTION("""COMPUTED_VALUE"""),93.3)</f>
        <v>93.3</v>
      </c>
      <c r="G354" s="1">
        <f ca="1">IFERROR(__xludf.DUMMYFUNCTION("""COMPUTED_VALUE"""),334)</f>
        <v>334</v>
      </c>
      <c r="H354" s="1">
        <f ca="1">IFERROR(__xludf.DUMMYFUNCTION("""COMPUTED_VALUE"""),111.4)</f>
        <v>111.4</v>
      </c>
      <c r="I354" s="1">
        <f ca="1">IFERROR(__xludf.DUMMYFUNCTION("""COMPUTED_VALUE"""),305)</f>
        <v>305</v>
      </c>
      <c r="J354" s="1">
        <f ca="1">IFERROR(__xludf.DUMMYFUNCTION("""COMPUTED_VALUE"""),68)</f>
        <v>68</v>
      </c>
      <c r="K354" s="1">
        <f ca="1">IFERROR(__xludf.DUMMYFUNCTION("""COMPUTED_VALUE"""),149)</f>
        <v>149</v>
      </c>
      <c r="L354" s="1">
        <f ca="1">IFERROR(__xludf.DUMMYFUNCTION("""COMPUTED_VALUE"""),-0.049)</f>
        <v>-4.9000000000000002E-2</v>
      </c>
      <c r="M354" s="1">
        <f ca="1">IFERROR(__xludf.DUMMYFUNCTION("""COMPUTED_VALUE"""),294)</f>
        <v>294</v>
      </c>
      <c r="N354" s="1">
        <f ca="1">IFERROR(__xludf.DUMMYFUNCTION("""COMPUTED_VALUE"""),-3.01)</f>
        <v>-3.01</v>
      </c>
      <c r="O354" s="1">
        <f ca="1">IFERROR(__xludf.DUMMYFUNCTION("""COMPUTED_VALUE"""),221)</f>
        <v>221</v>
      </c>
      <c r="P354" s="1">
        <f ca="1">IFERROR(__xludf.DUMMYFUNCTION("""COMPUTED_VALUE"""),103.6)</f>
        <v>103.6</v>
      </c>
      <c r="Q354" s="1">
        <f ca="1">IFERROR(__xludf.DUMMYFUNCTION("""COMPUTED_VALUE"""),187)</f>
        <v>187</v>
      </c>
      <c r="R354" s="1">
        <f ca="1">IFERROR(__xludf.DUMMYFUNCTION("""COMPUTED_VALUE"""),106.6)</f>
        <v>106.6</v>
      </c>
      <c r="S354" s="1">
        <f ca="1">IFERROR(__xludf.DUMMYFUNCTION("""COMPUTED_VALUE"""),240)</f>
        <v>240</v>
      </c>
      <c r="T354" s="1">
        <f ca="1">IFERROR(__xludf.DUMMYFUNCTION("""COMPUTED_VALUE"""),-1.56)</f>
        <v>-1.56</v>
      </c>
      <c r="U354" s="1">
        <f ca="1">IFERROR(__xludf.DUMMYFUNCTION("""COMPUTED_VALUE"""),204)</f>
        <v>204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IFERROR(__xludf.DUMMYFUNCTION("""COMPUTED_VALUE"""),"South Carolina St.")</f>
        <v>South Carolina St.</v>
      </c>
      <c r="C355" s="1" t="str">
        <f ca="1">IFERROR(__xludf.DUMMYFUNCTION("""COMPUTED_VALUE"""),"MEAC")</f>
        <v>MEAC</v>
      </c>
      <c r="D355" s="2">
        <f ca="1">IFERROR(__xludf.DUMMYFUNCTION("""COMPUTED_VALUE"""),44799)</f>
        <v>44799</v>
      </c>
      <c r="E355" s="1">
        <f ca="1">IFERROR(__xludf.DUMMYFUNCTION("""COMPUTED_VALUE"""),-18.5)</f>
        <v>-18.5</v>
      </c>
      <c r="F355" s="1">
        <f ca="1">IFERROR(__xludf.DUMMYFUNCTION("""COMPUTED_VALUE"""),98.3)</f>
        <v>98.3</v>
      </c>
      <c r="G355" s="1">
        <f ca="1">IFERROR(__xludf.DUMMYFUNCTION("""COMPUTED_VALUE"""),287)</f>
        <v>287</v>
      </c>
      <c r="H355" s="1">
        <f ca="1">IFERROR(__xludf.DUMMYFUNCTION("""COMPUTED_VALUE"""),116.8)</f>
        <v>116.8</v>
      </c>
      <c r="I355" s="1">
        <f ca="1">IFERROR(__xludf.DUMMYFUNCTION("""COMPUTED_VALUE"""),348)</f>
        <v>348</v>
      </c>
      <c r="J355" s="1">
        <f ca="1">IFERROR(__xludf.DUMMYFUNCTION("""COMPUTED_VALUE"""),67)</f>
        <v>67</v>
      </c>
      <c r="K355" s="1">
        <f ca="1">IFERROR(__xludf.DUMMYFUNCTION("""COMPUTED_VALUE"""),209)</f>
        <v>209</v>
      </c>
      <c r="L355" s="1">
        <f ca="1">IFERROR(__xludf.DUMMYFUNCTION("""COMPUTED_VALUE"""),-0.037)</f>
        <v>-3.6999999999999998E-2</v>
      </c>
      <c r="M355" s="1">
        <f ca="1">IFERROR(__xludf.DUMMYFUNCTION("""COMPUTED_VALUE"""),267)</f>
        <v>267</v>
      </c>
      <c r="N355" s="1">
        <f ca="1">IFERROR(__xludf.DUMMYFUNCTION("""COMPUTED_VALUE"""),-7.77)</f>
        <v>-7.77</v>
      </c>
      <c r="O355" s="1">
        <f ca="1">IFERROR(__xludf.DUMMYFUNCTION("""COMPUTED_VALUE"""),328)</f>
        <v>328</v>
      </c>
      <c r="P355" s="1">
        <f ca="1">IFERROR(__xludf.DUMMYFUNCTION("""COMPUTED_VALUE"""),99.2)</f>
        <v>99.2</v>
      </c>
      <c r="Q355" s="1">
        <f ca="1">IFERROR(__xludf.DUMMYFUNCTION("""COMPUTED_VALUE"""),338)</f>
        <v>338</v>
      </c>
      <c r="R355" s="1">
        <f ca="1">IFERROR(__xludf.DUMMYFUNCTION("""COMPUTED_VALUE"""),106.9)</f>
        <v>106.9</v>
      </c>
      <c r="S355" s="1">
        <f ca="1">IFERROR(__xludf.DUMMYFUNCTION("""COMPUTED_VALUE"""),257)</f>
        <v>257</v>
      </c>
      <c r="T355" s="1" t="str">
        <f ca="1">IFERROR(__xludf.DUMMYFUNCTION("""COMPUTED_VALUE"""),"+6.50")</f>
        <v>+6.50</v>
      </c>
      <c r="U355" s="1">
        <f ca="1">IFERROR(__xludf.DUMMYFUNCTION("""COMPUTED_VALUE"""),20)</f>
        <v>20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IFERROR(__xludf.DUMMYFUNCTION("""COMPUTED_VALUE"""),"Maine")</f>
        <v>Maine</v>
      </c>
      <c r="C356" s="1" t="str">
        <f ca="1">IFERROR(__xludf.DUMMYFUNCTION("""COMPUTED_VALUE"""),"AE")</f>
        <v>AE</v>
      </c>
      <c r="D356" s="2">
        <f ca="1">IFERROR(__xludf.DUMMYFUNCTION("""COMPUTED_VALUE"""),44708)</f>
        <v>44708</v>
      </c>
      <c r="E356" s="1">
        <f ca="1">IFERROR(__xludf.DUMMYFUNCTION("""COMPUTED_VALUE"""),-18.68)</f>
        <v>-18.68</v>
      </c>
      <c r="F356" s="1">
        <f ca="1">IFERROR(__xludf.DUMMYFUNCTION("""COMPUTED_VALUE"""),93.3)</f>
        <v>93.3</v>
      </c>
      <c r="G356" s="1">
        <f ca="1">IFERROR(__xludf.DUMMYFUNCTION("""COMPUTED_VALUE"""),335)</f>
        <v>335</v>
      </c>
      <c r="H356" s="1">
        <f ca="1">IFERROR(__xludf.DUMMYFUNCTION("""COMPUTED_VALUE"""),111.9)</f>
        <v>111.9</v>
      </c>
      <c r="I356" s="1">
        <f ca="1">IFERROR(__xludf.DUMMYFUNCTION("""COMPUTED_VALUE"""),311)</f>
        <v>311</v>
      </c>
      <c r="J356" s="1">
        <f ca="1">IFERROR(__xludf.DUMMYFUNCTION("""COMPUTED_VALUE"""),64)</f>
        <v>64</v>
      </c>
      <c r="K356" s="1">
        <f ca="1">IFERROR(__xludf.DUMMYFUNCTION("""COMPUTED_VALUE"""),329)</f>
        <v>329</v>
      </c>
      <c r="L356" s="1">
        <f ca="1">IFERROR(__xludf.DUMMYFUNCTION("""COMPUTED_VALUE"""),-0.058)</f>
        <v>-5.8000000000000003E-2</v>
      </c>
      <c r="M356" s="1">
        <f ca="1">IFERROR(__xludf.DUMMYFUNCTION("""COMPUTED_VALUE"""),306)</f>
        <v>306</v>
      </c>
      <c r="N356" s="1">
        <f ca="1">IFERROR(__xludf.DUMMYFUNCTION("""COMPUTED_VALUE"""),-3.05)</f>
        <v>-3.05</v>
      </c>
      <c r="O356" s="1">
        <f ca="1">IFERROR(__xludf.DUMMYFUNCTION("""COMPUTED_VALUE"""),222)</f>
        <v>222</v>
      </c>
      <c r="P356" s="1">
        <f ca="1">IFERROR(__xludf.DUMMYFUNCTION("""COMPUTED_VALUE"""),102.1)</f>
        <v>102.1</v>
      </c>
      <c r="Q356" s="1">
        <f ca="1">IFERROR(__xludf.DUMMYFUNCTION("""COMPUTED_VALUE"""),273)</f>
        <v>273</v>
      </c>
      <c r="R356" s="1">
        <f ca="1">IFERROR(__xludf.DUMMYFUNCTION("""COMPUTED_VALUE"""),105.1)</f>
        <v>105.1</v>
      </c>
      <c r="S356" s="1">
        <f ca="1">IFERROR(__xludf.DUMMYFUNCTION("""COMPUTED_VALUE"""),188)</f>
        <v>188</v>
      </c>
      <c r="T356" s="1" t="str">
        <f ca="1">IFERROR(__xludf.DUMMYFUNCTION("""COMPUTED_VALUE"""),"+1.22")</f>
        <v>+1.22</v>
      </c>
      <c r="U356" s="1">
        <f ca="1">IFERROR(__xludf.DUMMYFUNCTION("""COMPUTED_VALUE"""),119)</f>
        <v>119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IFERROR(__xludf.DUMMYFUNCTION("""COMPUTED_VALUE"""),"Kennesaw St.")</f>
        <v>Kennesaw St.</v>
      </c>
      <c r="C357" s="1" t="str">
        <f ca="1">IFERROR(__xludf.DUMMYFUNCTION("""COMPUTED_VALUE"""),"ASun")</f>
        <v>ASun</v>
      </c>
      <c r="D357" s="2">
        <f ca="1">IFERROR(__xludf.DUMMYFUNCTION("""COMPUTED_VALUE"""),44738)</f>
        <v>44738</v>
      </c>
      <c r="E357" s="1">
        <f ca="1">IFERROR(__xludf.DUMMYFUNCTION("""COMPUTED_VALUE"""),-18.91)</f>
        <v>-18.91</v>
      </c>
      <c r="F357" s="1">
        <f ca="1">IFERROR(__xludf.DUMMYFUNCTION("""COMPUTED_VALUE"""),92)</f>
        <v>92</v>
      </c>
      <c r="G357" s="1">
        <f ca="1">IFERROR(__xludf.DUMMYFUNCTION("""COMPUTED_VALUE"""),338)</f>
        <v>338</v>
      </c>
      <c r="H357" s="1">
        <f ca="1">IFERROR(__xludf.DUMMYFUNCTION("""COMPUTED_VALUE"""),110.9)</f>
        <v>110.9</v>
      </c>
      <c r="I357" s="1">
        <f ca="1">IFERROR(__xludf.DUMMYFUNCTION("""COMPUTED_VALUE"""),299)</f>
        <v>299</v>
      </c>
      <c r="J357" s="1">
        <f ca="1">IFERROR(__xludf.DUMMYFUNCTION("""COMPUTED_VALUE"""),68.2)</f>
        <v>68.2</v>
      </c>
      <c r="K357" s="1">
        <f ca="1">IFERROR(__xludf.DUMMYFUNCTION("""COMPUTED_VALUE"""),144)</f>
        <v>144</v>
      </c>
      <c r="L357" s="1" t="str">
        <f ca="1">IFERROR(__xludf.DUMMYFUNCTION("""COMPUTED_VALUE"""),"+.040")</f>
        <v>+.040</v>
      </c>
      <c r="M357" s="1">
        <f ca="1">IFERROR(__xludf.DUMMYFUNCTION("""COMPUTED_VALUE"""),84)</f>
        <v>84</v>
      </c>
      <c r="N357" s="1" t="str">
        <f ca="1">IFERROR(__xludf.DUMMYFUNCTION("""COMPUTED_VALUE"""),"+0.93")</f>
        <v>+0.93</v>
      </c>
      <c r="O357" s="1">
        <f ca="1">IFERROR(__xludf.DUMMYFUNCTION("""COMPUTED_VALUE"""),119)</f>
        <v>119</v>
      </c>
      <c r="P357" s="1">
        <f ca="1">IFERROR(__xludf.DUMMYFUNCTION("""COMPUTED_VALUE"""),104.3)</f>
        <v>104.3</v>
      </c>
      <c r="Q357" s="1">
        <f ca="1">IFERROR(__xludf.DUMMYFUNCTION("""COMPUTED_VALUE"""),159)</f>
        <v>159</v>
      </c>
      <c r="R357" s="1">
        <f ca="1">IFERROR(__xludf.DUMMYFUNCTION("""COMPUTED_VALUE"""),103.3)</f>
        <v>103.3</v>
      </c>
      <c r="S357" s="1">
        <f ca="1">IFERROR(__xludf.DUMMYFUNCTION("""COMPUTED_VALUE"""),105)</f>
        <v>105</v>
      </c>
      <c r="T357" s="1" t="str">
        <f ca="1">IFERROR(__xludf.DUMMYFUNCTION("""COMPUTED_VALUE"""),"+3.94")</f>
        <v>+3.94</v>
      </c>
      <c r="U357" s="1">
        <f ca="1">IFERROR(__xludf.DUMMYFUNCTION("""COMPUTED_VALUE"""),60)</f>
        <v>60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IFERROR(__xludf.DUMMYFUNCTION("""COMPUTED_VALUE"""),"Savannah St.")</f>
        <v>Savannah St.</v>
      </c>
      <c r="C358" s="1" t="str">
        <f ca="1">IFERROR(__xludf.DUMMYFUNCTION("""COMPUTED_VALUE"""),"MEAC")</f>
        <v>MEAC</v>
      </c>
      <c r="D358" s="2">
        <f ca="1">IFERROR(__xludf.DUMMYFUNCTION("""COMPUTED_VALUE"""),44885)</f>
        <v>44885</v>
      </c>
      <c r="E358" s="1">
        <f ca="1">IFERROR(__xludf.DUMMYFUNCTION("""COMPUTED_VALUE"""),-19.45)</f>
        <v>-19.45</v>
      </c>
      <c r="F358" s="1">
        <f ca="1">IFERROR(__xludf.DUMMYFUNCTION("""COMPUTED_VALUE"""),96.6)</f>
        <v>96.6</v>
      </c>
      <c r="G358" s="1">
        <f ca="1">IFERROR(__xludf.DUMMYFUNCTION("""COMPUTED_VALUE"""),307)</f>
        <v>307</v>
      </c>
      <c r="H358" s="1">
        <f ca="1">IFERROR(__xludf.DUMMYFUNCTION("""COMPUTED_VALUE"""),116.1)</f>
        <v>116.1</v>
      </c>
      <c r="I358" s="1">
        <f ca="1">IFERROR(__xludf.DUMMYFUNCTION("""COMPUTED_VALUE"""),347)</f>
        <v>347</v>
      </c>
      <c r="J358" s="1">
        <f ca="1">IFERROR(__xludf.DUMMYFUNCTION("""COMPUTED_VALUE"""),74.9)</f>
        <v>74.900000000000006</v>
      </c>
      <c r="K358" s="1">
        <f ca="1">IFERROR(__xludf.DUMMYFUNCTION("""COMPUTED_VALUE"""),3)</f>
        <v>3</v>
      </c>
      <c r="L358" s="1" t="str">
        <f ca="1">IFERROR(__xludf.DUMMYFUNCTION("""COMPUTED_VALUE"""),"+.061")</f>
        <v>+.061</v>
      </c>
      <c r="M358" s="1">
        <f ca="1">IFERROR(__xludf.DUMMYFUNCTION("""COMPUTED_VALUE"""),41)</f>
        <v>41</v>
      </c>
      <c r="N358" s="1">
        <f ca="1">IFERROR(__xludf.DUMMYFUNCTION("""COMPUTED_VALUE"""),-10.05)</f>
        <v>-10.050000000000001</v>
      </c>
      <c r="O358" s="1">
        <f ca="1">IFERROR(__xludf.DUMMYFUNCTION("""COMPUTED_VALUE"""),349)</f>
        <v>349</v>
      </c>
      <c r="P358" s="1">
        <f ca="1">IFERROR(__xludf.DUMMYFUNCTION("""COMPUTED_VALUE"""),97.7)</f>
        <v>97.7</v>
      </c>
      <c r="Q358" s="1">
        <f ca="1">IFERROR(__xludf.DUMMYFUNCTION("""COMPUTED_VALUE"""),351)</f>
        <v>351</v>
      </c>
      <c r="R358" s="1">
        <f ca="1">IFERROR(__xludf.DUMMYFUNCTION("""COMPUTED_VALUE"""),107.7)</f>
        <v>107.7</v>
      </c>
      <c r="S358" s="1">
        <f ca="1">IFERROR(__xludf.DUMMYFUNCTION("""COMPUTED_VALUE"""),302)</f>
        <v>302</v>
      </c>
      <c r="T358" s="1" t="str">
        <f ca="1">IFERROR(__xludf.DUMMYFUNCTION("""COMPUTED_VALUE"""),"+4.58")</f>
        <v>+4.58</v>
      </c>
      <c r="U358" s="1">
        <f ca="1">IFERROR(__xludf.DUMMYFUNCTION("""COMPUTED_VALUE"""),50)</f>
        <v>50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IFERROR(__xludf.DUMMYFUNCTION("""COMPUTED_VALUE"""),"Northwestern St.")</f>
        <v>Northwestern St.</v>
      </c>
      <c r="C359" s="1" t="str">
        <f ca="1">IFERROR(__xludf.DUMMYFUNCTION("""COMPUTED_VALUE"""),"Slnd")</f>
        <v>Slnd</v>
      </c>
      <c r="D359" s="2">
        <f ca="1">IFERROR(__xludf.DUMMYFUNCTION("""COMPUTED_VALUE"""),44885)</f>
        <v>44885</v>
      </c>
      <c r="E359" s="1">
        <f ca="1">IFERROR(__xludf.DUMMYFUNCTION("""COMPUTED_VALUE"""),-19.81)</f>
        <v>-19.809999999999999</v>
      </c>
      <c r="F359" s="1">
        <f ca="1">IFERROR(__xludf.DUMMYFUNCTION("""COMPUTED_VALUE"""),90.1)</f>
        <v>90.1</v>
      </c>
      <c r="G359" s="1">
        <f ca="1">IFERROR(__xludf.DUMMYFUNCTION("""COMPUTED_VALUE"""),342)</f>
        <v>342</v>
      </c>
      <c r="H359" s="1">
        <f ca="1">IFERROR(__xludf.DUMMYFUNCTION("""COMPUTED_VALUE"""),110)</f>
        <v>110</v>
      </c>
      <c r="I359" s="1">
        <f ca="1">IFERROR(__xludf.DUMMYFUNCTION("""COMPUTED_VALUE"""),279)</f>
        <v>279</v>
      </c>
      <c r="J359" s="1">
        <f ca="1">IFERROR(__xludf.DUMMYFUNCTION("""COMPUTED_VALUE"""),68.6)</f>
        <v>68.599999999999994</v>
      </c>
      <c r="K359" s="1">
        <f ca="1">IFERROR(__xludf.DUMMYFUNCTION("""COMPUTED_VALUE"""),124)</f>
        <v>124</v>
      </c>
      <c r="L359" s="1" t="str">
        <f ca="1">IFERROR(__xludf.DUMMYFUNCTION("""COMPUTED_VALUE"""),"+.069")</f>
        <v>+.069</v>
      </c>
      <c r="M359" s="1">
        <f ca="1">IFERROR(__xludf.DUMMYFUNCTION("""COMPUTED_VALUE"""),30)</f>
        <v>30</v>
      </c>
      <c r="N359" s="1">
        <f ca="1">IFERROR(__xludf.DUMMYFUNCTION("""COMPUTED_VALUE"""),-6.78)</f>
        <v>-6.78</v>
      </c>
      <c r="O359" s="1">
        <f ca="1">IFERROR(__xludf.DUMMYFUNCTION("""COMPUTED_VALUE"""),302)</f>
        <v>302</v>
      </c>
      <c r="P359" s="1">
        <f ca="1">IFERROR(__xludf.DUMMYFUNCTION("""COMPUTED_VALUE"""),100.8)</f>
        <v>100.8</v>
      </c>
      <c r="Q359" s="1">
        <f ca="1">IFERROR(__xludf.DUMMYFUNCTION("""COMPUTED_VALUE"""),309)</f>
        <v>309</v>
      </c>
      <c r="R359" s="1">
        <f ca="1">IFERROR(__xludf.DUMMYFUNCTION("""COMPUTED_VALUE"""),107.6)</f>
        <v>107.6</v>
      </c>
      <c r="S359" s="1">
        <f ca="1">IFERROR(__xludf.DUMMYFUNCTION("""COMPUTED_VALUE"""),289)</f>
        <v>289</v>
      </c>
      <c r="T359" s="1" t="str">
        <f ca="1">IFERROR(__xludf.DUMMYFUNCTION("""COMPUTED_VALUE"""),"+3.74")</f>
        <v>+3.74</v>
      </c>
      <c r="U359" s="1">
        <f ca="1">IFERROR(__xludf.DUMMYFUNCTION("""COMPUTED_VALUE"""),64)</f>
        <v>64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IFERROR(__xludf.DUMMYFUNCTION("""COMPUTED_VALUE"""),"Coppin St.")</f>
        <v>Coppin St.</v>
      </c>
      <c r="C360" s="1" t="str">
        <f ca="1">IFERROR(__xludf.DUMMYFUNCTION("""COMPUTED_VALUE"""),"MEAC")</f>
        <v>MEAC</v>
      </c>
      <c r="D360" s="2">
        <f ca="1">IFERROR(__xludf.DUMMYFUNCTION("""COMPUTED_VALUE"""),44798)</f>
        <v>44798</v>
      </c>
      <c r="E360" s="1">
        <f ca="1">IFERROR(__xludf.DUMMYFUNCTION("""COMPUTED_VALUE"""),-20.33)</f>
        <v>-20.329999999999998</v>
      </c>
      <c r="F360" s="1">
        <f ca="1">IFERROR(__xludf.DUMMYFUNCTION("""COMPUTED_VALUE"""),88.9)</f>
        <v>88.9</v>
      </c>
      <c r="G360" s="1">
        <f ca="1">IFERROR(__xludf.DUMMYFUNCTION("""COMPUTED_VALUE"""),349)</f>
        <v>349</v>
      </c>
      <c r="H360" s="1">
        <f ca="1">IFERROR(__xludf.DUMMYFUNCTION("""COMPUTED_VALUE"""),109.3)</f>
        <v>109.3</v>
      </c>
      <c r="I360" s="1">
        <f ca="1">IFERROR(__xludf.DUMMYFUNCTION("""COMPUTED_VALUE"""),266)</f>
        <v>266</v>
      </c>
      <c r="J360" s="1">
        <f ca="1">IFERROR(__xludf.DUMMYFUNCTION("""COMPUTED_VALUE"""),70.2)</f>
        <v>70.2</v>
      </c>
      <c r="K360" s="1">
        <f ca="1">IFERROR(__xludf.DUMMYFUNCTION("""COMPUTED_VALUE"""),60)</f>
        <v>60</v>
      </c>
      <c r="L360" s="1" t="str">
        <f ca="1">IFERROR(__xludf.DUMMYFUNCTION("""COMPUTED_VALUE"""),"+.010")</f>
        <v>+.010</v>
      </c>
      <c r="M360" s="1">
        <f ca="1">IFERROR(__xludf.DUMMYFUNCTION("""COMPUTED_VALUE"""),155)</f>
        <v>155</v>
      </c>
      <c r="N360" s="1">
        <f ca="1">IFERROR(__xludf.DUMMYFUNCTION("""COMPUTED_VALUE"""),-7.78)</f>
        <v>-7.78</v>
      </c>
      <c r="O360" s="1">
        <f ca="1">IFERROR(__xludf.DUMMYFUNCTION("""COMPUTED_VALUE"""),329)</f>
        <v>329</v>
      </c>
      <c r="P360" s="1">
        <f ca="1">IFERROR(__xludf.DUMMYFUNCTION("""COMPUTED_VALUE"""),99.6)</f>
        <v>99.6</v>
      </c>
      <c r="Q360" s="1">
        <f ca="1">IFERROR(__xludf.DUMMYFUNCTION("""COMPUTED_VALUE"""),333)</f>
        <v>333</v>
      </c>
      <c r="R360" s="1">
        <f ca="1">IFERROR(__xludf.DUMMYFUNCTION("""COMPUTED_VALUE"""),107.4)</f>
        <v>107.4</v>
      </c>
      <c r="S360" s="1">
        <f ca="1">IFERROR(__xludf.DUMMYFUNCTION("""COMPUTED_VALUE"""),280)</f>
        <v>280</v>
      </c>
      <c r="T360" s="1" t="str">
        <f ca="1">IFERROR(__xludf.DUMMYFUNCTION("""COMPUTED_VALUE"""),"+7.64")</f>
        <v>+7.64</v>
      </c>
      <c r="U360" s="1">
        <f ca="1">IFERROR(__xludf.DUMMYFUNCTION("""COMPUTED_VALUE"""),10)</f>
        <v>10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IFERROR(__xludf.DUMMYFUNCTION("""COMPUTED_VALUE"""),"San Jose St.")</f>
        <v>San Jose St.</v>
      </c>
      <c r="C361" s="1" t="str">
        <f ca="1">IFERROR(__xludf.DUMMYFUNCTION("""COMPUTED_VALUE"""),"MWC")</f>
        <v>MWC</v>
      </c>
      <c r="D361" s="2">
        <f ca="1">IFERROR(__xludf.DUMMYFUNCTION("""COMPUTED_VALUE"""),44678)</f>
        <v>44678</v>
      </c>
      <c r="E361" s="1">
        <f ca="1">IFERROR(__xludf.DUMMYFUNCTION("""COMPUTED_VALUE"""),-21.99)</f>
        <v>-21.99</v>
      </c>
      <c r="F361" s="1">
        <f ca="1">IFERROR(__xludf.DUMMYFUNCTION("""COMPUTED_VALUE"""),92)</f>
        <v>92</v>
      </c>
      <c r="G361" s="1">
        <f ca="1">IFERROR(__xludf.DUMMYFUNCTION("""COMPUTED_VALUE"""),339)</f>
        <v>339</v>
      </c>
      <c r="H361" s="1">
        <f ca="1">IFERROR(__xludf.DUMMYFUNCTION("""COMPUTED_VALUE"""),114)</f>
        <v>114</v>
      </c>
      <c r="I361" s="1">
        <f ca="1">IFERROR(__xludf.DUMMYFUNCTION("""COMPUTED_VALUE"""),335)</f>
        <v>335</v>
      </c>
      <c r="J361" s="1">
        <f ca="1">IFERROR(__xludf.DUMMYFUNCTION("""COMPUTED_VALUE"""),69.3)</f>
        <v>69.3</v>
      </c>
      <c r="K361" s="1">
        <f ca="1">IFERROR(__xludf.DUMMYFUNCTION("""COMPUTED_VALUE"""),92)</f>
        <v>92</v>
      </c>
      <c r="L361" s="1">
        <f ca="1">IFERROR(__xludf.DUMMYFUNCTION("""COMPUTED_VALUE"""),-0.021)</f>
        <v>-2.1000000000000001E-2</v>
      </c>
      <c r="M361" s="1">
        <f ca="1">IFERROR(__xludf.DUMMYFUNCTION("""COMPUTED_VALUE"""),235)</f>
        <v>235</v>
      </c>
      <c r="N361" s="1">
        <f ca="1">IFERROR(__xludf.DUMMYFUNCTION("""COMPUTED_VALUE"""),-1.41)</f>
        <v>-1.41</v>
      </c>
      <c r="O361" s="1">
        <f ca="1">IFERROR(__xludf.DUMMYFUNCTION("""COMPUTED_VALUE"""),176)</f>
        <v>176</v>
      </c>
      <c r="P361" s="1">
        <f ca="1">IFERROR(__xludf.DUMMYFUNCTION("""COMPUTED_VALUE"""),103.6)</f>
        <v>103.6</v>
      </c>
      <c r="Q361" s="1">
        <f ca="1">IFERROR(__xludf.DUMMYFUNCTION("""COMPUTED_VALUE"""),184)</f>
        <v>184</v>
      </c>
      <c r="R361" s="1">
        <f ca="1">IFERROR(__xludf.DUMMYFUNCTION("""COMPUTED_VALUE"""),105)</f>
        <v>105</v>
      </c>
      <c r="S361" s="1">
        <f ca="1">IFERROR(__xludf.DUMMYFUNCTION("""COMPUTED_VALUE"""),185)</f>
        <v>185</v>
      </c>
      <c r="T361" s="1">
        <f ca="1">IFERROR(__xludf.DUMMYFUNCTION("""COMPUTED_VALUE"""),-4.97)</f>
        <v>-4.97</v>
      </c>
      <c r="U361" s="1">
        <f ca="1">IFERROR(__xludf.DUMMYFUNCTION("""COMPUTED_VALUE"""),302)</f>
        <v>302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IFERROR(__xludf.DUMMYFUNCTION("""COMPUTED_VALUE"""),"Alabama A&amp;M")</f>
        <v>Alabama A&amp;M</v>
      </c>
      <c r="C362" s="1" t="str">
        <f ca="1">IFERROR(__xludf.DUMMYFUNCTION("""COMPUTED_VALUE"""),"SWAC")</f>
        <v>SWAC</v>
      </c>
      <c r="D362" s="2">
        <f ca="1">IFERROR(__xludf.DUMMYFUNCTION("""COMPUTED_VALUE"""),44708)</f>
        <v>44708</v>
      </c>
      <c r="E362" s="1">
        <f ca="1">IFERROR(__xludf.DUMMYFUNCTION("""COMPUTED_VALUE"""),-22.17)</f>
        <v>-22.17</v>
      </c>
      <c r="F362" s="1">
        <f ca="1">IFERROR(__xludf.DUMMYFUNCTION("""COMPUTED_VALUE"""),87)</f>
        <v>87</v>
      </c>
      <c r="G362" s="1">
        <f ca="1">IFERROR(__xludf.DUMMYFUNCTION("""COMPUTED_VALUE"""),350)</f>
        <v>350</v>
      </c>
      <c r="H362" s="1">
        <f ca="1">IFERROR(__xludf.DUMMYFUNCTION("""COMPUTED_VALUE"""),109.1)</f>
        <v>109.1</v>
      </c>
      <c r="I362" s="1">
        <f ca="1">IFERROR(__xludf.DUMMYFUNCTION("""COMPUTED_VALUE"""),264)</f>
        <v>264</v>
      </c>
      <c r="J362" s="1">
        <f ca="1">IFERROR(__xludf.DUMMYFUNCTION("""COMPUTED_VALUE"""),65.7)</f>
        <v>65.7</v>
      </c>
      <c r="K362" s="1">
        <f ca="1">IFERROR(__xludf.DUMMYFUNCTION("""COMPUTED_VALUE"""),282)</f>
        <v>282</v>
      </c>
      <c r="L362" s="1">
        <f ca="1">IFERROR(__xludf.DUMMYFUNCTION("""COMPUTED_VALUE"""),-0.044)</f>
        <v>-4.3999999999999997E-2</v>
      </c>
      <c r="M362" s="1">
        <f ca="1">IFERROR(__xludf.DUMMYFUNCTION("""COMPUTED_VALUE"""),283)</f>
        <v>283</v>
      </c>
      <c r="N362" s="1">
        <f ca="1">IFERROR(__xludf.DUMMYFUNCTION("""COMPUTED_VALUE"""),-8.03)</f>
        <v>-8.0299999999999994</v>
      </c>
      <c r="O362" s="1">
        <f ca="1">IFERROR(__xludf.DUMMYFUNCTION("""COMPUTED_VALUE"""),333)</f>
        <v>333</v>
      </c>
      <c r="P362" s="1">
        <f ca="1">IFERROR(__xludf.DUMMYFUNCTION("""COMPUTED_VALUE"""),99.3)</f>
        <v>99.3</v>
      </c>
      <c r="Q362" s="1">
        <f ca="1">IFERROR(__xludf.DUMMYFUNCTION("""COMPUTED_VALUE"""),337)</f>
        <v>337</v>
      </c>
      <c r="R362" s="1">
        <f ca="1">IFERROR(__xludf.DUMMYFUNCTION("""COMPUTED_VALUE"""),107.3)</f>
        <v>107.3</v>
      </c>
      <c r="S362" s="1">
        <f ca="1">IFERROR(__xludf.DUMMYFUNCTION("""COMPUTED_VALUE"""),274)</f>
        <v>274</v>
      </c>
      <c r="T362" s="1" t="str">
        <f ca="1">IFERROR(__xludf.DUMMYFUNCTION("""COMPUTED_VALUE"""),"+0.26")</f>
        <v>+0.26</v>
      </c>
      <c r="U362" s="1">
        <f ca="1">IFERROR(__xludf.DUMMYFUNCTION("""COMPUTED_VALUE"""),153)</f>
        <v>153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IFERROR(__xludf.DUMMYFUNCTION("""COMPUTED_VALUE"""),"New Hampshire")</f>
        <v>New Hampshire</v>
      </c>
      <c r="C363" s="1" t="str">
        <f ca="1">IFERROR(__xludf.DUMMYFUNCTION("""COMPUTED_VALUE"""),"AE")</f>
        <v>AE</v>
      </c>
      <c r="D363" s="2">
        <f ca="1">IFERROR(__xludf.DUMMYFUNCTION("""COMPUTED_VALUE"""),44705)</f>
        <v>44705</v>
      </c>
      <c r="E363" s="1">
        <f ca="1">IFERROR(__xludf.DUMMYFUNCTION("""COMPUTED_VALUE"""),-23.05)</f>
        <v>-23.05</v>
      </c>
      <c r="F363" s="1">
        <f ca="1">IFERROR(__xludf.DUMMYFUNCTION("""COMPUTED_VALUE"""),84.4)</f>
        <v>84.4</v>
      </c>
      <c r="G363" s="1">
        <f ca="1">IFERROR(__xludf.DUMMYFUNCTION("""COMPUTED_VALUE"""),353)</f>
        <v>353</v>
      </c>
      <c r="H363" s="1">
        <f ca="1">IFERROR(__xludf.DUMMYFUNCTION("""COMPUTED_VALUE"""),107.5)</f>
        <v>107.5</v>
      </c>
      <c r="I363" s="1">
        <f ca="1">IFERROR(__xludf.DUMMYFUNCTION("""COMPUTED_VALUE"""),237)</f>
        <v>237</v>
      </c>
      <c r="J363" s="1">
        <f ca="1">IFERROR(__xludf.DUMMYFUNCTION("""COMPUTED_VALUE"""),65.6)</f>
        <v>65.599999999999994</v>
      </c>
      <c r="K363" s="1">
        <f ca="1">IFERROR(__xludf.DUMMYFUNCTION("""COMPUTED_VALUE"""),283)</f>
        <v>283</v>
      </c>
      <c r="L363" s="1">
        <f ca="1">IFERROR(__xludf.DUMMYFUNCTION("""COMPUTED_VALUE"""),-0.015)</f>
        <v>-1.4999999999999999E-2</v>
      </c>
      <c r="M363" s="1">
        <f ca="1">IFERROR(__xludf.DUMMYFUNCTION("""COMPUTED_VALUE"""),225)</f>
        <v>225</v>
      </c>
      <c r="N363" s="1">
        <f ca="1">IFERROR(__xludf.DUMMYFUNCTION("""COMPUTED_VALUE"""),-6.31)</f>
        <v>-6.31</v>
      </c>
      <c r="O363" s="1">
        <f ca="1">IFERROR(__xludf.DUMMYFUNCTION("""COMPUTED_VALUE"""),294)</f>
        <v>294</v>
      </c>
      <c r="P363" s="1">
        <f ca="1">IFERROR(__xludf.DUMMYFUNCTION("""COMPUTED_VALUE"""),101.5)</f>
        <v>101.5</v>
      </c>
      <c r="Q363" s="1">
        <f ca="1">IFERROR(__xludf.DUMMYFUNCTION("""COMPUTED_VALUE"""),284)</f>
        <v>284</v>
      </c>
      <c r="R363" s="1">
        <f ca="1">IFERROR(__xludf.DUMMYFUNCTION("""COMPUTED_VALUE"""),107.9)</f>
        <v>107.9</v>
      </c>
      <c r="S363" s="1">
        <f ca="1">IFERROR(__xludf.DUMMYFUNCTION("""COMPUTED_VALUE"""),308)</f>
        <v>308</v>
      </c>
      <c r="T363" s="1">
        <f ca="1">IFERROR(__xludf.DUMMYFUNCTION("""COMPUTED_VALUE"""),-4.9)</f>
        <v>-4.9000000000000004</v>
      </c>
      <c r="U363" s="1">
        <f ca="1">IFERROR(__xludf.DUMMYFUNCTION("""COMPUTED_VALUE"""),298)</f>
        <v>298</v>
      </c>
    </row>
    <row r="364" spans="1:21" ht="13" x14ac:dyDescent="0.15">
      <c r="A364" s="1">
        <f ca="1">IFERROR(__xludf.DUMMYFUNCTION("""COMPUTED_VALUE"""),346)</f>
        <v>346</v>
      </c>
      <c r="B364" s="1" t="str">
        <f ca="1">IFERROR(__xludf.DUMMYFUNCTION("""COMPUTED_VALUE"""),"Incarnate Word")</f>
        <v>Incarnate Word</v>
      </c>
      <c r="C364" s="1" t="str">
        <f ca="1">IFERROR(__xludf.DUMMYFUNCTION("""COMPUTED_VALUE"""),"Slnd")</f>
        <v>Slnd</v>
      </c>
      <c r="D364" s="2">
        <f ca="1">IFERROR(__xludf.DUMMYFUNCTION("""COMPUTED_VALUE"""),44737)</f>
        <v>44737</v>
      </c>
      <c r="E364" s="1">
        <f ca="1">IFERROR(__xludf.DUMMYFUNCTION("""COMPUTED_VALUE"""),-23.06)</f>
        <v>-23.06</v>
      </c>
      <c r="F364" s="1">
        <f ca="1">IFERROR(__xludf.DUMMYFUNCTION("""COMPUTED_VALUE"""),97.5)</f>
        <v>97.5</v>
      </c>
      <c r="G364" s="1">
        <f ca="1">IFERROR(__xludf.DUMMYFUNCTION("""COMPUTED_VALUE"""),298)</f>
        <v>298</v>
      </c>
      <c r="H364" s="1">
        <f ca="1">IFERROR(__xludf.DUMMYFUNCTION("""COMPUTED_VALUE"""),120.6)</f>
        <v>120.6</v>
      </c>
      <c r="I364" s="1">
        <f ca="1">IFERROR(__xludf.DUMMYFUNCTION("""COMPUTED_VALUE"""),353)</f>
        <v>353</v>
      </c>
      <c r="J364" s="1">
        <f ca="1">IFERROR(__xludf.DUMMYFUNCTION("""COMPUTED_VALUE"""),64.9)</f>
        <v>64.900000000000006</v>
      </c>
      <c r="K364" s="1">
        <f ca="1">IFERROR(__xludf.DUMMYFUNCTION("""COMPUTED_VALUE"""),313)</f>
        <v>313</v>
      </c>
      <c r="L364" s="1">
        <f ca="1">IFERROR(__xludf.DUMMYFUNCTION("""COMPUTED_VALUE"""),-0.066)</f>
        <v>-6.6000000000000003E-2</v>
      </c>
      <c r="M364" s="1">
        <f ca="1">IFERROR(__xludf.DUMMYFUNCTION("""COMPUTED_VALUE"""),317)</f>
        <v>317</v>
      </c>
      <c r="N364" s="1">
        <f ca="1">IFERROR(__xludf.DUMMYFUNCTION("""COMPUTED_VALUE"""),-5.4)</f>
        <v>-5.4</v>
      </c>
      <c r="O364" s="1">
        <f ca="1">IFERROR(__xludf.DUMMYFUNCTION("""COMPUTED_VALUE"""),278)</f>
        <v>278</v>
      </c>
      <c r="P364" s="1">
        <f ca="1">IFERROR(__xludf.DUMMYFUNCTION("""COMPUTED_VALUE"""),101.3)</f>
        <v>101.3</v>
      </c>
      <c r="Q364" s="1">
        <f ca="1">IFERROR(__xludf.DUMMYFUNCTION("""COMPUTED_VALUE"""),293)</f>
        <v>293</v>
      </c>
      <c r="R364" s="1">
        <f ca="1">IFERROR(__xludf.DUMMYFUNCTION("""COMPUTED_VALUE"""),106.7)</f>
        <v>106.7</v>
      </c>
      <c r="S364" s="1">
        <f ca="1">IFERROR(__xludf.DUMMYFUNCTION("""COMPUTED_VALUE"""),242)</f>
        <v>242</v>
      </c>
      <c r="T364" s="1" t="str">
        <f ca="1">IFERROR(__xludf.DUMMYFUNCTION("""COMPUTED_VALUE"""),"+4.25")</f>
        <v>+4.25</v>
      </c>
      <c r="U364" s="1">
        <f ca="1">IFERROR(__xludf.DUMMYFUNCTION("""COMPUTED_VALUE"""),53)</f>
        <v>53</v>
      </c>
    </row>
    <row r="365" spans="1:21" ht="13" x14ac:dyDescent="0.15">
      <c r="A365" s="1">
        <f ca="1">IFERROR(__xludf.DUMMYFUNCTION("""COMPUTED_VALUE"""),347)</f>
        <v>347</v>
      </c>
      <c r="B365" s="1" t="str">
        <f ca="1">IFERROR(__xludf.DUMMYFUNCTION("""COMPUTED_VALUE"""),"UNC Asheville")</f>
        <v>UNC Asheville</v>
      </c>
      <c r="C365" s="1" t="str">
        <f ca="1">IFERROR(__xludf.DUMMYFUNCTION("""COMPUTED_VALUE"""),"BSth")</f>
        <v>BSth</v>
      </c>
      <c r="D365" s="2">
        <f ca="1">IFERROR(__xludf.DUMMYFUNCTION("""COMPUTED_VALUE"""),44678)</f>
        <v>44678</v>
      </c>
      <c r="E365" s="1">
        <f ca="1">IFERROR(__xludf.DUMMYFUNCTION("""COMPUTED_VALUE"""),-23.64)</f>
        <v>-23.64</v>
      </c>
      <c r="F365" s="1">
        <f ca="1">IFERROR(__xludf.DUMMYFUNCTION("""COMPUTED_VALUE"""),93.3)</f>
        <v>93.3</v>
      </c>
      <c r="G365" s="1">
        <f ca="1">IFERROR(__xludf.DUMMYFUNCTION("""COMPUTED_VALUE"""),333)</f>
        <v>333</v>
      </c>
      <c r="H365" s="1">
        <f ca="1">IFERROR(__xludf.DUMMYFUNCTION("""COMPUTED_VALUE"""),117)</f>
        <v>117</v>
      </c>
      <c r="I365" s="1">
        <f ca="1">IFERROR(__xludf.DUMMYFUNCTION("""COMPUTED_VALUE"""),349)</f>
        <v>349</v>
      </c>
      <c r="J365" s="1">
        <f ca="1">IFERROR(__xludf.DUMMYFUNCTION("""COMPUTED_VALUE"""),61.9)</f>
        <v>61.9</v>
      </c>
      <c r="K365" s="1">
        <f ca="1">IFERROR(__xludf.DUMMYFUNCTION("""COMPUTED_VALUE"""),350)</f>
        <v>350</v>
      </c>
      <c r="L365" s="1">
        <f ca="1">IFERROR(__xludf.DUMMYFUNCTION("""COMPUTED_VALUE"""),-0.032)</f>
        <v>-3.2000000000000001E-2</v>
      </c>
      <c r="M365" s="1">
        <f ca="1">IFERROR(__xludf.DUMMYFUNCTION("""COMPUTED_VALUE"""),257)</f>
        <v>257</v>
      </c>
      <c r="N365" s="1">
        <f ca="1">IFERROR(__xludf.DUMMYFUNCTION("""COMPUTED_VALUE"""),-0.79)</f>
        <v>-0.79</v>
      </c>
      <c r="O365" s="1">
        <f ca="1">IFERROR(__xludf.DUMMYFUNCTION("""COMPUTED_VALUE"""),161)</f>
        <v>161</v>
      </c>
      <c r="P365" s="1">
        <f ca="1">IFERROR(__xludf.DUMMYFUNCTION("""COMPUTED_VALUE"""),105.2)</f>
        <v>105.2</v>
      </c>
      <c r="Q365" s="1">
        <f ca="1">IFERROR(__xludf.DUMMYFUNCTION("""COMPUTED_VALUE"""),118)</f>
        <v>118</v>
      </c>
      <c r="R365" s="1">
        <f ca="1">IFERROR(__xludf.DUMMYFUNCTION("""COMPUTED_VALUE"""),106)</f>
        <v>106</v>
      </c>
      <c r="S365" s="1">
        <f ca="1">IFERROR(__xludf.DUMMYFUNCTION("""COMPUTED_VALUE"""),216)</f>
        <v>216</v>
      </c>
      <c r="T365" s="1" t="str">
        <f ca="1">IFERROR(__xludf.DUMMYFUNCTION("""COMPUTED_VALUE"""),"+4.41")</f>
        <v>+4.41</v>
      </c>
      <c r="U365" s="1">
        <f ca="1">IFERROR(__xludf.DUMMYFUNCTION("""COMPUTED_VALUE"""),52)</f>
        <v>52</v>
      </c>
    </row>
    <row r="366" spans="1:21" ht="13" x14ac:dyDescent="0.15">
      <c r="A366" s="1">
        <f ca="1">IFERROR(__xludf.DUMMYFUNCTION("""COMPUTED_VALUE"""),348)</f>
        <v>348</v>
      </c>
      <c r="B366" s="1" t="str">
        <f ca="1">IFERROR(__xludf.DUMMYFUNCTION("""COMPUTED_VALUE"""),"Idaho")</f>
        <v>Idaho</v>
      </c>
      <c r="C366" s="1" t="str">
        <f ca="1">IFERROR(__xludf.DUMMYFUNCTION("""COMPUTED_VALUE"""),"BSky")</f>
        <v>BSky</v>
      </c>
      <c r="D366" s="2">
        <f ca="1">IFERROR(__xludf.DUMMYFUNCTION("""COMPUTED_VALUE"""),44708)</f>
        <v>44708</v>
      </c>
      <c r="E366" s="1">
        <f ca="1">IFERROR(__xludf.DUMMYFUNCTION("""COMPUTED_VALUE"""),-23.78)</f>
        <v>-23.78</v>
      </c>
      <c r="F366" s="1">
        <f ca="1">IFERROR(__xludf.DUMMYFUNCTION("""COMPUTED_VALUE"""),95.2)</f>
        <v>95.2</v>
      </c>
      <c r="G366" s="1">
        <f ca="1">IFERROR(__xludf.DUMMYFUNCTION("""COMPUTED_VALUE"""),324)</f>
        <v>324</v>
      </c>
      <c r="H366" s="1">
        <f ca="1">IFERROR(__xludf.DUMMYFUNCTION("""COMPUTED_VALUE"""),118.9)</f>
        <v>118.9</v>
      </c>
      <c r="I366" s="1">
        <f ca="1">IFERROR(__xludf.DUMMYFUNCTION("""COMPUTED_VALUE"""),352)</f>
        <v>352</v>
      </c>
      <c r="J366" s="1">
        <f ca="1">IFERROR(__xludf.DUMMYFUNCTION("""COMPUTED_VALUE"""),65.4)</f>
        <v>65.400000000000006</v>
      </c>
      <c r="K366" s="1">
        <f ca="1">IFERROR(__xludf.DUMMYFUNCTION("""COMPUTED_VALUE"""),290)</f>
        <v>290</v>
      </c>
      <c r="L366" s="1">
        <f ca="1">IFERROR(__xludf.DUMMYFUNCTION("""COMPUTED_VALUE"""),-0.036)</f>
        <v>-3.5999999999999997E-2</v>
      </c>
      <c r="M366" s="1">
        <f ca="1">IFERROR(__xludf.DUMMYFUNCTION("""COMPUTED_VALUE"""),265)</f>
        <v>265</v>
      </c>
      <c r="N366" s="1">
        <f ca="1">IFERROR(__xludf.DUMMYFUNCTION("""COMPUTED_VALUE"""),-6.99)</f>
        <v>-6.99</v>
      </c>
      <c r="O366" s="1">
        <f ca="1">IFERROR(__xludf.DUMMYFUNCTION("""COMPUTED_VALUE"""),306)</f>
        <v>306</v>
      </c>
      <c r="P366" s="1">
        <f ca="1">IFERROR(__xludf.DUMMYFUNCTION("""COMPUTED_VALUE"""),102.3)</f>
        <v>102.3</v>
      </c>
      <c r="Q366" s="1">
        <f ca="1">IFERROR(__xludf.DUMMYFUNCTION("""COMPUTED_VALUE"""),263)</f>
        <v>263</v>
      </c>
      <c r="R366" s="1">
        <f ca="1">IFERROR(__xludf.DUMMYFUNCTION("""COMPUTED_VALUE"""),109.3)</f>
        <v>109.3</v>
      </c>
      <c r="S366" s="1">
        <f ca="1">IFERROR(__xludf.DUMMYFUNCTION("""COMPUTED_VALUE"""),347)</f>
        <v>347</v>
      </c>
      <c r="T366" s="1">
        <f ca="1">IFERROR(__xludf.DUMMYFUNCTION("""COMPUTED_VALUE"""),-3.53)</f>
        <v>-3.53</v>
      </c>
      <c r="U366" s="1">
        <f ca="1">IFERROR(__xludf.DUMMYFUNCTION("""COMPUTED_VALUE"""),262)</f>
        <v>262</v>
      </c>
    </row>
    <row r="367" spans="1:21" ht="13" x14ac:dyDescent="0.15">
      <c r="A367" s="1">
        <f ca="1">IFERROR(__xludf.DUMMYFUNCTION("""COMPUTED_VALUE"""),349)</f>
        <v>349</v>
      </c>
      <c r="B367" s="1" t="str">
        <f ca="1">IFERROR(__xludf.DUMMYFUNCTION("""COMPUTED_VALUE"""),"Alcorn St.")</f>
        <v>Alcorn St.</v>
      </c>
      <c r="C367" s="1" t="str">
        <f ca="1">IFERROR(__xludf.DUMMYFUNCTION("""COMPUTED_VALUE"""),"SWAC")</f>
        <v>SWAC</v>
      </c>
      <c r="D367" s="2">
        <f ca="1">IFERROR(__xludf.DUMMYFUNCTION("""COMPUTED_VALUE"""),44855)</f>
        <v>44855</v>
      </c>
      <c r="E367" s="1">
        <f ca="1">IFERROR(__xludf.DUMMYFUNCTION("""COMPUTED_VALUE"""),-24.07)</f>
        <v>-24.07</v>
      </c>
      <c r="F367" s="1">
        <f ca="1">IFERROR(__xludf.DUMMYFUNCTION("""COMPUTED_VALUE"""),89.3)</f>
        <v>89.3</v>
      </c>
      <c r="G367" s="1">
        <f ca="1">IFERROR(__xludf.DUMMYFUNCTION("""COMPUTED_VALUE"""),348)</f>
        <v>348</v>
      </c>
      <c r="H367" s="1">
        <f ca="1">IFERROR(__xludf.DUMMYFUNCTION("""COMPUTED_VALUE"""),113.4)</f>
        <v>113.4</v>
      </c>
      <c r="I367" s="1">
        <f ca="1">IFERROR(__xludf.DUMMYFUNCTION("""COMPUTED_VALUE"""),330)</f>
        <v>330</v>
      </c>
      <c r="J367" s="1">
        <f ca="1">IFERROR(__xludf.DUMMYFUNCTION("""COMPUTED_VALUE"""),65.8)</f>
        <v>65.8</v>
      </c>
      <c r="K367" s="1">
        <f ca="1">IFERROR(__xludf.DUMMYFUNCTION("""COMPUTED_VALUE"""),276)</f>
        <v>276</v>
      </c>
      <c r="L367" s="1" t="str">
        <f ca="1">IFERROR(__xludf.DUMMYFUNCTION("""COMPUTED_VALUE"""),"+.031")</f>
        <v>+.031</v>
      </c>
      <c r="M367" s="1">
        <f ca="1">IFERROR(__xludf.DUMMYFUNCTION("""COMPUTED_VALUE"""),101)</f>
        <v>101</v>
      </c>
      <c r="N367" s="1">
        <f ca="1">IFERROR(__xludf.DUMMYFUNCTION("""COMPUTED_VALUE"""),-7.71)</f>
        <v>-7.71</v>
      </c>
      <c r="O367" s="1">
        <f ca="1">IFERROR(__xludf.DUMMYFUNCTION("""COMPUTED_VALUE"""),326)</f>
        <v>326</v>
      </c>
      <c r="P367" s="1">
        <f ca="1">IFERROR(__xludf.DUMMYFUNCTION("""COMPUTED_VALUE"""),99.1)</f>
        <v>99.1</v>
      </c>
      <c r="Q367" s="1">
        <f ca="1">IFERROR(__xludf.DUMMYFUNCTION("""COMPUTED_VALUE"""),341)</f>
        <v>341</v>
      </c>
      <c r="R367" s="1">
        <f ca="1">IFERROR(__xludf.DUMMYFUNCTION("""COMPUTED_VALUE"""),106.8)</f>
        <v>106.8</v>
      </c>
      <c r="S367" s="1">
        <f ca="1">IFERROR(__xludf.DUMMYFUNCTION("""COMPUTED_VALUE"""),249)</f>
        <v>249</v>
      </c>
      <c r="T367" s="1" t="str">
        <f ca="1">IFERROR(__xludf.DUMMYFUNCTION("""COMPUTED_VALUE"""),"+8.36")</f>
        <v>+8.36</v>
      </c>
      <c r="U367" s="1">
        <f ca="1">IFERROR(__xludf.DUMMYFUNCTION("""COMPUTED_VALUE"""),7)</f>
        <v>7</v>
      </c>
    </row>
    <row r="368" spans="1:21" ht="13" x14ac:dyDescent="0.15">
      <c r="A368" s="1">
        <f ca="1">IFERROR(__xludf.DUMMYFUNCTION("""COMPUTED_VALUE"""),350)</f>
        <v>350</v>
      </c>
      <c r="B368" s="1" t="str">
        <f ca="1">IFERROR(__xludf.DUMMYFUNCTION("""COMPUTED_VALUE"""),"Mississippi Valley St.")</f>
        <v>Mississippi Valley St.</v>
      </c>
      <c r="C368" s="1" t="str">
        <f ca="1">IFERROR(__xludf.DUMMYFUNCTION("""COMPUTED_VALUE"""),"SWAC")</f>
        <v>SWAC</v>
      </c>
      <c r="D368" s="2">
        <f ca="1">IFERROR(__xludf.DUMMYFUNCTION("""COMPUTED_VALUE"""),44738)</f>
        <v>44738</v>
      </c>
      <c r="E368" s="1">
        <f ca="1">IFERROR(__xludf.DUMMYFUNCTION("""COMPUTED_VALUE"""),-24.63)</f>
        <v>-24.63</v>
      </c>
      <c r="F368" s="1">
        <f ca="1">IFERROR(__xludf.DUMMYFUNCTION("""COMPUTED_VALUE"""),89.9)</f>
        <v>89.9</v>
      </c>
      <c r="G368" s="1">
        <f ca="1">IFERROR(__xludf.DUMMYFUNCTION("""COMPUTED_VALUE"""),344)</f>
        <v>344</v>
      </c>
      <c r="H368" s="1">
        <f ca="1">IFERROR(__xludf.DUMMYFUNCTION("""COMPUTED_VALUE"""),114.5)</f>
        <v>114.5</v>
      </c>
      <c r="I368" s="1">
        <f ca="1">IFERROR(__xludf.DUMMYFUNCTION("""COMPUTED_VALUE"""),338)</f>
        <v>338</v>
      </c>
      <c r="J368" s="1">
        <f ca="1">IFERROR(__xludf.DUMMYFUNCTION("""COMPUTED_VALUE"""),69.2)</f>
        <v>69.2</v>
      </c>
      <c r="K368" s="1">
        <f ca="1">IFERROR(__xludf.DUMMYFUNCTION("""COMPUTED_VALUE"""),96)</f>
        <v>96</v>
      </c>
      <c r="L368" s="1">
        <f ca="1">IFERROR(__xludf.DUMMYFUNCTION("""COMPUTED_VALUE"""),-0.018)</f>
        <v>-1.7999999999999999E-2</v>
      </c>
      <c r="M368" s="1">
        <f ca="1">IFERROR(__xludf.DUMMYFUNCTION("""COMPUTED_VALUE"""),230)</f>
        <v>230</v>
      </c>
      <c r="N368" s="1">
        <f ca="1">IFERROR(__xludf.DUMMYFUNCTION("""COMPUTED_VALUE"""),-6.27)</f>
        <v>-6.27</v>
      </c>
      <c r="O368" s="1">
        <f ca="1">IFERROR(__xludf.DUMMYFUNCTION("""COMPUTED_VALUE"""),292)</f>
        <v>292</v>
      </c>
      <c r="P368" s="1">
        <f ca="1">IFERROR(__xludf.DUMMYFUNCTION("""COMPUTED_VALUE"""),99.9)</f>
        <v>99.9</v>
      </c>
      <c r="Q368" s="1">
        <f ca="1">IFERROR(__xludf.DUMMYFUNCTION("""COMPUTED_VALUE"""),329)</f>
        <v>329</v>
      </c>
      <c r="R368" s="1">
        <f ca="1">IFERROR(__xludf.DUMMYFUNCTION("""COMPUTED_VALUE"""),106.1)</f>
        <v>106.1</v>
      </c>
      <c r="S368" s="1">
        <f ca="1">IFERROR(__xludf.DUMMYFUNCTION("""COMPUTED_VALUE"""),219)</f>
        <v>219</v>
      </c>
      <c r="T368" s="1" t="str">
        <f ca="1">IFERROR(__xludf.DUMMYFUNCTION("""COMPUTED_VALUE"""),"+6.46")</f>
        <v>+6.46</v>
      </c>
      <c r="U368" s="1">
        <f ca="1">IFERROR(__xludf.DUMMYFUNCTION("""COMPUTED_VALUE"""),22)</f>
        <v>22</v>
      </c>
    </row>
    <row r="369" spans="1:21" ht="13" x14ac:dyDescent="0.15">
      <c r="A369" s="1">
        <f ca="1">IFERROR(__xludf.DUMMYFUNCTION("""COMPUTED_VALUE"""),351)</f>
        <v>351</v>
      </c>
      <c r="B369" s="1" t="str">
        <f ca="1">IFERROR(__xludf.DUMMYFUNCTION("""COMPUTED_VALUE"""),"Chicago St.")</f>
        <v>Chicago St.</v>
      </c>
      <c r="C369" s="1" t="str">
        <f ca="1">IFERROR(__xludf.DUMMYFUNCTION("""COMPUTED_VALUE"""),"WAC")</f>
        <v>WAC</v>
      </c>
      <c r="D369" s="2">
        <f ca="1">IFERROR(__xludf.DUMMYFUNCTION("""COMPUTED_VALUE"""),44649)</f>
        <v>44649</v>
      </c>
      <c r="E369" s="1">
        <f ca="1">IFERROR(__xludf.DUMMYFUNCTION("""COMPUTED_VALUE"""),-28.26)</f>
        <v>-28.26</v>
      </c>
      <c r="F369" s="1">
        <f ca="1">IFERROR(__xludf.DUMMYFUNCTION("""COMPUTED_VALUE"""),90.4)</f>
        <v>90.4</v>
      </c>
      <c r="G369" s="1">
        <f ca="1">IFERROR(__xludf.DUMMYFUNCTION("""COMPUTED_VALUE"""),340)</f>
        <v>340</v>
      </c>
      <c r="H369" s="1">
        <f ca="1">IFERROR(__xludf.DUMMYFUNCTION("""COMPUTED_VALUE"""),118.6)</f>
        <v>118.6</v>
      </c>
      <c r="I369" s="1">
        <f ca="1">IFERROR(__xludf.DUMMYFUNCTION("""COMPUTED_VALUE"""),351)</f>
        <v>351</v>
      </c>
      <c r="J369" s="1">
        <f ca="1">IFERROR(__xludf.DUMMYFUNCTION("""COMPUTED_VALUE"""),70.1)</f>
        <v>70.099999999999994</v>
      </c>
      <c r="K369" s="1">
        <f ca="1">IFERROR(__xludf.DUMMYFUNCTION("""COMPUTED_VALUE"""),65)</f>
        <v>65</v>
      </c>
      <c r="L369" s="1">
        <f ca="1">IFERROR(__xludf.DUMMYFUNCTION("""COMPUTED_VALUE"""),-0.012)</f>
        <v>-1.2E-2</v>
      </c>
      <c r="M369" s="1">
        <f ca="1">IFERROR(__xludf.DUMMYFUNCTION("""COMPUTED_VALUE"""),218)</f>
        <v>218</v>
      </c>
      <c r="N369" s="1" t="str">
        <f ca="1">IFERROR(__xludf.DUMMYFUNCTION("""COMPUTED_VALUE"""),"+2.70")</f>
        <v>+2.70</v>
      </c>
      <c r="O369" s="1">
        <f ca="1">IFERROR(__xludf.DUMMYFUNCTION("""COMPUTED_VALUE"""),92)</f>
        <v>92</v>
      </c>
      <c r="P369" s="1">
        <f ca="1">IFERROR(__xludf.DUMMYFUNCTION("""COMPUTED_VALUE"""),105.4)</f>
        <v>105.4</v>
      </c>
      <c r="Q369" s="1">
        <f ca="1">IFERROR(__xludf.DUMMYFUNCTION("""COMPUTED_VALUE"""),105)</f>
        <v>105</v>
      </c>
      <c r="R369" s="1">
        <f ca="1">IFERROR(__xludf.DUMMYFUNCTION("""COMPUTED_VALUE"""),102.7)</f>
        <v>102.7</v>
      </c>
      <c r="S369" s="1">
        <f ca="1">IFERROR(__xludf.DUMMYFUNCTION("""COMPUTED_VALUE"""),94)</f>
        <v>94</v>
      </c>
      <c r="T369" s="1" t="str">
        <f ca="1">IFERROR(__xludf.DUMMYFUNCTION("""COMPUTED_VALUE"""),"+5.20")</f>
        <v>+5.20</v>
      </c>
      <c r="U369" s="1">
        <f ca="1">IFERROR(__xludf.DUMMYFUNCTION("""COMPUTED_VALUE"""),37)</f>
        <v>37</v>
      </c>
    </row>
    <row r="370" spans="1:21" ht="13" x14ac:dyDescent="0.15">
      <c r="A370" s="1">
        <f ca="1">IFERROR(__xludf.DUMMYFUNCTION("""COMPUTED_VALUE"""),352)</f>
        <v>352</v>
      </c>
      <c r="B370" s="1" t="str">
        <f ca="1">IFERROR(__xludf.DUMMYFUNCTION("""COMPUTED_VALUE"""),"Delaware St.")</f>
        <v>Delaware St.</v>
      </c>
      <c r="C370" s="1" t="str">
        <f ca="1">IFERROR(__xludf.DUMMYFUNCTION("""COMPUTED_VALUE"""),"MEAC")</f>
        <v>MEAC</v>
      </c>
      <c r="D370" s="2">
        <f ca="1">IFERROR(__xludf.DUMMYFUNCTION("""COMPUTED_VALUE"""),44737)</f>
        <v>44737</v>
      </c>
      <c r="E370" s="1">
        <f ca="1">IFERROR(__xludf.DUMMYFUNCTION("""COMPUTED_VALUE"""),-29.31)</f>
        <v>-29.31</v>
      </c>
      <c r="F370" s="1">
        <f ca="1">IFERROR(__xludf.DUMMYFUNCTION("""COMPUTED_VALUE"""),84.5)</f>
        <v>84.5</v>
      </c>
      <c r="G370" s="1">
        <f ca="1">IFERROR(__xludf.DUMMYFUNCTION("""COMPUTED_VALUE"""),352)</f>
        <v>352</v>
      </c>
      <c r="H370" s="1">
        <f ca="1">IFERROR(__xludf.DUMMYFUNCTION("""COMPUTED_VALUE"""),113.8)</f>
        <v>113.8</v>
      </c>
      <c r="I370" s="1">
        <f ca="1">IFERROR(__xludf.DUMMYFUNCTION("""COMPUTED_VALUE"""),333)</f>
        <v>333</v>
      </c>
      <c r="J370" s="1">
        <f ca="1">IFERROR(__xludf.DUMMYFUNCTION("""COMPUTED_VALUE"""),69.7)</f>
        <v>69.7</v>
      </c>
      <c r="K370" s="1">
        <f ca="1">IFERROR(__xludf.DUMMYFUNCTION("""COMPUTED_VALUE"""),77)</f>
        <v>77</v>
      </c>
      <c r="L370" s="1" t="str">
        <f ca="1">IFERROR(__xludf.DUMMYFUNCTION("""COMPUTED_VALUE"""),"+.008")</f>
        <v>+.008</v>
      </c>
      <c r="M370" s="1">
        <f ca="1">IFERROR(__xludf.DUMMYFUNCTION("""COMPUTED_VALUE"""),161)</f>
        <v>161</v>
      </c>
      <c r="N370" s="1">
        <f ca="1">IFERROR(__xludf.DUMMYFUNCTION("""COMPUTED_VALUE"""),-9.71)</f>
        <v>-9.7100000000000009</v>
      </c>
      <c r="O370" s="1">
        <f ca="1">IFERROR(__xludf.DUMMYFUNCTION("""COMPUTED_VALUE"""),348)</f>
        <v>348</v>
      </c>
      <c r="P370" s="1">
        <f ca="1">IFERROR(__xludf.DUMMYFUNCTION("""COMPUTED_VALUE"""),98.2)</f>
        <v>98.2</v>
      </c>
      <c r="Q370" s="1">
        <f ca="1">IFERROR(__xludf.DUMMYFUNCTION("""COMPUTED_VALUE"""),346)</f>
        <v>346</v>
      </c>
      <c r="R370" s="1">
        <f ca="1">IFERROR(__xludf.DUMMYFUNCTION("""COMPUTED_VALUE"""),107.9)</f>
        <v>107.9</v>
      </c>
      <c r="S370" s="1">
        <f ca="1">IFERROR(__xludf.DUMMYFUNCTION("""COMPUTED_VALUE"""),309)</f>
        <v>309</v>
      </c>
      <c r="T370" s="1" t="str">
        <f ca="1">IFERROR(__xludf.DUMMYFUNCTION("""COMPUTED_VALUE"""),"+0.84")</f>
        <v>+0.84</v>
      </c>
      <c r="U370" s="1">
        <f ca="1">IFERROR(__xludf.DUMMYFUNCTION("""COMPUTED_VALUE"""),130)</f>
        <v>130</v>
      </c>
    </row>
    <row r="371" spans="1:21" ht="13" x14ac:dyDescent="0.15">
      <c r="A371" s="1">
        <f ca="1">IFERROR(__xludf.DUMMYFUNCTION("""COMPUTED_VALUE"""),353)</f>
        <v>353</v>
      </c>
      <c r="B371" s="1" t="str">
        <f ca="1">IFERROR(__xludf.DUMMYFUNCTION("""COMPUTED_VALUE"""),"Maryland Eastern Shore")</f>
        <v>Maryland Eastern Shore</v>
      </c>
      <c r="C371" s="1" t="str">
        <f ca="1">IFERROR(__xludf.DUMMYFUNCTION("""COMPUTED_VALUE"""),"MEAC")</f>
        <v>MEAC</v>
      </c>
      <c r="D371" s="2">
        <f ca="1">IFERROR(__xludf.DUMMYFUNCTION("""COMPUTED_VALUE"""),44767)</f>
        <v>44767</v>
      </c>
      <c r="E371" s="1">
        <f ca="1">IFERROR(__xludf.DUMMYFUNCTION("""COMPUTED_VALUE"""),-29.42)</f>
        <v>-29.42</v>
      </c>
      <c r="F371" s="1">
        <f ca="1">IFERROR(__xludf.DUMMYFUNCTION("""COMPUTED_VALUE"""),85.4)</f>
        <v>85.4</v>
      </c>
      <c r="G371" s="1">
        <f ca="1">IFERROR(__xludf.DUMMYFUNCTION("""COMPUTED_VALUE"""),351)</f>
        <v>351</v>
      </c>
      <c r="H371" s="1">
        <f ca="1">IFERROR(__xludf.DUMMYFUNCTION("""COMPUTED_VALUE"""),114.8)</f>
        <v>114.8</v>
      </c>
      <c r="I371" s="1">
        <f ca="1">IFERROR(__xludf.DUMMYFUNCTION("""COMPUTED_VALUE"""),340)</f>
        <v>340</v>
      </c>
      <c r="J371" s="1">
        <f ca="1">IFERROR(__xludf.DUMMYFUNCTION("""COMPUTED_VALUE"""),63.1)</f>
        <v>63.1</v>
      </c>
      <c r="K371" s="1">
        <f ca="1">IFERROR(__xludf.DUMMYFUNCTION("""COMPUTED_VALUE"""),343)</f>
        <v>343</v>
      </c>
      <c r="L371" s="1" t="str">
        <f ca="1">IFERROR(__xludf.DUMMYFUNCTION("""COMPUTED_VALUE"""),"+.024")</f>
        <v>+.024</v>
      </c>
      <c r="M371" s="1">
        <f ca="1">IFERROR(__xludf.DUMMYFUNCTION("""COMPUTED_VALUE"""),115)</f>
        <v>115</v>
      </c>
      <c r="N371" s="1">
        <f ca="1">IFERROR(__xludf.DUMMYFUNCTION("""COMPUTED_VALUE"""),-7.72)</f>
        <v>-7.72</v>
      </c>
      <c r="O371" s="1">
        <f ca="1">IFERROR(__xludf.DUMMYFUNCTION("""COMPUTED_VALUE"""),327)</f>
        <v>327</v>
      </c>
      <c r="P371" s="1">
        <f ca="1">IFERROR(__xludf.DUMMYFUNCTION("""COMPUTED_VALUE"""),99.8)</f>
        <v>99.8</v>
      </c>
      <c r="Q371" s="1">
        <f ca="1">IFERROR(__xludf.DUMMYFUNCTION("""COMPUTED_VALUE"""),331)</f>
        <v>331</v>
      </c>
      <c r="R371" s="1">
        <f ca="1">IFERROR(__xludf.DUMMYFUNCTION("""COMPUTED_VALUE"""),107.5)</f>
        <v>107.5</v>
      </c>
      <c r="S371" s="1">
        <f ca="1">IFERROR(__xludf.DUMMYFUNCTION("""COMPUTED_VALUE"""),282)</f>
        <v>282</v>
      </c>
      <c r="T371" s="1" t="str">
        <f ca="1">IFERROR(__xludf.DUMMYFUNCTION("""COMPUTED_VALUE"""),"+5.31")</f>
        <v>+5.31</v>
      </c>
      <c r="U371" s="1">
        <f ca="1">IFERROR(__xludf.DUMMYFUNCTION("""COMPUTED_VALUE"""),36)</f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2022-03-16T13:13:16Z</dcterms:created>
  <dcterms:modified xsi:type="dcterms:W3CDTF">2022-03-16T17:39:06Z</dcterms:modified>
</cp:coreProperties>
</file>